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\\dados-sinesp\SUPOP\6_SUPOP_2025\2_UNIDADES\3 _ UNEORC\1 - ORÇAMENTOS FINALIZADOS\4 - MESTRE D'ARMAS\BASE\SEM DESONERAÇÃO\"/>
    </mc:Choice>
  </mc:AlternateContent>
  <xr:revisionPtr revIDLastSave="0" documentId="8_{A8463865-653E-4951-B2A3-53DEEF7BE84B}" xr6:coauthVersionLast="47" xr6:coauthVersionMax="47" xr10:uidLastSave="{00000000-0000-0000-0000-000000000000}"/>
  <bookViews>
    <workbookView xWindow="-38510" yWindow="-110" windowWidth="38620" windowHeight="21100" tabRatio="858" activeTab="7" xr2:uid="{5C828405-653E-4404-85D6-FE391E4D7CBD}"/>
  </bookViews>
  <sheets>
    <sheet name="RESUMO" sheetId="2" r:id="rId1"/>
    <sheet name="ORÇAMENTO" sheetId="10" r:id="rId2"/>
    <sheet name="CLASSIFICAÇÃO ABC" sheetId="5" r:id="rId3"/>
    <sheet name="CPUs" sheetId="6" r:id="rId4"/>
    <sheet name="CRONOGRAMA" sheetId="3" r:id="rId5"/>
    <sheet name="Plan2" sheetId="4" state="hidden" r:id="rId6"/>
    <sheet name="ANEXO I - MEM. CÁLC" sheetId="12" state="hidden" r:id="rId7"/>
    <sheet name="ANEXO II - MOVIMENTAÇÃO DE SOLO" sheetId="11" r:id="rId8"/>
    <sheet name="Quantitativos" sheetId="13" state="hidden" r:id="rId9"/>
    <sheet name="BOCA DE LOBO" sheetId="14" state="hidden" r:id="rId10"/>
    <sheet name="QUANTBL" sheetId="15" state="hidden" r:id="rId11"/>
    <sheet name="Planilha Hidráulica" sheetId="16" state="hidden" r:id="rId12"/>
  </sheets>
  <definedNames>
    <definedName name="_xlnm._FilterDatabase" localSheetId="6" hidden="1">'ANEXO I - MEM. CÁLC'!$A$5:$S$3875</definedName>
    <definedName name="_xlnm._FilterDatabase" localSheetId="2" hidden="1">'CLASSIFICAÇÃO ABC'!$A$7:$N$131</definedName>
    <definedName name="_xlnm._FilterDatabase" localSheetId="3" hidden="1">CPUs!$A$5:$K$5278</definedName>
    <definedName name="_xlnm._FilterDatabase" localSheetId="1" hidden="1">ORÇAMENTO!$A$4:$P$549</definedName>
    <definedName name="_xlnm._FilterDatabase" localSheetId="5" hidden="1">Plan2!$B$1:$P$407</definedName>
    <definedName name="_xlnm._FilterDatabase" localSheetId="11" hidden="1">'Planilha Hidráulica'!$A$7:$AB$15</definedName>
    <definedName name="_xlnm._FilterDatabase" localSheetId="8" hidden="1">Quantitativos!$B$4:$DP$33</definedName>
    <definedName name="_Order1" hidden="1">255</definedName>
    <definedName name="_Order2" hidden="1">255</definedName>
    <definedName name="AAA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AAA" localSheetId="1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AAA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_xlnm.Print_Area" localSheetId="6">'ANEXO I - MEM. CÁLC'!$A$1:$O$3875</definedName>
    <definedName name="_xlnm.Print_Area" localSheetId="2">'CLASSIFICAÇÃO ABC'!$A$1:$N$132</definedName>
    <definedName name="_xlnm.Print_Area" localSheetId="3">CPUs!$A$1:$J$5277</definedName>
    <definedName name="_xlnm.Print_Area" localSheetId="4">CRONOGRAMA!$A$1:$L$20</definedName>
    <definedName name="_xlnm.Print_Area" localSheetId="1">ORÇAMENTO!$A$1:$K$553</definedName>
    <definedName name="_xlnm.Print_Area" localSheetId="11">'Planilha Hidráulica'!$B$1:$V$15</definedName>
    <definedName name="_xlnm.Print_Area" localSheetId="0">RESUMO!$A$1:$I$13</definedName>
    <definedName name="BBB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1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DISPOSIÇÃO_FINAL___AREA_LICENCIADA">"QT+'CURVA ABC'!$F$9:$F$59"</definedName>
    <definedName name="EVOLUTION_DES_ROI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1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NCOMPOSICOES">21</definedName>
    <definedName name="NCOTACOES">15</definedName>
    <definedName name="NEMPRESAS">15</definedName>
    <definedName name="NINDICES">3</definedName>
    <definedName name="QuadroResumoTotal">"Grupo 326"</definedName>
    <definedName name="QuadroTotaisGamaProduto">"Grupo 350"</definedName>
    <definedName name="_xlnm.Print_Titles" localSheetId="2">'CLASSIFICAÇÃO ABC'!$1:$6</definedName>
    <definedName name="_xlnm.Print_Titles" localSheetId="3">CPUs!$1:$4</definedName>
    <definedName name="_xlnm.Print_Titles" localSheetId="1">ORÇAMENTO!$1:$4</definedName>
    <definedName name="_xlnm.Print_Titles" localSheetId="11">'Planilha Hidráulica'!$1:$8</definedName>
    <definedName name="_xlnm.Print_Titles" localSheetId="0">RESUMO!$1:$4</definedName>
    <definedName name="TotaisGamaProduto">"Grupo 350"</definedName>
    <definedName name="Toto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1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1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Z_0096A1DA_A29A_4ED7_B9D0_F536A4A8B08F_.wvu.FilterData" localSheetId="6" hidden="1">'ANEXO I - MEM. CÁLC'!$A$5:$AM$5</definedName>
    <definedName name="Z_0096A1DA_A29A_4ED7_B9D0_F536A4A8B08F_.wvu.FilterData" localSheetId="1" hidden="1">ORÇAMENTO!$A$1:$F$287</definedName>
    <definedName name="Z_0246620D_439B_4E4C_83EE_A00A7ADC1350_.wvu.FilterData" localSheetId="1" hidden="1">ORÇAMENTO!$A$1:$F$287</definedName>
    <definedName name="Z_026951F2_36EE_40CA_9B6C_61E04811BE64_.wvu.FilterData" localSheetId="6" hidden="1">'ANEXO I - MEM. CÁLC'!$A$5:$AM$5</definedName>
    <definedName name="Z_026951F2_36EE_40CA_9B6C_61E04811BE64_.wvu.FilterData" localSheetId="1" hidden="1">ORÇAMENTO!$A$1:$F$287</definedName>
    <definedName name="Z_04069657_63E1_41D8_9637_D873430C4928_.wvu.FilterData" localSheetId="6" hidden="1">'ANEXO I - MEM. CÁLC'!$A$5:$AM$5</definedName>
    <definedName name="Z_0429FB54_4E8A_401C_A003_B2E639BB89D5_.wvu.FilterData" localSheetId="6" hidden="1">'ANEXO I - MEM. CÁLC'!$A$5:$AM$5</definedName>
    <definedName name="Z_0429FB54_4E8A_401C_A003_B2E639BB89D5_.wvu.FilterData" localSheetId="1" hidden="1">ORÇAMENTO!$A$1:$F$287</definedName>
    <definedName name="Z_0540887E_4F09_414B_9668_1E0EFE631677_.wvu.FilterData" localSheetId="1" hidden="1">ORÇAMENTO!$A$1:$F$287</definedName>
    <definedName name="Z_05CF3B02_166E_4A76_A54C_B55E563CE0A8_.wvu.FilterData" localSheetId="6" hidden="1">'ANEXO I - MEM. CÁLC'!#REF!</definedName>
    <definedName name="Z_05CF3B02_166E_4A76_A54C_B55E563CE0A8_.wvu.FilterData" localSheetId="1" hidden="1">ORÇAMENTO!$A$1:$F$287</definedName>
    <definedName name="Z_06346B24_0780_4E73_83A6_C5A0A3106F3A_.wvu.FilterData" localSheetId="6" hidden="1">'ANEXO I - MEM. CÁLC'!$A$5:$AM$5</definedName>
    <definedName name="Z_06346B24_0780_4E73_83A6_C5A0A3106F3A_.wvu.FilterData" localSheetId="1" hidden="1">ORÇAMENTO!$A$1:$F$287</definedName>
    <definedName name="Z_0637367E_2AC2_438E_9A9E_9B0463CA0A81_.wvu.FilterData" localSheetId="6" hidden="1">'ANEXO I - MEM. CÁLC'!$A$5:$S$320</definedName>
    <definedName name="Z_0637367E_2AC2_438E_9A9E_9B0463CA0A81_.wvu.FilterData" localSheetId="1" hidden="1">ORÇAMENTO!$A$1:$F$287</definedName>
    <definedName name="Z_064D3DA7_8148_4B4E_82C0_2A174BF3BFAA_.wvu.FilterData" localSheetId="6" hidden="1">'ANEXO I - MEM. CÁLC'!$A$5:$AM$5</definedName>
    <definedName name="Z_065BB8A1_FEE0_4461_873C_D1AFC32E7089_.wvu.FilterData" localSheetId="1" hidden="1">ORÇAMENTO!$A$260:$F$287</definedName>
    <definedName name="Z_06A47BB8_EDD3_4752_8F03_47B0E84910BC_.wvu.FilterData" localSheetId="6" hidden="1">'ANEXO I - MEM. CÁLC'!$A$5:$AM$5</definedName>
    <definedName name="Z_07C28BDA_8897_4D18_80D6_98E2FF2F45D0_.wvu.FilterData" localSheetId="6" hidden="1">'ANEXO I - MEM. CÁLC'!$A$5:$AM$5</definedName>
    <definedName name="Z_07C28BDA_8897_4D18_80D6_98E2FF2F45D0_.wvu.FilterData" localSheetId="1" hidden="1">ORÇAMENTO!$A$1:$F$287</definedName>
    <definedName name="Z_07EAEA41_DE57_48BE_96C5_D00945ADB9C5_.wvu.FilterData" localSheetId="6" hidden="1">'ANEXO I - MEM. CÁLC'!$A$5:$AM$5</definedName>
    <definedName name="Z_07EAEA41_DE57_48BE_96C5_D00945ADB9C5_.wvu.FilterData" localSheetId="1" hidden="1">ORÇAMENTO!$A$1:$F$287</definedName>
    <definedName name="Z_09408F52_FE27_40D5_8BC2_6D229D194A5A_.wvu.FilterData" localSheetId="1" hidden="1">ORÇAMENTO!$A$1:$F$287</definedName>
    <definedName name="Z_0A2C8AA2_7CCE_4ABC_9911_858C380CDD03_.wvu.FilterData" localSheetId="6" hidden="1">'ANEXO I - MEM. CÁLC'!$A$319:$O$1208</definedName>
    <definedName name="Z_0A2C8AA2_7CCE_4ABC_9911_858C380CDD03_.wvu.FilterData" localSheetId="1" hidden="1">ORÇAMENTO!$A$1:$F$287</definedName>
    <definedName name="Z_0ADF9435_AE01_468F_8E59_7EECD6F9390C_.wvu.FilterData" localSheetId="6" hidden="1">'ANEXO I - MEM. CÁLC'!$A$319:$O$1208</definedName>
    <definedName name="Z_0B9D33D6_BEE7_4F6A_8858_75B1F9451C60_.wvu.FilterData" localSheetId="6" hidden="1">'ANEXO I - MEM. CÁLC'!$A$5:$AM$5</definedName>
    <definedName name="Z_0B9D33D6_BEE7_4F6A_8858_75B1F9451C60_.wvu.FilterData" localSheetId="1" hidden="1">ORÇAMENTO!$A$1:$F$287</definedName>
    <definedName name="Z_0BF64E1E_AE23_4F7D_886D_AF8D613162DE_.wvu.FilterData" localSheetId="6" hidden="1">'ANEXO I - MEM. CÁLC'!$A$5:$AM$5</definedName>
    <definedName name="Z_0BF64E1E_AE23_4F7D_886D_AF8D613162DE_.wvu.FilterData" localSheetId="1" hidden="1">ORÇAMENTO!$A$1:$F$287</definedName>
    <definedName name="Z_0C34CB89_824E_4D6B_932F_3A9F80C7EF6C_.wvu.FilterData" localSheetId="6" hidden="1">'ANEXO I - MEM. CÁLC'!$A$5:$AM$5</definedName>
    <definedName name="Z_0C34CB89_824E_4D6B_932F_3A9F80C7EF6C_.wvu.FilterData" localSheetId="1" hidden="1">ORÇAMENTO!$A$1:$F$287</definedName>
    <definedName name="Z_0CB0BDA5_AF70_4287_B24B_CE97B9CCC7B0_.wvu.FilterData" localSheetId="6" hidden="1">'ANEXO I - MEM. CÁLC'!$A$5:$AM$5</definedName>
    <definedName name="Z_0CB0BDA5_AF70_4287_B24B_CE97B9CCC7B0_.wvu.FilterData" localSheetId="1" hidden="1">ORÇAMENTO!$A$1:$F$287</definedName>
    <definedName name="Z_0CDCD380_B568_4261_A9CF_18D6975EE11F_.wvu.FilterData" localSheetId="1" hidden="1">ORÇAMENTO!$A$1:$F$287</definedName>
    <definedName name="Z_0DCD0423_A7DB_451B_9C85_3B01023B6B12_.wvu.FilterData" localSheetId="6" hidden="1">'ANEXO I - MEM. CÁLC'!$A$5:$S$1208</definedName>
    <definedName name="Z_0DCD0423_A7DB_451B_9C85_3B01023B6B12_.wvu.FilterData" localSheetId="1" hidden="1">ORÇAMENTO!$A$1:$F$287</definedName>
    <definedName name="Z_0E219452_2CDB_4041_93D5_0AB899F4E9B8_.wvu.FilterData" localSheetId="6" hidden="1">'ANEXO I - MEM. CÁLC'!$A$5:$AM$5</definedName>
    <definedName name="Z_0E219452_2CDB_4041_93D5_0AB899F4E9B8_.wvu.FilterData" localSheetId="1" hidden="1">ORÇAMENTO!$A$1:$F$287</definedName>
    <definedName name="Z_0ED940DE_5D2E_4FB9_B508_3BBAA48DF22A_.wvu.FilterData" localSheetId="6" hidden="1">'ANEXO I - MEM. CÁLC'!$A$5:$S$320</definedName>
    <definedName name="Z_0ED940DE_5D2E_4FB9_B508_3BBAA48DF22A_.wvu.FilterData" localSheetId="1" hidden="1">ORÇAMENTO!$A$1:$F$287</definedName>
    <definedName name="Z_0EF5A195_1579_4F75_BE0F_BF51BEF38037_.wvu.FilterData" localSheetId="6" hidden="1">'ANEXO I - MEM. CÁLC'!$A$5:$AM$5</definedName>
    <definedName name="Z_0EF5A195_1579_4F75_BE0F_BF51BEF38037_.wvu.FilterData" localSheetId="1" hidden="1">ORÇAMENTO!$A$1:$F$287</definedName>
    <definedName name="Z_0F122672_8295_45AF_9FCE_0CC0392414D9_.wvu.FilterData" localSheetId="6" hidden="1">'ANEXO I - MEM. CÁLC'!$A$5:$AM$5</definedName>
    <definedName name="Z_0F13265D_BAFC_440D_BECF_9C46C52FFE19_.wvu.FilterData" localSheetId="6" hidden="1">'ANEXO I - MEM. CÁLC'!$A$5:$AM$5</definedName>
    <definedName name="Z_0F37785B_2225_420A_9171_4FB7D1E5A51B_.wvu.FilterData" localSheetId="1" hidden="1">ORÇAMENTO!#REF!</definedName>
    <definedName name="Z_0FC24C03_2DC7_45F4_823B_0E6E7C815581_.wvu.FilterData" localSheetId="6" hidden="1">'ANEXO I - MEM. CÁLC'!$A$5:$AM$5</definedName>
    <definedName name="Z_0FC24C03_2DC7_45F4_823B_0E6E7C815581_.wvu.FilterData" localSheetId="1" hidden="1">ORÇAMENTO!$A$1:$F$287</definedName>
    <definedName name="Z_10C5CF31_C45B_453E_B873_69A8F7BC1015_.wvu.FilterData" localSheetId="1" hidden="1">ORÇAMENTO!$A$1:$F$287</definedName>
    <definedName name="Z_10C78967_410D_48BC_9441_305E96871729_.wvu.FilterData" localSheetId="1" hidden="1">ORÇAMENTO!$A$1:$F$287</definedName>
    <definedName name="Z_1192FD2F_87DE_4518_858E_FF7475AEDF0D_.wvu.FilterData" localSheetId="6" hidden="1">'ANEXO I - MEM. CÁLC'!$A$319:$O$1208</definedName>
    <definedName name="Z_1192FD2F_87DE_4518_858E_FF7475AEDF0D_.wvu.FilterData" localSheetId="1" hidden="1">ORÇAMENTO!$A$1:$F$287</definedName>
    <definedName name="Z_119F6A40_2828_4722_B030_6442D06009E0_.wvu.FilterData" localSheetId="1" hidden="1">ORÇAMENTO!$A$260:$F$287</definedName>
    <definedName name="Z_127DE025_B217_41E5_8E43_F21C809B4EDF_.wvu.FilterData" localSheetId="6" hidden="1">'ANEXO I - MEM. CÁLC'!$A$5:$AM$5</definedName>
    <definedName name="Z_127DE025_B217_41E5_8E43_F21C809B4EDF_.wvu.FilterData" localSheetId="1" hidden="1">ORÇAMENTO!$A$1:$F$287</definedName>
    <definedName name="Z_12A4BC04_0C15_4371_8078_D8529CA88BBE_.wvu.FilterData" localSheetId="6" hidden="1">'ANEXO I - MEM. CÁLC'!$A$5:$AM$5</definedName>
    <definedName name="Z_1363A7B0_F2DA_49D2_947B_C1EC39EA3068_.wvu.FilterData" localSheetId="1" hidden="1">ORÇAMENTO!$A$1:$F$287</definedName>
    <definedName name="Z_139E0FDF_69DE_48A2_A8C6_1BAD131DB6C1_.wvu.FilterData" localSheetId="1" hidden="1">ORÇAMENTO!$A$1:$F$287</definedName>
    <definedName name="Z_1410B917_860A_4E29_8355_3F78ACE05CA0_.wvu.FilterData" localSheetId="1" hidden="1">ORÇAMENTO!#REF!</definedName>
    <definedName name="Z_1410B917_860A_4E29_8355_3F78ACE05CA0_.wvu.PrintArea" localSheetId="1" hidden="1">ORÇAMENTO!#REF!</definedName>
    <definedName name="Z_1410B917_860A_4E29_8355_3F78ACE05CA0_.wvu.PrintTitles" localSheetId="1" hidden="1">ORÇAMENTO!#REF!</definedName>
    <definedName name="Z_14209FB3_77E5_44B1_9CEE_4790591F74B3_.wvu.FilterData" localSheetId="6" hidden="1">'ANEXO I - MEM. CÁLC'!$A$5:$AM$5</definedName>
    <definedName name="Z_14209FB3_77E5_44B1_9CEE_4790591F74B3_.wvu.FilterData" localSheetId="1" hidden="1">ORÇAMENTO!$A$1:$F$287</definedName>
    <definedName name="Z_1466E0EA_C2EB_43FD_AB4A_9C973698C0CD_.wvu.FilterData" localSheetId="1" hidden="1">ORÇAMENTO!$A$1:$F$287</definedName>
    <definedName name="Z_14C1727B_D258_4298_9288_3AD0EE56B3BC_.wvu.FilterData" localSheetId="6" hidden="1">'ANEXO I - MEM. CÁLC'!$A$5:$AM$5</definedName>
    <definedName name="Z_14C1727B_D258_4298_9288_3AD0EE56B3BC_.wvu.FilterData" localSheetId="1" hidden="1">ORÇAMENTO!$A$1:$F$287</definedName>
    <definedName name="Z_1A46FDA5_B9EF_42F5_9918_2005CF9964E3_.wvu.FilterData" localSheetId="6" hidden="1">'ANEXO I - MEM. CÁLC'!$A$5:$AM$5</definedName>
    <definedName name="Z_1A46FDA5_B9EF_42F5_9918_2005CF9964E3_.wvu.FilterData" localSheetId="1" hidden="1">ORÇAMENTO!$A$1:$F$287</definedName>
    <definedName name="Z_1BCC2FCC_ACC6_4AA7_8B36_73C81DDB29CD_.wvu.FilterData" localSheetId="1" hidden="1">ORÇAMENTO!$A$1:$F$287</definedName>
    <definedName name="Z_1C2ADCE5_49F9_4C68_A85E_8D84A906CB95_.wvu.FilterData" localSheetId="6" hidden="1">'ANEXO I - MEM. CÁLC'!$A$5:$AM$5</definedName>
    <definedName name="Z_1C2ADCE5_49F9_4C68_A85E_8D84A906CB95_.wvu.FilterData" localSheetId="1" hidden="1">ORÇAMENTO!$A$1:$F$287</definedName>
    <definedName name="Z_1D816EFF_5693_483E_BCB0_266AD07E968D_.wvu.FilterData" localSheetId="6" hidden="1">'ANEXO I - MEM. CÁLC'!$A$5:$AM$5</definedName>
    <definedName name="Z_1DF013FD_3E5C_4532_AE54_2685F8D45D7B_.wvu.FilterData" localSheetId="1" hidden="1">ORÇAMENTO!$A$260:$F$287</definedName>
    <definedName name="Z_1E384198_E078_4589_B6C5_03D5827C816C_.wvu.FilterData" localSheetId="1" hidden="1">ORÇAMENTO!$A$260:$F$287</definedName>
    <definedName name="Z_1EEC88D7_ABE0_46D4_80E2_F1C4A2E95D0B_.wvu.FilterData" localSheetId="6" hidden="1">'ANEXO I - MEM. CÁLC'!$A$5:$AM$5</definedName>
    <definedName name="Z_1EEC88D7_ABE0_46D4_80E2_F1C4A2E95D0B_.wvu.FilterData" localSheetId="1" hidden="1">ORÇAMENTO!$A$1:$F$287</definedName>
    <definedName name="Z_1F093756_A2CE_4010_B92B_2DA33CC9D406_.wvu.FilterData" localSheetId="6" hidden="1">'ANEXO I - MEM. CÁLC'!$A$5:$AM$5</definedName>
    <definedName name="Z_1F093756_A2CE_4010_B92B_2DA33CC9D406_.wvu.FilterData" localSheetId="1" hidden="1">ORÇAMENTO!$A$1:$F$287</definedName>
    <definedName name="Z_1FC89074_46E4_43D5_86CA_0A08DE4E3FA7_.wvu.FilterData" localSheetId="1" hidden="1">ORÇAMENTO!$A$260:$F$287</definedName>
    <definedName name="Z_1FD019E1_81A3_42C4_86D7_586BB89FB609_.wvu.FilterData" localSheetId="6" hidden="1">'ANEXO I - MEM. CÁLC'!$A$5:$AM$5</definedName>
    <definedName name="Z_1FD019E1_81A3_42C4_86D7_586BB89FB609_.wvu.FilterData" localSheetId="1" hidden="1">ORÇAMENTO!$A$1:$F$287</definedName>
    <definedName name="Z_201A8B87_7875_4397_AAB6_7106DFBC9802_.wvu.FilterData" localSheetId="6" hidden="1">'ANEXO I - MEM. CÁLC'!$A$5:$AM$5</definedName>
    <definedName name="Z_201A8B87_7875_4397_AAB6_7106DFBC9802_.wvu.FilterData" localSheetId="1" hidden="1">ORÇAMENTO!$A$1:$F$287</definedName>
    <definedName name="Z_210E3329_E1B8_4CF2_B86D_9C8A8CA35D61_.wvu.FilterData" localSheetId="6" hidden="1">'ANEXO I - MEM. CÁLC'!$A$5:$AM$5</definedName>
    <definedName name="Z_210E3329_E1B8_4CF2_B86D_9C8A8CA35D61_.wvu.FilterData" localSheetId="1" hidden="1">ORÇAMENTO!$A$1:$F$287</definedName>
    <definedName name="Z_21203A70_1CFD_4DC9_951D_A34E1CB9CD8B_.wvu.FilterData" localSheetId="6" hidden="1">'ANEXO I - MEM. CÁLC'!$A$5:$AM$5</definedName>
    <definedName name="Z_21203A70_1CFD_4DC9_951D_A34E1CB9CD8B_.wvu.FilterData" localSheetId="1" hidden="1">ORÇAMENTO!$A$1:$F$287</definedName>
    <definedName name="Z_22B95180_0028_400B_8954_D5D96A3B2B48_.wvu.FilterData" localSheetId="1" hidden="1">ORÇAMENTO!$A$1:$F$287</definedName>
    <definedName name="Z_22E02B08_F3B2_4044_ABBA_033B3138A409_.wvu.FilterData" localSheetId="6" hidden="1">'ANEXO I - MEM. CÁLC'!$A$5:$AM$5</definedName>
    <definedName name="Z_22E02B08_F3B2_4044_ABBA_033B3138A409_.wvu.FilterData" localSheetId="1" hidden="1">ORÇAMENTO!$A$1:$F$287</definedName>
    <definedName name="Z_24051926_E98A_409B_AC52_E05095F548A2_.wvu.FilterData" localSheetId="6" hidden="1">'ANEXO I - MEM. CÁLC'!$A$5:$S$1208</definedName>
    <definedName name="Z_24051926_E98A_409B_AC52_E05095F548A2_.wvu.FilterData" localSheetId="1" hidden="1">ORÇAMENTO!$A$1:$F$287</definedName>
    <definedName name="Z_246D19D4_8DB7_4D9D_A2FE_8DCEEBF40450_.wvu.FilterData" localSheetId="1" hidden="1">ORÇAMENTO!$A$1:$F$287</definedName>
    <definedName name="Z_246E5144_E2B6_4D49_84D8_9180B00A6EAE_.wvu.FilterData" localSheetId="6" hidden="1">'ANEXO I - MEM. CÁLC'!$A$5:$AM$5</definedName>
    <definedName name="Z_24C86C10_95AB_4A51_93DC_5F46DBB0E670_.wvu.FilterData" localSheetId="6" hidden="1">'ANEXO I - MEM. CÁLC'!$A$5:$AM$5</definedName>
    <definedName name="Z_24C86C10_95AB_4A51_93DC_5F46DBB0E670_.wvu.FilterData" localSheetId="1" hidden="1">ORÇAMENTO!$A$1:$F$287</definedName>
    <definedName name="Z_254CA183_39BF_4CE4_A49B_384AAC8C06FF_.wvu.FilterData" localSheetId="1" hidden="1">ORÇAMENTO!$A$1:$F$287</definedName>
    <definedName name="Z_257A482E_63F9_4FFC_8DAA_FF97D126A7CB_.wvu.FilterData" localSheetId="6" hidden="1">'ANEXO I - MEM. CÁLC'!$A$5:$AM$5</definedName>
    <definedName name="Z_257A482E_63F9_4FFC_8DAA_FF97D126A7CB_.wvu.FilterData" localSheetId="1" hidden="1">ORÇAMENTO!$A$1:$F$287</definedName>
    <definedName name="Z_2685F237_9982_4348_A07B_A5F34A0097B1_.wvu.FilterData" localSheetId="1" hidden="1">ORÇAMENTO!$A$1:$F$287</definedName>
    <definedName name="Z_26A6DDA1_DFFE_44A8_8B35_13FFDF98B2F2_.wvu.FilterData" localSheetId="6" hidden="1">'ANEXO I - MEM. CÁLC'!$A$5:$AM$5</definedName>
    <definedName name="Z_26F66198_9F41_4EDA_A293_1CE91567D0D4_.wvu.FilterData" localSheetId="6" hidden="1">'ANEXO I - MEM. CÁLC'!$A$5:$AM$5</definedName>
    <definedName name="Z_26F66198_9F41_4EDA_A293_1CE91567D0D4_.wvu.FilterData" localSheetId="1" hidden="1">ORÇAMENTO!$A$1:$F$287</definedName>
    <definedName name="Z_27672E59_49BC_4280_8370_C94D339AE2F4_.wvu.FilterData" localSheetId="1" hidden="1">ORÇAMENTO!$A$1:$F$287</definedName>
    <definedName name="Z_2799A083_3A96_46B3_B34F_D34A71FF787F_.wvu.FilterData" localSheetId="6" hidden="1">'ANEXO I - MEM. CÁLC'!$A$5:$AM$5</definedName>
    <definedName name="Z_2799A083_3A96_46B3_B34F_D34A71FF787F_.wvu.FilterData" localSheetId="1" hidden="1">ORÇAMENTO!$A$1:$F$287</definedName>
    <definedName name="Z_284C5EE5_DE6F_42AE_94BF_DE154EEAEAAB_.wvu.FilterData" localSheetId="6" hidden="1">'ANEXO I - MEM. CÁLC'!$A$5:$S$320</definedName>
    <definedName name="Z_284C5EE5_DE6F_42AE_94BF_DE154EEAEAAB_.wvu.FilterData" localSheetId="1" hidden="1">ORÇAMENTO!$A$1:$F$287</definedName>
    <definedName name="Z_284C5EE5_DE6F_42AE_94BF_DE154EEAEAAB_.wvu.PrintArea" localSheetId="6" hidden="1">'ANEXO I - MEM. CÁLC'!$A$1:$O$5</definedName>
    <definedName name="Z_284C5EE5_DE6F_42AE_94BF_DE154EEAEAAB_.wvu.PrintArea" localSheetId="1" hidden="1">ORÇAMENTO!$A$1:$F$287</definedName>
    <definedName name="Z_284C5EE5_DE6F_42AE_94BF_DE154EEAEAAB_.wvu.PrintTitles" localSheetId="6" hidden="1">'ANEXO I - MEM. CÁLC'!$1:$5</definedName>
    <definedName name="Z_284C5EE5_DE6F_42AE_94BF_DE154EEAEAAB_.wvu.PrintTitles" localSheetId="1" hidden="1">ORÇAMENTO!#REF!</definedName>
    <definedName name="Z_2883857D_1998_4F81_A373_5A5992DBFE34_.wvu.FilterData" localSheetId="1" hidden="1">ORÇAMENTO!$A$1:$F$287</definedName>
    <definedName name="Z_28DD2531_8831_46CD_AF0B_8E018E4854CC_.wvu.FilterData" localSheetId="1" hidden="1">ORÇAMENTO!$A$1:$F$287</definedName>
    <definedName name="Z_2A157E2C_18D0_412E_B198_D4477F28A5DA_.wvu.FilterData" localSheetId="6" hidden="1">'ANEXO I - MEM. CÁLC'!$A$5:$AM$5</definedName>
    <definedName name="Z_2A157E2C_18D0_412E_B198_D4477F28A5DA_.wvu.FilterData" localSheetId="1" hidden="1">ORÇAMENTO!$A$1:$F$287</definedName>
    <definedName name="Z_2A481738_6975_432E_8B77_3C1E63336286_.wvu.FilterData" localSheetId="6" hidden="1">'ANEXO I - MEM. CÁLC'!$A$5:$AM$5</definedName>
    <definedName name="Z_2A481738_6975_432E_8B77_3C1E63336286_.wvu.FilterData" localSheetId="1" hidden="1">ORÇAMENTO!$A$1:$F$287</definedName>
    <definedName name="Z_2ADA5190_E859_4D6E_9378_F9314B74C67F_.wvu.FilterData" localSheetId="6" hidden="1">'ANEXO I - MEM. CÁLC'!$A$319:$O$1208</definedName>
    <definedName name="Z_2ADA5190_E859_4D6E_9378_F9314B74C67F_.wvu.FilterData" localSheetId="1" hidden="1">ORÇAMENTO!$A$1:$F$287</definedName>
    <definedName name="Z_2B05B12F_E00E_454D_B3DE_0823CCD56653_.wvu.FilterData" localSheetId="1" hidden="1">ORÇAMENTO!$A$1:$F$287</definedName>
    <definedName name="Z_2BB6C3F7_4371_4A06_B348_205C21509416_.wvu.FilterData" localSheetId="6" hidden="1">'ANEXO I - MEM. CÁLC'!$A$319:$O$1208</definedName>
    <definedName name="Z_2CCF7016_9CFB_487F_8FF1_55FD91ED4101_.wvu.FilterData" localSheetId="6" hidden="1">'ANEXO I - MEM. CÁLC'!$A$5:$AM$5</definedName>
    <definedName name="Z_2CCF7016_9CFB_487F_8FF1_55FD91ED4101_.wvu.FilterData" localSheetId="1" hidden="1">ORÇAMENTO!$A$1:$F$287</definedName>
    <definedName name="Z_2D6EA5AD_E842_4926_BAE8_3C9A0425CC15_.wvu.FilterData" localSheetId="1" hidden="1">ORÇAMENTO!$A$1:$F$287</definedName>
    <definedName name="Z_2DA3B0E4_CCCC_46F7_808C_F3516AD32A3D_.wvu.FilterData" localSheetId="1" hidden="1">ORÇAMENTO!$A$1:$F$287</definedName>
    <definedName name="Z_2E365E95_FD2A_41AD_A6A1_7CD58504191B_.wvu.FilterData" localSheetId="6" hidden="1">'ANEXO I - MEM. CÁLC'!$A$5:$S$1208</definedName>
    <definedName name="Z_2E365E95_FD2A_41AD_A6A1_7CD58504191B_.wvu.FilterData" localSheetId="1" hidden="1">ORÇAMENTO!$A$1:$F$287</definedName>
    <definedName name="Z_2E365E95_FD2A_41AD_A6A1_7CD58504191B_.wvu.PrintArea" localSheetId="6" hidden="1">'ANEXO I - MEM. CÁLC'!$A$1:$O$5</definedName>
    <definedName name="Z_2E365E95_FD2A_41AD_A6A1_7CD58504191B_.wvu.PrintArea" localSheetId="1" hidden="1">ORÇAMENTO!$A$1:$F$287</definedName>
    <definedName name="Z_2E365E95_FD2A_41AD_A6A1_7CD58504191B_.wvu.PrintTitles" localSheetId="6" hidden="1">'ANEXO I - MEM. CÁLC'!$1:$5</definedName>
    <definedName name="Z_2E365E95_FD2A_41AD_A6A1_7CD58504191B_.wvu.PrintTitles" localSheetId="1" hidden="1">ORÇAMENTO!#REF!</definedName>
    <definedName name="Z_2E514D36_B989_446E_A0DE_8B2576DEE6B2_.wvu.FilterData" localSheetId="1" hidden="1">ORÇAMENTO!#REF!</definedName>
    <definedName name="Z_2E514D36_B989_446E_A0DE_8B2576DEE6B2_.wvu.PrintArea" localSheetId="1" hidden="1">ORÇAMENTO!#REF!</definedName>
    <definedName name="Z_2E514D36_B989_446E_A0DE_8B2576DEE6B2_.wvu.PrintTitles" localSheetId="1" hidden="1">ORÇAMENTO!#REF!</definedName>
    <definedName name="Z_2ED6A5C0_E7AF_456D_A89E_D57193CE6A2D_.wvu.FilterData" localSheetId="6" hidden="1">'ANEXO I - MEM. CÁLC'!$A$5:$S$5</definedName>
    <definedName name="Z_2ED6A5C0_E7AF_456D_A89E_D57193CE6A2D_.wvu.FilterData" localSheetId="1" hidden="1">ORÇAMENTO!$A$1:$F$287</definedName>
    <definedName name="Z_2F75BE83_2AB4_4475_BDA7_1EF1BC69B0DF_.wvu.FilterData" localSheetId="6" hidden="1">'ANEXO I - MEM. CÁLC'!$A$5:$AM$5</definedName>
    <definedName name="Z_2F75BE83_2AB4_4475_BDA7_1EF1BC69B0DF_.wvu.FilterData" localSheetId="1" hidden="1">ORÇAMENTO!$A$1:$F$287</definedName>
    <definedName name="Z_2F8F7210_7597_45E2_BDAA_B24E27E620FB_.wvu.FilterData" localSheetId="6" hidden="1">'ANEXO I - MEM. CÁLC'!$A$5:$AM$5</definedName>
    <definedName name="Z_2F8F7210_7597_45E2_BDAA_B24E27E620FB_.wvu.FilterData" localSheetId="1" hidden="1">ORÇAMENTO!$A$1:$F$287</definedName>
    <definedName name="Z_2FF7BCE5_C098_4784_B09F_DD5F1BB0B62B_.wvu.FilterData" localSheetId="6" hidden="1">'ANEXO I - MEM. CÁLC'!$A$5:$AM$5</definedName>
    <definedName name="Z_306288CF_B87A_42A6_AB47_423C01E55833_.wvu.FilterData" localSheetId="1" hidden="1">ORÇAMENTO!$A$260:$F$287</definedName>
    <definedName name="Z_3062B931_56F5_4A12_9D92_BB27669949EA_.wvu.FilterData" localSheetId="6" hidden="1">'ANEXO I - MEM. CÁLC'!$A$5:$AM$5</definedName>
    <definedName name="Z_3062B931_56F5_4A12_9D92_BB27669949EA_.wvu.FilterData" localSheetId="1" hidden="1">ORÇAMENTO!$A$1:$F$287</definedName>
    <definedName name="Z_30EF5908_559B_42EC_866A_9C2288016737_.wvu.FilterData" localSheetId="1" hidden="1">ORÇAMENTO!$A$1:$F$287</definedName>
    <definedName name="Z_31D50896_DBE2_4B3D_9A43_022A1EE77C3A_.wvu.FilterData" localSheetId="1" hidden="1">ORÇAMENTO!$A$260:$F$287</definedName>
    <definedName name="Z_3397623A_002A_4186_9122_ED51AA68FAA3_.wvu.FilterData" localSheetId="6" hidden="1">'ANEXO I - MEM. CÁLC'!$A$5:$AM$5</definedName>
    <definedName name="Z_34E045B2_A52B_4EEE_ABD1_7BD7F59106A9_.wvu.FilterData" localSheetId="6" hidden="1">'ANEXO I - MEM. CÁLC'!$A$5:$AM$5</definedName>
    <definedName name="Z_34E61F94_5A1D_4F14_8D44_877ED9F090E8_.wvu.FilterData" localSheetId="6" hidden="1">'ANEXO I - MEM. CÁLC'!$A$5:$AM$5</definedName>
    <definedName name="Z_34E61F94_5A1D_4F14_8D44_877ED9F090E8_.wvu.FilterData" localSheetId="1" hidden="1">ORÇAMENTO!$A$1:$F$287</definedName>
    <definedName name="Z_351BD602_DE22_4A71_8FCC_803E20D497A4_.wvu.FilterData" localSheetId="6" hidden="1">'ANEXO I - MEM. CÁLC'!$A$5:$AM$5</definedName>
    <definedName name="Z_3528442B_C244_4912_84C3_AC67C8904D5F_.wvu.FilterData" localSheetId="1" hidden="1">ORÇAMENTO!#REF!</definedName>
    <definedName name="Z_354F1612_9833_4FD3_8A5B_97AFDDF57F82_.wvu.FilterData" localSheetId="6" hidden="1">'ANEXO I - MEM. CÁLC'!$A$5:$AM$5</definedName>
    <definedName name="Z_354F1612_9833_4FD3_8A5B_97AFDDF57F82_.wvu.FilterData" localSheetId="1" hidden="1">ORÇAMENTO!$A$1:$F$287</definedName>
    <definedName name="Z_36545A5E_EEDD_48BE_AE99_5795907C7C11_.wvu.FilterData" localSheetId="1" hidden="1">ORÇAMENTO!$A$1:$F$287</definedName>
    <definedName name="Z_375A5F89_9B91_44C1_BC9D_765BDF89CBD4_.wvu.FilterData" localSheetId="6" hidden="1">'ANEXO I - MEM. CÁLC'!$A$5:$AM$5</definedName>
    <definedName name="Z_375A5F89_9B91_44C1_BC9D_765BDF89CBD4_.wvu.FilterData" localSheetId="1" hidden="1">ORÇAMENTO!$A$1:$F$287</definedName>
    <definedName name="Z_37A174C2_CD2E_417B_9C24_B319775E5FEF_.wvu.FilterData" localSheetId="6" hidden="1">'ANEXO I - MEM. CÁLC'!$A$5:$AM$5</definedName>
    <definedName name="Z_37A2E806_37AD_4E41_890B_FD48B16B252F_.wvu.FilterData" localSheetId="1" hidden="1">ORÇAMENTO!#REF!</definedName>
    <definedName name="Z_382F059D_C753_40F4_974A_05FB5AD33C7D_.wvu.FilterData" localSheetId="1" hidden="1">ORÇAMENTO!#REF!</definedName>
    <definedName name="Z_382F059D_C753_40F4_974A_05FB5AD33C7D_.wvu.PrintTitles" localSheetId="1" hidden="1">ORÇAMENTO!#REF!</definedName>
    <definedName name="Z_39F763DE_B297_4CEE_A864_70C00E0C5240_.wvu.FilterData" localSheetId="6" hidden="1">'ANEXO I - MEM. CÁLC'!$A$5:$AM$5</definedName>
    <definedName name="Z_3B22DDE2_FD59_408F_B51D_DD51D80CC291_.wvu.FilterData" localSheetId="6" hidden="1">'ANEXO I - MEM. CÁLC'!$A$5:$AM$5</definedName>
    <definedName name="Z_3B22DDE2_FD59_408F_B51D_DD51D80CC291_.wvu.FilterData" localSheetId="1" hidden="1">ORÇAMENTO!$A$1:$F$287</definedName>
    <definedName name="Z_3D1530BC_FA06_4F79_A4FA_F5317438C47A_.wvu.FilterData" localSheetId="1" hidden="1">ORÇAMENTO!$A$1:$F$287</definedName>
    <definedName name="Z_3D358DCD_8EC7_4DDA_9389_B0688899A008_.wvu.FilterData" localSheetId="1" hidden="1">ORÇAMENTO!$A$1:$F$287</definedName>
    <definedName name="Z_3EA556F9_35C2_4CFE_BEC2_41A0B13FD57A_.wvu.FilterData" localSheetId="1" hidden="1">ORÇAMENTO!$A$1:$F$287</definedName>
    <definedName name="Z_3EC77718_45F8_4A3C_BA40_9D7C5E69231F_.wvu.FilterData" localSheetId="1" hidden="1">ORÇAMENTO!$A$1:$F$287</definedName>
    <definedName name="Z_3EFC18B0_CF35_4639_BC20_FA4BDA0AB88E_.wvu.FilterData" localSheetId="6" hidden="1">'ANEXO I - MEM. CÁLC'!$A$319:$O$1208</definedName>
    <definedName name="Z_3EFC18B0_CF35_4639_BC20_FA4BDA0AB88E_.wvu.FilterData" localSheetId="1" hidden="1">ORÇAMENTO!$A$260:$F$287</definedName>
    <definedName name="Z_3EFC18B0_CF35_4639_BC20_FA4BDA0AB88E_.wvu.PrintArea" localSheetId="6" hidden="1">'ANEXO I - MEM. CÁLC'!$A$1:$O$1208</definedName>
    <definedName name="Z_3EFC18B0_CF35_4639_BC20_FA4BDA0AB88E_.wvu.PrintArea" localSheetId="1" hidden="1">ORÇAMENTO!$A$1:$F$287</definedName>
    <definedName name="Z_3EFC18B0_CF35_4639_BC20_FA4BDA0AB88E_.wvu.PrintTitles" localSheetId="6" hidden="1">'ANEXO I - MEM. CÁLC'!$1:$5</definedName>
    <definedName name="Z_3EFC18B0_CF35_4639_BC20_FA4BDA0AB88E_.wvu.PrintTitles" localSheetId="1" hidden="1">ORÇAMENTO!#REF!</definedName>
    <definedName name="Z_418BF6D8_05BA_4781_9FCD_4CD0ADC0BB0B_.wvu.FilterData" localSheetId="6" hidden="1">'ANEXO I - MEM. CÁLC'!$A$5:$AM$5</definedName>
    <definedName name="Z_418BF6D8_05BA_4781_9FCD_4CD0ADC0BB0B_.wvu.FilterData" localSheetId="1" hidden="1">ORÇAMENTO!$A$1:$F$287</definedName>
    <definedName name="Z_426FD713_75F2_4E51_9E72_263765551331_.wvu.FilterData" localSheetId="6" hidden="1">'ANEXO I - MEM. CÁLC'!$A$5:$AM$5</definedName>
    <definedName name="Z_426FD713_75F2_4E51_9E72_263765551331_.wvu.FilterData" localSheetId="1" hidden="1">ORÇAMENTO!$A$1:$F$287</definedName>
    <definedName name="Z_42B082D2_9A73_4A0B_9094_7ED47902BA3E_.wvu.FilterData" localSheetId="6" hidden="1">'ANEXO I - MEM. CÁLC'!$A$5:$AM$5</definedName>
    <definedName name="Z_42C63780_2B64_49F3_A0EE_7AA22BC063A5_.wvu.FilterData" localSheetId="6" hidden="1">'ANEXO I - MEM. CÁLC'!$A$5:$AM$5</definedName>
    <definedName name="Z_42C63780_2B64_49F3_A0EE_7AA22BC063A5_.wvu.FilterData" localSheetId="1" hidden="1">ORÇAMENTO!$A$1:$F$287</definedName>
    <definedName name="Z_439CB025_8515_492D_B751_7E021D6A0B90_.wvu.FilterData" localSheetId="6" hidden="1">'ANEXO I - MEM. CÁLC'!$A$5:$AM$5</definedName>
    <definedName name="Z_439CB025_8515_492D_B751_7E021D6A0B90_.wvu.FilterData" localSheetId="1" hidden="1">ORÇAMENTO!$A$1:$F$287</definedName>
    <definedName name="Z_440082B8_B8E1_4698_8CA9_BBFF46A3BD91_.wvu.FilterData" localSheetId="6" hidden="1">'ANEXO I - MEM. CÁLC'!$A$5:$AM$5</definedName>
    <definedName name="Z_440082B8_B8E1_4698_8CA9_BBFF46A3BD91_.wvu.FilterData" localSheetId="1" hidden="1">ORÇAMENTO!$A$1:$F$287</definedName>
    <definedName name="Z_44A2B512_17E8_47EE_92C4_5EC585330921_.wvu.FilterData" localSheetId="1" hidden="1">ORÇAMENTO!$A$1:$F$287</definedName>
    <definedName name="Z_4555A581_9CF7_4F53_8EEF_28933F90F442_.wvu.FilterData" localSheetId="1" hidden="1">ORÇAMENTO!#REF!</definedName>
    <definedName name="Z_4856D6D5_5B66_4D2E_A667_06037CB787A4_.wvu.FilterData" localSheetId="6" hidden="1">'ANEXO I - MEM. CÁLC'!$A$5:$AM$5</definedName>
    <definedName name="Z_4856D6D5_5B66_4D2E_A667_06037CB787A4_.wvu.FilterData" localSheetId="1" hidden="1">ORÇAMENTO!$A$1:$F$287</definedName>
    <definedName name="Z_48F93F67_3491_40B9_953F_DDDFD035B25D_.wvu.FilterData" localSheetId="6" hidden="1">'ANEXO I - MEM. CÁLC'!$A$5:$AM$5</definedName>
    <definedName name="Z_48F93F67_3491_40B9_953F_DDDFD035B25D_.wvu.FilterData" localSheetId="1" hidden="1">ORÇAMENTO!$A$1:$F$287</definedName>
    <definedName name="Z_49E6BC8E_A2F6_4D91_8B72_A984F0C4285F_.wvu.FilterData" localSheetId="6" hidden="1">'ANEXO I - MEM. CÁLC'!$A$5:$AM$5</definedName>
    <definedName name="Z_4A64000D_624E_4EBA_94AA_8E901D8DA9B7_.wvu.FilterData" localSheetId="6" hidden="1">'ANEXO I - MEM. CÁLC'!$A$5:$AM$5</definedName>
    <definedName name="Z_4A64000D_624E_4EBA_94AA_8E901D8DA9B7_.wvu.FilterData" localSheetId="1" hidden="1">ORÇAMENTO!$A$1:$F$287</definedName>
    <definedName name="Z_4AC96E9A_89AC_4B0E_A526_375A81DF2C22_.wvu.FilterData" localSheetId="6" hidden="1">'ANEXO I - MEM. CÁLC'!$A$5:$S$320</definedName>
    <definedName name="Z_4AC96E9A_89AC_4B0E_A526_375A81DF2C22_.wvu.FilterData" localSheetId="1" hidden="1">ORÇAMENTO!$A$1:$F$287</definedName>
    <definedName name="Z_4AEA0C1A_DA07_47E5_96BD_BE0C44F48B0D_.wvu.FilterData" localSheetId="6" hidden="1">'ANEXO I - MEM. CÁLC'!$A$5:$AM$5</definedName>
    <definedName name="Z_4B364C92_3FC4_4F79_A740_105A89C1B08A_.wvu.FilterData" localSheetId="6" hidden="1">'ANEXO I - MEM. CÁLC'!$A$5:$AM$5</definedName>
    <definedName name="Z_4B364C92_3FC4_4F79_A740_105A89C1B08A_.wvu.FilterData" localSheetId="1" hidden="1">ORÇAMENTO!$A$1:$F$287</definedName>
    <definedName name="Z_4B90659F_0B35_4849_93EA_16BB8169F5AD_.wvu.FilterData" localSheetId="6" hidden="1">'ANEXO I - MEM. CÁLC'!$A$319:$O$1208</definedName>
    <definedName name="Z_4B90659F_0B35_4849_93EA_16BB8169F5AD_.wvu.FilterData" localSheetId="1" hidden="1">ORÇAMENTO!$A$260:$F$287</definedName>
    <definedName name="Z_4BF571FF_2E02_40EA_AEF9_7CB2510B665C_.wvu.FilterData" localSheetId="6" hidden="1">'ANEXO I - MEM. CÁLC'!$A$5:$AM$5</definedName>
    <definedName name="Z_4BF571FF_2E02_40EA_AEF9_7CB2510B665C_.wvu.FilterData" localSheetId="1" hidden="1">ORÇAMENTO!$A$1:$F$287</definedName>
    <definedName name="Z_4C6166F9_A7A6_4BAB_85DD_45F79954BA51_.wvu.FilterData" localSheetId="6" hidden="1">'ANEXO I - MEM. CÁLC'!$A$5:$AM$5</definedName>
    <definedName name="Z_4D0A32A5_BAC1_4F92_80C7_C7F436E726B9_.wvu.FilterData" localSheetId="6" hidden="1">'ANEXO I - MEM. CÁLC'!$A$5:$AM$5</definedName>
    <definedName name="Z_4DE54841_4FE5_413D_83F4_62BF5F65EC83_.wvu.FilterData" localSheetId="6" hidden="1">'ANEXO I - MEM. CÁLC'!$A$5:$S$1208</definedName>
    <definedName name="Z_4DE54841_4FE5_413D_83F4_62BF5F65EC83_.wvu.FilterData" localSheetId="1" hidden="1">ORÇAMENTO!$A$1:$F$287</definedName>
    <definedName name="Z_4EF95376_5CFF_4A37_9CB6_9423C21328E2_.wvu.FilterData" localSheetId="6" hidden="1">'ANEXO I - MEM. CÁLC'!$A$5:$AM$5</definedName>
    <definedName name="Z_4EF95376_5CFF_4A37_9CB6_9423C21328E2_.wvu.FilterData" localSheetId="1" hidden="1">ORÇAMENTO!$A$1:$F$287</definedName>
    <definedName name="Z_4F612F88_7FDC_4CE2_8CDA_45664190843F_.wvu.FilterData" localSheetId="6" hidden="1">'ANEXO I - MEM. CÁLC'!$A$5:$AM$5</definedName>
    <definedName name="Z_521EEEC2_E006_44C8_AEF7_97EFD9279822_.wvu.FilterData" localSheetId="6" hidden="1">'ANEXO I - MEM. CÁLC'!$A$5:$AM$5</definedName>
    <definedName name="Z_5221E923_AC04_46EB_9031_6A964E3E6BBE_.wvu.FilterData" localSheetId="6" hidden="1">'ANEXO I - MEM. CÁLC'!$A$319:$O$1208</definedName>
    <definedName name="Z_5247FD20_B4FF_414A_A6E8_D0FA375B2F98_.wvu.FilterData" localSheetId="6" hidden="1">'ANEXO I - MEM. CÁLC'!$A$5:$AM$5</definedName>
    <definedName name="Z_5247FD20_B4FF_414A_A6E8_D0FA375B2F98_.wvu.FilterData" localSheetId="1" hidden="1">ORÇAMENTO!$A$1:$F$287</definedName>
    <definedName name="Z_529F8022_6B82_4596_B703_133439CF46B6_.wvu.FilterData" localSheetId="6" hidden="1">'ANEXO I - MEM. CÁLC'!$A$5:$S$5</definedName>
    <definedName name="Z_52A73010_922B_428D_81CA_BA7608D3B634_.wvu.FilterData" localSheetId="1" hidden="1">ORÇAMENTO!$A$1:$F$287</definedName>
    <definedName name="Z_52BB06E7_5651_4406_8768_5DAFF63BC170_.wvu.FilterData" localSheetId="6" hidden="1">'ANEXO I - MEM. CÁLC'!$A$319:$O$1208</definedName>
    <definedName name="Z_52BB06E7_5651_4406_8768_5DAFF63BC170_.wvu.FilterData" localSheetId="1" hidden="1">ORÇAMENTO!$A$260:$F$287</definedName>
    <definedName name="Z_53495435_676A_4A2D_8913_E55724AF9845_.wvu.FilterData" localSheetId="6" hidden="1">'ANEXO I - MEM. CÁLC'!$A$5:$AM$5</definedName>
    <definedName name="Z_53495435_676A_4A2D_8913_E55724AF9845_.wvu.FilterData" localSheetId="1" hidden="1">ORÇAMENTO!$A$1:$F$287</definedName>
    <definedName name="Z_534F4DC6_012A_4737_91FD_F03F77CFEDE0_.wvu.FilterData" localSheetId="6" hidden="1">'ANEXO I - MEM. CÁLC'!$A$5:$AM$5</definedName>
    <definedName name="Z_53A1A538_D032_47E5_AB77_C0564F29057E_.wvu.FilterData" localSheetId="6" hidden="1">'ANEXO I - MEM. CÁLC'!$A$5:$AM$5</definedName>
    <definedName name="Z_53A1A538_D032_47E5_AB77_C0564F29057E_.wvu.FilterData" localSheetId="1" hidden="1">ORÇAMENTO!$A$1:$F$287</definedName>
    <definedName name="Z_53B2165E_3557_48CE_9FB9_88770F0A5382_.wvu.FilterData" localSheetId="6" hidden="1">'ANEXO I - MEM. CÁLC'!$A$5:$AM$5</definedName>
    <definedName name="Z_540BCFEB_1C50_4289_ACBC_2164BFF4777A_.wvu.FilterData" localSheetId="6" hidden="1">'ANEXO I - MEM. CÁLC'!$A$5:$AM$5</definedName>
    <definedName name="Z_54334851_9FE8_4216_85CC_2E04A9DEF842_.wvu.FilterData" localSheetId="6" hidden="1">'ANEXO I - MEM. CÁLC'!$A$319:$O$1208</definedName>
    <definedName name="Z_54334851_9FE8_4216_85CC_2E04A9DEF842_.wvu.FilterData" localSheetId="1" hidden="1">ORÇAMENTO!$A$260:$F$287</definedName>
    <definedName name="Z_56BCF7DB_1A72_4400_B305_7D919CB7E731_.wvu.FilterData" localSheetId="6" hidden="1">'ANEXO I - MEM. CÁLC'!$A$5:$AM$5</definedName>
    <definedName name="Z_56BCF7DB_1A72_4400_B305_7D919CB7E731_.wvu.FilterData" localSheetId="1" hidden="1">ORÇAMENTO!$A$1:$F$287</definedName>
    <definedName name="Z_56E49A0C_95B9_4936_90D3_502D7188737B_.wvu.FilterData" localSheetId="6" hidden="1">'ANEXO I - MEM. CÁLC'!$A$5:$AM$5</definedName>
    <definedName name="Z_56E49A0C_95B9_4936_90D3_502D7188737B_.wvu.FilterData" localSheetId="1" hidden="1">ORÇAMENTO!$A$1:$F$287</definedName>
    <definedName name="Z_578A47FE_A91D_41CE_A042_96B50360A53F_.wvu.FilterData" localSheetId="6" hidden="1">'ANEXO I - MEM. CÁLC'!$A$5:$AM$5</definedName>
    <definedName name="Z_578A47FE_A91D_41CE_A042_96B50360A53F_.wvu.FilterData" localSheetId="1" hidden="1">ORÇAMENTO!$A$1:$F$287</definedName>
    <definedName name="Z_582A6AE2_68D5_4889_9AE0_E93426C6368A_.wvu.FilterData" localSheetId="1" hidden="1">ORÇAMENTO!$A$1:$F$287</definedName>
    <definedName name="Z_596134EB_8CD3_48F4_8963_591BD3B2CC89_.wvu.FilterData" localSheetId="1" hidden="1">ORÇAMENTO!$A$1:$F$287</definedName>
    <definedName name="Z_59ABE359_0AEF_4341_8EAC_6DA0D251B9FA_.wvu.FilterData" localSheetId="6" hidden="1">'ANEXO I - MEM. CÁLC'!$A$5:$AM$5</definedName>
    <definedName name="Z_59ABE359_0AEF_4341_8EAC_6DA0D251B9FA_.wvu.FilterData" localSheetId="1" hidden="1">ORÇAMENTO!$A$1:$F$287</definedName>
    <definedName name="Z_59D21AE4_6F97_48A5_94A5_D6FC5B4F0C69_.wvu.FilterData" localSheetId="6" hidden="1">'ANEXO I - MEM. CÁLC'!$A$5:$AM$5</definedName>
    <definedName name="Z_59D21AE4_6F97_48A5_94A5_D6FC5B4F0C69_.wvu.FilterData" localSheetId="1" hidden="1">ORÇAMENTO!$A$1:$F$287</definedName>
    <definedName name="Z_5A3AE910_3410_490B_8F3C_2A97D1B45053_.wvu.FilterData" localSheetId="6" hidden="1">'ANEXO I - MEM. CÁLC'!$A$5:$AM$5</definedName>
    <definedName name="Z_5BEC0A22_3FCD_4E7E_8370_7F75A0E5AC4F_.wvu.FilterData" localSheetId="6" hidden="1">'ANEXO I - MEM. CÁLC'!$A$5:$AM$5</definedName>
    <definedName name="Z_5BEC0A22_3FCD_4E7E_8370_7F75A0E5AC4F_.wvu.FilterData" localSheetId="1" hidden="1">ORÇAMENTO!$A$1:$F$287</definedName>
    <definedName name="Z_5E46BB0C_42DE_4A59_8864_BDCED1322EF7_.wvu.FilterData" localSheetId="6" hidden="1">'ANEXO I - MEM. CÁLC'!$A$5:$AM$5</definedName>
    <definedName name="Z_5F3780AD_C9EC_4164_8747_E2D5D83D0866_.wvu.FilterData" localSheetId="6" hidden="1">'ANEXO I - MEM. CÁLC'!$A$5:$AM$5</definedName>
    <definedName name="Z_5F3780AD_C9EC_4164_8747_E2D5D83D0866_.wvu.FilterData" localSheetId="1" hidden="1">ORÇAMENTO!$A$1:$F$287</definedName>
    <definedName name="Z_6000AB56_277D_4A72_8669_6C51FEAB921A_.wvu.FilterData" localSheetId="6" hidden="1">'ANEXO I - MEM. CÁLC'!$A$5:$AM$5</definedName>
    <definedName name="Z_6051EF5C_FA8B_4F90_812E_CC7688477CF4_.wvu.FilterData" localSheetId="6" hidden="1">'ANEXO I - MEM. CÁLC'!$A$5:$AM$5</definedName>
    <definedName name="Z_6051EF5C_FA8B_4F90_812E_CC7688477CF4_.wvu.FilterData" localSheetId="1" hidden="1">ORÇAMENTO!$A$1:$F$287</definedName>
    <definedName name="Z_60556EE0_95BF_45C4_94CA_95F3508966D2_.wvu.FilterData" localSheetId="6" hidden="1">'ANEXO I - MEM. CÁLC'!$A$5:$AM$5</definedName>
    <definedName name="Z_60556EE0_95BF_45C4_94CA_95F3508966D2_.wvu.FilterData" localSheetId="1" hidden="1">ORÇAMENTO!$A$1:$F$287</definedName>
    <definedName name="Z_6234D95C_8E6D_42DD_B99F_63AE9FF5EAE2_.wvu.FilterData" localSheetId="6" hidden="1">'ANEXO I - MEM. CÁLC'!$A$5:$AM$5</definedName>
    <definedName name="Z_6234D95C_8E6D_42DD_B99F_63AE9FF5EAE2_.wvu.FilterData" localSheetId="1" hidden="1">ORÇAMENTO!$A$1:$F$287</definedName>
    <definedName name="Z_645C18EE_9728_4E88_B13E_126E63B4C5B6_.wvu.FilterData" localSheetId="1" hidden="1">ORÇAMENTO!$A$1:$F$287</definedName>
    <definedName name="Z_651075FF_F6C6_42A8_BDDB_3E77A54FED9E_.wvu.FilterData" localSheetId="6" hidden="1">'ANEXO I - MEM. CÁLC'!$A$5:$AM$5</definedName>
    <definedName name="Z_6521F1C6_0B7E_4732_9DCE_CD40036CA8CF_.wvu.FilterData" localSheetId="6" hidden="1">'ANEXO I - MEM. CÁLC'!$A$5:$AM$5</definedName>
    <definedName name="Z_6521F1C6_0B7E_4732_9DCE_CD40036CA8CF_.wvu.FilterData" localSheetId="1" hidden="1">ORÇAMENTO!$A$1:$F$287</definedName>
    <definedName name="Z_652F78C2_DBC0_46E2_A8B5_4E334E4A6EB6_.wvu.FilterData" localSheetId="1" hidden="1">ORÇAMENTO!$A$1:$F$287</definedName>
    <definedName name="Z_658A080A_7545_479B_930A_6A24589E9ADB_.wvu.FilterData" localSheetId="6" hidden="1">'ANEXO I - MEM. CÁLC'!$A$5:$AM$5</definedName>
    <definedName name="Z_6663F7DC_D4F3_478A_9012_6D460E7CB1A9_.wvu.FilterData" localSheetId="1" hidden="1">ORÇAMENTO!$A$1:$F$287</definedName>
    <definedName name="Z_66B8D0BA_7676_49B1_BEFD_7A5DF07B2C65_.wvu.FilterData" localSheetId="6" hidden="1">'ANEXO I - MEM. CÁLC'!$A$5:$AM$5</definedName>
    <definedName name="Z_66B8D0BA_7676_49B1_BEFD_7A5DF07B2C65_.wvu.FilterData" localSheetId="1" hidden="1">ORÇAMENTO!$A$1:$F$287</definedName>
    <definedName name="Z_66D7F860_1B75_4277_B676_188BF257A918_.wvu.FilterData" localSheetId="6" hidden="1">'ANEXO I - MEM. CÁLC'!$A$5:$AM$5</definedName>
    <definedName name="Z_66D7F860_1B75_4277_B676_188BF257A918_.wvu.FilterData" localSheetId="1" hidden="1">ORÇAMENTO!$A$1:$F$287</definedName>
    <definedName name="Z_685AF419_5D70_45C4_A823_937BEF49630F_.wvu.FilterData" localSheetId="6" hidden="1">'ANEXO I - MEM. CÁLC'!$A$5:$AM$5</definedName>
    <definedName name="Z_69D1D2EA_120F_4061_8E3D_66C7BDABD384_.wvu.FilterData" localSheetId="6" hidden="1">'ANEXO I - MEM. CÁLC'!$A$5:$AM$5</definedName>
    <definedName name="Z_6A56C3A4_B341_40FF_A38B_47F0A04F24AB_.wvu.FilterData" localSheetId="6" hidden="1">'ANEXO I - MEM. CÁLC'!$A$5:$AM$5</definedName>
    <definedName name="Z_6A7B2A48_C5A7_49EE_8494_805847F37E09_.wvu.FilterData" localSheetId="1" hidden="1">ORÇAMENTO!$A$1:$F$287</definedName>
    <definedName name="Z_6A82BAD4_930D_4FF6_B74A_05144A2FEBDF_.wvu.FilterData" localSheetId="6" hidden="1">'ANEXO I - MEM. CÁLC'!$A$5:$AM$5</definedName>
    <definedName name="Z_6A82BAD4_930D_4FF6_B74A_05144A2FEBDF_.wvu.FilterData" localSheetId="1" hidden="1">ORÇAMENTO!$A$1:$F$287</definedName>
    <definedName name="Z_6ABED79F_D65B_4E4F_A82B_3656EF2106C3_.wvu.FilterData" localSheetId="6" hidden="1">'ANEXO I - MEM. CÁLC'!$A$5:$S$320</definedName>
    <definedName name="Z_6AEBC6FF_9736_4DD6_A021_8DCE6767CE74_.wvu.FilterData" localSheetId="6" hidden="1">'ANEXO I - MEM. CÁLC'!$A$5:$S$1208</definedName>
    <definedName name="Z_6AEBC6FF_9736_4DD6_A021_8DCE6767CE74_.wvu.FilterData" localSheetId="1" hidden="1">ORÇAMENTO!$A$1:$F$287</definedName>
    <definedName name="Z_6B605BEC_2C76_4034_A7F0_5E60EBE5EF8D_.wvu.FilterData" localSheetId="6" hidden="1">'ANEXO I - MEM. CÁLC'!$A$5:$AM$5</definedName>
    <definedName name="Z_6B8FBFDA_B0CE_45BE_8703_589C8FA600B5_.wvu.FilterData" localSheetId="6" hidden="1">'ANEXO I - MEM. CÁLC'!$A$319:$O$1208</definedName>
    <definedName name="Z_6C39E3BB_783E_484B_AD0A_DC5720E8ED0A_.wvu.FilterData" localSheetId="6" hidden="1">'ANEXO I - MEM. CÁLC'!$A$5:$AM$5</definedName>
    <definedName name="Z_6C39E3BB_783E_484B_AD0A_DC5720E8ED0A_.wvu.FilterData" localSheetId="1" hidden="1">ORÇAMENTO!$A$1:$F$287</definedName>
    <definedName name="Z_6D862D81_E038_4928_B582_986C4E983404_.wvu.FilterData" localSheetId="6" hidden="1">'ANEXO I - MEM. CÁLC'!$A$319:$O$1208</definedName>
    <definedName name="Z_6E04D37E_70DA_4862_8CA7_0BA7AB34532C_.wvu.FilterData" localSheetId="1" hidden="1">ORÇAMENTO!$A$260:$F$287</definedName>
    <definedName name="Z_6ECB84E1_4C7A_4999_9275_C602776E8594_.wvu.FilterData" localSheetId="6" hidden="1">'ANEXO I - MEM. CÁLC'!$A$5:$AM$5</definedName>
    <definedName name="Z_6ECB84E1_4C7A_4999_9275_C602776E8594_.wvu.FilterData" localSheetId="1" hidden="1">ORÇAMENTO!$A$1:$F$287</definedName>
    <definedName name="Z_6ED8445F_4A46_43EE_95A4_39D4F4C12A16_.wvu.FilterData" localSheetId="6" hidden="1">'ANEXO I - MEM. CÁLC'!$A$5:$AM$5</definedName>
    <definedName name="Z_6ED8445F_4A46_43EE_95A4_39D4F4C12A16_.wvu.FilterData" localSheetId="1" hidden="1">ORÇAMENTO!$A$1:$F$287</definedName>
    <definedName name="Z_6FC4C1A1_3B7E_4EEA_9A77_41351F213D64_.wvu.FilterData" localSheetId="6" hidden="1">'ANEXO I - MEM. CÁLC'!$A$319:$O$1208</definedName>
    <definedName name="Z_6FC4C1A1_3B7E_4EEA_9A77_41351F213D64_.wvu.FilterData" localSheetId="1" hidden="1">ORÇAMENTO!$A$260:$F$287</definedName>
    <definedName name="Z_6FE726CC_2F53_4F10_9C52_123ECE60C964_.wvu.FilterData" localSheetId="6" hidden="1">'ANEXO I - MEM. CÁLC'!$A$5:$AM$5</definedName>
    <definedName name="Z_701F863D_3FC6_41DC_88E5_D348CAAB0905_.wvu.FilterData" localSheetId="1" hidden="1">ORÇAMENTO!$A$1:$F$287</definedName>
    <definedName name="Z_70662ABC_DC8D_442E_8474_246CF77D866C_.wvu.FilterData" localSheetId="6" hidden="1">'ANEXO I - MEM. CÁLC'!$A$5:$AM$5</definedName>
    <definedName name="Z_70662ABC_DC8D_442E_8474_246CF77D866C_.wvu.FilterData" localSheetId="1" hidden="1">ORÇAMENTO!$A$1:$F$287</definedName>
    <definedName name="Z_70680F55_00EB_4D36_A75C_541CEC0D9C26_.wvu.FilterData" localSheetId="6" hidden="1">'ANEXO I - MEM. CÁLC'!$A$5:$AM$5</definedName>
    <definedName name="Z_70680F55_00EB_4D36_A75C_541CEC0D9C26_.wvu.FilterData" localSheetId="1" hidden="1">ORÇAMENTO!$A$1:$F$287</definedName>
    <definedName name="Z_70CBF90B_7EC0_4A0B_860E_BF38DFE66153_.wvu.FilterData" localSheetId="6" hidden="1">'ANEXO I - MEM. CÁLC'!$A$5:$AM$5</definedName>
    <definedName name="Z_7158F6FA_4931_4FAA_A527_6C9413CE85A2_.wvu.FilterData" localSheetId="6" hidden="1">'ANEXO I - MEM. CÁLC'!$A$5:$AM$5</definedName>
    <definedName name="Z_74FC2CDA_F768_4ECB_93E6_B0C5ABA8DF90_.wvu.FilterData" localSheetId="6" hidden="1">'ANEXO I - MEM. CÁLC'!$A$5:$AM$5</definedName>
    <definedName name="Z_74FC2CDA_F768_4ECB_93E6_B0C5ABA8DF90_.wvu.FilterData" localSheetId="1" hidden="1">ORÇAMENTO!$A$1:$F$287</definedName>
    <definedName name="Z_756A2690_ADAE_4226_A7CB_356CC3B8EC37_.wvu.FilterData" localSheetId="1" hidden="1">ORÇAMENTO!$A$1:$F$287</definedName>
    <definedName name="Z_75D68ABA_2ACB_49A2_A955_C332C64044B3_.wvu.FilterData" localSheetId="1" hidden="1">ORÇAMENTO!$A$1:$F$287</definedName>
    <definedName name="Z_76245191_A419_4167_B0E4_D50B9E79BC40_.wvu.FilterData" localSheetId="6" hidden="1">'ANEXO I - MEM. CÁLC'!$A$319:$O$1208</definedName>
    <definedName name="Z_766ABD3F_029B_44CD_9D61_53B6EC8C9A5A_.wvu.FilterData" localSheetId="1" hidden="1">ORÇAMENTO!$A$1:$F$287</definedName>
    <definedName name="Z_76A9003A_8F4C_4740_9525_E9EBA08C53ED_.wvu.FilterData" localSheetId="1" hidden="1">ORÇAMENTO!$A$1:$F$287</definedName>
    <definedName name="Z_76FD42BC_E610_4962_BA97_68CF71B37CC8_.wvu.FilterData" localSheetId="6" hidden="1">'ANEXO I - MEM. CÁLC'!$A$5:$AM$5</definedName>
    <definedName name="Z_77611CE6_6997_4369_9C2A_8703B66345E8_.wvu.FilterData" localSheetId="6" hidden="1">'ANEXO I - MEM. CÁLC'!$A$5:$AM$5</definedName>
    <definedName name="Z_77611CE6_6997_4369_9C2A_8703B66345E8_.wvu.FilterData" localSheetId="1" hidden="1">ORÇAMENTO!$A$1:$F$287</definedName>
    <definedName name="Z_77E215A5_770D_45AF_8F87_97CD1385F33A_.wvu.FilterData" localSheetId="6" hidden="1">'ANEXO I - MEM. CÁLC'!$A$5:$AM$5</definedName>
    <definedName name="Z_77E215A5_770D_45AF_8F87_97CD1385F33A_.wvu.FilterData" localSheetId="1" hidden="1">ORÇAMENTO!$A$1:$F$287</definedName>
    <definedName name="Z_78E3D491_E5C6_4595_ADAC_6C69D5E1FD99_.wvu.FilterData" localSheetId="6" hidden="1">'ANEXO I - MEM. CÁLC'!$A$5:$AM$5</definedName>
    <definedName name="Z_793CF8A7_DDEA_436D_929E_2B9B4D7D3B39_.wvu.FilterData" localSheetId="6" hidden="1">'ANEXO I - MEM. CÁLC'!$A$5:$AM$5</definedName>
    <definedName name="Z_793CF8A7_DDEA_436D_929E_2B9B4D7D3B39_.wvu.FilterData" localSheetId="1" hidden="1">ORÇAMENTO!$A$1:$F$287</definedName>
    <definedName name="Z_79F998CF_CCA8_4595_BF29_A83351A86665_.wvu.FilterData" localSheetId="1" hidden="1">ORÇAMENTO!$A$1:$F$287</definedName>
    <definedName name="Z_7ABC8436_AD7D_41E7_A704_0C6378B866B6_.wvu.FilterData" localSheetId="1" hidden="1">ORÇAMENTO!$A$1:$F$287</definedName>
    <definedName name="Z_7B5340CC_F180_4377_99D9_04E2AD176672_.wvu.FilterData" localSheetId="1" hidden="1">ORÇAMENTO!$A$1:$F$287</definedName>
    <definedName name="Z_7CD85B3A_F046_4481_94A3_E1E10D1FF505_.wvu.FilterData" localSheetId="6" hidden="1">'ANEXO I - MEM. CÁLC'!$A$5:$AM$5</definedName>
    <definedName name="Z_7CD85B3A_F046_4481_94A3_E1E10D1FF505_.wvu.FilterData" localSheetId="1" hidden="1">ORÇAMENTO!$A$1:$F$287</definedName>
    <definedName name="Z_7F156224_065D_47D6_AA85_958B53A36432_.wvu.FilterData" localSheetId="6" hidden="1">'ANEXO I - MEM. CÁLC'!$A$5:$AM$5</definedName>
    <definedName name="Z_7F8F1FDB_20E6_400F_B5CD_C3C33E3CD144_.wvu.FilterData" localSheetId="6" hidden="1">'ANEXO I - MEM. CÁLC'!$A$5:$AM$5</definedName>
    <definedName name="Z_800758FF_9384_40A1_A389_D1A33C306381_.wvu.FilterData" localSheetId="6" hidden="1">'ANEXO I - MEM. CÁLC'!$A$5:$AM$5</definedName>
    <definedName name="Z_800758FF_9384_40A1_A389_D1A33C306381_.wvu.FilterData" localSheetId="1" hidden="1">ORÇAMENTO!$A$1:$F$287</definedName>
    <definedName name="Z_807F937B_DF5B_468D_81BB_544962687E9F_.wvu.FilterData" localSheetId="6" hidden="1">'ANEXO I - MEM. CÁLC'!$A$5:$AM$5</definedName>
    <definedName name="Z_807F937B_DF5B_468D_81BB_544962687E9F_.wvu.FilterData" localSheetId="1" hidden="1">ORÇAMENTO!$A$1:$F$287</definedName>
    <definedName name="Z_80A38915_1EB2_48A0_8057_4D8B76B830D9_.wvu.FilterData" localSheetId="6" hidden="1">'ANEXO I - MEM. CÁLC'!$A$5:$AM$5</definedName>
    <definedName name="Z_80A38915_1EB2_48A0_8057_4D8B76B830D9_.wvu.FilterData" localSheetId="1" hidden="1">ORÇAMENTO!$A$1:$F$287</definedName>
    <definedName name="Z_80A9C45D_B27F_4D6D_849A_64E3E6E491A6_.wvu.FilterData" localSheetId="1" hidden="1">ORÇAMENTO!#REF!</definedName>
    <definedName name="Z_80A9C45D_B27F_4D6D_849A_64E3E6E491A6_.wvu.PrintTitles" localSheetId="1" hidden="1">ORÇAMENTO!#REF!</definedName>
    <definedName name="Z_80A9C45D_B27F_4D6D_849A_64E3E6E491A6_.wvu.Rows" localSheetId="1" hidden="1">ORÇAMENTO!#REF!</definedName>
    <definedName name="Z_8112487E_73B5_4C44_85D0_95AE3868F1B8_.wvu.FilterData" localSheetId="1" hidden="1">ORÇAMENTO!#REF!</definedName>
    <definedName name="Z_814A3BF9_0347_43A7_81FB_248FF1330D9E_.wvu.FilterData" localSheetId="6" hidden="1">'ANEXO I - MEM. CÁLC'!$A$5:$AM$5</definedName>
    <definedName name="Z_814A3BF9_0347_43A7_81FB_248FF1330D9E_.wvu.FilterData" localSheetId="1" hidden="1">ORÇAMENTO!$A$1:$F$287</definedName>
    <definedName name="Z_81AF9FD5_C778_44FC_A0CF_993E654513B3_.wvu.FilterData" localSheetId="1" hidden="1">ORÇAMENTO!$A$1:$F$287</definedName>
    <definedName name="Z_82106468_FF32_498B_94C4_796CC2BCCE6F_.wvu.FilterData" localSheetId="6" hidden="1">'ANEXO I - MEM. CÁLC'!$A$5:$AM$5</definedName>
    <definedName name="Z_82106468_FF32_498B_94C4_796CC2BCCE6F_.wvu.FilterData" localSheetId="1" hidden="1">ORÇAMENTO!$A$1:$F$287</definedName>
    <definedName name="Z_8274FF48_A6DA_471D_9420_3FA41B751442_.wvu.FilterData" localSheetId="1" hidden="1">ORÇAMENTO!$A$1:$F$287</definedName>
    <definedName name="Z_82BA6171_4F97_44AA_B6A2_9CF92221F334_.wvu.FilterData" localSheetId="1" hidden="1">ORÇAMENTO!$A$1:$F$287</definedName>
    <definedName name="Z_82D65A56_FB87_48DB_8B6F_476677CE458C_.wvu.FilterData" localSheetId="6" hidden="1">'ANEXO I - MEM. CÁLC'!$A$5:$AM$5</definedName>
    <definedName name="Z_82D65A56_FB87_48DB_8B6F_476677CE458C_.wvu.FilterData" localSheetId="1" hidden="1">ORÇAMENTO!$A$1:$F$287</definedName>
    <definedName name="Z_82F2440A_CCCA_4323_AEBF_31282BFE9245_.wvu.FilterData" localSheetId="6" hidden="1">'ANEXO I - MEM. CÁLC'!$A$319:$O$1208</definedName>
    <definedName name="Z_82F2440A_CCCA_4323_AEBF_31282BFE9245_.wvu.FilterData" localSheetId="1" hidden="1">ORÇAMENTO!$A$1:$F$287</definedName>
    <definedName name="Z_830EEA6F_75CD_47E2_8A8E_B1671614D07A_.wvu.FilterData" localSheetId="6" hidden="1">'ANEXO I - MEM. CÁLC'!$A$5:$AM$5</definedName>
    <definedName name="Z_832D76EE_71A6_4DE2_A7F9_153AF8434478_.wvu.FilterData" localSheetId="6" hidden="1">'ANEXO I - MEM. CÁLC'!$A$5:$AM$5</definedName>
    <definedName name="Z_832D76EE_71A6_4DE2_A7F9_153AF8434478_.wvu.FilterData" localSheetId="1" hidden="1">ORÇAMENTO!$A$1:$F$287</definedName>
    <definedName name="Z_857A8895_A28B_4FDB_B9E1_CC6B42EB51EF_.wvu.FilterData" localSheetId="6" hidden="1">'ANEXO I - MEM. CÁLC'!$A$5:$AM$5</definedName>
    <definedName name="Z_857A8895_A28B_4FDB_B9E1_CC6B42EB51EF_.wvu.FilterData" localSheetId="1" hidden="1">ORÇAMENTO!$A$1:$F$287</definedName>
    <definedName name="Z_86829DC2_14BC_4B88_B94E_B8354A2310E0_.wvu.FilterData" localSheetId="6" hidden="1">'ANEXO I - MEM. CÁLC'!$A$5:$AM$5</definedName>
    <definedName name="Z_86AB401B_8204_4650_A1A8_7EE9688DD03B_.wvu.FilterData" localSheetId="6" hidden="1">'ANEXO I - MEM. CÁLC'!$A$5:$AM$5</definedName>
    <definedName name="Z_86AB401B_8204_4650_A1A8_7EE9688DD03B_.wvu.FilterData" localSheetId="1" hidden="1">ORÇAMENTO!$A$1:$F$287</definedName>
    <definedName name="Z_87557453_FFE2_4DE9_BDE0_AB1DA8B43FB3_.wvu.FilterData" localSheetId="6" hidden="1">'ANEXO I - MEM. CÁLC'!$A$5:$AM$5</definedName>
    <definedName name="Z_87557453_FFE2_4DE9_BDE0_AB1DA8B43FB3_.wvu.FilterData" localSheetId="1" hidden="1">ORÇAMENTO!$A$1:$F$287</definedName>
    <definedName name="Z_87557453_FFE2_4DE9_BDE0_AB1DA8B43FB3_.wvu.PrintArea" localSheetId="6" hidden="1">'ANEXO I - MEM. CÁLC'!$A$1:$O$5</definedName>
    <definedName name="Z_87557453_FFE2_4DE9_BDE0_AB1DA8B43FB3_.wvu.PrintArea" localSheetId="1" hidden="1">ORÇAMENTO!$A$1:$F$287</definedName>
    <definedName name="Z_87557453_FFE2_4DE9_BDE0_AB1DA8B43FB3_.wvu.PrintTitles" localSheetId="6" hidden="1">'ANEXO I - MEM. CÁLC'!$1:$5</definedName>
    <definedName name="Z_87557453_FFE2_4DE9_BDE0_AB1DA8B43FB3_.wvu.PrintTitles" localSheetId="1" hidden="1">ORÇAMENTO!#REF!</definedName>
    <definedName name="Z_88AF772F_44D2_4412_80D2_7DE9EAF17516_.wvu.FilterData" localSheetId="6" hidden="1">'ANEXO I - MEM. CÁLC'!$A$5:$AM$5</definedName>
    <definedName name="Z_88AF772F_44D2_4412_80D2_7DE9EAF17516_.wvu.FilterData" localSheetId="1" hidden="1">ORÇAMENTO!$A$1:$F$287</definedName>
    <definedName name="Z_88E4B92E_7299_4CC1_A0A7_327E8EC41169_.wvu.FilterData" localSheetId="6" hidden="1">'ANEXO I - MEM. CÁLC'!$A$5:$AM$5</definedName>
    <definedName name="Z_88E4B92E_7299_4CC1_A0A7_327E8EC41169_.wvu.FilterData" localSheetId="1" hidden="1">ORÇAMENTO!$A$1:$F$287</definedName>
    <definedName name="Z_88EED1C3_034D_4BCA_A320_22EE2F2D5417_.wvu.FilterData" localSheetId="6" hidden="1">'ANEXO I - MEM. CÁLC'!$A$5:$AM$5</definedName>
    <definedName name="Z_89266052_6DF2_41AE_A74A_D24726B4B1F1_.wvu.FilterData" localSheetId="6" hidden="1">'ANEXO I - MEM. CÁLC'!$A$5:$AM$5</definedName>
    <definedName name="Z_89326D86_6ED3_482D_8202_E3F039DDB378_.wvu.FilterData" localSheetId="6" hidden="1">'ANEXO I - MEM. CÁLC'!$A$5:$AM$5</definedName>
    <definedName name="Z_8954E0F9_02B0_4704_8C30_3C8E2DBA05C8_.wvu.FilterData" localSheetId="6" hidden="1">'ANEXO I - MEM. CÁLC'!$A$5:$AM$5</definedName>
    <definedName name="Z_896A2CD3_E58C_4349_A315_C031F9B1625F_.wvu.FilterData" localSheetId="6" hidden="1">'ANEXO I - MEM. CÁLC'!$A$5:$AM$5</definedName>
    <definedName name="Z_898B6D59_A86F_49A2_9310_D43DDF3E9C40_.wvu.FilterData" localSheetId="6" hidden="1">'ANEXO I - MEM. CÁLC'!$A$5:$AM$5</definedName>
    <definedName name="Z_898B6D59_A86F_49A2_9310_D43DDF3E9C40_.wvu.FilterData" localSheetId="1" hidden="1">ORÇAMENTO!$A$1:$F$287</definedName>
    <definedName name="Z_89FEFEA1_7FF9_432D_ACF3_3A629DDE97F0_.wvu.FilterData" localSheetId="6" hidden="1">'ANEXO I - MEM. CÁLC'!$A$5:$AM$5</definedName>
    <definedName name="Z_89FEFEA1_7FF9_432D_ACF3_3A629DDE97F0_.wvu.FilterData" localSheetId="1" hidden="1">ORÇAMENTO!$A$1:$F$287</definedName>
    <definedName name="Z_8B1FCC28_C31C_45CD_8556_6AD22771E419_.wvu.FilterData" localSheetId="6" hidden="1">'ANEXO I - MEM. CÁLC'!$A$5:$AM$5</definedName>
    <definedName name="Z_8B1FCC28_C31C_45CD_8556_6AD22771E419_.wvu.FilterData" localSheetId="1" hidden="1">ORÇAMENTO!$A$1:$F$287</definedName>
    <definedName name="Z_8B2BD12B_8FED_421C_B631_CD50A61F6F23_.wvu.FilterData" localSheetId="6" hidden="1">'ANEXO I - MEM. CÁLC'!$A$5:$AM$5</definedName>
    <definedName name="Z_8B2BD12B_8FED_421C_B631_CD50A61F6F23_.wvu.FilterData" localSheetId="1" hidden="1">ORÇAMENTO!$A$1:$F$287</definedName>
    <definedName name="Z_8B4CA041_06E2_4131_9AB7_D964F07EC6BC_.wvu.FilterData" localSheetId="6" hidden="1">'ANEXO I - MEM. CÁLC'!$A$5:$AM$5</definedName>
    <definedName name="Z_8B4CA041_06E2_4131_9AB7_D964F07EC6BC_.wvu.FilterData" localSheetId="1" hidden="1">ORÇAMENTO!$A$1:$F$287</definedName>
    <definedName name="Z_8E6A009D_85A2_4D5E_9B88_A61587D6FEE5_.wvu.FilterData" localSheetId="6" hidden="1">'ANEXO I - MEM. CÁLC'!$A$5:$AM$5</definedName>
    <definedName name="Z_8E977BFF_3E8B_42FF_8AA0_2F7BD979FF0A_.wvu.FilterData" localSheetId="6" hidden="1">'ANEXO I - MEM. CÁLC'!$A$5:$AM$5</definedName>
    <definedName name="Z_8EB263EC_290A_4100_BFB5_0840AF08E640_.wvu.FilterData" localSheetId="6" hidden="1">'ANEXO I - MEM. CÁLC'!$A$5:$AM$5</definedName>
    <definedName name="Z_8EB263EC_290A_4100_BFB5_0840AF08E640_.wvu.FilterData" localSheetId="1" hidden="1">ORÇAMENTO!$A$1:$F$287</definedName>
    <definedName name="Z_8FC0C45E_53DC_42A7_A6DE_A11FD703CB5F_.wvu.FilterData" localSheetId="6" hidden="1">'ANEXO I - MEM. CÁLC'!$A$5:$AM$5</definedName>
    <definedName name="Z_8FC0C45E_53DC_42A7_A6DE_A11FD703CB5F_.wvu.FilterData" localSheetId="1" hidden="1">ORÇAMENTO!$A$1:$F$287</definedName>
    <definedName name="Z_909A7D98_4457_4A39_BC2F_CFC45A904CB9_.wvu.FilterData" localSheetId="6" hidden="1">'ANEXO I - MEM. CÁLC'!$A$5:$AM$5</definedName>
    <definedName name="Z_909A7D98_4457_4A39_BC2F_CFC45A904CB9_.wvu.FilterData" localSheetId="1" hidden="1">ORÇAMENTO!$A$1:$F$287</definedName>
    <definedName name="Z_91956E82_BC5C_4DB4_B377_E076E2E6BED1_.wvu.FilterData" localSheetId="6" hidden="1">'ANEXO I - MEM. CÁLC'!$A$5:$AM$5</definedName>
    <definedName name="Z_91956E82_BC5C_4DB4_B377_E076E2E6BED1_.wvu.FilterData" localSheetId="1" hidden="1">ORÇAMENTO!$A$1:$F$287</definedName>
    <definedName name="Z_91AFC62B_D728_4849_A95F_91B0FCC0A2D0_.wvu.FilterData" localSheetId="6" hidden="1">'ANEXO I - MEM. CÁLC'!$A$5:$AM$5</definedName>
    <definedName name="Z_91EEAC77_909A_41BC_99BA_6998486FA798_.wvu.FilterData" localSheetId="6" hidden="1">'ANEXO I - MEM. CÁLC'!$A$5:$AM$5</definedName>
    <definedName name="Z_91EEAC77_909A_41BC_99BA_6998486FA798_.wvu.FilterData" localSheetId="1" hidden="1">ORÇAMENTO!$A$1:$F$287</definedName>
    <definedName name="Z_922431ED_58C2_4BBC_AF8B_84C3D2A0EC50_.wvu.FilterData" localSheetId="6" hidden="1">'ANEXO I - MEM. CÁLC'!$A$5:$AM$5</definedName>
    <definedName name="Z_922431ED_58C2_4BBC_AF8B_84C3D2A0EC50_.wvu.FilterData" localSheetId="1" hidden="1">ORÇAMENTO!$A$1:$F$287</definedName>
    <definedName name="Z_92486891_20D5_4702_9D62_C94115A4D488_.wvu.FilterData" localSheetId="6" hidden="1">'ANEXO I - MEM. CÁLC'!$A$5:$S$320</definedName>
    <definedName name="Z_92486891_20D5_4702_9D62_C94115A4D488_.wvu.FilterData" localSheetId="1" hidden="1">ORÇAMENTO!$A$1:$F$287</definedName>
    <definedName name="Z_925A79EA_63F5_4394_B758_84D39474E5D2_.wvu.FilterData" localSheetId="6" hidden="1">'ANEXO I - MEM. CÁLC'!$A$5:$AM$5</definedName>
    <definedName name="Z_925A79EA_63F5_4394_B758_84D39474E5D2_.wvu.FilterData" localSheetId="1" hidden="1">ORÇAMENTO!$A$1:$F$287</definedName>
    <definedName name="Z_94077F34_0768_4D34_85DF_1104A98FED90_.wvu.FilterData" localSheetId="1" hidden="1">ORÇAMENTO!$A$1:$F$287</definedName>
    <definedName name="Z_965B290E_ABEE_4DB4_8892_148CCE5AA1F7_.wvu.FilterData" localSheetId="1" hidden="1">ORÇAMENTO!$A$1:$F$287</definedName>
    <definedName name="Z_97309DBD_6665_499F_AB7C_BA35FDC6784B_.wvu.FilterData" localSheetId="6" hidden="1">'ANEXO I - MEM. CÁLC'!$A$5:$AM$5</definedName>
    <definedName name="Z_97309DBD_6665_499F_AB7C_BA35FDC6784B_.wvu.FilterData" localSheetId="1" hidden="1">ORÇAMENTO!$A$1:$F$287</definedName>
    <definedName name="Z_97F160FC_DE12_49F3_94E4_D0014583D1D0_.wvu.FilterData" localSheetId="6" hidden="1">'ANEXO I - MEM. CÁLC'!$A$5:$AM$5</definedName>
    <definedName name="Z_98085C4D_886E_4CBE_9007_72DB15B342CB_.wvu.FilterData" localSheetId="6" hidden="1">'ANEXO I - MEM. CÁLC'!$A$5:$AM$5</definedName>
    <definedName name="Z_98085C4D_886E_4CBE_9007_72DB15B342CB_.wvu.FilterData" localSheetId="1" hidden="1">ORÇAMENTO!$A$1:$F$287</definedName>
    <definedName name="Z_982E1330_9194_43BB_B3BD_B3F586E492C7_.wvu.FilterData" localSheetId="1" hidden="1">ORÇAMENTO!$A$260:$F$287</definedName>
    <definedName name="Z_993432FA_1201_4E73_A520_0E3036808B0B_.wvu.FilterData" localSheetId="6" hidden="1">'ANEXO I - MEM. CÁLC'!$A$5:$AM$5</definedName>
    <definedName name="Z_993432FA_1201_4E73_A520_0E3036808B0B_.wvu.FilterData" localSheetId="1" hidden="1">ORÇAMENTO!$A$1:$F$287</definedName>
    <definedName name="Z_99C87524_E5BC_4334_92C4_DE4BCA1D1F6B_.wvu.FilterData" localSheetId="6" hidden="1">'ANEXO I - MEM. CÁLC'!$A$5:$AM$5</definedName>
    <definedName name="Z_99C87524_E5BC_4334_92C4_DE4BCA1D1F6B_.wvu.FilterData" localSheetId="1" hidden="1">ORÇAMENTO!$A$1:$F$287</definedName>
    <definedName name="Z_9A4F90D9_3CC7_4570_83FA_52DA7677F527_.wvu.FilterData" localSheetId="1" hidden="1">ORÇAMENTO!$A$1:$F$287</definedName>
    <definedName name="Z_9A6648EE_8486_4CC0_BA46_478C7F3BE299_.wvu.FilterData" localSheetId="1" hidden="1">ORÇAMENTO!$A$1:$F$287</definedName>
    <definedName name="Z_9BC5F2B9_821C_42A7_A2A2_893784979590_.wvu.FilterData" localSheetId="6" hidden="1">'ANEXO I - MEM. CÁLC'!$A$319:$O$1208</definedName>
    <definedName name="Z_9BC5F2B9_821C_42A7_A2A2_893784979590_.wvu.FilterData" localSheetId="1" hidden="1">ORÇAMENTO!$A$1:$F$287</definedName>
    <definedName name="Z_9CB16916_3BCD_4735_B944_9DF5125844D4_.wvu.FilterData" localSheetId="1" hidden="1">ORÇAMENTO!$A$1:$F$287</definedName>
    <definedName name="Z_9CB67EBF_7256_4936_9EA8_6AC1137C543A_.wvu.FilterData" localSheetId="6" hidden="1">'ANEXO I - MEM. CÁLC'!$A$5:$AM$5</definedName>
    <definedName name="Z_9CB67EBF_7256_4936_9EA8_6AC1137C543A_.wvu.FilterData" localSheetId="1" hidden="1">ORÇAMENTO!$A$1:$F$287</definedName>
    <definedName name="Z_9E9AD8A1_E159_474D_8222_06CAC1A1130E_.wvu.FilterData" localSheetId="6" hidden="1">'ANEXO I - MEM. CÁLC'!$A$5:$AM$5</definedName>
    <definedName name="Z_9F44D4D7_4978_40E4_B084_2BAFF14BCCC5_.wvu.FilterData" localSheetId="1" hidden="1">ORÇAMENTO!$A$1:$F$287</definedName>
    <definedName name="Z_9F48C8E2_C9F1_40F7_9B4C_2408B96260DD_.wvu.FilterData" localSheetId="6" hidden="1">'ANEXO I - MEM. CÁLC'!$A$5:$AM$5</definedName>
    <definedName name="Z_9F48C8E2_C9F1_40F7_9B4C_2408B96260DD_.wvu.FilterData" localSheetId="1" hidden="1">ORÇAMENTO!$A$1:$F$287</definedName>
    <definedName name="Z_9F54C538_13EB_4348_A04F_D29D5CCE77BD_.wvu.FilterData" localSheetId="1" hidden="1">ORÇAMENTO!$A$260:$F$287</definedName>
    <definedName name="Z_A03483BE_F8C0_47B0_874F_6A46E3A95DE6_.wvu.FilterData" localSheetId="1" hidden="1">ORÇAMENTO!$A$260:$F$287</definedName>
    <definedName name="Z_A0574C1B_225E_431C_970F_7FF53D29E776_.wvu.FilterData" localSheetId="6" hidden="1">'ANEXO I - MEM. CÁLC'!$A$5:$AM$5</definedName>
    <definedName name="Z_A05AED6D_72A4_4AF0_A3A8_F85C704D7A14_.wvu.FilterData" localSheetId="6" hidden="1">'ANEXO I - MEM. CÁLC'!$A$5:$S$320</definedName>
    <definedName name="Z_A05AED6D_72A4_4AF0_A3A8_F85C704D7A14_.wvu.FilterData" localSheetId="1" hidden="1">ORÇAMENTO!$A$1:$F$287</definedName>
    <definedName name="Z_A081F997_2681_44C7_839D_7856878CC1B8_.wvu.FilterData" localSheetId="6" hidden="1">'ANEXO I - MEM. CÁLC'!$A$5:$AM$5</definedName>
    <definedName name="Z_A0CB49AD_24F6_4616_9802_46C17D0F3B9E_.wvu.FilterData" localSheetId="1" hidden="1">ORÇAMENTO!$A$1:$F$287</definedName>
    <definedName name="Z_A26741BB_E9E4_4F5D_8DDC_407AD6404A3F_.wvu.FilterData" localSheetId="6" hidden="1">'ANEXO I - MEM. CÁLC'!$A$5:$S$5</definedName>
    <definedName name="Z_A26741BB_E9E4_4F5D_8DDC_407AD6404A3F_.wvu.FilterData" localSheetId="1" hidden="1">ORÇAMENTO!$A$1:$F$287</definedName>
    <definedName name="Z_A375EB50_E3D3_4354_B05A_0C5C1313BB74_.wvu.FilterData" localSheetId="1" hidden="1">ORÇAMENTO!$A$260:$F$287</definedName>
    <definedName name="Z_A3FF4508_E81F_4D27_8125_89C226B159CF_.wvu.FilterData" localSheetId="6" hidden="1">'ANEXO I - MEM. CÁLC'!$A$5:$AM$5</definedName>
    <definedName name="Z_A3FF4508_E81F_4D27_8125_89C226B159CF_.wvu.FilterData" localSheetId="1" hidden="1">ORÇAMENTO!$A$1:$F$287</definedName>
    <definedName name="Z_A776789F_05DC_4D9C_8A5C_B87344943745_.wvu.FilterData" localSheetId="6" hidden="1">'ANEXO I - MEM. CÁLC'!$A$5:$AM$5</definedName>
    <definedName name="Z_A776789F_05DC_4D9C_8A5C_B87344943745_.wvu.FilterData" localSheetId="1" hidden="1">ORÇAMENTO!$A$1:$F$287</definedName>
    <definedName name="Z_A7BC2EB7_B3E3_421D_8C9E_B96EC0AE3F5A_.wvu.FilterData" localSheetId="6" hidden="1">'ANEXO I - MEM. CÁLC'!$A$5:$AM$5</definedName>
    <definedName name="Z_A8356551_9FB6_4CA9_96BD_C916FA2CC183_.wvu.FilterData" localSheetId="6" hidden="1">'ANEXO I - MEM. CÁLC'!$A$5:$AM$5</definedName>
    <definedName name="Z_A8356551_9FB6_4CA9_96BD_C916FA2CC183_.wvu.FilterData" localSheetId="1" hidden="1">ORÇAMENTO!$A$1:$F$287</definedName>
    <definedName name="Z_A8420765_B1AC_4F5E_8448_9195326C56E0_.wvu.FilterData" localSheetId="6" hidden="1">'ANEXO I - MEM. CÁLC'!$A$5:$AM$5</definedName>
    <definedName name="Z_A87DF0E1_59B8_4029_8EA0_0269BF2AC238_.wvu.FilterData" localSheetId="6" hidden="1">'ANEXO I - MEM. CÁLC'!$A$5:$AM$5</definedName>
    <definedName name="Z_A87DF0E1_59B8_4029_8EA0_0269BF2AC238_.wvu.FilterData" localSheetId="1" hidden="1">ORÇAMENTO!$A$1:$F$287</definedName>
    <definedName name="Z_A9321DBB_7355_435C_AD00_16F10D77D5DE_.wvu.FilterData" localSheetId="6" hidden="1">'ANEXO I - MEM. CÁLC'!$A$5:$AM$5</definedName>
    <definedName name="Z_AA8C1F30_C317_4C69_AF76_B96096B17E77_.wvu.FilterData" localSheetId="6" hidden="1">'ANEXO I - MEM. CÁLC'!$A$5:$AM$5</definedName>
    <definedName name="Z_AB4A2DF6_B008_465F_B662_DDF9502D84DD_.wvu.FilterData" localSheetId="6" hidden="1">'ANEXO I - MEM. CÁLC'!$A$5:$AM$5</definedName>
    <definedName name="Z_AB4A2DF6_B008_465F_B662_DDF9502D84DD_.wvu.FilterData" localSheetId="1" hidden="1">ORÇAMENTO!$A$1:$F$287</definedName>
    <definedName name="Z_AC7F69B5_F287_47B7_B8AE_57AAFADEDABA_.wvu.FilterData" localSheetId="6" hidden="1">'ANEXO I - MEM. CÁLC'!$A$5:$AM$5</definedName>
    <definedName name="Z_ACBE24DE_88D5_4286_A99E_C1FE2B3218B6_.wvu.FilterData" localSheetId="6" hidden="1">'ANEXO I - MEM. CÁLC'!$A$5:$AM$5</definedName>
    <definedName name="Z_AD0A5A57_2B6E_410B_910C_5B733F816F25_.wvu.FilterData" localSheetId="1" hidden="1">ORÇAMENTO!#REF!</definedName>
    <definedName name="Z_ADB6ABE6_3C1D_49BA_8449_B85BE2EB22C3_.wvu.FilterData" localSheetId="6" hidden="1">'ANEXO I - MEM. CÁLC'!$A$5:$AM$5</definedName>
    <definedName name="Z_AE909691_2F6B_4C3A_965C_2974E93CBB10_.wvu.FilterData" localSheetId="1" hidden="1">ORÇAMENTO!#REF!</definedName>
    <definedName name="Z_AE9E6BB8_41B7_4550_B2B9_716A34C3868B_.wvu.FilterData" localSheetId="6" hidden="1">'ANEXO I - MEM. CÁLC'!$A$5:$AM$5</definedName>
    <definedName name="Z_AF3871BA_5A1F_4046_93FD_132378810A16_.wvu.FilterData" localSheetId="6" hidden="1">'ANEXO I - MEM. CÁLC'!$A$5:$AM$5</definedName>
    <definedName name="Z_AF3871BA_5A1F_4046_93FD_132378810A16_.wvu.FilterData" localSheetId="1" hidden="1">ORÇAMENTO!$A$1:$F$287</definedName>
    <definedName name="Z_AF7339EE_0D64_4185_A486_D16CC80C65B7_.wvu.Cols" localSheetId="1" hidden="1">ORÇAMENTO!#REF!</definedName>
    <definedName name="Z_AF7339EE_0D64_4185_A486_D16CC80C65B7_.wvu.FilterData" localSheetId="6" hidden="1">'ANEXO I - MEM. CÁLC'!$A$5:$S$1208</definedName>
    <definedName name="Z_AF7339EE_0D64_4185_A486_D16CC80C65B7_.wvu.FilterData" localSheetId="1" hidden="1">ORÇAMENTO!$A$1:$F$287</definedName>
    <definedName name="Z_AF7339EE_0D64_4185_A486_D16CC80C65B7_.wvu.PrintArea" localSheetId="6" hidden="1">'ANEXO I - MEM. CÁLC'!$A$1:$O$1208</definedName>
    <definedName name="Z_AF7339EE_0D64_4185_A486_D16CC80C65B7_.wvu.PrintArea" localSheetId="1" hidden="1">ORÇAMENTO!$A$1:$F$287</definedName>
    <definedName name="Z_AF7339EE_0D64_4185_A486_D16CC80C65B7_.wvu.PrintTitles" localSheetId="6" hidden="1">'ANEXO I - MEM. CÁLC'!$1:$5</definedName>
    <definedName name="Z_AF7339EE_0D64_4185_A486_D16CC80C65B7_.wvu.PrintTitles" localSheetId="1" hidden="1">ORÇAMENTO!#REF!</definedName>
    <definedName name="Z_B104CC29_69F6_4661_8D37_3DD291F83439_.wvu.FilterData" localSheetId="6" hidden="1">'ANEXO I - MEM. CÁLC'!$A$5:$AM$5</definedName>
    <definedName name="Z_B104CC29_69F6_4661_8D37_3DD291F83439_.wvu.FilterData" localSheetId="1" hidden="1">ORÇAMENTO!$A$1:$F$287</definedName>
    <definedName name="Z_B1AFDC98_6EE5_4E6D_8A79_9BF3B0CA8620_.wvu.FilterData" localSheetId="1" hidden="1">ORÇAMENTO!$A$1:$F$287</definedName>
    <definedName name="Z_B23AF566_39D8_49DD_B4A9_9FA28318BFD8_.wvu.FilterData" localSheetId="6" hidden="1">'ANEXO I - MEM. CÁLC'!$A$5:$AM$5</definedName>
    <definedName name="Z_B30BE120_87C8_40FD_A2DB_41B26BE77580_.wvu.FilterData" localSheetId="6" hidden="1">'ANEXO I - MEM. CÁLC'!$A$5:$AM$5</definedName>
    <definedName name="Z_B30BE120_87C8_40FD_A2DB_41B26BE77580_.wvu.FilterData" localSheetId="1" hidden="1">ORÇAMENTO!$A$1:$F$287</definedName>
    <definedName name="Z_B31A77F1_18A3_4E77_B605_1219639859DF_.wvu.FilterData" localSheetId="6" hidden="1">'ANEXO I - MEM. CÁLC'!$A$5:$AM$5</definedName>
    <definedName name="Z_B3D34446_8ED4_436F_B488_83DDB52EC49A_.wvu.FilterData" localSheetId="6" hidden="1">'ANEXO I - MEM. CÁLC'!$A$5:$AM$5</definedName>
    <definedName name="Z_B3D34446_8ED4_436F_B488_83DDB52EC49A_.wvu.FilterData" localSheetId="1" hidden="1">ORÇAMENTO!$A$1:$F$287</definedName>
    <definedName name="Z_B40E6B29_7162_4B71_B315_80ADEA5585C4_.wvu.FilterData" localSheetId="6" hidden="1">'ANEXO I - MEM. CÁLC'!$A$5:$AM$5</definedName>
    <definedName name="Z_B40E6B29_7162_4B71_B315_80ADEA5585C4_.wvu.FilterData" localSheetId="1" hidden="1">ORÇAMENTO!$A$1:$F$287</definedName>
    <definedName name="Z_B457E800_454A_4780_81BE_52A653BC8B58_.wvu.FilterData" localSheetId="6" hidden="1">'ANEXO I - MEM. CÁLC'!$A$5:$AM$5</definedName>
    <definedName name="Z_B457E800_454A_4780_81BE_52A653BC8B58_.wvu.FilterData" localSheetId="1" hidden="1">ORÇAMENTO!$A$1:$F$287</definedName>
    <definedName name="Z_B510FD08_91F5_4887_90FE_D8DC6CABF3D3_.wvu.FilterData" localSheetId="6" hidden="1">'ANEXO I - MEM. CÁLC'!$A$5:$AM$5</definedName>
    <definedName name="Z_B510FD08_91F5_4887_90FE_D8DC6CABF3D3_.wvu.FilterData" localSheetId="1" hidden="1">ORÇAMENTO!$A$1:$F$287</definedName>
    <definedName name="Z_B5AD7D89_12AA_4CFF_AB4B_7B50893AC6D1_.wvu.FilterData" localSheetId="6" hidden="1">'ANEXO I - MEM. CÁLC'!$A$5:$AM$5</definedName>
    <definedName name="Z_B5AD7D89_12AA_4CFF_AB4B_7B50893AC6D1_.wvu.FilterData" localSheetId="1" hidden="1">ORÇAMENTO!$A$1:$F$287</definedName>
    <definedName name="Z_B7ED6D32_E4B4_447B_B476_58BA9D23E7ED_.wvu.FilterData" localSheetId="6" hidden="1">'ANEXO I - MEM. CÁLC'!$A$5:$AM$5</definedName>
    <definedName name="Z_B80AFC0F_695F_4194_BEAC_E0535CB54388_.wvu.FilterData" localSheetId="6" hidden="1">'ANEXO I - MEM. CÁLC'!$A$5:$AM$5</definedName>
    <definedName name="Z_BA2D5B64_9899_4FA1_A4F6_D0E6C03DF3C8_.wvu.FilterData" localSheetId="6" hidden="1">'ANEXO I - MEM. CÁLC'!$A$5:$AM$5</definedName>
    <definedName name="Z_BA2D5B64_9899_4FA1_A4F6_D0E6C03DF3C8_.wvu.FilterData" localSheetId="1" hidden="1">ORÇAMENTO!$A$1:$F$287</definedName>
    <definedName name="Z_BA814E95_07BD_4309_B38B_B2036F758D83_.wvu.FilterData" localSheetId="1" hidden="1">ORÇAMENTO!$A$1:$F$287</definedName>
    <definedName name="Z_BB000001_CA7F_4E7C_A15A_CF67492364EF_.wvu.FilterData" localSheetId="6" hidden="1">'ANEXO I - MEM. CÁLC'!$A$5:$AM$5</definedName>
    <definedName name="Z_BB000001_CA7F_4E7C_A15A_CF67492364EF_.wvu.FilterData" localSheetId="1" hidden="1">ORÇAMENTO!$A$1:$F$287</definedName>
    <definedName name="Z_BB53C328_BC0C_4EE0_8F61_8CA30E520DCE_.wvu.FilterData" localSheetId="6" hidden="1">'ANEXO I - MEM. CÁLC'!$A$5:$AM$5</definedName>
    <definedName name="Z_BB53C328_BC0C_4EE0_8F61_8CA30E520DCE_.wvu.FilterData" localSheetId="1" hidden="1">ORÇAMENTO!$A$1:$F$287</definedName>
    <definedName name="Z_BBD65CEB_5B6B_4754_A3B1_99C21F0E9E55_.wvu.FilterData" localSheetId="6" hidden="1">'ANEXO I - MEM. CÁLC'!$A$5:$AM$5</definedName>
    <definedName name="Z_BBD65CEB_5B6B_4754_A3B1_99C21F0E9E55_.wvu.FilterData" localSheetId="1" hidden="1">ORÇAMENTO!$A$1:$F$287</definedName>
    <definedName name="Z_BD18CD6D_292F_4981_80F2_DBD22338781B_.wvu.FilterData" localSheetId="6" hidden="1">'ANEXO I - MEM. CÁLC'!$A$5:$AM$5</definedName>
    <definedName name="Z_BD2BDCBD_3A29_4271_9A2B_22984984682B_.wvu.FilterData" localSheetId="1" hidden="1">ORÇAMENTO!$A$1:$F$287</definedName>
    <definedName name="Z_BD664288_FEDB_47AB_973E_8A603ABCDF74_.wvu.FilterData" localSheetId="6" hidden="1">'ANEXO I - MEM. CÁLC'!$A$5:$AM$5</definedName>
    <definedName name="Z_BDDCE47A_8C5D_4D74_84EF_BF444D04BB2D_.wvu.FilterData" localSheetId="1" hidden="1">ORÇAMENTO!$A$1:$F$287</definedName>
    <definedName name="Z_BEDEF1C4_7D51_4A2B_B1BA_5B463FE8E713_.wvu.FilterData" localSheetId="6" hidden="1">'ANEXO I - MEM. CÁLC'!$A$5:$AM$5</definedName>
    <definedName name="Z_BEDEF1C4_7D51_4A2B_B1BA_5B463FE8E713_.wvu.FilterData" localSheetId="1" hidden="1">ORÇAMENTO!$A$1:$F$287</definedName>
    <definedName name="Z_BF2FC6C4_DD34_48A5_909B_97907071FB8C_.wvu.FilterData" localSheetId="1" hidden="1">ORÇAMENTO!$A$1:$F$287</definedName>
    <definedName name="Z_BF960313_5774_4171_A960_78FE6FBCDBB0_.wvu.FilterData" localSheetId="1" hidden="1">ORÇAMENTO!$A$260:$F$287</definedName>
    <definedName name="Z_C325E178_08EE_44B1_9FF4_EF150E358605_.wvu.FilterData" localSheetId="6" hidden="1">'ANEXO I - MEM. CÁLC'!$A$5:$AM$5</definedName>
    <definedName name="Z_C325E178_08EE_44B1_9FF4_EF150E358605_.wvu.FilterData" localSheetId="1" hidden="1">ORÇAMENTO!$A$1:$F$287</definedName>
    <definedName name="Z_C3AA15C6_8106_461C_A7C7_6AA1710B6C2B_.wvu.FilterData" localSheetId="6" hidden="1">'ANEXO I - MEM. CÁLC'!$A$5:$AM$5</definedName>
    <definedName name="Z_C3AA15C6_8106_461C_A7C7_6AA1710B6C2B_.wvu.FilterData" localSheetId="1" hidden="1">ORÇAMENTO!$A$1:$F$287</definedName>
    <definedName name="Z_C4E9D92A_6C08_4D74_AF82_C1AEC6B0FF76_.wvu.FilterData" localSheetId="1" hidden="1">ORÇAMENTO!$A$260:$F$287</definedName>
    <definedName name="Z_C5419247_73E1_49A2_877D_03EDF5AD99AB_.wvu.FilterData" localSheetId="6" hidden="1">'ANEXO I - MEM. CÁLC'!$A$5:$S$320</definedName>
    <definedName name="Z_C5D7B652_1B70_4EBC_A193_EB26A879914B_.wvu.FilterData" localSheetId="1" hidden="1">ORÇAMENTO!$A$1:$F$287</definedName>
    <definedName name="Z_C99E781B_964F_4AD9_8AA2_5675CD004AE9_.wvu.FilterData" localSheetId="6" hidden="1">'ANEXO I - MEM. CÁLC'!$A$5:$AM$5</definedName>
    <definedName name="Z_C99E781B_964F_4AD9_8AA2_5675CD004AE9_.wvu.FilterData" localSheetId="1" hidden="1">ORÇAMENTO!$A$1:$F$287</definedName>
    <definedName name="Z_C9AC4E25_50EA_4479_8072_4B0B1005FA38_.wvu.FilterData" localSheetId="6" hidden="1">'ANEXO I - MEM. CÁLC'!$A$5:$AM$5</definedName>
    <definedName name="Z_C9DB2F5B_EB1B_473F_B353_067BB98DC4DC_.wvu.FilterData" localSheetId="2" hidden="1">'CLASSIFICAÇÃO ABC'!$A$6:$N$6</definedName>
    <definedName name="Z_C9DB2F5B_EB1B_473F_B353_067BB98DC4DC_.wvu.FilterData" localSheetId="5" hidden="1">Plan2!$B$1:$K$92</definedName>
    <definedName name="Z_C9DB2F5B_EB1B_473F_B353_067BB98DC4DC_.wvu.PrintArea" localSheetId="2" hidden="1">'CLASSIFICAÇÃO ABC'!$A$5:$N$132</definedName>
    <definedName name="Z_C9DB2F5B_EB1B_473F_B353_067BB98DC4DC_.wvu.PrintTitles" localSheetId="2" hidden="1">'CLASSIFICAÇÃO ABC'!#REF!</definedName>
    <definedName name="Z_CA35EDA0_5A36_442B_97CC_4E7640F5B5EB_.wvu.FilterData" localSheetId="1" hidden="1">ORÇAMENTO!#REF!</definedName>
    <definedName name="Z_CA49AD8A_DBF2_4927_A730_88ABD3E1F2CD_.wvu.FilterData" localSheetId="6" hidden="1">'ANEXO I - MEM. CÁLC'!$A$5:$AM$5</definedName>
    <definedName name="Z_CA49AD8A_DBF2_4927_A730_88ABD3E1F2CD_.wvu.FilterData" localSheetId="1" hidden="1">ORÇAMENTO!$A$1:$F$287</definedName>
    <definedName name="Z_CC1C8FC0_EB6E_485A_AE35_C6677591B2C9_.wvu.FilterData" localSheetId="6" hidden="1">'ANEXO I - MEM. CÁLC'!$A$5:$AM$5</definedName>
    <definedName name="Z_CC1C8FC0_EB6E_485A_AE35_C6677591B2C9_.wvu.FilterData" localSheetId="1" hidden="1">ORÇAMENTO!$A$1:$F$287</definedName>
    <definedName name="Z_CC4AF021_EBC7_462B_921F_05DCC807294E_.wvu.FilterData" localSheetId="6" hidden="1">'ANEXO I - MEM. CÁLC'!$A$5:$AM$5</definedName>
    <definedName name="Z_CCB136E7_7110_4EF5_B3C7_6D84795F16BD_.wvu.FilterData" localSheetId="6" hidden="1">'ANEXO I - MEM. CÁLC'!$A$5:$AM$5</definedName>
    <definedName name="Z_CCB136E7_7110_4EF5_B3C7_6D84795F16BD_.wvu.FilterData" localSheetId="1" hidden="1">ORÇAMENTO!$A$1:$F$287</definedName>
    <definedName name="Z_CCD30A38_EC1C_41D8_A9EB_D09046E7CC49_.wvu.FilterData" localSheetId="1" hidden="1">ORÇAMENTO!#REF!</definedName>
    <definedName name="Z_CDF8D03D_79DA_4118_95A0_31EC91365806_.wvu.FilterData" localSheetId="6" hidden="1">'ANEXO I - MEM. CÁLC'!$A$5:$AM$5</definedName>
    <definedName name="Z_CDF8D03D_79DA_4118_95A0_31EC91365806_.wvu.FilterData" localSheetId="1" hidden="1">ORÇAMENTO!$A$1:$F$287</definedName>
    <definedName name="Z_CE638E06_8C60_431A_B211_EFB21B47AF51_.wvu.FilterData" localSheetId="6" hidden="1">'ANEXO I - MEM. CÁLC'!$A$5:$S$320</definedName>
    <definedName name="Z_CE638E06_8C60_431A_B211_EFB21B47AF51_.wvu.FilterData" localSheetId="1" hidden="1">ORÇAMENTO!$A$1:$F$287</definedName>
    <definedName name="Z_CEE2DF0A_8EE0_4246_B3BE_8970ED3B7F06_.wvu.FilterData" localSheetId="1" hidden="1">ORÇAMENTO!#REF!</definedName>
    <definedName name="Z_CF5655FE_A976_49DB_A8D3_32F8D2F72E61_.wvu.FilterData" localSheetId="6" hidden="1">'ANEXO I - MEM. CÁLC'!$A$5:$S$320</definedName>
    <definedName name="Z_CF81E847_07EC_48B6_9E9E_E42C7EC8C3DD_.wvu.FilterData" localSheetId="6" hidden="1">'ANEXO I - MEM. CÁLC'!$A$5:$AM$5</definedName>
    <definedName name="Z_CF81E847_07EC_48B6_9E9E_E42C7EC8C3DD_.wvu.FilterData" localSheetId="1" hidden="1">ORÇAMENTO!$A$1:$F$287</definedName>
    <definedName name="Z_CFAB054B_38C2_4E45_850F_6140D9D60AE7_.wvu.FilterData" localSheetId="6" hidden="1">'ANEXO I - MEM. CÁLC'!$A$5:$AM$5</definedName>
    <definedName name="Z_CFAB054B_38C2_4E45_850F_6140D9D60AE7_.wvu.FilterData" localSheetId="1" hidden="1">ORÇAMENTO!$A$1:$F$287</definedName>
    <definedName name="Z_CFC2479C_DE8B_4C4B_9A62_1F6AC0BC9006_.wvu.FilterData" localSheetId="6" hidden="1">'ANEXO I - MEM. CÁLC'!$A$5:$AM$5</definedName>
    <definedName name="Z_CFC2479C_DE8B_4C4B_9A62_1F6AC0BC9006_.wvu.FilterData" localSheetId="1" hidden="1">ORÇAMENTO!$A$1:$F$287</definedName>
    <definedName name="Z_CFF84790_8279_420B_952A_05BD9D33CF76_.wvu.FilterData" localSheetId="6" hidden="1">'ANEXO I - MEM. CÁLC'!$A$5:$AM$5</definedName>
    <definedName name="Z_D0BB668E_0518_4429_B35D_BEB7EE8A68F6_.wvu.FilterData" localSheetId="6" hidden="1">'ANEXO I - MEM. CÁLC'!$A$5:$AM$5</definedName>
    <definedName name="Z_D0BB668E_0518_4429_B35D_BEB7EE8A68F6_.wvu.FilterData" localSheetId="1" hidden="1">ORÇAMENTO!$A$1:$F$287</definedName>
    <definedName name="Z_D0D673DD_E53D_4ADF_94D2_723DEDBDB939_.wvu.FilterData" localSheetId="1" hidden="1">ORÇAMENTO!$A$260:$F$287</definedName>
    <definedName name="Z_D1E51269_2869_4441_8F8B_0473DDE1EEE1_.wvu.FilterData" localSheetId="6" hidden="1">'ANEXO I - MEM. CÁLC'!$A$5:$AM$5</definedName>
    <definedName name="Z_D1E51269_2869_4441_8F8B_0473DDE1EEE1_.wvu.FilterData" localSheetId="1" hidden="1">ORÇAMENTO!$A$1:$F$287</definedName>
    <definedName name="Z_D2F07DF7_7A2E_43B1_8BE6_8E5835B9124C_.wvu.FilterData" localSheetId="1" hidden="1">ORÇAMENTO!$A$1:$F$287</definedName>
    <definedName name="Z_D4B3AA26_4522_4E95_BFDD_7B3081FE9CED_.wvu.FilterData" localSheetId="1" hidden="1">ORÇAMENTO!$A$1:$F$287</definedName>
    <definedName name="Z_D5F9864A_A35A_4173_A046_729659758927_.wvu.FilterData" localSheetId="6" hidden="1">'ANEXO I - MEM. CÁLC'!$A$5:$AM$5</definedName>
    <definedName name="Z_D5F9864A_A35A_4173_A046_729659758927_.wvu.FilterData" localSheetId="1" hidden="1">ORÇAMENTO!$A$1:$F$287</definedName>
    <definedName name="Z_D64589F0_A3B2_46FB_A4D1_194EE723D190_.wvu.FilterData" localSheetId="6" hidden="1">'ANEXO I - MEM. CÁLC'!$A$319:$O$1208</definedName>
    <definedName name="Z_D64589F0_A3B2_46FB_A4D1_194EE723D190_.wvu.FilterData" localSheetId="1" hidden="1">ORÇAMENTO!$A$260:$F$287</definedName>
    <definedName name="Z_D75A4586_AF4E_452F_AFD8_7BBCA47E834D_.wvu.FilterData" localSheetId="6" hidden="1">'ANEXO I - MEM. CÁLC'!$A$5:$AM$5</definedName>
    <definedName name="Z_D75A4586_AF4E_452F_AFD8_7BBCA47E834D_.wvu.FilterData" localSheetId="1" hidden="1">ORÇAMENTO!$A$1:$F$287</definedName>
    <definedName name="Z_D76E5B6A_A96E_4400_A417_2FF55154F5B9_.wvu.FilterData" localSheetId="6" hidden="1">'ANEXO I - MEM. CÁLC'!$A$5:$AM$5</definedName>
    <definedName name="Z_D77FDDE2_0FBA_4816_B0AF_E8075E292D8F_.wvu.FilterData" localSheetId="6" hidden="1">'ANEXO I - MEM. CÁLC'!$A$5:$AM$5</definedName>
    <definedName name="Z_D7965BC3_8F05_460C_B2A1_4BDA394C7FCC_.wvu.FilterData" localSheetId="6" hidden="1">'ANEXO I - MEM. CÁLC'!$A$5:$AM$5</definedName>
    <definedName name="Z_D7965BC3_8F05_460C_B2A1_4BDA394C7FCC_.wvu.FilterData" localSheetId="1" hidden="1">ORÇAMENTO!$A$1:$F$287</definedName>
    <definedName name="Z_D8745158_037C_4022_A945_D37B6287CAFB_.wvu.FilterData" localSheetId="6" hidden="1">'ANEXO I - MEM. CÁLC'!$A$5:$AM$5</definedName>
    <definedName name="Z_D8745158_037C_4022_A945_D37B6287CAFB_.wvu.FilterData" localSheetId="1" hidden="1">ORÇAMENTO!$A$1:$F$287</definedName>
    <definedName name="Z_D90AD16A_E43E_4FEA_A593_1FA5C64F78D6_.wvu.FilterData" localSheetId="1" hidden="1">ORÇAMENTO!$A$260:$F$287</definedName>
    <definedName name="Z_D90E43CD_4BE5_4950_86C6_55474200DEF9_.wvu.FilterData" localSheetId="6" hidden="1">'ANEXO I - MEM. CÁLC'!$A$5:$AM$5</definedName>
    <definedName name="Z_D90E43CD_4BE5_4950_86C6_55474200DEF9_.wvu.FilterData" localSheetId="1" hidden="1">ORÇAMENTO!$A$1:$F$287</definedName>
    <definedName name="Z_D9BD10FE_CC00_41AF_886C_731B0DC6E362_.wvu.FilterData" localSheetId="6" hidden="1">'ANEXO I - MEM. CÁLC'!$A$5:$AM$5</definedName>
    <definedName name="Z_D9BD10FE_CC00_41AF_886C_731B0DC6E362_.wvu.FilterData" localSheetId="1" hidden="1">ORÇAMENTO!$A$1:$F$287</definedName>
    <definedName name="Z_D9D23A30_9CAE_4353_9915_818093F142C8_.wvu.FilterData" localSheetId="1" hidden="1">ORÇAMENTO!$A$1:$F$287</definedName>
    <definedName name="Z_DA10BD60_4BFF_4AD5_8523_C85359C53326_.wvu.FilterData" localSheetId="6" hidden="1">'ANEXO I - MEM. CÁLC'!$A$5:$AM$5</definedName>
    <definedName name="Z_DA981607_1C86_4FD9_A0A7_D9249A0E5A24_.wvu.FilterData" localSheetId="6" hidden="1">'ANEXO I - MEM. CÁLC'!$A$5:$AM$5</definedName>
    <definedName name="Z_DA981607_1C86_4FD9_A0A7_D9249A0E5A24_.wvu.FilterData" localSheetId="1" hidden="1">ORÇAMENTO!$A$1:$F$287</definedName>
    <definedName name="Z_DB1D59DA_4BDC_4076_8581_C2E02B5A8E3C_.wvu.FilterData" localSheetId="6" hidden="1">'ANEXO I - MEM. CÁLC'!$A$5:$AM$5</definedName>
    <definedName name="Z_DB1D59DA_4BDC_4076_8581_C2E02B5A8E3C_.wvu.FilterData" localSheetId="1" hidden="1">ORÇAMENTO!$A$1:$F$287</definedName>
    <definedName name="Z_DB20F532_9924_4C8A_8152_4E08B425BFA7_.wvu.FilterData" localSheetId="6" hidden="1">'ANEXO I - MEM. CÁLC'!$A$5:$AM$5</definedName>
    <definedName name="Z_DB20F532_9924_4C8A_8152_4E08B425BFA7_.wvu.FilterData" localSheetId="1" hidden="1">ORÇAMENTO!$A$1:$F$287</definedName>
    <definedName name="Z_DB3155F2_2061_4E73_97C5_E9921B5614AA_.wvu.FilterData" localSheetId="6" hidden="1">'ANEXO I - MEM. CÁLC'!$A$5:$AM$5</definedName>
    <definedName name="Z_DB3155F2_2061_4E73_97C5_E9921B5614AA_.wvu.FilterData" localSheetId="1" hidden="1">ORÇAMENTO!$A$1:$F$287</definedName>
    <definedName name="Z_DB49B577_11FF_4202_91CC_AAF972207011_.wvu.FilterData" localSheetId="6" hidden="1">'ANEXO I - MEM. CÁLC'!#REF!</definedName>
    <definedName name="Z_DB49B577_11FF_4202_91CC_AAF972207011_.wvu.FilterData" localSheetId="1" hidden="1">ORÇAMENTO!$A$1:$F$287</definedName>
    <definedName name="Z_DB49B577_11FF_4202_91CC_AAF972207011_.wvu.PrintArea" localSheetId="6" hidden="1">'ANEXO I - MEM. CÁLC'!$A$1:$O$5</definedName>
    <definedName name="Z_DB49B577_11FF_4202_91CC_AAF972207011_.wvu.PrintArea" localSheetId="1" hidden="1">ORÇAMENTO!$A$1:$F$287</definedName>
    <definedName name="Z_DB49B577_11FF_4202_91CC_AAF972207011_.wvu.PrintTitles" localSheetId="6" hidden="1">'ANEXO I - MEM. CÁLC'!$1:$5</definedName>
    <definedName name="Z_DB49B577_11FF_4202_91CC_AAF972207011_.wvu.PrintTitles" localSheetId="1" hidden="1">ORÇAMENTO!#REF!</definedName>
    <definedName name="Z_DC059C51_9F6A_419A_8CAA_EC44502A1A90_.wvu.FilterData" localSheetId="1" hidden="1">ORÇAMENTO!$A$1:$F$287</definedName>
    <definedName name="Z_DCC2FAC3_231C_472A_B57D_D0DFBD5787C2_.wvu.FilterData" localSheetId="6" hidden="1">'ANEXO I - MEM. CÁLC'!$A$5:$AM$5</definedName>
    <definedName name="Z_DE176BE7_59EA_474C_8AEB_FF35051E0446_.wvu.FilterData" localSheetId="6" hidden="1">'ANEXO I - MEM. CÁLC'!$A$5:$AM$5</definedName>
    <definedName name="Z_DE6C8046_EF7D_4567_9123_758C167D0A47_.wvu.FilterData" localSheetId="6" hidden="1">'ANEXO I - MEM. CÁLC'!$A$5:$AM$5</definedName>
    <definedName name="Z_DED36F48_E02D_4663_9E68_47F15B0F03A2_.wvu.FilterData" localSheetId="6" hidden="1">'ANEXO I - MEM. CÁLC'!$A$5:$AM$5</definedName>
    <definedName name="Z_DFE4C8E5_603A_40F2_9865_A11121560722_.wvu.FilterData" localSheetId="6" hidden="1">'ANEXO I - MEM. CÁLC'!$A$5:$AM$5</definedName>
    <definedName name="Z_DFE4C8E5_603A_40F2_9865_A11121560722_.wvu.FilterData" localSheetId="1" hidden="1">ORÇAMENTO!$A$1:$F$287</definedName>
    <definedName name="Z_E09107B7_453E_45B8_92EA_CB0D38DD8E59_.wvu.FilterData" localSheetId="6" hidden="1">'ANEXO I - MEM. CÁLC'!$A$5:$AM$5</definedName>
    <definedName name="Z_E09107B7_453E_45B8_92EA_CB0D38DD8E59_.wvu.FilterData" localSheetId="1" hidden="1">ORÇAMENTO!$A$1:$F$287</definedName>
    <definedName name="Z_E1CDA9CD_95AF_4F24_ABE5_BF3C1DBF452B_.wvu.FilterData" localSheetId="6" hidden="1">'ANEXO I - MEM. CÁLC'!$A$5:$AM$5</definedName>
    <definedName name="Z_E4015D62_83DF_4415_9123_3B983C0B4E4C_.wvu.FilterData" localSheetId="6" hidden="1">'ANEXO I - MEM. CÁLC'!$A$5:$AM$5</definedName>
    <definedName name="Z_E4015D62_83DF_4415_9123_3B983C0B4E4C_.wvu.FilterData" localSheetId="1" hidden="1">ORÇAMENTO!$A$1:$F$287</definedName>
    <definedName name="Z_E417A0F9_23A9_4C2C_81E3_A95465A3243F_.wvu.FilterData" localSheetId="6" hidden="1">'ANEXO I - MEM. CÁLC'!$A$5:$AM$5</definedName>
    <definedName name="Z_E417A0F9_23A9_4C2C_81E3_A95465A3243F_.wvu.FilterData" localSheetId="1" hidden="1">ORÇAMENTO!$A$1:$F$287</definedName>
    <definedName name="Z_E4B906AB_4A3A_461C_8B50_FF602C2EE843_.wvu.FilterData" localSheetId="6" hidden="1">'ANEXO I - MEM. CÁLC'!$A$5:$AM$5</definedName>
    <definedName name="Z_E54B5B25_13A3_44AE_B3C6_81CABA5E356E_.wvu.FilterData" localSheetId="6" hidden="1">'ANEXO I - MEM. CÁLC'!$A$5:$AM$5</definedName>
    <definedName name="Z_E6561E36_D1E3_4F32_9471_B6FDECD10380_.wvu.FilterData" localSheetId="6" hidden="1">'ANEXO I - MEM. CÁLC'!$A$319:$O$1208</definedName>
    <definedName name="Z_E6561E36_D1E3_4F32_9471_B6FDECD10380_.wvu.FilterData" localSheetId="1" hidden="1">ORÇAMENTO!$A$260:$F$287</definedName>
    <definedName name="Z_E6940AD1_665B_41D2_B6E3_13B81C9FC8B2_.wvu.FilterData" localSheetId="6" hidden="1">'ANEXO I - MEM. CÁLC'!$A$5:$AM$5</definedName>
    <definedName name="Z_E71F1CC0_929F_48BD_AA17_C66F7752DBCB_.wvu.FilterData" localSheetId="6" hidden="1">'ANEXO I - MEM. CÁLC'!$A$5:$AM$5</definedName>
    <definedName name="Z_E71F1CC0_929F_48BD_AA17_C66F7752DBCB_.wvu.FilterData" localSheetId="1" hidden="1">ORÇAMENTO!$A$1:$F$287</definedName>
    <definedName name="Z_E8C35B82_B31A_4FC7_9286_55669AED673C_.wvu.FilterData" localSheetId="6" hidden="1">'ANEXO I - MEM. CÁLC'!$A$5:$AM$5</definedName>
    <definedName name="Z_E8C35B82_B31A_4FC7_9286_55669AED673C_.wvu.FilterData" localSheetId="1" hidden="1">ORÇAMENTO!$A$1:$F$287</definedName>
    <definedName name="Z_E8D29A35_ECC4_4B44_9ED3_EF07E63BB8CA_.wvu.FilterData" localSheetId="6" hidden="1">'ANEXO I - MEM. CÁLC'!$A$5:$AM$5</definedName>
    <definedName name="Z_E8D29A35_ECC4_4B44_9ED3_EF07E63BB8CA_.wvu.FilterData" localSheetId="1" hidden="1">ORÇAMENTO!$A$1:$F$287</definedName>
    <definedName name="Z_E9606D7E_7979_486D_A08B_4839D6911E88_.wvu.FilterData" localSheetId="1" hidden="1">ORÇAMENTO!#REF!</definedName>
    <definedName name="Z_EA1D0F0F_22E1_4AAC_BC9C_32BD554BBF2D_.wvu.FilterData" localSheetId="6" hidden="1">'ANEXO I - MEM. CÁLC'!$A$5:$AM$5</definedName>
    <definedName name="Z_EA1D0F0F_22E1_4AAC_BC9C_32BD554BBF2D_.wvu.FilterData" localSheetId="1" hidden="1">ORÇAMENTO!$A$1:$F$287</definedName>
    <definedName name="Z_EAE08E88_8225_4A99_A444_DA0A0A9FFB3D_.wvu.FilterData" localSheetId="1" hidden="1">ORÇAMENTO!$A$1:$F$287</definedName>
    <definedName name="Z_EB396767_FD33_4235_9315_27E71BC42A5B_.wvu.FilterData" localSheetId="1" hidden="1">ORÇAMENTO!$A$1:$F$287</definedName>
    <definedName name="Z_EB7E0DC4_D039_4D0A_AF5C_F9B264DAA25E_.wvu.FilterData" localSheetId="1" hidden="1">ORÇAMENTO!$A$1:$F$287</definedName>
    <definedName name="Z_EBC1CB36_1516_4433_A4F9_82B61A966676_.wvu.FilterData" localSheetId="6" hidden="1">'ANEXO I - MEM. CÁLC'!$A$5:$AM$5</definedName>
    <definedName name="Z_EBD7FDDF_7551_4BDC_B020_3C51EF1A26CA_.wvu.FilterData" localSheetId="6" hidden="1">'ANEXO I - MEM. CÁLC'!$A$5:$AM$5</definedName>
    <definedName name="Z_EC6346AC_F774_482D_A281_20E9D6573B93_.wvu.FilterData" localSheetId="6" hidden="1">'ANEXO I - MEM. CÁLC'!$A$5:$AM$5</definedName>
    <definedName name="Z_EC6346AC_F774_482D_A281_20E9D6573B93_.wvu.FilterData" localSheetId="1" hidden="1">ORÇAMENTO!$A$1:$F$287</definedName>
    <definedName name="Z_ED5DDC04_0666_40C1_A9D6_6CBD36495C2A_.wvu.FilterData" localSheetId="1" hidden="1">ORÇAMENTO!#REF!</definedName>
    <definedName name="Z_EE3FFA78_2455_48C6_B34F_7D0899A62C65_.wvu.FilterData" localSheetId="6" hidden="1">'ANEXO I - MEM. CÁLC'!$A$5:$AM$5</definedName>
    <definedName name="Z_EE847BFC_D0CE_4171_B31F_4910CED6B825_.wvu.FilterData" localSheetId="1" hidden="1">ORÇAMENTO!#REF!</definedName>
    <definedName name="Z_F013BA40_8CEA_40B6_8162_21EFB1D519FA_.wvu.FilterData" localSheetId="6" hidden="1">'ANEXO I - MEM. CÁLC'!$A$5:$AM$5</definedName>
    <definedName name="Z_F013BA40_8CEA_40B6_8162_21EFB1D519FA_.wvu.FilterData" localSheetId="1" hidden="1">ORÇAMENTO!$A$1:$F$287</definedName>
    <definedName name="Z_F0CB28C0_11EA_467A_A0D2_801B3AA35C67_.wvu.FilterData" localSheetId="6" hidden="1">'ANEXO I - MEM. CÁLC'!$A$5:$AM$5</definedName>
    <definedName name="Z_F0CB28C0_11EA_467A_A0D2_801B3AA35C67_.wvu.FilterData" localSheetId="1" hidden="1">ORÇAMENTO!$A$1:$F$287</definedName>
    <definedName name="Z_F0F437F3_B4B2_4AED_A920_2D8854F45CF3_.wvu.FilterData" localSheetId="6" hidden="1">'ANEXO I - MEM. CÁLC'!$A$5:$AM$5</definedName>
    <definedName name="Z_F0F437F3_B4B2_4AED_A920_2D8854F45CF3_.wvu.FilterData" localSheetId="1" hidden="1">ORÇAMENTO!$A$1:$F$287</definedName>
    <definedName name="Z_F1FF1F07_3A83_4036_89C5_E4C108CCB3B8_.wvu.FilterData" localSheetId="1" hidden="1">ORÇAMENTO!$A$1:$F$287</definedName>
    <definedName name="Z_F2B47E33_9A24_4258_9465_AB5D01B8108C_.wvu.FilterData" localSheetId="1" hidden="1">ORÇAMENTO!$A$1:$F$287</definedName>
    <definedName name="Z_F2D7D145_339A_4F35_BAC8_F2D365B4C925_.wvu.FilterData" localSheetId="6" hidden="1">'ANEXO I - MEM. CÁLC'!$A$5:$AM$5</definedName>
    <definedName name="Z_F2D7D145_339A_4F35_BAC8_F2D365B4C925_.wvu.FilterData" localSheetId="1" hidden="1">ORÇAMENTO!$A$1:$F$287</definedName>
    <definedName name="Z_F3AA0494_6669_42C8_9CC5_D2C503DA86DF_.wvu.FilterData" localSheetId="6" hidden="1">'ANEXO I - MEM. CÁLC'!$A$5:$AM$5</definedName>
    <definedName name="Z_F3AA0494_6669_42C8_9CC5_D2C503DA86DF_.wvu.FilterData" localSheetId="1" hidden="1">ORÇAMENTO!$A$1:$F$287</definedName>
    <definedName name="Z_F440BF87_400E_43EE_A730_4062E087005C_.wvu.FilterData" localSheetId="6" hidden="1">'ANEXO I - MEM. CÁLC'!$A$5:$AM$5</definedName>
    <definedName name="Z_F6846847_3B01_40F9_9CEB_1A249F185AF1_.wvu.FilterData" localSheetId="6" hidden="1">'ANEXO I - MEM. CÁLC'!$A$319:$O$1208</definedName>
    <definedName name="Z_F7336229_8C3C_4738_9433_3CB3642B1B0E_.wvu.FilterData" localSheetId="6" hidden="1">'ANEXO I - MEM. CÁLC'!$A$5:$AM$5</definedName>
    <definedName name="Z_F7BB2983_D9B1_4605_96C0_33E4B34FE3DF_.wvu.FilterData" localSheetId="6" hidden="1">'ANEXO I - MEM. CÁLC'!$A$5:$AM$5</definedName>
    <definedName name="Z_F7BB2983_D9B1_4605_96C0_33E4B34FE3DF_.wvu.FilterData" localSheetId="1" hidden="1">ORÇAMENTO!$A$1:$F$287</definedName>
    <definedName name="Z_F85A1EF5_7017_4D6E_A028_ECA106F8785B_.wvu.FilterData" localSheetId="1" hidden="1">ORÇAMENTO!$A$1:$F$287</definedName>
    <definedName name="Z_F8864AC8_2593_41AA_B897_A13C9B5ED966_.wvu.FilterData" localSheetId="6" hidden="1">'ANEXO I - MEM. CÁLC'!$A$5:$AM$5</definedName>
    <definedName name="Z_F8864AC8_2593_41AA_B897_A13C9B5ED966_.wvu.FilterData" localSheetId="1" hidden="1">ORÇAMENTO!$A$1:$F$287</definedName>
    <definedName name="Z_F89B1655_D6C7_4386_A854_6DC5D2AF2C28_.wvu.FilterData" localSheetId="1" hidden="1">ORÇAMENTO!$A$1:$F$287</definedName>
    <definedName name="Z_F9356A3E_9F8C_42AF_95A4_B1118A24DC70_.wvu.FilterData" localSheetId="1" hidden="1">ORÇAMENTO!$A$1:$F$287</definedName>
    <definedName name="Z_FA32A433_ABE5_437C_B878_724FBDA343E3_.wvu.FilterData" localSheetId="6" hidden="1">'ANEXO I - MEM. CÁLC'!$A$5:$AM$5</definedName>
    <definedName name="Z_FA32A433_ABE5_437C_B878_724FBDA343E3_.wvu.FilterData" localSheetId="1" hidden="1">ORÇAMENTO!$A$1:$F$287</definedName>
    <definedName name="Z_FAE4E218_1A23_4A05_B7E3_45F51D57BCE2_.wvu.FilterData" localSheetId="1" hidden="1">ORÇAMENTO!#REF!</definedName>
    <definedName name="Z_FB094681_1708_447E_9F48_03BFB7369FBC_.wvu.FilterData" localSheetId="6" hidden="1">'ANEXO I - MEM. CÁLC'!$A$5:$AM$5</definedName>
    <definedName name="Z_FB094681_1708_447E_9F48_03BFB7369FBC_.wvu.FilterData" localSheetId="1" hidden="1">ORÇAMENTO!$A$1:$F$287</definedName>
    <definedName name="Z_FBE7DAD1_983E_4A8E_8F05_F7FACAB24D39_.wvu.FilterData" localSheetId="1" hidden="1">ORÇAMENTO!$A$1:$F$287</definedName>
    <definedName name="Z_FCE18F34_5B90_49FF_A1FD_AA1941AACF09_.wvu.FilterData" localSheetId="6" hidden="1">'ANEXO I - MEM. CÁLC'!$A$5:$AM$5</definedName>
    <definedName name="Z_FE2957F9_7645_4C6B_B5AA_32B8E3542998_.wvu.FilterData" localSheetId="1" hidden="1">ORÇAMENTO!$A$1:$F$287</definedName>
    <definedName name="Z_FEDA5B2B_6589_452D_93CD_0508D2E653BC_.wvu.FilterData" localSheetId="6" hidden="1">'ANEXO I - MEM. CÁLC'!$A$5:$AM$5</definedName>
    <definedName name="Z_FF0D4260_2F83_4523_BFAE_51EFAD5FECEE_.wvu.FilterData" localSheetId="6" hidden="1">'ANEXO I - MEM. CÁLC'!$A$5:$AM$5</definedName>
    <definedName name="Z_FF0D4260_2F83_4523_BFAE_51EFAD5FECEE_.wvu.FilterData" localSheetId="1" hidden="1">ORÇAMENTO!$A$1:$F$287</definedName>
    <definedName name="Z_FF2AF619_9E19_47D3_B818_008E82978823_.wvu.FilterData" localSheetId="1" hidden="1">ORÇAMENTO!$A$1:$F$287</definedName>
  </definedNames>
  <calcPr calcId="191029" iterate="1" iterateCount="10"/>
</workbook>
</file>

<file path=xl/calcChain.xml><?xml version="1.0" encoding="utf-8"?>
<calcChain xmlns="http://schemas.openxmlformats.org/spreadsheetml/2006/main">
  <c r="AZ51" i="13" l="1"/>
  <c r="AZ52" i="13"/>
  <c r="AZ53" i="13"/>
  <c r="AZ54" i="13"/>
  <c r="AZ55" i="13"/>
  <c r="AZ56" i="13"/>
  <c r="AZ57" i="13"/>
  <c r="AZ58" i="13"/>
  <c r="AZ59" i="13"/>
  <c r="AZ60" i="13"/>
  <c r="AZ61" i="13"/>
  <c r="AZ62" i="13"/>
  <c r="AZ63" i="13"/>
  <c r="AZ64" i="13"/>
  <c r="AZ65" i="13"/>
  <c r="AZ66" i="13"/>
  <c r="AZ67" i="13"/>
  <c r="BJ28" i="13"/>
  <c r="BJ27" i="13"/>
  <c r="BJ26" i="13"/>
  <c r="BJ25" i="13"/>
  <c r="BJ24" i="13"/>
  <c r="BJ23" i="13"/>
  <c r="BJ22" i="13"/>
  <c r="BJ21" i="13"/>
  <c r="BJ20" i="13"/>
  <c r="BJ19" i="13"/>
  <c r="BJ18" i="13"/>
  <c r="BJ17" i="13"/>
  <c r="BJ15" i="13"/>
  <c r="BJ14" i="13"/>
  <c r="BJ12" i="13"/>
  <c r="BJ11" i="13"/>
  <c r="BJ10" i="13"/>
  <c r="BJ9" i="13"/>
  <c r="BJ8" i="13"/>
  <c r="BJ7" i="13"/>
  <c r="BJ6" i="13"/>
  <c r="O647" i="12" l="1"/>
  <c r="M647" i="12" s="1"/>
  <c r="BB69" i="15"/>
  <c r="BE67" i="13"/>
  <c r="AW66" i="13"/>
  <c r="BE65" i="13"/>
  <c r="BE64" i="13"/>
  <c r="BE63" i="13"/>
  <c r="BE62" i="13"/>
  <c r="BE61" i="13"/>
  <c r="BE60" i="13"/>
  <c r="BE59" i="13"/>
  <c r="BE58" i="13"/>
  <c r="BE57" i="13"/>
  <c r="BE56" i="13"/>
  <c r="BE55" i="13"/>
  <c r="BE54" i="13"/>
  <c r="BE53" i="13"/>
  <c r="BE52" i="13"/>
  <c r="BE51" i="13"/>
  <c r="BE50" i="13"/>
  <c r="BE49" i="13"/>
  <c r="BE48" i="13"/>
  <c r="BE47" i="13"/>
  <c r="BE46" i="13"/>
  <c r="BE45" i="13"/>
  <c r="AM52" i="13"/>
  <c r="AN52" i="13"/>
  <c r="AP65" i="13"/>
  <c r="AP59" i="13"/>
  <c r="BA68" i="15" l="1"/>
  <c r="BA67" i="15"/>
  <c r="BA66" i="15"/>
  <c r="BA65" i="15"/>
  <c r="BA64" i="15"/>
  <c r="BA63" i="15"/>
  <c r="BA62" i="15"/>
  <c r="BA61" i="15"/>
  <c r="BA60" i="15"/>
  <c r="BA59" i="15"/>
  <c r="BA58" i="15"/>
  <c r="BA57" i="15"/>
  <c r="BA56" i="15"/>
  <c r="BA55" i="15"/>
  <c r="BA54" i="15"/>
  <c r="BA53" i="15"/>
  <c r="BA52" i="15"/>
  <c r="BA51" i="15"/>
  <c r="BA50" i="15"/>
  <c r="BA49" i="15"/>
  <c r="BA48" i="15"/>
  <c r="BA47" i="15"/>
  <c r="BA46" i="15"/>
  <c r="BA45" i="15"/>
  <c r="BA44" i="15"/>
  <c r="BA43" i="15"/>
  <c r="BA42" i="15"/>
  <c r="BA41" i="15"/>
  <c r="BA40" i="15"/>
  <c r="BA39" i="15"/>
  <c r="BA38" i="15"/>
  <c r="BA37" i="15"/>
  <c r="BA36" i="15"/>
  <c r="BA35" i="15"/>
  <c r="BA33" i="15"/>
  <c r="BA32" i="15"/>
  <c r="BA31" i="15"/>
  <c r="BA30" i="15"/>
  <c r="BA29" i="15"/>
  <c r="BA28" i="15"/>
  <c r="BA27" i="15"/>
  <c r="BA26" i="15"/>
  <c r="BA25" i="15"/>
  <c r="BA24" i="15"/>
  <c r="BA23" i="15"/>
  <c r="BA22" i="15"/>
  <c r="BA21" i="15"/>
  <c r="BA20" i="15"/>
  <c r="BA19" i="15"/>
  <c r="BA18" i="15"/>
  <c r="BA16" i="15"/>
  <c r="BA15" i="15"/>
  <c r="BA14" i="15"/>
  <c r="BA13" i="15"/>
  <c r="BA11" i="15"/>
  <c r="BA10" i="15"/>
  <c r="BA9" i="15"/>
  <c r="BA8" i="15"/>
  <c r="BA7" i="15"/>
  <c r="BA6" i="15"/>
  <c r="C297" i="4" l="1"/>
  <c r="D297" i="4"/>
  <c r="E297" i="4"/>
  <c r="F297" i="4"/>
  <c r="G297" i="4"/>
  <c r="I297" i="4"/>
  <c r="C275" i="4"/>
  <c r="D275" i="4"/>
  <c r="E275" i="4"/>
  <c r="F275" i="4"/>
  <c r="G275" i="4"/>
  <c r="I275" i="4"/>
  <c r="C283" i="4"/>
  <c r="D283" i="4"/>
  <c r="E283" i="4"/>
  <c r="F283" i="4"/>
  <c r="G283" i="4"/>
  <c r="I283" i="4"/>
  <c r="C279" i="4"/>
  <c r="D279" i="4"/>
  <c r="E279" i="4"/>
  <c r="F279" i="4"/>
  <c r="G279" i="4"/>
  <c r="I279" i="4"/>
  <c r="C334" i="4"/>
  <c r="D334" i="4"/>
  <c r="E334" i="4"/>
  <c r="F334" i="4"/>
  <c r="G334" i="4"/>
  <c r="I334" i="4"/>
  <c r="C329" i="4"/>
  <c r="D329" i="4"/>
  <c r="E329" i="4"/>
  <c r="F329" i="4"/>
  <c r="G329" i="4"/>
  <c r="I329" i="4"/>
  <c r="C302" i="4"/>
  <c r="D302" i="4"/>
  <c r="E302" i="4"/>
  <c r="F302" i="4"/>
  <c r="G302" i="4"/>
  <c r="I302" i="4"/>
  <c r="C295" i="4"/>
  <c r="D295" i="4"/>
  <c r="E295" i="4"/>
  <c r="F295" i="4"/>
  <c r="G295" i="4"/>
  <c r="I295" i="4"/>
  <c r="C26" i="4"/>
  <c r="D26" i="4"/>
  <c r="E26" i="4"/>
  <c r="F26" i="4"/>
  <c r="G26" i="4"/>
  <c r="I26" i="4"/>
  <c r="C103" i="4"/>
  <c r="D103" i="4"/>
  <c r="E103" i="4"/>
  <c r="F103" i="4"/>
  <c r="G103" i="4"/>
  <c r="I103" i="4"/>
  <c r="C24" i="4"/>
  <c r="D24" i="4"/>
  <c r="E24" i="4"/>
  <c r="F24" i="4"/>
  <c r="G24" i="4"/>
  <c r="I24" i="4"/>
  <c r="C122" i="4"/>
  <c r="D122" i="4"/>
  <c r="E122" i="4"/>
  <c r="F122" i="4"/>
  <c r="G122" i="4"/>
  <c r="I122" i="4"/>
  <c r="C45" i="4"/>
  <c r="D45" i="4"/>
  <c r="E45" i="4"/>
  <c r="F45" i="4"/>
  <c r="G45" i="4"/>
  <c r="I45" i="4"/>
  <c r="C359" i="4"/>
  <c r="D359" i="4"/>
  <c r="E359" i="4"/>
  <c r="F359" i="4"/>
  <c r="G359" i="4"/>
  <c r="I359" i="4"/>
  <c r="C340" i="4"/>
  <c r="D340" i="4"/>
  <c r="E340" i="4"/>
  <c r="F340" i="4"/>
  <c r="G340" i="4"/>
  <c r="I340" i="4"/>
  <c r="C117" i="4"/>
  <c r="D117" i="4"/>
  <c r="E117" i="4"/>
  <c r="F117" i="4"/>
  <c r="G117" i="4"/>
  <c r="I117" i="4"/>
  <c r="C46" i="4"/>
  <c r="D46" i="4"/>
  <c r="E46" i="4"/>
  <c r="F46" i="4"/>
  <c r="G46" i="4"/>
  <c r="I46" i="4"/>
  <c r="C360" i="4"/>
  <c r="D360" i="4"/>
  <c r="E360" i="4"/>
  <c r="F360" i="4"/>
  <c r="G360" i="4"/>
  <c r="I360" i="4"/>
  <c r="C341" i="4"/>
  <c r="D341" i="4"/>
  <c r="E341" i="4"/>
  <c r="F341" i="4"/>
  <c r="G341" i="4"/>
  <c r="I341" i="4"/>
  <c r="C120" i="4"/>
  <c r="D120" i="4"/>
  <c r="E120" i="4"/>
  <c r="F120" i="4"/>
  <c r="G120" i="4"/>
  <c r="I120" i="4"/>
  <c r="C47" i="4"/>
  <c r="D47" i="4"/>
  <c r="E47" i="4"/>
  <c r="F47" i="4"/>
  <c r="G47" i="4"/>
  <c r="I47" i="4"/>
  <c r="C361" i="4"/>
  <c r="D361" i="4"/>
  <c r="E361" i="4"/>
  <c r="F361" i="4"/>
  <c r="G361" i="4"/>
  <c r="I361" i="4"/>
  <c r="C342" i="4"/>
  <c r="D342" i="4"/>
  <c r="E342" i="4"/>
  <c r="F342" i="4"/>
  <c r="G342" i="4"/>
  <c r="I342" i="4"/>
  <c r="C112" i="4"/>
  <c r="D112" i="4"/>
  <c r="E112" i="4"/>
  <c r="F112" i="4"/>
  <c r="G112" i="4"/>
  <c r="I112" i="4"/>
  <c r="C235" i="4"/>
  <c r="D235" i="4"/>
  <c r="E235" i="4"/>
  <c r="F235" i="4"/>
  <c r="G235" i="4"/>
  <c r="I235" i="4"/>
  <c r="C323" i="4"/>
  <c r="D323" i="4"/>
  <c r="E323" i="4"/>
  <c r="F323" i="4"/>
  <c r="G323" i="4"/>
  <c r="I323" i="4"/>
  <c r="C320" i="4"/>
  <c r="D320" i="4"/>
  <c r="E320" i="4"/>
  <c r="F320" i="4"/>
  <c r="G320" i="4"/>
  <c r="I320" i="4"/>
  <c r="C48" i="4"/>
  <c r="D48" i="4"/>
  <c r="E48" i="4"/>
  <c r="F48" i="4"/>
  <c r="G48" i="4"/>
  <c r="I48" i="4"/>
  <c r="C362" i="4"/>
  <c r="D362" i="4"/>
  <c r="E362" i="4"/>
  <c r="F362" i="4"/>
  <c r="G362" i="4"/>
  <c r="I362" i="4"/>
  <c r="C343" i="4"/>
  <c r="D343" i="4"/>
  <c r="E343" i="4"/>
  <c r="F343" i="4"/>
  <c r="G343" i="4"/>
  <c r="I343" i="4"/>
  <c r="C118" i="4"/>
  <c r="D118" i="4"/>
  <c r="E118" i="4"/>
  <c r="F118" i="4"/>
  <c r="G118" i="4"/>
  <c r="I118" i="4"/>
  <c r="C114" i="4"/>
  <c r="D114" i="4"/>
  <c r="E114" i="4"/>
  <c r="F114" i="4"/>
  <c r="G114" i="4"/>
  <c r="I114" i="4"/>
  <c r="C49" i="4"/>
  <c r="D49" i="4"/>
  <c r="E49" i="4"/>
  <c r="F49" i="4"/>
  <c r="G49" i="4"/>
  <c r="I49" i="4"/>
  <c r="C363" i="4"/>
  <c r="D363" i="4"/>
  <c r="E363" i="4"/>
  <c r="F363" i="4"/>
  <c r="G363" i="4"/>
  <c r="I363" i="4"/>
  <c r="C344" i="4"/>
  <c r="D344" i="4"/>
  <c r="E344" i="4"/>
  <c r="F344" i="4"/>
  <c r="G344" i="4"/>
  <c r="I344" i="4"/>
  <c r="C115" i="4"/>
  <c r="D115" i="4"/>
  <c r="E115" i="4"/>
  <c r="F115" i="4"/>
  <c r="G115" i="4"/>
  <c r="I115" i="4"/>
  <c r="C50" i="4"/>
  <c r="D50" i="4"/>
  <c r="E50" i="4"/>
  <c r="F50" i="4"/>
  <c r="G50" i="4"/>
  <c r="I50" i="4"/>
  <c r="C364" i="4"/>
  <c r="D364" i="4"/>
  <c r="E364" i="4"/>
  <c r="F364" i="4"/>
  <c r="G364" i="4"/>
  <c r="I364" i="4"/>
  <c r="C345" i="4"/>
  <c r="D345" i="4"/>
  <c r="E345" i="4"/>
  <c r="F345" i="4"/>
  <c r="G345" i="4"/>
  <c r="I345" i="4"/>
  <c r="C129" i="4"/>
  <c r="D129" i="4"/>
  <c r="E129" i="4"/>
  <c r="F129" i="4"/>
  <c r="G129" i="4"/>
  <c r="I129" i="4"/>
  <c r="C146" i="4"/>
  <c r="D146" i="4"/>
  <c r="E146" i="4"/>
  <c r="F146" i="4"/>
  <c r="G146" i="4"/>
  <c r="I146" i="4"/>
  <c r="C174" i="4"/>
  <c r="D174" i="4"/>
  <c r="E174" i="4"/>
  <c r="F174" i="4"/>
  <c r="G174" i="4"/>
  <c r="I174" i="4"/>
  <c r="C185" i="4"/>
  <c r="D185" i="4"/>
  <c r="E185" i="4"/>
  <c r="F185" i="4"/>
  <c r="G185" i="4"/>
  <c r="I185" i="4"/>
  <c r="C161" i="4"/>
  <c r="D161" i="4"/>
  <c r="E161" i="4"/>
  <c r="F161" i="4"/>
  <c r="G161" i="4"/>
  <c r="I161" i="4"/>
  <c r="C170" i="4"/>
  <c r="D170" i="4"/>
  <c r="E170" i="4"/>
  <c r="F170" i="4"/>
  <c r="G170" i="4"/>
  <c r="I170" i="4"/>
  <c r="C153" i="4"/>
  <c r="D153" i="4"/>
  <c r="E153" i="4"/>
  <c r="F153" i="4"/>
  <c r="G153" i="4"/>
  <c r="I153" i="4"/>
  <c r="C180" i="4"/>
  <c r="D180" i="4"/>
  <c r="E180" i="4"/>
  <c r="F180" i="4"/>
  <c r="G180" i="4"/>
  <c r="I180" i="4"/>
  <c r="C168" i="4"/>
  <c r="D168" i="4"/>
  <c r="E168" i="4"/>
  <c r="F168" i="4"/>
  <c r="G168" i="4"/>
  <c r="I168" i="4"/>
  <c r="C193" i="4"/>
  <c r="D193" i="4"/>
  <c r="E193" i="4"/>
  <c r="F193" i="4"/>
  <c r="G193" i="4"/>
  <c r="I193" i="4"/>
  <c r="C195" i="4"/>
  <c r="D195" i="4"/>
  <c r="E195" i="4"/>
  <c r="F195" i="4"/>
  <c r="G195" i="4"/>
  <c r="I195" i="4"/>
  <c r="C148" i="4"/>
  <c r="D148" i="4"/>
  <c r="E148" i="4"/>
  <c r="F148" i="4"/>
  <c r="G148" i="4"/>
  <c r="I148" i="4"/>
  <c r="C59" i="4"/>
  <c r="D59" i="4"/>
  <c r="E59" i="4"/>
  <c r="F59" i="4"/>
  <c r="G59" i="4"/>
  <c r="I59" i="4"/>
  <c r="C365" i="4"/>
  <c r="D365" i="4"/>
  <c r="E365" i="4"/>
  <c r="F365" i="4"/>
  <c r="G365" i="4"/>
  <c r="I365" i="4"/>
  <c r="C346" i="4"/>
  <c r="D346" i="4"/>
  <c r="E346" i="4"/>
  <c r="F346" i="4"/>
  <c r="G346" i="4"/>
  <c r="I346" i="4"/>
  <c r="C229" i="4"/>
  <c r="D229" i="4"/>
  <c r="E229" i="4"/>
  <c r="F229" i="4"/>
  <c r="G229" i="4"/>
  <c r="I229" i="4"/>
  <c r="C225" i="4"/>
  <c r="D225" i="4"/>
  <c r="E225" i="4"/>
  <c r="F225" i="4"/>
  <c r="G225" i="4"/>
  <c r="I225" i="4"/>
  <c r="C203" i="4"/>
  <c r="D203" i="4"/>
  <c r="E203" i="4"/>
  <c r="F203" i="4"/>
  <c r="G203" i="4"/>
  <c r="I203" i="4"/>
  <c r="C213" i="4"/>
  <c r="D213" i="4"/>
  <c r="E213" i="4"/>
  <c r="F213" i="4"/>
  <c r="G213" i="4"/>
  <c r="I213" i="4"/>
  <c r="C221" i="4"/>
  <c r="D221" i="4"/>
  <c r="E221" i="4"/>
  <c r="F221" i="4"/>
  <c r="G221" i="4"/>
  <c r="I221" i="4"/>
  <c r="C197" i="4"/>
  <c r="D197" i="4"/>
  <c r="E197" i="4"/>
  <c r="F197" i="4"/>
  <c r="G197" i="4"/>
  <c r="I197" i="4"/>
  <c r="C207" i="4"/>
  <c r="D207" i="4"/>
  <c r="E207" i="4"/>
  <c r="F207" i="4"/>
  <c r="G207" i="4"/>
  <c r="I207" i="4"/>
  <c r="C217" i="4"/>
  <c r="D217" i="4"/>
  <c r="E217" i="4"/>
  <c r="F217" i="4"/>
  <c r="G217" i="4"/>
  <c r="I217" i="4"/>
  <c r="C201" i="4"/>
  <c r="D201" i="4"/>
  <c r="E201" i="4"/>
  <c r="F201" i="4"/>
  <c r="G201" i="4"/>
  <c r="I201" i="4"/>
  <c r="C211" i="4"/>
  <c r="D211" i="4"/>
  <c r="E211" i="4"/>
  <c r="F211" i="4"/>
  <c r="G211" i="4"/>
  <c r="I211" i="4"/>
  <c r="C219" i="4"/>
  <c r="D219" i="4"/>
  <c r="E219" i="4"/>
  <c r="F219" i="4"/>
  <c r="G219" i="4"/>
  <c r="I219" i="4"/>
  <c r="C306" i="4"/>
  <c r="D306" i="4"/>
  <c r="E306" i="4"/>
  <c r="F306" i="4"/>
  <c r="G306" i="4"/>
  <c r="I306" i="4"/>
  <c r="C304" i="4"/>
  <c r="D304" i="4"/>
  <c r="E304" i="4"/>
  <c r="F304" i="4"/>
  <c r="G304" i="4"/>
  <c r="I304" i="4"/>
  <c r="C239" i="4"/>
  <c r="D239" i="4"/>
  <c r="E239" i="4"/>
  <c r="F239" i="4"/>
  <c r="G239" i="4"/>
  <c r="I239" i="4"/>
  <c r="C28" i="4"/>
  <c r="D28" i="4"/>
  <c r="E28" i="4"/>
  <c r="F28" i="4"/>
  <c r="G28" i="4"/>
  <c r="I28" i="4"/>
  <c r="C288" i="4"/>
  <c r="D288" i="4"/>
  <c r="E288" i="4"/>
  <c r="F288" i="4"/>
  <c r="G288" i="4"/>
  <c r="I288" i="4"/>
  <c r="C131" i="4"/>
  <c r="D131" i="4"/>
  <c r="E131" i="4"/>
  <c r="F131" i="4"/>
  <c r="G131" i="4"/>
  <c r="I131" i="4"/>
  <c r="C255" i="4"/>
  <c r="D255" i="4"/>
  <c r="E255" i="4"/>
  <c r="F255" i="4"/>
  <c r="G255" i="4"/>
  <c r="I255" i="4"/>
  <c r="C138" i="4"/>
  <c r="D138" i="4"/>
  <c r="E138" i="4"/>
  <c r="F138" i="4"/>
  <c r="G138" i="4"/>
  <c r="I138" i="4"/>
  <c r="C38" i="4"/>
  <c r="D38" i="4"/>
  <c r="E38" i="4"/>
  <c r="F38" i="4"/>
  <c r="G38" i="4"/>
  <c r="I38" i="4"/>
  <c r="C105" i="4"/>
  <c r="D105" i="4"/>
  <c r="E105" i="4"/>
  <c r="F105" i="4"/>
  <c r="G105" i="4"/>
  <c r="I105" i="4"/>
  <c r="C401" i="4"/>
  <c r="D401" i="4"/>
  <c r="E401" i="4"/>
  <c r="F401" i="4"/>
  <c r="G401" i="4"/>
  <c r="I401" i="4"/>
  <c r="C81" i="4"/>
  <c r="D81" i="4"/>
  <c r="E81" i="4"/>
  <c r="F81" i="4"/>
  <c r="G81" i="4"/>
  <c r="I81" i="4"/>
  <c r="C314" i="4"/>
  <c r="D314" i="4"/>
  <c r="E314" i="4"/>
  <c r="F314" i="4"/>
  <c r="G314" i="4"/>
  <c r="I314" i="4"/>
  <c r="C310" i="4"/>
  <c r="D310" i="4"/>
  <c r="E310" i="4"/>
  <c r="F310" i="4"/>
  <c r="G310" i="4"/>
  <c r="I310" i="4"/>
  <c r="C60" i="4"/>
  <c r="D60" i="4"/>
  <c r="E60" i="4"/>
  <c r="F60" i="4"/>
  <c r="G60" i="4"/>
  <c r="I60" i="4"/>
  <c r="C366" i="4"/>
  <c r="D366" i="4"/>
  <c r="E366" i="4"/>
  <c r="F366" i="4"/>
  <c r="G366" i="4"/>
  <c r="I366" i="4"/>
  <c r="C21" i="4"/>
  <c r="D21" i="4"/>
  <c r="E21" i="4"/>
  <c r="F21" i="4"/>
  <c r="G21" i="4"/>
  <c r="I21" i="4"/>
  <c r="C12" i="4"/>
  <c r="D12" i="4"/>
  <c r="E12" i="4"/>
  <c r="F12" i="4"/>
  <c r="G12" i="4"/>
  <c r="I12" i="4"/>
  <c r="C14" i="4"/>
  <c r="D14" i="4"/>
  <c r="E14" i="4"/>
  <c r="F14" i="4"/>
  <c r="G14" i="4"/>
  <c r="I14" i="4"/>
  <c r="C16" i="4"/>
  <c r="D16" i="4"/>
  <c r="E16" i="4"/>
  <c r="F16" i="4"/>
  <c r="G16" i="4"/>
  <c r="I16" i="4"/>
  <c r="C380" i="4"/>
  <c r="D380" i="4"/>
  <c r="E380" i="4"/>
  <c r="F380" i="4"/>
  <c r="G380" i="4"/>
  <c r="I380" i="4"/>
  <c r="C74" i="4"/>
  <c r="D74" i="4"/>
  <c r="E74" i="4"/>
  <c r="F74" i="4"/>
  <c r="G74" i="4"/>
  <c r="I74" i="4"/>
  <c r="C382" i="4"/>
  <c r="D382" i="4"/>
  <c r="E382" i="4"/>
  <c r="F382" i="4"/>
  <c r="G382" i="4"/>
  <c r="I382" i="4"/>
  <c r="C393" i="4"/>
  <c r="D393" i="4"/>
  <c r="E393" i="4"/>
  <c r="F393" i="4"/>
  <c r="G393" i="4"/>
  <c r="I393" i="4"/>
  <c r="C67" i="4"/>
  <c r="D67" i="4"/>
  <c r="E67" i="4"/>
  <c r="F67" i="4"/>
  <c r="G67" i="4"/>
  <c r="I67" i="4"/>
  <c r="C387" i="4"/>
  <c r="D387" i="4"/>
  <c r="E387" i="4"/>
  <c r="F387" i="4"/>
  <c r="G387" i="4"/>
  <c r="I387" i="4"/>
  <c r="C69" i="4"/>
  <c r="D69" i="4"/>
  <c r="E69" i="4"/>
  <c r="F69" i="4"/>
  <c r="G69" i="4"/>
  <c r="I69" i="4"/>
  <c r="C389" i="4"/>
  <c r="D389" i="4"/>
  <c r="E389" i="4"/>
  <c r="F389" i="4"/>
  <c r="G389" i="4"/>
  <c r="I389" i="4"/>
  <c r="C71" i="4"/>
  <c r="D71" i="4"/>
  <c r="E71" i="4"/>
  <c r="F71" i="4"/>
  <c r="G71" i="4"/>
  <c r="I71" i="4"/>
  <c r="C391" i="4"/>
  <c r="D391" i="4"/>
  <c r="E391" i="4"/>
  <c r="F391" i="4"/>
  <c r="G391" i="4"/>
  <c r="I391" i="4"/>
  <c r="C276" i="4"/>
  <c r="D276" i="4"/>
  <c r="E276" i="4"/>
  <c r="F276" i="4"/>
  <c r="G276" i="4"/>
  <c r="I276" i="4"/>
  <c r="C280" i="4"/>
  <c r="D280" i="4"/>
  <c r="E280" i="4"/>
  <c r="F280" i="4"/>
  <c r="G280" i="4"/>
  <c r="I280" i="4"/>
  <c r="C335" i="4"/>
  <c r="D335" i="4"/>
  <c r="E335" i="4"/>
  <c r="F335" i="4"/>
  <c r="G335" i="4"/>
  <c r="I335" i="4"/>
  <c r="C299" i="4"/>
  <c r="D299" i="4"/>
  <c r="E299" i="4"/>
  <c r="F299" i="4"/>
  <c r="G299" i="4"/>
  <c r="I299" i="4"/>
  <c r="C330" i="4"/>
  <c r="D330" i="4"/>
  <c r="E330" i="4"/>
  <c r="F330" i="4"/>
  <c r="G330" i="4"/>
  <c r="I330" i="4"/>
  <c r="C165" i="4"/>
  <c r="D165" i="4"/>
  <c r="E165" i="4"/>
  <c r="F165" i="4"/>
  <c r="G165" i="4"/>
  <c r="I165" i="4"/>
  <c r="C175" i="4"/>
  <c r="D175" i="4"/>
  <c r="E175" i="4"/>
  <c r="F175" i="4"/>
  <c r="G175" i="4"/>
  <c r="I175" i="4"/>
  <c r="C186" i="4"/>
  <c r="D186" i="4"/>
  <c r="E186" i="4"/>
  <c r="F186" i="4"/>
  <c r="G186" i="4"/>
  <c r="I186" i="4"/>
  <c r="C159" i="4"/>
  <c r="D159" i="4"/>
  <c r="E159" i="4"/>
  <c r="F159" i="4"/>
  <c r="G159" i="4"/>
  <c r="I159" i="4"/>
  <c r="C178" i="4"/>
  <c r="D178" i="4"/>
  <c r="E178" i="4"/>
  <c r="F178" i="4"/>
  <c r="G178" i="4"/>
  <c r="I178" i="4"/>
  <c r="C162" i="4"/>
  <c r="D162" i="4"/>
  <c r="E162" i="4"/>
  <c r="F162" i="4"/>
  <c r="G162" i="4"/>
  <c r="I162" i="4"/>
  <c r="C171" i="4"/>
  <c r="D171" i="4"/>
  <c r="E171" i="4"/>
  <c r="F171" i="4"/>
  <c r="G171" i="4"/>
  <c r="I171" i="4"/>
  <c r="C189" i="4"/>
  <c r="D189" i="4"/>
  <c r="E189" i="4"/>
  <c r="F189" i="4"/>
  <c r="G189" i="4"/>
  <c r="I189" i="4"/>
  <c r="C154" i="4"/>
  <c r="D154" i="4"/>
  <c r="E154" i="4"/>
  <c r="F154" i="4"/>
  <c r="G154" i="4"/>
  <c r="I154" i="4"/>
  <c r="C181" i="4"/>
  <c r="D181" i="4"/>
  <c r="E181" i="4"/>
  <c r="F181" i="4"/>
  <c r="G181" i="4"/>
  <c r="I181" i="4"/>
  <c r="C149" i="4"/>
  <c r="D149" i="4"/>
  <c r="E149" i="4"/>
  <c r="F149" i="4"/>
  <c r="G149" i="4"/>
  <c r="I149" i="4"/>
  <c r="C204" i="4"/>
  <c r="D204" i="4"/>
  <c r="E204" i="4"/>
  <c r="F204" i="4"/>
  <c r="G204" i="4"/>
  <c r="I204" i="4"/>
  <c r="C214" i="4"/>
  <c r="D214" i="4"/>
  <c r="E214" i="4"/>
  <c r="F214" i="4"/>
  <c r="G214" i="4"/>
  <c r="I214" i="4"/>
  <c r="C222" i="4"/>
  <c r="D222" i="4"/>
  <c r="E222" i="4"/>
  <c r="F222" i="4"/>
  <c r="G222" i="4"/>
  <c r="I222" i="4"/>
  <c r="C198" i="4"/>
  <c r="D198" i="4"/>
  <c r="E198" i="4"/>
  <c r="F198" i="4"/>
  <c r="G198" i="4"/>
  <c r="I198" i="4"/>
  <c r="C208" i="4"/>
  <c r="D208" i="4"/>
  <c r="E208" i="4"/>
  <c r="F208" i="4"/>
  <c r="G208" i="4"/>
  <c r="I208" i="4"/>
  <c r="C226" i="4"/>
  <c r="D226" i="4"/>
  <c r="E226" i="4"/>
  <c r="F226" i="4"/>
  <c r="G226" i="4"/>
  <c r="I226" i="4"/>
  <c r="C307" i="4"/>
  <c r="D307" i="4"/>
  <c r="E307" i="4"/>
  <c r="F307" i="4"/>
  <c r="G307" i="4"/>
  <c r="I307" i="4"/>
  <c r="C106" i="4"/>
  <c r="D106" i="4"/>
  <c r="E106" i="4"/>
  <c r="F106" i="4"/>
  <c r="G106" i="4"/>
  <c r="I106" i="4"/>
  <c r="C289" i="4"/>
  <c r="D289" i="4"/>
  <c r="E289" i="4"/>
  <c r="F289" i="4"/>
  <c r="G289" i="4"/>
  <c r="I289" i="4"/>
  <c r="C132" i="4"/>
  <c r="D132" i="4"/>
  <c r="E132" i="4"/>
  <c r="F132" i="4"/>
  <c r="G132" i="4"/>
  <c r="I132" i="4"/>
  <c r="C256" i="4"/>
  <c r="D256" i="4"/>
  <c r="E256" i="4"/>
  <c r="F256" i="4"/>
  <c r="G256" i="4"/>
  <c r="I256" i="4"/>
  <c r="C139" i="4"/>
  <c r="D139" i="4"/>
  <c r="E139" i="4"/>
  <c r="F139" i="4"/>
  <c r="G139" i="4"/>
  <c r="I139" i="4"/>
  <c r="C402" i="4"/>
  <c r="D402" i="4"/>
  <c r="E402" i="4"/>
  <c r="F402" i="4"/>
  <c r="G402" i="4"/>
  <c r="I402" i="4"/>
  <c r="C82" i="4"/>
  <c r="D82" i="4"/>
  <c r="E82" i="4"/>
  <c r="F82" i="4"/>
  <c r="G82" i="4"/>
  <c r="I82" i="4"/>
  <c r="C240" i="4"/>
  <c r="D240" i="4"/>
  <c r="E240" i="4"/>
  <c r="F240" i="4"/>
  <c r="G240" i="4"/>
  <c r="I240" i="4"/>
  <c r="C29" i="4"/>
  <c r="D29" i="4"/>
  <c r="E29" i="4"/>
  <c r="F29" i="4"/>
  <c r="G29" i="4"/>
  <c r="I29" i="4"/>
  <c r="C39" i="4"/>
  <c r="D39" i="4"/>
  <c r="E39" i="4"/>
  <c r="F39" i="4"/>
  <c r="G39" i="4"/>
  <c r="I39" i="4"/>
  <c r="C315" i="4"/>
  <c r="D315" i="4"/>
  <c r="E315" i="4"/>
  <c r="F315" i="4"/>
  <c r="G315" i="4"/>
  <c r="I315" i="4"/>
  <c r="C311" i="4"/>
  <c r="D311" i="4"/>
  <c r="E311" i="4"/>
  <c r="F311" i="4"/>
  <c r="G311" i="4"/>
  <c r="I311" i="4"/>
  <c r="C61" i="4"/>
  <c r="D61" i="4"/>
  <c r="E61" i="4"/>
  <c r="F61" i="4"/>
  <c r="G61" i="4"/>
  <c r="I61" i="4"/>
  <c r="C367" i="4"/>
  <c r="D367" i="4"/>
  <c r="E367" i="4"/>
  <c r="F367" i="4"/>
  <c r="G367" i="4"/>
  <c r="I367" i="4"/>
  <c r="C347" i="4"/>
  <c r="D347" i="4"/>
  <c r="E347" i="4"/>
  <c r="F347" i="4"/>
  <c r="G347" i="4"/>
  <c r="I347" i="4"/>
  <c r="C230" i="4"/>
  <c r="D230" i="4"/>
  <c r="E230" i="4"/>
  <c r="F230" i="4"/>
  <c r="G230" i="4"/>
  <c r="I230" i="4"/>
  <c r="C237" i="4"/>
  <c r="D237" i="4"/>
  <c r="E237" i="4"/>
  <c r="F237" i="4"/>
  <c r="G237" i="4"/>
  <c r="I237" i="4"/>
  <c r="C101" i="4"/>
  <c r="D101" i="4"/>
  <c r="E101" i="4"/>
  <c r="F101" i="4"/>
  <c r="G101" i="4"/>
  <c r="I101" i="4"/>
  <c r="C5" i="4"/>
  <c r="D5" i="4"/>
  <c r="E5" i="4"/>
  <c r="F5" i="4"/>
  <c r="G5" i="4"/>
  <c r="I5" i="4"/>
  <c r="C1" i="4"/>
  <c r="D1" i="4"/>
  <c r="E1" i="4"/>
  <c r="F1" i="4"/>
  <c r="G1" i="4"/>
  <c r="I1" i="4"/>
  <c r="C248" i="4"/>
  <c r="D248" i="4"/>
  <c r="E248" i="4"/>
  <c r="F248" i="4"/>
  <c r="G248" i="4"/>
  <c r="I248" i="4"/>
  <c r="C95" i="4"/>
  <c r="D95" i="4"/>
  <c r="E95" i="4"/>
  <c r="F95" i="4"/>
  <c r="G95" i="4"/>
  <c r="I95" i="4"/>
  <c r="C262" i="4"/>
  <c r="D262" i="4"/>
  <c r="E262" i="4"/>
  <c r="F262" i="4"/>
  <c r="G262" i="4"/>
  <c r="I262" i="4"/>
  <c r="C395" i="4"/>
  <c r="D395" i="4"/>
  <c r="E395" i="4"/>
  <c r="F395" i="4"/>
  <c r="G395" i="4"/>
  <c r="I395" i="4"/>
  <c r="C398" i="4"/>
  <c r="D398" i="4"/>
  <c r="E398" i="4"/>
  <c r="F398" i="4"/>
  <c r="G398" i="4"/>
  <c r="I398" i="4"/>
  <c r="C18" i="4"/>
  <c r="D18" i="4"/>
  <c r="E18" i="4"/>
  <c r="F18" i="4"/>
  <c r="G18" i="4"/>
  <c r="I18" i="4"/>
  <c r="C325" i="4"/>
  <c r="D325" i="4"/>
  <c r="E325" i="4"/>
  <c r="F325" i="4"/>
  <c r="G325" i="4"/>
  <c r="I325" i="4"/>
  <c r="C285" i="4"/>
  <c r="D285" i="4"/>
  <c r="E285" i="4"/>
  <c r="F285" i="4"/>
  <c r="G285" i="4"/>
  <c r="I285" i="4"/>
  <c r="C2" i="4"/>
  <c r="D2" i="4"/>
  <c r="E2" i="4"/>
  <c r="F2" i="4"/>
  <c r="G2" i="4"/>
  <c r="I2" i="4"/>
  <c r="C91" i="4"/>
  <c r="D91" i="4"/>
  <c r="E91" i="4"/>
  <c r="F91" i="4"/>
  <c r="G91" i="4"/>
  <c r="I91" i="4"/>
  <c r="C96" i="4"/>
  <c r="D96" i="4"/>
  <c r="E96" i="4"/>
  <c r="F96" i="4"/>
  <c r="G96" i="4"/>
  <c r="I96" i="4"/>
  <c r="C250" i="4"/>
  <c r="D250" i="4"/>
  <c r="E250" i="4"/>
  <c r="F250" i="4"/>
  <c r="G250" i="4"/>
  <c r="I250" i="4"/>
  <c r="C263" i="4"/>
  <c r="D263" i="4"/>
  <c r="E263" i="4"/>
  <c r="F263" i="4"/>
  <c r="G263" i="4"/>
  <c r="I263" i="4"/>
  <c r="C6" i="4"/>
  <c r="D6" i="4"/>
  <c r="E6" i="4"/>
  <c r="F6" i="4"/>
  <c r="G6" i="4"/>
  <c r="I6" i="4"/>
  <c r="C77" i="4"/>
  <c r="D77" i="4"/>
  <c r="E77" i="4"/>
  <c r="F77" i="4"/>
  <c r="G77" i="4"/>
  <c r="I77" i="4"/>
  <c r="C268" i="4"/>
  <c r="D268" i="4"/>
  <c r="E268" i="4"/>
  <c r="F268" i="4"/>
  <c r="G268" i="4"/>
  <c r="I268" i="4"/>
  <c r="C127" i="4"/>
  <c r="D127" i="4"/>
  <c r="E127" i="4"/>
  <c r="F127" i="4"/>
  <c r="G127" i="4"/>
  <c r="I127" i="4"/>
  <c r="C35" i="4"/>
  <c r="D35" i="4"/>
  <c r="E35" i="4"/>
  <c r="F35" i="4"/>
  <c r="G35" i="4"/>
  <c r="I35" i="4"/>
  <c r="C273" i="4"/>
  <c r="D273" i="4"/>
  <c r="E273" i="4"/>
  <c r="F273" i="4"/>
  <c r="G273" i="4"/>
  <c r="I273" i="4"/>
  <c r="C336" i="4"/>
  <c r="D336" i="4"/>
  <c r="E336" i="4"/>
  <c r="F336" i="4"/>
  <c r="G336" i="4"/>
  <c r="I336" i="4"/>
  <c r="C123" i="4"/>
  <c r="D123" i="4"/>
  <c r="E123" i="4"/>
  <c r="F123" i="4"/>
  <c r="G123" i="4"/>
  <c r="I123" i="4"/>
  <c r="C155" i="4"/>
  <c r="D155" i="4"/>
  <c r="E155" i="4"/>
  <c r="F155" i="4"/>
  <c r="G155" i="4"/>
  <c r="I155" i="4"/>
  <c r="C78" i="4"/>
  <c r="D78" i="4"/>
  <c r="E78" i="4"/>
  <c r="F78" i="4"/>
  <c r="G78" i="4"/>
  <c r="I78" i="4"/>
  <c r="C253" i="4"/>
  <c r="D253" i="4"/>
  <c r="E253" i="4"/>
  <c r="F253" i="4"/>
  <c r="G253" i="4"/>
  <c r="I253" i="4"/>
  <c r="C107" i="4"/>
  <c r="D107" i="4"/>
  <c r="E107" i="4"/>
  <c r="F107" i="4"/>
  <c r="G107" i="4"/>
  <c r="I107" i="4"/>
  <c r="C290" i="4"/>
  <c r="D290" i="4"/>
  <c r="E290" i="4"/>
  <c r="F290" i="4"/>
  <c r="G290" i="4"/>
  <c r="I290" i="4"/>
  <c r="C257" i="4"/>
  <c r="D257" i="4"/>
  <c r="E257" i="4"/>
  <c r="F257" i="4"/>
  <c r="G257" i="4"/>
  <c r="I257" i="4"/>
  <c r="C30" i="4"/>
  <c r="D30" i="4"/>
  <c r="E30" i="4"/>
  <c r="F30" i="4"/>
  <c r="G30" i="4"/>
  <c r="I30" i="4"/>
  <c r="C241" i="4"/>
  <c r="D241" i="4"/>
  <c r="E241" i="4"/>
  <c r="F241" i="4"/>
  <c r="G241" i="4"/>
  <c r="I241" i="4"/>
  <c r="C318" i="4"/>
  <c r="D318" i="4"/>
  <c r="E318" i="4"/>
  <c r="F318" i="4"/>
  <c r="G318" i="4"/>
  <c r="I318" i="4"/>
  <c r="C88" i="4"/>
  <c r="D88" i="4"/>
  <c r="E88" i="4"/>
  <c r="F88" i="4"/>
  <c r="G88" i="4"/>
  <c r="I88" i="4"/>
  <c r="C51" i="4"/>
  <c r="D51" i="4"/>
  <c r="E51" i="4"/>
  <c r="F51" i="4"/>
  <c r="G51" i="4"/>
  <c r="I51" i="4"/>
  <c r="C62" i="4"/>
  <c r="D62" i="4"/>
  <c r="E62" i="4"/>
  <c r="F62" i="4"/>
  <c r="G62" i="4"/>
  <c r="I62" i="4"/>
  <c r="C368" i="4"/>
  <c r="D368" i="4"/>
  <c r="E368" i="4"/>
  <c r="F368" i="4"/>
  <c r="G368" i="4"/>
  <c r="I368" i="4"/>
  <c r="C348" i="4"/>
  <c r="D348" i="4"/>
  <c r="E348" i="4"/>
  <c r="F348" i="4"/>
  <c r="G348" i="4"/>
  <c r="I348" i="4"/>
  <c r="C403" i="4"/>
  <c r="D403" i="4"/>
  <c r="E403" i="4"/>
  <c r="F403" i="4"/>
  <c r="G403" i="4"/>
  <c r="I403" i="4"/>
  <c r="C83" i="4"/>
  <c r="D83" i="4"/>
  <c r="E83" i="4"/>
  <c r="F83" i="4"/>
  <c r="G83" i="4"/>
  <c r="I83" i="4"/>
  <c r="C133" i="4"/>
  <c r="D133" i="4"/>
  <c r="E133" i="4"/>
  <c r="F133" i="4"/>
  <c r="G133" i="4"/>
  <c r="I133" i="4"/>
  <c r="C140" i="4"/>
  <c r="D140" i="4"/>
  <c r="E140" i="4"/>
  <c r="F140" i="4"/>
  <c r="G140" i="4"/>
  <c r="I140" i="4"/>
  <c r="C40" i="4"/>
  <c r="D40" i="4"/>
  <c r="E40" i="4"/>
  <c r="F40" i="4"/>
  <c r="G40" i="4"/>
  <c r="I40" i="4"/>
  <c r="C298" i="4"/>
  <c r="D298" i="4"/>
  <c r="E298" i="4"/>
  <c r="F298" i="4"/>
  <c r="G298" i="4"/>
  <c r="I298" i="4"/>
  <c r="C277" i="4"/>
  <c r="D277" i="4"/>
  <c r="E277" i="4"/>
  <c r="F277" i="4"/>
  <c r="G277" i="4"/>
  <c r="I277" i="4"/>
  <c r="C284" i="4"/>
  <c r="D284" i="4"/>
  <c r="E284" i="4"/>
  <c r="F284" i="4"/>
  <c r="G284" i="4"/>
  <c r="I284" i="4"/>
  <c r="C281" i="4"/>
  <c r="D281" i="4"/>
  <c r="E281" i="4"/>
  <c r="F281" i="4"/>
  <c r="G281" i="4"/>
  <c r="I281" i="4"/>
  <c r="C337" i="4"/>
  <c r="D337" i="4"/>
  <c r="E337" i="4"/>
  <c r="F337" i="4"/>
  <c r="G337" i="4"/>
  <c r="I337" i="4"/>
  <c r="C331" i="4"/>
  <c r="D331" i="4"/>
  <c r="E331" i="4"/>
  <c r="F331" i="4"/>
  <c r="G331" i="4"/>
  <c r="I331" i="4"/>
  <c r="C303" i="4"/>
  <c r="D303" i="4"/>
  <c r="E303" i="4"/>
  <c r="F303" i="4"/>
  <c r="G303" i="4"/>
  <c r="I303" i="4"/>
  <c r="C296" i="4"/>
  <c r="D296" i="4"/>
  <c r="E296" i="4"/>
  <c r="F296" i="4"/>
  <c r="G296" i="4"/>
  <c r="I296" i="4"/>
  <c r="C27" i="4"/>
  <c r="D27" i="4"/>
  <c r="E27" i="4"/>
  <c r="F27" i="4"/>
  <c r="G27" i="4"/>
  <c r="I27" i="4"/>
  <c r="C104" i="4"/>
  <c r="D104" i="4"/>
  <c r="E104" i="4"/>
  <c r="F104" i="4"/>
  <c r="G104" i="4"/>
  <c r="I104" i="4"/>
  <c r="C25" i="4"/>
  <c r="D25" i="4"/>
  <c r="E25" i="4"/>
  <c r="F25" i="4"/>
  <c r="G25" i="4"/>
  <c r="I25" i="4"/>
  <c r="C124" i="4"/>
  <c r="D124" i="4"/>
  <c r="E124" i="4"/>
  <c r="F124" i="4"/>
  <c r="G124" i="4"/>
  <c r="I124" i="4"/>
  <c r="C52" i="4"/>
  <c r="D52" i="4"/>
  <c r="E52" i="4"/>
  <c r="F52" i="4"/>
  <c r="G52" i="4"/>
  <c r="I52" i="4"/>
  <c r="C369" i="4"/>
  <c r="D369" i="4"/>
  <c r="E369" i="4"/>
  <c r="F369" i="4"/>
  <c r="G369" i="4"/>
  <c r="I369" i="4"/>
  <c r="C349" i="4"/>
  <c r="D349" i="4"/>
  <c r="E349" i="4"/>
  <c r="F349" i="4"/>
  <c r="G349" i="4"/>
  <c r="I349" i="4"/>
  <c r="C119" i="4"/>
  <c r="D119" i="4"/>
  <c r="E119" i="4"/>
  <c r="F119" i="4"/>
  <c r="G119" i="4"/>
  <c r="I119" i="4"/>
  <c r="C53" i="4"/>
  <c r="D53" i="4"/>
  <c r="E53" i="4"/>
  <c r="F53" i="4"/>
  <c r="G53" i="4"/>
  <c r="I53" i="4"/>
  <c r="C370" i="4"/>
  <c r="D370" i="4"/>
  <c r="E370" i="4"/>
  <c r="F370" i="4"/>
  <c r="G370" i="4"/>
  <c r="I370" i="4"/>
  <c r="C350" i="4"/>
  <c r="D350" i="4"/>
  <c r="E350" i="4"/>
  <c r="F350" i="4"/>
  <c r="G350" i="4"/>
  <c r="I350" i="4"/>
  <c r="C121" i="4"/>
  <c r="D121" i="4"/>
  <c r="E121" i="4"/>
  <c r="F121" i="4"/>
  <c r="G121" i="4"/>
  <c r="I121" i="4"/>
  <c r="C54" i="4"/>
  <c r="D54" i="4"/>
  <c r="E54" i="4"/>
  <c r="F54" i="4"/>
  <c r="G54" i="4"/>
  <c r="I54" i="4"/>
  <c r="C371" i="4"/>
  <c r="D371" i="4"/>
  <c r="E371" i="4"/>
  <c r="F371" i="4"/>
  <c r="G371" i="4"/>
  <c r="I371" i="4"/>
  <c r="C351" i="4"/>
  <c r="D351" i="4"/>
  <c r="E351" i="4"/>
  <c r="F351" i="4"/>
  <c r="G351" i="4"/>
  <c r="I351" i="4"/>
  <c r="C113" i="4"/>
  <c r="D113" i="4"/>
  <c r="E113" i="4"/>
  <c r="F113" i="4"/>
  <c r="G113" i="4"/>
  <c r="I113" i="4"/>
  <c r="C236" i="4"/>
  <c r="D236" i="4"/>
  <c r="E236" i="4"/>
  <c r="F236" i="4"/>
  <c r="G236" i="4"/>
  <c r="I236" i="4"/>
  <c r="C324" i="4"/>
  <c r="D324" i="4"/>
  <c r="E324" i="4"/>
  <c r="F324" i="4"/>
  <c r="G324" i="4"/>
  <c r="I324" i="4"/>
  <c r="C321" i="4"/>
  <c r="D321" i="4"/>
  <c r="E321" i="4"/>
  <c r="F321" i="4"/>
  <c r="G321" i="4"/>
  <c r="I321" i="4"/>
  <c r="C55" i="4"/>
  <c r="D55" i="4"/>
  <c r="E55" i="4"/>
  <c r="F55" i="4"/>
  <c r="G55" i="4"/>
  <c r="I55" i="4"/>
  <c r="C372" i="4"/>
  <c r="D372" i="4"/>
  <c r="E372" i="4"/>
  <c r="F372" i="4"/>
  <c r="G372" i="4"/>
  <c r="I372" i="4"/>
  <c r="C352" i="4"/>
  <c r="D352" i="4"/>
  <c r="E352" i="4"/>
  <c r="F352" i="4"/>
  <c r="G352" i="4"/>
  <c r="I352" i="4"/>
  <c r="C116" i="4"/>
  <c r="D116" i="4"/>
  <c r="E116" i="4"/>
  <c r="F116" i="4"/>
  <c r="G116" i="4"/>
  <c r="I116" i="4"/>
  <c r="C56" i="4"/>
  <c r="D56" i="4"/>
  <c r="E56" i="4"/>
  <c r="F56" i="4"/>
  <c r="G56" i="4"/>
  <c r="I56" i="4"/>
  <c r="C373" i="4"/>
  <c r="D373" i="4"/>
  <c r="E373" i="4"/>
  <c r="F373" i="4"/>
  <c r="G373" i="4"/>
  <c r="I373" i="4"/>
  <c r="C353" i="4"/>
  <c r="D353" i="4"/>
  <c r="E353" i="4"/>
  <c r="F353" i="4"/>
  <c r="G353" i="4"/>
  <c r="I353" i="4"/>
  <c r="C130" i="4"/>
  <c r="D130" i="4"/>
  <c r="E130" i="4"/>
  <c r="F130" i="4"/>
  <c r="G130" i="4"/>
  <c r="I130" i="4"/>
  <c r="C147" i="4"/>
  <c r="D147" i="4"/>
  <c r="E147" i="4"/>
  <c r="F147" i="4"/>
  <c r="G147" i="4"/>
  <c r="I147" i="4"/>
  <c r="C176" i="4"/>
  <c r="D176" i="4"/>
  <c r="E176" i="4"/>
  <c r="F176" i="4"/>
  <c r="G176" i="4"/>
  <c r="I176" i="4"/>
  <c r="C187" i="4"/>
  <c r="D187" i="4"/>
  <c r="E187" i="4"/>
  <c r="F187" i="4"/>
  <c r="G187" i="4"/>
  <c r="I187" i="4"/>
  <c r="C167" i="4"/>
  <c r="D167" i="4"/>
  <c r="E167" i="4"/>
  <c r="F167" i="4"/>
  <c r="G167" i="4"/>
  <c r="I167" i="4"/>
  <c r="C191" i="4"/>
  <c r="D191" i="4"/>
  <c r="E191" i="4"/>
  <c r="F191" i="4"/>
  <c r="G191" i="4"/>
  <c r="I191" i="4"/>
  <c r="C163" i="4"/>
  <c r="D163" i="4"/>
  <c r="E163" i="4"/>
  <c r="F163" i="4"/>
  <c r="G163" i="4"/>
  <c r="I163" i="4"/>
  <c r="C172" i="4"/>
  <c r="D172" i="4"/>
  <c r="E172" i="4"/>
  <c r="F172" i="4"/>
  <c r="G172" i="4"/>
  <c r="I172" i="4"/>
  <c r="C156" i="4"/>
  <c r="D156" i="4"/>
  <c r="E156" i="4"/>
  <c r="F156" i="4"/>
  <c r="G156" i="4"/>
  <c r="I156" i="4"/>
  <c r="C182" i="4"/>
  <c r="D182" i="4"/>
  <c r="E182" i="4"/>
  <c r="F182" i="4"/>
  <c r="G182" i="4"/>
  <c r="I182" i="4"/>
  <c r="C169" i="4"/>
  <c r="D169" i="4"/>
  <c r="E169" i="4"/>
  <c r="F169" i="4"/>
  <c r="G169" i="4"/>
  <c r="I169" i="4"/>
  <c r="C194" i="4"/>
  <c r="D194" i="4"/>
  <c r="E194" i="4"/>
  <c r="F194" i="4"/>
  <c r="G194" i="4"/>
  <c r="I194" i="4"/>
  <c r="C196" i="4"/>
  <c r="D196" i="4"/>
  <c r="E196" i="4"/>
  <c r="F196" i="4"/>
  <c r="G196" i="4"/>
  <c r="I196" i="4"/>
  <c r="C192" i="4"/>
  <c r="D192" i="4"/>
  <c r="E192" i="4"/>
  <c r="F192" i="4"/>
  <c r="G192" i="4"/>
  <c r="I192" i="4"/>
  <c r="C150" i="4"/>
  <c r="D150" i="4"/>
  <c r="E150" i="4"/>
  <c r="F150" i="4"/>
  <c r="G150" i="4"/>
  <c r="I150" i="4"/>
  <c r="C63" i="4"/>
  <c r="D63" i="4"/>
  <c r="E63" i="4"/>
  <c r="F63" i="4"/>
  <c r="G63" i="4"/>
  <c r="I63" i="4"/>
  <c r="C374" i="4"/>
  <c r="D374" i="4"/>
  <c r="E374" i="4"/>
  <c r="F374" i="4"/>
  <c r="G374" i="4"/>
  <c r="I374" i="4"/>
  <c r="C354" i="4"/>
  <c r="D354" i="4"/>
  <c r="E354" i="4"/>
  <c r="F354" i="4"/>
  <c r="G354" i="4"/>
  <c r="I354" i="4"/>
  <c r="C231" i="4"/>
  <c r="D231" i="4"/>
  <c r="E231" i="4"/>
  <c r="F231" i="4"/>
  <c r="G231" i="4"/>
  <c r="I231" i="4"/>
  <c r="C227" i="4"/>
  <c r="D227" i="4"/>
  <c r="E227" i="4"/>
  <c r="F227" i="4"/>
  <c r="G227" i="4"/>
  <c r="I227" i="4"/>
  <c r="C205" i="4"/>
  <c r="D205" i="4"/>
  <c r="E205" i="4"/>
  <c r="F205" i="4"/>
  <c r="G205" i="4"/>
  <c r="I205" i="4"/>
  <c r="C215" i="4"/>
  <c r="D215" i="4"/>
  <c r="E215" i="4"/>
  <c r="F215" i="4"/>
  <c r="G215" i="4"/>
  <c r="I215" i="4"/>
  <c r="C199" i="4"/>
  <c r="D199" i="4"/>
  <c r="E199" i="4"/>
  <c r="F199" i="4"/>
  <c r="G199" i="4"/>
  <c r="I199" i="4"/>
  <c r="C209" i="4"/>
  <c r="D209" i="4"/>
  <c r="E209" i="4"/>
  <c r="F209" i="4"/>
  <c r="G209" i="4"/>
  <c r="I209" i="4"/>
  <c r="C218" i="4"/>
  <c r="D218" i="4"/>
  <c r="E218" i="4"/>
  <c r="F218" i="4"/>
  <c r="G218" i="4"/>
  <c r="I218" i="4"/>
  <c r="C202" i="4"/>
  <c r="D202" i="4"/>
  <c r="E202" i="4"/>
  <c r="F202" i="4"/>
  <c r="G202" i="4"/>
  <c r="I202" i="4"/>
  <c r="C212" i="4"/>
  <c r="D212" i="4"/>
  <c r="E212" i="4"/>
  <c r="F212" i="4"/>
  <c r="G212" i="4"/>
  <c r="I212" i="4"/>
  <c r="C220" i="4"/>
  <c r="D220" i="4"/>
  <c r="E220" i="4"/>
  <c r="F220" i="4"/>
  <c r="G220" i="4"/>
  <c r="I220" i="4"/>
  <c r="C224" i="4"/>
  <c r="D224" i="4"/>
  <c r="E224" i="4"/>
  <c r="F224" i="4"/>
  <c r="G224" i="4"/>
  <c r="I224" i="4"/>
  <c r="C308" i="4"/>
  <c r="D308" i="4"/>
  <c r="E308" i="4"/>
  <c r="F308" i="4"/>
  <c r="G308" i="4"/>
  <c r="I308" i="4"/>
  <c r="C305" i="4"/>
  <c r="D305" i="4"/>
  <c r="E305" i="4"/>
  <c r="F305" i="4"/>
  <c r="G305" i="4"/>
  <c r="I305" i="4"/>
  <c r="C242" i="4"/>
  <c r="D242" i="4"/>
  <c r="E242" i="4"/>
  <c r="F242" i="4"/>
  <c r="G242" i="4"/>
  <c r="I242" i="4"/>
  <c r="C31" i="4"/>
  <c r="D31" i="4"/>
  <c r="E31" i="4"/>
  <c r="F31" i="4"/>
  <c r="G31" i="4"/>
  <c r="I31" i="4"/>
  <c r="C291" i="4"/>
  <c r="D291" i="4"/>
  <c r="E291" i="4"/>
  <c r="F291" i="4"/>
  <c r="G291" i="4"/>
  <c r="I291" i="4"/>
  <c r="C134" i="4"/>
  <c r="D134" i="4"/>
  <c r="E134" i="4"/>
  <c r="F134" i="4"/>
  <c r="G134" i="4"/>
  <c r="I134" i="4"/>
  <c r="C258" i="4"/>
  <c r="D258" i="4"/>
  <c r="E258" i="4"/>
  <c r="F258" i="4"/>
  <c r="G258" i="4"/>
  <c r="I258" i="4"/>
  <c r="C141" i="4"/>
  <c r="D141" i="4"/>
  <c r="E141" i="4"/>
  <c r="F141" i="4"/>
  <c r="G141" i="4"/>
  <c r="I141" i="4"/>
  <c r="C41" i="4"/>
  <c r="D41" i="4"/>
  <c r="E41" i="4"/>
  <c r="F41" i="4"/>
  <c r="G41" i="4"/>
  <c r="I41" i="4"/>
  <c r="C108" i="4"/>
  <c r="D108" i="4"/>
  <c r="E108" i="4"/>
  <c r="F108" i="4"/>
  <c r="G108" i="4"/>
  <c r="I108" i="4"/>
  <c r="C404" i="4"/>
  <c r="D404" i="4"/>
  <c r="E404" i="4"/>
  <c r="F404" i="4"/>
  <c r="G404" i="4"/>
  <c r="I404" i="4"/>
  <c r="C84" i="4"/>
  <c r="D84" i="4"/>
  <c r="E84" i="4"/>
  <c r="F84" i="4"/>
  <c r="G84" i="4"/>
  <c r="I84" i="4"/>
  <c r="C316" i="4"/>
  <c r="D316" i="4"/>
  <c r="E316" i="4"/>
  <c r="F316" i="4"/>
  <c r="G316" i="4"/>
  <c r="I316" i="4"/>
  <c r="C312" i="4"/>
  <c r="D312" i="4"/>
  <c r="E312" i="4"/>
  <c r="F312" i="4"/>
  <c r="G312" i="4"/>
  <c r="I312" i="4"/>
  <c r="C64" i="4"/>
  <c r="D64" i="4"/>
  <c r="E64" i="4"/>
  <c r="F64" i="4"/>
  <c r="G64" i="4"/>
  <c r="I64" i="4"/>
  <c r="C375" i="4"/>
  <c r="D375" i="4"/>
  <c r="E375" i="4"/>
  <c r="F375" i="4"/>
  <c r="G375" i="4"/>
  <c r="I375" i="4"/>
  <c r="C19" i="4"/>
  <c r="D19" i="4"/>
  <c r="E19" i="4"/>
  <c r="F19" i="4"/>
  <c r="G19" i="4"/>
  <c r="I19" i="4"/>
  <c r="C22" i="4"/>
  <c r="D22" i="4"/>
  <c r="E22" i="4"/>
  <c r="F22" i="4"/>
  <c r="G22" i="4"/>
  <c r="I22" i="4"/>
  <c r="C23" i="4"/>
  <c r="D23" i="4"/>
  <c r="E23" i="4"/>
  <c r="F23" i="4"/>
  <c r="G23" i="4"/>
  <c r="I23" i="4"/>
  <c r="C13" i="4"/>
  <c r="D13" i="4"/>
  <c r="E13" i="4"/>
  <c r="F13" i="4"/>
  <c r="G13" i="4"/>
  <c r="I13" i="4"/>
  <c r="C15" i="4"/>
  <c r="D15" i="4"/>
  <c r="E15" i="4"/>
  <c r="F15" i="4"/>
  <c r="G15" i="4"/>
  <c r="I15" i="4"/>
  <c r="C17" i="4"/>
  <c r="D17" i="4"/>
  <c r="E17" i="4"/>
  <c r="F17" i="4"/>
  <c r="G17" i="4"/>
  <c r="I17" i="4"/>
  <c r="C381" i="4"/>
  <c r="D381" i="4"/>
  <c r="E381" i="4"/>
  <c r="F381" i="4"/>
  <c r="G381" i="4"/>
  <c r="I381" i="4"/>
  <c r="C73" i="4"/>
  <c r="D73" i="4"/>
  <c r="E73" i="4"/>
  <c r="F73" i="4"/>
  <c r="G73" i="4"/>
  <c r="I73" i="4"/>
  <c r="C396" i="4"/>
  <c r="D396" i="4"/>
  <c r="E396" i="4"/>
  <c r="F396" i="4"/>
  <c r="G396" i="4"/>
  <c r="I396" i="4"/>
  <c r="C399" i="4"/>
  <c r="D399" i="4"/>
  <c r="E399" i="4"/>
  <c r="F399" i="4"/>
  <c r="G399" i="4"/>
  <c r="I399" i="4"/>
  <c r="C75" i="4"/>
  <c r="D75" i="4"/>
  <c r="E75" i="4"/>
  <c r="F75" i="4"/>
  <c r="G75" i="4"/>
  <c r="I75" i="4"/>
  <c r="C383" i="4"/>
  <c r="D383" i="4"/>
  <c r="E383" i="4"/>
  <c r="F383" i="4"/>
  <c r="G383" i="4"/>
  <c r="I383" i="4"/>
  <c r="C76" i="4"/>
  <c r="D76" i="4"/>
  <c r="E76" i="4"/>
  <c r="F76" i="4"/>
  <c r="G76" i="4"/>
  <c r="I76" i="4"/>
  <c r="C386" i="4"/>
  <c r="D386" i="4"/>
  <c r="E386" i="4"/>
  <c r="F386" i="4"/>
  <c r="G386" i="4"/>
  <c r="I386" i="4"/>
  <c r="C394" i="4"/>
  <c r="D394" i="4"/>
  <c r="E394" i="4"/>
  <c r="F394" i="4"/>
  <c r="G394" i="4"/>
  <c r="I394" i="4"/>
  <c r="C68" i="4"/>
  <c r="D68" i="4"/>
  <c r="E68" i="4"/>
  <c r="F68" i="4"/>
  <c r="G68" i="4"/>
  <c r="I68" i="4"/>
  <c r="C384" i="4"/>
  <c r="D384" i="4"/>
  <c r="E384" i="4"/>
  <c r="F384" i="4"/>
  <c r="G384" i="4"/>
  <c r="I384" i="4"/>
  <c r="C388" i="4"/>
  <c r="D388" i="4"/>
  <c r="E388" i="4"/>
  <c r="F388" i="4"/>
  <c r="G388" i="4"/>
  <c r="I388" i="4"/>
  <c r="C70" i="4"/>
  <c r="D70" i="4"/>
  <c r="E70" i="4"/>
  <c r="F70" i="4"/>
  <c r="G70" i="4"/>
  <c r="I70" i="4"/>
  <c r="C390" i="4"/>
  <c r="D390" i="4"/>
  <c r="E390" i="4"/>
  <c r="F390" i="4"/>
  <c r="G390" i="4"/>
  <c r="I390" i="4"/>
  <c r="C72" i="4"/>
  <c r="D72" i="4"/>
  <c r="E72" i="4"/>
  <c r="F72" i="4"/>
  <c r="G72" i="4"/>
  <c r="I72" i="4"/>
  <c r="C385" i="4"/>
  <c r="D385" i="4"/>
  <c r="E385" i="4"/>
  <c r="F385" i="4"/>
  <c r="G385" i="4"/>
  <c r="I385" i="4"/>
  <c r="C392" i="4"/>
  <c r="D392" i="4"/>
  <c r="E392" i="4"/>
  <c r="F392" i="4"/>
  <c r="G392" i="4"/>
  <c r="I392" i="4"/>
  <c r="C37" i="4"/>
  <c r="D37" i="4"/>
  <c r="E37" i="4"/>
  <c r="F37" i="4"/>
  <c r="G37" i="4"/>
  <c r="I37" i="4"/>
  <c r="C278" i="4"/>
  <c r="D278" i="4"/>
  <c r="E278" i="4"/>
  <c r="F278" i="4"/>
  <c r="G278" i="4"/>
  <c r="I278" i="4"/>
  <c r="C282" i="4"/>
  <c r="D282" i="4"/>
  <c r="E282" i="4"/>
  <c r="F282" i="4"/>
  <c r="G282" i="4"/>
  <c r="I282" i="4"/>
  <c r="C338" i="4"/>
  <c r="D338" i="4"/>
  <c r="E338" i="4"/>
  <c r="F338" i="4"/>
  <c r="G338" i="4"/>
  <c r="I338" i="4"/>
  <c r="C300" i="4"/>
  <c r="D300" i="4"/>
  <c r="E300" i="4"/>
  <c r="F300" i="4"/>
  <c r="G300" i="4"/>
  <c r="I300" i="4"/>
  <c r="C332" i="4"/>
  <c r="D332" i="4"/>
  <c r="E332" i="4"/>
  <c r="F332" i="4"/>
  <c r="G332" i="4"/>
  <c r="I332" i="4"/>
  <c r="C166" i="4"/>
  <c r="D166" i="4"/>
  <c r="E166" i="4"/>
  <c r="F166" i="4"/>
  <c r="G166" i="4"/>
  <c r="I166" i="4"/>
  <c r="C177" i="4"/>
  <c r="D177" i="4"/>
  <c r="E177" i="4"/>
  <c r="F177" i="4"/>
  <c r="G177" i="4"/>
  <c r="I177" i="4"/>
  <c r="C188" i="4"/>
  <c r="D188" i="4"/>
  <c r="E188" i="4"/>
  <c r="F188" i="4"/>
  <c r="G188" i="4"/>
  <c r="I188" i="4"/>
  <c r="C160" i="4"/>
  <c r="D160" i="4"/>
  <c r="E160" i="4"/>
  <c r="F160" i="4"/>
  <c r="G160" i="4"/>
  <c r="I160" i="4"/>
  <c r="C179" i="4"/>
  <c r="D179" i="4"/>
  <c r="E179" i="4"/>
  <c r="F179" i="4"/>
  <c r="G179" i="4"/>
  <c r="I179" i="4"/>
  <c r="C164" i="4"/>
  <c r="D164" i="4"/>
  <c r="E164" i="4"/>
  <c r="F164" i="4"/>
  <c r="G164" i="4"/>
  <c r="I164" i="4"/>
  <c r="C173" i="4"/>
  <c r="D173" i="4"/>
  <c r="E173" i="4"/>
  <c r="F173" i="4"/>
  <c r="G173" i="4"/>
  <c r="I173" i="4"/>
  <c r="C190" i="4"/>
  <c r="D190" i="4"/>
  <c r="E190" i="4"/>
  <c r="F190" i="4"/>
  <c r="G190" i="4"/>
  <c r="I190" i="4"/>
  <c r="C157" i="4"/>
  <c r="D157" i="4"/>
  <c r="E157" i="4"/>
  <c r="F157" i="4"/>
  <c r="G157" i="4"/>
  <c r="I157" i="4"/>
  <c r="C183" i="4"/>
  <c r="D183" i="4"/>
  <c r="E183" i="4"/>
  <c r="F183" i="4"/>
  <c r="G183" i="4"/>
  <c r="I183" i="4"/>
  <c r="C151" i="4"/>
  <c r="D151" i="4"/>
  <c r="E151" i="4"/>
  <c r="F151" i="4"/>
  <c r="G151" i="4"/>
  <c r="I151" i="4"/>
  <c r="C206" i="4"/>
  <c r="D206" i="4"/>
  <c r="E206" i="4"/>
  <c r="F206" i="4"/>
  <c r="G206" i="4"/>
  <c r="I206" i="4"/>
  <c r="C216" i="4"/>
  <c r="D216" i="4"/>
  <c r="E216" i="4"/>
  <c r="F216" i="4"/>
  <c r="G216" i="4"/>
  <c r="I216" i="4"/>
  <c r="C223" i="4"/>
  <c r="D223" i="4"/>
  <c r="E223" i="4"/>
  <c r="F223" i="4"/>
  <c r="G223" i="4"/>
  <c r="I223" i="4"/>
  <c r="C200" i="4"/>
  <c r="D200" i="4"/>
  <c r="E200" i="4"/>
  <c r="F200" i="4"/>
  <c r="G200" i="4"/>
  <c r="I200" i="4"/>
  <c r="C210" i="4"/>
  <c r="D210" i="4"/>
  <c r="E210" i="4"/>
  <c r="F210" i="4"/>
  <c r="G210" i="4"/>
  <c r="I210" i="4"/>
  <c r="C228" i="4"/>
  <c r="D228" i="4"/>
  <c r="E228" i="4"/>
  <c r="F228" i="4"/>
  <c r="G228" i="4"/>
  <c r="I228" i="4"/>
  <c r="C309" i="4"/>
  <c r="D309" i="4"/>
  <c r="E309" i="4"/>
  <c r="F309" i="4"/>
  <c r="G309" i="4"/>
  <c r="I309" i="4"/>
  <c r="C109" i="4"/>
  <c r="D109" i="4"/>
  <c r="E109" i="4"/>
  <c r="F109" i="4"/>
  <c r="G109" i="4"/>
  <c r="I109" i="4"/>
  <c r="C292" i="4"/>
  <c r="D292" i="4"/>
  <c r="E292" i="4"/>
  <c r="F292" i="4"/>
  <c r="G292" i="4"/>
  <c r="I292" i="4"/>
  <c r="C135" i="4"/>
  <c r="D135" i="4"/>
  <c r="E135" i="4"/>
  <c r="F135" i="4"/>
  <c r="G135" i="4"/>
  <c r="I135" i="4"/>
  <c r="C259" i="4"/>
  <c r="D259" i="4"/>
  <c r="E259" i="4"/>
  <c r="F259" i="4"/>
  <c r="G259" i="4"/>
  <c r="I259" i="4"/>
  <c r="C142" i="4"/>
  <c r="D142" i="4"/>
  <c r="E142" i="4"/>
  <c r="F142" i="4"/>
  <c r="G142" i="4"/>
  <c r="I142" i="4"/>
  <c r="C405" i="4"/>
  <c r="D405" i="4"/>
  <c r="E405" i="4"/>
  <c r="F405" i="4"/>
  <c r="G405" i="4"/>
  <c r="I405" i="4"/>
  <c r="C85" i="4"/>
  <c r="D85" i="4"/>
  <c r="E85" i="4"/>
  <c r="F85" i="4"/>
  <c r="G85" i="4"/>
  <c r="I85" i="4"/>
  <c r="C243" i="4"/>
  <c r="D243" i="4"/>
  <c r="E243" i="4"/>
  <c r="F243" i="4"/>
  <c r="G243" i="4"/>
  <c r="I243" i="4"/>
  <c r="C32" i="4"/>
  <c r="D32" i="4"/>
  <c r="E32" i="4"/>
  <c r="F32" i="4"/>
  <c r="G32" i="4"/>
  <c r="I32" i="4"/>
  <c r="C42" i="4"/>
  <c r="D42" i="4"/>
  <c r="E42" i="4"/>
  <c r="F42" i="4"/>
  <c r="G42" i="4"/>
  <c r="I42" i="4"/>
  <c r="C317" i="4"/>
  <c r="D317" i="4"/>
  <c r="E317" i="4"/>
  <c r="F317" i="4"/>
  <c r="G317" i="4"/>
  <c r="I317" i="4"/>
  <c r="C313" i="4"/>
  <c r="D313" i="4"/>
  <c r="E313" i="4"/>
  <c r="F313" i="4"/>
  <c r="G313" i="4"/>
  <c r="I313" i="4"/>
  <c r="C65" i="4"/>
  <c r="D65" i="4"/>
  <c r="E65" i="4"/>
  <c r="F65" i="4"/>
  <c r="G65" i="4"/>
  <c r="I65" i="4"/>
  <c r="C376" i="4"/>
  <c r="D376" i="4"/>
  <c r="E376" i="4"/>
  <c r="F376" i="4"/>
  <c r="G376" i="4"/>
  <c r="I376" i="4"/>
  <c r="C355" i="4"/>
  <c r="D355" i="4"/>
  <c r="E355" i="4"/>
  <c r="F355" i="4"/>
  <c r="G355" i="4"/>
  <c r="I355" i="4"/>
  <c r="C232" i="4"/>
  <c r="D232" i="4"/>
  <c r="E232" i="4"/>
  <c r="F232" i="4"/>
  <c r="G232" i="4"/>
  <c r="I232" i="4"/>
  <c r="C238" i="4"/>
  <c r="D238" i="4"/>
  <c r="E238" i="4"/>
  <c r="F238" i="4"/>
  <c r="G238" i="4"/>
  <c r="I238" i="4"/>
  <c r="C102" i="4"/>
  <c r="D102" i="4"/>
  <c r="E102" i="4"/>
  <c r="F102" i="4"/>
  <c r="G102" i="4"/>
  <c r="I102" i="4"/>
  <c r="C7" i="4"/>
  <c r="D7" i="4"/>
  <c r="E7" i="4"/>
  <c r="F7" i="4"/>
  <c r="G7" i="4"/>
  <c r="I7" i="4"/>
  <c r="C3" i="4"/>
  <c r="D3" i="4"/>
  <c r="E3" i="4"/>
  <c r="F3" i="4"/>
  <c r="G3" i="4"/>
  <c r="I3" i="4"/>
  <c r="C249" i="4"/>
  <c r="D249" i="4"/>
  <c r="E249" i="4"/>
  <c r="F249" i="4"/>
  <c r="G249" i="4"/>
  <c r="I249" i="4"/>
  <c r="C97" i="4"/>
  <c r="D97" i="4"/>
  <c r="E97" i="4"/>
  <c r="F97" i="4"/>
  <c r="G97" i="4"/>
  <c r="I97" i="4"/>
  <c r="C264" i="4"/>
  <c r="D264" i="4"/>
  <c r="E264" i="4"/>
  <c r="F264" i="4"/>
  <c r="G264" i="4"/>
  <c r="I264" i="4"/>
  <c r="C397" i="4"/>
  <c r="D397" i="4"/>
  <c r="E397" i="4"/>
  <c r="F397" i="4"/>
  <c r="G397" i="4"/>
  <c r="I397" i="4"/>
  <c r="C400" i="4"/>
  <c r="D400" i="4"/>
  <c r="E400" i="4"/>
  <c r="F400" i="4"/>
  <c r="G400" i="4"/>
  <c r="I400" i="4"/>
  <c r="C20" i="4"/>
  <c r="D20" i="4"/>
  <c r="E20" i="4"/>
  <c r="F20" i="4"/>
  <c r="G20" i="4"/>
  <c r="I20" i="4"/>
  <c r="C326" i="4"/>
  <c r="D326" i="4"/>
  <c r="E326" i="4"/>
  <c r="F326" i="4"/>
  <c r="G326" i="4"/>
  <c r="I326" i="4"/>
  <c r="C286" i="4"/>
  <c r="D286" i="4"/>
  <c r="E286" i="4"/>
  <c r="F286" i="4"/>
  <c r="G286" i="4"/>
  <c r="I286" i="4"/>
  <c r="C4" i="4"/>
  <c r="D4" i="4"/>
  <c r="E4" i="4"/>
  <c r="F4" i="4"/>
  <c r="G4" i="4"/>
  <c r="I4" i="4"/>
  <c r="C92" i="4"/>
  <c r="D92" i="4"/>
  <c r="E92" i="4"/>
  <c r="F92" i="4"/>
  <c r="G92" i="4"/>
  <c r="I92" i="4"/>
  <c r="C98" i="4"/>
  <c r="D98" i="4"/>
  <c r="E98" i="4"/>
  <c r="F98" i="4"/>
  <c r="G98" i="4"/>
  <c r="I98" i="4"/>
  <c r="C251" i="4"/>
  <c r="D251" i="4"/>
  <c r="E251" i="4"/>
  <c r="F251" i="4"/>
  <c r="G251" i="4"/>
  <c r="I251" i="4"/>
  <c r="C265" i="4"/>
  <c r="D265" i="4"/>
  <c r="E265" i="4"/>
  <c r="F265" i="4"/>
  <c r="G265" i="4"/>
  <c r="I265" i="4"/>
  <c r="C8" i="4"/>
  <c r="D8" i="4"/>
  <c r="E8" i="4"/>
  <c r="F8" i="4"/>
  <c r="G8" i="4"/>
  <c r="I8" i="4"/>
  <c r="C79" i="4"/>
  <c r="D79" i="4"/>
  <c r="E79" i="4"/>
  <c r="F79" i="4"/>
  <c r="G79" i="4"/>
  <c r="I79" i="4"/>
  <c r="C327" i="4"/>
  <c r="D327" i="4"/>
  <c r="E327" i="4"/>
  <c r="F327" i="4"/>
  <c r="G327" i="4"/>
  <c r="I327" i="4"/>
  <c r="C93" i="4"/>
  <c r="D93" i="4"/>
  <c r="E93" i="4"/>
  <c r="F93" i="4"/>
  <c r="G93" i="4"/>
  <c r="I93" i="4"/>
  <c r="C99" i="4"/>
  <c r="D99" i="4"/>
  <c r="E99" i="4"/>
  <c r="F99" i="4"/>
  <c r="G99" i="4"/>
  <c r="I99" i="4"/>
  <c r="C266" i="4"/>
  <c r="D266" i="4"/>
  <c r="E266" i="4"/>
  <c r="F266" i="4"/>
  <c r="G266" i="4"/>
  <c r="I266" i="4"/>
  <c r="C9" i="4"/>
  <c r="D9" i="4"/>
  <c r="E9" i="4"/>
  <c r="F9" i="4"/>
  <c r="G9" i="4"/>
  <c r="I9" i="4"/>
  <c r="C247" i="4"/>
  <c r="D247" i="4"/>
  <c r="E247" i="4"/>
  <c r="F247" i="4"/>
  <c r="G247" i="4"/>
  <c r="I247" i="4"/>
  <c r="C270" i="4"/>
  <c r="D270" i="4"/>
  <c r="E270" i="4"/>
  <c r="F270" i="4"/>
  <c r="G270" i="4"/>
  <c r="I270" i="4"/>
  <c r="C328" i="4"/>
  <c r="D328" i="4"/>
  <c r="E328" i="4"/>
  <c r="F328" i="4"/>
  <c r="G328" i="4"/>
  <c r="I328" i="4"/>
  <c r="C94" i="4"/>
  <c r="D94" i="4"/>
  <c r="E94" i="4"/>
  <c r="F94" i="4"/>
  <c r="G94" i="4"/>
  <c r="I94" i="4"/>
  <c r="C100" i="4"/>
  <c r="D100" i="4"/>
  <c r="E100" i="4"/>
  <c r="F100" i="4"/>
  <c r="G100" i="4"/>
  <c r="I100" i="4"/>
  <c r="C267" i="4"/>
  <c r="D267" i="4"/>
  <c r="E267" i="4"/>
  <c r="F267" i="4"/>
  <c r="G267" i="4"/>
  <c r="I267" i="4"/>
  <c r="C252" i="4"/>
  <c r="D252" i="4"/>
  <c r="E252" i="4"/>
  <c r="F252" i="4"/>
  <c r="G252" i="4"/>
  <c r="I252" i="4"/>
  <c r="C10" i="4"/>
  <c r="D10" i="4"/>
  <c r="E10" i="4"/>
  <c r="F10" i="4"/>
  <c r="G10" i="4"/>
  <c r="I10" i="4"/>
  <c r="C269" i="4"/>
  <c r="D269" i="4"/>
  <c r="E269" i="4"/>
  <c r="F269" i="4"/>
  <c r="G269" i="4"/>
  <c r="I269" i="4"/>
  <c r="C271" i="4"/>
  <c r="D271" i="4"/>
  <c r="E271" i="4"/>
  <c r="F271" i="4"/>
  <c r="G271" i="4"/>
  <c r="I271" i="4"/>
  <c r="C126" i="4"/>
  <c r="D126" i="4"/>
  <c r="E126" i="4"/>
  <c r="F126" i="4"/>
  <c r="G126" i="4"/>
  <c r="I126" i="4"/>
  <c r="C128" i="4"/>
  <c r="D128" i="4"/>
  <c r="E128" i="4"/>
  <c r="F128" i="4"/>
  <c r="G128" i="4"/>
  <c r="I128" i="4"/>
  <c r="C36" i="4"/>
  <c r="D36" i="4"/>
  <c r="E36" i="4"/>
  <c r="F36" i="4"/>
  <c r="G36" i="4"/>
  <c r="I36" i="4"/>
  <c r="C274" i="4"/>
  <c r="D274" i="4"/>
  <c r="E274" i="4"/>
  <c r="F274" i="4"/>
  <c r="G274" i="4"/>
  <c r="I274" i="4"/>
  <c r="C272" i="4"/>
  <c r="D272" i="4"/>
  <c r="E272" i="4"/>
  <c r="F272" i="4"/>
  <c r="G272" i="4"/>
  <c r="I272" i="4"/>
  <c r="C57" i="4"/>
  <c r="D57" i="4"/>
  <c r="E57" i="4"/>
  <c r="F57" i="4"/>
  <c r="G57" i="4"/>
  <c r="I57" i="4"/>
  <c r="C377" i="4"/>
  <c r="D377" i="4"/>
  <c r="E377" i="4"/>
  <c r="F377" i="4"/>
  <c r="G377" i="4"/>
  <c r="I377" i="4"/>
  <c r="C356" i="4"/>
  <c r="D356" i="4"/>
  <c r="E356" i="4"/>
  <c r="F356" i="4"/>
  <c r="G356" i="4"/>
  <c r="I356" i="4"/>
  <c r="C233" i="4"/>
  <c r="D233" i="4"/>
  <c r="E233" i="4"/>
  <c r="F233" i="4"/>
  <c r="G233" i="4"/>
  <c r="I233" i="4"/>
  <c r="C152" i="4"/>
  <c r="D152" i="4"/>
  <c r="E152" i="4"/>
  <c r="F152" i="4"/>
  <c r="G152" i="4"/>
  <c r="I152" i="4"/>
  <c r="C378" i="4"/>
  <c r="D378" i="4"/>
  <c r="E378" i="4"/>
  <c r="F378" i="4"/>
  <c r="G378" i="4"/>
  <c r="I378" i="4"/>
  <c r="C357" i="4"/>
  <c r="D357" i="4"/>
  <c r="E357" i="4"/>
  <c r="F357" i="4"/>
  <c r="G357" i="4"/>
  <c r="I357" i="4"/>
  <c r="C234" i="4"/>
  <c r="D234" i="4"/>
  <c r="E234" i="4"/>
  <c r="F234" i="4"/>
  <c r="G234" i="4"/>
  <c r="I234" i="4"/>
  <c r="C246" i="4"/>
  <c r="D246" i="4"/>
  <c r="E246" i="4"/>
  <c r="F246" i="4"/>
  <c r="G246" i="4"/>
  <c r="I246" i="4"/>
  <c r="C322" i="4"/>
  <c r="D322" i="4"/>
  <c r="E322" i="4"/>
  <c r="F322" i="4"/>
  <c r="G322" i="4"/>
  <c r="I322" i="4"/>
  <c r="C89" i="4"/>
  <c r="D89" i="4"/>
  <c r="E89" i="4"/>
  <c r="F89" i="4"/>
  <c r="G89" i="4"/>
  <c r="I89" i="4"/>
  <c r="C244" i="4"/>
  <c r="D244" i="4"/>
  <c r="E244" i="4"/>
  <c r="F244" i="4"/>
  <c r="G244" i="4"/>
  <c r="I244" i="4"/>
  <c r="C33" i="4"/>
  <c r="D33" i="4"/>
  <c r="E33" i="4"/>
  <c r="F33" i="4"/>
  <c r="G33" i="4"/>
  <c r="I33" i="4"/>
  <c r="C293" i="4"/>
  <c r="D293" i="4"/>
  <c r="E293" i="4"/>
  <c r="F293" i="4"/>
  <c r="G293" i="4"/>
  <c r="I293" i="4"/>
  <c r="C260" i="4"/>
  <c r="D260" i="4"/>
  <c r="E260" i="4"/>
  <c r="F260" i="4"/>
  <c r="G260" i="4"/>
  <c r="I260" i="4"/>
  <c r="C110" i="4"/>
  <c r="D110" i="4"/>
  <c r="E110" i="4"/>
  <c r="F110" i="4"/>
  <c r="G110" i="4"/>
  <c r="I110" i="4"/>
  <c r="C145" i="4"/>
  <c r="D145" i="4"/>
  <c r="E145" i="4"/>
  <c r="F145" i="4"/>
  <c r="G145" i="4"/>
  <c r="I145" i="4"/>
  <c r="C406" i="4"/>
  <c r="D406" i="4"/>
  <c r="E406" i="4"/>
  <c r="F406" i="4"/>
  <c r="G406" i="4"/>
  <c r="I406" i="4"/>
  <c r="C86" i="4"/>
  <c r="D86" i="4"/>
  <c r="E86" i="4"/>
  <c r="F86" i="4"/>
  <c r="G86" i="4"/>
  <c r="I86" i="4"/>
  <c r="C136" i="4"/>
  <c r="D136" i="4"/>
  <c r="E136" i="4"/>
  <c r="F136" i="4"/>
  <c r="G136" i="4"/>
  <c r="I136" i="4"/>
  <c r="C143" i="4"/>
  <c r="D143" i="4"/>
  <c r="E143" i="4"/>
  <c r="F143" i="4"/>
  <c r="G143" i="4"/>
  <c r="I143" i="4"/>
  <c r="C43" i="4"/>
  <c r="D43" i="4"/>
  <c r="E43" i="4"/>
  <c r="F43" i="4"/>
  <c r="G43" i="4"/>
  <c r="I43" i="4"/>
  <c r="C11" i="4"/>
  <c r="D11" i="4"/>
  <c r="E11" i="4"/>
  <c r="F11" i="4"/>
  <c r="G11" i="4"/>
  <c r="I11" i="4"/>
  <c r="C301" i="4"/>
  <c r="D301" i="4"/>
  <c r="E301" i="4"/>
  <c r="F301" i="4"/>
  <c r="G301" i="4"/>
  <c r="I301" i="4"/>
  <c r="C333" i="4"/>
  <c r="D333" i="4"/>
  <c r="E333" i="4"/>
  <c r="F333" i="4"/>
  <c r="G333" i="4"/>
  <c r="I333" i="4"/>
  <c r="C287" i="4"/>
  <c r="D287" i="4"/>
  <c r="E287" i="4"/>
  <c r="F287" i="4"/>
  <c r="G287" i="4"/>
  <c r="I287" i="4"/>
  <c r="C339" i="4"/>
  <c r="D339" i="4"/>
  <c r="E339" i="4"/>
  <c r="F339" i="4"/>
  <c r="G339" i="4"/>
  <c r="I339" i="4"/>
  <c r="C125" i="4"/>
  <c r="D125" i="4"/>
  <c r="E125" i="4"/>
  <c r="F125" i="4"/>
  <c r="G125" i="4"/>
  <c r="I125" i="4"/>
  <c r="C158" i="4"/>
  <c r="D158" i="4"/>
  <c r="E158" i="4"/>
  <c r="F158" i="4"/>
  <c r="G158" i="4"/>
  <c r="I158" i="4"/>
  <c r="C184" i="4"/>
  <c r="D184" i="4"/>
  <c r="E184" i="4"/>
  <c r="F184" i="4"/>
  <c r="G184" i="4"/>
  <c r="I184" i="4"/>
  <c r="C80" i="4"/>
  <c r="D80" i="4"/>
  <c r="E80" i="4"/>
  <c r="F80" i="4"/>
  <c r="G80" i="4"/>
  <c r="I80" i="4"/>
  <c r="C254" i="4"/>
  <c r="D254" i="4"/>
  <c r="E254" i="4"/>
  <c r="F254" i="4"/>
  <c r="G254" i="4"/>
  <c r="I254" i="4"/>
  <c r="C111" i="4"/>
  <c r="D111" i="4"/>
  <c r="E111" i="4"/>
  <c r="F111" i="4"/>
  <c r="G111" i="4"/>
  <c r="I111" i="4"/>
  <c r="C294" i="4"/>
  <c r="D294" i="4"/>
  <c r="E294" i="4"/>
  <c r="F294" i="4"/>
  <c r="G294" i="4"/>
  <c r="I294" i="4"/>
  <c r="C261" i="4"/>
  <c r="D261" i="4"/>
  <c r="E261" i="4"/>
  <c r="F261" i="4"/>
  <c r="G261" i="4"/>
  <c r="I261" i="4"/>
  <c r="C34" i="4"/>
  <c r="D34" i="4"/>
  <c r="E34" i="4"/>
  <c r="F34" i="4"/>
  <c r="G34" i="4"/>
  <c r="I34" i="4"/>
  <c r="C245" i="4"/>
  <c r="D245" i="4"/>
  <c r="E245" i="4"/>
  <c r="F245" i="4"/>
  <c r="G245" i="4"/>
  <c r="I245" i="4"/>
  <c r="C319" i="4"/>
  <c r="D319" i="4"/>
  <c r="E319" i="4"/>
  <c r="F319" i="4"/>
  <c r="G319" i="4"/>
  <c r="I319" i="4"/>
  <c r="C90" i="4"/>
  <c r="D90" i="4"/>
  <c r="E90" i="4"/>
  <c r="F90" i="4"/>
  <c r="G90" i="4"/>
  <c r="I90" i="4"/>
  <c r="C58" i="4"/>
  <c r="D58" i="4"/>
  <c r="E58" i="4"/>
  <c r="F58" i="4"/>
  <c r="G58" i="4"/>
  <c r="I58" i="4"/>
  <c r="C66" i="4"/>
  <c r="D66" i="4"/>
  <c r="E66" i="4"/>
  <c r="F66" i="4"/>
  <c r="G66" i="4"/>
  <c r="I66" i="4"/>
  <c r="C379" i="4"/>
  <c r="D379" i="4"/>
  <c r="E379" i="4"/>
  <c r="F379" i="4"/>
  <c r="G379" i="4"/>
  <c r="I379" i="4"/>
  <c r="C358" i="4"/>
  <c r="D358" i="4"/>
  <c r="E358" i="4"/>
  <c r="F358" i="4"/>
  <c r="G358" i="4"/>
  <c r="I358" i="4"/>
  <c r="C407" i="4"/>
  <c r="D407" i="4"/>
  <c r="E407" i="4"/>
  <c r="F407" i="4"/>
  <c r="G407" i="4"/>
  <c r="I407" i="4"/>
  <c r="C87" i="4"/>
  <c r="D87" i="4"/>
  <c r="E87" i="4"/>
  <c r="F87" i="4"/>
  <c r="G87" i="4"/>
  <c r="I87" i="4"/>
  <c r="C137" i="4"/>
  <c r="D137" i="4"/>
  <c r="E137" i="4"/>
  <c r="F137" i="4"/>
  <c r="G137" i="4"/>
  <c r="I137" i="4"/>
  <c r="C144" i="4"/>
  <c r="D144" i="4"/>
  <c r="E144" i="4"/>
  <c r="F144" i="4"/>
  <c r="G144" i="4"/>
  <c r="I144" i="4"/>
  <c r="C44" i="4"/>
  <c r="D44" i="4"/>
  <c r="E44" i="4"/>
  <c r="F44" i="4"/>
  <c r="G44" i="4"/>
  <c r="I44" i="4"/>
  <c r="M179" i="12"/>
  <c r="M174" i="12"/>
  <c r="A175" i="12"/>
  <c r="C175" i="12" s="1"/>
  <c r="A170" i="12"/>
  <c r="B170" i="12" s="1"/>
  <c r="A169" i="12"/>
  <c r="B169" i="12" s="1"/>
  <c r="N177" i="12"/>
  <c r="O177" i="12" s="1"/>
  <c r="O179" i="12" s="1"/>
  <c r="N120" i="12"/>
  <c r="N122" i="12" s="1"/>
  <c r="O122" i="12" s="1"/>
  <c r="O124" i="12" s="1"/>
  <c r="M107" i="12"/>
  <c r="M103" i="12"/>
  <c r="E6" i="12"/>
  <c r="M90" i="12" s="1"/>
  <c r="M92" i="12" s="1"/>
  <c r="D89" i="12" s="1"/>
  <c r="A165" i="12"/>
  <c r="B165" i="12" s="1"/>
  <c r="A161" i="12"/>
  <c r="C161" i="12" s="1"/>
  <c r="A157" i="12"/>
  <c r="B157" i="12" s="1"/>
  <c r="A153" i="12"/>
  <c r="C153" i="12" s="1"/>
  <c r="A149" i="12"/>
  <c r="C149" i="12" s="1"/>
  <c r="A145" i="12"/>
  <c r="B145" i="12" s="1"/>
  <c r="A141" i="12"/>
  <c r="B141" i="12" s="1"/>
  <c r="A137" i="12"/>
  <c r="C137" i="12" s="1"/>
  <c r="A133" i="12"/>
  <c r="B133" i="12" s="1"/>
  <c r="A129" i="12"/>
  <c r="C129" i="12" s="1"/>
  <c r="A125" i="12"/>
  <c r="B125" i="12" s="1"/>
  <c r="A121" i="12"/>
  <c r="C121" i="12" s="1"/>
  <c r="A111" i="12"/>
  <c r="C111" i="12" s="1"/>
  <c r="A110" i="12"/>
  <c r="B110" i="12" s="1"/>
  <c r="A106" i="12"/>
  <c r="C106" i="12" s="1"/>
  <c r="A102" i="12"/>
  <c r="C102" i="12" s="1"/>
  <c r="A98" i="12"/>
  <c r="B98" i="12" s="1"/>
  <c r="A97" i="12"/>
  <c r="B97" i="12" s="1"/>
  <c r="A93" i="12"/>
  <c r="B93" i="12" s="1"/>
  <c r="A89" i="12"/>
  <c r="C89" i="12" s="1"/>
  <c r="A88" i="12"/>
  <c r="B88" i="12" s="1"/>
  <c r="A84" i="12"/>
  <c r="C84" i="12" s="1"/>
  <c r="A80" i="12"/>
  <c r="C80" i="12" s="1"/>
  <c r="A76" i="12"/>
  <c r="B76" i="12" s="1"/>
  <c r="A75" i="12"/>
  <c r="B75" i="12" s="1"/>
  <c r="A71" i="12"/>
  <c r="B71" i="12" s="1"/>
  <c r="A70" i="12"/>
  <c r="B70" i="12" s="1"/>
  <c r="A66" i="12"/>
  <c r="B66" i="12" s="1"/>
  <c r="A62" i="12"/>
  <c r="C62" i="12" s="1"/>
  <c r="A61" i="12"/>
  <c r="B61" i="12" s="1"/>
  <c r="A60" i="12"/>
  <c r="B60" i="12" s="1"/>
  <c r="A56" i="12"/>
  <c r="C56" i="12" s="1"/>
  <c r="A52" i="12"/>
  <c r="C52" i="12" s="1"/>
  <c r="A48" i="12"/>
  <c r="C48" i="12" s="1"/>
  <c r="A44" i="12"/>
  <c r="B44" i="12" s="1"/>
  <c r="A43" i="12"/>
  <c r="B43" i="12" s="1"/>
  <c r="A39" i="12"/>
  <c r="B39" i="12" s="1"/>
  <c r="A35" i="12"/>
  <c r="C35" i="12" s="1"/>
  <c r="A31" i="12"/>
  <c r="C31" i="12" s="1"/>
  <c r="A30" i="12"/>
  <c r="B30" i="12" s="1"/>
  <c r="A26" i="12"/>
  <c r="C26" i="12" s="1"/>
  <c r="A25" i="12"/>
  <c r="B25" i="12" s="1"/>
  <c r="A21" i="12"/>
  <c r="C21" i="12" s="1"/>
  <c r="A17" i="12"/>
  <c r="B17" i="12" s="1"/>
  <c r="A13" i="12"/>
  <c r="C13" i="12" s="1"/>
  <c r="A9" i="12"/>
  <c r="B9" i="12" s="1"/>
  <c r="A8" i="12"/>
  <c r="B8" i="12" s="1"/>
  <c r="A7" i="12"/>
  <c r="B7" i="12" s="1"/>
  <c r="A6" i="12"/>
  <c r="M109" i="12"/>
  <c r="D106" i="12" s="1"/>
  <c r="M105" i="12"/>
  <c r="D102" i="12" s="1"/>
  <c r="M87" i="12"/>
  <c r="D84" i="12" s="1"/>
  <c r="M83" i="12"/>
  <c r="D80" i="12" s="1"/>
  <c r="M79" i="12"/>
  <c r="D76" i="12" s="1"/>
  <c r="A313" i="12"/>
  <c r="C313" i="12" s="1"/>
  <c r="A308" i="12"/>
  <c r="C308" i="12" s="1"/>
  <c r="A303" i="12"/>
  <c r="C303" i="12" s="1"/>
  <c r="M300" i="12"/>
  <c r="M305" i="12" s="1"/>
  <c r="M310" i="12" s="1"/>
  <c r="F300" i="12"/>
  <c r="F305" i="12" s="1"/>
  <c r="F310" i="12" s="1"/>
  <c r="E300" i="12"/>
  <c r="E305" i="12" s="1"/>
  <c r="E310" i="12" s="1"/>
  <c r="A298" i="12"/>
  <c r="C298" i="12" s="1"/>
  <c r="A293" i="12"/>
  <c r="B293" i="12" s="1"/>
  <c r="A288" i="12"/>
  <c r="C288" i="12" s="1"/>
  <c r="M292" i="12"/>
  <c r="D288" i="12" s="1"/>
  <c r="A283" i="12"/>
  <c r="C283" i="12" s="1"/>
  <c r="M287" i="12"/>
  <c r="D283" i="12" s="1"/>
  <c r="A278" i="12"/>
  <c r="C278" i="12" s="1"/>
  <c r="M282" i="12"/>
  <c r="D278" i="12" s="1"/>
  <c r="A273" i="12"/>
  <c r="C273" i="12" s="1"/>
  <c r="M277" i="12"/>
  <c r="D273" i="12" s="1"/>
  <c r="A268" i="12"/>
  <c r="C268" i="12" s="1"/>
  <c r="M272" i="12"/>
  <c r="D268" i="12" s="1"/>
  <c r="A263" i="12"/>
  <c r="C263" i="12" s="1"/>
  <c r="M267" i="12"/>
  <c r="D263" i="12" s="1"/>
  <c r="M262" i="12"/>
  <c r="D258" i="12" s="1"/>
  <c r="A258" i="12"/>
  <c r="C258" i="12" s="1"/>
  <c r="A253" i="12"/>
  <c r="B253" i="12" s="1"/>
  <c r="N257" i="12"/>
  <c r="D253" i="12" s="1"/>
  <c r="A248" i="12"/>
  <c r="C248" i="12" s="1"/>
  <c r="N252" i="12"/>
  <c r="D248" i="12" s="1"/>
  <c r="N247" i="12"/>
  <c r="A243" i="12"/>
  <c r="C243" i="12" s="1"/>
  <c r="A238" i="12"/>
  <c r="C238" i="12" s="1"/>
  <c r="A233" i="12"/>
  <c r="C233" i="12" s="1"/>
  <c r="J235" i="12"/>
  <c r="K235" i="12" s="1"/>
  <c r="K237" i="12" s="1"/>
  <c r="D233" i="12" s="1"/>
  <c r="J230" i="12"/>
  <c r="K230" i="12" s="1"/>
  <c r="K232" i="12" s="1"/>
  <c r="D228" i="12" s="1"/>
  <c r="A228" i="12"/>
  <c r="C228" i="12" s="1"/>
  <c r="A223" i="12"/>
  <c r="B223" i="12" s="1"/>
  <c r="A218" i="12"/>
  <c r="B218" i="12" s="1"/>
  <c r="M222" i="12"/>
  <c r="D218" i="12" s="1"/>
  <c r="N220" i="12"/>
  <c r="M217" i="12"/>
  <c r="N215" i="12"/>
  <c r="A213" i="12"/>
  <c r="C213" i="12" s="1"/>
  <c r="I209" i="12"/>
  <c r="N209" i="12" s="1"/>
  <c r="N184" i="12"/>
  <c r="N186" i="12" s="1"/>
  <c r="D182" i="12" s="1"/>
  <c r="A207" i="12"/>
  <c r="B207" i="12" s="1"/>
  <c r="N206" i="12"/>
  <c r="A202" i="12"/>
  <c r="C202" i="12" s="1"/>
  <c r="A197" i="12"/>
  <c r="C197" i="12" s="1"/>
  <c r="A192" i="12"/>
  <c r="B192" i="12" s="1"/>
  <c r="A187" i="12"/>
  <c r="C187" i="12" s="1"/>
  <c r="A182" i="12"/>
  <c r="C182" i="12" s="1"/>
  <c r="A181" i="12"/>
  <c r="B181" i="12" s="1"/>
  <c r="A180" i="12"/>
  <c r="B180" i="12" s="1"/>
  <c r="A318" i="12"/>
  <c r="B318" i="12" s="1"/>
  <c r="C1" i="12"/>
  <c r="P245" i="4" l="1"/>
  <c r="O245" i="4"/>
  <c r="N245" i="4"/>
  <c r="P86" i="4"/>
  <c r="O86" i="4"/>
  <c r="N86" i="4"/>
  <c r="O57" i="4"/>
  <c r="P57" i="4"/>
  <c r="N57" i="4"/>
  <c r="P94" i="4"/>
  <c r="O94" i="4"/>
  <c r="N94" i="4"/>
  <c r="P251" i="4"/>
  <c r="O251" i="4"/>
  <c r="N251" i="4"/>
  <c r="O376" i="4"/>
  <c r="P376" i="4"/>
  <c r="N376" i="4"/>
  <c r="P183" i="4"/>
  <c r="O183" i="4"/>
  <c r="N183" i="4"/>
  <c r="O37" i="4"/>
  <c r="P37" i="4"/>
  <c r="N37" i="4"/>
  <c r="P386" i="4"/>
  <c r="O386" i="4"/>
  <c r="N386" i="4"/>
  <c r="P375" i="4"/>
  <c r="O375" i="4"/>
  <c r="N375" i="4"/>
  <c r="P31" i="4"/>
  <c r="O31" i="4"/>
  <c r="N31" i="4"/>
  <c r="P150" i="4"/>
  <c r="O150" i="4"/>
  <c r="N150" i="4"/>
  <c r="P130" i="4"/>
  <c r="O130" i="4"/>
  <c r="N130" i="4"/>
  <c r="P351" i="4"/>
  <c r="O351" i="4"/>
  <c r="N351" i="4"/>
  <c r="O104" i="4"/>
  <c r="N104" i="4"/>
  <c r="P104" i="4"/>
  <c r="O40" i="4"/>
  <c r="N40" i="4"/>
  <c r="P40" i="4"/>
  <c r="P30" i="4"/>
  <c r="O30" i="4"/>
  <c r="N30" i="4"/>
  <c r="O268" i="4"/>
  <c r="N268" i="4"/>
  <c r="P268" i="4"/>
  <c r="P91" i="4"/>
  <c r="O91" i="4"/>
  <c r="N91" i="4"/>
  <c r="P395" i="4"/>
  <c r="O395" i="4"/>
  <c r="N395" i="4"/>
  <c r="P367" i="4"/>
  <c r="O367" i="4"/>
  <c r="N367" i="4"/>
  <c r="P289" i="4"/>
  <c r="O289" i="4"/>
  <c r="N289" i="4"/>
  <c r="P162" i="4"/>
  <c r="O162" i="4"/>
  <c r="N162" i="4"/>
  <c r="P389" i="4"/>
  <c r="O389" i="4"/>
  <c r="N389" i="4"/>
  <c r="P105" i="4"/>
  <c r="O105" i="4"/>
  <c r="N105" i="4"/>
  <c r="P201" i="4"/>
  <c r="O201" i="4"/>
  <c r="N201" i="4"/>
  <c r="P229" i="4"/>
  <c r="O229" i="4"/>
  <c r="N229" i="4"/>
  <c r="P345" i="4"/>
  <c r="O345" i="4"/>
  <c r="N345" i="4"/>
  <c r="P103" i="4"/>
  <c r="O103" i="4"/>
  <c r="N103" i="4"/>
  <c r="P66" i="4"/>
  <c r="O66" i="4"/>
  <c r="N66" i="4"/>
  <c r="O80" i="4"/>
  <c r="N80" i="4"/>
  <c r="P80" i="4"/>
  <c r="P145" i="4"/>
  <c r="O145" i="4"/>
  <c r="N145" i="4"/>
  <c r="P357" i="4"/>
  <c r="O357" i="4"/>
  <c r="N357" i="4"/>
  <c r="P10" i="4"/>
  <c r="O10" i="4"/>
  <c r="N10" i="4"/>
  <c r="O92" i="4"/>
  <c r="P92" i="4"/>
  <c r="N92" i="4"/>
  <c r="P313" i="4"/>
  <c r="O313" i="4"/>
  <c r="N313" i="4"/>
  <c r="P206" i="4"/>
  <c r="O206" i="4"/>
  <c r="N206" i="4"/>
  <c r="P385" i="4"/>
  <c r="O385" i="4"/>
  <c r="N385" i="4"/>
  <c r="O13" i="4"/>
  <c r="P13" i="4"/>
  <c r="N13" i="4"/>
  <c r="P169" i="4"/>
  <c r="O169" i="4"/>
  <c r="N169" i="4"/>
  <c r="P181" i="4"/>
  <c r="O181" i="4"/>
  <c r="N181" i="4"/>
  <c r="O144" i="4"/>
  <c r="P144" i="4"/>
  <c r="N144" i="4"/>
  <c r="P339" i="4"/>
  <c r="O339" i="4"/>
  <c r="N339" i="4"/>
  <c r="O260" i="4"/>
  <c r="P260" i="4"/>
  <c r="N260" i="4"/>
  <c r="O356" i="4"/>
  <c r="P356" i="4"/>
  <c r="N356" i="4"/>
  <c r="P267" i="4"/>
  <c r="O267" i="4"/>
  <c r="N267" i="4"/>
  <c r="O8" i="4"/>
  <c r="N8" i="4"/>
  <c r="P8" i="4"/>
  <c r="P97" i="4"/>
  <c r="O97" i="4"/>
  <c r="N97" i="4"/>
  <c r="O243" i="4"/>
  <c r="N243" i="4"/>
  <c r="P243" i="4"/>
  <c r="P309" i="4"/>
  <c r="O309" i="4"/>
  <c r="N309" i="4"/>
  <c r="O160" i="4"/>
  <c r="P160" i="4"/>
  <c r="N160" i="4"/>
  <c r="O68" i="4"/>
  <c r="N68" i="4"/>
  <c r="P68" i="4"/>
  <c r="P22" i="4"/>
  <c r="O22" i="4"/>
  <c r="N22" i="4"/>
  <c r="O224" i="4"/>
  <c r="P224" i="4"/>
  <c r="N224" i="4"/>
  <c r="P205" i="4"/>
  <c r="O205" i="4"/>
  <c r="N205" i="4"/>
  <c r="P167" i="4"/>
  <c r="O167" i="4"/>
  <c r="N167" i="4"/>
  <c r="O372" i="4"/>
  <c r="P372" i="4"/>
  <c r="N372" i="4"/>
  <c r="P54" i="4"/>
  <c r="O54" i="4"/>
  <c r="N54" i="4"/>
  <c r="P277" i="4"/>
  <c r="O277" i="4"/>
  <c r="N277" i="4"/>
  <c r="O368" i="4"/>
  <c r="P368" i="4"/>
  <c r="N368" i="4"/>
  <c r="P290" i="4"/>
  <c r="O290" i="4"/>
  <c r="N290" i="4"/>
  <c r="P6" i="4"/>
  <c r="O6" i="4"/>
  <c r="N6" i="4"/>
  <c r="P39" i="4"/>
  <c r="O39" i="4"/>
  <c r="N39" i="4"/>
  <c r="P307" i="4"/>
  <c r="O307" i="4"/>
  <c r="N307" i="4"/>
  <c r="P159" i="4"/>
  <c r="O159" i="4"/>
  <c r="N159" i="4"/>
  <c r="P393" i="4"/>
  <c r="O393" i="4"/>
  <c r="N393" i="4"/>
  <c r="P310" i="4"/>
  <c r="O310" i="4"/>
  <c r="N310" i="4"/>
  <c r="P138" i="4"/>
  <c r="O138" i="4"/>
  <c r="N138" i="4"/>
  <c r="P207" i="4"/>
  <c r="O207" i="4"/>
  <c r="N207" i="4"/>
  <c r="O180" i="4"/>
  <c r="P180" i="4"/>
  <c r="N180" i="4"/>
  <c r="O49" i="4"/>
  <c r="P49" i="4"/>
  <c r="N49" i="4"/>
  <c r="P90" i="4"/>
  <c r="O90" i="4"/>
  <c r="N90" i="4"/>
  <c r="P333" i="4"/>
  <c r="O333" i="4"/>
  <c r="N333" i="4"/>
  <c r="O33" i="4"/>
  <c r="P33" i="4"/>
  <c r="N33" i="4"/>
  <c r="P274" i="4"/>
  <c r="O274" i="4"/>
  <c r="N274" i="4"/>
  <c r="P327" i="4"/>
  <c r="O327" i="4"/>
  <c r="N327" i="4"/>
  <c r="P3" i="4"/>
  <c r="O3" i="4"/>
  <c r="N3" i="4"/>
  <c r="O292" i="4"/>
  <c r="N292" i="4"/>
  <c r="P292" i="4"/>
  <c r="O164" i="4"/>
  <c r="P164" i="4"/>
  <c r="N164" i="4"/>
  <c r="P282" i="4"/>
  <c r="O282" i="4"/>
  <c r="N282" i="4"/>
  <c r="P399" i="4"/>
  <c r="O399" i="4"/>
  <c r="N399" i="4"/>
  <c r="O108" i="4"/>
  <c r="P108" i="4"/>
  <c r="N108" i="4"/>
  <c r="O212" i="4"/>
  <c r="P212" i="4"/>
  <c r="N212" i="4"/>
  <c r="O196" i="4"/>
  <c r="N196" i="4"/>
  <c r="P196" i="4"/>
  <c r="P373" i="4"/>
  <c r="O373" i="4"/>
  <c r="N373" i="4"/>
  <c r="P349" i="4"/>
  <c r="O349" i="4"/>
  <c r="N349" i="4"/>
  <c r="P281" i="4"/>
  <c r="O281" i="4"/>
  <c r="N281" i="4"/>
  <c r="P318" i="4"/>
  <c r="O318" i="4"/>
  <c r="N318" i="4"/>
  <c r="O336" i="4"/>
  <c r="P336" i="4"/>
  <c r="N336" i="4"/>
  <c r="P18" i="4"/>
  <c r="O18" i="4"/>
  <c r="N18" i="4"/>
  <c r="P230" i="4"/>
  <c r="O230" i="4"/>
  <c r="N230" i="4"/>
  <c r="P240" i="4"/>
  <c r="O240" i="4"/>
  <c r="N240" i="4"/>
  <c r="O208" i="4"/>
  <c r="P208" i="4"/>
  <c r="N208" i="4"/>
  <c r="P189" i="4"/>
  <c r="O189" i="4"/>
  <c r="N189" i="4"/>
  <c r="O280" i="4"/>
  <c r="P280" i="4"/>
  <c r="N280" i="4"/>
  <c r="P74" i="4"/>
  <c r="O74" i="4"/>
  <c r="N74" i="4"/>
  <c r="P81" i="4"/>
  <c r="O81" i="4"/>
  <c r="N81" i="4"/>
  <c r="P131" i="4"/>
  <c r="O131" i="4"/>
  <c r="N131" i="4"/>
  <c r="P221" i="4"/>
  <c r="O221" i="4"/>
  <c r="N221" i="4"/>
  <c r="P185" i="4"/>
  <c r="O185" i="4"/>
  <c r="N185" i="4"/>
  <c r="P118" i="4"/>
  <c r="O118" i="4"/>
  <c r="N118" i="4"/>
  <c r="P279" i="4"/>
  <c r="O279" i="4"/>
  <c r="N279" i="4"/>
  <c r="P137" i="4"/>
  <c r="O137" i="4"/>
  <c r="N137" i="4"/>
  <c r="P379" i="4"/>
  <c r="O379" i="4"/>
  <c r="N379" i="4"/>
  <c r="P319" i="4"/>
  <c r="O319" i="4"/>
  <c r="N319" i="4"/>
  <c r="P34" i="4"/>
  <c r="O34" i="4"/>
  <c r="N34" i="4"/>
  <c r="P294" i="4"/>
  <c r="O294" i="4"/>
  <c r="N294" i="4"/>
  <c r="P254" i="4"/>
  <c r="O254" i="4"/>
  <c r="N254" i="4"/>
  <c r="O184" i="4"/>
  <c r="P184" i="4"/>
  <c r="N184" i="4"/>
  <c r="P125" i="4"/>
  <c r="O125" i="4"/>
  <c r="N125" i="4"/>
  <c r="P287" i="4"/>
  <c r="O287" i="4"/>
  <c r="N287" i="4"/>
  <c r="P301" i="4"/>
  <c r="O301" i="4"/>
  <c r="N301" i="4"/>
  <c r="P43" i="4"/>
  <c r="O43" i="4"/>
  <c r="N43" i="4"/>
  <c r="O136" i="4"/>
  <c r="P136" i="4"/>
  <c r="N136" i="4"/>
  <c r="P406" i="4"/>
  <c r="O406" i="4"/>
  <c r="N406" i="4"/>
  <c r="P110" i="4"/>
  <c r="O110" i="4"/>
  <c r="N110" i="4"/>
  <c r="P293" i="4"/>
  <c r="O293" i="4"/>
  <c r="N293" i="4"/>
  <c r="P244" i="4"/>
  <c r="O244" i="4"/>
  <c r="N244" i="4"/>
  <c r="P322" i="4"/>
  <c r="O322" i="4"/>
  <c r="N322" i="4"/>
  <c r="P234" i="4"/>
  <c r="O234" i="4"/>
  <c r="N234" i="4"/>
  <c r="P378" i="4"/>
  <c r="O378" i="4"/>
  <c r="N378" i="4"/>
  <c r="P233" i="4"/>
  <c r="O233" i="4"/>
  <c r="N233" i="4"/>
  <c r="P377" i="4"/>
  <c r="O377" i="4"/>
  <c r="N377" i="4"/>
  <c r="O272" i="4"/>
  <c r="P272" i="4"/>
  <c r="N272" i="4"/>
  <c r="O36" i="4"/>
  <c r="N36" i="4"/>
  <c r="P36" i="4"/>
  <c r="P126" i="4"/>
  <c r="O126" i="4"/>
  <c r="N126" i="4"/>
  <c r="P269" i="4"/>
  <c r="O269" i="4"/>
  <c r="N269" i="4"/>
  <c r="O252" i="4"/>
  <c r="P252" i="4"/>
  <c r="N252" i="4"/>
  <c r="O100" i="4"/>
  <c r="N100" i="4"/>
  <c r="P100" i="4"/>
  <c r="O328" i="4"/>
  <c r="P328" i="4"/>
  <c r="N328" i="4"/>
  <c r="P247" i="4"/>
  <c r="O247" i="4"/>
  <c r="N247" i="4"/>
  <c r="P266" i="4"/>
  <c r="O266" i="4"/>
  <c r="N266" i="4"/>
  <c r="P93" i="4"/>
  <c r="O93" i="4"/>
  <c r="N93" i="4"/>
  <c r="P79" i="4"/>
  <c r="O79" i="4"/>
  <c r="N79" i="4"/>
  <c r="P265" i="4"/>
  <c r="O265" i="4"/>
  <c r="N265" i="4"/>
  <c r="P98" i="4"/>
  <c r="O98" i="4"/>
  <c r="N98" i="4"/>
  <c r="O4" i="4"/>
  <c r="N4" i="4"/>
  <c r="P4" i="4"/>
  <c r="P326" i="4"/>
  <c r="O326" i="4"/>
  <c r="N326" i="4"/>
  <c r="O400" i="4"/>
  <c r="P400" i="4"/>
  <c r="N400" i="4"/>
  <c r="O264" i="4"/>
  <c r="P264" i="4"/>
  <c r="N264" i="4"/>
  <c r="P249" i="4"/>
  <c r="O249" i="4"/>
  <c r="N249" i="4"/>
  <c r="P7" i="4"/>
  <c r="O7" i="4"/>
  <c r="N7" i="4"/>
  <c r="P238" i="4"/>
  <c r="O238" i="4"/>
  <c r="N238" i="4"/>
  <c r="P355" i="4"/>
  <c r="O355" i="4"/>
  <c r="N355" i="4"/>
  <c r="O65" i="4"/>
  <c r="P65" i="4"/>
  <c r="N65" i="4"/>
  <c r="P317" i="4"/>
  <c r="O317" i="4"/>
  <c r="N317" i="4"/>
  <c r="O32" i="4"/>
  <c r="N32" i="4"/>
  <c r="P32" i="4"/>
  <c r="P85" i="4"/>
  <c r="O85" i="4"/>
  <c r="N85" i="4"/>
  <c r="P142" i="4"/>
  <c r="O142" i="4"/>
  <c r="N142" i="4"/>
  <c r="P135" i="4"/>
  <c r="O135" i="4"/>
  <c r="N135" i="4"/>
  <c r="P109" i="4"/>
  <c r="O109" i="4"/>
  <c r="N109" i="4"/>
  <c r="O228" i="4"/>
  <c r="P228" i="4"/>
  <c r="N228" i="4"/>
  <c r="O200" i="4"/>
  <c r="P200" i="4"/>
  <c r="N200" i="4"/>
  <c r="O216" i="4"/>
  <c r="P216" i="4"/>
  <c r="N216" i="4"/>
  <c r="P151" i="4"/>
  <c r="O151" i="4"/>
  <c r="N151" i="4"/>
  <c r="P157" i="4"/>
  <c r="O157" i="4"/>
  <c r="N157" i="4"/>
  <c r="P173" i="4"/>
  <c r="O173" i="4"/>
  <c r="N173" i="4"/>
  <c r="P179" i="4"/>
  <c r="O179" i="4"/>
  <c r="N179" i="4"/>
  <c r="O188" i="4"/>
  <c r="P188" i="4"/>
  <c r="N188" i="4"/>
  <c r="P166" i="4"/>
  <c r="O166" i="4"/>
  <c r="N166" i="4"/>
  <c r="O332" i="4"/>
  <c r="P332" i="4"/>
  <c r="N332" i="4"/>
  <c r="P338" i="4"/>
  <c r="O338" i="4"/>
  <c r="N338" i="4"/>
  <c r="P278" i="4"/>
  <c r="O278" i="4"/>
  <c r="N278" i="4"/>
  <c r="O392" i="4"/>
  <c r="P392" i="4"/>
  <c r="N392" i="4"/>
  <c r="O72" i="4"/>
  <c r="P72" i="4"/>
  <c r="N72" i="4"/>
  <c r="P70" i="4"/>
  <c r="O70" i="4"/>
  <c r="N70" i="4"/>
  <c r="O384" i="4"/>
  <c r="P384" i="4"/>
  <c r="N384" i="4"/>
  <c r="P394" i="4"/>
  <c r="O394" i="4"/>
  <c r="N394" i="4"/>
  <c r="O76" i="4"/>
  <c r="N76" i="4"/>
  <c r="P76" i="4"/>
  <c r="P75" i="4"/>
  <c r="O75" i="4"/>
  <c r="N75" i="4"/>
  <c r="O396" i="4"/>
  <c r="P396" i="4"/>
  <c r="N396" i="4"/>
  <c r="P381" i="4"/>
  <c r="O381" i="4"/>
  <c r="N381" i="4"/>
  <c r="P15" i="4"/>
  <c r="O15" i="4"/>
  <c r="N15" i="4"/>
  <c r="P23" i="4"/>
  <c r="O23" i="4"/>
  <c r="N23" i="4"/>
  <c r="P19" i="4"/>
  <c r="O19" i="4"/>
  <c r="N19" i="4"/>
  <c r="O64" i="4"/>
  <c r="N64" i="4"/>
  <c r="P64" i="4"/>
  <c r="O316" i="4"/>
  <c r="N316" i="4"/>
  <c r="P316" i="4"/>
  <c r="O404" i="4"/>
  <c r="P404" i="4"/>
  <c r="N404" i="4"/>
  <c r="O41" i="4"/>
  <c r="P41" i="4"/>
  <c r="N41" i="4"/>
  <c r="P258" i="4"/>
  <c r="O258" i="4"/>
  <c r="N258" i="4"/>
  <c r="P291" i="4"/>
  <c r="O291" i="4"/>
  <c r="N291" i="4"/>
  <c r="P242" i="4"/>
  <c r="O242" i="4"/>
  <c r="N242" i="4"/>
  <c r="O308" i="4"/>
  <c r="P308" i="4"/>
  <c r="N308" i="4"/>
  <c r="O220" i="4"/>
  <c r="N220" i="4"/>
  <c r="P220" i="4"/>
  <c r="P202" i="4"/>
  <c r="O202" i="4"/>
  <c r="N202" i="4"/>
  <c r="P209" i="4"/>
  <c r="O209" i="4"/>
  <c r="N209" i="4"/>
  <c r="P215" i="4"/>
  <c r="O215" i="4"/>
  <c r="N215" i="4"/>
  <c r="P227" i="4"/>
  <c r="O227" i="4"/>
  <c r="N227" i="4"/>
  <c r="P354" i="4"/>
  <c r="O354" i="4"/>
  <c r="N354" i="4"/>
  <c r="P63" i="4"/>
  <c r="O63" i="4"/>
  <c r="N63" i="4"/>
  <c r="O192" i="4"/>
  <c r="P192" i="4"/>
  <c r="N192" i="4"/>
  <c r="P194" i="4"/>
  <c r="O194" i="4"/>
  <c r="N194" i="4"/>
  <c r="P182" i="4"/>
  <c r="O182" i="4"/>
  <c r="N182" i="4"/>
  <c r="O172" i="4"/>
  <c r="N172" i="4"/>
  <c r="P172" i="4"/>
  <c r="P191" i="4"/>
  <c r="O191" i="4"/>
  <c r="N191" i="4"/>
  <c r="P187" i="4"/>
  <c r="O187" i="4"/>
  <c r="N187" i="4"/>
  <c r="P147" i="4"/>
  <c r="O147" i="4"/>
  <c r="N147" i="4"/>
  <c r="P353" i="4"/>
  <c r="O353" i="4"/>
  <c r="N353" i="4"/>
  <c r="O56" i="4"/>
  <c r="N56" i="4"/>
  <c r="P56" i="4"/>
  <c r="O352" i="4"/>
  <c r="P352" i="4"/>
  <c r="N352" i="4"/>
  <c r="P55" i="4"/>
  <c r="O55" i="4"/>
  <c r="N55" i="4"/>
  <c r="O324" i="4"/>
  <c r="P324" i="4"/>
  <c r="N324" i="4"/>
  <c r="P113" i="4"/>
  <c r="O113" i="4"/>
  <c r="N113" i="4"/>
  <c r="P371" i="4"/>
  <c r="O371" i="4"/>
  <c r="N371" i="4"/>
  <c r="P121" i="4"/>
  <c r="O121" i="4"/>
  <c r="N121" i="4"/>
  <c r="P370" i="4"/>
  <c r="O370" i="4"/>
  <c r="N370" i="4"/>
  <c r="P119" i="4"/>
  <c r="O119" i="4"/>
  <c r="N119" i="4"/>
  <c r="P369" i="4"/>
  <c r="O369" i="4"/>
  <c r="N369" i="4"/>
  <c r="O124" i="4"/>
  <c r="P124" i="4"/>
  <c r="N124" i="4"/>
  <c r="O25" i="4"/>
  <c r="P25" i="4"/>
  <c r="N25" i="4"/>
  <c r="P27" i="4"/>
  <c r="O27" i="4"/>
  <c r="N27" i="4"/>
  <c r="P303" i="4"/>
  <c r="O303" i="4"/>
  <c r="N303" i="4"/>
  <c r="P337" i="4"/>
  <c r="O337" i="4"/>
  <c r="N337" i="4"/>
  <c r="O284" i="4"/>
  <c r="P284" i="4"/>
  <c r="N284" i="4"/>
  <c r="P298" i="4"/>
  <c r="O298" i="4"/>
  <c r="N298" i="4"/>
  <c r="O140" i="4"/>
  <c r="P140" i="4"/>
  <c r="N140" i="4"/>
  <c r="P83" i="4"/>
  <c r="O83" i="4"/>
  <c r="N83" i="4"/>
  <c r="O348" i="4"/>
  <c r="P348" i="4"/>
  <c r="N348" i="4"/>
  <c r="P62" i="4"/>
  <c r="O62" i="4"/>
  <c r="N62" i="4"/>
  <c r="O88" i="4"/>
  <c r="P88" i="4"/>
  <c r="N88" i="4"/>
  <c r="P241" i="4"/>
  <c r="O241" i="4"/>
  <c r="N241" i="4"/>
  <c r="P257" i="4"/>
  <c r="O257" i="4"/>
  <c r="N257" i="4"/>
  <c r="P107" i="4"/>
  <c r="O107" i="4"/>
  <c r="N107" i="4"/>
  <c r="P78" i="4"/>
  <c r="O78" i="4"/>
  <c r="N78" i="4"/>
  <c r="P123" i="4"/>
  <c r="O123" i="4"/>
  <c r="N123" i="4"/>
  <c r="P273" i="4"/>
  <c r="O273" i="4"/>
  <c r="N273" i="4"/>
  <c r="P127" i="4"/>
  <c r="O127" i="4"/>
  <c r="N127" i="4"/>
  <c r="P77" i="4"/>
  <c r="O77" i="4"/>
  <c r="N77" i="4"/>
  <c r="P263" i="4"/>
  <c r="O263" i="4"/>
  <c r="N263" i="4"/>
  <c r="O96" i="4"/>
  <c r="P96" i="4"/>
  <c r="N96" i="4"/>
  <c r="P2" i="4"/>
  <c r="O2" i="4"/>
  <c r="N2" i="4"/>
  <c r="P325" i="4"/>
  <c r="O325" i="4"/>
  <c r="N325" i="4"/>
  <c r="P398" i="4"/>
  <c r="O398" i="4"/>
  <c r="N398" i="4"/>
  <c r="P262" i="4"/>
  <c r="O262" i="4"/>
  <c r="N262" i="4"/>
  <c r="O248" i="4"/>
  <c r="P248" i="4"/>
  <c r="N248" i="4"/>
  <c r="P5" i="4"/>
  <c r="O5" i="4"/>
  <c r="N5" i="4"/>
  <c r="P237" i="4"/>
  <c r="O237" i="4"/>
  <c r="N237" i="4"/>
  <c r="P347" i="4"/>
  <c r="O347" i="4"/>
  <c r="N347" i="4"/>
  <c r="O61" i="4"/>
  <c r="P61" i="4"/>
  <c r="N61" i="4"/>
  <c r="P315" i="4"/>
  <c r="O315" i="4"/>
  <c r="N315" i="4"/>
  <c r="O29" i="4"/>
  <c r="P29" i="4"/>
  <c r="N29" i="4"/>
  <c r="P82" i="4"/>
  <c r="O82" i="4"/>
  <c r="N82" i="4"/>
  <c r="P139" i="4"/>
  <c r="O139" i="4"/>
  <c r="N139" i="4"/>
  <c r="O132" i="4"/>
  <c r="P132" i="4"/>
  <c r="N132" i="4"/>
  <c r="P106" i="4"/>
  <c r="O106" i="4"/>
  <c r="N106" i="4"/>
  <c r="P226" i="4"/>
  <c r="O226" i="4"/>
  <c r="N226" i="4"/>
  <c r="P198" i="4"/>
  <c r="O198" i="4"/>
  <c r="N198" i="4"/>
  <c r="P214" i="4"/>
  <c r="O214" i="4"/>
  <c r="N214" i="4"/>
  <c r="P149" i="4"/>
  <c r="O149" i="4"/>
  <c r="N149" i="4"/>
  <c r="P154" i="4"/>
  <c r="O154" i="4"/>
  <c r="N154" i="4"/>
  <c r="P171" i="4"/>
  <c r="O171" i="4"/>
  <c r="N171" i="4"/>
  <c r="P178" i="4"/>
  <c r="O178" i="4"/>
  <c r="N178" i="4"/>
  <c r="P186" i="4"/>
  <c r="O186" i="4"/>
  <c r="N186" i="4"/>
  <c r="P165" i="4"/>
  <c r="O165" i="4"/>
  <c r="N165" i="4"/>
  <c r="P330" i="4"/>
  <c r="O330" i="4"/>
  <c r="N330" i="4"/>
  <c r="P335" i="4"/>
  <c r="O335" i="4"/>
  <c r="N335" i="4"/>
  <c r="O276" i="4"/>
  <c r="P276" i="4"/>
  <c r="N276" i="4"/>
  <c r="P71" i="4"/>
  <c r="O71" i="4"/>
  <c r="N71" i="4"/>
  <c r="O69" i="4"/>
  <c r="P69" i="4"/>
  <c r="N69" i="4"/>
  <c r="P67" i="4"/>
  <c r="O67" i="4"/>
  <c r="N67" i="4"/>
  <c r="P382" i="4"/>
  <c r="O382" i="4"/>
  <c r="N382" i="4"/>
  <c r="O380" i="4"/>
  <c r="P380" i="4"/>
  <c r="N380" i="4"/>
  <c r="P14" i="4"/>
  <c r="O14" i="4"/>
  <c r="N14" i="4"/>
  <c r="O21" i="4"/>
  <c r="P21" i="4"/>
  <c r="N21" i="4"/>
  <c r="O60" i="4"/>
  <c r="N60" i="4"/>
  <c r="P60" i="4"/>
  <c r="P314" i="4"/>
  <c r="O314" i="4"/>
  <c r="N314" i="4"/>
  <c r="P401" i="4"/>
  <c r="O401" i="4"/>
  <c r="N401" i="4"/>
  <c r="P38" i="4"/>
  <c r="O38" i="4"/>
  <c r="N38" i="4"/>
  <c r="P255" i="4"/>
  <c r="O255" i="4"/>
  <c r="N255" i="4"/>
  <c r="O288" i="4"/>
  <c r="P288" i="4"/>
  <c r="N288" i="4"/>
  <c r="O239" i="4"/>
  <c r="P239" i="4"/>
  <c r="N239" i="4"/>
  <c r="P306" i="4"/>
  <c r="O306" i="4"/>
  <c r="N306" i="4"/>
  <c r="P211" i="4"/>
  <c r="O211" i="4"/>
  <c r="N211" i="4"/>
  <c r="P217" i="4"/>
  <c r="O217" i="4"/>
  <c r="N217" i="4"/>
  <c r="P197" i="4"/>
  <c r="O197" i="4"/>
  <c r="N197" i="4"/>
  <c r="P213" i="4"/>
  <c r="O213" i="4"/>
  <c r="N213" i="4"/>
  <c r="P225" i="4"/>
  <c r="O225" i="4"/>
  <c r="N225" i="4"/>
  <c r="P346" i="4"/>
  <c r="O346" i="4"/>
  <c r="N346" i="4"/>
  <c r="P59" i="4"/>
  <c r="O59" i="4"/>
  <c r="N59" i="4"/>
  <c r="P195" i="4"/>
  <c r="O195" i="4"/>
  <c r="N195" i="4"/>
  <c r="O168" i="4"/>
  <c r="P168" i="4"/>
  <c r="N168" i="4"/>
  <c r="P153" i="4"/>
  <c r="O153" i="4"/>
  <c r="N153" i="4"/>
  <c r="P161" i="4"/>
  <c r="O161" i="4"/>
  <c r="N161" i="4"/>
  <c r="P174" i="4"/>
  <c r="O174" i="4"/>
  <c r="N174" i="4"/>
  <c r="P129" i="4"/>
  <c r="O129" i="4"/>
  <c r="N129" i="4"/>
  <c r="O364" i="4"/>
  <c r="N364" i="4"/>
  <c r="P364" i="4"/>
  <c r="P115" i="4"/>
  <c r="O115" i="4"/>
  <c r="N115" i="4"/>
  <c r="P363" i="4"/>
  <c r="O363" i="4"/>
  <c r="N363" i="4"/>
  <c r="P114" i="4"/>
  <c r="O114" i="4"/>
  <c r="N114" i="4"/>
  <c r="P343" i="4"/>
  <c r="O343" i="4"/>
  <c r="N343" i="4"/>
  <c r="O48" i="4"/>
  <c r="N48" i="4"/>
  <c r="P48" i="4"/>
  <c r="P323" i="4"/>
  <c r="O323" i="4"/>
  <c r="N323" i="4"/>
  <c r="O112" i="4"/>
  <c r="P112" i="4"/>
  <c r="N112" i="4"/>
  <c r="P361" i="4"/>
  <c r="O361" i="4"/>
  <c r="N361" i="4"/>
  <c r="O120" i="4"/>
  <c r="P120" i="4"/>
  <c r="N120" i="4"/>
  <c r="O360" i="4"/>
  <c r="P360" i="4"/>
  <c r="N360" i="4"/>
  <c r="P117" i="4"/>
  <c r="O117" i="4"/>
  <c r="N117" i="4"/>
  <c r="P359" i="4"/>
  <c r="O359" i="4"/>
  <c r="N359" i="4"/>
  <c r="P122" i="4"/>
  <c r="O122" i="4"/>
  <c r="N122" i="4"/>
  <c r="O24" i="4"/>
  <c r="N24" i="4"/>
  <c r="P24" i="4"/>
  <c r="P26" i="4"/>
  <c r="O26" i="4"/>
  <c r="N26" i="4"/>
  <c r="P302" i="4"/>
  <c r="O302" i="4"/>
  <c r="N302" i="4"/>
  <c r="P334" i="4"/>
  <c r="O334" i="4"/>
  <c r="N334" i="4"/>
  <c r="P283" i="4"/>
  <c r="O283" i="4"/>
  <c r="N283" i="4"/>
  <c r="P297" i="4"/>
  <c r="O297" i="4"/>
  <c r="N297" i="4"/>
  <c r="P87" i="4"/>
  <c r="O87" i="4"/>
  <c r="N87" i="4"/>
  <c r="P158" i="4"/>
  <c r="O158" i="4"/>
  <c r="N158" i="4"/>
  <c r="P246" i="4"/>
  <c r="O246" i="4"/>
  <c r="N246" i="4"/>
  <c r="P270" i="4"/>
  <c r="O270" i="4"/>
  <c r="N270" i="4"/>
  <c r="P397" i="4"/>
  <c r="O397" i="4"/>
  <c r="N397" i="4"/>
  <c r="P42" i="4"/>
  <c r="O42" i="4"/>
  <c r="N42" i="4"/>
  <c r="P210" i="4"/>
  <c r="O210" i="4"/>
  <c r="N210" i="4"/>
  <c r="O300" i="4"/>
  <c r="P300" i="4"/>
  <c r="N300" i="4"/>
  <c r="P73" i="4"/>
  <c r="O73" i="4"/>
  <c r="N73" i="4"/>
  <c r="O312" i="4"/>
  <c r="P312" i="4"/>
  <c r="N312" i="4"/>
  <c r="P134" i="4"/>
  <c r="O134" i="4"/>
  <c r="N134" i="4"/>
  <c r="P199" i="4"/>
  <c r="O199" i="4"/>
  <c r="N199" i="4"/>
  <c r="O156" i="4"/>
  <c r="P156" i="4"/>
  <c r="N156" i="4"/>
  <c r="P321" i="4"/>
  <c r="O321" i="4"/>
  <c r="N321" i="4"/>
  <c r="O52" i="4"/>
  <c r="N52" i="4"/>
  <c r="P52" i="4"/>
  <c r="P403" i="4"/>
  <c r="O403" i="4"/>
  <c r="N403" i="4"/>
  <c r="P155" i="4"/>
  <c r="O155" i="4"/>
  <c r="N155" i="4"/>
  <c r="P285" i="4"/>
  <c r="O285" i="4"/>
  <c r="N285" i="4"/>
  <c r="P311" i="4"/>
  <c r="O311" i="4"/>
  <c r="N311" i="4"/>
  <c r="P222" i="4"/>
  <c r="O222" i="4"/>
  <c r="N222" i="4"/>
  <c r="P299" i="4"/>
  <c r="O299" i="4"/>
  <c r="N299" i="4"/>
  <c r="O12" i="4"/>
  <c r="N12" i="4"/>
  <c r="P12" i="4"/>
  <c r="P219" i="4"/>
  <c r="O219" i="4"/>
  <c r="N219" i="4"/>
  <c r="O148" i="4"/>
  <c r="N148" i="4"/>
  <c r="P148" i="4"/>
  <c r="P170" i="4"/>
  <c r="O170" i="4"/>
  <c r="N170" i="4"/>
  <c r="O344" i="4"/>
  <c r="P344" i="4"/>
  <c r="N344" i="4"/>
  <c r="P362" i="4"/>
  <c r="O362" i="4"/>
  <c r="N362" i="4"/>
  <c r="P342" i="4"/>
  <c r="O342" i="4"/>
  <c r="N342" i="4"/>
  <c r="P47" i="4"/>
  <c r="O47" i="4"/>
  <c r="N47" i="4"/>
  <c r="P341" i="4"/>
  <c r="O341" i="4"/>
  <c r="N341" i="4"/>
  <c r="P46" i="4"/>
  <c r="O46" i="4"/>
  <c r="N46" i="4"/>
  <c r="O340" i="4"/>
  <c r="N340" i="4"/>
  <c r="P340" i="4"/>
  <c r="O45" i="4"/>
  <c r="P45" i="4"/>
  <c r="N45" i="4"/>
  <c r="P275" i="4"/>
  <c r="O275" i="4"/>
  <c r="N275" i="4"/>
  <c r="P58" i="4"/>
  <c r="O58" i="4"/>
  <c r="N58" i="4"/>
  <c r="P111" i="4"/>
  <c r="O111" i="4"/>
  <c r="N111" i="4"/>
  <c r="P143" i="4"/>
  <c r="O143" i="4"/>
  <c r="N143" i="4"/>
  <c r="P89" i="4"/>
  <c r="O89" i="4"/>
  <c r="N89" i="4"/>
  <c r="O128" i="4"/>
  <c r="N128" i="4"/>
  <c r="P128" i="4"/>
  <c r="P99" i="4"/>
  <c r="O99" i="4"/>
  <c r="N99" i="4"/>
  <c r="P286" i="4"/>
  <c r="O286" i="4"/>
  <c r="N286" i="4"/>
  <c r="P102" i="4"/>
  <c r="O102" i="4"/>
  <c r="N102" i="4"/>
  <c r="P405" i="4"/>
  <c r="O405" i="4"/>
  <c r="N405" i="4"/>
  <c r="P223" i="4"/>
  <c r="O223" i="4"/>
  <c r="N223" i="4"/>
  <c r="O388" i="4"/>
  <c r="P388" i="4"/>
  <c r="N388" i="4"/>
  <c r="O17" i="4"/>
  <c r="P17" i="4"/>
  <c r="N17" i="4"/>
  <c r="O84" i="4"/>
  <c r="P84" i="4"/>
  <c r="N84" i="4"/>
  <c r="P305" i="4"/>
  <c r="O305" i="4"/>
  <c r="N305" i="4"/>
  <c r="P231" i="4"/>
  <c r="O231" i="4"/>
  <c r="N231" i="4"/>
  <c r="O176" i="4"/>
  <c r="P176" i="4"/>
  <c r="N176" i="4"/>
  <c r="O236" i="4"/>
  <c r="P236" i="4"/>
  <c r="N236" i="4"/>
  <c r="P53" i="4"/>
  <c r="O53" i="4"/>
  <c r="N53" i="4"/>
  <c r="P331" i="4"/>
  <c r="O331" i="4"/>
  <c r="N331" i="4"/>
  <c r="P133" i="4"/>
  <c r="O133" i="4"/>
  <c r="N133" i="4"/>
  <c r="P253" i="4"/>
  <c r="O253" i="4"/>
  <c r="N253" i="4"/>
  <c r="P250" i="4"/>
  <c r="O250" i="4"/>
  <c r="N250" i="4"/>
  <c r="P101" i="4"/>
  <c r="O101" i="4"/>
  <c r="N101" i="4"/>
  <c r="P402" i="4"/>
  <c r="O402" i="4"/>
  <c r="N402" i="4"/>
  <c r="O204" i="4"/>
  <c r="P204" i="4"/>
  <c r="N204" i="4"/>
  <c r="P391" i="4"/>
  <c r="O391" i="4"/>
  <c r="N391" i="4"/>
  <c r="P387" i="4"/>
  <c r="O387" i="4"/>
  <c r="N387" i="4"/>
  <c r="P366" i="4"/>
  <c r="O366" i="4"/>
  <c r="N366" i="4"/>
  <c r="O304" i="4"/>
  <c r="P304" i="4"/>
  <c r="N304" i="4"/>
  <c r="P203" i="4"/>
  <c r="O203" i="4"/>
  <c r="N203" i="4"/>
  <c r="P193" i="4"/>
  <c r="O193" i="4"/>
  <c r="N193" i="4"/>
  <c r="P50" i="4"/>
  <c r="O50" i="4"/>
  <c r="N50" i="4"/>
  <c r="O320" i="4"/>
  <c r="P320" i="4"/>
  <c r="N320" i="4"/>
  <c r="P295" i="4"/>
  <c r="O295" i="4"/>
  <c r="N295" i="4"/>
  <c r="O44" i="4"/>
  <c r="N44" i="4"/>
  <c r="P44" i="4"/>
  <c r="P358" i="4"/>
  <c r="O358" i="4"/>
  <c r="N358" i="4"/>
  <c r="P261" i="4"/>
  <c r="O261" i="4"/>
  <c r="N261" i="4"/>
  <c r="P11" i="4"/>
  <c r="O11" i="4"/>
  <c r="N11" i="4"/>
  <c r="O152" i="4"/>
  <c r="P152" i="4"/>
  <c r="N152" i="4"/>
  <c r="P271" i="4"/>
  <c r="O271" i="4"/>
  <c r="N271" i="4"/>
  <c r="O9" i="4"/>
  <c r="P9" i="4"/>
  <c r="N9" i="4"/>
  <c r="O20" i="4"/>
  <c r="P20" i="4"/>
  <c r="N20" i="4"/>
  <c r="O232" i="4"/>
  <c r="P232" i="4"/>
  <c r="N232" i="4"/>
  <c r="P259" i="4"/>
  <c r="O259" i="4"/>
  <c r="N259" i="4"/>
  <c r="P190" i="4"/>
  <c r="O190" i="4"/>
  <c r="N190" i="4"/>
  <c r="P177" i="4"/>
  <c r="O177" i="4"/>
  <c r="N177" i="4"/>
  <c r="P390" i="4"/>
  <c r="O390" i="4"/>
  <c r="N390" i="4"/>
  <c r="P383" i="4"/>
  <c r="O383" i="4"/>
  <c r="N383" i="4"/>
  <c r="P141" i="4"/>
  <c r="O141" i="4"/>
  <c r="N141" i="4"/>
  <c r="P218" i="4"/>
  <c r="O218" i="4"/>
  <c r="N218" i="4"/>
  <c r="P374" i="4"/>
  <c r="O374" i="4"/>
  <c r="N374" i="4"/>
  <c r="P163" i="4"/>
  <c r="O163" i="4"/>
  <c r="N163" i="4"/>
  <c r="O116" i="4"/>
  <c r="P116" i="4"/>
  <c r="N116" i="4"/>
  <c r="P350" i="4"/>
  <c r="O350" i="4"/>
  <c r="N350" i="4"/>
  <c r="O296" i="4"/>
  <c r="P296" i="4"/>
  <c r="N296" i="4"/>
  <c r="P51" i="4"/>
  <c r="O51" i="4"/>
  <c r="N51" i="4"/>
  <c r="P35" i="4"/>
  <c r="O35" i="4"/>
  <c r="N35" i="4"/>
  <c r="P95" i="4"/>
  <c r="O95" i="4"/>
  <c r="N95" i="4"/>
  <c r="O256" i="4"/>
  <c r="P256" i="4"/>
  <c r="N256" i="4"/>
  <c r="P175" i="4"/>
  <c r="O175" i="4"/>
  <c r="N175" i="4"/>
  <c r="O16" i="4"/>
  <c r="N16" i="4"/>
  <c r="P16" i="4"/>
  <c r="O28" i="4"/>
  <c r="N28" i="4"/>
  <c r="P28" i="4"/>
  <c r="P365" i="4"/>
  <c r="O365" i="4"/>
  <c r="N365" i="4"/>
  <c r="P146" i="4"/>
  <c r="O146" i="4"/>
  <c r="N146" i="4"/>
  <c r="P235" i="4"/>
  <c r="O235" i="4"/>
  <c r="N235" i="4"/>
  <c r="P329" i="4"/>
  <c r="O329" i="4"/>
  <c r="N329" i="4"/>
  <c r="P407" i="4"/>
  <c r="O407" i="4"/>
  <c r="N407" i="4"/>
  <c r="B106" i="12"/>
  <c r="C170" i="12"/>
  <c r="B6" i="12"/>
  <c r="B52" i="12"/>
  <c r="C133" i="12"/>
  <c r="C145" i="12"/>
  <c r="D175" i="12"/>
  <c r="D170" i="12"/>
  <c r="B175" i="12"/>
  <c r="D121" i="12"/>
  <c r="O126" i="12"/>
  <c r="B111" i="12"/>
  <c r="N134" i="12"/>
  <c r="D111" i="12"/>
  <c r="M94" i="12"/>
  <c r="B84" i="12"/>
  <c r="C157" i="12"/>
  <c r="B31" i="12"/>
  <c r="C125" i="12"/>
  <c r="C9" i="12"/>
  <c r="C165" i="12"/>
  <c r="B21" i="12"/>
  <c r="C76" i="12"/>
  <c r="B80" i="12"/>
  <c r="B102" i="12"/>
  <c r="B129" i="12"/>
  <c r="B149" i="12"/>
  <c r="M10" i="12"/>
  <c r="M12" i="12" s="1"/>
  <c r="D9" i="12" s="1"/>
  <c r="C39" i="12"/>
  <c r="M14" i="12"/>
  <c r="C66" i="12"/>
  <c r="B26" i="12"/>
  <c r="B48" i="12"/>
  <c r="B161" i="12"/>
  <c r="C93" i="12"/>
  <c r="C141" i="12"/>
  <c r="C17" i="12"/>
  <c r="C44" i="12"/>
  <c r="C71" i="12"/>
  <c r="C98" i="12"/>
  <c r="B121" i="12"/>
  <c r="B137" i="12"/>
  <c r="B153" i="12"/>
  <c r="B35" i="12"/>
  <c r="B62" i="12"/>
  <c r="B89" i="12"/>
  <c r="B13" i="12"/>
  <c r="B56" i="12"/>
  <c r="I310" i="12"/>
  <c r="N310" i="12" s="1"/>
  <c r="N312" i="12" s="1"/>
  <c r="D308" i="12" s="1"/>
  <c r="B313" i="12"/>
  <c r="B308" i="12"/>
  <c r="O305" i="12"/>
  <c r="O307" i="12" s="1"/>
  <c r="B303" i="12"/>
  <c r="B316" i="12" s="1"/>
  <c r="O300" i="12"/>
  <c r="O302" i="12" s="1"/>
  <c r="C293" i="12"/>
  <c r="N295" i="12"/>
  <c r="O295" i="12" s="1"/>
  <c r="O297" i="12" s="1"/>
  <c r="D293" i="12" s="1"/>
  <c r="B298" i="12"/>
  <c r="B315" i="12" s="1"/>
  <c r="B288" i="12"/>
  <c r="B278" i="12"/>
  <c r="B283" i="12"/>
  <c r="B273" i="12"/>
  <c r="B268" i="12"/>
  <c r="C253" i="12"/>
  <c r="B263" i="12"/>
  <c r="B258" i="12"/>
  <c r="B248" i="12"/>
  <c r="B243" i="12"/>
  <c r="J240" i="12"/>
  <c r="D243" i="12" s="1"/>
  <c r="B233" i="12"/>
  <c r="B238" i="12"/>
  <c r="B228" i="12"/>
  <c r="N210" i="12"/>
  <c r="N212" i="12" s="1"/>
  <c r="D207" i="12" s="1"/>
  <c r="C223" i="12"/>
  <c r="C218" i="12"/>
  <c r="N189" i="12"/>
  <c r="O189" i="12" s="1"/>
  <c r="O191" i="12" s="1"/>
  <c r="O194" i="12" s="1"/>
  <c r="O199" i="12" s="1"/>
  <c r="D213" i="12"/>
  <c r="B213" i="12"/>
  <c r="C207" i="12"/>
  <c r="B202" i="12"/>
  <c r="B197" i="12"/>
  <c r="C192" i="12"/>
  <c r="B187" i="12"/>
  <c r="B182" i="12"/>
  <c r="H481" i="12"/>
  <c r="B481" i="12"/>
  <c r="F481" i="12"/>
  <c r="E481" i="12"/>
  <c r="K481" i="12"/>
  <c r="O134" i="12" l="1"/>
  <c r="O136" i="12" s="1"/>
  <c r="N150" i="12"/>
  <c r="O130" i="12"/>
  <c r="M130" i="12" s="1"/>
  <c r="M132" i="12" s="1"/>
  <c r="D129" i="12" s="1"/>
  <c r="M126" i="12"/>
  <c r="M128" i="12" s="1"/>
  <c r="D125" i="12" s="1"/>
  <c r="G99" i="12"/>
  <c r="M99" i="12" s="1"/>
  <c r="M101" i="12" s="1"/>
  <c r="D98" i="12" s="1"/>
  <c r="M96" i="12"/>
  <c r="D93" i="12" s="1"/>
  <c r="M16" i="12"/>
  <c r="D13" i="12" s="1"/>
  <c r="M18" i="12"/>
  <c r="D298" i="12"/>
  <c r="O315" i="12"/>
  <c r="D303" i="12"/>
  <c r="O316" i="12"/>
  <c r="K194" i="12"/>
  <c r="K196" i="12" s="1"/>
  <c r="D192" i="12" s="1"/>
  <c r="D187" i="12"/>
  <c r="D202" i="12"/>
  <c r="K199" i="12"/>
  <c r="K201" i="12" s="1"/>
  <c r="D197" i="12" s="1"/>
  <c r="O481" i="12"/>
  <c r="A1086" i="12"/>
  <c r="B1086" i="12" s="1"/>
  <c r="C3" i="12"/>
  <c r="A843" i="12"/>
  <c r="C843" i="12" s="1"/>
  <c r="A859" i="12"/>
  <c r="A865" i="12"/>
  <c r="C865" i="12" s="1"/>
  <c r="A871" i="12"/>
  <c r="C871" i="12" s="1"/>
  <c r="A877" i="12"/>
  <c r="B877" i="12" s="1"/>
  <c r="K280" i="4" l="1"/>
  <c r="J280" i="4"/>
  <c r="K395" i="4"/>
  <c r="J395" i="4"/>
  <c r="K159" i="4"/>
  <c r="J159" i="4"/>
  <c r="K165" i="4"/>
  <c r="J165" i="4"/>
  <c r="K175" i="4"/>
  <c r="J175" i="4"/>
  <c r="K186" i="4"/>
  <c r="J186" i="4"/>
  <c r="N154" i="12"/>
  <c r="O150" i="12"/>
  <c r="O152" i="12" s="1"/>
  <c r="D149" i="12" s="1"/>
  <c r="D133" i="12"/>
  <c r="O138" i="12"/>
  <c r="N138" i="12" s="1"/>
  <c r="N140" i="12" s="1"/>
  <c r="M20" i="12"/>
  <c r="D17" i="12" s="1"/>
  <c r="M27" i="12"/>
  <c r="M22" i="12"/>
  <c r="M24" i="12" s="1"/>
  <c r="D21" i="12" s="1"/>
  <c r="O317" i="12"/>
  <c r="D313" i="12" s="1"/>
  <c r="C1086" i="12"/>
  <c r="C877" i="12"/>
  <c r="B871" i="12"/>
  <c r="B865" i="12"/>
  <c r="D137" i="12" l="1"/>
  <c r="O142" i="12"/>
  <c r="N158" i="12"/>
  <c r="N156" i="12"/>
  <c r="D153" i="12" s="1"/>
  <c r="M32" i="12"/>
  <c r="M29" i="12"/>
  <c r="D26" i="12" s="1"/>
  <c r="I5" i="14"/>
  <c r="I3" i="14"/>
  <c r="T27" i="15"/>
  <c r="S27" i="15"/>
  <c r="N162" i="12" l="1"/>
  <c r="N160" i="12"/>
  <c r="D157" i="12" s="1"/>
  <c r="M142" i="12"/>
  <c r="M144" i="12" s="1"/>
  <c r="D141" i="12" s="1"/>
  <c r="O146" i="12"/>
  <c r="M146" i="12" s="1"/>
  <c r="M148" i="12" s="1"/>
  <c r="D145" i="12" s="1"/>
  <c r="M40" i="12"/>
  <c r="M36" i="12"/>
  <c r="M38" i="12" s="1"/>
  <c r="D35" i="12" s="1"/>
  <c r="M34" i="12"/>
  <c r="D31" i="12" s="1"/>
  <c r="N166" i="12" l="1"/>
  <c r="N168" i="12" s="1"/>
  <c r="D165" i="12" s="1"/>
  <c r="N164" i="12"/>
  <c r="D161" i="12" s="1"/>
  <c r="M45" i="12"/>
  <c r="M47" i="12" s="1"/>
  <c r="D44" i="12" s="1"/>
  <c r="M42" i="12"/>
  <c r="D39" i="12" s="1"/>
  <c r="M49" i="12"/>
  <c r="M51" i="12" l="1"/>
  <c r="D48" i="12" s="1"/>
  <c r="M53" i="12"/>
  <c r="M55" i="12" l="1"/>
  <c r="D52" i="12" s="1"/>
  <c r="M57" i="12"/>
  <c r="AQ68" i="15"/>
  <c r="AO68" i="15"/>
  <c r="Y68" i="15"/>
  <c r="U68" i="15"/>
  <c r="AQ67" i="15"/>
  <c r="AO67" i="15"/>
  <c r="Y67" i="15"/>
  <c r="U67" i="15"/>
  <c r="AQ66" i="15"/>
  <c r="U66" i="15"/>
  <c r="AQ65" i="15"/>
  <c r="AO65" i="15"/>
  <c r="Y65" i="15"/>
  <c r="U65" i="15"/>
  <c r="AQ64" i="15"/>
  <c r="AO64" i="15"/>
  <c r="Y64" i="15"/>
  <c r="U64" i="15"/>
  <c r="AQ63" i="15"/>
  <c r="AO63" i="15"/>
  <c r="Y63" i="15"/>
  <c r="U63" i="15"/>
  <c r="AQ62" i="15"/>
  <c r="AO62" i="15"/>
  <c r="Y62" i="15"/>
  <c r="U62" i="15"/>
  <c r="AQ61" i="15"/>
  <c r="AO61" i="15"/>
  <c r="Y61" i="15"/>
  <c r="U61" i="15"/>
  <c r="AQ60" i="15"/>
  <c r="AO60" i="15"/>
  <c r="Y60" i="15"/>
  <c r="U60" i="15"/>
  <c r="AQ59" i="15"/>
  <c r="AO59" i="15"/>
  <c r="Y59" i="15"/>
  <c r="U59" i="15"/>
  <c r="AQ58" i="15"/>
  <c r="AO58" i="15"/>
  <c r="Y58" i="15"/>
  <c r="U58" i="15"/>
  <c r="AQ57" i="15"/>
  <c r="AO57" i="15"/>
  <c r="Y57" i="15"/>
  <c r="U57" i="15"/>
  <c r="AQ56" i="15"/>
  <c r="AO56" i="15"/>
  <c r="Y56" i="15"/>
  <c r="U56" i="15"/>
  <c r="AQ55" i="15"/>
  <c r="U55" i="15"/>
  <c r="AQ54" i="15"/>
  <c r="AO54" i="15"/>
  <c r="Y54" i="15"/>
  <c r="U54" i="15"/>
  <c r="AQ53" i="15"/>
  <c r="AO53" i="15"/>
  <c r="Y53" i="15"/>
  <c r="U53" i="15"/>
  <c r="AQ52" i="15"/>
  <c r="AO52" i="15"/>
  <c r="Y52" i="15"/>
  <c r="AE52" i="15" s="1"/>
  <c r="U52" i="15"/>
  <c r="AQ51" i="15"/>
  <c r="AO51" i="15"/>
  <c r="Y51" i="15"/>
  <c r="U51" i="15"/>
  <c r="AQ50" i="15"/>
  <c r="AO50" i="15"/>
  <c r="Y50" i="15"/>
  <c r="U50" i="15"/>
  <c r="AQ49" i="15"/>
  <c r="AO49" i="15"/>
  <c r="Y49" i="15"/>
  <c r="U49" i="15"/>
  <c r="AQ48" i="15"/>
  <c r="AO48" i="15"/>
  <c r="Y48" i="15"/>
  <c r="U48" i="15"/>
  <c r="T48" i="15"/>
  <c r="S48" i="15"/>
  <c r="AQ47" i="15"/>
  <c r="AO47" i="15"/>
  <c r="Y47" i="15"/>
  <c r="U47" i="15"/>
  <c r="AQ46" i="15"/>
  <c r="AO46" i="15"/>
  <c r="Y46" i="15"/>
  <c r="U46" i="15"/>
  <c r="AQ45" i="15"/>
  <c r="AO45" i="15"/>
  <c r="Y45" i="15"/>
  <c r="U45" i="15"/>
  <c r="AQ44" i="15"/>
  <c r="AO44" i="15"/>
  <c r="Y44" i="15"/>
  <c r="U44" i="15"/>
  <c r="AQ43" i="15"/>
  <c r="U43" i="15"/>
  <c r="AQ42" i="15"/>
  <c r="AO42" i="15"/>
  <c r="Y42" i="15"/>
  <c r="U42" i="15"/>
  <c r="AQ41" i="15"/>
  <c r="AO41" i="15"/>
  <c r="Y41" i="15"/>
  <c r="U41" i="15"/>
  <c r="AQ40" i="15"/>
  <c r="AO40" i="15"/>
  <c r="Y40" i="15"/>
  <c r="U40" i="15"/>
  <c r="T40" i="15"/>
  <c r="S40" i="15"/>
  <c r="AQ39" i="15"/>
  <c r="AO39" i="15"/>
  <c r="Y39" i="15"/>
  <c r="U39" i="15"/>
  <c r="T39" i="15"/>
  <c r="S39" i="15"/>
  <c r="AQ38" i="15"/>
  <c r="AO38" i="15"/>
  <c r="Y38" i="15"/>
  <c r="U38" i="15"/>
  <c r="T38" i="15"/>
  <c r="S38" i="15"/>
  <c r="AQ37" i="15"/>
  <c r="AO37" i="15"/>
  <c r="Y37" i="15"/>
  <c r="U37" i="15"/>
  <c r="T37" i="15"/>
  <c r="S37" i="15"/>
  <c r="AQ36" i="15"/>
  <c r="AO36" i="15"/>
  <c r="Y36" i="15"/>
  <c r="U36" i="15"/>
  <c r="AQ35" i="15"/>
  <c r="AO35" i="15"/>
  <c r="Y35" i="15"/>
  <c r="U35" i="15"/>
  <c r="AQ33" i="15"/>
  <c r="AO33" i="15"/>
  <c r="Y33" i="15"/>
  <c r="U33" i="15"/>
  <c r="T33" i="15"/>
  <c r="S33" i="15"/>
  <c r="AQ32" i="15"/>
  <c r="AO32" i="15"/>
  <c r="Y32" i="15"/>
  <c r="U32" i="15"/>
  <c r="T32" i="15"/>
  <c r="S32" i="15"/>
  <c r="AQ31" i="15"/>
  <c r="AO31" i="15"/>
  <c r="Y31" i="15"/>
  <c r="U31" i="15"/>
  <c r="T31" i="15"/>
  <c r="S31" i="15"/>
  <c r="AQ30" i="15"/>
  <c r="AO30" i="15"/>
  <c r="Y30" i="15"/>
  <c r="U30" i="15"/>
  <c r="T30" i="15"/>
  <c r="S30" i="15"/>
  <c r="AQ29" i="15"/>
  <c r="AO29" i="15"/>
  <c r="Y29" i="15"/>
  <c r="U29" i="15"/>
  <c r="T29" i="15"/>
  <c r="S29" i="15"/>
  <c r="AQ28" i="15"/>
  <c r="AO28" i="15"/>
  <c r="Y28" i="15"/>
  <c r="U28" i="15"/>
  <c r="T28" i="15"/>
  <c r="S28" i="15"/>
  <c r="AQ13" i="15"/>
  <c r="AO13" i="15"/>
  <c r="Y13" i="15"/>
  <c r="U13" i="15"/>
  <c r="T13" i="15"/>
  <c r="S13" i="15"/>
  <c r="AQ10" i="15"/>
  <c r="U10" i="15"/>
  <c r="T10" i="15"/>
  <c r="S10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3" i="15"/>
  <c r="B32" i="15"/>
  <c r="B31" i="15"/>
  <c r="P31" i="15" s="1"/>
  <c r="B30" i="15"/>
  <c r="P30" i="15" s="1"/>
  <c r="B29" i="15"/>
  <c r="P29" i="15" s="1"/>
  <c r="B28" i="15"/>
  <c r="P28" i="15" s="1"/>
  <c r="B27" i="15"/>
  <c r="B26" i="15"/>
  <c r="B25" i="15"/>
  <c r="B24" i="15"/>
  <c r="B23" i="15"/>
  <c r="B22" i="15"/>
  <c r="B21" i="15"/>
  <c r="B20" i="15"/>
  <c r="B19" i="15"/>
  <c r="B18" i="15"/>
  <c r="B16" i="15"/>
  <c r="B15" i="15"/>
  <c r="B14" i="15"/>
  <c r="B13" i="15"/>
  <c r="P13" i="15" s="1"/>
  <c r="B11" i="15"/>
  <c r="B10" i="15"/>
  <c r="P10" i="15" s="1"/>
  <c r="B9" i="15"/>
  <c r="B8" i="15"/>
  <c r="B7" i="15"/>
  <c r="B6" i="15"/>
  <c r="A66" i="15"/>
  <c r="A54" i="15"/>
  <c r="A42" i="15"/>
  <c r="A29" i="15"/>
  <c r="A16" i="15"/>
  <c r="A5" i="15"/>
  <c r="A12" i="15"/>
  <c r="A17" i="15"/>
  <c r="A34" i="15"/>
  <c r="D75" i="14"/>
  <c r="L75" i="14"/>
  <c r="J75" i="14"/>
  <c r="I75" i="14"/>
  <c r="C75" i="14"/>
  <c r="A68" i="15" s="1"/>
  <c r="D74" i="14"/>
  <c r="L74" i="14"/>
  <c r="J74" i="14"/>
  <c r="I74" i="14"/>
  <c r="C74" i="14"/>
  <c r="A67" i="15" s="1"/>
  <c r="D50" i="14"/>
  <c r="L50" i="14"/>
  <c r="J50" i="14"/>
  <c r="I50" i="14"/>
  <c r="C50" i="14"/>
  <c r="A43" i="15" s="1"/>
  <c r="D73" i="14"/>
  <c r="L73" i="14"/>
  <c r="J73" i="14"/>
  <c r="I73" i="14"/>
  <c r="C73" i="14"/>
  <c r="D72" i="14"/>
  <c r="L72" i="14"/>
  <c r="J72" i="14"/>
  <c r="I72" i="14"/>
  <c r="C72" i="14"/>
  <c r="A65" i="15" s="1"/>
  <c r="L36" i="14"/>
  <c r="J36" i="14"/>
  <c r="I36" i="14"/>
  <c r="C36" i="14"/>
  <c r="A33" i="15" s="1"/>
  <c r="L35" i="14"/>
  <c r="J35" i="14"/>
  <c r="I35" i="14"/>
  <c r="C35" i="14"/>
  <c r="A32" i="15" s="1"/>
  <c r="L34" i="14"/>
  <c r="J34" i="14"/>
  <c r="I34" i="14"/>
  <c r="C34" i="14"/>
  <c r="A31" i="15" s="1"/>
  <c r="L33" i="14"/>
  <c r="J33" i="14"/>
  <c r="I33" i="14"/>
  <c r="C33" i="14"/>
  <c r="A30" i="15" s="1"/>
  <c r="L32" i="14"/>
  <c r="J32" i="14"/>
  <c r="I32" i="14"/>
  <c r="C32" i="14"/>
  <c r="L31" i="14"/>
  <c r="J31" i="14"/>
  <c r="I31" i="14"/>
  <c r="C31" i="14"/>
  <c r="A28" i="15" s="1"/>
  <c r="D71" i="14"/>
  <c r="L71" i="14"/>
  <c r="J71" i="14"/>
  <c r="I71" i="14"/>
  <c r="C71" i="14"/>
  <c r="A64" i="15" s="1"/>
  <c r="D70" i="14"/>
  <c r="L70" i="14"/>
  <c r="J70" i="14"/>
  <c r="I70" i="14"/>
  <c r="C70" i="14"/>
  <c r="A63" i="15" s="1"/>
  <c r="D69" i="14"/>
  <c r="L69" i="14"/>
  <c r="J69" i="14"/>
  <c r="I69" i="14"/>
  <c r="C69" i="14"/>
  <c r="A62" i="15" s="1"/>
  <c r="D68" i="14"/>
  <c r="L68" i="14"/>
  <c r="J68" i="14"/>
  <c r="I68" i="14"/>
  <c r="C68" i="14"/>
  <c r="A61" i="15" s="1"/>
  <c r="D67" i="14"/>
  <c r="L67" i="14"/>
  <c r="J67" i="14"/>
  <c r="I67" i="14"/>
  <c r="C67" i="14"/>
  <c r="A60" i="15" s="1"/>
  <c r="D66" i="14"/>
  <c r="L66" i="14"/>
  <c r="J66" i="14"/>
  <c r="I66" i="14"/>
  <c r="C66" i="14"/>
  <c r="A59" i="15" s="1"/>
  <c r="D65" i="14"/>
  <c r="L65" i="14"/>
  <c r="J65" i="14"/>
  <c r="I65" i="14"/>
  <c r="C65" i="14"/>
  <c r="A58" i="15" s="1"/>
  <c r="D64" i="14"/>
  <c r="L64" i="14"/>
  <c r="J64" i="14"/>
  <c r="I64" i="14"/>
  <c r="C64" i="14"/>
  <c r="A57" i="15" s="1"/>
  <c r="L47" i="14"/>
  <c r="J47" i="14"/>
  <c r="I47" i="14"/>
  <c r="D47" i="14"/>
  <c r="C47" i="14"/>
  <c r="D46" i="14"/>
  <c r="L46" i="14"/>
  <c r="J46" i="14"/>
  <c r="I46" i="14"/>
  <c r="C46" i="14"/>
  <c r="A41" i="15" s="1"/>
  <c r="D63" i="14"/>
  <c r="L63" i="14"/>
  <c r="J63" i="14"/>
  <c r="I63" i="14"/>
  <c r="C63" i="14"/>
  <c r="A56" i="15" s="1"/>
  <c r="D62" i="14"/>
  <c r="L62" i="14"/>
  <c r="J62" i="14"/>
  <c r="I62" i="14"/>
  <c r="C62" i="14"/>
  <c r="A55" i="15" s="1"/>
  <c r="D61" i="14"/>
  <c r="L61" i="14"/>
  <c r="J61" i="14"/>
  <c r="I61" i="14"/>
  <c r="C61" i="14"/>
  <c r="D60" i="14"/>
  <c r="L60" i="14"/>
  <c r="J60" i="14"/>
  <c r="I60" i="14"/>
  <c r="C60" i="14"/>
  <c r="A53" i="15" s="1"/>
  <c r="L15" i="14"/>
  <c r="J15" i="14"/>
  <c r="I15" i="14"/>
  <c r="C15" i="14"/>
  <c r="L14" i="14"/>
  <c r="J14" i="14"/>
  <c r="I14" i="14"/>
  <c r="C14" i="14"/>
  <c r="A15" i="15" s="1"/>
  <c r="D59" i="14"/>
  <c r="L59" i="14"/>
  <c r="J59" i="14"/>
  <c r="I59" i="14"/>
  <c r="C59" i="14"/>
  <c r="A52" i="15" s="1"/>
  <c r="D58" i="14"/>
  <c r="L58" i="14"/>
  <c r="J58" i="14"/>
  <c r="I58" i="14"/>
  <c r="C58" i="14"/>
  <c r="A51" i="15" s="1"/>
  <c r="D43" i="14"/>
  <c r="L43" i="14"/>
  <c r="J43" i="14"/>
  <c r="I43" i="14"/>
  <c r="C43" i="14"/>
  <c r="A40" i="15" s="1"/>
  <c r="L57" i="14"/>
  <c r="J57" i="14"/>
  <c r="I57" i="14"/>
  <c r="D57" i="14"/>
  <c r="C57" i="14"/>
  <c r="A50" i="15" s="1"/>
  <c r="D56" i="14"/>
  <c r="L56" i="14"/>
  <c r="J56" i="14"/>
  <c r="I56" i="14"/>
  <c r="C56" i="14"/>
  <c r="A49" i="15" s="1"/>
  <c r="D55" i="14"/>
  <c r="L55" i="14"/>
  <c r="J55" i="14"/>
  <c r="I55" i="14"/>
  <c r="C55" i="14"/>
  <c r="A48" i="15" s="1"/>
  <c r="D54" i="14"/>
  <c r="L54" i="14"/>
  <c r="J54" i="14"/>
  <c r="I54" i="14"/>
  <c r="C54" i="14"/>
  <c r="A47" i="15" s="1"/>
  <c r="D53" i="14"/>
  <c r="L53" i="14"/>
  <c r="J53" i="14"/>
  <c r="I53" i="14"/>
  <c r="C53" i="14"/>
  <c r="A46" i="15" s="1"/>
  <c r="D52" i="14"/>
  <c r="L52" i="14"/>
  <c r="J52" i="14"/>
  <c r="I52" i="14"/>
  <c r="C52" i="14"/>
  <c r="A45" i="15" s="1"/>
  <c r="D51" i="14"/>
  <c r="L51" i="14"/>
  <c r="J51" i="14"/>
  <c r="I51" i="14"/>
  <c r="C51" i="14"/>
  <c r="A44" i="15" s="1"/>
  <c r="L10" i="14"/>
  <c r="J10" i="14"/>
  <c r="I10" i="14"/>
  <c r="C10" i="14"/>
  <c r="A11" i="15" s="1"/>
  <c r="L9" i="14"/>
  <c r="J9" i="14"/>
  <c r="I9" i="14"/>
  <c r="C9" i="14"/>
  <c r="A10" i="15" s="1"/>
  <c r="D42" i="14"/>
  <c r="L42" i="14"/>
  <c r="J42" i="14"/>
  <c r="I42" i="14"/>
  <c r="C42" i="14"/>
  <c r="A39" i="15" s="1"/>
  <c r="D41" i="14"/>
  <c r="L41" i="14"/>
  <c r="J41" i="14"/>
  <c r="I41" i="14"/>
  <c r="C41" i="14"/>
  <c r="A38" i="15" s="1"/>
  <c r="D40" i="14"/>
  <c r="D39" i="14"/>
  <c r="D38" i="14"/>
  <c r="L40" i="14"/>
  <c r="J40" i="14"/>
  <c r="I40" i="14"/>
  <c r="C40" i="14"/>
  <c r="A37" i="15" s="1"/>
  <c r="L39" i="14"/>
  <c r="J39" i="14"/>
  <c r="I39" i="14"/>
  <c r="C39" i="14"/>
  <c r="A36" i="15" s="1"/>
  <c r="L38" i="14"/>
  <c r="J38" i="14"/>
  <c r="I38" i="14"/>
  <c r="C38" i="14"/>
  <c r="A35" i="15" s="1"/>
  <c r="J33" i="4"/>
  <c r="K33" i="4"/>
  <c r="E2061" i="12"/>
  <c r="A2066" i="12"/>
  <c r="A2059" i="12"/>
  <c r="T220" i="15"/>
  <c r="S220" i="15"/>
  <c r="T213" i="15"/>
  <c r="S213" i="15"/>
  <c r="T212" i="15"/>
  <c r="S212" i="15"/>
  <c r="T176" i="15"/>
  <c r="S176" i="15"/>
  <c r="T173" i="15"/>
  <c r="S173" i="15"/>
  <c r="T143" i="15"/>
  <c r="S143" i="15"/>
  <c r="T142" i="15"/>
  <c r="S142" i="15"/>
  <c r="T140" i="15"/>
  <c r="S140" i="15"/>
  <c r="T139" i="15"/>
  <c r="S139" i="15"/>
  <c r="T138" i="15"/>
  <c r="S138" i="15"/>
  <c r="T137" i="15"/>
  <c r="S137" i="15"/>
  <c r="T136" i="15"/>
  <c r="S136" i="15"/>
  <c r="T135" i="15"/>
  <c r="S135" i="15"/>
  <c r="T134" i="15"/>
  <c r="S134" i="15"/>
  <c r="T133" i="15"/>
  <c r="S133" i="15"/>
  <c r="T132" i="15"/>
  <c r="S132" i="15"/>
  <c r="T131" i="15"/>
  <c r="S131" i="15"/>
  <c r="T130" i="15"/>
  <c r="S130" i="15"/>
  <c r="T129" i="15"/>
  <c r="S129" i="15"/>
  <c r="T128" i="15"/>
  <c r="S128" i="15"/>
  <c r="T127" i="15"/>
  <c r="S127" i="15"/>
  <c r="T126" i="15"/>
  <c r="S126" i="15"/>
  <c r="T125" i="15"/>
  <c r="S125" i="15"/>
  <c r="T124" i="15"/>
  <c r="S124" i="15"/>
  <c r="T123" i="15"/>
  <c r="S123" i="15"/>
  <c r="T122" i="15"/>
  <c r="S122" i="15"/>
  <c r="T121" i="15"/>
  <c r="S121" i="15"/>
  <c r="T120" i="15"/>
  <c r="S120" i="15"/>
  <c r="T119" i="15"/>
  <c r="S119" i="15"/>
  <c r="T118" i="15"/>
  <c r="S118" i="15"/>
  <c r="T117" i="15"/>
  <c r="S117" i="15"/>
  <c r="T115" i="15"/>
  <c r="S115" i="15"/>
  <c r="T114" i="15"/>
  <c r="S114" i="15"/>
  <c r="T113" i="15"/>
  <c r="S113" i="15"/>
  <c r="T112" i="15"/>
  <c r="S112" i="15"/>
  <c r="T111" i="15"/>
  <c r="S111" i="15"/>
  <c r="T110" i="15"/>
  <c r="S110" i="15"/>
  <c r="T109" i="15"/>
  <c r="S109" i="15"/>
  <c r="T108" i="15"/>
  <c r="S108" i="15"/>
  <c r="T107" i="15"/>
  <c r="S107" i="15"/>
  <c r="T106" i="15"/>
  <c r="S106" i="15"/>
  <c r="T105" i="15"/>
  <c r="S105" i="15"/>
  <c r="T104" i="15"/>
  <c r="S104" i="15"/>
  <c r="T103" i="15"/>
  <c r="S103" i="15"/>
  <c r="T102" i="15"/>
  <c r="S102" i="15"/>
  <c r="T101" i="15"/>
  <c r="S101" i="15"/>
  <c r="T100" i="15"/>
  <c r="S100" i="15"/>
  <c r="T99" i="15"/>
  <c r="S99" i="15"/>
  <c r="T98" i="15"/>
  <c r="S98" i="15"/>
  <c r="T97" i="15"/>
  <c r="S97" i="15"/>
  <c r="T96" i="15"/>
  <c r="S96" i="15"/>
  <c r="T95" i="15"/>
  <c r="S95" i="15"/>
  <c r="T94" i="15"/>
  <c r="S94" i="15"/>
  <c r="T93" i="15"/>
  <c r="S93" i="15"/>
  <c r="T92" i="15"/>
  <c r="S92" i="15"/>
  <c r="T91" i="15"/>
  <c r="S91" i="15"/>
  <c r="T90" i="15"/>
  <c r="S90" i="15"/>
  <c r="T89" i="15"/>
  <c r="S89" i="15"/>
  <c r="K248" i="4" l="1"/>
  <c r="J248" i="4"/>
  <c r="K279" i="4"/>
  <c r="J279" i="4"/>
  <c r="K190" i="4"/>
  <c r="J190" i="4"/>
  <c r="K83" i="4"/>
  <c r="J83" i="4"/>
  <c r="K107" i="4"/>
  <c r="J107" i="4"/>
  <c r="K263" i="4"/>
  <c r="J263" i="4"/>
  <c r="K1" i="4"/>
  <c r="J1" i="4"/>
  <c r="K240" i="4"/>
  <c r="J240" i="4"/>
  <c r="K222" i="4"/>
  <c r="J222" i="4"/>
  <c r="K299" i="4"/>
  <c r="J299" i="4"/>
  <c r="K380" i="4"/>
  <c r="J380" i="4"/>
  <c r="K38" i="4"/>
  <c r="J38" i="4"/>
  <c r="K217" i="4"/>
  <c r="J217" i="4"/>
  <c r="K195" i="4"/>
  <c r="J195" i="4"/>
  <c r="K364" i="4"/>
  <c r="J364" i="4"/>
  <c r="K323" i="4"/>
  <c r="J323" i="4"/>
  <c r="K359" i="4"/>
  <c r="J359" i="4"/>
  <c r="K283" i="4"/>
  <c r="J283" i="4"/>
  <c r="K369" i="4"/>
  <c r="J369" i="4"/>
  <c r="K284" i="4"/>
  <c r="J284" i="4"/>
  <c r="K353" i="4"/>
  <c r="J353" i="4"/>
  <c r="K194" i="4"/>
  <c r="J194" i="4"/>
  <c r="K13" i="4"/>
  <c r="J13" i="4"/>
  <c r="K141" i="4"/>
  <c r="J141" i="4"/>
  <c r="K218" i="4"/>
  <c r="J218" i="4"/>
  <c r="K384" i="4"/>
  <c r="J384" i="4"/>
  <c r="K400" i="4"/>
  <c r="J400" i="4"/>
  <c r="K65" i="4"/>
  <c r="J65" i="4"/>
  <c r="K109" i="4"/>
  <c r="J109" i="4"/>
  <c r="K173" i="4"/>
  <c r="J173" i="4"/>
  <c r="K278" i="4"/>
  <c r="J278" i="4"/>
  <c r="K328" i="4"/>
  <c r="J328" i="4"/>
  <c r="K98" i="4"/>
  <c r="J98" i="4"/>
  <c r="K377" i="4"/>
  <c r="J377" i="4"/>
  <c r="K319" i="4"/>
  <c r="J319" i="4"/>
  <c r="K287" i="4"/>
  <c r="J287" i="4"/>
  <c r="K293" i="4"/>
  <c r="J293" i="4"/>
  <c r="K148" i="4"/>
  <c r="J148" i="4"/>
  <c r="K282" i="4"/>
  <c r="J282" i="4"/>
  <c r="K397" i="4"/>
  <c r="J397" i="4"/>
  <c r="K348" i="4"/>
  <c r="J348" i="4"/>
  <c r="K78" i="4"/>
  <c r="J78" i="4"/>
  <c r="K96" i="4"/>
  <c r="J96" i="4"/>
  <c r="K101" i="4"/>
  <c r="J101" i="4"/>
  <c r="K402" i="4"/>
  <c r="J402" i="4"/>
  <c r="K204" i="4"/>
  <c r="J204" i="4"/>
  <c r="K276" i="4"/>
  <c r="J276" i="4"/>
  <c r="K14" i="4"/>
  <c r="J14" i="4"/>
  <c r="K255" i="4"/>
  <c r="J255" i="4"/>
  <c r="K197" i="4"/>
  <c r="J197" i="4"/>
  <c r="K168" i="4"/>
  <c r="J168" i="4"/>
  <c r="K115" i="4"/>
  <c r="J115" i="4"/>
  <c r="K112" i="4"/>
  <c r="J112" i="4"/>
  <c r="K122" i="4"/>
  <c r="J122" i="4"/>
  <c r="K297" i="4"/>
  <c r="J297" i="4"/>
  <c r="K124" i="4"/>
  <c r="J124" i="4"/>
  <c r="K298" i="4"/>
  <c r="J298" i="4"/>
  <c r="K56" i="4"/>
  <c r="J56" i="4"/>
  <c r="K182" i="4"/>
  <c r="J182" i="4"/>
  <c r="K22" i="4"/>
  <c r="J22" i="4"/>
  <c r="K134" i="4"/>
  <c r="J134" i="4"/>
  <c r="K199" i="4"/>
  <c r="J199" i="4"/>
  <c r="K394" i="4"/>
  <c r="J394" i="4"/>
  <c r="K264" i="4"/>
  <c r="J264" i="4"/>
  <c r="K317" i="4"/>
  <c r="J317" i="4"/>
  <c r="K228" i="4"/>
  <c r="J228" i="4"/>
  <c r="K179" i="4"/>
  <c r="J179" i="4"/>
  <c r="K36" i="4"/>
  <c r="J36" i="4"/>
  <c r="K247" i="4"/>
  <c r="J247" i="4"/>
  <c r="K4" i="4"/>
  <c r="J4" i="4"/>
  <c r="K272" i="4"/>
  <c r="J272" i="4"/>
  <c r="K34" i="4"/>
  <c r="J34" i="4"/>
  <c r="K301" i="4"/>
  <c r="J301" i="4"/>
  <c r="K198" i="4"/>
  <c r="J198" i="4"/>
  <c r="K45" i="4"/>
  <c r="J45" i="4"/>
  <c r="K368" i="4"/>
  <c r="J368" i="4"/>
  <c r="K155" i="4"/>
  <c r="J155" i="4"/>
  <c r="K91" i="4"/>
  <c r="J91" i="4"/>
  <c r="K237" i="4"/>
  <c r="J237" i="4"/>
  <c r="K139" i="4"/>
  <c r="J139" i="4"/>
  <c r="K149" i="4"/>
  <c r="J149" i="4"/>
  <c r="K391" i="4"/>
  <c r="J391" i="4"/>
  <c r="K12" i="4"/>
  <c r="J12" i="4"/>
  <c r="K131" i="4"/>
  <c r="J131" i="4"/>
  <c r="K221" i="4"/>
  <c r="J221" i="4"/>
  <c r="K180" i="4"/>
  <c r="J180" i="4"/>
  <c r="K344" i="4"/>
  <c r="J344" i="4"/>
  <c r="K342" i="4"/>
  <c r="J342" i="4"/>
  <c r="K351" i="4"/>
  <c r="J351" i="4"/>
  <c r="K352" i="4"/>
  <c r="J352" i="4"/>
  <c r="K116" i="4"/>
  <c r="J116" i="4"/>
  <c r="K156" i="4"/>
  <c r="J156" i="4"/>
  <c r="K19" i="4"/>
  <c r="J19" i="4"/>
  <c r="K291" i="4"/>
  <c r="J291" i="4"/>
  <c r="K215" i="4"/>
  <c r="J215" i="4"/>
  <c r="K386" i="4"/>
  <c r="J386" i="4"/>
  <c r="K97" i="4"/>
  <c r="J97" i="4"/>
  <c r="K42" i="4"/>
  <c r="J42" i="4"/>
  <c r="K210" i="4"/>
  <c r="J210" i="4"/>
  <c r="K160" i="4"/>
  <c r="J160" i="4"/>
  <c r="K128" i="4"/>
  <c r="J128" i="4"/>
  <c r="K9" i="4"/>
  <c r="J9" i="4"/>
  <c r="K286" i="4"/>
  <c r="J286" i="4"/>
  <c r="K144" i="4"/>
  <c r="J144" i="4"/>
  <c r="K261" i="4"/>
  <c r="J261" i="4"/>
  <c r="K11" i="4"/>
  <c r="J11" i="4"/>
  <c r="K244" i="4"/>
  <c r="J244" i="4"/>
  <c r="K29" i="4"/>
  <c r="J29" i="4"/>
  <c r="K349" i="4"/>
  <c r="J349" i="4"/>
  <c r="K251" i="4"/>
  <c r="J251" i="4"/>
  <c r="K253" i="4"/>
  <c r="J253" i="4"/>
  <c r="K335" i="4"/>
  <c r="J335" i="4"/>
  <c r="K193" i="4"/>
  <c r="J193" i="4"/>
  <c r="K277" i="4"/>
  <c r="J277" i="4"/>
  <c r="K258" i="4"/>
  <c r="J258" i="4"/>
  <c r="K164" i="4"/>
  <c r="J164" i="4"/>
  <c r="K57" i="4"/>
  <c r="J57" i="4"/>
  <c r="K62" i="4"/>
  <c r="J62" i="4"/>
  <c r="K123" i="4"/>
  <c r="J123" i="4"/>
  <c r="K2" i="4"/>
  <c r="J2" i="4"/>
  <c r="K230" i="4"/>
  <c r="J230" i="4"/>
  <c r="K256" i="4"/>
  <c r="J256" i="4"/>
  <c r="K181" i="4"/>
  <c r="J181" i="4"/>
  <c r="K71" i="4"/>
  <c r="J71" i="4"/>
  <c r="K21" i="4"/>
  <c r="J21" i="4"/>
  <c r="K288" i="4"/>
  <c r="J288" i="4"/>
  <c r="K213" i="4"/>
  <c r="J213" i="4"/>
  <c r="K153" i="4"/>
  <c r="J153" i="4"/>
  <c r="K363" i="4"/>
  <c r="J363" i="4"/>
  <c r="K361" i="4"/>
  <c r="J361" i="4"/>
  <c r="K24" i="4"/>
  <c r="J24" i="4"/>
  <c r="K371" i="4"/>
  <c r="J371" i="4"/>
  <c r="K25" i="4"/>
  <c r="J25" i="4"/>
  <c r="K372" i="4"/>
  <c r="J372" i="4"/>
  <c r="K227" i="4"/>
  <c r="J227" i="4"/>
  <c r="K172" i="4"/>
  <c r="J172" i="4"/>
  <c r="K375" i="4"/>
  <c r="J375" i="4"/>
  <c r="K31" i="4"/>
  <c r="J31" i="4"/>
  <c r="K205" i="4"/>
  <c r="J205" i="4"/>
  <c r="K76" i="4"/>
  <c r="J76" i="4"/>
  <c r="K249" i="4"/>
  <c r="J249" i="4"/>
  <c r="K32" i="4"/>
  <c r="J32" i="4"/>
  <c r="K200" i="4"/>
  <c r="J200" i="4"/>
  <c r="K188" i="4"/>
  <c r="J188" i="4"/>
  <c r="K126" i="4"/>
  <c r="J126" i="4"/>
  <c r="K266" i="4"/>
  <c r="J266" i="4"/>
  <c r="K326" i="4"/>
  <c r="J326" i="4"/>
  <c r="K137" i="4"/>
  <c r="J137" i="4"/>
  <c r="K294" i="4"/>
  <c r="J294" i="4"/>
  <c r="K43" i="4"/>
  <c r="J43" i="4"/>
  <c r="K89" i="4"/>
  <c r="J89" i="4"/>
  <c r="K6" i="4"/>
  <c r="J6" i="4"/>
  <c r="K388" i="4"/>
  <c r="J388" i="4"/>
  <c r="K51" i="4"/>
  <c r="J51" i="4"/>
  <c r="K336" i="4"/>
  <c r="J336" i="4"/>
  <c r="K285" i="4"/>
  <c r="J285" i="4"/>
  <c r="K347" i="4"/>
  <c r="J347" i="4"/>
  <c r="K132" i="4"/>
  <c r="J132" i="4"/>
  <c r="K154" i="4"/>
  <c r="J154" i="4"/>
  <c r="K389" i="4"/>
  <c r="J389" i="4"/>
  <c r="K366" i="4"/>
  <c r="J366" i="4"/>
  <c r="K28" i="4"/>
  <c r="J28" i="4"/>
  <c r="K203" i="4"/>
  <c r="J203" i="4"/>
  <c r="K170" i="4"/>
  <c r="J170" i="4"/>
  <c r="K49" i="4"/>
  <c r="J49" i="4"/>
  <c r="K47" i="4"/>
  <c r="J47" i="4"/>
  <c r="K103" i="4"/>
  <c r="J103" i="4"/>
  <c r="K54" i="4"/>
  <c r="J54" i="4"/>
  <c r="K104" i="4"/>
  <c r="J104" i="4"/>
  <c r="K55" i="4"/>
  <c r="J55" i="4"/>
  <c r="K231" i="4"/>
  <c r="J231" i="4"/>
  <c r="K163" i="4"/>
  <c r="J163" i="4"/>
  <c r="K64" i="4"/>
  <c r="J64" i="4"/>
  <c r="K242" i="4"/>
  <c r="J242" i="4"/>
  <c r="K37" i="4"/>
  <c r="J37" i="4"/>
  <c r="K383" i="4"/>
  <c r="J383" i="4"/>
  <c r="K3" i="4"/>
  <c r="J3" i="4"/>
  <c r="K243" i="4"/>
  <c r="J243" i="4"/>
  <c r="K223" i="4"/>
  <c r="J223" i="4"/>
  <c r="K177" i="4"/>
  <c r="J177" i="4"/>
  <c r="K271" i="4"/>
  <c r="J271" i="4"/>
  <c r="K99" i="4"/>
  <c r="J99" i="4"/>
  <c r="K246" i="4"/>
  <c r="J246" i="4"/>
  <c r="K87" i="4"/>
  <c r="J87" i="4"/>
  <c r="K111" i="4"/>
  <c r="J111" i="4"/>
  <c r="K143" i="4"/>
  <c r="J143" i="4"/>
  <c r="K322" i="4"/>
  <c r="J322" i="4"/>
  <c r="K290" i="4"/>
  <c r="J290" i="4"/>
  <c r="K105" i="4"/>
  <c r="J105" i="4"/>
  <c r="K340" i="4"/>
  <c r="J340" i="4"/>
  <c r="K196" i="4"/>
  <c r="J196" i="4"/>
  <c r="K202" i="4"/>
  <c r="J202" i="4"/>
  <c r="K376" i="4"/>
  <c r="J376" i="4"/>
  <c r="K260" i="4"/>
  <c r="J260" i="4"/>
  <c r="K403" i="4"/>
  <c r="J403" i="4"/>
  <c r="K214" i="4"/>
  <c r="J214" i="4"/>
  <c r="K50" i="4"/>
  <c r="J50" i="4"/>
  <c r="K23" i="4"/>
  <c r="J23" i="4"/>
  <c r="K245" i="4"/>
  <c r="J245" i="4"/>
  <c r="K88" i="4"/>
  <c r="J88" i="4"/>
  <c r="K273" i="4"/>
  <c r="J273" i="4"/>
  <c r="K325" i="4"/>
  <c r="J325" i="4"/>
  <c r="K367" i="4"/>
  <c r="J367" i="4"/>
  <c r="K289" i="4"/>
  <c r="J289" i="4"/>
  <c r="K189" i="4"/>
  <c r="J189" i="4"/>
  <c r="K69" i="4"/>
  <c r="J69" i="4"/>
  <c r="K60" i="4"/>
  <c r="J60" i="4"/>
  <c r="K239" i="4"/>
  <c r="J239" i="4"/>
  <c r="K225" i="4"/>
  <c r="J225" i="4"/>
  <c r="K161" i="4"/>
  <c r="J161" i="4"/>
  <c r="K114" i="4"/>
  <c r="J114" i="4"/>
  <c r="K120" i="4"/>
  <c r="J120" i="4"/>
  <c r="K26" i="4"/>
  <c r="J26" i="4"/>
  <c r="K121" i="4"/>
  <c r="J121" i="4"/>
  <c r="K27" i="4"/>
  <c r="J27" i="4"/>
  <c r="K321" i="4"/>
  <c r="J321" i="4"/>
  <c r="K354" i="4"/>
  <c r="J354" i="4"/>
  <c r="K191" i="4"/>
  <c r="J191" i="4"/>
  <c r="K312" i="4"/>
  <c r="J312" i="4"/>
  <c r="K305" i="4"/>
  <c r="J305" i="4"/>
  <c r="K392" i="4"/>
  <c r="J392" i="4"/>
  <c r="K75" i="4"/>
  <c r="J75" i="4"/>
  <c r="K7" i="4"/>
  <c r="J7" i="4"/>
  <c r="K85" i="4"/>
  <c r="J85" i="4"/>
  <c r="K216" i="4"/>
  <c r="J216" i="4"/>
  <c r="K166" i="4"/>
  <c r="J166" i="4"/>
  <c r="K269" i="4"/>
  <c r="J269" i="4"/>
  <c r="K93" i="4"/>
  <c r="J93" i="4"/>
  <c r="K234" i="4"/>
  <c r="J234" i="4"/>
  <c r="K407" i="4"/>
  <c r="J407" i="4"/>
  <c r="K254" i="4"/>
  <c r="J254" i="4"/>
  <c r="K136" i="4"/>
  <c r="J136" i="4"/>
  <c r="K44" i="4"/>
  <c r="J44" i="4"/>
  <c r="K133" i="4"/>
  <c r="J133" i="4"/>
  <c r="K345" i="4"/>
  <c r="J345" i="4"/>
  <c r="K41" i="4"/>
  <c r="J41" i="4"/>
  <c r="K339" i="4"/>
  <c r="J339" i="4"/>
  <c r="K82" i="4"/>
  <c r="J82" i="4"/>
  <c r="K275" i="4"/>
  <c r="J275" i="4"/>
  <c r="K313" i="4"/>
  <c r="J313" i="4"/>
  <c r="K318" i="4"/>
  <c r="J318" i="4"/>
  <c r="K35" i="4"/>
  <c r="J35" i="4"/>
  <c r="K18" i="4"/>
  <c r="J18" i="4"/>
  <c r="K61" i="4"/>
  <c r="J61" i="4"/>
  <c r="K106" i="4"/>
  <c r="J106" i="4"/>
  <c r="K171" i="4"/>
  <c r="J171" i="4"/>
  <c r="K387" i="4"/>
  <c r="J387" i="4"/>
  <c r="K310" i="4"/>
  <c r="J310" i="4"/>
  <c r="K304" i="4"/>
  <c r="J304" i="4"/>
  <c r="K229" i="4"/>
  <c r="J229" i="4"/>
  <c r="K185" i="4"/>
  <c r="J185" i="4"/>
  <c r="K118" i="4"/>
  <c r="J118" i="4"/>
  <c r="K341" i="4"/>
  <c r="J341" i="4"/>
  <c r="K295" i="4"/>
  <c r="J295" i="4"/>
  <c r="K350" i="4"/>
  <c r="J350" i="4"/>
  <c r="K296" i="4"/>
  <c r="J296" i="4"/>
  <c r="K324" i="4"/>
  <c r="J324" i="4"/>
  <c r="K374" i="4"/>
  <c r="J374" i="4"/>
  <c r="K167" i="4"/>
  <c r="J167" i="4"/>
  <c r="K316" i="4"/>
  <c r="J316" i="4"/>
  <c r="K308" i="4"/>
  <c r="J308" i="4"/>
  <c r="K385" i="4"/>
  <c r="J385" i="4"/>
  <c r="K399" i="4"/>
  <c r="J399" i="4"/>
  <c r="K102" i="4"/>
  <c r="J102" i="4"/>
  <c r="K405" i="4"/>
  <c r="J405" i="4"/>
  <c r="K206" i="4"/>
  <c r="J206" i="4"/>
  <c r="K10" i="4"/>
  <c r="J10" i="4"/>
  <c r="K327" i="4"/>
  <c r="J327" i="4"/>
  <c r="K357" i="4"/>
  <c r="J357" i="4"/>
  <c r="K358" i="4"/>
  <c r="J358" i="4"/>
  <c r="K80" i="4"/>
  <c r="J80" i="4"/>
  <c r="K86" i="4"/>
  <c r="J86" i="4"/>
  <c r="K201" i="4"/>
  <c r="J201" i="4"/>
  <c r="K94" i="4"/>
  <c r="J94" i="4"/>
  <c r="K16" i="4"/>
  <c r="J16" i="4"/>
  <c r="K52" i="4"/>
  <c r="J52" i="4"/>
  <c r="K68" i="4"/>
  <c r="J68" i="4"/>
  <c r="K92" i="4"/>
  <c r="J92" i="4"/>
  <c r="K241" i="4"/>
  <c r="J241" i="4"/>
  <c r="K127" i="4"/>
  <c r="J127" i="4"/>
  <c r="K398" i="4"/>
  <c r="J398" i="4"/>
  <c r="K311" i="4"/>
  <c r="J311" i="4"/>
  <c r="K307" i="4"/>
  <c r="J307" i="4"/>
  <c r="K162" i="4"/>
  <c r="J162" i="4"/>
  <c r="K67" i="4"/>
  <c r="J67" i="4"/>
  <c r="K314" i="4"/>
  <c r="J314" i="4"/>
  <c r="K306" i="4"/>
  <c r="J306" i="4"/>
  <c r="K346" i="4"/>
  <c r="J346" i="4"/>
  <c r="K174" i="4"/>
  <c r="J174" i="4"/>
  <c r="K343" i="4"/>
  <c r="J343" i="4"/>
  <c r="K360" i="4"/>
  <c r="J360" i="4"/>
  <c r="K302" i="4"/>
  <c r="J302" i="4"/>
  <c r="K370" i="4"/>
  <c r="J370" i="4"/>
  <c r="K303" i="4"/>
  <c r="J303" i="4"/>
  <c r="K236" i="4"/>
  <c r="J236" i="4"/>
  <c r="K63" i="4"/>
  <c r="J63" i="4"/>
  <c r="K187" i="4"/>
  <c r="J187" i="4"/>
  <c r="K84" i="4"/>
  <c r="J84" i="4"/>
  <c r="K224" i="4"/>
  <c r="J224" i="4"/>
  <c r="K72" i="4"/>
  <c r="J72" i="4"/>
  <c r="K396" i="4"/>
  <c r="J396" i="4"/>
  <c r="K238" i="4"/>
  <c r="J238" i="4"/>
  <c r="K142" i="4"/>
  <c r="J142" i="4"/>
  <c r="K151" i="4"/>
  <c r="J151" i="4"/>
  <c r="K332" i="4"/>
  <c r="J332" i="4"/>
  <c r="K252" i="4"/>
  <c r="J252" i="4"/>
  <c r="K79" i="4"/>
  <c r="J79" i="4"/>
  <c r="K378" i="4"/>
  <c r="J378" i="4"/>
  <c r="K379" i="4"/>
  <c r="J379" i="4"/>
  <c r="K184" i="4"/>
  <c r="J184" i="4"/>
  <c r="K406" i="4"/>
  <c r="J406" i="4"/>
  <c r="K330" i="4"/>
  <c r="J330" i="4"/>
  <c r="K320" i="4"/>
  <c r="J320" i="4"/>
  <c r="K281" i="4"/>
  <c r="J281" i="4"/>
  <c r="K15" i="4"/>
  <c r="J15" i="4"/>
  <c r="K20" i="4"/>
  <c r="J20" i="4"/>
  <c r="K292" i="4"/>
  <c r="J292" i="4"/>
  <c r="K90" i="4"/>
  <c r="J90" i="4"/>
  <c r="K5" i="4"/>
  <c r="J5" i="4"/>
  <c r="K207" i="4"/>
  <c r="J207" i="4"/>
  <c r="K169" i="4"/>
  <c r="J169" i="4"/>
  <c r="K274" i="4"/>
  <c r="J274" i="4"/>
  <c r="K40" i="4"/>
  <c r="J40" i="4"/>
  <c r="K30" i="4"/>
  <c r="J30" i="4"/>
  <c r="K268" i="4"/>
  <c r="J268" i="4"/>
  <c r="K262" i="4"/>
  <c r="J262" i="4"/>
  <c r="K315" i="4"/>
  <c r="J315" i="4"/>
  <c r="K226" i="4"/>
  <c r="J226" i="4"/>
  <c r="K178" i="4"/>
  <c r="J178" i="4"/>
  <c r="K393" i="4"/>
  <c r="J393" i="4"/>
  <c r="K81" i="4"/>
  <c r="J81" i="4"/>
  <c r="K219" i="4"/>
  <c r="J219" i="4"/>
  <c r="K365" i="4"/>
  <c r="J365" i="4"/>
  <c r="K146" i="4"/>
  <c r="J146" i="4"/>
  <c r="K362" i="4"/>
  <c r="J362" i="4"/>
  <c r="K46" i="4"/>
  <c r="J46" i="4"/>
  <c r="K329" i="4"/>
  <c r="J329" i="4"/>
  <c r="K53" i="4"/>
  <c r="J53" i="4"/>
  <c r="K331" i="4"/>
  <c r="J331" i="4"/>
  <c r="K113" i="4"/>
  <c r="J113" i="4"/>
  <c r="K150" i="4"/>
  <c r="J150" i="4"/>
  <c r="K176" i="4"/>
  <c r="J176" i="4"/>
  <c r="K404" i="4"/>
  <c r="J404" i="4"/>
  <c r="K220" i="4"/>
  <c r="J220" i="4"/>
  <c r="K390" i="4"/>
  <c r="J390" i="4"/>
  <c r="K73" i="4"/>
  <c r="J73" i="4"/>
  <c r="K232" i="4"/>
  <c r="J232" i="4"/>
  <c r="K259" i="4"/>
  <c r="J259" i="4"/>
  <c r="K183" i="4"/>
  <c r="J183" i="4"/>
  <c r="K300" i="4"/>
  <c r="J300" i="4"/>
  <c r="K267" i="4"/>
  <c r="J267" i="4"/>
  <c r="K8" i="4"/>
  <c r="J8" i="4"/>
  <c r="K152" i="4"/>
  <c r="J152" i="4"/>
  <c r="K66" i="4"/>
  <c r="J66" i="4"/>
  <c r="K158" i="4"/>
  <c r="J158" i="4"/>
  <c r="K145" i="4"/>
  <c r="J145" i="4"/>
  <c r="K74" i="4"/>
  <c r="J74" i="4"/>
  <c r="K130" i="4"/>
  <c r="J130" i="4"/>
  <c r="K356" i="4"/>
  <c r="J356" i="4"/>
  <c r="K250" i="4"/>
  <c r="J250" i="4"/>
  <c r="K138" i="4"/>
  <c r="J138" i="4"/>
  <c r="K235" i="4"/>
  <c r="J235" i="4"/>
  <c r="K373" i="4"/>
  <c r="J373" i="4"/>
  <c r="K209" i="4"/>
  <c r="J209" i="4"/>
  <c r="K309" i="4"/>
  <c r="J309" i="4"/>
  <c r="K270" i="4"/>
  <c r="J270" i="4"/>
  <c r="K333" i="4"/>
  <c r="J333" i="4"/>
  <c r="K140" i="4"/>
  <c r="J140" i="4"/>
  <c r="K257" i="4"/>
  <c r="J257" i="4"/>
  <c r="K77" i="4"/>
  <c r="J77" i="4"/>
  <c r="K95" i="4"/>
  <c r="J95" i="4"/>
  <c r="K39" i="4"/>
  <c r="J39" i="4"/>
  <c r="K208" i="4"/>
  <c r="J208" i="4"/>
  <c r="K382" i="4"/>
  <c r="J382" i="4"/>
  <c r="K401" i="4"/>
  <c r="J401" i="4"/>
  <c r="K211" i="4"/>
  <c r="J211" i="4"/>
  <c r="K59" i="4"/>
  <c r="J59" i="4"/>
  <c r="K129" i="4"/>
  <c r="J129" i="4"/>
  <c r="K48" i="4"/>
  <c r="J48" i="4"/>
  <c r="K117" i="4"/>
  <c r="J117" i="4"/>
  <c r="K334" i="4"/>
  <c r="J334" i="4"/>
  <c r="K119" i="4"/>
  <c r="J119" i="4"/>
  <c r="K337" i="4"/>
  <c r="J337" i="4"/>
  <c r="K147" i="4"/>
  <c r="J147" i="4"/>
  <c r="K192" i="4"/>
  <c r="J192" i="4"/>
  <c r="K17" i="4"/>
  <c r="J17" i="4"/>
  <c r="K108" i="4"/>
  <c r="J108" i="4"/>
  <c r="K212" i="4"/>
  <c r="J212" i="4"/>
  <c r="K70" i="4"/>
  <c r="J70" i="4"/>
  <c r="K381" i="4"/>
  <c r="J381" i="4"/>
  <c r="K355" i="4"/>
  <c r="J355" i="4"/>
  <c r="K135" i="4"/>
  <c r="J135" i="4"/>
  <c r="K157" i="4"/>
  <c r="J157" i="4"/>
  <c r="K338" i="4"/>
  <c r="J338" i="4"/>
  <c r="K100" i="4"/>
  <c r="J100" i="4"/>
  <c r="K265" i="4"/>
  <c r="J265" i="4"/>
  <c r="K233" i="4"/>
  <c r="J233" i="4"/>
  <c r="K58" i="4"/>
  <c r="J58" i="4"/>
  <c r="K125" i="4"/>
  <c r="J125" i="4"/>
  <c r="K110" i="4"/>
  <c r="J110" i="4"/>
  <c r="M59" i="12"/>
  <c r="D56" i="12" s="1"/>
  <c r="M63" i="12"/>
  <c r="AC58" i="15"/>
  <c r="CA58" i="15"/>
  <c r="CA61" i="15"/>
  <c r="AD64" i="15"/>
  <c r="CA64" i="15"/>
  <c r="CA67" i="15"/>
  <c r="AD13" i="15"/>
  <c r="CA13" i="15"/>
  <c r="AC29" i="15"/>
  <c r="CA29" i="15"/>
  <c r="AC31" i="15"/>
  <c r="CA31" i="15"/>
  <c r="AD33" i="15"/>
  <c r="CA33" i="15"/>
  <c r="AE41" i="15"/>
  <c r="CA41" i="15"/>
  <c r="AE44" i="15"/>
  <c r="CA44" i="15"/>
  <c r="AC47" i="15"/>
  <c r="CA47" i="15"/>
  <c r="AE37" i="15"/>
  <c r="CA37" i="15"/>
  <c r="AE39" i="15"/>
  <c r="CA39" i="15"/>
  <c r="AC50" i="15"/>
  <c r="CA50" i="15"/>
  <c r="AD53" i="15"/>
  <c r="CA53" i="15"/>
  <c r="AC56" i="15"/>
  <c r="CA56" i="15"/>
  <c r="CA59" i="15"/>
  <c r="AD62" i="15"/>
  <c r="CA62" i="15"/>
  <c r="CA65" i="15"/>
  <c r="AD68" i="15"/>
  <c r="CA68" i="15"/>
  <c r="AC52" i="15"/>
  <c r="CA52" i="15"/>
  <c r="AE35" i="15"/>
  <c r="CA35" i="15"/>
  <c r="AD42" i="15"/>
  <c r="CA42" i="15"/>
  <c r="AC45" i="15"/>
  <c r="CA45" i="15"/>
  <c r="AC49" i="15"/>
  <c r="CA49" i="15"/>
  <c r="AE28" i="15"/>
  <c r="CA28" i="15"/>
  <c r="AE30" i="15"/>
  <c r="CA30" i="15"/>
  <c r="AE32" i="15"/>
  <c r="CA32" i="15"/>
  <c r="AC48" i="15"/>
  <c r="CA48" i="15"/>
  <c r="AC51" i="15"/>
  <c r="CA51" i="15"/>
  <c r="AC54" i="15"/>
  <c r="CA54" i="15"/>
  <c r="CA57" i="15"/>
  <c r="AC60" i="15"/>
  <c r="CA60" i="15"/>
  <c r="CA63" i="15"/>
  <c r="AE36" i="15"/>
  <c r="CA36" i="15"/>
  <c r="AD38" i="15"/>
  <c r="CA38" i="15"/>
  <c r="AE40" i="15"/>
  <c r="CA40" i="15"/>
  <c r="AC46" i="15"/>
  <c r="CA46" i="15"/>
  <c r="AD54" i="15"/>
  <c r="AC36" i="15"/>
  <c r="AE45" i="15"/>
  <c r="AD39" i="15"/>
  <c r="AC44" i="15"/>
  <c r="AD44" i="15"/>
  <c r="AE38" i="15"/>
  <c r="AD48" i="15"/>
  <c r="AE62" i="15"/>
  <c r="AC42" i="15"/>
  <c r="AD47" i="15"/>
  <c r="AE48" i="15"/>
  <c r="AE56" i="15"/>
  <c r="AE42" i="15"/>
  <c r="AD36" i="15"/>
  <c r="AD37" i="15"/>
  <c r="AD60" i="15"/>
  <c r="AD40" i="15"/>
  <c r="AD41" i="15"/>
  <c r="AE60" i="15"/>
  <c r="AD52" i="15"/>
  <c r="AD29" i="15"/>
  <c r="AE31" i="15"/>
  <c r="AD46" i="15"/>
  <c r="AE64" i="15"/>
  <c r="AE29" i="15"/>
  <c r="AE46" i="15"/>
  <c r="AD58" i="15"/>
  <c r="AE58" i="15"/>
  <c r="AD31" i="15"/>
  <c r="AD45" i="15"/>
  <c r="AE50" i="15"/>
  <c r="AC68" i="15"/>
  <c r="AE68" i="15"/>
  <c r="AC13" i="15"/>
  <c r="AE13" i="15"/>
  <c r="AC40" i="15"/>
  <c r="AE54" i="15"/>
  <c r="AC33" i="15"/>
  <c r="AC38" i="15"/>
  <c r="AD56" i="15"/>
  <c r="AE33" i="15"/>
  <c r="AD35" i="15"/>
  <c r="AE47" i="15"/>
  <c r="AE63" i="15"/>
  <c r="AD63" i="15"/>
  <c r="AC63" i="15"/>
  <c r="AE65" i="15"/>
  <c r="AD65" i="15"/>
  <c r="AC65" i="15"/>
  <c r="AD49" i="15"/>
  <c r="AE49" i="15"/>
  <c r="AE59" i="15"/>
  <c r="AD59" i="15"/>
  <c r="AC59" i="15"/>
  <c r="AE53" i="15"/>
  <c r="AC53" i="15"/>
  <c r="AD51" i="15"/>
  <c r="AE51" i="15"/>
  <c r="AE67" i="15"/>
  <c r="AD67" i="15"/>
  <c r="AC67" i="15"/>
  <c r="AC35" i="15"/>
  <c r="AC37" i="15"/>
  <c r="AC39" i="15"/>
  <c r="AC41" i="15"/>
  <c r="AE61" i="15"/>
  <c r="AD61" i="15"/>
  <c r="AC61" i="15"/>
  <c r="AD50" i="15"/>
  <c r="AE57" i="15"/>
  <c r="AD57" i="15"/>
  <c r="AC57" i="15"/>
  <c r="AC62" i="15"/>
  <c r="AC64" i="15"/>
  <c r="AC28" i="15"/>
  <c r="AC30" i="15"/>
  <c r="AC32" i="15"/>
  <c r="AD28" i="15"/>
  <c r="AD30" i="15"/>
  <c r="AD32" i="15"/>
  <c r="M65" i="12" l="1"/>
  <c r="D62" i="12" s="1"/>
  <c r="M67" i="12"/>
  <c r="CF40" i="15"/>
  <c r="CM40" i="15"/>
  <c r="CM32" i="15"/>
  <c r="CF32" i="15"/>
  <c r="CF41" i="15"/>
  <c r="CM41" i="15"/>
  <c r="CM13" i="15"/>
  <c r="CF13" i="15"/>
  <c r="CF57" i="15"/>
  <c r="CM57" i="15"/>
  <c r="CF49" i="15"/>
  <c r="CM49" i="15"/>
  <c r="CF52" i="15"/>
  <c r="CM52" i="15"/>
  <c r="CM56" i="15"/>
  <c r="CF56" i="15"/>
  <c r="CF37" i="15"/>
  <c r="CM37" i="15"/>
  <c r="CM38" i="15"/>
  <c r="CF38" i="15"/>
  <c r="CF54" i="15"/>
  <c r="CM54" i="15"/>
  <c r="CM33" i="15"/>
  <c r="CF33" i="15"/>
  <c r="CM67" i="15"/>
  <c r="CF67" i="15"/>
  <c r="CF30" i="15"/>
  <c r="CM30" i="15"/>
  <c r="CF45" i="15"/>
  <c r="CM45" i="15"/>
  <c r="CM68" i="15"/>
  <c r="CF68" i="15"/>
  <c r="CF64" i="15"/>
  <c r="CM64" i="15"/>
  <c r="CF53" i="15"/>
  <c r="CM53" i="15"/>
  <c r="CM36" i="15"/>
  <c r="CF36" i="15"/>
  <c r="CF42" i="15"/>
  <c r="CM42" i="15"/>
  <c r="CM47" i="15"/>
  <c r="CF47" i="15"/>
  <c r="CF31" i="15"/>
  <c r="CM31" i="15"/>
  <c r="CM51" i="15"/>
  <c r="CF51" i="15"/>
  <c r="CM28" i="15"/>
  <c r="CF28" i="15"/>
  <c r="CF65" i="15"/>
  <c r="CM65" i="15"/>
  <c r="CM63" i="15"/>
  <c r="CF63" i="15"/>
  <c r="CF50" i="15"/>
  <c r="CM50" i="15"/>
  <c r="CM61" i="15"/>
  <c r="CF61" i="15"/>
  <c r="CM46" i="15"/>
  <c r="CF46" i="15"/>
  <c r="CF62" i="15"/>
  <c r="CM62" i="15"/>
  <c r="CM44" i="15"/>
  <c r="CF44" i="15"/>
  <c r="CF29" i="15"/>
  <c r="CM29" i="15"/>
  <c r="CM60" i="15"/>
  <c r="CF60" i="15"/>
  <c r="CM48" i="15"/>
  <c r="CF48" i="15"/>
  <c r="CM35" i="15"/>
  <c r="CF35" i="15"/>
  <c r="CF58" i="15"/>
  <c r="CM58" i="15"/>
  <c r="CM59" i="15"/>
  <c r="CF59" i="15"/>
  <c r="CM39" i="15"/>
  <c r="CF39" i="15"/>
  <c r="M69" i="12" l="1"/>
  <c r="D66" i="12" s="1"/>
  <c r="M72" i="12"/>
  <c r="M74" i="12" s="1"/>
  <c r="D71" i="12" s="1"/>
  <c r="E582" i="12"/>
  <c r="A585" i="12"/>
  <c r="A580" i="12"/>
  <c r="A88" i="15"/>
  <c r="B89" i="15"/>
  <c r="P89" i="15" s="1"/>
  <c r="U89" i="15"/>
  <c r="Y89" i="15"/>
  <c r="AC89" i="15" s="1"/>
  <c r="AO89" i="15"/>
  <c r="AQ89" i="15"/>
  <c r="B90" i="15"/>
  <c r="P90" i="15" s="1"/>
  <c r="U90" i="15"/>
  <c r="AQ90" i="15"/>
  <c r="B91" i="15"/>
  <c r="P91" i="15" s="1"/>
  <c r="U91" i="15"/>
  <c r="AQ91" i="15"/>
  <c r="B92" i="15"/>
  <c r="U92" i="15"/>
  <c r="AQ92" i="15"/>
  <c r="B93" i="15"/>
  <c r="U93" i="15"/>
  <c r="AQ93" i="15"/>
  <c r="B94" i="15"/>
  <c r="P94" i="15" s="1"/>
  <c r="U94" i="15"/>
  <c r="Y94" i="15"/>
  <c r="AO94" i="15"/>
  <c r="AQ94" i="15"/>
  <c r="B95" i="15"/>
  <c r="P95" i="15" s="1"/>
  <c r="U95" i="15"/>
  <c r="Y95" i="15"/>
  <c r="AC95" i="15" s="1"/>
  <c r="AO95" i="15"/>
  <c r="AQ95" i="15"/>
  <c r="B96" i="15"/>
  <c r="P96" i="15" s="1"/>
  <c r="U96" i="15"/>
  <c r="Y96" i="15"/>
  <c r="CA96" i="15" s="1"/>
  <c r="AO96" i="15"/>
  <c r="AQ96" i="15"/>
  <c r="B97" i="15"/>
  <c r="P97" i="15" s="1"/>
  <c r="U97" i="15"/>
  <c r="Y97" i="15"/>
  <c r="AC97" i="15" s="1"/>
  <c r="AO97" i="15"/>
  <c r="AQ97" i="15"/>
  <c r="B98" i="15"/>
  <c r="P98" i="15" s="1"/>
  <c r="U98" i="15"/>
  <c r="AQ98" i="15"/>
  <c r="B99" i="15"/>
  <c r="P99" i="15" s="1"/>
  <c r="U99" i="15"/>
  <c r="AQ99" i="15"/>
  <c r="B100" i="15"/>
  <c r="P100" i="15" s="1"/>
  <c r="U100" i="15"/>
  <c r="AQ100" i="15"/>
  <c r="B101" i="15"/>
  <c r="P101" i="15" s="1"/>
  <c r="U101" i="15"/>
  <c r="AQ101" i="15"/>
  <c r="B102" i="15"/>
  <c r="P102" i="15" s="1"/>
  <c r="U102" i="15"/>
  <c r="AQ102" i="15"/>
  <c r="B103" i="15"/>
  <c r="U103" i="15"/>
  <c r="AQ103" i="15"/>
  <c r="B104" i="15"/>
  <c r="U104" i="15"/>
  <c r="AQ104" i="15"/>
  <c r="B105" i="15"/>
  <c r="P105" i="15" s="1"/>
  <c r="U105" i="15"/>
  <c r="Y105" i="15"/>
  <c r="AC105" i="15" s="1"/>
  <c r="AO105" i="15"/>
  <c r="AQ105" i="15"/>
  <c r="B106" i="15"/>
  <c r="P106" i="15" s="1"/>
  <c r="U106" i="15"/>
  <c r="Y106" i="15"/>
  <c r="AD106" i="15" s="1"/>
  <c r="AO106" i="15"/>
  <c r="AQ106" i="15"/>
  <c r="B107" i="15"/>
  <c r="P107" i="15" s="1"/>
  <c r="U107" i="15"/>
  <c r="Y107" i="15"/>
  <c r="AE107" i="15" s="1"/>
  <c r="AO107" i="15"/>
  <c r="AQ107" i="15"/>
  <c r="B108" i="15"/>
  <c r="P108" i="15" s="1"/>
  <c r="U108" i="15"/>
  <c r="Y108" i="15"/>
  <c r="AE108" i="15" s="1"/>
  <c r="AO108" i="15"/>
  <c r="AQ108" i="15"/>
  <c r="B109" i="15"/>
  <c r="P109" i="15" s="1"/>
  <c r="U109" i="15"/>
  <c r="Y109" i="15"/>
  <c r="AC109" i="15" s="1"/>
  <c r="AO109" i="15"/>
  <c r="AQ109" i="15"/>
  <c r="B110" i="15"/>
  <c r="P110" i="15" s="1"/>
  <c r="U110" i="15"/>
  <c r="AQ110" i="15"/>
  <c r="B111" i="15"/>
  <c r="P111" i="15" s="1"/>
  <c r="U111" i="15"/>
  <c r="AQ111" i="15"/>
  <c r="B112" i="15"/>
  <c r="P112" i="15" s="1"/>
  <c r="U112" i="15"/>
  <c r="AQ112" i="15"/>
  <c r="B113" i="15"/>
  <c r="P113" i="15" s="1"/>
  <c r="U113" i="15"/>
  <c r="AQ113" i="15"/>
  <c r="B114" i="15"/>
  <c r="P114" i="15" s="1"/>
  <c r="U114" i="15"/>
  <c r="AQ114" i="15"/>
  <c r="B115" i="15"/>
  <c r="P115" i="15" s="1"/>
  <c r="U115" i="15"/>
  <c r="AQ115" i="15"/>
  <c r="A116" i="15"/>
  <c r="B117" i="15"/>
  <c r="P117" i="15" s="1"/>
  <c r="U117" i="15"/>
  <c r="Y117" i="15"/>
  <c r="AC117" i="15" s="1"/>
  <c r="AO117" i="15"/>
  <c r="AQ117" i="15"/>
  <c r="B118" i="15"/>
  <c r="P118" i="15" s="1"/>
  <c r="U118" i="15"/>
  <c r="Y118" i="15"/>
  <c r="CA118" i="15" s="1"/>
  <c r="CM118" i="15" s="1"/>
  <c r="AO118" i="15"/>
  <c r="AQ118" i="15"/>
  <c r="B119" i="15"/>
  <c r="P119" i="15" s="1"/>
  <c r="U119" i="15"/>
  <c r="AQ119" i="15"/>
  <c r="B120" i="15"/>
  <c r="P120" i="15" s="1"/>
  <c r="U120" i="15"/>
  <c r="Y120" i="15"/>
  <c r="AC120" i="15" s="1"/>
  <c r="AO120" i="15"/>
  <c r="AQ120" i="15"/>
  <c r="B121" i="15"/>
  <c r="P121" i="15" s="1"/>
  <c r="U121" i="15"/>
  <c r="Y121" i="15"/>
  <c r="AC121" i="15" s="1"/>
  <c r="AO121" i="15"/>
  <c r="AQ121" i="15"/>
  <c r="B122" i="15"/>
  <c r="P122" i="15" s="1"/>
  <c r="U122" i="15"/>
  <c r="Y122" i="15"/>
  <c r="AC122" i="15" s="1"/>
  <c r="AO122" i="15"/>
  <c r="AQ122" i="15"/>
  <c r="B123" i="15"/>
  <c r="P123" i="15" s="1"/>
  <c r="U123" i="15"/>
  <c r="Y123" i="15"/>
  <c r="AD123" i="15" s="1"/>
  <c r="AO123" i="15"/>
  <c r="AQ123" i="15"/>
  <c r="B124" i="15"/>
  <c r="P124" i="15" s="1"/>
  <c r="U124" i="15"/>
  <c r="AQ124" i="15"/>
  <c r="B125" i="15"/>
  <c r="P125" i="15" s="1"/>
  <c r="U125" i="15"/>
  <c r="AQ125" i="15"/>
  <c r="B126" i="15"/>
  <c r="P126" i="15" s="1"/>
  <c r="U126" i="15"/>
  <c r="AQ126" i="15"/>
  <c r="B127" i="15"/>
  <c r="P127" i="15" s="1"/>
  <c r="U127" i="15"/>
  <c r="AQ127" i="15"/>
  <c r="B128" i="15"/>
  <c r="U128" i="15"/>
  <c r="AQ128" i="15"/>
  <c r="B129" i="15"/>
  <c r="U129" i="15"/>
  <c r="AQ129" i="15"/>
  <c r="B130" i="15"/>
  <c r="U130" i="15"/>
  <c r="AQ130" i="15"/>
  <c r="B131" i="15"/>
  <c r="U131" i="15"/>
  <c r="AQ131" i="15"/>
  <c r="B132" i="15"/>
  <c r="U132" i="15"/>
  <c r="Y132" i="15"/>
  <c r="AC132" i="15" s="1"/>
  <c r="AO132" i="15"/>
  <c r="AQ132" i="15"/>
  <c r="B133" i="15"/>
  <c r="P133" i="15" s="1"/>
  <c r="U133" i="15"/>
  <c r="Y133" i="15"/>
  <c r="AE133" i="15" s="1"/>
  <c r="AO133" i="15"/>
  <c r="AQ133" i="15"/>
  <c r="B134" i="15"/>
  <c r="P134" i="15" s="1"/>
  <c r="U134" i="15"/>
  <c r="Y134" i="15"/>
  <c r="AE134" i="15" s="1"/>
  <c r="AO134" i="15"/>
  <c r="AQ134" i="15"/>
  <c r="B135" i="15"/>
  <c r="P135" i="15" s="1"/>
  <c r="U135" i="15"/>
  <c r="Y135" i="15"/>
  <c r="AE135" i="15" s="1"/>
  <c r="AO135" i="15"/>
  <c r="AQ135" i="15"/>
  <c r="B136" i="15"/>
  <c r="P136" i="15" s="1"/>
  <c r="U136" i="15"/>
  <c r="Y136" i="15"/>
  <c r="AE136" i="15" s="1"/>
  <c r="AO136" i="15"/>
  <c r="AQ136" i="15"/>
  <c r="B137" i="15"/>
  <c r="U137" i="15"/>
  <c r="Y137" i="15"/>
  <c r="AE137" i="15" s="1"/>
  <c r="AO137" i="15"/>
  <c r="AQ137" i="15"/>
  <c r="B138" i="15"/>
  <c r="P138" i="15" s="1"/>
  <c r="U138" i="15"/>
  <c r="Y138" i="15"/>
  <c r="AO138" i="15"/>
  <c r="AQ138" i="15"/>
  <c r="B139" i="15"/>
  <c r="P139" i="15" s="1"/>
  <c r="U139" i="15"/>
  <c r="Y139" i="15"/>
  <c r="AD139" i="15" s="1"/>
  <c r="AO139" i="15"/>
  <c r="AQ139" i="15"/>
  <c r="B140" i="15"/>
  <c r="P140" i="15" s="1"/>
  <c r="U140" i="15"/>
  <c r="Y140" i="15"/>
  <c r="AE140" i="15" s="1"/>
  <c r="AO140" i="15"/>
  <c r="AQ140" i="15"/>
  <c r="A141" i="15"/>
  <c r="B142" i="15"/>
  <c r="P142" i="15" s="1"/>
  <c r="U142" i="15"/>
  <c r="Y142" i="15"/>
  <c r="AD142" i="15" s="1"/>
  <c r="AO142" i="15"/>
  <c r="AQ142" i="15"/>
  <c r="B143" i="15"/>
  <c r="P143" i="15" s="1"/>
  <c r="U143" i="15"/>
  <c r="Y143" i="15"/>
  <c r="AD143" i="15" s="1"/>
  <c r="AO143" i="15"/>
  <c r="AQ143" i="15"/>
  <c r="A144" i="15"/>
  <c r="B145" i="15"/>
  <c r="U145" i="15"/>
  <c r="Y145" i="15"/>
  <c r="AC145" i="15" s="1"/>
  <c r="AO145" i="15"/>
  <c r="AQ145" i="15"/>
  <c r="B146" i="15"/>
  <c r="U146" i="15"/>
  <c r="Y146" i="15"/>
  <c r="AC146" i="15" s="1"/>
  <c r="AO146" i="15"/>
  <c r="AQ146" i="15"/>
  <c r="B147" i="15"/>
  <c r="U147" i="15"/>
  <c r="Y147" i="15"/>
  <c r="AC147" i="15" s="1"/>
  <c r="AO147" i="15"/>
  <c r="AQ147" i="15"/>
  <c r="B148" i="15"/>
  <c r="U148" i="15"/>
  <c r="Y148" i="15"/>
  <c r="AE148" i="15" s="1"/>
  <c r="AO148" i="15"/>
  <c r="AQ148" i="15"/>
  <c r="B149" i="15"/>
  <c r="U149" i="15"/>
  <c r="Y149" i="15"/>
  <c r="AC149" i="15" s="1"/>
  <c r="AO149" i="15"/>
  <c r="AQ149" i="15"/>
  <c r="B150" i="15"/>
  <c r="U150" i="15"/>
  <c r="Y150" i="15"/>
  <c r="CA150" i="15" s="1"/>
  <c r="CF150" i="15" s="1"/>
  <c r="AO150" i="15"/>
  <c r="AQ150" i="15"/>
  <c r="B151" i="15"/>
  <c r="U151" i="15"/>
  <c r="Y151" i="15"/>
  <c r="AC151" i="15" s="1"/>
  <c r="AO151" i="15"/>
  <c r="AQ151" i="15"/>
  <c r="B152" i="15"/>
  <c r="U152" i="15"/>
  <c r="AQ152" i="15"/>
  <c r="B153" i="15"/>
  <c r="U153" i="15"/>
  <c r="AQ153" i="15"/>
  <c r="B154" i="15"/>
  <c r="U154" i="15"/>
  <c r="AQ154" i="15"/>
  <c r="B155" i="15"/>
  <c r="U155" i="15"/>
  <c r="AQ155" i="15"/>
  <c r="B156" i="15"/>
  <c r="U156" i="15"/>
  <c r="AQ156" i="15"/>
  <c r="B157" i="15"/>
  <c r="U157" i="15"/>
  <c r="AQ157" i="15"/>
  <c r="B158" i="15"/>
  <c r="U158" i="15"/>
  <c r="AQ158" i="15"/>
  <c r="B159" i="15"/>
  <c r="U159" i="15"/>
  <c r="Y159" i="15"/>
  <c r="AC159" i="15" s="1"/>
  <c r="AO159" i="15"/>
  <c r="AQ159" i="15"/>
  <c r="B160" i="15"/>
  <c r="U160" i="15"/>
  <c r="Y160" i="15"/>
  <c r="AC160" i="15" s="1"/>
  <c r="AO160" i="15"/>
  <c r="AQ160" i="15"/>
  <c r="B161" i="15"/>
  <c r="U161" i="15"/>
  <c r="Y161" i="15"/>
  <c r="AC161" i="15" s="1"/>
  <c r="AO161" i="15"/>
  <c r="AQ161" i="15"/>
  <c r="B162" i="15"/>
  <c r="U162" i="15"/>
  <c r="Y162" i="15"/>
  <c r="AO162" i="15"/>
  <c r="AQ162" i="15"/>
  <c r="B163" i="15"/>
  <c r="U163" i="15"/>
  <c r="Y163" i="15"/>
  <c r="CA163" i="15" s="1"/>
  <c r="CM163" i="15" s="1"/>
  <c r="AO163" i="15"/>
  <c r="AQ163" i="15"/>
  <c r="B164" i="15"/>
  <c r="U164" i="15"/>
  <c r="AQ164" i="15"/>
  <c r="B165" i="15"/>
  <c r="U165" i="15"/>
  <c r="Y165" i="15"/>
  <c r="AC165" i="15" s="1"/>
  <c r="AO165" i="15"/>
  <c r="AQ165" i="15"/>
  <c r="B166" i="15"/>
  <c r="U166" i="15"/>
  <c r="Y166" i="15"/>
  <c r="AO166" i="15"/>
  <c r="AQ166" i="15"/>
  <c r="B167" i="15"/>
  <c r="U167" i="15"/>
  <c r="AQ167" i="15"/>
  <c r="B168" i="15"/>
  <c r="U168" i="15"/>
  <c r="Y168" i="15"/>
  <c r="AE168" i="15" s="1"/>
  <c r="AO168" i="15"/>
  <c r="AQ168" i="15"/>
  <c r="B169" i="15"/>
  <c r="U169" i="15"/>
  <c r="AQ169" i="15"/>
  <c r="B170" i="15"/>
  <c r="U170" i="15"/>
  <c r="AQ170" i="15"/>
  <c r="B171" i="15"/>
  <c r="U171" i="15"/>
  <c r="Y171" i="15"/>
  <c r="AE171" i="15" s="1"/>
  <c r="AO171" i="15"/>
  <c r="AQ171" i="15"/>
  <c r="B172" i="15"/>
  <c r="U172" i="15"/>
  <c r="Y172" i="15"/>
  <c r="AE172" i="15" s="1"/>
  <c r="AO172" i="15"/>
  <c r="AQ172" i="15"/>
  <c r="B173" i="15"/>
  <c r="U173" i="15"/>
  <c r="Y173" i="15"/>
  <c r="AE173" i="15" s="1"/>
  <c r="AO173" i="15"/>
  <c r="AQ173" i="15"/>
  <c r="B174" i="15"/>
  <c r="U174" i="15"/>
  <c r="Y174" i="15"/>
  <c r="AE174" i="15" s="1"/>
  <c r="AO174" i="15"/>
  <c r="AQ174" i="15"/>
  <c r="B175" i="15"/>
  <c r="U175" i="15"/>
  <c r="Y175" i="15"/>
  <c r="AE175" i="15" s="1"/>
  <c r="AO175" i="15"/>
  <c r="AQ175" i="15"/>
  <c r="B176" i="15"/>
  <c r="U176" i="15"/>
  <c r="Y176" i="15"/>
  <c r="AC176" i="15" s="1"/>
  <c r="AO176" i="15"/>
  <c r="AQ176" i="15"/>
  <c r="B177" i="15"/>
  <c r="U177" i="15"/>
  <c r="Y177" i="15"/>
  <c r="AO177" i="15"/>
  <c r="AQ177" i="15"/>
  <c r="B178" i="15"/>
  <c r="U178" i="15"/>
  <c r="Y178" i="15"/>
  <c r="AC178" i="15" s="1"/>
  <c r="AO178" i="15"/>
  <c r="AQ178" i="15"/>
  <c r="B179" i="15"/>
  <c r="U179" i="15"/>
  <c r="Y179" i="15"/>
  <c r="AC179" i="15" s="1"/>
  <c r="AO179" i="15"/>
  <c r="AQ179" i="15"/>
  <c r="B180" i="15"/>
  <c r="U180" i="15"/>
  <c r="Y180" i="15"/>
  <c r="CA180" i="15" s="1"/>
  <c r="AO180" i="15"/>
  <c r="AQ180" i="15"/>
  <c r="B181" i="15"/>
  <c r="U181" i="15"/>
  <c r="Y181" i="15"/>
  <c r="AC181" i="15" s="1"/>
  <c r="AO181" i="15"/>
  <c r="AQ181" i="15"/>
  <c r="B182" i="15"/>
  <c r="U182" i="15"/>
  <c r="Y182" i="15"/>
  <c r="AE182" i="15" s="1"/>
  <c r="AO182" i="15"/>
  <c r="AQ182" i="15"/>
  <c r="B183" i="15"/>
  <c r="U183" i="15"/>
  <c r="Y183" i="15"/>
  <c r="AD183" i="15" s="1"/>
  <c r="AO183" i="15"/>
  <c r="AQ183" i="15"/>
  <c r="B184" i="15"/>
  <c r="U184" i="15"/>
  <c r="Y184" i="15"/>
  <c r="CA184" i="15" s="1"/>
  <c r="CF184" i="15" s="1"/>
  <c r="AO184" i="15"/>
  <c r="AQ184" i="15"/>
  <c r="B185" i="15"/>
  <c r="U185" i="15"/>
  <c r="AQ185" i="15"/>
  <c r="B186" i="15"/>
  <c r="U186" i="15"/>
  <c r="AQ186" i="15"/>
  <c r="B187" i="15"/>
  <c r="U187" i="15"/>
  <c r="AQ187" i="15"/>
  <c r="B188" i="15"/>
  <c r="U188" i="15"/>
  <c r="AQ188" i="15"/>
  <c r="B189" i="15"/>
  <c r="U189" i="15"/>
  <c r="AQ189" i="15"/>
  <c r="B190" i="15"/>
  <c r="U190" i="15"/>
  <c r="Y190" i="15"/>
  <c r="AC190" i="15" s="1"/>
  <c r="AO190" i="15"/>
  <c r="AQ190" i="15"/>
  <c r="B191" i="15"/>
  <c r="U191" i="15"/>
  <c r="Y191" i="15"/>
  <c r="AD191" i="15" s="1"/>
  <c r="AO191" i="15"/>
  <c r="AQ191" i="15"/>
  <c r="B192" i="15"/>
  <c r="U192" i="15"/>
  <c r="Y192" i="15"/>
  <c r="CA192" i="15" s="1"/>
  <c r="AO192" i="15"/>
  <c r="AQ192" i="15"/>
  <c r="B193" i="15"/>
  <c r="U193" i="15"/>
  <c r="Y193" i="15"/>
  <c r="AC193" i="15" s="1"/>
  <c r="AO193" i="15"/>
  <c r="AQ193" i="15"/>
  <c r="B194" i="15"/>
  <c r="U194" i="15"/>
  <c r="Y194" i="15"/>
  <c r="AE194" i="15" s="1"/>
  <c r="AO194" i="15"/>
  <c r="AQ194" i="15"/>
  <c r="B195" i="15"/>
  <c r="U195" i="15"/>
  <c r="Y195" i="15"/>
  <c r="AO195" i="15"/>
  <c r="AQ195" i="15"/>
  <c r="B196" i="15"/>
  <c r="U196" i="15"/>
  <c r="Y196" i="15"/>
  <c r="AC196" i="15" s="1"/>
  <c r="AO196" i="15"/>
  <c r="AQ196" i="15"/>
  <c r="B197" i="15"/>
  <c r="U197" i="15"/>
  <c r="Y197" i="15"/>
  <c r="AC197" i="15" s="1"/>
  <c r="AO197" i="15"/>
  <c r="AQ197" i="15"/>
  <c r="B198" i="15"/>
  <c r="U198" i="15"/>
  <c r="AQ198" i="15"/>
  <c r="B199" i="15"/>
  <c r="U199" i="15"/>
  <c r="Y199" i="15"/>
  <c r="AC199" i="15" s="1"/>
  <c r="AO199" i="15"/>
  <c r="AQ199" i="15"/>
  <c r="B200" i="15"/>
  <c r="U200" i="15"/>
  <c r="Y200" i="15"/>
  <c r="AD200" i="15" s="1"/>
  <c r="AO200" i="15"/>
  <c r="AQ200" i="15"/>
  <c r="B201" i="15"/>
  <c r="U201" i="15"/>
  <c r="Y201" i="15"/>
  <c r="AO201" i="15"/>
  <c r="AQ201" i="15"/>
  <c r="B202" i="15"/>
  <c r="U202" i="15"/>
  <c r="Y202" i="15"/>
  <c r="AC202" i="15" s="1"/>
  <c r="AO202" i="15"/>
  <c r="AQ202" i="15"/>
  <c r="B203" i="15"/>
  <c r="U203" i="15"/>
  <c r="Y203" i="15"/>
  <c r="AO203" i="15"/>
  <c r="AQ203" i="15"/>
  <c r="B204" i="15"/>
  <c r="U204" i="15"/>
  <c r="Y204" i="15"/>
  <c r="CA204" i="15" s="1"/>
  <c r="AO204" i="15"/>
  <c r="AQ204" i="15"/>
  <c r="B205" i="15"/>
  <c r="U205" i="15"/>
  <c r="Y205" i="15"/>
  <c r="AD205" i="15" s="1"/>
  <c r="AO205" i="15"/>
  <c r="AQ205" i="15"/>
  <c r="B206" i="15"/>
  <c r="U206" i="15"/>
  <c r="Y206" i="15"/>
  <c r="AE206" i="15" s="1"/>
  <c r="AO206" i="15"/>
  <c r="AQ206" i="15"/>
  <c r="B207" i="15"/>
  <c r="U207" i="15"/>
  <c r="Y207" i="15"/>
  <c r="AD207" i="15" s="1"/>
  <c r="AO207" i="15"/>
  <c r="AQ207" i="15"/>
  <c r="B208" i="15"/>
  <c r="U208" i="15"/>
  <c r="Y208" i="15"/>
  <c r="CA208" i="15" s="1"/>
  <c r="AO208" i="15"/>
  <c r="AQ208" i="15"/>
  <c r="B209" i="15"/>
  <c r="U209" i="15"/>
  <c r="Y209" i="15"/>
  <c r="AC209" i="15" s="1"/>
  <c r="AO209" i="15"/>
  <c r="AQ209" i="15"/>
  <c r="B210" i="15"/>
  <c r="U210" i="15"/>
  <c r="Y210" i="15"/>
  <c r="AE210" i="15" s="1"/>
  <c r="AO210" i="15"/>
  <c r="AQ210" i="15"/>
  <c r="B211" i="15"/>
  <c r="U211" i="15"/>
  <c r="Y211" i="15"/>
  <c r="AC211" i="15" s="1"/>
  <c r="AO211" i="15"/>
  <c r="AQ211" i="15"/>
  <c r="B212" i="15"/>
  <c r="U212" i="15"/>
  <c r="Y212" i="15"/>
  <c r="AC212" i="15" s="1"/>
  <c r="AO212" i="15"/>
  <c r="AQ212" i="15"/>
  <c r="B213" i="15"/>
  <c r="U213" i="15"/>
  <c r="Y213" i="15"/>
  <c r="AE213" i="15" s="1"/>
  <c r="AO213" i="15"/>
  <c r="AQ213" i="15"/>
  <c r="B214" i="15"/>
  <c r="U214" i="15"/>
  <c r="Y214" i="15"/>
  <c r="AC214" i="15" s="1"/>
  <c r="AO214" i="15"/>
  <c r="AQ214" i="15"/>
  <c r="B215" i="15"/>
  <c r="U215" i="15"/>
  <c r="Y215" i="15"/>
  <c r="AC215" i="15" s="1"/>
  <c r="AO215" i="15"/>
  <c r="AQ215" i="15"/>
  <c r="B216" i="15"/>
  <c r="U216" i="15"/>
  <c r="Y216" i="15"/>
  <c r="AD216" i="15" s="1"/>
  <c r="AO216" i="15"/>
  <c r="AQ216" i="15"/>
  <c r="B217" i="15"/>
  <c r="U217" i="15"/>
  <c r="Y217" i="15"/>
  <c r="AE217" i="15" s="1"/>
  <c r="AO217" i="15"/>
  <c r="AQ217" i="15"/>
  <c r="B218" i="15"/>
  <c r="U218" i="15"/>
  <c r="Y218" i="15"/>
  <c r="AC218" i="15" s="1"/>
  <c r="AO218" i="15"/>
  <c r="AQ218" i="15"/>
  <c r="B219" i="15"/>
  <c r="U219" i="15"/>
  <c r="Y219" i="15"/>
  <c r="AC219" i="15" s="1"/>
  <c r="AO219" i="15"/>
  <c r="AQ219" i="15"/>
  <c r="B220" i="15"/>
  <c r="U220" i="15"/>
  <c r="Y220" i="15"/>
  <c r="AD220" i="15" s="1"/>
  <c r="AO220" i="15"/>
  <c r="AQ220" i="15"/>
  <c r="AB222" i="15"/>
  <c r="AB223" i="15"/>
  <c r="BJ225" i="15"/>
  <c r="BJ226" i="15" s="1"/>
  <c r="BJ227" i="15" s="1"/>
  <c r="BK226" i="15"/>
  <c r="BK227" i="15" s="1"/>
  <c r="BK228" i="15" s="1"/>
  <c r="BL228" i="15" s="1"/>
  <c r="BL226" i="15"/>
  <c r="BH228" i="15"/>
  <c r="P82" i="14"/>
  <c r="C83" i="14"/>
  <c r="A89" i="15" s="1"/>
  <c r="I83" i="14"/>
  <c r="J83" i="14"/>
  <c r="L83" i="14"/>
  <c r="P83" i="14"/>
  <c r="C84" i="14"/>
  <c r="A90" i="15" s="1"/>
  <c r="I84" i="14"/>
  <c r="J84" i="14"/>
  <c r="L84" i="14"/>
  <c r="P84" i="14"/>
  <c r="C85" i="14"/>
  <c r="A91" i="15" s="1"/>
  <c r="I85" i="14"/>
  <c r="J85" i="14"/>
  <c r="L85" i="14"/>
  <c r="P85" i="14"/>
  <c r="C86" i="14"/>
  <c r="A92" i="15" s="1"/>
  <c r="I86" i="14"/>
  <c r="J86" i="14"/>
  <c r="L86" i="14"/>
  <c r="P86" i="14"/>
  <c r="C87" i="14"/>
  <c r="A93" i="15" s="1"/>
  <c r="I87" i="14"/>
  <c r="J87" i="14"/>
  <c r="L87" i="14"/>
  <c r="P87" i="14"/>
  <c r="C88" i="14"/>
  <c r="A94" i="15" s="1"/>
  <c r="I88" i="14"/>
  <c r="J88" i="14"/>
  <c r="L88" i="14"/>
  <c r="P88" i="14"/>
  <c r="C89" i="14"/>
  <c r="A95" i="15" s="1"/>
  <c r="I89" i="14"/>
  <c r="J89" i="14"/>
  <c r="L89" i="14"/>
  <c r="P89" i="14"/>
  <c r="C90" i="14"/>
  <c r="A96" i="15" s="1"/>
  <c r="I90" i="14"/>
  <c r="J90" i="14"/>
  <c r="L90" i="14"/>
  <c r="P90" i="14"/>
  <c r="C91" i="14"/>
  <c r="A97" i="15" s="1"/>
  <c r="I91" i="14"/>
  <c r="J91" i="14"/>
  <c r="L91" i="14"/>
  <c r="P91" i="14"/>
  <c r="C92" i="14"/>
  <c r="A98" i="15" s="1"/>
  <c r="I92" i="14"/>
  <c r="J92" i="14"/>
  <c r="L92" i="14"/>
  <c r="P92" i="14"/>
  <c r="C93" i="14"/>
  <c r="A99" i="15" s="1"/>
  <c r="I93" i="14"/>
  <c r="J93" i="14"/>
  <c r="L93" i="14"/>
  <c r="P93" i="14"/>
  <c r="C94" i="14"/>
  <c r="A100" i="15" s="1"/>
  <c r="I94" i="14"/>
  <c r="J94" i="14"/>
  <c r="L94" i="14"/>
  <c r="P94" i="14"/>
  <c r="C95" i="14"/>
  <c r="A101" i="15" s="1"/>
  <c r="I95" i="14"/>
  <c r="J95" i="14"/>
  <c r="L95" i="14"/>
  <c r="P95" i="14"/>
  <c r="C96" i="14"/>
  <c r="A102" i="15" s="1"/>
  <c r="I96" i="14"/>
  <c r="J96" i="14"/>
  <c r="L96" i="14"/>
  <c r="P96" i="14"/>
  <c r="C97" i="14"/>
  <c r="A103" i="15" s="1"/>
  <c r="I97" i="14"/>
  <c r="J97" i="14"/>
  <c r="L97" i="14"/>
  <c r="P97" i="14"/>
  <c r="C98" i="14"/>
  <c r="A104" i="15" s="1"/>
  <c r="I98" i="14"/>
  <c r="J98" i="14"/>
  <c r="L98" i="14"/>
  <c r="P98" i="14"/>
  <c r="C99" i="14"/>
  <c r="A105" i="15" s="1"/>
  <c r="I99" i="14"/>
  <c r="J99" i="14"/>
  <c r="L99" i="14"/>
  <c r="P99" i="14"/>
  <c r="C100" i="14"/>
  <c r="A106" i="15" s="1"/>
  <c r="I100" i="14"/>
  <c r="J100" i="14"/>
  <c r="L100" i="14"/>
  <c r="P100" i="14"/>
  <c r="C101" i="14"/>
  <c r="A107" i="15" s="1"/>
  <c r="I101" i="14"/>
  <c r="J101" i="14"/>
  <c r="L101" i="14"/>
  <c r="P101" i="14"/>
  <c r="C102" i="14"/>
  <c r="A108" i="15" s="1"/>
  <c r="I102" i="14"/>
  <c r="J102" i="14"/>
  <c r="L102" i="14"/>
  <c r="P102" i="14"/>
  <c r="C103" i="14"/>
  <c r="A109" i="15" s="1"/>
  <c r="I103" i="14"/>
  <c r="J103" i="14"/>
  <c r="L103" i="14"/>
  <c r="P103" i="14"/>
  <c r="C104" i="14"/>
  <c r="A110" i="15" s="1"/>
  <c r="I104" i="14"/>
  <c r="J104" i="14"/>
  <c r="L104" i="14"/>
  <c r="P104" i="14"/>
  <c r="C105" i="14"/>
  <c r="A111" i="15" s="1"/>
  <c r="I105" i="14"/>
  <c r="J105" i="14"/>
  <c r="L105" i="14"/>
  <c r="P105" i="14"/>
  <c r="C106" i="14"/>
  <c r="A112" i="15" s="1"/>
  <c r="I106" i="14"/>
  <c r="J106" i="14"/>
  <c r="L106" i="14"/>
  <c r="P106" i="14"/>
  <c r="C107" i="14"/>
  <c r="A113" i="15" s="1"/>
  <c r="I107" i="14"/>
  <c r="J107" i="14"/>
  <c r="L107" i="14"/>
  <c r="P107" i="14"/>
  <c r="C108" i="14"/>
  <c r="A114" i="15" s="1"/>
  <c r="I108" i="14"/>
  <c r="J108" i="14"/>
  <c r="L108" i="14"/>
  <c r="P108" i="14"/>
  <c r="C109" i="14"/>
  <c r="A115" i="15" s="1"/>
  <c r="I109" i="14"/>
  <c r="J109" i="14"/>
  <c r="L109" i="14"/>
  <c r="P109" i="14"/>
  <c r="P110" i="14"/>
  <c r="C111" i="14"/>
  <c r="A117" i="15" s="1"/>
  <c r="I111" i="14"/>
  <c r="J111" i="14"/>
  <c r="L111" i="14"/>
  <c r="P111" i="14"/>
  <c r="C112" i="14"/>
  <c r="A118" i="15" s="1"/>
  <c r="I112" i="14"/>
  <c r="J112" i="14"/>
  <c r="L112" i="14"/>
  <c r="P112" i="14"/>
  <c r="C113" i="14"/>
  <c r="A119" i="15" s="1"/>
  <c r="I113" i="14"/>
  <c r="J113" i="14"/>
  <c r="L113" i="14"/>
  <c r="P113" i="14"/>
  <c r="C114" i="14"/>
  <c r="A120" i="15" s="1"/>
  <c r="I114" i="14"/>
  <c r="J114" i="14"/>
  <c r="L114" i="14"/>
  <c r="P114" i="14"/>
  <c r="C115" i="14"/>
  <c r="A121" i="15" s="1"/>
  <c r="I115" i="14"/>
  <c r="J115" i="14"/>
  <c r="L115" i="14"/>
  <c r="P115" i="14"/>
  <c r="C116" i="14"/>
  <c r="A122" i="15" s="1"/>
  <c r="I116" i="14"/>
  <c r="J116" i="14"/>
  <c r="L116" i="14"/>
  <c r="P116" i="14"/>
  <c r="C117" i="14"/>
  <c r="A123" i="15" s="1"/>
  <c r="I117" i="14"/>
  <c r="J117" i="14"/>
  <c r="L117" i="14"/>
  <c r="P117" i="14"/>
  <c r="C118" i="14"/>
  <c r="A124" i="15" s="1"/>
  <c r="I118" i="14"/>
  <c r="J118" i="14"/>
  <c r="L118" i="14"/>
  <c r="P118" i="14"/>
  <c r="C119" i="14"/>
  <c r="A125" i="15" s="1"/>
  <c r="I119" i="14"/>
  <c r="J119" i="14"/>
  <c r="L119" i="14"/>
  <c r="P119" i="14"/>
  <c r="C120" i="14"/>
  <c r="A126" i="15" s="1"/>
  <c r="I120" i="14"/>
  <c r="J120" i="14"/>
  <c r="L120" i="14"/>
  <c r="P120" i="14"/>
  <c r="C121" i="14"/>
  <c r="A127" i="15" s="1"/>
  <c r="I121" i="14"/>
  <c r="J121" i="14"/>
  <c r="L121" i="14"/>
  <c r="P121" i="14"/>
  <c r="C122" i="14"/>
  <c r="A128" i="15" s="1"/>
  <c r="I122" i="14"/>
  <c r="J122" i="14"/>
  <c r="L122" i="14"/>
  <c r="P122" i="14"/>
  <c r="C123" i="14"/>
  <c r="A129" i="15" s="1"/>
  <c r="I123" i="14"/>
  <c r="J123" i="14"/>
  <c r="L123" i="14"/>
  <c r="P123" i="14"/>
  <c r="C124" i="14"/>
  <c r="A130" i="15" s="1"/>
  <c r="I124" i="14"/>
  <c r="J124" i="14"/>
  <c r="L124" i="14"/>
  <c r="P124" i="14"/>
  <c r="C125" i="14"/>
  <c r="A131" i="15" s="1"/>
  <c r="I125" i="14"/>
  <c r="J125" i="14"/>
  <c r="L125" i="14"/>
  <c r="P125" i="14"/>
  <c r="C126" i="14"/>
  <c r="A132" i="15" s="1"/>
  <c r="I126" i="14"/>
  <c r="J126" i="14"/>
  <c r="L126" i="14"/>
  <c r="P126" i="14"/>
  <c r="C127" i="14"/>
  <c r="A133" i="15" s="1"/>
  <c r="I127" i="14"/>
  <c r="J127" i="14"/>
  <c r="L127" i="14"/>
  <c r="P127" i="14"/>
  <c r="C128" i="14"/>
  <c r="A134" i="15" s="1"/>
  <c r="I128" i="14"/>
  <c r="J128" i="14"/>
  <c r="L128" i="14"/>
  <c r="P128" i="14"/>
  <c r="C129" i="14"/>
  <c r="A135" i="15" s="1"/>
  <c r="I129" i="14"/>
  <c r="J129" i="14"/>
  <c r="L129" i="14"/>
  <c r="P129" i="14"/>
  <c r="C130" i="14"/>
  <c r="A136" i="15" s="1"/>
  <c r="I130" i="14"/>
  <c r="J130" i="14"/>
  <c r="L130" i="14"/>
  <c r="P130" i="14"/>
  <c r="C131" i="14"/>
  <c r="A137" i="15" s="1"/>
  <c r="I131" i="14"/>
  <c r="J131" i="14"/>
  <c r="L131" i="14"/>
  <c r="P131" i="14"/>
  <c r="C132" i="14"/>
  <c r="A138" i="15" s="1"/>
  <c r="I132" i="14"/>
  <c r="J132" i="14"/>
  <c r="L132" i="14"/>
  <c r="P132" i="14"/>
  <c r="C133" i="14"/>
  <c r="A139" i="15" s="1"/>
  <c r="I133" i="14"/>
  <c r="J133" i="14"/>
  <c r="L133" i="14"/>
  <c r="P133" i="14"/>
  <c r="C134" i="14"/>
  <c r="A140" i="15" s="1"/>
  <c r="I134" i="14"/>
  <c r="J134" i="14"/>
  <c r="L134" i="14"/>
  <c r="P134" i="14"/>
  <c r="P135" i="14"/>
  <c r="C136" i="14"/>
  <c r="A142" i="15" s="1"/>
  <c r="I136" i="14"/>
  <c r="J136" i="14"/>
  <c r="L136" i="14"/>
  <c r="P136" i="14"/>
  <c r="C137" i="14"/>
  <c r="A143" i="15" s="1"/>
  <c r="I137" i="14"/>
  <c r="J137" i="14"/>
  <c r="L137" i="14"/>
  <c r="P137" i="14"/>
  <c r="P138" i="14"/>
  <c r="C139" i="14"/>
  <c r="A145" i="15" s="1"/>
  <c r="D139" i="14"/>
  <c r="I139" i="14"/>
  <c r="J139" i="14"/>
  <c r="L139" i="14"/>
  <c r="P139" i="14"/>
  <c r="C140" i="14"/>
  <c r="A146" i="15" s="1"/>
  <c r="D140" i="14"/>
  <c r="I140" i="14"/>
  <c r="J140" i="14"/>
  <c r="L140" i="14"/>
  <c r="P140" i="14"/>
  <c r="C141" i="14"/>
  <c r="A147" i="15" s="1"/>
  <c r="D141" i="14"/>
  <c r="I141" i="14"/>
  <c r="J141" i="14"/>
  <c r="L141" i="14"/>
  <c r="P141" i="14"/>
  <c r="C142" i="14"/>
  <c r="A148" i="15" s="1"/>
  <c r="D142" i="14"/>
  <c r="I142" i="14"/>
  <c r="J142" i="14"/>
  <c r="L142" i="14"/>
  <c r="P142" i="14"/>
  <c r="C143" i="14"/>
  <c r="A149" i="15" s="1"/>
  <c r="D143" i="14"/>
  <c r="I143" i="14"/>
  <c r="J143" i="14"/>
  <c r="L143" i="14"/>
  <c r="P143" i="14"/>
  <c r="C144" i="14"/>
  <c r="A150" i="15" s="1"/>
  <c r="D144" i="14"/>
  <c r="I144" i="14"/>
  <c r="J144" i="14"/>
  <c r="L144" i="14"/>
  <c r="P144" i="14"/>
  <c r="C145" i="14"/>
  <c r="A151" i="15" s="1"/>
  <c r="D145" i="14"/>
  <c r="I145" i="14"/>
  <c r="J145" i="14"/>
  <c r="L145" i="14"/>
  <c r="P145" i="14"/>
  <c r="C146" i="14"/>
  <c r="A152" i="15" s="1"/>
  <c r="D146" i="14"/>
  <c r="I146" i="14"/>
  <c r="J146" i="14"/>
  <c r="L146" i="14"/>
  <c r="P146" i="14"/>
  <c r="C147" i="14"/>
  <c r="A153" i="15" s="1"/>
  <c r="D147" i="14"/>
  <c r="I147" i="14"/>
  <c r="J147" i="14"/>
  <c r="L147" i="14"/>
  <c r="P147" i="14"/>
  <c r="C148" i="14"/>
  <c r="A154" i="15" s="1"/>
  <c r="D148" i="14"/>
  <c r="I148" i="14"/>
  <c r="J148" i="14"/>
  <c r="L148" i="14"/>
  <c r="P148" i="14"/>
  <c r="C149" i="14"/>
  <c r="A155" i="15" s="1"/>
  <c r="D149" i="14"/>
  <c r="I149" i="14"/>
  <c r="J149" i="14"/>
  <c r="L149" i="14"/>
  <c r="P149" i="14"/>
  <c r="C150" i="14"/>
  <c r="A156" i="15" s="1"/>
  <c r="D150" i="14"/>
  <c r="I150" i="14"/>
  <c r="J150" i="14"/>
  <c r="L150" i="14"/>
  <c r="P150" i="14"/>
  <c r="C151" i="14"/>
  <c r="A157" i="15" s="1"/>
  <c r="D151" i="14"/>
  <c r="I151" i="14"/>
  <c r="J151" i="14"/>
  <c r="L151" i="14"/>
  <c r="P151" i="14"/>
  <c r="C152" i="14"/>
  <c r="A158" i="15" s="1"/>
  <c r="D152" i="14"/>
  <c r="I152" i="14"/>
  <c r="J152" i="14"/>
  <c r="L152" i="14"/>
  <c r="P152" i="14"/>
  <c r="C153" i="14"/>
  <c r="A159" i="15" s="1"/>
  <c r="D153" i="14"/>
  <c r="I153" i="14"/>
  <c r="J153" i="14"/>
  <c r="L153" i="14"/>
  <c r="P153" i="14"/>
  <c r="C154" i="14"/>
  <c r="A160" i="15" s="1"/>
  <c r="D154" i="14"/>
  <c r="I154" i="14"/>
  <c r="J154" i="14"/>
  <c r="L154" i="14"/>
  <c r="P154" i="14"/>
  <c r="C155" i="14"/>
  <c r="A161" i="15" s="1"/>
  <c r="D155" i="14"/>
  <c r="I155" i="14"/>
  <c r="J155" i="14"/>
  <c r="L155" i="14"/>
  <c r="P155" i="14"/>
  <c r="C156" i="14"/>
  <c r="A162" i="15" s="1"/>
  <c r="D156" i="14"/>
  <c r="I156" i="14"/>
  <c r="J156" i="14"/>
  <c r="L156" i="14"/>
  <c r="P156" i="14"/>
  <c r="C157" i="14"/>
  <c r="A163" i="15" s="1"/>
  <c r="D157" i="14"/>
  <c r="I157" i="14"/>
  <c r="J157" i="14"/>
  <c r="L157" i="14"/>
  <c r="P157" i="14"/>
  <c r="C158" i="14"/>
  <c r="A164" i="15" s="1"/>
  <c r="D158" i="14"/>
  <c r="I158" i="14"/>
  <c r="J158" i="14"/>
  <c r="L158" i="14"/>
  <c r="P158" i="14"/>
  <c r="C159" i="14"/>
  <c r="A165" i="15" s="1"/>
  <c r="D159" i="14"/>
  <c r="I159" i="14"/>
  <c r="J159" i="14"/>
  <c r="L159" i="14"/>
  <c r="P159" i="14"/>
  <c r="C160" i="14"/>
  <c r="A166" i="15" s="1"/>
  <c r="D160" i="14"/>
  <c r="I160" i="14"/>
  <c r="J160" i="14"/>
  <c r="L160" i="14"/>
  <c r="P160" i="14"/>
  <c r="C161" i="14"/>
  <c r="A167" i="15" s="1"/>
  <c r="D161" i="14"/>
  <c r="I161" i="14"/>
  <c r="J161" i="14"/>
  <c r="L161" i="14"/>
  <c r="P161" i="14"/>
  <c r="C162" i="14"/>
  <c r="A168" i="15" s="1"/>
  <c r="D162" i="14"/>
  <c r="I162" i="14"/>
  <c r="J162" i="14"/>
  <c r="L162" i="14"/>
  <c r="P162" i="14"/>
  <c r="C163" i="14"/>
  <c r="A169" i="15" s="1"/>
  <c r="D163" i="14"/>
  <c r="I163" i="14"/>
  <c r="J163" i="14"/>
  <c r="L163" i="14"/>
  <c r="P163" i="14"/>
  <c r="C164" i="14"/>
  <c r="A170" i="15" s="1"/>
  <c r="D164" i="14"/>
  <c r="I164" i="14"/>
  <c r="J164" i="14"/>
  <c r="L164" i="14"/>
  <c r="P164" i="14"/>
  <c r="C165" i="14"/>
  <c r="A171" i="15" s="1"/>
  <c r="D165" i="14"/>
  <c r="I165" i="14"/>
  <c r="J165" i="14"/>
  <c r="L165" i="14"/>
  <c r="P165" i="14"/>
  <c r="C166" i="14"/>
  <c r="A172" i="15" s="1"/>
  <c r="D166" i="14"/>
  <c r="I166" i="14"/>
  <c r="J166" i="14"/>
  <c r="L166" i="14"/>
  <c r="P166" i="14"/>
  <c r="C167" i="14"/>
  <c r="A173" i="15" s="1"/>
  <c r="D167" i="14"/>
  <c r="I167" i="14"/>
  <c r="J167" i="14"/>
  <c r="L167" i="14"/>
  <c r="P167" i="14"/>
  <c r="C168" i="14"/>
  <c r="A174" i="15" s="1"/>
  <c r="D168" i="14"/>
  <c r="I168" i="14"/>
  <c r="J168" i="14"/>
  <c r="L168" i="14"/>
  <c r="P168" i="14"/>
  <c r="C169" i="14"/>
  <c r="A175" i="15" s="1"/>
  <c r="D169" i="14"/>
  <c r="I169" i="14"/>
  <c r="J169" i="14"/>
  <c r="L169" i="14"/>
  <c r="P169" i="14"/>
  <c r="C170" i="14"/>
  <c r="A176" i="15" s="1"/>
  <c r="D170" i="14"/>
  <c r="I170" i="14"/>
  <c r="J170" i="14"/>
  <c r="L170" i="14"/>
  <c r="P170" i="14"/>
  <c r="C171" i="14"/>
  <c r="A177" i="15" s="1"/>
  <c r="D171" i="14"/>
  <c r="I171" i="14"/>
  <c r="L171" i="14"/>
  <c r="P171" i="14"/>
  <c r="C172" i="14"/>
  <c r="A178" i="15" s="1"/>
  <c r="D172" i="14"/>
  <c r="I172" i="14"/>
  <c r="L172" i="14"/>
  <c r="P172" i="14"/>
  <c r="C173" i="14"/>
  <c r="A179" i="15" s="1"/>
  <c r="D173" i="14"/>
  <c r="I173" i="14"/>
  <c r="J173" i="14"/>
  <c r="L173" i="14"/>
  <c r="P173" i="14"/>
  <c r="C174" i="14"/>
  <c r="A180" i="15" s="1"/>
  <c r="D174" i="14"/>
  <c r="I174" i="14"/>
  <c r="J174" i="14"/>
  <c r="L174" i="14"/>
  <c r="P174" i="14"/>
  <c r="C175" i="14"/>
  <c r="A181" i="15" s="1"/>
  <c r="D175" i="14"/>
  <c r="I175" i="14"/>
  <c r="J175" i="14"/>
  <c r="L175" i="14"/>
  <c r="P175" i="14"/>
  <c r="C176" i="14"/>
  <c r="A182" i="15" s="1"/>
  <c r="I176" i="14"/>
  <c r="J176" i="14"/>
  <c r="L176" i="14"/>
  <c r="P176" i="14"/>
  <c r="C177" i="14"/>
  <c r="A183" i="15" s="1"/>
  <c r="D177" i="14"/>
  <c r="I177" i="14"/>
  <c r="J177" i="14"/>
  <c r="L177" i="14"/>
  <c r="P177" i="14"/>
  <c r="C178" i="14"/>
  <c r="A184" i="15" s="1"/>
  <c r="D178" i="14"/>
  <c r="I178" i="14"/>
  <c r="J178" i="14"/>
  <c r="L178" i="14"/>
  <c r="P178" i="14"/>
  <c r="C179" i="14"/>
  <c r="A185" i="15" s="1"/>
  <c r="D179" i="14"/>
  <c r="I179" i="14"/>
  <c r="J179" i="14"/>
  <c r="L179" i="14"/>
  <c r="P179" i="14"/>
  <c r="C180" i="14"/>
  <c r="A186" i="15" s="1"/>
  <c r="D180" i="14"/>
  <c r="I180" i="14"/>
  <c r="J180" i="14"/>
  <c r="L180" i="14"/>
  <c r="P180" i="14"/>
  <c r="C181" i="14"/>
  <c r="A187" i="15" s="1"/>
  <c r="D181" i="14"/>
  <c r="I181" i="14"/>
  <c r="J181" i="14"/>
  <c r="L181" i="14"/>
  <c r="P181" i="14"/>
  <c r="C182" i="14"/>
  <c r="A188" i="15" s="1"/>
  <c r="D182" i="14"/>
  <c r="I182" i="14"/>
  <c r="J182" i="14"/>
  <c r="L182" i="14"/>
  <c r="P182" i="14"/>
  <c r="C183" i="14"/>
  <c r="A189" i="15" s="1"/>
  <c r="D183" i="14"/>
  <c r="I183" i="14"/>
  <c r="J183" i="14"/>
  <c r="L183" i="14"/>
  <c r="P183" i="14"/>
  <c r="C184" i="14"/>
  <c r="A190" i="15" s="1"/>
  <c r="D184" i="14"/>
  <c r="I184" i="14"/>
  <c r="J184" i="14"/>
  <c r="L184" i="14"/>
  <c r="P184" i="14"/>
  <c r="C185" i="14"/>
  <c r="A191" i="15" s="1"/>
  <c r="D185" i="14"/>
  <c r="I185" i="14"/>
  <c r="J185" i="14"/>
  <c r="L185" i="14"/>
  <c r="P185" i="14"/>
  <c r="C186" i="14"/>
  <c r="A192" i="15" s="1"/>
  <c r="D186" i="14"/>
  <c r="I186" i="14"/>
  <c r="J186" i="14"/>
  <c r="L186" i="14"/>
  <c r="P186" i="14"/>
  <c r="C187" i="14"/>
  <c r="A193" i="15" s="1"/>
  <c r="D187" i="14"/>
  <c r="I187" i="14"/>
  <c r="J187" i="14"/>
  <c r="L187" i="14"/>
  <c r="P187" i="14"/>
  <c r="C188" i="14"/>
  <c r="A194" i="15" s="1"/>
  <c r="D188" i="14"/>
  <c r="I188" i="14"/>
  <c r="J188" i="14"/>
  <c r="L188" i="14"/>
  <c r="P188" i="14"/>
  <c r="C189" i="14"/>
  <c r="A195" i="15" s="1"/>
  <c r="D189" i="14"/>
  <c r="I189" i="14"/>
  <c r="J189" i="14"/>
  <c r="L189" i="14"/>
  <c r="P189" i="14"/>
  <c r="C190" i="14"/>
  <c r="A196" i="15" s="1"/>
  <c r="D190" i="14"/>
  <c r="I190" i="14"/>
  <c r="J190" i="14"/>
  <c r="L190" i="14"/>
  <c r="P190" i="14"/>
  <c r="C191" i="14"/>
  <c r="A197" i="15" s="1"/>
  <c r="D191" i="14"/>
  <c r="I191" i="14"/>
  <c r="J191" i="14"/>
  <c r="L191" i="14"/>
  <c r="P191" i="14"/>
  <c r="C192" i="14"/>
  <c r="A198" i="15" s="1"/>
  <c r="D192" i="14"/>
  <c r="I192" i="14"/>
  <c r="J192" i="14"/>
  <c r="L192" i="14"/>
  <c r="P192" i="14"/>
  <c r="C193" i="14"/>
  <c r="A199" i="15" s="1"/>
  <c r="D193" i="14"/>
  <c r="I193" i="14"/>
  <c r="J193" i="14"/>
  <c r="L193" i="14"/>
  <c r="P193" i="14"/>
  <c r="C194" i="14"/>
  <c r="A200" i="15" s="1"/>
  <c r="D194" i="14"/>
  <c r="I194" i="14"/>
  <c r="J194" i="14"/>
  <c r="L194" i="14"/>
  <c r="P194" i="14"/>
  <c r="C195" i="14"/>
  <c r="A201" i="15" s="1"/>
  <c r="D195" i="14"/>
  <c r="I195" i="14"/>
  <c r="J195" i="14"/>
  <c r="L195" i="14"/>
  <c r="P195" i="14"/>
  <c r="C196" i="14"/>
  <c r="A202" i="15" s="1"/>
  <c r="D196" i="14"/>
  <c r="I196" i="14"/>
  <c r="J196" i="14"/>
  <c r="L196" i="14"/>
  <c r="P196" i="14"/>
  <c r="C197" i="14"/>
  <c r="A203" i="15" s="1"/>
  <c r="D197" i="14"/>
  <c r="I197" i="14"/>
  <c r="J197" i="14"/>
  <c r="L197" i="14"/>
  <c r="P197" i="14"/>
  <c r="C198" i="14"/>
  <c r="A204" i="15" s="1"/>
  <c r="D198" i="14"/>
  <c r="I198" i="14"/>
  <c r="J198" i="14"/>
  <c r="L198" i="14"/>
  <c r="P198" i="14"/>
  <c r="C199" i="14"/>
  <c r="A205" i="15" s="1"/>
  <c r="D199" i="14"/>
  <c r="I199" i="14"/>
  <c r="J199" i="14"/>
  <c r="L199" i="14"/>
  <c r="P199" i="14"/>
  <c r="C200" i="14"/>
  <c r="A206" i="15" s="1"/>
  <c r="D200" i="14"/>
  <c r="I200" i="14"/>
  <c r="J200" i="14"/>
  <c r="L200" i="14"/>
  <c r="P200" i="14"/>
  <c r="C201" i="14"/>
  <c r="A207" i="15" s="1"/>
  <c r="D201" i="14"/>
  <c r="I201" i="14"/>
  <c r="J201" i="14"/>
  <c r="L201" i="14"/>
  <c r="P201" i="14"/>
  <c r="C202" i="14"/>
  <c r="A208" i="15" s="1"/>
  <c r="D202" i="14"/>
  <c r="I202" i="14"/>
  <c r="J202" i="14"/>
  <c r="L202" i="14"/>
  <c r="P202" i="14"/>
  <c r="C203" i="14"/>
  <c r="A209" i="15" s="1"/>
  <c r="D203" i="14"/>
  <c r="I203" i="14"/>
  <c r="J203" i="14"/>
  <c r="L203" i="14"/>
  <c r="P203" i="14"/>
  <c r="C204" i="14"/>
  <c r="A210" i="15" s="1"/>
  <c r="D204" i="14"/>
  <c r="I204" i="14"/>
  <c r="J204" i="14"/>
  <c r="L204" i="14"/>
  <c r="P204" i="14"/>
  <c r="C205" i="14"/>
  <c r="A211" i="15" s="1"/>
  <c r="D205" i="14"/>
  <c r="I205" i="14"/>
  <c r="J205" i="14"/>
  <c r="L205" i="14"/>
  <c r="P205" i="14"/>
  <c r="C206" i="14"/>
  <c r="A212" i="15" s="1"/>
  <c r="D206" i="14"/>
  <c r="I206" i="14"/>
  <c r="J206" i="14"/>
  <c r="L206" i="14"/>
  <c r="P206" i="14"/>
  <c r="C207" i="14"/>
  <c r="A213" i="15" s="1"/>
  <c r="D207" i="14"/>
  <c r="I207" i="14"/>
  <c r="J207" i="14"/>
  <c r="L207" i="14"/>
  <c r="P207" i="14"/>
  <c r="C208" i="14"/>
  <c r="A214" i="15" s="1"/>
  <c r="D208" i="14"/>
  <c r="I208" i="14"/>
  <c r="J208" i="14"/>
  <c r="L208" i="14"/>
  <c r="P208" i="14"/>
  <c r="C209" i="14"/>
  <c r="A215" i="15" s="1"/>
  <c r="D209" i="14"/>
  <c r="I209" i="14"/>
  <c r="J209" i="14"/>
  <c r="L209" i="14"/>
  <c r="P209" i="14"/>
  <c r="C210" i="14"/>
  <c r="A216" i="15" s="1"/>
  <c r="D210" i="14"/>
  <c r="I210" i="14"/>
  <c r="J210" i="14"/>
  <c r="L210" i="14"/>
  <c r="P210" i="14"/>
  <c r="C211" i="14"/>
  <c r="A217" i="15" s="1"/>
  <c r="D211" i="14"/>
  <c r="I211" i="14"/>
  <c r="J211" i="14"/>
  <c r="L211" i="14"/>
  <c r="P211" i="14"/>
  <c r="C212" i="14"/>
  <c r="A218" i="15" s="1"/>
  <c r="D212" i="14"/>
  <c r="I212" i="14"/>
  <c r="J212" i="14"/>
  <c r="L212" i="14"/>
  <c r="P212" i="14"/>
  <c r="C213" i="14"/>
  <c r="A219" i="15" s="1"/>
  <c r="D213" i="14"/>
  <c r="I213" i="14"/>
  <c r="J213" i="14"/>
  <c r="L213" i="14"/>
  <c r="P213" i="14"/>
  <c r="C214" i="14"/>
  <c r="A220" i="15" s="1"/>
  <c r="D214" i="14"/>
  <c r="I214" i="14"/>
  <c r="J214" i="14"/>
  <c r="L214" i="14"/>
  <c r="P214" i="14"/>
  <c r="C50" i="16"/>
  <c r="D50" i="16" s="1"/>
  <c r="E50" i="16" s="1"/>
  <c r="F50" i="16" s="1"/>
  <c r="G50" i="16" s="1"/>
  <c r="H50" i="16" s="1"/>
  <c r="I50" i="16" s="1"/>
  <c r="J50" i="16" s="1"/>
  <c r="K50" i="16" s="1"/>
  <c r="L50" i="16" s="1"/>
  <c r="M50" i="16" s="1"/>
  <c r="N50" i="16" s="1"/>
  <c r="O50" i="16" s="1"/>
  <c r="P50" i="16" s="1"/>
  <c r="Q50" i="16" s="1"/>
  <c r="R50" i="16" s="1"/>
  <c r="S50" i="16" s="1"/>
  <c r="T50" i="16" s="1"/>
  <c r="U50" i="16" s="1"/>
  <c r="V50" i="16" s="1"/>
  <c r="W50" i="16" s="1"/>
  <c r="X50" i="16" s="1"/>
  <c r="Y50" i="16" s="1"/>
  <c r="Z50" i="16" s="1"/>
  <c r="AA50" i="16" s="1"/>
  <c r="AB50" i="16" s="1"/>
  <c r="AC50" i="16" s="1"/>
  <c r="AD50" i="16" s="1"/>
  <c r="AE50" i="16" s="1"/>
  <c r="AF50" i="16" s="1"/>
  <c r="AG50" i="16" s="1"/>
  <c r="AH50" i="16" s="1"/>
  <c r="AI50" i="16" s="1"/>
  <c r="AJ50" i="16" s="1"/>
  <c r="AK50" i="16" s="1"/>
  <c r="AL50" i="16" s="1"/>
  <c r="AM50" i="16" s="1"/>
  <c r="AN50" i="16" s="1"/>
  <c r="AO50" i="16" s="1"/>
  <c r="AP50" i="16" s="1"/>
  <c r="AA54" i="16"/>
  <c r="AB54" i="16"/>
  <c r="AG54" i="16"/>
  <c r="AH54" i="16"/>
  <c r="AI54" i="16"/>
  <c r="AJ54" i="16"/>
  <c r="AK54" i="16"/>
  <c r="AL54" i="16"/>
  <c r="AM54" i="16"/>
  <c r="AN54" i="16" s="1"/>
  <c r="AR54" i="16"/>
  <c r="AA55" i="16"/>
  <c r="AB55" i="16"/>
  <c r="AG55" i="16"/>
  <c r="AH55" i="16"/>
  <c r="AI55" i="16"/>
  <c r="AJ55" i="16"/>
  <c r="AJ115" i="16" s="1"/>
  <c r="AK55" i="16"/>
  <c r="AL55" i="16"/>
  <c r="AM55" i="16"/>
  <c r="AO55" i="16" s="1"/>
  <c r="AN55" i="16"/>
  <c r="AP55" i="16" s="1"/>
  <c r="AR55" i="16"/>
  <c r="AA56" i="16"/>
  <c r="AB56" i="16"/>
  <c r="AG56" i="16"/>
  <c r="AH56" i="16"/>
  <c r="AI56" i="16"/>
  <c r="AJ56" i="16"/>
  <c r="AK56" i="16"/>
  <c r="AL56" i="16"/>
  <c r="AM56" i="16"/>
  <c r="AN56" i="16" s="1"/>
  <c r="AR56" i="16"/>
  <c r="AA57" i="16"/>
  <c r="AB57" i="16"/>
  <c r="AG57" i="16"/>
  <c r="AH57" i="16"/>
  <c r="AI57" i="16"/>
  <c r="AJ57" i="16"/>
  <c r="AK57" i="16"/>
  <c r="AL57" i="16"/>
  <c r="AM57" i="16"/>
  <c r="AN57" i="16"/>
  <c r="AO57" i="16"/>
  <c r="AP57" i="16" s="1"/>
  <c r="AR57" i="16"/>
  <c r="AA58" i="16"/>
  <c r="AB58" i="16"/>
  <c r="AG58" i="16"/>
  <c r="AH58" i="16"/>
  <c r="AI58" i="16"/>
  <c r="AJ58" i="16"/>
  <c r="AK58" i="16"/>
  <c r="AL58" i="16"/>
  <c r="AM58" i="16"/>
  <c r="AN58" i="16"/>
  <c r="AO58" i="16" s="1"/>
  <c r="AR58" i="16"/>
  <c r="AB59" i="16"/>
  <c r="AG59" i="16"/>
  <c r="AH59" i="16"/>
  <c r="AI59" i="16"/>
  <c r="AJ59" i="16"/>
  <c r="AK59" i="16"/>
  <c r="AL59" i="16"/>
  <c r="AM59" i="16"/>
  <c r="AN59" i="16"/>
  <c r="AO59" i="16" s="1"/>
  <c r="AR59" i="16"/>
  <c r="AA60" i="16"/>
  <c r="AB60" i="16"/>
  <c r="AG60" i="16"/>
  <c r="AH60" i="16"/>
  <c r="AI60" i="16"/>
  <c r="AJ60" i="16"/>
  <c r="AK60" i="16"/>
  <c r="AL60" i="16"/>
  <c r="AM60" i="16"/>
  <c r="AN60" i="16" s="1"/>
  <c r="AR60" i="16"/>
  <c r="AA61" i="16"/>
  <c r="AB61" i="16"/>
  <c r="AG61" i="16"/>
  <c r="AH61" i="16"/>
  <c r="AI61" i="16"/>
  <c r="AJ61" i="16"/>
  <c r="AK61" i="16"/>
  <c r="AL61" i="16"/>
  <c r="AM61" i="16"/>
  <c r="AN61" i="16" s="1"/>
  <c r="AO61" i="16" s="1"/>
  <c r="AR61" i="16"/>
  <c r="AA62" i="16"/>
  <c r="AB62" i="16"/>
  <c r="AG62" i="16"/>
  <c r="AH62" i="16"/>
  <c r="AI62" i="16"/>
  <c r="AJ62" i="16"/>
  <c r="AK62" i="16"/>
  <c r="AL62" i="16"/>
  <c r="AM62" i="16"/>
  <c r="AO62" i="16" s="1"/>
  <c r="AN62" i="16"/>
  <c r="AP62" i="16"/>
  <c r="AR62" i="16"/>
  <c r="AA63" i="16"/>
  <c r="AB63" i="16"/>
  <c r="AG63" i="16"/>
  <c r="AH63" i="16"/>
  <c r="AI63" i="16"/>
  <c r="AJ63" i="16"/>
  <c r="AK63" i="16"/>
  <c r="AL63" i="16"/>
  <c r="AM63" i="16"/>
  <c r="AN63" i="16" s="1"/>
  <c r="AO63" i="16"/>
  <c r="AP63" i="16"/>
  <c r="AR63" i="16"/>
  <c r="AA64" i="16"/>
  <c r="AB64" i="16"/>
  <c r="AG64" i="16"/>
  <c r="AH64" i="16"/>
  <c r="AI64" i="16"/>
  <c r="AJ64" i="16"/>
  <c r="AK64" i="16"/>
  <c r="AL64" i="16"/>
  <c r="AM64" i="16"/>
  <c r="AN64" i="16"/>
  <c r="AO64" i="16"/>
  <c r="AR64" i="16"/>
  <c r="AA65" i="16"/>
  <c r="AB65" i="16"/>
  <c r="AG65" i="16"/>
  <c r="AH65" i="16"/>
  <c r="AI65" i="16"/>
  <c r="AJ65" i="16"/>
  <c r="AK65" i="16"/>
  <c r="AL65" i="16"/>
  <c r="AM65" i="16"/>
  <c r="AN65" i="16"/>
  <c r="AR65" i="16"/>
  <c r="AA66" i="16"/>
  <c r="AB66" i="16"/>
  <c r="AG66" i="16"/>
  <c r="AH66" i="16"/>
  <c r="AI66" i="16"/>
  <c r="AJ66" i="16"/>
  <c r="AK66" i="16"/>
  <c r="AL66" i="16"/>
  <c r="AM66" i="16"/>
  <c r="AR66" i="16"/>
  <c r="AA67" i="16"/>
  <c r="AB67" i="16"/>
  <c r="AG67" i="16"/>
  <c r="AH67" i="16"/>
  <c r="AI67" i="16"/>
  <c r="AJ67" i="16"/>
  <c r="AK67" i="16"/>
  <c r="AL67" i="16"/>
  <c r="AM67" i="16"/>
  <c r="AN67" i="16" s="1"/>
  <c r="AO67" i="16" s="1"/>
  <c r="AR67" i="16"/>
  <c r="AA68" i="16"/>
  <c r="AB68" i="16"/>
  <c r="AG68" i="16"/>
  <c r="AH68" i="16"/>
  <c r="AI68" i="16"/>
  <c r="AJ68" i="16"/>
  <c r="AK68" i="16"/>
  <c r="AL68" i="16"/>
  <c r="AM68" i="16"/>
  <c r="AO68" i="16" s="1"/>
  <c r="AN68" i="16"/>
  <c r="AP68" i="16" s="1"/>
  <c r="AR68" i="16"/>
  <c r="AA69" i="16"/>
  <c r="AB69" i="16"/>
  <c r="AG69" i="16"/>
  <c r="AH69" i="16"/>
  <c r="AI69" i="16"/>
  <c r="AJ69" i="16"/>
  <c r="AK69" i="16"/>
  <c r="AL69" i="16"/>
  <c r="AM69" i="16"/>
  <c r="AN69" i="16" s="1"/>
  <c r="AR69" i="16"/>
  <c r="AA70" i="16"/>
  <c r="AB70" i="16"/>
  <c r="AG70" i="16"/>
  <c r="AH70" i="16"/>
  <c r="AI70" i="16"/>
  <c r="AJ70" i="16"/>
  <c r="AK70" i="16"/>
  <c r="AL70" i="16"/>
  <c r="AM70" i="16"/>
  <c r="AN70" i="16"/>
  <c r="AO70" i="16"/>
  <c r="AP70" i="16" s="1"/>
  <c r="AR70" i="16"/>
  <c r="AA71" i="16"/>
  <c r="AB71" i="16"/>
  <c r="AG71" i="16"/>
  <c r="AH71" i="16"/>
  <c r="AI71" i="16"/>
  <c r="AJ71" i="16"/>
  <c r="AK71" i="16"/>
  <c r="AL71" i="16"/>
  <c r="AM71" i="16"/>
  <c r="AN71" i="16"/>
  <c r="AO71" i="16" s="1"/>
  <c r="AR71" i="16"/>
  <c r="AA72" i="16"/>
  <c r="AB72" i="16"/>
  <c r="AG72" i="16"/>
  <c r="AH72" i="16"/>
  <c r="AI72" i="16"/>
  <c r="AJ72" i="16"/>
  <c r="AK72" i="16"/>
  <c r="AL72" i="16"/>
  <c r="AM72" i="16"/>
  <c r="AN72" i="16" s="1"/>
  <c r="AR72" i="16"/>
  <c r="AA73" i="16"/>
  <c r="AB73" i="16"/>
  <c r="AG73" i="16"/>
  <c r="AH73" i="16"/>
  <c r="AI73" i="16"/>
  <c r="AJ73" i="16"/>
  <c r="AK73" i="16"/>
  <c r="AL73" i="16"/>
  <c r="AM73" i="16"/>
  <c r="AN73" i="16" s="1"/>
  <c r="AO73" i="16" s="1"/>
  <c r="AR73" i="16"/>
  <c r="AA74" i="16"/>
  <c r="AB74" i="16"/>
  <c r="AG74" i="16"/>
  <c r="AH74" i="16"/>
  <c r="AI74" i="16"/>
  <c r="AJ74" i="16"/>
  <c r="AK74" i="16"/>
  <c r="AL74" i="16"/>
  <c r="AM74" i="16"/>
  <c r="AN74" i="16"/>
  <c r="AO74" i="16" s="1"/>
  <c r="AP74" i="16"/>
  <c r="AR74" i="16"/>
  <c r="AA75" i="16"/>
  <c r="AB75" i="16"/>
  <c r="AG75" i="16"/>
  <c r="AH75" i="16"/>
  <c r="AI75" i="16"/>
  <c r="AJ75" i="16"/>
  <c r="AK75" i="16"/>
  <c r="AL75" i="16"/>
  <c r="AM75" i="16"/>
  <c r="AN75" i="16" s="1"/>
  <c r="AO75" i="16" s="1"/>
  <c r="AR75" i="16"/>
  <c r="AA76" i="16"/>
  <c r="AB76" i="16"/>
  <c r="AG76" i="16"/>
  <c r="AH76" i="16"/>
  <c r="AI76" i="16"/>
  <c r="AJ76" i="16"/>
  <c r="AK76" i="16"/>
  <c r="AL76" i="16"/>
  <c r="AM76" i="16"/>
  <c r="AN76" i="16"/>
  <c r="AO76" i="16"/>
  <c r="AR76" i="16"/>
  <c r="AR77" i="16"/>
  <c r="AA78" i="16"/>
  <c r="AB78" i="16"/>
  <c r="AG78" i="16"/>
  <c r="AH78" i="16"/>
  <c r="AI78" i="16"/>
  <c r="AJ78" i="16"/>
  <c r="AK78" i="16"/>
  <c r="AL78" i="16"/>
  <c r="AM78" i="16"/>
  <c r="AR78" i="16"/>
  <c r="AA79" i="16"/>
  <c r="AB79" i="16"/>
  <c r="AG79" i="16"/>
  <c r="AH79" i="16"/>
  <c r="AI79" i="16"/>
  <c r="AJ79" i="16"/>
  <c r="AK79" i="16"/>
  <c r="AL79" i="16"/>
  <c r="AM79" i="16"/>
  <c r="AN79" i="16" s="1"/>
  <c r="AO79" i="16" s="1"/>
  <c r="AR79" i="16"/>
  <c r="AA80" i="16"/>
  <c r="AB80" i="16"/>
  <c r="AG80" i="16"/>
  <c r="AH80" i="16"/>
  <c r="AI80" i="16"/>
  <c r="AJ80" i="16"/>
  <c r="AK80" i="16"/>
  <c r="AL80" i="16"/>
  <c r="AM80" i="16"/>
  <c r="AO80" i="16" s="1"/>
  <c r="AN80" i="16"/>
  <c r="AR80" i="16"/>
  <c r="AA81" i="16"/>
  <c r="AB81" i="16"/>
  <c r="AG81" i="16"/>
  <c r="AH81" i="16"/>
  <c r="AI81" i="16"/>
  <c r="AJ81" i="16"/>
  <c r="AK81" i="16"/>
  <c r="AL81" i="16"/>
  <c r="AM81" i="16"/>
  <c r="AN81" i="16" s="1"/>
  <c r="AR81" i="16"/>
  <c r="AA82" i="16"/>
  <c r="AB82" i="16"/>
  <c r="AG82" i="16"/>
  <c r="AH82" i="16"/>
  <c r="AI82" i="16"/>
  <c r="AJ82" i="16"/>
  <c r="AK82" i="16"/>
  <c r="AL82" i="16"/>
  <c r="AM82" i="16"/>
  <c r="AN82" i="16" s="1"/>
  <c r="AR82" i="16"/>
  <c r="AA83" i="16"/>
  <c r="AB83" i="16"/>
  <c r="AG83" i="16"/>
  <c r="AH83" i="16"/>
  <c r="AI83" i="16"/>
  <c r="AJ83" i="16"/>
  <c r="AK83" i="16"/>
  <c r="AL83" i="16"/>
  <c r="AM83" i="16"/>
  <c r="AN83" i="16"/>
  <c r="AO83" i="16" s="1"/>
  <c r="AR83" i="16"/>
  <c r="AA84" i="16"/>
  <c r="AB84" i="16"/>
  <c r="AG84" i="16"/>
  <c r="AH84" i="16"/>
  <c r="AI84" i="16"/>
  <c r="AJ84" i="16"/>
  <c r="AK84" i="16"/>
  <c r="AL84" i="16"/>
  <c r="AM84" i="16"/>
  <c r="AN84" i="16" s="1"/>
  <c r="AR84" i="16"/>
  <c r="AA85" i="16"/>
  <c r="AB85" i="16"/>
  <c r="AG85" i="16"/>
  <c r="AH85" i="16"/>
  <c r="AI85" i="16"/>
  <c r="AJ85" i="16"/>
  <c r="AK85" i="16"/>
  <c r="AL85" i="16"/>
  <c r="AM85" i="16"/>
  <c r="AN85" i="16" s="1"/>
  <c r="AO85" i="16" s="1"/>
  <c r="AR85" i="16"/>
  <c r="AA86" i="16"/>
  <c r="AA115" i="16" s="1"/>
  <c r="O1891" i="12" s="1"/>
  <c r="AB86" i="16"/>
  <c r="AG86" i="16"/>
  <c r="AH86" i="16"/>
  <c r="AI86" i="16"/>
  <c r="AJ86" i="16"/>
  <c r="AK86" i="16"/>
  <c r="AL86" i="16"/>
  <c r="AM86" i="16"/>
  <c r="AN86" i="16"/>
  <c r="AO86" i="16" s="1"/>
  <c r="AP86" i="16" s="1"/>
  <c r="AR86" i="16"/>
  <c r="AA87" i="16"/>
  <c r="AB87" i="16"/>
  <c r="AG87" i="16"/>
  <c r="AH87" i="16"/>
  <c r="AI87" i="16"/>
  <c r="AJ87" i="16"/>
  <c r="AK87" i="16"/>
  <c r="AL87" i="16"/>
  <c r="AM87" i="16"/>
  <c r="AN87" i="16" s="1"/>
  <c r="AP87" i="16" s="1"/>
  <c r="AO87" i="16"/>
  <c r="AR87" i="16"/>
  <c r="AA88" i="16"/>
  <c r="AB88" i="16"/>
  <c r="AG88" i="16"/>
  <c r="AH88" i="16"/>
  <c r="AI88" i="16"/>
  <c r="AJ88" i="16"/>
  <c r="AK88" i="16"/>
  <c r="AL88" i="16"/>
  <c r="AM88" i="16"/>
  <c r="AN88" i="16"/>
  <c r="AO88" i="16" s="1"/>
  <c r="AR88" i="16"/>
  <c r="AA89" i="16"/>
  <c r="AB89" i="16"/>
  <c r="AG89" i="16"/>
  <c r="AH89" i="16"/>
  <c r="AI89" i="16"/>
  <c r="AJ89" i="16"/>
  <c r="AK89" i="16"/>
  <c r="AL89" i="16"/>
  <c r="AM89" i="16"/>
  <c r="AN89" i="16"/>
  <c r="AR89" i="16"/>
  <c r="AA90" i="16"/>
  <c r="AB90" i="16"/>
  <c r="AG90" i="16"/>
  <c r="AH90" i="16"/>
  <c r="AI90" i="16"/>
  <c r="AJ90" i="16"/>
  <c r="AK90" i="16"/>
  <c r="AL90" i="16"/>
  <c r="AM90" i="16"/>
  <c r="AR90" i="16"/>
  <c r="AA91" i="16"/>
  <c r="AB91" i="16"/>
  <c r="AG91" i="16"/>
  <c r="AH91" i="16"/>
  <c r="AI91" i="16"/>
  <c r="AJ91" i="16"/>
  <c r="AK91" i="16"/>
  <c r="AL91" i="16"/>
  <c r="AM91" i="16"/>
  <c r="AN91" i="16" s="1"/>
  <c r="AO91" i="16" s="1"/>
  <c r="AR91" i="16"/>
  <c r="AA92" i="16"/>
  <c r="AB92" i="16"/>
  <c r="AG92" i="16"/>
  <c r="AH92" i="16"/>
  <c r="AI92" i="16"/>
  <c r="AJ92" i="16"/>
  <c r="AK92" i="16"/>
  <c r="AL92" i="16"/>
  <c r="AM92" i="16"/>
  <c r="AO92" i="16" s="1"/>
  <c r="AN92" i="16"/>
  <c r="AP92" i="16" s="1"/>
  <c r="AR92" i="16"/>
  <c r="AA93" i="16"/>
  <c r="AB93" i="16"/>
  <c r="AG93" i="16"/>
  <c r="AH93" i="16"/>
  <c r="AI93" i="16"/>
  <c r="AJ93" i="16"/>
  <c r="AK93" i="16"/>
  <c r="AL93" i="16"/>
  <c r="AM93" i="16"/>
  <c r="AN93" i="16" s="1"/>
  <c r="AR93" i="16"/>
  <c r="AA94" i="16"/>
  <c r="AB94" i="16"/>
  <c r="AG94" i="16"/>
  <c r="AH94" i="16"/>
  <c r="AI94" i="16"/>
  <c r="AJ94" i="16"/>
  <c r="AK94" i="16"/>
  <c r="AL94" i="16"/>
  <c r="AM94" i="16"/>
  <c r="AN94" i="16" s="1"/>
  <c r="AR94" i="16"/>
  <c r="AA95" i="16"/>
  <c r="AB95" i="16"/>
  <c r="AG95" i="16"/>
  <c r="AH95" i="16"/>
  <c r="AI95" i="16"/>
  <c r="AJ95" i="16"/>
  <c r="AK95" i="16"/>
  <c r="AL95" i="16"/>
  <c r="AM95" i="16"/>
  <c r="AN95" i="16"/>
  <c r="AO95" i="16" s="1"/>
  <c r="AR95" i="16"/>
  <c r="AA96" i="16"/>
  <c r="AB96" i="16"/>
  <c r="AG96" i="16"/>
  <c r="AH96" i="16"/>
  <c r="AI96" i="16"/>
  <c r="AJ96" i="16"/>
  <c r="AK96" i="16"/>
  <c r="AL96" i="16"/>
  <c r="AM96" i="16"/>
  <c r="AN96" i="16" s="1"/>
  <c r="AR96" i="16"/>
  <c r="AA97" i="16"/>
  <c r="AB97" i="16"/>
  <c r="AG97" i="16"/>
  <c r="AH97" i="16"/>
  <c r="AI97" i="16"/>
  <c r="AJ97" i="16"/>
  <c r="AK97" i="16"/>
  <c r="AL97" i="16"/>
  <c r="AM97" i="16"/>
  <c r="AN97" i="16" s="1"/>
  <c r="AO97" i="16" s="1"/>
  <c r="AR97" i="16"/>
  <c r="AA98" i="16"/>
  <c r="AB98" i="16"/>
  <c r="AG98" i="16"/>
  <c r="AH98" i="16"/>
  <c r="AI98" i="16"/>
  <c r="AJ98" i="16"/>
  <c r="AK98" i="16"/>
  <c r="AL98" i="16"/>
  <c r="AM98" i="16"/>
  <c r="AN98" i="16"/>
  <c r="AO98" i="16" s="1"/>
  <c r="AP98" i="16" s="1"/>
  <c r="AR98" i="16"/>
  <c r="AA99" i="16"/>
  <c r="AB99" i="16"/>
  <c r="AG99" i="16"/>
  <c r="AH99" i="16"/>
  <c r="AI99" i="16"/>
  <c r="AJ99" i="16"/>
  <c r="AK99" i="16"/>
  <c r="AL99" i="16"/>
  <c r="AM99" i="16"/>
  <c r="AN99" i="16" s="1"/>
  <c r="AP99" i="16" s="1"/>
  <c r="AO99" i="16"/>
  <c r="AR99" i="16"/>
  <c r="AA100" i="16"/>
  <c r="AB100" i="16"/>
  <c r="AG100" i="16"/>
  <c r="AH100" i="16"/>
  <c r="AI100" i="16"/>
  <c r="AJ100" i="16"/>
  <c r="AK100" i="16"/>
  <c r="AL100" i="16"/>
  <c r="AM100" i="16"/>
  <c r="AN100" i="16"/>
  <c r="AR100" i="16"/>
  <c r="AR101" i="16"/>
  <c r="AA102" i="16"/>
  <c r="AB102" i="16"/>
  <c r="AG102" i="16"/>
  <c r="AH102" i="16"/>
  <c r="AI102" i="16"/>
  <c r="AJ102" i="16"/>
  <c r="AK102" i="16"/>
  <c r="AL102" i="16"/>
  <c r="AM102" i="16"/>
  <c r="AR102" i="16"/>
  <c r="AB103" i="16"/>
  <c r="AG103" i="16"/>
  <c r="AH103" i="16"/>
  <c r="AI103" i="16"/>
  <c r="AJ103" i="16"/>
  <c r="AK103" i="16"/>
  <c r="AL103" i="16"/>
  <c r="AM103" i="16"/>
  <c r="AR103" i="16"/>
  <c r="AA104" i="16"/>
  <c r="AB104" i="16"/>
  <c r="AG104" i="16"/>
  <c r="AH104" i="16"/>
  <c r="AI104" i="16"/>
  <c r="AJ104" i="16"/>
  <c r="AK104" i="16"/>
  <c r="AL104" i="16"/>
  <c r="AM104" i="16"/>
  <c r="AN104" i="16" s="1"/>
  <c r="AO104" i="16" s="1"/>
  <c r="AR104" i="16"/>
  <c r="AA105" i="16"/>
  <c r="AB105" i="16"/>
  <c r="AG105" i="16"/>
  <c r="AH105" i="16"/>
  <c r="AI105" i="16"/>
  <c r="AJ105" i="16"/>
  <c r="AK105" i="16"/>
  <c r="AL105" i="16"/>
  <c r="AM105" i="16"/>
  <c r="AO105" i="16" s="1"/>
  <c r="AN105" i="16"/>
  <c r="AR105" i="16"/>
  <c r="AA106" i="16"/>
  <c r="AB106" i="16"/>
  <c r="AG106" i="16"/>
  <c r="AH106" i="16"/>
  <c r="AI106" i="16"/>
  <c r="AJ106" i="16"/>
  <c r="AK106" i="16"/>
  <c r="AL106" i="16"/>
  <c r="AM106" i="16"/>
  <c r="AN106" i="16" s="1"/>
  <c r="AR106" i="16"/>
  <c r="AA107" i="16"/>
  <c r="AB107" i="16"/>
  <c r="AG107" i="16"/>
  <c r="AH107" i="16"/>
  <c r="AI107" i="16"/>
  <c r="AJ107" i="16"/>
  <c r="AK107" i="16"/>
  <c r="AL107" i="16"/>
  <c r="AM107" i="16"/>
  <c r="AN107" i="16" s="1"/>
  <c r="AR107" i="16"/>
  <c r="AA108" i="16"/>
  <c r="AB108" i="16"/>
  <c r="AG108" i="16"/>
  <c r="AH108" i="16"/>
  <c r="AI108" i="16"/>
  <c r="AJ108" i="16"/>
  <c r="AK108" i="16"/>
  <c r="AL108" i="16"/>
  <c r="AM108" i="16"/>
  <c r="AN108" i="16"/>
  <c r="AO108" i="16" s="1"/>
  <c r="AR108" i="16"/>
  <c r="AA109" i="16"/>
  <c r="AB109" i="16"/>
  <c r="AG109" i="16"/>
  <c r="AH109" i="16"/>
  <c r="AI109" i="16"/>
  <c r="AJ109" i="16"/>
  <c r="AK109" i="16"/>
  <c r="AL109" i="16"/>
  <c r="AM109" i="16"/>
  <c r="AN109" i="16" s="1"/>
  <c r="AR109" i="16"/>
  <c r="AA110" i="16"/>
  <c r="AB110" i="16"/>
  <c r="AG110" i="16"/>
  <c r="AH110" i="16"/>
  <c r="AI110" i="16"/>
  <c r="AJ110" i="16"/>
  <c r="AK110" i="16"/>
  <c r="AL110" i="16"/>
  <c r="AM110" i="16"/>
  <c r="AN110" i="16" s="1"/>
  <c r="AO110" i="16" s="1"/>
  <c r="AR110" i="16"/>
  <c r="AA111" i="16"/>
  <c r="AB111" i="16"/>
  <c r="AG111" i="16"/>
  <c r="AH111" i="16"/>
  <c r="AI111" i="16"/>
  <c r="AJ111" i="16"/>
  <c r="AK111" i="16"/>
  <c r="AL111" i="16"/>
  <c r="AM111" i="16"/>
  <c r="AN111" i="16"/>
  <c r="AO111" i="16" s="1"/>
  <c r="AP111" i="16"/>
  <c r="AR111" i="16"/>
  <c r="AA112" i="16"/>
  <c r="AB112" i="16"/>
  <c r="AG112" i="16"/>
  <c r="AH112" i="16"/>
  <c r="AI112" i="16"/>
  <c r="AJ112" i="16"/>
  <c r="AK112" i="16"/>
  <c r="AL112" i="16"/>
  <c r="AM112" i="16"/>
  <c r="AN112" i="16" s="1"/>
  <c r="AO112" i="16" s="1"/>
  <c r="AP112" i="16" s="1"/>
  <c r="AR112" i="16"/>
  <c r="AG113" i="16"/>
  <c r="AH113" i="16"/>
  <c r="AI113" i="16"/>
  <c r="AJ113" i="16"/>
  <c r="AK113" i="16"/>
  <c r="AL113" i="16"/>
  <c r="AM113" i="16"/>
  <c r="AN113" i="16"/>
  <c r="AO113" i="16" s="1"/>
  <c r="AP113" i="16" s="1"/>
  <c r="AR113" i="16"/>
  <c r="AG114" i="16"/>
  <c r="AH114" i="16"/>
  <c r="AI114" i="16"/>
  <c r="AJ114" i="16"/>
  <c r="AK114" i="16"/>
  <c r="AL114" i="16"/>
  <c r="AM114" i="16"/>
  <c r="AN114" i="16" s="1"/>
  <c r="AO114" i="16" s="1"/>
  <c r="AR114" i="16"/>
  <c r="AE115" i="16"/>
  <c r="AF115" i="16"/>
  <c r="C44" i="13"/>
  <c r="C45" i="13"/>
  <c r="D45" i="13"/>
  <c r="E45" i="13"/>
  <c r="F45" i="13"/>
  <c r="G45" i="13"/>
  <c r="BN45" i="13" s="1"/>
  <c r="M45" i="13"/>
  <c r="U45" i="13" s="1"/>
  <c r="O45" i="13"/>
  <c r="X45" i="13"/>
  <c r="AG45" i="13" s="1"/>
  <c r="AB45" i="13"/>
  <c r="AC45" i="13"/>
  <c r="AD45" i="13"/>
  <c r="AE45" i="13"/>
  <c r="AF45" i="13"/>
  <c r="AW45" i="13"/>
  <c r="AY45" i="13"/>
  <c r="BX45" i="13"/>
  <c r="CP45" i="13"/>
  <c r="CS45" i="13"/>
  <c r="DA45" i="13"/>
  <c r="C46" i="13"/>
  <c r="D46" i="13"/>
  <c r="DA46" i="13" s="1"/>
  <c r="E46" i="13"/>
  <c r="F46" i="13"/>
  <c r="BP46" i="13" s="1"/>
  <c r="G46" i="13"/>
  <c r="T46" i="13" s="1"/>
  <c r="K46" i="13"/>
  <c r="DH46" i="13" s="1"/>
  <c r="M46" i="13"/>
  <c r="O46" i="13"/>
  <c r="X46" i="13"/>
  <c r="AF46" i="13" s="1"/>
  <c r="AC46" i="13"/>
  <c r="AE46" i="13"/>
  <c r="AG46" i="13"/>
  <c r="AI46" i="13"/>
  <c r="AU46" i="13"/>
  <c r="AW46" i="13"/>
  <c r="AY46" i="13"/>
  <c r="BN46" i="13"/>
  <c r="BT46" i="13"/>
  <c r="CB46" i="13"/>
  <c r="CF46" i="13"/>
  <c r="CJ46" i="13"/>
  <c r="CL46" i="13" s="1"/>
  <c r="CN46" i="13"/>
  <c r="CO46" i="13"/>
  <c r="CP46" i="13"/>
  <c r="CR46" i="13"/>
  <c r="CS46" i="13"/>
  <c r="DG46" i="13"/>
  <c r="DI46" i="13"/>
  <c r="DM46" i="13"/>
  <c r="DO46" i="13"/>
  <c r="C47" i="13"/>
  <c r="D47" i="13"/>
  <c r="E47" i="13"/>
  <c r="F47" i="13"/>
  <c r="U47" i="13" s="1"/>
  <c r="G47" i="13"/>
  <c r="M47" i="13"/>
  <c r="O47" i="13"/>
  <c r="AB47" i="13" s="1"/>
  <c r="X47" i="13"/>
  <c r="AD47" i="13"/>
  <c r="AW47" i="13"/>
  <c r="C48" i="13"/>
  <c r="D48" i="13"/>
  <c r="E48" i="13"/>
  <c r="F48" i="13"/>
  <c r="G48" i="13"/>
  <c r="BT48" i="13" s="1"/>
  <c r="BV48" i="13" s="1"/>
  <c r="M48" i="13"/>
  <c r="O48" i="13"/>
  <c r="CQ48" i="13"/>
  <c r="C49" i="13"/>
  <c r="D49" i="13"/>
  <c r="E49" i="13"/>
  <c r="F49" i="13"/>
  <c r="U49" i="13" s="1"/>
  <c r="G49" i="13"/>
  <c r="M49" i="13"/>
  <c r="O49" i="13"/>
  <c r="AB49" i="13" s="1"/>
  <c r="X49" i="13"/>
  <c r="AH49" i="13" s="1"/>
  <c r="AW49" i="13"/>
  <c r="CS49" i="13"/>
  <c r="CU49" i="13"/>
  <c r="CY49" i="13" s="1"/>
  <c r="C50" i="13"/>
  <c r="D50" i="13"/>
  <c r="E50" i="13"/>
  <c r="F50" i="13"/>
  <c r="G50" i="13"/>
  <c r="CU50" i="13" s="1"/>
  <c r="CV50" i="13" s="1"/>
  <c r="M50" i="13"/>
  <c r="U50" i="13" s="1"/>
  <c r="O50" i="13"/>
  <c r="X50" i="13"/>
  <c r="AE50" i="13" s="1"/>
  <c r="AW50" i="13"/>
  <c r="BT50" i="13"/>
  <c r="CN50" i="13"/>
  <c r="CP50" i="13"/>
  <c r="CT50" i="13"/>
  <c r="C51" i="13"/>
  <c r="D51" i="13"/>
  <c r="E51" i="13"/>
  <c r="F51" i="13"/>
  <c r="G51" i="13"/>
  <c r="CS51" i="13" s="1"/>
  <c r="M51" i="13"/>
  <c r="O51" i="13"/>
  <c r="AB51" i="13" s="1"/>
  <c r="X51" i="13"/>
  <c r="AW51" i="13"/>
  <c r="CU51" i="13"/>
  <c r="C52" i="13"/>
  <c r="D52" i="13"/>
  <c r="E52" i="13"/>
  <c r="F52" i="13"/>
  <c r="G52" i="13"/>
  <c r="T52" i="13" s="1"/>
  <c r="M52" i="13"/>
  <c r="O52" i="13"/>
  <c r="AB52" i="13" s="1"/>
  <c r="X52" i="13"/>
  <c r="AC52" i="13"/>
  <c r="AW52" i="13"/>
  <c r="BN52" i="13"/>
  <c r="CN52" i="13"/>
  <c r="CP52" i="13"/>
  <c r="CT52" i="13"/>
  <c r="C53" i="13"/>
  <c r="D53" i="13"/>
  <c r="E53" i="13"/>
  <c r="F53" i="13"/>
  <c r="G53" i="13"/>
  <c r="M53" i="13"/>
  <c r="O53" i="13"/>
  <c r="AB53" i="13"/>
  <c r="C54" i="13"/>
  <c r="D54" i="13"/>
  <c r="E54" i="13"/>
  <c r="F54" i="13"/>
  <c r="G54" i="13"/>
  <c r="CU54" i="13" s="1"/>
  <c r="CW54" i="13" s="1"/>
  <c r="M54" i="13"/>
  <c r="U54" i="13" s="1"/>
  <c r="O54" i="13"/>
  <c r="X54" i="13"/>
  <c r="AD54" i="13" s="1"/>
  <c r="AC54" i="13"/>
  <c r="AE54" i="13"/>
  <c r="AF54" i="13"/>
  <c r="AH54" i="13"/>
  <c r="AI54" i="13"/>
  <c r="AW54" i="13"/>
  <c r="CF54" i="13"/>
  <c r="CT54" i="13"/>
  <c r="C55" i="13"/>
  <c r="D55" i="13"/>
  <c r="E55" i="13"/>
  <c r="F55" i="13"/>
  <c r="AW55" i="13" s="1"/>
  <c r="G55" i="13"/>
  <c r="K55" i="13" s="1"/>
  <c r="AU55" i="13" s="1"/>
  <c r="M55" i="13"/>
  <c r="X55" i="13" s="1"/>
  <c r="O55" i="13"/>
  <c r="T55" i="13"/>
  <c r="U55" i="13"/>
  <c r="AB55" i="13"/>
  <c r="AY55" i="13"/>
  <c r="BN55" i="13"/>
  <c r="BO55" i="13" s="1"/>
  <c r="BQ55" i="13"/>
  <c r="BR55" i="13" s="1"/>
  <c r="BX55" i="13"/>
  <c r="BZ55" i="13"/>
  <c r="CB55" i="13"/>
  <c r="CJ55" i="13"/>
  <c r="CL55" i="13"/>
  <c r="CN55" i="13"/>
  <c r="CP55" i="13"/>
  <c r="CQ55" i="13"/>
  <c r="CR55" i="13"/>
  <c r="CT55" i="13"/>
  <c r="DG55" i="13"/>
  <c r="DO55" i="13"/>
  <c r="C56" i="13"/>
  <c r="D56" i="13"/>
  <c r="E56" i="13"/>
  <c r="F56" i="13"/>
  <c r="G56" i="13"/>
  <c r="M56" i="13"/>
  <c r="O56" i="13"/>
  <c r="AB56" i="13" s="1"/>
  <c r="X56" i="13"/>
  <c r="C57" i="13"/>
  <c r="D57" i="13"/>
  <c r="E57" i="13"/>
  <c r="F57" i="13"/>
  <c r="G57" i="13"/>
  <c r="M57" i="13"/>
  <c r="X57" i="13" s="1"/>
  <c r="O57" i="13"/>
  <c r="AY57" i="13"/>
  <c r="CN57" i="13"/>
  <c r="C58" i="13"/>
  <c r="D58" i="13"/>
  <c r="DA58" i="13" s="1"/>
  <c r="E58" i="13"/>
  <c r="F58" i="13"/>
  <c r="G58" i="13"/>
  <c r="CO58" i="13" s="1"/>
  <c r="M58" i="13"/>
  <c r="O58" i="13"/>
  <c r="T58" i="13"/>
  <c r="U58" i="13"/>
  <c r="X58" i="13"/>
  <c r="AB58" i="13"/>
  <c r="CQ58" i="13"/>
  <c r="CU58" i="13"/>
  <c r="C59" i="13"/>
  <c r="D59" i="13"/>
  <c r="E59" i="13"/>
  <c r="F59" i="13"/>
  <c r="G59" i="13"/>
  <c r="K59" i="13"/>
  <c r="M59" i="13"/>
  <c r="X59" i="13" s="1"/>
  <c r="AH59" i="13" s="1"/>
  <c r="O59" i="13"/>
  <c r="CB59" i="13"/>
  <c r="C60" i="13"/>
  <c r="D60" i="13"/>
  <c r="DA60" i="13" s="1"/>
  <c r="E60" i="13"/>
  <c r="F60" i="13"/>
  <c r="G60" i="13"/>
  <c r="K60" i="13"/>
  <c r="M60" i="13"/>
  <c r="U60" i="13" s="1"/>
  <c r="O60" i="13"/>
  <c r="X60" i="13"/>
  <c r="AE60" i="13" s="1"/>
  <c r="AB60" i="13"/>
  <c r="AH60" i="13"/>
  <c r="AW60" i="13"/>
  <c r="AY60" i="13"/>
  <c r="BN60" i="13"/>
  <c r="BQ60" i="13"/>
  <c r="BR60" i="13" s="1"/>
  <c r="BS60" i="13"/>
  <c r="BX60" i="13"/>
  <c r="CQ60" i="13"/>
  <c r="CS60" i="13"/>
  <c r="C61" i="13"/>
  <c r="D61" i="13"/>
  <c r="E61" i="13"/>
  <c r="F61" i="13"/>
  <c r="G61" i="13"/>
  <c r="K61" i="13"/>
  <c r="M61" i="13"/>
  <c r="O61" i="13"/>
  <c r="CR61" i="13"/>
  <c r="CS61" i="13"/>
  <c r="C62" i="13"/>
  <c r="D62" i="13"/>
  <c r="E62" i="13"/>
  <c r="F62" i="13"/>
  <c r="G62" i="13"/>
  <c r="BQ62" i="13" s="1"/>
  <c r="M62" i="13"/>
  <c r="X62" i="13" s="1"/>
  <c r="O62" i="13"/>
  <c r="AB62" i="13"/>
  <c r="C63" i="13"/>
  <c r="D63" i="13"/>
  <c r="E63" i="13"/>
  <c r="F63" i="13"/>
  <c r="G63" i="13"/>
  <c r="AY63" i="13" s="1"/>
  <c r="M63" i="13"/>
  <c r="X63" i="13" s="1"/>
  <c r="O63" i="13"/>
  <c r="BB63" i="13" s="1"/>
  <c r="BC63" i="13" s="1"/>
  <c r="AB63" i="13"/>
  <c r="BD63" i="13"/>
  <c r="BQ63" i="13"/>
  <c r="BS63" i="13" s="1"/>
  <c r="BX63" i="13"/>
  <c r="CB63" i="13"/>
  <c r="CQ63" i="13"/>
  <c r="CR63" i="13"/>
  <c r="CU63" i="13"/>
  <c r="CV63" i="13" s="1"/>
  <c r="CX63" i="13"/>
  <c r="C64" i="13"/>
  <c r="D64" i="13"/>
  <c r="E64" i="13"/>
  <c r="F64" i="13"/>
  <c r="CN64" i="13" s="1"/>
  <c r="G64" i="13"/>
  <c r="K64" i="13" s="1"/>
  <c r="M64" i="13"/>
  <c r="X64" i="13" s="1"/>
  <c r="O64" i="13"/>
  <c r="BB64" i="13" s="1"/>
  <c r="T64" i="13"/>
  <c r="U64" i="13"/>
  <c r="AA64" i="13"/>
  <c r="BD64" i="13"/>
  <c r="BN64" i="13"/>
  <c r="BP64" i="13" s="1"/>
  <c r="BX64" i="13"/>
  <c r="BZ64" i="13" s="1"/>
  <c r="CF64" i="13"/>
  <c r="CI64" i="13" s="1"/>
  <c r="CJ64" i="13"/>
  <c r="CK64" i="13" s="1"/>
  <c r="CM64" i="13"/>
  <c r="CO64" i="13"/>
  <c r="CP64" i="13"/>
  <c r="CR64" i="13"/>
  <c r="CS64" i="13"/>
  <c r="CT64" i="13"/>
  <c r="DA64" i="13"/>
  <c r="C65" i="13"/>
  <c r="D65" i="13"/>
  <c r="E65" i="13"/>
  <c r="F65" i="13"/>
  <c r="CN65" i="13" s="1"/>
  <c r="G65" i="13"/>
  <c r="K65" i="13"/>
  <c r="AU65" i="13" s="1"/>
  <c r="M65" i="13"/>
  <c r="O65" i="13"/>
  <c r="U65" i="13"/>
  <c r="X65" i="13"/>
  <c r="AY65" i="13"/>
  <c r="BN65" i="13"/>
  <c r="BQ65" i="13"/>
  <c r="BR65" i="13" s="1"/>
  <c r="BT65" i="13"/>
  <c r="CB65" i="13"/>
  <c r="CJ65" i="13"/>
  <c r="CK65" i="13"/>
  <c r="CP65" i="13"/>
  <c r="CS65" i="13"/>
  <c r="C66" i="13"/>
  <c r="D66" i="13"/>
  <c r="E66" i="13"/>
  <c r="F66" i="13"/>
  <c r="G66" i="13"/>
  <c r="CR66" i="13" s="1"/>
  <c r="M66" i="13"/>
  <c r="O66" i="13"/>
  <c r="AA66" i="13" s="1"/>
  <c r="AB66" i="13"/>
  <c r="C67" i="13"/>
  <c r="D67" i="13"/>
  <c r="E67" i="13"/>
  <c r="F67" i="13"/>
  <c r="G67" i="13"/>
  <c r="M67" i="13"/>
  <c r="O67" i="13"/>
  <c r="BN67" i="13"/>
  <c r="CP67" i="13"/>
  <c r="CU67" i="13"/>
  <c r="C68" i="13"/>
  <c r="I68" i="13"/>
  <c r="AW68" i="13"/>
  <c r="AX68" i="13" s="1"/>
  <c r="C69" i="13"/>
  <c r="D69" i="13"/>
  <c r="E69" i="13"/>
  <c r="F69" i="13"/>
  <c r="G69" i="13"/>
  <c r="BX69" i="13" s="1"/>
  <c r="M69" i="13"/>
  <c r="O69" i="13"/>
  <c r="U69" i="13"/>
  <c r="X69" i="13"/>
  <c r="AE69" i="13" s="1"/>
  <c r="AC69" i="13"/>
  <c r="AD69" i="13"/>
  <c r="AG69" i="13"/>
  <c r="AW69" i="13"/>
  <c r="BM69" i="13"/>
  <c r="CP69" i="13"/>
  <c r="C70" i="13"/>
  <c r="D70" i="13"/>
  <c r="E70" i="13"/>
  <c r="F70" i="13"/>
  <c r="G70" i="13"/>
  <c r="M70" i="13"/>
  <c r="O70" i="13"/>
  <c r="BD70" i="13" s="1"/>
  <c r="CJ70" i="13"/>
  <c r="C71" i="13"/>
  <c r="D71" i="13"/>
  <c r="E71" i="13"/>
  <c r="F71" i="13"/>
  <c r="G71" i="13"/>
  <c r="CP71" i="13" s="1"/>
  <c r="M71" i="13"/>
  <c r="O71" i="13"/>
  <c r="T71" i="13"/>
  <c r="BB71" i="13"/>
  <c r="BC71" i="13" s="1"/>
  <c r="BQ71" i="13"/>
  <c r="CO71" i="13"/>
  <c r="CR71" i="13"/>
  <c r="CS71" i="13"/>
  <c r="CT71" i="13"/>
  <c r="DA71" i="13"/>
  <c r="C72" i="13"/>
  <c r="D72" i="13"/>
  <c r="E72" i="13"/>
  <c r="F72" i="13"/>
  <c r="G72" i="13"/>
  <c r="M72" i="13"/>
  <c r="U72" i="13" s="1"/>
  <c r="O72" i="13"/>
  <c r="AB72" i="13" s="1"/>
  <c r="T72" i="13"/>
  <c r="BB72" i="13"/>
  <c r="BC72" i="13" s="1"/>
  <c r="BD72" i="13"/>
  <c r="CB72" i="13"/>
  <c r="CE72" i="13" s="1"/>
  <c r="CC72" i="13"/>
  <c r="CU72" i="13"/>
  <c r="C73" i="13"/>
  <c r="D73" i="13"/>
  <c r="E73" i="13"/>
  <c r="F73" i="13"/>
  <c r="G73" i="13"/>
  <c r="BN73" i="13" s="1"/>
  <c r="K73" i="13"/>
  <c r="M73" i="13"/>
  <c r="O73" i="13"/>
  <c r="T73" i="13"/>
  <c r="H73" i="13" s="1"/>
  <c r="U73" i="13"/>
  <c r="X73" i="13"/>
  <c r="BP73" i="13"/>
  <c r="BQ73" i="13"/>
  <c r="BR73" i="13" s="1"/>
  <c r="BS73" i="13"/>
  <c r="BX73" i="13"/>
  <c r="BY73" i="13"/>
  <c r="CJ73" i="13"/>
  <c r="CM73" i="13" s="1"/>
  <c r="CL73" i="13"/>
  <c r="CO73" i="13"/>
  <c r="CP73" i="13"/>
  <c r="CQ73" i="13"/>
  <c r="CR73" i="13"/>
  <c r="CU73" i="13"/>
  <c r="CW73" i="13" s="1"/>
  <c r="C74" i="13"/>
  <c r="D74" i="13"/>
  <c r="E74" i="13"/>
  <c r="F74" i="13"/>
  <c r="G74" i="13"/>
  <c r="CS74" i="13" s="1"/>
  <c r="K74" i="13"/>
  <c r="DJ74" i="13" s="1"/>
  <c r="M74" i="13"/>
  <c r="O74" i="13"/>
  <c r="AA74" i="13"/>
  <c r="AY74" i="13"/>
  <c r="BN74" i="13"/>
  <c r="BX74" i="13"/>
  <c r="BZ74" i="13" s="1"/>
  <c r="CJ74" i="13"/>
  <c r="DM74" i="13"/>
  <c r="DO74" i="13"/>
  <c r="C75" i="13"/>
  <c r="D75" i="13"/>
  <c r="E75" i="13"/>
  <c r="F75" i="13"/>
  <c r="G75" i="13"/>
  <c r="CU75" i="13" s="1"/>
  <c r="M75" i="13"/>
  <c r="X75" i="13" s="1"/>
  <c r="O75" i="13"/>
  <c r="AA75" i="13" s="1"/>
  <c r="AB75" i="13"/>
  <c r="CS75" i="13"/>
  <c r="CT75" i="13"/>
  <c r="C76" i="13"/>
  <c r="D76" i="13"/>
  <c r="E76" i="13"/>
  <c r="F76" i="13"/>
  <c r="G76" i="13"/>
  <c r="K76" i="13" s="1"/>
  <c r="DJ76" i="13" s="1"/>
  <c r="H76" i="13"/>
  <c r="M76" i="13"/>
  <c r="U76" i="13" s="1"/>
  <c r="O76" i="13"/>
  <c r="T76" i="13"/>
  <c r="X76" i="13"/>
  <c r="AD76" i="13" s="1"/>
  <c r="AC76" i="13"/>
  <c r="AE76" i="13"/>
  <c r="AF76" i="13"/>
  <c r="AW76" i="13"/>
  <c r="BN76" i="13"/>
  <c r="BO76" i="13" s="1"/>
  <c r="BQ76" i="13"/>
  <c r="CB76" i="13"/>
  <c r="CC76" i="13"/>
  <c r="CN76" i="13"/>
  <c r="CO76" i="13"/>
  <c r="CS76" i="13"/>
  <c r="CT76" i="13"/>
  <c r="CU76" i="13"/>
  <c r="CX76" i="13" s="1"/>
  <c r="DA76" i="13"/>
  <c r="DO76" i="13"/>
  <c r="C77" i="13"/>
  <c r="D77" i="13"/>
  <c r="E77" i="13"/>
  <c r="H77" i="13" s="1"/>
  <c r="AS77" i="13" s="1"/>
  <c r="F77" i="13"/>
  <c r="G77" i="13"/>
  <c r="BN77" i="13" s="1"/>
  <c r="M77" i="13"/>
  <c r="U77" i="13" s="1"/>
  <c r="O77" i="13"/>
  <c r="BB77" i="13" s="1"/>
  <c r="BC77" i="13" s="1"/>
  <c r="T77" i="13"/>
  <c r="X77" i="13"/>
  <c r="AE77" i="13" s="1"/>
  <c r="AW77" i="13"/>
  <c r="AY77" i="13"/>
  <c r="BQ77" i="13"/>
  <c r="BX77" i="13"/>
  <c r="CA77" i="13"/>
  <c r="CB77" i="13"/>
  <c r="CE77" i="13" s="1"/>
  <c r="CF77" i="13"/>
  <c r="CG77" i="13" s="1"/>
  <c r="CN77" i="13"/>
  <c r="CO77" i="13"/>
  <c r="CP77" i="13"/>
  <c r="CS77" i="13"/>
  <c r="CU77" i="13"/>
  <c r="CV77" i="13" s="1"/>
  <c r="DA77" i="13"/>
  <c r="C78" i="13"/>
  <c r="D78" i="13"/>
  <c r="E78" i="13"/>
  <c r="F78" i="13"/>
  <c r="G78" i="13"/>
  <c r="M78" i="13"/>
  <c r="U78" i="13" s="1"/>
  <c r="O78" i="13"/>
  <c r="BB78" i="13" s="1"/>
  <c r="X78" i="13"/>
  <c r="AF78" i="13" s="1"/>
  <c r="AB78" i="13"/>
  <c r="AW78" i="13"/>
  <c r="BC78" i="13"/>
  <c r="BD78" i="13"/>
  <c r="CN78" i="13"/>
  <c r="C79" i="13"/>
  <c r="D79" i="13"/>
  <c r="E79" i="13"/>
  <c r="F79" i="13"/>
  <c r="G79" i="13"/>
  <c r="M79" i="13"/>
  <c r="O79" i="13"/>
  <c r="T79" i="13"/>
  <c r="X79" i="13"/>
  <c r="AC79" i="13" s="1"/>
  <c r="AB79" i="13"/>
  <c r="AW79" i="13"/>
  <c r="BT79" i="13"/>
  <c r="BV79" i="13" s="1"/>
  <c r="CO79" i="13"/>
  <c r="CR79" i="13"/>
  <c r="CT79" i="13"/>
  <c r="CU79" i="13"/>
  <c r="CW79" i="13" s="1"/>
  <c r="C80" i="13"/>
  <c r="D80" i="13"/>
  <c r="E80" i="13"/>
  <c r="F80" i="13"/>
  <c r="U80" i="13" s="1"/>
  <c r="G80" i="13"/>
  <c r="CB80" i="13" s="1"/>
  <c r="M80" i="13"/>
  <c r="O80" i="13"/>
  <c r="AB80" i="13" s="1"/>
  <c r="X80" i="13"/>
  <c r="AE80" i="13" s="1"/>
  <c r="AD80" i="13"/>
  <c r="AW80" i="13"/>
  <c r="BM80" i="13" s="1"/>
  <c r="C81" i="13"/>
  <c r="D81" i="13"/>
  <c r="DA81" i="13" s="1"/>
  <c r="E81" i="13"/>
  <c r="H81" i="13" s="1"/>
  <c r="F81" i="13"/>
  <c r="G81" i="13"/>
  <c r="K81" i="13"/>
  <c r="AU81" i="13" s="1"/>
  <c r="M81" i="13"/>
  <c r="U81" i="13" s="1"/>
  <c r="O81" i="13"/>
  <c r="T81" i="13"/>
  <c r="X81" i="13"/>
  <c r="AC81" i="13" s="1"/>
  <c r="AH81" i="13"/>
  <c r="AW81" i="13"/>
  <c r="AY81" i="13"/>
  <c r="AZ81" i="13" s="1"/>
  <c r="BN81" i="13"/>
  <c r="BO81" i="13" s="1"/>
  <c r="BQ81" i="13"/>
  <c r="BR81" i="13" s="1"/>
  <c r="BX81" i="13"/>
  <c r="BY81" i="13" s="1"/>
  <c r="BZ81" i="13"/>
  <c r="CB81" i="13"/>
  <c r="CE81" i="13" s="1"/>
  <c r="CF81" i="13"/>
  <c r="CJ81" i="13"/>
  <c r="CN81" i="13"/>
  <c r="CO81" i="13"/>
  <c r="CP81" i="13"/>
  <c r="CQ81" i="13"/>
  <c r="CR81" i="13"/>
  <c r="CS81" i="13"/>
  <c r="CT81" i="13"/>
  <c r="CU81" i="13"/>
  <c r="DK81" i="13"/>
  <c r="DM81" i="13"/>
  <c r="DO81" i="13"/>
  <c r="C82" i="13"/>
  <c r="D82" i="13"/>
  <c r="E82" i="13"/>
  <c r="F82" i="13"/>
  <c r="G82" i="13"/>
  <c r="K82" i="13"/>
  <c r="DI82" i="13" s="1"/>
  <c r="M82" i="13"/>
  <c r="O82" i="13"/>
  <c r="T82" i="13"/>
  <c r="X82" i="13"/>
  <c r="AG82" i="13" s="1"/>
  <c r="AA82" i="13"/>
  <c r="AB82" i="13"/>
  <c r="AD82" i="13"/>
  <c r="AH82" i="13"/>
  <c r="AW82" i="13"/>
  <c r="AY82" i="13"/>
  <c r="BB82" i="13"/>
  <c r="BD82" i="13"/>
  <c r="BM82" i="13"/>
  <c r="BQ82" i="13"/>
  <c r="BT82" i="13"/>
  <c r="BW82" i="13" s="1"/>
  <c r="CF82" i="13"/>
  <c r="CI82" i="13" s="1"/>
  <c r="CJ82" i="13"/>
  <c r="CM82" i="13" s="1"/>
  <c r="CN82" i="13"/>
  <c r="CO82" i="13"/>
  <c r="CP82" i="13"/>
  <c r="CQ82" i="13"/>
  <c r="CR82" i="13"/>
  <c r="CS82" i="13"/>
  <c r="CU82" i="13"/>
  <c r="CV82" i="13"/>
  <c r="CY82" i="13"/>
  <c r="DA82" i="13"/>
  <c r="C83" i="13"/>
  <c r="D83" i="13"/>
  <c r="E83" i="13"/>
  <c r="F83" i="13"/>
  <c r="U83" i="13" s="1"/>
  <c r="G83" i="13"/>
  <c r="K83" i="13" s="1"/>
  <c r="M83" i="13"/>
  <c r="O83" i="13"/>
  <c r="X83" i="13"/>
  <c r="AB83" i="13"/>
  <c r="AE83" i="13"/>
  <c r="AV83" i="13"/>
  <c r="AW83" i="13"/>
  <c r="BM83" i="13" s="1"/>
  <c r="BX83" i="13"/>
  <c r="CB83" i="13"/>
  <c r="CF83" i="13"/>
  <c r="CP83" i="13"/>
  <c r="CR83" i="13"/>
  <c r="CS83" i="13"/>
  <c r="C84" i="13"/>
  <c r="D84" i="13"/>
  <c r="E84" i="13"/>
  <c r="F84" i="13"/>
  <c r="G84" i="13"/>
  <c r="CQ84" i="13" s="1"/>
  <c r="M84" i="13"/>
  <c r="U84" i="13" s="1"/>
  <c r="O84" i="13"/>
  <c r="X84" i="13"/>
  <c r="AB84" i="13"/>
  <c r="AW84" i="13"/>
  <c r="CU84" i="13"/>
  <c r="CW84" i="13" s="1"/>
  <c r="DA84" i="13"/>
  <c r="C85" i="13"/>
  <c r="D85" i="13"/>
  <c r="E85" i="13"/>
  <c r="F85" i="13"/>
  <c r="G85" i="13"/>
  <c r="M85" i="13"/>
  <c r="O85" i="13"/>
  <c r="AB85" i="13" s="1"/>
  <c r="U85" i="13"/>
  <c r="X85" i="13"/>
  <c r="AD85" i="13" s="1"/>
  <c r="AC85" i="13"/>
  <c r="AF85" i="13"/>
  <c r="AG85" i="13"/>
  <c r="AH85" i="13"/>
  <c r="AW85" i="13"/>
  <c r="C86" i="13"/>
  <c r="D86" i="13"/>
  <c r="DA86" i="13" s="1"/>
  <c r="E86" i="13"/>
  <c r="F86" i="13"/>
  <c r="U86" i="13" s="1"/>
  <c r="G86" i="13"/>
  <c r="M86" i="13"/>
  <c r="O86" i="13"/>
  <c r="AB86" i="13" s="1"/>
  <c r="X86" i="13"/>
  <c r="AG86" i="13" s="1"/>
  <c r="AE86" i="13"/>
  <c r="AH86" i="13"/>
  <c r="AI86" i="13"/>
  <c r="AW86" i="13"/>
  <c r="BM86" i="13" s="1"/>
  <c r="BT86" i="13"/>
  <c r="BV86" i="13" s="1"/>
  <c r="BX86" i="13"/>
  <c r="CA86" i="13" s="1"/>
  <c r="CB86" i="13"/>
  <c r="CD86" i="13" s="1"/>
  <c r="CE86" i="13"/>
  <c r="CJ86" i="13"/>
  <c r="CM86" i="13" s="1"/>
  <c r="CN86" i="13"/>
  <c r="CO86" i="13"/>
  <c r="CQ86" i="13"/>
  <c r="CR86" i="13"/>
  <c r="CS86" i="13"/>
  <c r="CT86" i="13"/>
  <c r="CU86" i="13"/>
  <c r="CX86" i="13" s="1"/>
  <c r="C87" i="13"/>
  <c r="D87" i="13"/>
  <c r="E87" i="13"/>
  <c r="F87" i="13"/>
  <c r="U87" i="13" s="1"/>
  <c r="G87" i="13"/>
  <c r="BN87" i="13" s="1"/>
  <c r="K87" i="13"/>
  <c r="M87" i="13"/>
  <c r="O87" i="13"/>
  <c r="AB87" i="13" s="1"/>
  <c r="T87" i="13"/>
  <c r="H87" i="13" s="1"/>
  <c r="X87" i="13"/>
  <c r="AE87" i="13" s="1"/>
  <c r="AD87" i="13"/>
  <c r="AF87" i="13"/>
  <c r="AG87" i="13"/>
  <c r="AH87" i="13"/>
  <c r="AI87" i="13"/>
  <c r="AW87" i="13"/>
  <c r="AY87" i="13"/>
  <c r="BT87" i="13"/>
  <c r="CB87" i="13"/>
  <c r="CE87" i="13" s="1"/>
  <c r="CD87" i="13"/>
  <c r="CO87" i="13"/>
  <c r="CP87" i="13"/>
  <c r="CQ87" i="13"/>
  <c r="CR87" i="13"/>
  <c r="CS87" i="13"/>
  <c r="CT87" i="13"/>
  <c r="CU87" i="13"/>
  <c r="CW87" i="13" s="1"/>
  <c r="C88" i="13"/>
  <c r="D88" i="13"/>
  <c r="E88" i="13"/>
  <c r="F88" i="13"/>
  <c r="G88" i="13"/>
  <c r="BN88" i="13" s="1"/>
  <c r="M88" i="13"/>
  <c r="O88" i="13"/>
  <c r="AB88" i="13" s="1"/>
  <c r="X88" i="13"/>
  <c r="AC88" i="13" s="1"/>
  <c r="AH88" i="13"/>
  <c r="AW88" i="13"/>
  <c r="BM88" i="13" s="1"/>
  <c r="CB88" i="13"/>
  <c r="CN88" i="13"/>
  <c r="CQ88" i="13"/>
  <c r="CR88" i="13"/>
  <c r="CS88" i="13"/>
  <c r="CU88" i="13"/>
  <c r="CZ88" i="13" s="1"/>
  <c r="CW88" i="13"/>
  <c r="C89" i="13"/>
  <c r="D89" i="13"/>
  <c r="E89" i="13"/>
  <c r="F89" i="13"/>
  <c r="G89" i="13"/>
  <c r="CB89" i="13" s="1"/>
  <c r="M89" i="13"/>
  <c r="U89" i="13" s="1"/>
  <c r="O89" i="13"/>
  <c r="X89" i="13"/>
  <c r="AD89" i="13" s="1"/>
  <c r="AC89" i="13"/>
  <c r="AW89" i="13"/>
  <c r="BQ89" i="13"/>
  <c r="CR89" i="13"/>
  <c r="CS89" i="13"/>
  <c r="C90" i="13"/>
  <c r="D90" i="13"/>
  <c r="E90" i="13"/>
  <c r="F90" i="13"/>
  <c r="G90" i="13"/>
  <c r="CU90" i="13" s="1"/>
  <c r="CW90" i="13" s="1"/>
  <c r="M90" i="13"/>
  <c r="O90" i="13"/>
  <c r="U90" i="13"/>
  <c r="X90" i="13"/>
  <c r="AD90" i="13" s="1"/>
  <c r="AB90" i="13"/>
  <c r="AW90" i="13"/>
  <c r="BM90" i="13" s="1"/>
  <c r="CP90" i="13"/>
  <c r="C91" i="13"/>
  <c r="D91" i="13"/>
  <c r="E91" i="13"/>
  <c r="F91" i="13"/>
  <c r="G91" i="13"/>
  <c r="T91" i="13" s="1"/>
  <c r="M91" i="13"/>
  <c r="O91" i="13"/>
  <c r="X91" i="13"/>
  <c r="AF91" i="13" s="1"/>
  <c r="AE91" i="13"/>
  <c r="AH91" i="13"/>
  <c r="AW91" i="13"/>
  <c r="C92" i="13"/>
  <c r="C93" i="13"/>
  <c r="D93" i="13"/>
  <c r="E93" i="13"/>
  <c r="F93" i="13"/>
  <c r="G93" i="13"/>
  <c r="T93" i="13" s="1"/>
  <c r="K93" i="13"/>
  <c r="AV93" i="13" s="1"/>
  <c r="M93" i="13"/>
  <c r="O93" i="13"/>
  <c r="X93" i="13"/>
  <c r="AF93" i="13" s="1"/>
  <c r="AA93" i="13"/>
  <c r="AW93" i="13"/>
  <c r="AY93" i="13"/>
  <c r="AZ93" i="13" s="1"/>
  <c r="BN93" i="13"/>
  <c r="BX93" i="13"/>
  <c r="CJ93" i="13"/>
  <c r="CL93" i="13" s="1"/>
  <c r="CN93" i="13"/>
  <c r="CP93" i="13"/>
  <c r="CQ93" i="13"/>
  <c r="CT93" i="13"/>
  <c r="DH93" i="13"/>
  <c r="DO93" i="13"/>
  <c r="C94" i="13"/>
  <c r="D94" i="13"/>
  <c r="E94" i="13"/>
  <c r="F94" i="13"/>
  <c r="U94" i="13" s="1"/>
  <c r="G94" i="13"/>
  <c r="H94" i="13" s="1"/>
  <c r="K94" i="13"/>
  <c r="DK94" i="13" s="1"/>
  <c r="M94" i="13"/>
  <c r="O94" i="13"/>
  <c r="T94" i="13"/>
  <c r="X94" i="13"/>
  <c r="AC94" i="13" s="1"/>
  <c r="AA94" i="13"/>
  <c r="AB94" i="13"/>
  <c r="AE94" i="13"/>
  <c r="AF94" i="13"/>
  <c r="AI94" i="13"/>
  <c r="AW94" i="13"/>
  <c r="BB94" i="13"/>
  <c r="BC94" i="13" s="1"/>
  <c r="BD94" i="13"/>
  <c r="BQ94" i="13"/>
  <c r="BR94" i="13" s="1"/>
  <c r="BX94" i="13"/>
  <c r="BY94" i="13" s="1"/>
  <c r="CF94" i="13"/>
  <c r="CG94" i="13" s="1"/>
  <c r="CJ94" i="13"/>
  <c r="CN94" i="13"/>
  <c r="CO94" i="13"/>
  <c r="CP94" i="13"/>
  <c r="CQ94" i="13"/>
  <c r="CR94" i="13"/>
  <c r="CS94" i="13"/>
  <c r="CT94" i="13"/>
  <c r="CU94" i="13"/>
  <c r="CW94" i="13" s="1"/>
  <c r="CY94" i="13"/>
  <c r="CZ94" i="13"/>
  <c r="DA94" i="13"/>
  <c r="DP94" i="13"/>
  <c r="C95" i="13"/>
  <c r="D95" i="13"/>
  <c r="E95" i="13"/>
  <c r="F95" i="13"/>
  <c r="G95" i="13"/>
  <c r="BN95" i="13" s="1"/>
  <c r="BO95" i="13" s="1"/>
  <c r="M95" i="13"/>
  <c r="O95" i="13"/>
  <c r="AB95" i="13" s="1"/>
  <c r="T95" i="13"/>
  <c r="U95" i="13"/>
  <c r="X95" i="13"/>
  <c r="AC95" i="13" s="1"/>
  <c r="AE95" i="13"/>
  <c r="AH95" i="13"/>
  <c r="AW95" i="13"/>
  <c r="AY95" i="13"/>
  <c r="BT95" i="13"/>
  <c r="BV95" i="13" s="1"/>
  <c r="BU95" i="13"/>
  <c r="BX95" i="13"/>
  <c r="BZ95" i="13" s="1"/>
  <c r="CJ95" i="13"/>
  <c r="CL95" i="13" s="1"/>
  <c r="CK95" i="13"/>
  <c r="CO95" i="13"/>
  <c r="CR95" i="13"/>
  <c r="CT95" i="13"/>
  <c r="C96" i="13"/>
  <c r="D96" i="13"/>
  <c r="E96" i="13"/>
  <c r="F96" i="13"/>
  <c r="G96" i="13"/>
  <c r="CJ96" i="13" s="1"/>
  <c r="CL96" i="13" s="1"/>
  <c r="M96" i="13"/>
  <c r="U96" i="13" s="1"/>
  <c r="O96" i="13"/>
  <c r="BB96" i="13" s="1"/>
  <c r="X96" i="13"/>
  <c r="AD96" i="13" s="1"/>
  <c r="AE96" i="13"/>
  <c r="AF96" i="13"/>
  <c r="AI96" i="13"/>
  <c r="AW96" i="13"/>
  <c r="BD96" i="13"/>
  <c r="CB96" i="13"/>
  <c r="CC96" i="13"/>
  <c r="CN96" i="13"/>
  <c r="CQ96" i="13"/>
  <c r="C97" i="13"/>
  <c r="D97" i="13"/>
  <c r="E97" i="13"/>
  <c r="F97" i="13"/>
  <c r="G97" i="13"/>
  <c r="CB97" i="13" s="1"/>
  <c r="M97" i="13"/>
  <c r="U97" i="13" s="1"/>
  <c r="O97" i="13"/>
  <c r="X97" i="13"/>
  <c r="AE97" i="13" s="1"/>
  <c r="AB97" i="13"/>
  <c r="AW97" i="13"/>
  <c r="C98" i="13"/>
  <c r="D98" i="13"/>
  <c r="E98" i="13"/>
  <c r="F98" i="13"/>
  <c r="G98" i="13"/>
  <c r="T98" i="13" s="1"/>
  <c r="M98" i="13"/>
  <c r="U98" i="13" s="1"/>
  <c r="O98" i="13"/>
  <c r="X98" i="13"/>
  <c r="AF98" i="13" s="1"/>
  <c r="AE98" i="13"/>
  <c r="AW98" i="13"/>
  <c r="BN98" i="13"/>
  <c r="BP98" i="13"/>
  <c r="BT98" i="13"/>
  <c r="BU98" i="13" s="1"/>
  <c r="BX98" i="13"/>
  <c r="CA98" i="13" s="1"/>
  <c r="BZ98" i="13"/>
  <c r="CB98" i="13"/>
  <c r="CE98" i="13" s="1"/>
  <c r="CJ98" i="13"/>
  <c r="CM98" i="13" s="1"/>
  <c r="CN98" i="13"/>
  <c r="CP98" i="13"/>
  <c r="CQ98" i="13"/>
  <c r="CR98" i="13"/>
  <c r="CS98" i="13"/>
  <c r="CT98" i="13"/>
  <c r="C99" i="13"/>
  <c r="D99" i="13"/>
  <c r="E99" i="13"/>
  <c r="F99" i="13"/>
  <c r="G99" i="13"/>
  <c r="CP99" i="13" s="1"/>
  <c r="M99" i="13"/>
  <c r="U99" i="13" s="1"/>
  <c r="O99" i="13"/>
  <c r="AA99" i="13" s="1"/>
  <c r="X99" i="13"/>
  <c r="AG99" i="13" s="1"/>
  <c r="AB99" i="13"/>
  <c r="AD99" i="13"/>
  <c r="AI99" i="13"/>
  <c r="AW99" i="13"/>
  <c r="BB99" i="13"/>
  <c r="BC99" i="13" s="1"/>
  <c r="BD99" i="13"/>
  <c r="BQ99" i="13"/>
  <c r="C100" i="13"/>
  <c r="D100" i="13"/>
  <c r="E100" i="13"/>
  <c r="F100" i="13"/>
  <c r="G100" i="13"/>
  <c r="K100" i="13"/>
  <c r="AV100" i="13" s="1"/>
  <c r="M100" i="13"/>
  <c r="O100" i="13"/>
  <c r="U100" i="13"/>
  <c r="X100" i="13"/>
  <c r="AG100" i="13" s="1"/>
  <c r="AA100" i="13"/>
  <c r="AE100" i="13"/>
  <c r="AW100" i="13"/>
  <c r="AY100" i="13"/>
  <c r="CB100" i="13"/>
  <c r="CD100" i="13" s="1"/>
  <c r="CJ100" i="13"/>
  <c r="CN100" i="13"/>
  <c r="CS100" i="13"/>
  <c r="C101" i="13"/>
  <c r="D101" i="13"/>
  <c r="DA101" i="13" s="1"/>
  <c r="E101" i="13"/>
  <c r="F101" i="13"/>
  <c r="CC101" i="13" s="1"/>
  <c r="G101" i="13"/>
  <c r="BT101" i="13" s="1"/>
  <c r="M101" i="13"/>
  <c r="U101" i="13" s="1"/>
  <c r="O101" i="13"/>
  <c r="AA101" i="13" s="1"/>
  <c r="X101" i="13"/>
  <c r="AI101" i="13" s="1"/>
  <c r="AW101" i="13"/>
  <c r="AY101" i="13"/>
  <c r="BQ101" i="13"/>
  <c r="BX101" i="13"/>
  <c r="BY101" i="13"/>
  <c r="CB101" i="13"/>
  <c r="CE101" i="13"/>
  <c r="CN101" i="13"/>
  <c r="CO101" i="13"/>
  <c r="CQ101" i="13"/>
  <c r="CS101" i="13"/>
  <c r="CT101" i="13"/>
  <c r="CU101" i="13"/>
  <c r="CV101" i="13" s="1"/>
  <c r="C102" i="13"/>
  <c r="D102" i="13"/>
  <c r="E102" i="13"/>
  <c r="F102" i="13"/>
  <c r="G102" i="13"/>
  <c r="AY102" i="13" s="1"/>
  <c r="K102" i="13"/>
  <c r="M102" i="13"/>
  <c r="O102" i="13"/>
  <c r="BB102" i="13" s="1"/>
  <c r="BC102" i="13" s="1"/>
  <c r="T102" i="13"/>
  <c r="X102" i="13"/>
  <c r="AD102" i="13" s="1"/>
  <c r="AB102" i="13"/>
  <c r="AU102" i="13"/>
  <c r="AW102" i="13"/>
  <c r="BD102" i="13"/>
  <c r="BN102" i="13"/>
  <c r="BX102" i="13"/>
  <c r="CB102" i="13"/>
  <c r="CF102" i="13"/>
  <c r="CN102" i="13"/>
  <c r="CO102" i="13"/>
  <c r="CR102" i="13"/>
  <c r="CU102" i="13"/>
  <c r="CV102" i="13" s="1"/>
  <c r="DA102" i="13"/>
  <c r="DI102" i="13"/>
  <c r="DL102" i="13"/>
  <c r="C103" i="13"/>
  <c r="D103" i="13"/>
  <c r="E103" i="13"/>
  <c r="F103" i="13"/>
  <c r="G103" i="13"/>
  <c r="K103" i="13" s="1"/>
  <c r="DJ103" i="13" s="1"/>
  <c r="M103" i="13"/>
  <c r="U103" i="13" s="1"/>
  <c r="O103" i="13"/>
  <c r="AB103" i="13" s="1"/>
  <c r="X103" i="13"/>
  <c r="AD103" i="13" s="1"/>
  <c r="AA103" i="13"/>
  <c r="AW103" i="13"/>
  <c r="AY103" i="13"/>
  <c r="BD103" i="13"/>
  <c r="CS103" i="13"/>
  <c r="DA103" i="13"/>
  <c r="C104" i="13"/>
  <c r="D104" i="13"/>
  <c r="E104" i="13"/>
  <c r="F104" i="13"/>
  <c r="G104" i="13"/>
  <c r="CU104" i="13" s="1"/>
  <c r="CV104" i="13" s="1"/>
  <c r="M104" i="13"/>
  <c r="U104" i="13" s="1"/>
  <c r="O104" i="13"/>
  <c r="AA104" i="13" s="1"/>
  <c r="X104" i="13"/>
  <c r="AF104" i="13" s="1"/>
  <c r="AB104" i="13"/>
  <c r="AW104" i="13"/>
  <c r="BN104" i="13"/>
  <c r="BP104" i="13" s="1"/>
  <c r="BO104" i="13"/>
  <c r="BX104" i="13"/>
  <c r="BZ104" i="13" s="1"/>
  <c r="CB104" i="13"/>
  <c r="CD104" i="13" s="1"/>
  <c r="CJ104" i="13"/>
  <c r="CK104" i="13" s="1"/>
  <c r="CQ104" i="13"/>
  <c r="C105" i="13"/>
  <c r="D105" i="13"/>
  <c r="E105" i="13"/>
  <c r="F105" i="13"/>
  <c r="G105" i="13"/>
  <c r="H105" i="13"/>
  <c r="AS105" i="13" s="1"/>
  <c r="M105" i="13"/>
  <c r="U105" i="13" s="1"/>
  <c r="O105" i="13"/>
  <c r="AA105" i="13" s="1"/>
  <c r="T105" i="13"/>
  <c r="X105" i="13"/>
  <c r="AG105" i="13" s="1"/>
  <c r="AB105" i="13"/>
  <c r="AE105" i="13"/>
  <c r="AW105" i="13"/>
  <c r="BQ105" i="13"/>
  <c r="BR105" i="13" s="1"/>
  <c r="BT105" i="13"/>
  <c r="BU105" i="13" s="1"/>
  <c r="CF105" i="13"/>
  <c r="CH105" i="13" s="1"/>
  <c r="CO105" i="13"/>
  <c r="CP105" i="13"/>
  <c r="CQ105" i="13"/>
  <c r="CR105" i="13"/>
  <c r="CS105" i="13"/>
  <c r="CU105" i="13"/>
  <c r="CW105" i="13" s="1"/>
  <c r="CY105" i="13"/>
  <c r="DA105" i="13"/>
  <c r="AA107" i="13"/>
  <c r="AA108" i="13"/>
  <c r="CW109" i="13"/>
  <c r="CW110" i="13"/>
  <c r="CW111" i="13" s="1"/>
  <c r="CX110" i="13"/>
  <c r="CY110" i="13"/>
  <c r="CX111" i="13"/>
  <c r="CU112" i="13"/>
  <c r="CX112" i="13"/>
  <c r="CY112" i="13" s="1"/>
  <c r="A1786" i="12"/>
  <c r="B1786" i="12" s="1"/>
  <c r="A1787" i="12"/>
  <c r="B1787" i="12" s="1"/>
  <c r="A1788" i="12"/>
  <c r="N1790" i="12"/>
  <c r="N1792" i="12" s="1"/>
  <c r="D1788" i="12" s="1"/>
  <c r="A1793" i="12"/>
  <c r="A1798" i="12"/>
  <c r="A1806" i="12"/>
  <c r="A1814" i="12"/>
  <c r="A1821" i="12"/>
  <c r="A1827" i="12"/>
  <c r="M1834" i="12"/>
  <c r="D1827" i="12" s="1"/>
  <c r="A1835" i="12"/>
  <c r="M1842" i="12"/>
  <c r="D1835" i="12" s="1"/>
  <c r="A1843" i="12"/>
  <c r="M1850" i="12"/>
  <c r="D1843" i="12" s="1"/>
  <c r="A1851" i="12"/>
  <c r="M1858" i="12"/>
  <c r="D1851" i="12" s="1"/>
  <c r="A1859" i="12"/>
  <c r="M1866" i="12"/>
  <c r="D1859" i="12" s="1"/>
  <c r="B1867" i="12"/>
  <c r="A1868" i="12"/>
  <c r="A1875" i="12"/>
  <c r="H1877" i="12"/>
  <c r="A1880" i="12"/>
  <c r="A1885" i="12"/>
  <c r="B1886" i="12"/>
  <c r="E1886" i="12"/>
  <c r="A1889" i="12"/>
  <c r="A1894" i="12"/>
  <c r="A1899" i="12"/>
  <c r="A1904" i="12"/>
  <c r="B1905" i="12"/>
  <c r="E1905" i="12"/>
  <c r="A1908" i="12"/>
  <c r="A1913" i="12"/>
  <c r="A1918" i="12"/>
  <c r="A1923" i="12"/>
  <c r="B1924" i="12"/>
  <c r="E1924" i="12"/>
  <c r="B1927" i="12"/>
  <c r="A1928" i="12"/>
  <c r="E1931" i="12"/>
  <c r="E1964" i="12" s="1"/>
  <c r="F1931" i="12"/>
  <c r="E1932" i="12"/>
  <c r="E1965" i="12" s="1"/>
  <c r="F1932" i="12"/>
  <c r="E1933" i="12"/>
  <c r="E1966" i="12" s="1"/>
  <c r="F1933" i="12"/>
  <c r="E1934" i="12"/>
  <c r="E1967" i="12" s="1"/>
  <c r="F1934" i="12"/>
  <c r="E1935" i="12"/>
  <c r="F1935" i="12"/>
  <c r="E1936" i="12"/>
  <c r="E1969" i="12" s="1"/>
  <c r="F1936" i="12"/>
  <c r="E1937" i="12"/>
  <c r="E1970" i="12" s="1"/>
  <c r="F1937" i="12"/>
  <c r="E1938" i="12"/>
  <c r="E1971" i="12" s="1"/>
  <c r="F1938" i="12"/>
  <c r="E1939" i="12"/>
  <c r="E1972" i="12" s="1"/>
  <c r="F1939" i="12"/>
  <c r="E1940" i="12"/>
  <c r="E1973" i="12" s="1"/>
  <c r="F1940" i="12"/>
  <c r="E1941" i="12"/>
  <c r="E1974" i="12" s="1"/>
  <c r="F1941" i="12"/>
  <c r="E1942" i="12"/>
  <c r="E1975" i="12" s="1"/>
  <c r="F1942" i="12"/>
  <c r="A1945" i="12"/>
  <c r="B1948" i="12"/>
  <c r="B2602" i="12" s="1"/>
  <c r="E1948" i="12"/>
  <c r="F1948" i="12"/>
  <c r="H1948" i="12"/>
  <c r="B1949" i="12"/>
  <c r="B2603" i="12" s="1"/>
  <c r="E1949" i="12"/>
  <c r="F1949" i="12"/>
  <c r="H1949" i="12"/>
  <c r="B1950" i="12"/>
  <c r="B2604" i="12" s="1"/>
  <c r="E1950" i="12"/>
  <c r="F1950" i="12"/>
  <c r="H1950" i="12"/>
  <c r="B1951" i="12"/>
  <c r="B2605" i="12" s="1"/>
  <c r="E1951" i="12"/>
  <c r="F1951" i="12"/>
  <c r="H1951" i="12"/>
  <c r="B1952" i="12"/>
  <c r="B2606" i="12" s="1"/>
  <c r="E1952" i="12"/>
  <c r="F1952" i="12"/>
  <c r="H1952" i="12"/>
  <c r="B1953" i="12"/>
  <c r="B2607" i="12" s="1"/>
  <c r="E1953" i="12"/>
  <c r="F1953" i="12"/>
  <c r="H1953" i="12"/>
  <c r="B1954" i="12"/>
  <c r="B2608" i="12" s="1"/>
  <c r="E1954" i="12"/>
  <c r="F1954" i="12"/>
  <c r="H1954" i="12"/>
  <c r="B1955" i="12"/>
  <c r="B2609" i="12" s="1"/>
  <c r="E1955" i="12"/>
  <c r="F1955" i="12"/>
  <c r="H1955" i="12"/>
  <c r="B1956" i="12"/>
  <c r="B2610" i="12" s="1"/>
  <c r="E1956" i="12"/>
  <c r="F1956" i="12"/>
  <c r="H1956" i="12"/>
  <c r="B1957" i="12"/>
  <c r="B2611" i="12" s="1"/>
  <c r="E1957" i="12"/>
  <c r="F1957" i="12"/>
  <c r="H1957" i="12"/>
  <c r="B1958" i="12"/>
  <c r="B2612" i="12" s="1"/>
  <c r="E1958" i="12"/>
  <c r="F1958" i="12"/>
  <c r="H1958" i="12"/>
  <c r="B1959" i="12"/>
  <c r="B2613" i="12" s="1"/>
  <c r="E1959" i="12"/>
  <c r="F1959" i="12"/>
  <c r="H1959" i="12"/>
  <c r="A1962" i="12"/>
  <c r="B1964" i="12"/>
  <c r="B1980" i="12" s="1"/>
  <c r="B1965" i="12"/>
  <c r="B1981" i="12" s="1"/>
  <c r="B1966" i="12"/>
  <c r="B1982" i="12" s="1"/>
  <c r="B1967" i="12"/>
  <c r="B1983" i="12" s="1"/>
  <c r="B1968" i="12"/>
  <c r="B1984" i="12" s="1"/>
  <c r="B1969" i="12"/>
  <c r="B1985" i="12" s="1"/>
  <c r="B1970" i="12"/>
  <c r="B1986" i="12" s="1"/>
  <c r="B1971" i="12"/>
  <c r="B1987" i="12" s="1"/>
  <c r="B1972" i="12"/>
  <c r="B1988" i="12" s="1"/>
  <c r="B1973" i="12"/>
  <c r="B1989" i="12" s="1"/>
  <c r="B1974" i="12"/>
  <c r="B1990" i="12" s="1"/>
  <c r="B1975" i="12"/>
  <c r="B1991" i="12" s="1"/>
  <c r="A1978" i="12"/>
  <c r="A1994" i="12"/>
  <c r="A2000" i="12"/>
  <c r="A2005" i="12"/>
  <c r="E2007" i="12"/>
  <c r="E2034" i="12"/>
  <c r="B2037" i="12"/>
  <c r="A2038" i="12"/>
  <c r="A2043" i="12"/>
  <c r="A2048" i="12"/>
  <c r="A2053" i="12"/>
  <c r="E2055" i="12"/>
  <c r="B2058" i="12"/>
  <c r="B2067" i="12"/>
  <c r="B2068" i="12"/>
  <c r="A2073" i="12"/>
  <c r="B2073" i="12" s="1"/>
  <c r="A2074" i="12"/>
  <c r="B2074" i="12" s="1"/>
  <c r="A2075" i="12"/>
  <c r="A2080" i="12"/>
  <c r="A2090" i="12"/>
  <c r="A2095" i="12"/>
  <c r="A2100" i="12"/>
  <c r="A2105" i="12"/>
  <c r="A2110" i="12"/>
  <c r="A2115" i="12"/>
  <c r="A2120" i="12"/>
  <c r="A2125" i="12"/>
  <c r="A2130" i="12"/>
  <c r="A2135" i="12"/>
  <c r="A2140" i="12"/>
  <c r="A2145" i="12"/>
  <c r="A2149" i="12"/>
  <c r="A2153" i="12"/>
  <c r="B2154" i="12"/>
  <c r="E2154" i="12"/>
  <c r="B2155" i="12"/>
  <c r="E2155" i="12"/>
  <c r="A2158" i="12"/>
  <c r="A2161" i="12"/>
  <c r="B2161" i="12" s="1"/>
  <c r="A2162" i="12"/>
  <c r="A2166" i="12"/>
  <c r="B2166" i="12" s="1"/>
  <c r="A2167" i="12"/>
  <c r="A2171" i="12"/>
  <c r="A2175" i="12"/>
  <c r="A2179" i="12"/>
  <c r="A2183" i="12"/>
  <c r="A2187" i="12"/>
  <c r="A2191" i="12"/>
  <c r="A2195" i="12"/>
  <c r="A2199" i="12"/>
  <c r="A2203" i="12"/>
  <c r="B2203" i="12" s="1"/>
  <c r="A2204" i="12"/>
  <c r="A2208" i="12"/>
  <c r="A2212" i="12"/>
  <c r="A2216" i="12"/>
  <c r="A2220" i="12"/>
  <c r="A2224" i="12"/>
  <c r="A2230" i="12"/>
  <c r="A2234" i="12"/>
  <c r="A2240" i="12"/>
  <c r="L2242" i="12"/>
  <c r="A2244" i="12"/>
  <c r="A2249" i="12"/>
  <c r="B2252" i="12"/>
  <c r="B2256" i="12" s="1"/>
  <c r="H2252" i="12"/>
  <c r="A2255" i="12"/>
  <c r="A2261" i="12"/>
  <c r="A2265" i="12"/>
  <c r="A2271" i="12"/>
  <c r="A2277" i="12"/>
  <c r="A2285" i="12"/>
  <c r="A2289" i="12"/>
  <c r="A2293" i="12"/>
  <c r="A2297" i="12"/>
  <c r="A2301" i="12"/>
  <c r="A2305" i="12"/>
  <c r="A2309" i="12"/>
  <c r="B2309" i="12" s="1"/>
  <c r="A2310" i="12"/>
  <c r="O2313" i="12"/>
  <c r="A2314" i="12"/>
  <c r="O2317" i="12"/>
  <c r="A2318" i="12"/>
  <c r="A2322" i="12"/>
  <c r="A2326" i="12"/>
  <c r="O2329" i="12"/>
  <c r="A2330" i="12"/>
  <c r="A2334" i="12"/>
  <c r="A2338" i="12"/>
  <c r="A2342" i="12"/>
  <c r="A2346" i="12"/>
  <c r="A2350" i="12"/>
  <c r="A2354" i="12"/>
  <c r="A2358" i="12"/>
  <c r="O2361" i="12"/>
  <c r="A2362" i="12"/>
  <c r="A2366" i="12"/>
  <c r="A2370" i="12"/>
  <c r="A2374" i="12"/>
  <c r="A2378" i="12"/>
  <c r="B2378" i="12" s="1"/>
  <c r="A2379" i="12"/>
  <c r="A2383" i="12"/>
  <c r="B2383" i="12" s="1"/>
  <c r="A2384" i="12"/>
  <c r="A2388" i="12"/>
  <c r="A2392" i="12"/>
  <c r="A2396" i="12"/>
  <c r="A2400" i="12"/>
  <c r="A2404" i="12"/>
  <c r="A2410" i="12"/>
  <c r="A2416" i="12"/>
  <c r="A2422" i="12"/>
  <c r="A2427" i="12"/>
  <c r="A2432" i="12"/>
  <c r="A2438" i="12"/>
  <c r="A2444" i="12"/>
  <c r="A2450" i="12"/>
  <c r="A2455" i="12"/>
  <c r="A2460" i="12"/>
  <c r="A2466" i="12"/>
  <c r="A2471" i="12"/>
  <c r="A2476" i="12"/>
  <c r="A2481" i="12"/>
  <c r="A2486" i="12"/>
  <c r="A2491" i="12"/>
  <c r="A2496" i="12"/>
  <c r="A2500" i="12"/>
  <c r="A2504" i="12"/>
  <c r="B2505" i="12"/>
  <c r="B2515" i="12" s="1"/>
  <c r="A2508" i="12"/>
  <c r="A2514" i="12"/>
  <c r="A2518" i="12"/>
  <c r="A2524" i="12"/>
  <c r="B2527" i="12"/>
  <c r="B2531" i="12" s="1"/>
  <c r="A2530" i="12"/>
  <c r="A2535" i="12"/>
  <c r="A2540" i="12"/>
  <c r="A2545" i="12"/>
  <c r="L2548" i="12"/>
  <c r="A2550" i="12"/>
  <c r="A2554" i="12"/>
  <c r="A2562" i="12"/>
  <c r="B2564" i="12"/>
  <c r="B2567" i="12"/>
  <c r="A2578" i="12"/>
  <c r="A2585" i="12"/>
  <c r="B2586" i="12"/>
  <c r="E2586" i="12"/>
  <c r="B2587" i="12"/>
  <c r="E2587" i="12"/>
  <c r="A2589" i="12"/>
  <c r="A2592" i="12"/>
  <c r="A2596" i="12"/>
  <c r="A2600" i="12"/>
  <c r="A2616" i="12"/>
  <c r="A2620" i="12"/>
  <c r="A2623" i="12"/>
  <c r="A2626" i="12"/>
  <c r="A2631" i="12"/>
  <c r="A2635" i="12"/>
  <c r="A2639" i="12"/>
  <c r="A2643" i="12"/>
  <c r="B2643" i="12" s="1"/>
  <c r="A2644" i="12"/>
  <c r="M2648" i="12"/>
  <c r="O2648" i="12" s="1"/>
  <c r="A2653" i="12"/>
  <c r="B2654" i="12"/>
  <c r="B2660" i="12" s="1"/>
  <c r="B2681" i="12" s="1"/>
  <c r="B2655" i="12"/>
  <c r="E2655" i="12"/>
  <c r="E2661" i="12" s="1"/>
  <c r="F2655" i="12"/>
  <c r="F2661" i="12" s="1"/>
  <c r="F2682" i="12" s="1"/>
  <c r="B2656" i="12"/>
  <c r="E2656" i="12"/>
  <c r="E2662" i="12" s="1"/>
  <c r="E2684" i="12" s="1"/>
  <c r="E2704" i="12" s="1"/>
  <c r="F2656" i="12"/>
  <c r="F2662" i="12" s="1"/>
  <c r="A2659" i="12"/>
  <c r="A2665" i="12"/>
  <c r="B2667" i="12"/>
  <c r="B2686" i="12" s="1"/>
  <c r="B2706" i="12" s="1"/>
  <c r="B2729" i="12" s="1"/>
  <c r="B2671" i="12"/>
  <c r="B2690" i="12" s="1"/>
  <c r="B2710" i="12" s="1"/>
  <c r="B2730" i="12" s="1"/>
  <c r="B2675" i="12"/>
  <c r="B2694" i="12" s="1"/>
  <c r="B2714" i="12" s="1"/>
  <c r="B2731" i="12" s="1"/>
  <c r="A2680" i="12"/>
  <c r="E2687" i="12"/>
  <c r="E2707" i="12" s="1"/>
  <c r="F2687" i="12"/>
  <c r="F2688" i="12" s="1"/>
  <c r="E2669" i="12" s="1"/>
  <c r="E2691" i="12"/>
  <c r="F2691" i="12"/>
  <c r="F2672" i="12" s="1"/>
  <c r="E2695" i="12"/>
  <c r="F2695" i="12"/>
  <c r="A2700" i="12"/>
  <c r="B2703" i="12"/>
  <c r="H2703" i="12"/>
  <c r="B2705" i="12"/>
  <c r="E2706" i="12"/>
  <c r="F2706" i="12"/>
  <c r="B2707" i="12"/>
  <c r="B2708" i="12"/>
  <c r="G2708" i="12"/>
  <c r="H2708" i="12"/>
  <c r="B2709" i="12"/>
  <c r="H2709" i="12"/>
  <c r="E2710" i="12"/>
  <c r="F2710" i="12"/>
  <c r="B2711" i="12"/>
  <c r="B2712" i="12"/>
  <c r="G2712" i="12"/>
  <c r="H2712" i="12"/>
  <c r="B2713" i="12"/>
  <c r="H2713" i="12"/>
  <c r="E2714" i="12"/>
  <c r="F2714" i="12"/>
  <c r="B2715" i="12"/>
  <c r="B2716" i="12"/>
  <c r="G2716" i="12"/>
  <c r="H2716" i="12"/>
  <c r="B2717" i="12"/>
  <c r="H2717" i="12"/>
  <c r="I2718" i="12"/>
  <c r="A2720" i="12"/>
  <c r="A2725" i="12"/>
  <c r="A2734" i="12"/>
  <c r="A2738" i="12"/>
  <c r="B2738" i="12" s="1"/>
  <c r="A2739" i="12"/>
  <c r="A2745" i="12"/>
  <c r="B2746" i="12"/>
  <c r="B2753" i="12" s="1"/>
  <c r="B2771" i="12" s="1"/>
  <c r="B2765" i="12" s="1"/>
  <c r="B2748" i="12"/>
  <c r="B2754" i="12" s="1"/>
  <c r="B2766" i="12" s="1"/>
  <c r="F2748" i="12"/>
  <c r="A2752" i="12"/>
  <c r="A2758" i="12"/>
  <c r="A2764" i="12"/>
  <c r="A2770" i="12"/>
  <c r="I2772" i="12"/>
  <c r="A2776" i="12"/>
  <c r="B2776" i="12" s="1"/>
  <c r="A2777" i="12"/>
  <c r="N2782" i="12"/>
  <c r="D2777" i="12" s="1"/>
  <c r="A2783" i="12"/>
  <c r="B2784" i="12"/>
  <c r="B2790" i="12" s="1"/>
  <c r="B2808" i="12" s="1"/>
  <c r="B2796" i="12" s="1"/>
  <c r="B2814" i="12" s="1"/>
  <c r="B2786" i="12"/>
  <c r="B2791" i="12" s="1"/>
  <c r="B2798" i="12" s="1"/>
  <c r="B2810" i="12" s="1"/>
  <c r="B2816" i="12" s="1"/>
  <c r="M2786" i="12"/>
  <c r="M2792" i="12" s="1"/>
  <c r="M2798" i="12" s="1"/>
  <c r="N2786" i="12"/>
  <c r="N2792" i="12" s="1"/>
  <c r="A2789" i="12"/>
  <c r="A2795" i="12"/>
  <c r="A2801" i="12"/>
  <c r="A2807" i="12"/>
  <c r="A2813" i="12"/>
  <c r="A2819" i="12"/>
  <c r="B2819" i="12" s="1"/>
  <c r="A2820" i="12"/>
  <c r="A2824" i="12"/>
  <c r="B2824" i="12" s="1"/>
  <c r="A2825" i="12"/>
  <c r="N2827" i="12"/>
  <c r="N2830" i="12" s="1"/>
  <c r="D2825" i="12" s="1"/>
  <c r="A2831" i="12"/>
  <c r="B2833" i="12"/>
  <c r="E2833" i="12"/>
  <c r="F2833" i="12"/>
  <c r="H2833" i="12"/>
  <c r="L2833" i="12"/>
  <c r="A2836" i="12"/>
  <c r="B2836" i="12"/>
  <c r="A2837" i="12"/>
  <c r="B2837" i="12" s="1"/>
  <c r="A2838" i="12"/>
  <c r="M2839" i="12"/>
  <c r="M2841" i="12" s="1"/>
  <c r="D2838" i="12" s="1"/>
  <c r="A2842" i="12"/>
  <c r="B2842" i="12" s="1"/>
  <c r="A2843" i="12"/>
  <c r="D2843" i="12"/>
  <c r="M2846" i="12"/>
  <c r="A2847" i="12"/>
  <c r="M2848" i="12"/>
  <c r="D2847" i="12" s="1"/>
  <c r="A2851" i="12"/>
  <c r="B2851" i="12" s="1"/>
  <c r="A2852" i="12"/>
  <c r="B2852" i="12" s="1"/>
  <c r="A2853" i="12"/>
  <c r="N2855" i="12"/>
  <c r="N2856" i="12"/>
  <c r="N2862" i="12" s="1"/>
  <c r="A2859" i="12"/>
  <c r="B2861" i="12"/>
  <c r="B2868" i="12" s="1"/>
  <c r="B2875" i="12" s="1"/>
  <c r="B2881" i="12" s="1"/>
  <c r="B2888" i="12" s="1"/>
  <c r="B2916" i="12" s="1"/>
  <c r="B2924" i="12" s="1"/>
  <c r="B2931" i="12" s="1"/>
  <c r="B2938" i="12" s="1"/>
  <c r="B2945" i="12" s="1"/>
  <c r="H2861" i="12"/>
  <c r="B2862" i="12"/>
  <c r="B2869" i="12" s="1"/>
  <c r="B2876" i="12" s="1"/>
  <c r="B2882" i="12" s="1"/>
  <c r="B2889" i="12" s="1"/>
  <c r="B2917" i="12" s="1"/>
  <c r="B2925" i="12" s="1"/>
  <c r="B2932" i="12" s="1"/>
  <c r="B2939" i="12" s="1"/>
  <c r="H2862" i="12"/>
  <c r="A2865" i="12"/>
  <c r="G2871" i="12"/>
  <c r="A2872" i="12"/>
  <c r="B2873" i="12"/>
  <c r="E2873" i="12"/>
  <c r="A2879" i="12"/>
  <c r="A2885" i="12"/>
  <c r="B2885" i="12" s="1"/>
  <c r="A2886" i="12"/>
  <c r="O2891" i="12"/>
  <c r="D2886" i="12" s="1"/>
  <c r="A2892" i="12"/>
  <c r="A2903" i="12"/>
  <c r="E2904" i="12"/>
  <c r="B2905" i="12"/>
  <c r="B2910" i="12" s="1"/>
  <c r="A2908" i="12"/>
  <c r="A2913" i="12"/>
  <c r="B2913" i="12" s="1"/>
  <c r="A2914" i="12"/>
  <c r="O2919" i="12"/>
  <c r="A2920" i="12"/>
  <c r="B2920" i="12" s="1"/>
  <c r="A2921" i="12"/>
  <c r="N2927" i="12"/>
  <c r="D2921" i="12" s="1"/>
  <c r="A2928" i="12"/>
  <c r="O2934" i="12"/>
  <c r="D2928" i="12" s="1"/>
  <c r="A2935" i="12"/>
  <c r="O2941" i="12"/>
  <c r="D2935" i="12" s="1"/>
  <c r="A2942" i="12"/>
  <c r="O2948" i="12"/>
  <c r="D2942" i="12" s="1"/>
  <c r="A2949" i="12"/>
  <c r="N2951" i="12"/>
  <c r="N2957" i="12" s="1"/>
  <c r="N2999" i="12" s="1"/>
  <c r="K2999" i="12" s="1"/>
  <c r="N2952" i="12"/>
  <c r="N2958" i="12" s="1"/>
  <c r="N3000" i="12" s="1"/>
  <c r="K3000" i="12" s="1"/>
  <c r="A2955" i="12"/>
  <c r="A2961" i="12"/>
  <c r="O2966" i="12"/>
  <c r="D2961" i="12" s="1"/>
  <c r="A2967" i="12"/>
  <c r="N2972" i="12"/>
  <c r="D2967" i="12" s="1"/>
  <c r="A2973" i="12"/>
  <c r="O2977" i="12"/>
  <c r="K2977" i="12" s="1"/>
  <c r="O2978" i="12"/>
  <c r="K2978" i="12" s="1"/>
  <c r="A2983" i="12"/>
  <c r="B2984" i="12"/>
  <c r="A2989" i="12"/>
  <c r="A2996" i="12"/>
  <c r="A3003" i="12"/>
  <c r="O3006" i="12"/>
  <c r="K3006" i="12" s="1"/>
  <c r="O3007" i="12"/>
  <c r="K3007" i="12" s="1"/>
  <c r="A3010" i="12"/>
  <c r="E3012" i="12"/>
  <c r="E3013" i="12"/>
  <c r="E2063" i="12" s="1"/>
  <c r="A3016" i="12"/>
  <c r="B3016" i="12" s="1"/>
  <c r="A3017" i="12"/>
  <c r="N3021" i="12"/>
  <c r="D3017" i="12" s="1"/>
  <c r="A3022" i="12"/>
  <c r="B3024" i="12"/>
  <c r="B3029" i="12" s="1"/>
  <c r="M3026" i="12"/>
  <c r="D3022" i="12" s="1"/>
  <c r="A3027" i="12"/>
  <c r="N3031" i="12"/>
  <c r="D3027" i="12" s="1"/>
  <c r="A3032" i="12"/>
  <c r="B3032" i="12" s="1"/>
  <c r="A3033" i="12"/>
  <c r="E3036" i="12"/>
  <c r="F3036" i="12"/>
  <c r="F3042" i="12" s="1"/>
  <c r="A3040" i="12"/>
  <c r="M3041" i="12"/>
  <c r="M3196" i="12" s="1"/>
  <c r="A3045" i="12"/>
  <c r="G3047" i="12"/>
  <c r="O3047" i="12" s="1"/>
  <c r="G3048" i="12"/>
  <c r="O3048" i="12" s="1"/>
  <c r="G3049" i="12"/>
  <c r="O3049" i="12" s="1"/>
  <c r="G3050" i="12"/>
  <c r="O3050" i="12" s="1"/>
  <c r="G3051" i="12"/>
  <c r="G3125" i="12" s="1"/>
  <c r="G3492" i="12" s="1"/>
  <c r="G3563" i="12" s="1"/>
  <c r="G3052" i="12"/>
  <c r="O3052" i="12" s="1"/>
  <c r="G3053" i="12"/>
  <c r="O3053" i="12" s="1"/>
  <c r="G3054" i="12"/>
  <c r="O3054" i="12" s="1"/>
  <c r="G3055" i="12"/>
  <c r="G3056" i="12"/>
  <c r="O3056" i="12" s="1"/>
  <c r="G3057" i="12"/>
  <c r="O3057" i="12" s="1"/>
  <c r="G3058" i="12"/>
  <c r="G3059" i="12"/>
  <c r="O3059" i="12" s="1"/>
  <c r="G3060" i="12"/>
  <c r="G3134" i="12" s="1"/>
  <c r="G3061" i="12"/>
  <c r="O3061" i="12" s="1"/>
  <c r="G3062" i="12"/>
  <c r="O3062" i="12" s="1"/>
  <c r="G3063" i="12"/>
  <c r="O3063" i="12" s="1"/>
  <c r="G3064" i="12"/>
  <c r="O3064" i="12" s="1"/>
  <c r="G3065" i="12"/>
  <c r="G3066" i="12"/>
  <c r="O3066" i="12" s="1"/>
  <c r="G3067" i="12"/>
  <c r="O3067" i="12" s="1"/>
  <c r="G3068" i="12"/>
  <c r="O3068" i="12" s="1"/>
  <c r="G3069" i="12"/>
  <c r="O3069" i="12" s="1"/>
  <c r="G3070" i="12"/>
  <c r="O3070" i="12" s="1"/>
  <c r="G3071" i="12"/>
  <c r="G3145" i="12" s="1"/>
  <c r="G3512" i="12" s="1"/>
  <c r="G3583" i="12" s="1"/>
  <c r="G3072" i="12"/>
  <c r="G3146" i="12" s="1"/>
  <c r="G3073" i="12"/>
  <c r="O3073" i="12" s="1"/>
  <c r="G3074" i="12"/>
  <c r="O3074" i="12" s="1"/>
  <c r="G3075" i="12"/>
  <c r="O3075" i="12" s="1"/>
  <c r="G3076" i="12"/>
  <c r="O3076" i="12" s="1"/>
  <c r="G3077" i="12"/>
  <c r="G3078" i="12"/>
  <c r="G3152" i="12" s="1"/>
  <c r="G3079" i="12"/>
  <c r="O3079" i="12" s="1"/>
  <c r="G3080" i="12"/>
  <c r="G3154" i="12" s="1"/>
  <c r="G3450" i="12" s="1"/>
  <c r="G3081" i="12"/>
  <c r="O3081" i="12" s="1"/>
  <c r="G3082" i="12"/>
  <c r="O3082" i="12" s="1"/>
  <c r="G3083" i="12"/>
  <c r="G3084" i="12"/>
  <c r="G3158" i="12" s="1"/>
  <c r="G3383" i="12" s="1"/>
  <c r="G3085" i="12"/>
  <c r="O3085" i="12" s="1"/>
  <c r="G3086" i="12"/>
  <c r="O3086" i="12" s="1"/>
  <c r="G3087" i="12"/>
  <c r="O3087" i="12" s="1"/>
  <c r="G3088" i="12"/>
  <c r="O3088" i="12" s="1"/>
  <c r="G3089" i="12"/>
  <c r="G3163" i="12" s="1"/>
  <c r="G3530" i="12" s="1"/>
  <c r="G3601" i="12" s="1"/>
  <c r="G3090" i="12"/>
  <c r="G3164" i="12" s="1"/>
  <c r="G3531" i="12" s="1"/>
  <c r="G3602" i="12" s="1"/>
  <c r="G3091" i="12"/>
  <c r="G3092" i="12"/>
  <c r="G3093" i="12"/>
  <c r="O3093" i="12" s="1"/>
  <c r="G3094" i="12"/>
  <c r="O3094" i="12" s="1"/>
  <c r="G3095" i="12"/>
  <c r="O3095" i="12" s="1"/>
  <c r="G3096" i="12"/>
  <c r="G3170" i="12" s="1"/>
  <c r="G3395" i="12" s="1"/>
  <c r="G3097" i="12"/>
  <c r="O3097" i="12" s="1"/>
  <c r="G3098" i="12"/>
  <c r="G3099" i="12"/>
  <c r="G3173" i="12" s="1"/>
  <c r="G3398" i="12" s="1"/>
  <c r="G3100" i="12"/>
  <c r="G3101" i="12"/>
  <c r="O3101" i="12" s="1"/>
  <c r="G3102" i="12"/>
  <c r="G3103" i="12"/>
  <c r="O3103" i="12" s="1"/>
  <c r="G3104" i="12"/>
  <c r="O3104" i="12" s="1"/>
  <c r="G3105" i="12"/>
  <c r="G3106" i="12"/>
  <c r="O3106" i="12" s="1"/>
  <c r="G3107" i="12"/>
  <c r="O3107" i="12" s="1"/>
  <c r="G3108" i="12"/>
  <c r="G3182" i="12" s="1"/>
  <c r="G3478" i="12" s="1"/>
  <c r="A3111" i="12"/>
  <c r="G3113" i="12"/>
  <c r="O3113" i="12" s="1"/>
  <c r="G3114" i="12"/>
  <c r="G3115" i="12"/>
  <c r="G3116" i="12"/>
  <c r="A3119" i="12"/>
  <c r="B3121" i="12"/>
  <c r="B3346" i="12" s="1"/>
  <c r="B3417" i="12" s="1"/>
  <c r="B3122" i="12"/>
  <c r="B3205" i="12" s="1"/>
  <c r="B3276" i="12" s="1"/>
  <c r="B3738" i="12" s="1"/>
  <c r="B3123" i="12"/>
  <c r="B3124" i="12"/>
  <c r="B3349" i="12" s="1"/>
  <c r="B3420" i="12" s="1"/>
  <c r="B3491" i="12" s="1"/>
  <c r="B3562" i="12" s="1"/>
  <c r="B3125" i="12"/>
  <c r="B3126" i="12"/>
  <c r="B3209" i="12" s="1"/>
  <c r="B3280" i="12" s="1"/>
  <c r="B3742" i="12" s="1"/>
  <c r="B3127" i="12"/>
  <c r="B3352" i="12" s="1"/>
  <c r="B3423" i="12" s="1"/>
  <c r="B3128" i="12"/>
  <c r="B3353" i="12" s="1"/>
  <c r="B3424" i="12" s="1"/>
  <c r="B3495" i="12" s="1"/>
  <c r="B3566" i="12" s="1"/>
  <c r="B3129" i="12"/>
  <c r="B3130" i="12"/>
  <c r="B3131" i="12"/>
  <c r="B3214" i="12" s="1"/>
  <c r="B3285" i="12" s="1"/>
  <c r="B3747" i="12" s="1"/>
  <c r="B3132" i="12"/>
  <c r="B3215" i="12" s="1"/>
  <c r="B3286" i="12" s="1"/>
  <c r="B3748" i="12" s="1"/>
  <c r="B3133" i="12"/>
  <c r="B3134" i="12"/>
  <c r="B3359" i="12" s="1"/>
  <c r="B3430" i="12" s="1"/>
  <c r="B3501" i="12" s="1"/>
  <c r="B3572" i="12" s="1"/>
  <c r="B3135" i="12"/>
  <c r="B3136" i="12"/>
  <c r="B3361" i="12" s="1"/>
  <c r="B3432" i="12" s="1"/>
  <c r="B3503" i="12" s="1"/>
  <c r="B3574" i="12" s="1"/>
  <c r="B3137" i="12"/>
  <c r="B3220" i="12" s="1"/>
  <c r="B3291" i="12" s="1"/>
  <c r="B3753" i="12" s="1"/>
  <c r="B3138" i="12"/>
  <c r="B3221" i="12" s="1"/>
  <c r="B3292" i="12" s="1"/>
  <c r="B3754" i="12" s="1"/>
  <c r="B3139" i="12"/>
  <c r="B3364" i="12" s="1"/>
  <c r="B3435" i="12" s="1"/>
  <c r="B3140" i="12"/>
  <c r="B3365" i="12" s="1"/>
  <c r="B3436" i="12" s="1"/>
  <c r="B3141" i="12"/>
  <c r="B3142" i="12"/>
  <c r="B3367" i="12" s="1"/>
  <c r="B3438" i="12" s="1"/>
  <c r="B3829" i="12" s="1"/>
  <c r="B3143" i="12"/>
  <c r="B3226" i="12" s="1"/>
  <c r="B3144" i="12"/>
  <c r="B3227" i="12" s="1"/>
  <c r="B3298" i="12" s="1"/>
  <c r="B3760" i="12" s="1"/>
  <c r="B3145" i="12"/>
  <c r="B3370" i="12" s="1"/>
  <c r="B3441" i="12" s="1"/>
  <c r="B3146" i="12"/>
  <c r="B3229" i="12" s="1"/>
  <c r="B3300" i="12" s="1"/>
  <c r="B3762" i="12" s="1"/>
  <c r="B3147" i="12"/>
  <c r="B3148" i="12"/>
  <c r="B3373" i="12" s="1"/>
  <c r="B3444" i="12" s="1"/>
  <c r="B3515" i="12" s="1"/>
  <c r="B3586" i="12" s="1"/>
  <c r="B3149" i="12"/>
  <c r="B3374" i="12" s="1"/>
  <c r="B3445" i="12" s="1"/>
  <c r="B3150" i="12"/>
  <c r="B3233" i="12" s="1"/>
  <c r="B3304" i="12" s="1"/>
  <c r="B3766" i="12" s="1"/>
  <c r="B3151" i="12"/>
  <c r="B3376" i="12" s="1"/>
  <c r="B3447" i="12" s="1"/>
  <c r="B3152" i="12"/>
  <c r="B3153" i="12"/>
  <c r="B3154" i="12"/>
  <c r="B3379" i="12" s="1"/>
  <c r="B3450" i="12" s="1"/>
  <c r="B3841" i="12" s="1"/>
  <c r="B3155" i="12"/>
  <c r="B3156" i="12"/>
  <c r="B3239" i="12" s="1"/>
  <c r="B3310" i="12" s="1"/>
  <c r="B3772" i="12" s="1"/>
  <c r="B3157" i="12"/>
  <c r="B3382" i="12" s="1"/>
  <c r="B3453" i="12" s="1"/>
  <c r="B3158" i="12"/>
  <c r="B3383" i="12" s="1"/>
  <c r="B3454" i="12" s="1"/>
  <c r="B3525" i="12" s="1"/>
  <c r="B3596" i="12" s="1"/>
  <c r="B3159" i="12"/>
  <c r="B3242" i="12" s="1"/>
  <c r="B3313" i="12" s="1"/>
  <c r="B3775" i="12" s="1"/>
  <c r="B3160" i="12"/>
  <c r="B3161" i="12"/>
  <c r="B3244" i="12" s="1"/>
  <c r="B3315" i="12" s="1"/>
  <c r="B3777" i="12" s="1"/>
  <c r="B3162" i="12"/>
  <c r="B3245" i="12" s="1"/>
  <c r="B3163" i="12"/>
  <c r="B3164" i="12"/>
  <c r="B3247" i="12" s="1"/>
  <c r="B3318" i="12" s="1"/>
  <c r="B3780" i="12" s="1"/>
  <c r="B3165" i="12"/>
  <c r="B3166" i="12"/>
  <c r="B3391" i="12" s="1"/>
  <c r="B3462" i="12" s="1"/>
  <c r="B3533" i="12" s="1"/>
  <c r="B3604" i="12" s="1"/>
  <c r="B3167" i="12"/>
  <c r="B3250" i="12" s="1"/>
  <c r="B3168" i="12"/>
  <c r="B3251" i="12" s="1"/>
  <c r="B3322" i="12" s="1"/>
  <c r="B3784" i="12" s="1"/>
  <c r="B3169" i="12"/>
  <c r="B3170" i="12"/>
  <c r="B3395" i="12" s="1"/>
  <c r="B3466" i="12" s="1"/>
  <c r="B3171" i="12"/>
  <c r="B3172" i="12"/>
  <c r="B3397" i="12" s="1"/>
  <c r="B3468" i="12" s="1"/>
  <c r="B3859" i="12" s="1"/>
  <c r="B3173" i="12"/>
  <c r="B3256" i="12" s="1"/>
  <c r="B3174" i="12"/>
  <c r="B3175" i="12"/>
  <c r="B3400" i="12" s="1"/>
  <c r="B3471" i="12" s="1"/>
  <c r="B3176" i="12"/>
  <c r="B3259" i="12" s="1"/>
  <c r="B3330" i="12" s="1"/>
  <c r="B3792" i="12" s="1"/>
  <c r="B3177" i="12"/>
  <c r="B3178" i="12"/>
  <c r="B3179" i="12"/>
  <c r="B3404" i="12" s="1"/>
  <c r="B3475" i="12" s="1"/>
  <c r="B3546" i="12" s="1"/>
  <c r="B3617" i="12" s="1"/>
  <c r="B3180" i="12"/>
  <c r="B3263" i="12" s="1"/>
  <c r="B3334" i="12" s="1"/>
  <c r="B3796" i="12" s="1"/>
  <c r="B3181" i="12"/>
  <c r="B3182" i="12"/>
  <c r="B3265" i="12" s="1"/>
  <c r="B3336" i="12" s="1"/>
  <c r="B3798" i="12" s="1"/>
  <c r="B3183" i="12"/>
  <c r="B3184" i="12"/>
  <c r="B3185" i="12"/>
  <c r="B3268" i="12" s="1"/>
  <c r="B3186" i="12"/>
  <c r="B3269" i="12" s="1"/>
  <c r="B3340" i="12" s="1"/>
  <c r="B3802" i="12" s="1"/>
  <c r="A3189" i="12"/>
  <c r="A3193" i="12"/>
  <c r="N3196" i="12"/>
  <c r="A3201" i="12"/>
  <c r="N3204" i="12"/>
  <c r="N3666" i="12" s="1"/>
  <c r="K3666" i="12" s="1"/>
  <c r="N3205" i="12"/>
  <c r="N3667" i="12" s="1"/>
  <c r="K3667" i="12" s="1"/>
  <c r="N3206" i="12"/>
  <c r="N3668" i="12" s="1"/>
  <c r="K3668" i="12" s="1"/>
  <c r="N3207" i="12"/>
  <c r="N3669" i="12" s="1"/>
  <c r="K3669" i="12" s="1"/>
  <c r="N3208" i="12"/>
  <c r="N3670" i="12" s="1"/>
  <c r="K3670" i="12" s="1"/>
  <c r="N3209" i="12"/>
  <c r="N3671" i="12" s="1"/>
  <c r="K3671" i="12" s="1"/>
  <c r="N3210" i="12"/>
  <c r="N3672" i="12" s="1"/>
  <c r="K3672" i="12" s="1"/>
  <c r="N3211" i="12"/>
  <c r="N3673" i="12" s="1"/>
  <c r="K3673" i="12" s="1"/>
  <c r="N3212" i="12"/>
  <c r="N3674" i="12" s="1"/>
  <c r="K3674" i="12" s="1"/>
  <c r="N3213" i="12"/>
  <c r="N3675" i="12" s="1"/>
  <c r="K3675" i="12" s="1"/>
  <c r="N3214" i="12"/>
  <c r="N3676" i="12" s="1"/>
  <c r="K3676" i="12" s="1"/>
  <c r="N3215" i="12"/>
  <c r="N3677" i="12" s="1"/>
  <c r="K3677" i="12" s="1"/>
  <c r="N3216" i="12"/>
  <c r="N3678" i="12" s="1"/>
  <c r="K3678" i="12" s="1"/>
  <c r="N3217" i="12"/>
  <c r="N3679" i="12" s="1"/>
  <c r="K3679" i="12" s="1"/>
  <c r="N3218" i="12"/>
  <c r="N3680" i="12" s="1"/>
  <c r="K3680" i="12" s="1"/>
  <c r="N3219" i="12"/>
  <c r="N3681" i="12" s="1"/>
  <c r="K3681" i="12" s="1"/>
  <c r="N3220" i="12"/>
  <c r="N3682" i="12" s="1"/>
  <c r="K3682" i="12" s="1"/>
  <c r="N3221" i="12"/>
  <c r="N3683" i="12" s="1"/>
  <c r="K3683" i="12" s="1"/>
  <c r="N3222" i="12"/>
  <c r="N3684" i="12" s="1"/>
  <c r="K3684" i="12" s="1"/>
  <c r="N3223" i="12"/>
  <c r="N3685" i="12" s="1"/>
  <c r="K3685" i="12" s="1"/>
  <c r="N3224" i="12"/>
  <c r="N3686" i="12" s="1"/>
  <c r="K3686" i="12" s="1"/>
  <c r="N3225" i="12"/>
  <c r="N3687" i="12" s="1"/>
  <c r="K3687" i="12" s="1"/>
  <c r="N3226" i="12"/>
  <c r="N3688" i="12" s="1"/>
  <c r="K3688" i="12" s="1"/>
  <c r="N3227" i="12"/>
  <c r="N3689" i="12" s="1"/>
  <c r="K3689" i="12" s="1"/>
  <c r="N3228" i="12"/>
  <c r="N3690" i="12" s="1"/>
  <c r="K3690" i="12" s="1"/>
  <c r="N3229" i="12"/>
  <c r="N3691" i="12" s="1"/>
  <c r="K3691" i="12" s="1"/>
  <c r="N3230" i="12"/>
  <c r="N3692" i="12" s="1"/>
  <c r="K3692" i="12" s="1"/>
  <c r="N3231" i="12"/>
  <c r="N3693" i="12" s="1"/>
  <c r="K3693" i="12" s="1"/>
  <c r="N3232" i="12"/>
  <c r="N3694" i="12" s="1"/>
  <c r="K3694" i="12" s="1"/>
  <c r="N3233" i="12"/>
  <c r="N3695" i="12" s="1"/>
  <c r="K3695" i="12" s="1"/>
  <c r="N3234" i="12"/>
  <c r="N3696" i="12" s="1"/>
  <c r="K3696" i="12" s="1"/>
  <c r="N3235" i="12"/>
  <c r="N3697" i="12" s="1"/>
  <c r="K3697" i="12" s="1"/>
  <c r="N3236" i="12"/>
  <c r="N3698" i="12" s="1"/>
  <c r="K3698" i="12" s="1"/>
  <c r="N3237" i="12"/>
  <c r="N3699" i="12" s="1"/>
  <c r="K3699" i="12" s="1"/>
  <c r="N3238" i="12"/>
  <c r="N3700" i="12" s="1"/>
  <c r="K3700" i="12" s="1"/>
  <c r="N3239" i="12"/>
  <c r="N3701" i="12" s="1"/>
  <c r="K3701" i="12" s="1"/>
  <c r="N3240" i="12"/>
  <c r="N3702" i="12" s="1"/>
  <c r="K3702" i="12" s="1"/>
  <c r="N3241" i="12"/>
  <c r="N3703" i="12" s="1"/>
  <c r="K3703" i="12" s="1"/>
  <c r="N3242" i="12"/>
  <c r="N3704" i="12" s="1"/>
  <c r="K3704" i="12" s="1"/>
  <c r="N3243" i="12"/>
  <c r="N3705" i="12" s="1"/>
  <c r="K3705" i="12" s="1"/>
  <c r="N3244" i="12"/>
  <c r="N3706" i="12" s="1"/>
  <c r="K3706" i="12" s="1"/>
  <c r="N3245" i="12"/>
  <c r="N3707" i="12" s="1"/>
  <c r="K3707" i="12" s="1"/>
  <c r="N3246" i="12"/>
  <c r="N3708" i="12" s="1"/>
  <c r="K3708" i="12" s="1"/>
  <c r="N3247" i="12"/>
  <c r="N3709" i="12" s="1"/>
  <c r="K3709" i="12" s="1"/>
  <c r="N3248" i="12"/>
  <c r="N3710" i="12" s="1"/>
  <c r="K3710" i="12" s="1"/>
  <c r="N3249" i="12"/>
  <c r="N3711" i="12" s="1"/>
  <c r="K3711" i="12" s="1"/>
  <c r="N3250" i="12"/>
  <c r="N3712" i="12" s="1"/>
  <c r="K3712" i="12" s="1"/>
  <c r="N3251" i="12"/>
  <c r="N3713" i="12" s="1"/>
  <c r="K3713" i="12" s="1"/>
  <c r="N3252" i="12"/>
  <c r="N3714" i="12" s="1"/>
  <c r="K3714" i="12" s="1"/>
  <c r="N3253" i="12"/>
  <c r="N3715" i="12" s="1"/>
  <c r="K3715" i="12" s="1"/>
  <c r="N3254" i="12"/>
  <c r="N3716" i="12" s="1"/>
  <c r="K3716" i="12" s="1"/>
  <c r="N3255" i="12"/>
  <c r="N3717" i="12" s="1"/>
  <c r="K3717" i="12" s="1"/>
  <c r="N3256" i="12"/>
  <c r="N3718" i="12" s="1"/>
  <c r="K3718" i="12" s="1"/>
  <c r="N3257" i="12"/>
  <c r="N3719" i="12" s="1"/>
  <c r="K3719" i="12" s="1"/>
  <c r="N3258" i="12"/>
  <c r="N3720" i="12" s="1"/>
  <c r="K3720" i="12" s="1"/>
  <c r="N3259" i="12"/>
  <c r="N3721" i="12" s="1"/>
  <c r="K3721" i="12" s="1"/>
  <c r="N3260" i="12"/>
  <c r="N3722" i="12" s="1"/>
  <c r="K3722" i="12" s="1"/>
  <c r="N3261" i="12"/>
  <c r="N3723" i="12" s="1"/>
  <c r="K3723" i="12" s="1"/>
  <c r="N3262" i="12"/>
  <c r="N3724" i="12" s="1"/>
  <c r="K3724" i="12" s="1"/>
  <c r="N3263" i="12"/>
  <c r="N3725" i="12" s="1"/>
  <c r="K3725" i="12" s="1"/>
  <c r="N3264" i="12"/>
  <c r="N3726" i="12" s="1"/>
  <c r="K3726" i="12" s="1"/>
  <c r="N3265" i="12"/>
  <c r="N3727" i="12" s="1"/>
  <c r="K3727" i="12" s="1"/>
  <c r="N3266" i="12"/>
  <c r="N3728" i="12" s="1"/>
  <c r="K3728" i="12" s="1"/>
  <c r="N3267" i="12"/>
  <c r="N3729" i="12" s="1"/>
  <c r="K3729" i="12" s="1"/>
  <c r="N3268" i="12"/>
  <c r="N3730" i="12" s="1"/>
  <c r="K3730" i="12" s="1"/>
  <c r="N3269" i="12"/>
  <c r="N3731" i="12" s="1"/>
  <c r="K3731" i="12" s="1"/>
  <c r="A3272" i="12"/>
  <c r="B3274" i="12"/>
  <c r="N3275" i="12"/>
  <c r="N3737" i="12" s="1"/>
  <c r="K3737" i="12" s="1"/>
  <c r="N3276" i="12"/>
  <c r="N3738" i="12" s="1"/>
  <c r="K3738" i="12" s="1"/>
  <c r="N3277" i="12"/>
  <c r="N3739" i="12" s="1"/>
  <c r="K3739" i="12" s="1"/>
  <c r="N3278" i="12"/>
  <c r="N3740" i="12" s="1"/>
  <c r="K3740" i="12" s="1"/>
  <c r="N3279" i="12"/>
  <c r="N3741" i="12" s="1"/>
  <c r="K3741" i="12" s="1"/>
  <c r="N3280" i="12"/>
  <c r="N3742" i="12" s="1"/>
  <c r="K3742" i="12" s="1"/>
  <c r="N3281" i="12"/>
  <c r="N3743" i="12" s="1"/>
  <c r="K3743" i="12" s="1"/>
  <c r="N3282" i="12"/>
  <c r="N3744" i="12" s="1"/>
  <c r="K3744" i="12" s="1"/>
  <c r="N3283" i="12"/>
  <c r="N3745" i="12" s="1"/>
  <c r="K3745" i="12" s="1"/>
  <c r="N3284" i="12"/>
  <c r="N3746" i="12" s="1"/>
  <c r="K3746" i="12" s="1"/>
  <c r="N3285" i="12"/>
  <c r="N3747" i="12" s="1"/>
  <c r="K3747" i="12" s="1"/>
  <c r="N3286" i="12"/>
  <c r="N3748" i="12" s="1"/>
  <c r="K3748" i="12" s="1"/>
  <c r="N3287" i="12"/>
  <c r="N3749" i="12" s="1"/>
  <c r="K3749" i="12" s="1"/>
  <c r="N3288" i="12"/>
  <c r="N3750" i="12" s="1"/>
  <c r="K3750" i="12" s="1"/>
  <c r="N3289" i="12"/>
  <c r="N3751" i="12" s="1"/>
  <c r="K3751" i="12" s="1"/>
  <c r="N3290" i="12"/>
  <c r="N3752" i="12" s="1"/>
  <c r="K3752" i="12" s="1"/>
  <c r="N3291" i="12"/>
  <c r="N3753" i="12" s="1"/>
  <c r="K3753" i="12" s="1"/>
  <c r="N3292" i="12"/>
  <c r="N3754" i="12" s="1"/>
  <c r="K3754" i="12" s="1"/>
  <c r="N3293" i="12"/>
  <c r="N3755" i="12" s="1"/>
  <c r="K3755" i="12" s="1"/>
  <c r="N3294" i="12"/>
  <c r="N3756" i="12" s="1"/>
  <c r="K3756" i="12" s="1"/>
  <c r="N3295" i="12"/>
  <c r="N3757" i="12" s="1"/>
  <c r="K3757" i="12" s="1"/>
  <c r="N3296" i="12"/>
  <c r="N3758" i="12" s="1"/>
  <c r="K3758" i="12" s="1"/>
  <c r="N3297" i="12"/>
  <c r="N3759" i="12" s="1"/>
  <c r="K3759" i="12" s="1"/>
  <c r="N3298" i="12"/>
  <c r="N3760" i="12" s="1"/>
  <c r="K3760" i="12" s="1"/>
  <c r="N3299" i="12"/>
  <c r="N3761" i="12" s="1"/>
  <c r="K3761" i="12" s="1"/>
  <c r="N3300" i="12"/>
  <c r="N3762" i="12" s="1"/>
  <c r="K3762" i="12" s="1"/>
  <c r="N3301" i="12"/>
  <c r="N3763" i="12" s="1"/>
  <c r="K3763" i="12" s="1"/>
  <c r="N3302" i="12"/>
  <c r="N3764" i="12" s="1"/>
  <c r="K3764" i="12" s="1"/>
  <c r="N3303" i="12"/>
  <c r="N3765" i="12" s="1"/>
  <c r="K3765" i="12" s="1"/>
  <c r="N3304" i="12"/>
  <c r="N3766" i="12" s="1"/>
  <c r="K3766" i="12" s="1"/>
  <c r="N3305" i="12"/>
  <c r="N3767" i="12" s="1"/>
  <c r="K3767" i="12" s="1"/>
  <c r="N3306" i="12"/>
  <c r="N3768" i="12" s="1"/>
  <c r="K3768" i="12" s="1"/>
  <c r="N3307" i="12"/>
  <c r="N3769" i="12" s="1"/>
  <c r="K3769" i="12" s="1"/>
  <c r="N3308" i="12"/>
  <c r="N3770" i="12" s="1"/>
  <c r="K3770" i="12" s="1"/>
  <c r="N3309" i="12"/>
  <c r="N3771" i="12" s="1"/>
  <c r="K3771" i="12" s="1"/>
  <c r="N3310" i="12"/>
  <c r="N3772" i="12" s="1"/>
  <c r="K3772" i="12" s="1"/>
  <c r="N3311" i="12"/>
  <c r="N3773" i="12" s="1"/>
  <c r="K3773" i="12" s="1"/>
  <c r="N3312" i="12"/>
  <c r="N3774" i="12" s="1"/>
  <c r="K3774" i="12" s="1"/>
  <c r="N3313" i="12"/>
  <c r="N3775" i="12" s="1"/>
  <c r="K3775" i="12" s="1"/>
  <c r="N3314" i="12"/>
  <c r="N3776" i="12" s="1"/>
  <c r="K3776" i="12" s="1"/>
  <c r="N3315" i="12"/>
  <c r="N3777" i="12" s="1"/>
  <c r="K3777" i="12" s="1"/>
  <c r="N3316" i="12"/>
  <c r="N3778" i="12" s="1"/>
  <c r="K3778" i="12" s="1"/>
  <c r="N3317" i="12"/>
  <c r="N3779" i="12" s="1"/>
  <c r="K3779" i="12" s="1"/>
  <c r="N3318" i="12"/>
  <c r="N3780" i="12" s="1"/>
  <c r="K3780" i="12" s="1"/>
  <c r="N3319" i="12"/>
  <c r="N3781" i="12" s="1"/>
  <c r="K3781" i="12" s="1"/>
  <c r="N3320" i="12"/>
  <c r="N3782" i="12" s="1"/>
  <c r="K3782" i="12" s="1"/>
  <c r="N3321" i="12"/>
  <c r="N3783" i="12" s="1"/>
  <c r="K3783" i="12" s="1"/>
  <c r="N3322" i="12"/>
  <c r="N3784" i="12" s="1"/>
  <c r="K3784" i="12" s="1"/>
  <c r="N3323" i="12"/>
  <c r="N3785" i="12" s="1"/>
  <c r="K3785" i="12" s="1"/>
  <c r="N3324" i="12"/>
  <c r="N3786" i="12" s="1"/>
  <c r="K3786" i="12" s="1"/>
  <c r="N3325" i="12"/>
  <c r="N3787" i="12" s="1"/>
  <c r="K3787" i="12" s="1"/>
  <c r="N3326" i="12"/>
  <c r="N3788" i="12" s="1"/>
  <c r="K3788" i="12" s="1"/>
  <c r="N3327" i="12"/>
  <c r="N3789" i="12" s="1"/>
  <c r="K3789" i="12" s="1"/>
  <c r="N3328" i="12"/>
  <c r="N3790" i="12" s="1"/>
  <c r="K3790" i="12" s="1"/>
  <c r="N3329" i="12"/>
  <c r="N3791" i="12" s="1"/>
  <c r="K3791" i="12" s="1"/>
  <c r="N3330" i="12"/>
  <c r="N3792" i="12" s="1"/>
  <c r="K3792" i="12" s="1"/>
  <c r="N3331" i="12"/>
  <c r="N3793" i="12" s="1"/>
  <c r="K3793" i="12" s="1"/>
  <c r="N3332" i="12"/>
  <c r="N3794" i="12" s="1"/>
  <c r="K3794" i="12" s="1"/>
  <c r="N3333" i="12"/>
  <c r="N3795" i="12" s="1"/>
  <c r="K3795" i="12" s="1"/>
  <c r="N3334" i="12"/>
  <c r="N3796" i="12" s="1"/>
  <c r="K3796" i="12" s="1"/>
  <c r="N3335" i="12"/>
  <c r="N3797" i="12" s="1"/>
  <c r="K3797" i="12" s="1"/>
  <c r="N3336" i="12"/>
  <c r="N3798" i="12" s="1"/>
  <c r="K3798" i="12" s="1"/>
  <c r="N3337" i="12"/>
  <c r="N3799" i="12" s="1"/>
  <c r="K3799" i="12" s="1"/>
  <c r="N3338" i="12"/>
  <c r="N3800" i="12" s="1"/>
  <c r="K3800" i="12" s="1"/>
  <c r="N3339" i="12"/>
  <c r="N3801" i="12" s="1"/>
  <c r="K3801" i="12" s="1"/>
  <c r="N3340" i="12"/>
  <c r="N3802" i="12" s="1"/>
  <c r="K3802" i="12" s="1"/>
  <c r="A3343" i="12"/>
  <c r="N3346" i="12"/>
  <c r="N3347" i="12"/>
  <c r="N3348" i="12"/>
  <c r="N3349" i="12"/>
  <c r="N3350" i="12"/>
  <c r="N3351" i="12"/>
  <c r="N3352" i="12"/>
  <c r="N3353" i="12"/>
  <c r="N3354" i="12"/>
  <c r="N3355" i="12"/>
  <c r="N3356" i="12"/>
  <c r="N3357" i="12"/>
  <c r="N3358" i="12"/>
  <c r="N3359" i="12"/>
  <c r="N3360" i="12"/>
  <c r="N3361" i="12"/>
  <c r="N3362" i="12"/>
  <c r="N3363" i="12"/>
  <c r="N3364" i="12"/>
  <c r="N3365" i="12"/>
  <c r="N3366" i="12"/>
  <c r="N3367" i="12"/>
  <c r="N3368" i="12"/>
  <c r="N3369" i="12"/>
  <c r="N3370" i="12"/>
  <c r="N3371" i="12"/>
  <c r="N3372" i="12"/>
  <c r="N3373" i="12"/>
  <c r="N3374" i="12"/>
  <c r="N3375" i="12"/>
  <c r="N3376" i="12"/>
  <c r="N3377" i="12"/>
  <c r="N3378" i="12"/>
  <c r="N3379" i="12"/>
  <c r="N3380" i="12"/>
  <c r="N3381" i="12"/>
  <c r="N3382" i="12"/>
  <c r="N3383" i="12"/>
  <c r="N3384" i="12"/>
  <c r="N3385" i="12"/>
  <c r="N3386" i="12"/>
  <c r="N3387" i="12"/>
  <c r="N3388" i="12"/>
  <c r="N3389" i="12"/>
  <c r="N3390" i="12"/>
  <c r="N3391" i="12"/>
  <c r="N3392" i="12"/>
  <c r="N3393" i="12"/>
  <c r="N3394" i="12"/>
  <c r="N3395" i="12"/>
  <c r="N3396" i="12"/>
  <c r="N3397" i="12"/>
  <c r="N3398" i="12"/>
  <c r="N3399" i="12"/>
  <c r="N3400" i="12"/>
  <c r="N3401" i="12"/>
  <c r="N3402" i="12"/>
  <c r="N3403" i="12"/>
  <c r="N3404" i="12"/>
  <c r="N3405" i="12"/>
  <c r="N3406" i="12"/>
  <c r="N3407" i="12"/>
  <c r="N3408" i="12"/>
  <c r="N3409" i="12"/>
  <c r="N3410" i="12"/>
  <c r="N3411" i="12"/>
  <c r="A3414" i="12"/>
  <c r="N3417" i="12"/>
  <c r="N3418" i="12"/>
  <c r="N3419" i="12"/>
  <c r="N3420" i="12"/>
  <c r="N3421" i="12"/>
  <c r="N3422" i="12"/>
  <c r="N3423" i="12"/>
  <c r="N3424" i="12"/>
  <c r="N3425" i="12"/>
  <c r="N3426" i="12"/>
  <c r="N3427" i="12"/>
  <c r="N3428" i="12"/>
  <c r="N3429" i="12"/>
  <c r="N3430" i="12"/>
  <c r="N3431" i="12"/>
  <c r="N3432" i="12"/>
  <c r="N3433" i="12"/>
  <c r="N3434" i="12"/>
  <c r="N3435" i="12"/>
  <c r="N3436" i="12"/>
  <c r="N3437" i="12"/>
  <c r="N3438" i="12"/>
  <c r="N3439" i="12"/>
  <c r="N3440" i="12"/>
  <c r="N3441" i="12"/>
  <c r="N3442" i="12"/>
  <c r="N3443" i="12"/>
  <c r="N3444" i="12"/>
  <c r="N3445" i="12"/>
  <c r="N3446" i="12"/>
  <c r="N3447" i="12"/>
  <c r="N3448" i="12"/>
  <c r="N3449" i="12"/>
  <c r="N3450" i="12"/>
  <c r="N3451" i="12"/>
  <c r="N3452" i="12"/>
  <c r="N3453" i="12"/>
  <c r="N3454" i="12"/>
  <c r="N3455" i="12"/>
  <c r="N3456" i="12"/>
  <c r="N3457" i="12"/>
  <c r="N3458" i="12"/>
  <c r="N3459" i="12"/>
  <c r="N3460" i="12"/>
  <c r="N3461" i="12"/>
  <c r="N3462" i="12"/>
  <c r="N3463" i="12"/>
  <c r="N3464" i="12"/>
  <c r="N3465" i="12"/>
  <c r="N3466" i="12"/>
  <c r="N3467" i="12"/>
  <c r="N3468" i="12"/>
  <c r="N3469" i="12"/>
  <c r="N3470" i="12"/>
  <c r="N3471" i="12"/>
  <c r="N3472" i="12"/>
  <c r="N3473" i="12"/>
  <c r="N3474" i="12"/>
  <c r="N3475" i="12"/>
  <c r="N3476" i="12"/>
  <c r="N3477" i="12"/>
  <c r="N3478" i="12"/>
  <c r="N3479" i="12"/>
  <c r="N3480" i="12"/>
  <c r="N3481" i="12"/>
  <c r="N3482" i="12"/>
  <c r="A3485" i="12"/>
  <c r="N3488" i="12"/>
  <c r="N3489" i="12"/>
  <c r="N3490" i="12"/>
  <c r="N3491" i="12"/>
  <c r="N3492" i="12"/>
  <c r="N3493" i="12"/>
  <c r="N3494" i="12"/>
  <c r="N3495" i="12"/>
  <c r="N3496" i="12"/>
  <c r="N3497" i="12"/>
  <c r="N3498" i="12"/>
  <c r="N3499" i="12"/>
  <c r="N3500" i="12"/>
  <c r="N3501" i="12"/>
  <c r="N3502" i="12"/>
  <c r="N3503" i="12"/>
  <c r="N3504" i="12"/>
  <c r="N3505" i="12"/>
  <c r="N3506" i="12"/>
  <c r="N3507" i="12"/>
  <c r="N3508" i="12"/>
  <c r="N3509" i="12"/>
  <c r="N3510" i="12"/>
  <c r="N3511" i="12"/>
  <c r="N3512" i="12"/>
  <c r="N3513" i="12"/>
  <c r="N3514" i="12"/>
  <c r="N3515" i="12"/>
  <c r="N3516" i="12"/>
  <c r="N3517" i="12"/>
  <c r="N3518" i="12"/>
  <c r="N3519" i="12"/>
  <c r="N3520" i="12"/>
  <c r="N3521" i="12"/>
  <c r="N3522" i="12"/>
  <c r="N3523" i="12"/>
  <c r="N3524" i="12"/>
  <c r="N3525" i="12"/>
  <c r="N3526" i="12"/>
  <c r="N3527" i="12"/>
  <c r="N3528" i="12"/>
  <c r="N3529" i="12"/>
  <c r="N3530" i="12"/>
  <c r="N3531" i="12"/>
  <c r="N3532" i="12"/>
  <c r="N3533" i="12"/>
  <c r="N3534" i="12"/>
  <c r="N3535" i="12"/>
  <c r="N3536" i="12"/>
  <c r="N3537" i="12"/>
  <c r="N3538" i="12"/>
  <c r="N3539" i="12"/>
  <c r="N3540" i="12"/>
  <c r="N3541" i="12"/>
  <c r="N3542" i="12"/>
  <c r="N3543" i="12"/>
  <c r="N3544" i="12"/>
  <c r="N3545" i="12"/>
  <c r="N3546" i="12"/>
  <c r="N3547" i="12"/>
  <c r="N3548" i="12"/>
  <c r="N3549" i="12"/>
  <c r="N3550" i="12"/>
  <c r="N3551" i="12"/>
  <c r="N3552" i="12"/>
  <c r="N3553" i="12"/>
  <c r="A3556" i="12"/>
  <c r="B3558" i="12"/>
  <c r="E3559" i="12"/>
  <c r="F3559" i="12"/>
  <c r="J3559" i="12"/>
  <c r="E3560" i="12"/>
  <c r="F3560" i="12"/>
  <c r="J3560" i="12"/>
  <c r="E3561" i="12"/>
  <c r="F3561" i="12"/>
  <c r="J3561" i="12"/>
  <c r="E3562" i="12"/>
  <c r="F3562" i="12"/>
  <c r="J3562" i="12"/>
  <c r="E3563" i="12"/>
  <c r="F3563" i="12"/>
  <c r="J3563" i="12"/>
  <c r="E3564" i="12"/>
  <c r="F3564" i="12"/>
  <c r="J3564" i="12"/>
  <c r="E3565" i="12"/>
  <c r="F3565" i="12"/>
  <c r="J3565" i="12"/>
  <c r="E3566" i="12"/>
  <c r="F3566" i="12"/>
  <c r="J3566" i="12"/>
  <c r="E3567" i="12"/>
  <c r="F3567" i="12"/>
  <c r="J3567" i="12"/>
  <c r="E3568" i="12"/>
  <c r="F3568" i="12"/>
  <c r="J3568" i="12"/>
  <c r="E3569" i="12"/>
  <c r="F3569" i="12"/>
  <c r="J3569" i="12"/>
  <c r="E3570" i="12"/>
  <c r="F3570" i="12"/>
  <c r="J3570" i="12"/>
  <c r="E3571" i="12"/>
  <c r="F3571" i="12"/>
  <c r="J3571" i="12"/>
  <c r="E3572" i="12"/>
  <c r="F3572" i="12"/>
  <c r="J3572" i="12"/>
  <c r="E3573" i="12"/>
  <c r="F3573" i="12"/>
  <c r="J3573" i="12"/>
  <c r="E3574" i="12"/>
  <c r="F3574" i="12"/>
  <c r="J3574" i="12"/>
  <c r="E3575" i="12"/>
  <c r="F3575" i="12"/>
  <c r="J3575" i="12"/>
  <c r="E3576" i="12"/>
  <c r="F3576" i="12"/>
  <c r="J3576" i="12"/>
  <c r="E3577" i="12"/>
  <c r="F3577" i="12"/>
  <c r="J3577" i="12"/>
  <c r="E3578" i="12"/>
  <c r="F3578" i="12"/>
  <c r="J3578" i="12"/>
  <c r="E3579" i="12"/>
  <c r="F3579" i="12"/>
  <c r="J3579" i="12"/>
  <c r="E3580" i="12"/>
  <c r="F3580" i="12"/>
  <c r="J3580" i="12"/>
  <c r="E3581" i="12"/>
  <c r="F3581" i="12"/>
  <c r="J3581" i="12"/>
  <c r="E3582" i="12"/>
  <c r="F3582" i="12"/>
  <c r="J3582" i="12"/>
  <c r="E3583" i="12"/>
  <c r="F3583" i="12"/>
  <c r="J3583" i="12"/>
  <c r="E3584" i="12"/>
  <c r="F3584" i="12"/>
  <c r="J3584" i="12"/>
  <c r="E3585" i="12"/>
  <c r="F3585" i="12"/>
  <c r="J3585" i="12"/>
  <c r="E3586" i="12"/>
  <c r="F3586" i="12"/>
  <c r="J3586" i="12"/>
  <c r="E3587" i="12"/>
  <c r="F3587" i="12"/>
  <c r="J3587" i="12"/>
  <c r="E3588" i="12"/>
  <c r="F3588" i="12"/>
  <c r="J3588" i="12"/>
  <c r="E3589" i="12"/>
  <c r="F3589" i="12"/>
  <c r="J3589" i="12"/>
  <c r="E3590" i="12"/>
  <c r="F3590" i="12"/>
  <c r="J3590" i="12"/>
  <c r="E3591" i="12"/>
  <c r="F3591" i="12"/>
  <c r="J3591" i="12"/>
  <c r="E3592" i="12"/>
  <c r="F3592" i="12"/>
  <c r="J3592" i="12"/>
  <c r="E3593" i="12"/>
  <c r="F3593" i="12"/>
  <c r="J3593" i="12"/>
  <c r="E3594" i="12"/>
  <c r="F3594" i="12"/>
  <c r="J3594" i="12"/>
  <c r="E3595" i="12"/>
  <c r="F3595" i="12"/>
  <c r="J3595" i="12"/>
  <c r="E3596" i="12"/>
  <c r="F3596" i="12"/>
  <c r="J3596" i="12"/>
  <c r="E3597" i="12"/>
  <c r="F3597" i="12"/>
  <c r="J3597" i="12"/>
  <c r="E3598" i="12"/>
  <c r="F3598" i="12"/>
  <c r="J3598" i="12"/>
  <c r="E3599" i="12"/>
  <c r="F3599" i="12"/>
  <c r="J3599" i="12"/>
  <c r="E3600" i="12"/>
  <c r="F3600" i="12"/>
  <c r="J3600" i="12"/>
  <c r="E3601" i="12"/>
  <c r="F3601" i="12"/>
  <c r="J3601" i="12"/>
  <c r="E3602" i="12"/>
  <c r="F3602" i="12"/>
  <c r="J3602" i="12"/>
  <c r="E3603" i="12"/>
  <c r="F3603" i="12"/>
  <c r="J3603" i="12"/>
  <c r="E3604" i="12"/>
  <c r="F3604" i="12"/>
  <c r="J3604" i="12"/>
  <c r="E3605" i="12"/>
  <c r="F3605" i="12"/>
  <c r="J3605" i="12"/>
  <c r="E3606" i="12"/>
  <c r="F3606" i="12"/>
  <c r="J3606" i="12"/>
  <c r="E3607" i="12"/>
  <c r="F3607" i="12"/>
  <c r="J3607" i="12"/>
  <c r="E3608" i="12"/>
  <c r="F3608" i="12"/>
  <c r="J3608" i="12"/>
  <c r="E3609" i="12"/>
  <c r="F3609" i="12"/>
  <c r="J3609" i="12"/>
  <c r="E3610" i="12"/>
  <c r="F3610" i="12"/>
  <c r="J3610" i="12"/>
  <c r="E3611" i="12"/>
  <c r="F3611" i="12"/>
  <c r="J3611" i="12"/>
  <c r="E3612" i="12"/>
  <c r="F3612" i="12"/>
  <c r="J3612" i="12"/>
  <c r="E3613" i="12"/>
  <c r="F3613" i="12"/>
  <c r="J3613" i="12"/>
  <c r="E3614" i="12"/>
  <c r="F3614" i="12"/>
  <c r="J3614" i="12"/>
  <c r="E3615" i="12"/>
  <c r="F3615" i="12"/>
  <c r="J3615" i="12"/>
  <c r="E3616" i="12"/>
  <c r="F3616" i="12"/>
  <c r="J3616" i="12"/>
  <c r="E3617" i="12"/>
  <c r="F3617" i="12"/>
  <c r="J3617" i="12"/>
  <c r="E3618" i="12"/>
  <c r="F3618" i="12"/>
  <c r="J3618" i="12"/>
  <c r="E3619" i="12"/>
  <c r="F3619" i="12"/>
  <c r="J3619" i="12"/>
  <c r="E3620" i="12"/>
  <c r="F3620" i="12"/>
  <c r="J3620" i="12"/>
  <c r="E3621" i="12"/>
  <c r="F3621" i="12"/>
  <c r="J3621" i="12"/>
  <c r="E3622" i="12"/>
  <c r="F3622" i="12"/>
  <c r="J3622" i="12"/>
  <c r="E3623" i="12"/>
  <c r="F3623" i="12"/>
  <c r="J3623" i="12"/>
  <c r="E3624" i="12"/>
  <c r="F3624" i="12"/>
  <c r="J3624" i="12"/>
  <c r="A3627" i="12"/>
  <c r="A3632" i="12"/>
  <c r="A3640" i="12"/>
  <c r="A3646" i="12"/>
  <c r="B3648" i="12"/>
  <c r="E3648" i="12"/>
  <c r="B3649" i="12"/>
  <c r="E3649" i="12"/>
  <c r="A3652" i="12"/>
  <c r="B3655" i="12"/>
  <c r="B3659" i="12" s="1"/>
  <c r="H3655" i="12"/>
  <c r="A3658" i="12"/>
  <c r="A3663" i="12"/>
  <c r="A3734" i="12"/>
  <c r="A3805" i="12"/>
  <c r="O86" i="14" l="1"/>
  <c r="O85" i="14"/>
  <c r="O84" i="14"/>
  <c r="O83" i="14"/>
  <c r="O94" i="14"/>
  <c r="O93" i="14"/>
  <c r="O92" i="14"/>
  <c r="O91" i="14"/>
  <c r="O90" i="14"/>
  <c r="O87" i="14"/>
  <c r="O89" i="14"/>
  <c r="O88" i="14"/>
  <c r="O82" i="14"/>
  <c r="O95" i="14" s="1"/>
  <c r="E1985" i="12"/>
  <c r="B3356" i="12"/>
  <c r="B3427" i="12" s="1"/>
  <c r="B3818" i="12" s="1"/>
  <c r="N2993" i="12"/>
  <c r="K2993" i="12" s="1"/>
  <c r="B3731" i="12"/>
  <c r="B3671" i="12"/>
  <c r="E1990" i="12"/>
  <c r="B3225" i="12"/>
  <c r="B3687" i="12" s="1"/>
  <c r="B3223" i="12"/>
  <c r="B3294" i="12" s="1"/>
  <c r="B3756" i="12" s="1"/>
  <c r="B3701" i="12"/>
  <c r="B3691" i="12"/>
  <c r="G3140" i="12"/>
  <c r="G3436" i="12" s="1"/>
  <c r="O3436" i="12" s="1"/>
  <c r="O3827" i="12" s="1"/>
  <c r="K3827" i="12" s="1"/>
  <c r="B3866" i="12"/>
  <c r="E1991" i="12"/>
  <c r="E1983" i="12"/>
  <c r="B3231" i="12"/>
  <c r="B3302" i="12" s="1"/>
  <c r="B3764" i="12" s="1"/>
  <c r="N2858" i="12"/>
  <c r="D2853" i="12" s="1"/>
  <c r="B3411" i="12"/>
  <c r="B3482" i="12" s="1"/>
  <c r="B3553" i="12" s="1"/>
  <c r="B3624" i="12" s="1"/>
  <c r="G3136" i="12"/>
  <c r="G3432" i="12" s="1"/>
  <c r="O3432" i="12" s="1"/>
  <c r="O3823" i="12" s="1"/>
  <c r="K3823" i="12" s="1"/>
  <c r="B3387" i="12"/>
  <c r="B3458" i="12" s="1"/>
  <c r="B3529" i="12" s="1"/>
  <c r="B3600" i="12" s="1"/>
  <c r="G3466" i="12"/>
  <c r="O3466" i="12" s="1"/>
  <c r="O3857" i="12" s="1"/>
  <c r="K3857" i="12" s="1"/>
  <c r="B3706" i="12"/>
  <c r="F2711" i="12"/>
  <c r="B3537" i="12"/>
  <c r="B3608" i="12" s="1"/>
  <c r="B3857" i="12"/>
  <c r="B2772" i="12"/>
  <c r="G3407" i="12"/>
  <c r="O3407" i="12" s="1"/>
  <c r="G3549" i="12"/>
  <c r="G3620" i="12" s="1"/>
  <c r="O3090" i="12"/>
  <c r="M3120" i="12"/>
  <c r="M3190" i="12" s="1"/>
  <c r="M3192" i="12" s="1"/>
  <c r="D3189" i="12" s="1"/>
  <c r="N3590" i="12"/>
  <c r="G3150" i="12"/>
  <c r="G3375" i="12" s="1"/>
  <c r="O3375" i="12" s="1"/>
  <c r="B3823" i="12"/>
  <c r="G3153" i="12"/>
  <c r="G3520" i="12" s="1"/>
  <c r="N3571" i="12"/>
  <c r="B3725" i="12"/>
  <c r="B3386" i="12"/>
  <c r="B3457" i="12" s="1"/>
  <c r="B3848" i="12" s="1"/>
  <c r="G3143" i="12"/>
  <c r="G3439" i="12" s="1"/>
  <c r="O3439" i="12" s="1"/>
  <c r="O3830" i="12" s="1"/>
  <c r="K3830" i="12" s="1"/>
  <c r="O3072" i="12"/>
  <c r="B3006" i="12"/>
  <c r="B3521" i="12"/>
  <c r="B3592" i="12" s="1"/>
  <c r="G3142" i="12"/>
  <c r="G3509" i="12" s="1"/>
  <c r="G3580" i="12" s="1"/>
  <c r="N3573" i="12"/>
  <c r="N3569" i="12"/>
  <c r="G3540" i="12"/>
  <c r="G3611" i="12" s="1"/>
  <c r="O3611" i="12" s="1"/>
  <c r="B3217" i="12"/>
  <c r="B3288" i="12" s="1"/>
  <c r="B3750" i="12" s="1"/>
  <c r="G3149" i="12"/>
  <c r="G3374" i="12" s="1"/>
  <c r="O3374" i="12" s="1"/>
  <c r="B3683" i="12"/>
  <c r="B3234" i="12"/>
  <c r="G3167" i="12"/>
  <c r="G3534" i="12" s="1"/>
  <c r="G3605" i="12" s="1"/>
  <c r="G3156" i="12"/>
  <c r="G3523" i="12" s="1"/>
  <c r="G3594" i="12" s="1"/>
  <c r="B3835" i="12"/>
  <c r="B3713" i="12"/>
  <c r="G3147" i="12"/>
  <c r="G3514" i="12" s="1"/>
  <c r="G3585" i="12" s="1"/>
  <c r="O3099" i="12"/>
  <c r="N2833" i="12"/>
  <c r="O2833" i="12" s="1"/>
  <c r="O2835" i="12" s="1"/>
  <c r="D2831" i="12" s="1"/>
  <c r="B3676" i="12"/>
  <c r="B3232" i="12"/>
  <c r="B3303" i="12" s="1"/>
  <c r="B3765" i="12" s="1"/>
  <c r="B3512" i="12"/>
  <c r="B3583" i="12" s="1"/>
  <c r="B3832" i="12"/>
  <c r="B3836" i="12"/>
  <c r="B3516" i="12"/>
  <c r="B3587" i="12" s="1"/>
  <c r="B3506" i="12"/>
  <c r="B3577" i="12" s="1"/>
  <c r="B3826" i="12"/>
  <c r="B3228" i="12"/>
  <c r="G3127" i="12"/>
  <c r="G3423" i="12" s="1"/>
  <c r="O3423" i="12" s="1"/>
  <c r="O3814" i="12" s="1"/>
  <c r="K3814" i="12" s="1"/>
  <c r="O3060" i="12"/>
  <c r="B3815" i="12"/>
  <c r="B3721" i="12"/>
  <c r="N3623" i="12"/>
  <c r="N3619" i="12"/>
  <c r="N3579" i="12"/>
  <c r="G3171" i="12"/>
  <c r="O3089" i="12"/>
  <c r="O3078" i="12"/>
  <c r="N3595" i="12"/>
  <c r="G3135" i="12"/>
  <c r="G3431" i="12" s="1"/>
  <c r="O3431" i="12" s="1"/>
  <c r="O3822" i="12" s="1"/>
  <c r="K3822" i="12" s="1"/>
  <c r="N3622" i="12"/>
  <c r="N3602" i="12"/>
  <c r="O3602" i="12" s="1"/>
  <c r="G3537" i="12"/>
  <c r="G3608" i="12" s="1"/>
  <c r="O3096" i="12"/>
  <c r="O3450" i="12"/>
  <c r="O3841" i="12" s="1"/>
  <c r="K3841" i="12" s="1"/>
  <c r="E1989" i="12"/>
  <c r="B3677" i="12"/>
  <c r="N3601" i="12"/>
  <c r="O3601" i="12" s="1"/>
  <c r="B3253" i="12"/>
  <c r="B3324" i="12" s="1"/>
  <c r="B3786" i="12" s="1"/>
  <c r="M2850" i="12"/>
  <c r="G3379" i="12"/>
  <c r="O3379" i="12" s="1"/>
  <c r="B3709" i="12"/>
  <c r="N3589" i="12"/>
  <c r="O3512" i="12"/>
  <c r="B3357" i="12"/>
  <c r="B3428" i="12" s="1"/>
  <c r="B3499" i="12" s="1"/>
  <c r="B3570" i="12" s="1"/>
  <c r="B3262" i="12"/>
  <c r="B3222" i="12"/>
  <c r="N3616" i="12"/>
  <c r="G3521" i="12"/>
  <c r="G3592" i="12" s="1"/>
  <c r="B3347" i="12"/>
  <c r="B3418" i="12" s="1"/>
  <c r="B3489" i="12" s="1"/>
  <c r="B3560" i="12" s="1"/>
  <c r="G3137" i="12"/>
  <c r="G3128" i="12"/>
  <c r="G3353" i="12" s="1"/>
  <c r="O3353" i="12" s="1"/>
  <c r="O3071" i="12"/>
  <c r="O2893" i="12"/>
  <c r="CA218" i="15"/>
  <c r="CM218" i="15" s="1"/>
  <c r="CA182" i="15"/>
  <c r="CF182" i="15" s="1"/>
  <c r="CA174" i="15"/>
  <c r="CA210" i="15"/>
  <c r="CM210" i="15" s="1"/>
  <c r="C170" i="15"/>
  <c r="G170" i="15"/>
  <c r="D170" i="15"/>
  <c r="L170" i="15" s="1"/>
  <c r="AN170" i="15" s="1"/>
  <c r="F170" i="15"/>
  <c r="G156" i="15"/>
  <c r="C156" i="15"/>
  <c r="D156" i="15"/>
  <c r="CR156" i="15" s="1"/>
  <c r="F156" i="15"/>
  <c r="D150" i="15"/>
  <c r="F150" i="15"/>
  <c r="G150" i="15"/>
  <c r="C150" i="15"/>
  <c r="G146" i="15"/>
  <c r="C146" i="15"/>
  <c r="D146" i="15"/>
  <c r="CR146" i="15" s="1"/>
  <c r="F146" i="15"/>
  <c r="D135" i="15"/>
  <c r="CR135" i="15" s="1"/>
  <c r="F135" i="15"/>
  <c r="C135" i="15"/>
  <c r="G135" i="15"/>
  <c r="F115" i="15"/>
  <c r="G115" i="15"/>
  <c r="C115" i="15"/>
  <c r="D115" i="15"/>
  <c r="L115" i="15" s="1"/>
  <c r="D212" i="15"/>
  <c r="F212" i="15"/>
  <c r="G212" i="15"/>
  <c r="C212" i="15"/>
  <c r="F178" i="15"/>
  <c r="G178" i="15"/>
  <c r="C178" i="15"/>
  <c r="D178" i="15"/>
  <c r="G130" i="15"/>
  <c r="C130" i="15"/>
  <c r="D130" i="15"/>
  <c r="F130" i="15"/>
  <c r="G118" i="15"/>
  <c r="C118" i="15"/>
  <c r="D118" i="15"/>
  <c r="F118" i="15"/>
  <c r="C110" i="15"/>
  <c r="D110" i="15"/>
  <c r="CR110" i="15" s="1"/>
  <c r="F110" i="15"/>
  <c r="G110" i="15"/>
  <c r="F164" i="15"/>
  <c r="G164" i="15"/>
  <c r="C164" i="15"/>
  <c r="D164" i="15"/>
  <c r="C96" i="15"/>
  <c r="D96" i="15"/>
  <c r="N96" i="15" s="1"/>
  <c r="F96" i="15"/>
  <c r="G96" i="15"/>
  <c r="C172" i="15"/>
  <c r="D172" i="15"/>
  <c r="L172" i="15" s="1"/>
  <c r="F172" i="15"/>
  <c r="G172" i="15"/>
  <c r="D176" i="15"/>
  <c r="F176" i="15"/>
  <c r="G176" i="15"/>
  <c r="C176" i="15"/>
  <c r="G168" i="15"/>
  <c r="C168" i="15"/>
  <c r="D168" i="15"/>
  <c r="L168" i="15" s="1"/>
  <c r="F168" i="15"/>
  <c r="C158" i="15"/>
  <c r="D158" i="15"/>
  <c r="L158" i="15" s="1"/>
  <c r="F158" i="15"/>
  <c r="G158" i="15"/>
  <c r="F152" i="15"/>
  <c r="D152" i="15"/>
  <c r="G152" i="15"/>
  <c r="C152" i="15"/>
  <c r="C148" i="15"/>
  <c r="D148" i="15"/>
  <c r="F148" i="15"/>
  <c r="G148" i="15"/>
  <c r="G143" i="15"/>
  <c r="C143" i="15"/>
  <c r="D143" i="15"/>
  <c r="F143" i="15"/>
  <c r="D123" i="15"/>
  <c r="C123" i="15"/>
  <c r="F123" i="15"/>
  <c r="G123" i="15"/>
  <c r="F91" i="15"/>
  <c r="G91" i="15"/>
  <c r="C91" i="15"/>
  <c r="D91" i="15"/>
  <c r="C182" i="15"/>
  <c r="D182" i="15"/>
  <c r="F182" i="15"/>
  <c r="G182" i="15"/>
  <c r="G180" i="15"/>
  <c r="C180" i="15"/>
  <c r="D180" i="15"/>
  <c r="F180" i="15"/>
  <c r="D137" i="15"/>
  <c r="L137" i="15" s="1"/>
  <c r="F137" i="15"/>
  <c r="G137" i="15"/>
  <c r="C137" i="15"/>
  <c r="D125" i="15"/>
  <c r="F125" i="15"/>
  <c r="G125" i="15"/>
  <c r="C125" i="15"/>
  <c r="G105" i="15"/>
  <c r="C105" i="15"/>
  <c r="D105" i="15"/>
  <c r="F105" i="15"/>
  <c r="G93" i="15"/>
  <c r="C93" i="15"/>
  <c r="D93" i="15"/>
  <c r="F93" i="15"/>
  <c r="F166" i="15"/>
  <c r="G166" i="15"/>
  <c r="C166" i="15"/>
  <c r="D166" i="15"/>
  <c r="C220" i="15"/>
  <c r="D220" i="15"/>
  <c r="F220" i="15"/>
  <c r="G220" i="15"/>
  <c r="C218" i="15"/>
  <c r="G218" i="15"/>
  <c r="D218" i="15"/>
  <c r="L218" i="15" s="1"/>
  <c r="F218" i="15"/>
  <c r="G216" i="15"/>
  <c r="C216" i="15"/>
  <c r="D216" i="15"/>
  <c r="CR216" i="15" s="1"/>
  <c r="F216" i="15"/>
  <c r="F214" i="15"/>
  <c r="G214" i="15"/>
  <c r="C214" i="15"/>
  <c r="D214" i="15"/>
  <c r="L214" i="15" s="1"/>
  <c r="D210" i="15"/>
  <c r="N210" i="15" s="1"/>
  <c r="F210" i="15"/>
  <c r="G210" i="15"/>
  <c r="C210" i="15"/>
  <c r="C208" i="15"/>
  <c r="D208" i="15"/>
  <c r="F208" i="15"/>
  <c r="G208" i="15"/>
  <c r="G204" i="15"/>
  <c r="C204" i="15"/>
  <c r="D204" i="15"/>
  <c r="F204" i="15"/>
  <c r="F202" i="15"/>
  <c r="G202" i="15"/>
  <c r="C202" i="15"/>
  <c r="D202" i="15"/>
  <c r="F200" i="15"/>
  <c r="G200" i="15"/>
  <c r="C200" i="15"/>
  <c r="D200" i="15"/>
  <c r="CR200" i="15" s="1"/>
  <c r="D198" i="15"/>
  <c r="F198" i="15"/>
  <c r="G198" i="15"/>
  <c r="C198" i="15"/>
  <c r="C196" i="15"/>
  <c r="D196" i="15"/>
  <c r="F196" i="15"/>
  <c r="G196" i="15"/>
  <c r="C194" i="15"/>
  <c r="D194" i="15"/>
  <c r="CR194" i="15" s="1"/>
  <c r="G194" i="15"/>
  <c r="F194" i="15"/>
  <c r="G192" i="15"/>
  <c r="C192" i="15"/>
  <c r="D192" i="15"/>
  <c r="F192" i="15"/>
  <c r="F188" i="15"/>
  <c r="G188" i="15"/>
  <c r="D188" i="15"/>
  <c r="C188" i="15"/>
  <c r="D186" i="15"/>
  <c r="F186" i="15"/>
  <c r="G186" i="15"/>
  <c r="C186" i="15"/>
  <c r="G120" i="15"/>
  <c r="C120" i="15"/>
  <c r="D120" i="15"/>
  <c r="F120" i="15"/>
  <c r="D112" i="15"/>
  <c r="N112" i="15" s="1"/>
  <c r="F112" i="15"/>
  <c r="G112" i="15"/>
  <c r="C112" i="15"/>
  <c r="F140" i="15"/>
  <c r="G140" i="15"/>
  <c r="C140" i="15"/>
  <c r="D140" i="15"/>
  <c r="D162" i="15"/>
  <c r="F162" i="15"/>
  <c r="G162" i="15"/>
  <c r="C162" i="15"/>
  <c r="F103" i="15"/>
  <c r="G103" i="15"/>
  <c r="C103" i="15"/>
  <c r="D103" i="15"/>
  <c r="N103" i="15" s="1"/>
  <c r="F139" i="15"/>
  <c r="G139" i="15"/>
  <c r="C139" i="15"/>
  <c r="D139" i="15"/>
  <c r="N139" i="15" s="1"/>
  <c r="F127" i="15"/>
  <c r="G127" i="15"/>
  <c r="C127" i="15"/>
  <c r="D127" i="15"/>
  <c r="N127" i="15" s="1"/>
  <c r="C107" i="15"/>
  <c r="D107" i="15"/>
  <c r="F107" i="15"/>
  <c r="G107" i="15"/>
  <c r="C95" i="15"/>
  <c r="D95" i="15"/>
  <c r="N95" i="15" s="1"/>
  <c r="F95" i="15"/>
  <c r="G95" i="15"/>
  <c r="G205" i="15"/>
  <c r="C205" i="15"/>
  <c r="D205" i="15"/>
  <c r="L205" i="15" s="1"/>
  <c r="F205" i="15"/>
  <c r="G142" i="15"/>
  <c r="C142" i="15"/>
  <c r="F142" i="15"/>
  <c r="D142" i="15"/>
  <c r="C134" i="15"/>
  <c r="D134" i="15"/>
  <c r="F134" i="15"/>
  <c r="G134" i="15"/>
  <c r="C122" i="15"/>
  <c r="D122" i="15"/>
  <c r="F122" i="15"/>
  <c r="G122" i="15"/>
  <c r="F114" i="15"/>
  <c r="G114" i="15"/>
  <c r="C114" i="15"/>
  <c r="D114" i="15"/>
  <c r="F90" i="15"/>
  <c r="G90" i="15"/>
  <c r="C90" i="15"/>
  <c r="D90" i="15"/>
  <c r="C108" i="15"/>
  <c r="D108" i="15"/>
  <c r="F108" i="15"/>
  <c r="G108" i="15"/>
  <c r="D174" i="15"/>
  <c r="CR174" i="15" s="1"/>
  <c r="F174" i="15"/>
  <c r="G174" i="15"/>
  <c r="C174" i="15"/>
  <c r="C160" i="15"/>
  <c r="D160" i="15"/>
  <c r="CR160" i="15" s="1"/>
  <c r="F160" i="15"/>
  <c r="G160" i="15"/>
  <c r="D175" i="15"/>
  <c r="F175" i="15"/>
  <c r="G175" i="15"/>
  <c r="C175" i="15"/>
  <c r="C171" i="15"/>
  <c r="D171" i="15"/>
  <c r="F171" i="15"/>
  <c r="G171" i="15"/>
  <c r="G169" i="15"/>
  <c r="C169" i="15"/>
  <c r="D169" i="15"/>
  <c r="CR169" i="15" s="1"/>
  <c r="F169" i="15"/>
  <c r="G167" i="15"/>
  <c r="C167" i="15"/>
  <c r="F167" i="15"/>
  <c r="D167" i="15"/>
  <c r="F165" i="15"/>
  <c r="G165" i="15"/>
  <c r="C165" i="15"/>
  <c r="D165" i="15"/>
  <c r="D163" i="15"/>
  <c r="F163" i="15"/>
  <c r="G163" i="15"/>
  <c r="C163" i="15"/>
  <c r="C161" i="15"/>
  <c r="D161" i="15"/>
  <c r="L161" i="15" s="1"/>
  <c r="F161" i="15"/>
  <c r="G161" i="15"/>
  <c r="C159" i="15"/>
  <c r="D159" i="15"/>
  <c r="F159" i="15"/>
  <c r="G159" i="15"/>
  <c r="G155" i="15"/>
  <c r="C155" i="15"/>
  <c r="D155" i="15"/>
  <c r="L155" i="15" s="1"/>
  <c r="F155" i="15"/>
  <c r="F153" i="15"/>
  <c r="G153" i="15"/>
  <c r="C153" i="15"/>
  <c r="D153" i="15"/>
  <c r="CR153" i="15" s="1"/>
  <c r="D151" i="15"/>
  <c r="CR151" i="15" s="1"/>
  <c r="F151" i="15"/>
  <c r="G151" i="15"/>
  <c r="C151" i="15"/>
  <c r="D149" i="15"/>
  <c r="F149" i="15"/>
  <c r="G149" i="15"/>
  <c r="C149" i="15"/>
  <c r="C147" i="15"/>
  <c r="D147" i="15"/>
  <c r="F147" i="15"/>
  <c r="G147" i="15"/>
  <c r="G145" i="15"/>
  <c r="C145" i="15"/>
  <c r="D145" i="15"/>
  <c r="F145" i="15"/>
  <c r="G129" i="15"/>
  <c r="F129" i="15"/>
  <c r="C129" i="15"/>
  <c r="D129" i="15"/>
  <c r="N129" i="15" s="1"/>
  <c r="G117" i="15"/>
  <c r="C117" i="15"/>
  <c r="F117" i="15"/>
  <c r="D117" i="15"/>
  <c r="C109" i="15"/>
  <c r="CZ109" i="15" s="1"/>
  <c r="D109" i="15"/>
  <c r="F109" i="15"/>
  <c r="G109" i="15"/>
  <c r="F190" i="15"/>
  <c r="G190" i="15"/>
  <c r="C190" i="15"/>
  <c r="D190" i="15"/>
  <c r="D136" i="15"/>
  <c r="F136" i="15"/>
  <c r="G136" i="15"/>
  <c r="C136" i="15"/>
  <c r="D124" i="15"/>
  <c r="CR124" i="15" s="1"/>
  <c r="F124" i="15"/>
  <c r="G124" i="15"/>
  <c r="C124" i="15"/>
  <c r="G104" i="15"/>
  <c r="C104" i="15"/>
  <c r="D104" i="15"/>
  <c r="L104" i="15" s="1"/>
  <c r="F104" i="15"/>
  <c r="G92" i="15"/>
  <c r="C92" i="15"/>
  <c r="D92" i="15"/>
  <c r="F92" i="15"/>
  <c r="G181" i="15"/>
  <c r="C181" i="15"/>
  <c r="D181" i="15"/>
  <c r="L181" i="15" s="1"/>
  <c r="AN181" i="15" s="1"/>
  <c r="F181" i="15"/>
  <c r="G179" i="15"/>
  <c r="C179" i="15"/>
  <c r="D179" i="15"/>
  <c r="CR179" i="15" s="1"/>
  <c r="F179" i="15"/>
  <c r="G131" i="15"/>
  <c r="C131" i="15"/>
  <c r="D131" i="15"/>
  <c r="F131" i="15"/>
  <c r="G119" i="15"/>
  <c r="C119" i="15"/>
  <c r="D119" i="15"/>
  <c r="CR119" i="15" s="1"/>
  <c r="F119" i="15"/>
  <c r="D111" i="15"/>
  <c r="F111" i="15"/>
  <c r="G111" i="15"/>
  <c r="C111" i="15"/>
  <c r="D99" i="15"/>
  <c r="F99" i="15"/>
  <c r="G99" i="15"/>
  <c r="C99" i="15"/>
  <c r="C219" i="15"/>
  <c r="D219" i="15"/>
  <c r="F219" i="15"/>
  <c r="G219" i="15"/>
  <c r="G217" i="15"/>
  <c r="C217" i="15"/>
  <c r="D217" i="15"/>
  <c r="L217" i="15" s="1"/>
  <c r="F217" i="15"/>
  <c r="G215" i="15"/>
  <c r="F215" i="15"/>
  <c r="C215" i="15"/>
  <c r="D215" i="15"/>
  <c r="F213" i="15"/>
  <c r="G213" i="15"/>
  <c r="C213" i="15"/>
  <c r="D213" i="15"/>
  <c r="D211" i="15"/>
  <c r="L211" i="15" s="1"/>
  <c r="F211" i="15"/>
  <c r="G211" i="15"/>
  <c r="C211" i="15"/>
  <c r="D209" i="15"/>
  <c r="F209" i="15"/>
  <c r="G209" i="15"/>
  <c r="C209" i="15"/>
  <c r="C207" i="15"/>
  <c r="D207" i="15"/>
  <c r="L207" i="15" s="1"/>
  <c r="F207" i="15"/>
  <c r="G207" i="15"/>
  <c r="G203" i="15"/>
  <c r="C203" i="15"/>
  <c r="F203" i="15"/>
  <c r="D203" i="15"/>
  <c r="L203" i="15" s="1"/>
  <c r="AN203" i="15" s="1"/>
  <c r="F201" i="15"/>
  <c r="G201" i="15"/>
  <c r="C201" i="15"/>
  <c r="D201" i="15"/>
  <c r="D199" i="15"/>
  <c r="F199" i="15"/>
  <c r="G199" i="15"/>
  <c r="C199" i="15"/>
  <c r="C197" i="15"/>
  <c r="D197" i="15"/>
  <c r="F197" i="15"/>
  <c r="G197" i="15"/>
  <c r="C195" i="15"/>
  <c r="D195" i="15"/>
  <c r="L195" i="15" s="1"/>
  <c r="F195" i="15"/>
  <c r="G195" i="15"/>
  <c r="G193" i="15"/>
  <c r="C193" i="15"/>
  <c r="D193" i="15"/>
  <c r="F193" i="15"/>
  <c r="G191" i="15"/>
  <c r="F191" i="15"/>
  <c r="C191" i="15"/>
  <c r="D191" i="15"/>
  <c r="N191" i="15" s="1"/>
  <c r="F189" i="15"/>
  <c r="G189" i="15"/>
  <c r="C189" i="15"/>
  <c r="D189" i="15"/>
  <c r="D187" i="15"/>
  <c r="CR187" i="15" s="1"/>
  <c r="F187" i="15"/>
  <c r="G187" i="15"/>
  <c r="C187" i="15"/>
  <c r="C183" i="15"/>
  <c r="D183" i="15"/>
  <c r="N183" i="15" s="1"/>
  <c r="F183" i="15"/>
  <c r="G183" i="15"/>
  <c r="F138" i="15"/>
  <c r="D138" i="15"/>
  <c r="G138" i="15"/>
  <c r="C138" i="15"/>
  <c r="F126" i="15"/>
  <c r="G126" i="15"/>
  <c r="D126" i="15"/>
  <c r="CR126" i="15" s="1"/>
  <c r="C126" i="15"/>
  <c r="G106" i="15"/>
  <c r="C106" i="15"/>
  <c r="D106" i="15"/>
  <c r="F106" i="15"/>
  <c r="G94" i="15"/>
  <c r="C94" i="15"/>
  <c r="D94" i="15"/>
  <c r="F94" i="15"/>
  <c r="C121" i="15"/>
  <c r="D121" i="15"/>
  <c r="F121" i="15"/>
  <c r="G121" i="15"/>
  <c r="F113" i="15"/>
  <c r="D113" i="15"/>
  <c r="CR113" i="15" s="1"/>
  <c r="G113" i="15"/>
  <c r="C113" i="15"/>
  <c r="F101" i="15"/>
  <c r="G101" i="15"/>
  <c r="C101" i="15"/>
  <c r="D101" i="15"/>
  <c r="F89" i="15"/>
  <c r="G89" i="15"/>
  <c r="C89" i="15"/>
  <c r="D89" i="15"/>
  <c r="C206" i="15"/>
  <c r="D206" i="15"/>
  <c r="N206" i="15" s="1"/>
  <c r="G206" i="15"/>
  <c r="F206" i="15"/>
  <c r="D185" i="15"/>
  <c r="C185" i="15"/>
  <c r="F185" i="15"/>
  <c r="G185" i="15"/>
  <c r="C184" i="15"/>
  <c r="D184" i="15"/>
  <c r="F184" i="15"/>
  <c r="G184" i="15"/>
  <c r="F177" i="15"/>
  <c r="G177" i="15"/>
  <c r="C177" i="15"/>
  <c r="D177" i="15"/>
  <c r="N177" i="15" s="1"/>
  <c r="D173" i="15"/>
  <c r="F173" i="15"/>
  <c r="C173" i="15"/>
  <c r="G173" i="15"/>
  <c r="C132" i="15"/>
  <c r="D132" i="15"/>
  <c r="G132" i="15"/>
  <c r="F132" i="15"/>
  <c r="F128" i="15"/>
  <c r="G128" i="15"/>
  <c r="C128" i="15"/>
  <c r="D128" i="15"/>
  <c r="L128" i="15" s="1"/>
  <c r="AN128" i="15" s="1"/>
  <c r="D98" i="15"/>
  <c r="F98" i="15"/>
  <c r="G98" i="15"/>
  <c r="C98" i="15"/>
  <c r="AE208" i="15"/>
  <c r="AC207" i="15"/>
  <c r="F154" i="15"/>
  <c r="G154" i="15"/>
  <c r="C154" i="15"/>
  <c r="D154" i="15"/>
  <c r="N154" i="15" s="1"/>
  <c r="G157" i="15"/>
  <c r="C157" i="15"/>
  <c r="D157" i="15"/>
  <c r="F157" i="15"/>
  <c r="C133" i="15"/>
  <c r="D133" i="15"/>
  <c r="F133" i="15"/>
  <c r="G133" i="15"/>
  <c r="F102" i="15"/>
  <c r="G102" i="15"/>
  <c r="C102" i="15"/>
  <c r="D102" i="15"/>
  <c r="D100" i="15"/>
  <c r="L100" i="15" s="1"/>
  <c r="AN100" i="15" s="1"/>
  <c r="F100" i="15"/>
  <c r="G100" i="15"/>
  <c r="C100" i="15"/>
  <c r="C97" i="15"/>
  <c r="D97" i="15"/>
  <c r="F97" i="15"/>
  <c r="G97" i="15"/>
  <c r="AE165" i="15"/>
  <c r="CA121" i="15"/>
  <c r="CF121" i="15" s="1"/>
  <c r="CA136" i="15"/>
  <c r="CF136" i="15" s="1"/>
  <c r="K1933" i="12"/>
  <c r="N1933" i="12" s="1"/>
  <c r="P215" i="14"/>
  <c r="AD107" i="15"/>
  <c r="B3808" i="12"/>
  <c r="B3488" i="12"/>
  <c r="B3559" i="12" s="1"/>
  <c r="B3542" i="12"/>
  <c r="B3613" i="12" s="1"/>
  <c r="B3862" i="12"/>
  <c r="B3339" i="12"/>
  <c r="B3801" i="12" s="1"/>
  <c r="B3730" i="12"/>
  <c r="B3494" i="12"/>
  <c r="B3565" i="12" s="1"/>
  <c r="B3814" i="12"/>
  <c r="G3501" i="12"/>
  <c r="G3572" i="12" s="1"/>
  <c r="G3359" i="12"/>
  <c r="O3359" i="12" s="1"/>
  <c r="G3430" i="12"/>
  <c r="O3430" i="12" s="1"/>
  <c r="O3821" i="12" s="1"/>
  <c r="K3821" i="12" s="1"/>
  <c r="B3838" i="12"/>
  <c r="B3518" i="12"/>
  <c r="B3589" i="12" s="1"/>
  <c r="G3448" i="12"/>
  <c r="O3448" i="12" s="1"/>
  <c r="O3839" i="12" s="1"/>
  <c r="K3839" i="12" s="1"/>
  <c r="G3519" i="12"/>
  <c r="G3590" i="12" s="1"/>
  <c r="G3377" i="12"/>
  <c r="O3377" i="12" s="1"/>
  <c r="K3002" i="12"/>
  <c r="D2996" i="12" s="1"/>
  <c r="N3611" i="12"/>
  <c r="N3597" i="12"/>
  <c r="N3587" i="12"/>
  <c r="N3561" i="12"/>
  <c r="B3410" i="12"/>
  <c r="B3481" i="12" s="1"/>
  <c r="B3552" i="12" s="1"/>
  <c r="B3623" i="12" s="1"/>
  <c r="G3181" i="12"/>
  <c r="G3126" i="12"/>
  <c r="G3493" i="12" s="1"/>
  <c r="O3084" i="12"/>
  <c r="E2685" i="12"/>
  <c r="E2705" i="12" s="1"/>
  <c r="N3607" i="12"/>
  <c r="N3572" i="12"/>
  <c r="G3421" i="12"/>
  <c r="B3241" i="12"/>
  <c r="B3667" i="12"/>
  <c r="N3610" i="12"/>
  <c r="N3586" i="12"/>
  <c r="B3401" i="12"/>
  <c r="B3472" i="12" s="1"/>
  <c r="B3392" i="12"/>
  <c r="B3463" i="12" s="1"/>
  <c r="G3352" i="12"/>
  <c r="B3204" i="12"/>
  <c r="B3666" i="12" s="1"/>
  <c r="G3180" i="12"/>
  <c r="G3405" i="12" s="1"/>
  <c r="O3405" i="12" s="1"/>
  <c r="N3578" i="12"/>
  <c r="N3560" i="12"/>
  <c r="B3384" i="12"/>
  <c r="B3455" i="12" s="1"/>
  <c r="B3526" i="12" s="1"/>
  <c r="B3597" i="12" s="1"/>
  <c r="G3162" i="12"/>
  <c r="G3529" i="12" s="1"/>
  <c r="G3600" i="12" s="1"/>
  <c r="G3124" i="12"/>
  <c r="G3491" i="12" s="1"/>
  <c r="G3562" i="12" s="1"/>
  <c r="O2862" i="12"/>
  <c r="O2869" i="12" s="1"/>
  <c r="E1987" i="12"/>
  <c r="E1981" i="12"/>
  <c r="N3609" i="12"/>
  <c r="N3599" i="12"/>
  <c r="B3249" i="12"/>
  <c r="O3196" i="12"/>
  <c r="B3853" i="12"/>
  <c r="B3821" i="12"/>
  <c r="N3613" i="12"/>
  <c r="N3566" i="12"/>
  <c r="B3407" i="12"/>
  <c r="B3478" i="12" s="1"/>
  <c r="B3211" i="12"/>
  <c r="B3673" i="12" s="1"/>
  <c r="G3178" i="12"/>
  <c r="G3545" i="12" s="1"/>
  <c r="O3545" i="12" s="1"/>
  <c r="G3161" i="12"/>
  <c r="G3130" i="12"/>
  <c r="G3123" i="12"/>
  <c r="O3108" i="12"/>
  <c r="O3398" i="12"/>
  <c r="O3080" i="12"/>
  <c r="N2861" i="12"/>
  <c r="O2861" i="12" s="1"/>
  <c r="F2668" i="12"/>
  <c r="G3350" i="12"/>
  <c r="O3350" i="12" s="1"/>
  <c r="G3168" i="12"/>
  <c r="G3535" i="12" s="1"/>
  <c r="G3606" i="12" s="1"/>
  <c r="B3845" i="12"/>
  <c r="N3608" i="12"/>
  <c r="N3591" i="12"/>
  <c r="N3585" i="12"/>
  <c r="N3577" i="12"/>
  <c r="B3210" i="12"/>
  <c r="G3177" i="12"/>
  <c r="G3160" i="12"/>
  <c r="G3527" i="12" s="1"/>
  <c r="G3144" i="12"/>
  <c r="G3369" i="12" s="1"/>
  <c r="O3369" i="12" s="1"/>
  <c r="G3122" i="12"/>
  <c r="G3347" i="12" s="1"/>
  <c r="O3347" i="12" s="1"/>
  <c r="I3013" i="12"/>
  <c r="F2692" i="12"/>
  <c r="N3584" i="12"/>
  <c r="F2707" i="12"/>
  <c r="B3704" i="12"/>
  <c r="B3689" i="12"/>
  <c r="N3588" i="12"/>
  <c r="O3395" i="12"/>
  <c r="G3159" i="12"/>
  <c r="O3051" i="12"/>
  <c r="C3805" i="12"/>
  <c r="B3805" i="12"/>
  <c r="C3010" i="12"/>
  <c r="B3010" i="12"/>
  <c r="B2989" i="12"/>
  <c r="C2989" i="12"/>
  <c r="B2914" i="12"/>
  <c r="B2838" i="12"/>
  <c r="C2752" i="12"/>
  <c r="B2752" i="12"/>
  <c r="B2760" i="12" s="1"/>
  <c r="C2659" i="12"/>
  <c r="B2659" i="12"/>
  <c r="C2639" i="12"/>
  <c r="B2639" i="12"/>
  <c r="C2545" i="12"/>
  <c r="B2545" i="12"/>
  <c r="C2496" i="12"/>
  <c r="B2496" i="12"/>
  <c r="C2432" i="12"/>
  <c r="B2432" i="12"/>
  <c r="B2342" i="12"/>
  <c r="C2255" i="12"/>
  <c r="B2255" i="12"/>
  <c r="C2212" i="12"/>
  <c r="B2212" i="12"/>
  <c r="B2167" i="12"/>
  <c r="B2140" i="12"/>
  <c r="B2075" i="12"/>
  <c r="C2075" i="12"/>
  <c r="C2005" i="12"/>
  <c r="B2005" i="12"/>
  <c r="C1923" i="12"/>
  <c r="B1923" i="12"/>
  <c r="B1885" i="12"/>
  <c r="B3119" i="12"/>
  <c r="C2949" i="12"/>
  <c r="B2949" i="12"/>
  <c r="C2853" i="12"/>
  <c r="B2853" i="12"/>
  <c r="B2820" i="12"/>
  <c r="B2783" i="12"/>
  <c r="C2635" i="12"/>
  <c r="B2635" i="12"/>
  <c r="B2540" i="12"/>
  <c r="C2540" i="12"/>
  <c r="B2491" i="12"/>
  <c r="C2427" i="12"/>
  <c r="B2427" i="12"/>
  <c r="B2379" i="12"/>
  <c r="B2338" i="12"/>
  <c r="B2305" i="12"/>
  <c r="B2208" i="12"/>
  <c r="C2208" i="12"/>
  <c r="B2135" i="12"/>
  <c r="C2066" i="12"/>
  <c r="B2066" i="12"/>
  <c r="C2000" i="12"/>
  <c r="B2000" i="12"/>
  <c r="B1918" i="12"/>
  <c r="C1880" i="12"/>
  <c r="B1880" i="12"/>
  <c r="C1843" i="12"/>
  <c r="B1843" i="12"/>
  <c r="C3027" i="12"/>
  <c r="B3027" i="12"/>
  <c r="C2983" i="12"/>
  <c r="B2983" i="12"/>
  <c r="C2908" i="12"/>
  <c r="B2908" i="12"/>
  <c r="B2872" i="12"/>
  <c r="C2872" i="12"/>
  <c r="C2631" i="12"/>
  <c r="B2631" i="12"/>
  <c r="C2535" i="12"/>
  <c r="B2535" i="12"/>
  <c r="B2486" i="12"/>
  <c r="C2422" i="12"/>
  <c r="B2422" i="12"/>
  <c r="C2334" i="12"/>
  <c r="B2334" i="12"/>
  <c r="B2301" i="12"/>
  <c r="B2204" i="12"/>
  <c r="B2162" i="12"/>
  <c r="B2130" i="12"/>
  <c r="C2059" i="12"/>
  <c r="B2059" i="12"/>
  <c r="C1994" i="12"/>
  <c r="B1994" i="12"/>
  <c r="B1913" i="12"/>
  <c r="C1788" i="12"/>
  <c r="B1788" i="12"/>
  <c r="C3343" i="12"/>
  <c r="B3343" i="12"/>
  <c r="C2942" i="12"/>
  <c r="B2942" i="12"/>
  <c r="B2813" i="12"/>
  <c r="C2626" i="12"/>
  <c r="B2626" i="12"/>
  <c r="C2530" i="12"/>
  <c r="B2530" i="12"/>
  <c r="B2481" i="12"/>
  <c r="B2416" i="12"/>
  <c r="C2416" i="12"/>
  <c r="B2374" i="12"/>
  <c r="B2330" i="12"/>
  <c r="B2297" i="12"/>
  <c r="C2297" i="12"/>
  <c r="B2249" i="12"/>
  <c r="B2125" i="12"/>
  <c r="B1908" i="12"/>
  <c r="B1875" i="12"/>
  <c r="B3646" i="12"/>
  <c r="C3272" i="12"/>
  <c r="B3272" i="12"/>
  <c r="C2865" i="12"/>
  <c r="B2865" i="12"/>
  <c r="B2807" i="12"/>
  <c r="C2777" i="12"/>
  <c r="B2777" i="12"/>
  <c r="C2745" i="12"/>
  <c r="B2745" i="12"/>
  <c r="B2759" i="12" s="1"/>
  <c r="C2680" i="12"/>
  <c r="B2680" i="12"/>
  <c r="B2722" i="12" s="1"/>
  <c r="C2585" i="12"/>
  <c r="B2585" i="12"/>
  <c r="B2476" i="12"/>
  <c r="C2410" i="12"/>
  <c r="B2410" i="12"/>
  <c r="C2370" i="12"/>
  <c r="B2370" i="12"/>
  <c r="B2293" i="12"/>
  <c r="B2244" i="12"/>
  <c r="C2199" i="12"/>
  <c r="B2199" i="12"/>
  <c r="C2158" i="12"/>
  <c r="B2158" i="12"/>
  <c r="C2120" i="12"/>
  <c r="B2120" i="12"/>
  <c r="B1868" i="12"/>
  <c r="B1835" i="12"/>
  <c r="C1835" i="12"/>
  <c r="B3640" i="12"/>
  <c r="C3201" i="12"/>
  <c r="B3201" i="12"/>
  <c r="B3045" i="12"/>
  <c r="B3022" i="12"/>
  <c r="C3022" i="12"/>
  <c r="C3003" i="12"/>
  <c r="B3003" i="12"/>
  <c r="B2973" i="12"/>
  <c r="B2976" i="12" s="1"/>
  <c r="C2935" i="12"/>
  <c r="B2935" i="12"/>
  <c r="C2903" i="12"/>
  <c r="B2903" i="12"/>
  <c r="C2801" i="12"/>
  <c r="B2801" i="12"/>
  <c r="B2739" i="12"/>
  <c r="B2700" i="12"/>
  <c r="C2623" i="12"/>
  <c r="B2623" i="12"/>
  <c r="B2628" i="12" s="1"/>
  <c r="C2578" i="12"/>
  <c r="B2578" i="12"/>
  <c r="B2524" i="12"/>
  <c r="B2471" i="12"/>
  <c r="C2404" i="12"/>
  <c r="B2404" i="12"/>
  <c r="B2366" i="12"/>
  <c r="B2326" i="12"/>
  <c r="B2289" i="12"/>
  <c r="B2195" i="12"/>
  <c r="C2115" i="12"/>
  <c r="B2115" i="12"/>
  <c r="C2053" i="12"/>
  <c r="B2053" i="12"/>
  <c r="C3632" i="12"/>
  <c r="B3632" i="12"/>
  <c r="C3485" i="12"/>
  <c r="B3485" i="12"/>
  <c r="C3111" i="12"/>
  <c r="B3111" i="12"/>
  <c r="B2847" i="12"/>
  <c r="B2620" i="12"/>
  <c r="C2620" i="12"/>
  <c r="C2518" i="12"/>
  <c r="B2518" i="12"/>
  <c r="B2466" i="12"/>
  <c r="B2362" i="12"/>
  <c r="B2322" i="12"/>
  <c r="C2322" i="12"/>
  <c r="C2285" i="12"/>
  <c r="B2285" i="12"/>
  <c r="C2240" i="12"/>
  <c r="B2240" i="12"/>
  <c r="B2191" i="12"/>
  <c r="B2110" i="12"/>
  <c r="C2110" i="12"/>
  <c r="B2048" i="12"/>
  <c r="C1962" i="12"/>
  <c r="B1962" i="12"/>
  <c r="B1904" i="12"/>
  <c r="C1827" i="12"/>
  <c r="B1827" i="12"/>
  <c r="C3663" i="12"/>
  <c r="B3663" i="12"/>
  <c r="C3627" i="12"/>
  <c r="B3627" i="12"/>
  <c r="B3193" i="12"/>
  <c r="B3040" i="12"/>
  <c r="C3017" i="12"/>
  <c r="B3017" i="12"/>
  <c r="C2967" i="12"/>
  <c r="B2967" i="12"/>
  <c r="C2928" i="12"/>
  <c r="B2928" i="12"/>
  <c r="C2892" i="12"/>
  <c r="B2892" i="12"/>
  <c r="C2795" i="12"/>
  <c r="B2795" i="12"/>
  <c r="B2803" i="12" s="1"/>
  <c r="C2734" i="12"/>
  <c r="B2734" i="12"/>
  <c r="C2616" i="12"/>
  <c r="B2616" i="12"/>
  <c r="C2514" i="12"/>
  <c r="B2514" i="12"/>
  <c r="B2460" i="12"/>
  <c r="B2400" i="12"/>
  <c r="B2318" i="12"/>
  <c r="B2277" i="12"/>
  <c r="B2234" i="12"/>
  <c r="C2234" i="12"/>
  <c r="B2187" i="12"/>
  <c r="C2105" i="12"/>
  <c r="B2105" i="12"/>
  <c r="B2043" i="12"/>
  <c r="B1945" i="12"/>
  <c r="C1945" i="12"/>
  <c r="B1899" i="12"/>
  <c r="B1821" i="12"/>
  <c r="C3734" i="12"/>
  <c r="B3734" i="12"/>
  <c r="C3658" i="12"/>
  <c r="B3658" i="12"/>
  <c r="B3189" i="12"/>
  <c r="C2789" i="12"/>
  <c r="B2789" i="12"/>
  <c r="B2802" i="12" s="1"/>
  <c r="C2770" i="12"/>
  <c r="B2770" i="12"/>
  <c r="C2653" i="12"/>
  <c r="B2653" i="12"/>
  <c r="B2600" i="12"/>
  <c r="C2562" i="12"/>
  <c r="B2562" i="12"/>
  <c r="B2508" i="12"/>
  <c r="C2508" i="12"/>
  <c r="C2455" i="12"/>
  <c r="B2455" i="12"/>
  <c r="B2396" i="12"/>
  <c r="C2358" i="12"/>
  <c r="B2358" i="12"/>
  <c r="B2271" i="12"/>
  <c r="C2230" i="12"/>
  <c r="B2230" i="12"/>
  <c r="B2183" i="12"/>
  <c r="C2100" i="12"/>
  <c r="B2100" i="12"/>
  <c r="B2038" i="12"/>
  <c r="C2038" i="12"/>
  <c r="C1928" i="12"/>
  <c r="B1928" i="12"/>
  <c r="C1894" i="12"/>
  <c r="B1894" i="12"/>
  <c r="C1859" i="12"/>
  <c r="B1859" i="12"/>
  <c r="B1814" i="12"/>
  <c r="C2996" i="12"/>
  <c r="B2996" i="12"/>
  <c r="B2961" i="12"/>
  <c r="C2921" i="12"/>
  <c r="B2921" i="12"/>
  <c r="C2886" i="12"/>
  <c r="B2886" i="12"/>
  <c r="B2843" i="12"/>
  <c r="B2831" i="12"/>
  <c r="B2764" i="12"/>
  <c r="B2725" i="12"/>
  <c r="C2596" i="12"/>
  <c r="B2596" i="12"/>
  <c r="B2627" i="12" s="1"/>
  <c r="B2554" i="12"/>
  <c r="C2450" i="12"/>
  <c r="B2450" i="12"/>
  <c r="B2392" i="12"/>
  <c r="B2354" i="12"/>
  <c r="B2314" i="12"/>
  <c r="B2265" i="12"/>
  <c r="C2224" i="12"/>
  <c r="B2224" i="12"/>
  <c r="B2179" i="12"/>
  <c r="B2153" i="12"/>
  <c r="C2095" i="12"/>
  <c r="B2095" i="12"/>
  <c r="B1889" i="12"/>
  <c r="B1806" i="12"/>
  <c r="B3414" i="12"/>
  <c r="C3414" i="12"/>
  <c r="B3033" i="12"/>
  <c r="C2955" i="12"/>
  <c r="B2955" i="12"/>
  <c r="C2859" i="12"/>
  <c r="B2859" i="12"/>
  <c r="C2758" i="12"/>
  <c r="B2758" i="12"/>
  <c r="C2720" i="12"/>
  <c r="B2720" i="12"/>
  <c r="C2665" i="12"/>
  <c r="B2665" i="12"/>
  <c r="B2721" i="12" s="1"/>
  <c r="B2644" i="12"/>
  <c r="C2592" i="12"/>
  <c r="B2592" i="12"/>
  <c r="C2550" i="12"/>
  <c r="B2550" i="12"/>
  <c r="C2504" i="12"/>
  <c r="B2504" i="12"/>
  <c r="C2444" i="12"/>
  <c r="B2444" i="12"/>
  <c r="B2388" i="12"/>
  <c r="B2350" i="12"/>
  <c r="B2261" i="12"/>
  <c r="C2220" i="12"/>
  <c r="B2220" i="12"/>
  <c r="B2175" i="12"/>
  <c r="C2149" i="12"/>
  <c r="B2149" i="12"/>
  <c r="C2090" i="12"/>
  <c r="B2090" i="12"/>
  <c r="C1978" i="12"/>
  <c r="B1978" i="12"/>
  <c r="C1851" i="12"/>
  <c r="B1851" i="12"/>
  <c r="B1798" i="12"/>
  <c r="B3652" i="12"/>
  <c r="C3556" i="12"/>
  <c r="B3556" i="12"/>
  <c r="C2879" i="12"/>
  <c r="B2879" i="12"/>
  <c r="C2825" i="12"/>
  <c r="B2825" i="12"/>
  <c r="C2589" i="12"/>
  <c r="B2589" i="12"/>
  <c r="B2500" i="12"/>
  <c r="C2438" i="12"/>
  <c r="B2438" i="12"/>
  <c r="B2384" i="12"/>
  <c r="B2346" i="12"/>
  <c r="C2346" i="12"/>
  <c r="C2310" i="12"/>
  <c r="B2310" i="12"/>
  <c r="C2216" i="12"/>
  <c r="B2216" i="12"/>
  <c r="B2171" i="12"/>
  <c r="C2145" i="12"/>
  <c r="B2145" i="12"/>
  <c r="C2080" i="12"/>
  <c r="B2080" i="12"/>
  <c r="B1793" i="12"/>
  <c r="CA161" i="15"/>
  <c r="CF161" i="15" s="1"/>
  <c r="AE150" i="15"/>
  <c r="CA213" i="15"/>
  <c r="CA165" i="15"/>
  <c r="AE161" i="15"/>
  <c r="AC136" i="15"/>
  <c r="CA137" i="15"/>
  <c r="CM137" i="15" s="1"/>
  <c r="AE120" i="15"/>
  <c r="AD120" i="15"/>
  <c r="AD105" i="15"/>
  <c r="AC182" i="15"/>
  <c r="AD165" i="15"/>
  <c r="CA200" i="15"/>
  <c r="CA160" i="15"/>
  <c r="CF160" i="15" s="1"/>
  <c r="CA159" i="15"/>
  <c r="CF159" i="15" s="1"/>
  <c r="CA168" i="15"/>
  <c r="CF168" i="15" s="1"/>
  <c r="CA147" i="15"/>
  <c r="CF147" i="15" s="1"/>
  <c r="AC118" i="15"/>
  <c r="AE139" i="15"/>
  <c r="AD134" i="15"/>
  <c r="CA120" i="15"/>
  <c r="CM120" i="15" s="1"/>
  <c r="CA135" i="15"/>
  <c r="CA106" i="15"/>
  <c r="CF106" i="15" s="1"/>
  <c r="CA105" i="15"/>
  <c r="CM105" i="15" s="1"/>
  <c r="CA97" i="15"/>
  <c r="CF97" i="15" s="1"/>
  <c r="AE105" i="15"/>
  <c r="CA206" i="15"/>
  <c r="CM206" i="15" s="1"/>
  <c r="CA171" i="15"/>
  <c r="CF171" i="15" s="1"/>
  <c r="AE160" i="15"/>
  <c r="AE159" i="15"/>
  <c r="AD145" i="15"/>
  <c r="AE205" i="15"/>
  <c r="AD182" i="15"/>
  <c r="CA209" i="15"/>
  <c r="AC205" i="15"/>
  <c r="CA190" i="15"/>
  <c r="AC171" i="15"/>
  <c r="CA216" i="15"/>
  <c r="CF216" i="15" s="1"/>
  <c r="AC216" i="15"/>
  <c r="CA214" i="15"/>
  <c r="CM214" i="15" s="1"/>
  <c r="AE179" i="15"/>
  <c r="AD168" i="15"/>
  <c r="CA205" i="15"/>
  <c r="CF205" i="15" s="1"/>
  <c r="AC168" i="15"/>
  <c r="CA149" i="15"/>
  <c r="CF149" i="15" s="1"/>
  <c r="AD211" i="15"/>
  <c r="AE209" i="15"/>
  <c r="CA193" i="15"/>
  <c r="CF193" i="15" s="1"/>
  <c r="AD190" i="15"/>
  <c r="CA145" i="15"/>
  <c r="CF145" i="15" s="1"/>
  <c r="AC142" i="15"/>
  <c r="AE143" i="15"/>
  <c r="AC143" i="15"/>
  <c r="CA122" i="15"/>
  <c r="CF122" i="15" s="1"/>
  <c r="CA134" i="15"/>
  <c r="CF134" i="15" s="1"/>
  <c r="AD137" i="15"/>
  <c r="AC137" i="15"/>
  <c r="AC96" i="15"/>
  <c r="CA107" i="15"/>
  <c r="CF107" i="15" s="1"/>
  <c r="CA108" i="15"/>
  <c r="CF108" i="15" s="1"/>
  <c r="AC107" i="15"/>
  <c r="CA95" i="15"/>
  <c r="CM95" i="15" s="1"/>
  <c r="CM96" i="15"/>
  <c r="CF96" i="15"/>
  <c r="CA220" i="15"/>
  <c r="AE190" i="15"/>
  <c r="AD171" i="15"/>
  <c r="AC148" i="15"/>
  <c r="AD135" i="15"/>
  <c r="AD132" i="15"/>
  <c r="CM121" i="15"/>
  <c r="AE118" i="15"/>
  <c r="CA117" i="15"/>
  <c r="AE96" i="15"/>
  <c r="AD210" i="15"/>
  <c r="AD175" i="15"/>
  <c r="AD136" i="15"/>
  <c r="AC135" i="15"/>
  <c r="AD118" i="15"/>
  <c r="AD96" i="15"/>
  <c r="AE95" i="15"/>
  <c r="AD89" i="15"/>
  <c r="CA217" i="15"/>
  <c r="AE193" i="15"/>
  <c r="AD172" i="15"/>
  <c r="AE220" i="15"/>
  <c r="AE216" i="15"/>
  <c r="CA197" i="15"/>
  <c r="AD193" i="15"/>
  <c r="AC172" i="15"/>
  <c r="AC134" i="15"/>
  <c r="CA132" i="15"/>
  <c r="CF132" i="15" s="1"/>
  <c r="AE145" i="15"/>
  <c r="AD218" i="15"/>
  <c r="AD214" i="15"/>
  <c r="AD206" i="15"/>
  <c r="AE204" i="15"/>
  <c r="AD202" i="15"/>
  <c r="AE122" i="15"/>
  <c r="AE121" i="15"/>
  <c r="AE117" i="15"/>
  <c r="CA89" i="15"/>
  <c r="CM89" i="15" s="1"/>
  <c r="CA212" i="15"/>
  <c r="AD209" i="15"/>
  <c r="AE197" i="15"/>
  <c r="AD133" i="15"/>
  <c r="AD122" i="15"/>
  <c r="AD121" i="15"/>
  <c r="AD117" i="15"/>
  <c r="AE109" i="15"/>
  <c r="AD108" i="15"/>
  <c r="AD197" i="15"/>
  <c r="AE178" i="15"/>
  <c r="AD160" i="15"/>
  <c r="AD150" i="15"/>
  <c r="AE146" i="15"/>
  <c r="AC133" i="15"/>
  <c r="CA172" i="15"/>
  <c r="CM172" i="15" s="1"/>
  <c r="AC150" i="15"/>
  <c r="CA148" i="15"/>
  <c r="AE106" i="15"/>
  <c r="AE212" i="15"/>
  <c r="AE200" i="15"/>
  <c r="AD161" i="15"/>
  <c r="AD159" i="15"/>
  <c r="AE149" i="15"/>
  <c r="AD212" i="15"/>
  <c r="AC200" i="15"/>
  <c r="AD149" i="15"/>
  <c r="AD148" i="15"/>
  <c r="CA133" i="15"/>
  <c r="CM133" i="15" s="1"/>
  <c r="B3327" i="12"/>
  <c r="B3789" i="12" s="1"/>
  <c r="B3718" i="12"/>
  <c r="B3844" i="12"/>
  <c r="B3524" i="12"/>
  <c r="B3595" i="12" s="1"/>
  <c r="G3442" i="12"/>
  <c r="O3442" i="12" s="1"/>
  <c r="O3833" i="12" s="1"/>
  <c r="K3833" i="12" s="1"/>
  <c r="G3513" i="12"/>
  <c r="G3584" i="12" s="1"/>
  <c r="G3371" i="12"/>
  <c r="O3371" i="12" s="1"/>
  <c r="B3297" i="12"/>
  <c r="B3759" i="12" s="1"/>
  <c r="B3688" i="12"/>
  <c r="N3615" i="12"/>
  <c r="N3583" i="12"/>
  <c r="O3583" i="12" s="1"/>
  <c r="G3469" i="12"/>
  <c r="O3469" i="12" s="1"/>
  <c r="O3860" i="12" s="1"/>
  <c r="K3860" i="12" s="1"/>
  <c r="B3368" i="12"/>
  <c r="B3439" i="12" s="1"/>
  <c r="B3388" i="12"/>
  <c r="B3459" i="12" s="1"/>
  <c r="B3246" i="12"/>
  <c r="O3098" i="12"/>
  <c r="G3172" i="12"/>
  <c r="K3009" i="12"/>
  <c r="D3003" i="12" s="1"/>
  <c r="B3406" i="12"/>
  <c r="B3477" i="12" s="1"/>
  <c r="B3264" i="12"/>
  <c r="N3570" i="12"/>
  <c r="B3539" i="12"/>
  <c r="B3610" i="12" s="1"/>
  <c r="B3362" i="12"/>
  <c r="B3433" i="12" s="1"/>
  <c r="G3155" i="12"/>
  <c r="G3148" i="12"/>
  <c r="G3121" i="12"/>
  <c r="G3459" i="12"/>
  <c r="O3459" i="12" s="1"/>
  <c r="O3850" i="12" s="1"/>
  <c r="K3850" i="12" s="1"/>
  <c r="G3388" i="12"/>
  <c r="O3388" i="12" s="1"/>
  <c r="G3441" i="12"/>
  <c r="O3441" i="12" s="1"/>
  <c r="O3832" i="12" s="1"/>
  <c r="K3832" i="12" s="1"/>
  <c r="G3370" i="12"/>
  <c r="O3370" i="12" s="1"/>
  <c r="B3398" i="12"/>
  <c r="B3469" i="12" s="1"/>
  <c r="B3540" i="12" s="1"/>
  <c r="B3611" i="12" s="1"/>
  <c r="B3316" i="12"/>
  <c r="B3778" i="12" s="1"/>
  <c r="B3707" i="12"/>
  <c r="B3380" i="12"/>
  <c r="B3451" i="12" s="1"/>
  <c r="B3238" i="12"/>
  <c r="G3141" i="12"/>
  <c r="B3695" i="12"/>
  <c r="N3563" i="12"/>
  <c r="O3563" i="12" s="1"/>
  <c r="B3403" i="12"/>
  <c r="B3474" i="12" s="1"/>
  <c r="B3261" i="12"/>
  <c r="B3394" i="12"/>
  <c r="B3465" i="12" s="1"/>
  <c r="B3252" i="12"/>
  <c r="G3372" i="12"/>
  <c r="O3372" i="12" s="1"/>
  <c r="B3355" i="12"/>
  <c r="B3426" i="12" s="1"/>
  <c r="B3213" i="12"/>
  <c r="B3682" i="12"/>
  <c r="B2726" i="12"/>
  <c r="B2666" i="12"/>
  <c r="O3531" i="12"/>
  <c r="G3460" i="12"/>
  <c r="O3460" i="12" s="1"/>
  <c r="O3851" i="12" s="1"/>
  <c r="K3851" i="12" s="1"/>
  <c r="B3409" i="12"/>
  <c r="B3480" i="12" s="1"/>
  <c r="B3267" i="12"/>
  <c r="N3621" i="12"/>
  <c r="N3614" i="12"/>
  <c r="N3575" i="12"/>
  <c r="N3559" i="12"/>
  <c r="G3389" i="12"/>
  <c r="O3389" i="12" s="1"/>
  <c r="B3207" i="12"/>
  <c r="G3183" i="12"/>
  <c r="B3208" i="12"/>
  <c r="B3670" i="12" s="1"/>
  <c r="B3350" i="12"/>
  <c r="B3421" i="12" s="1"/>
  <c r="B3492" i="12" s="1"/>
  <c r="B3563" i="12" s="1"/>
  <c r="E2668" i="12"/>
  <c r="E2688" i="12"/>
  <c r="I2688" i="12" s="1"/>
  <c r="I2708" i="12" s="1"/>
  <c r="B3811" i="12"/>
  <c r="N3624" i="12"/>
  <c r="N3620" i="12"/>
  <c r="N3596" i="12"/>
  <c r="N3574" i="12"/>
  <c r="N3568" i="12"/>
  <c r="B3509" i="12"/>
  <c r="B3580" i="12" s="1"/>
  <c r="O3492" i="12"/>
  <c r="O3421" i="12"/>
  <c r="O3812" i="12" s="1"/>
  <c r="K3812" i="12" s="1"/>
  <c r="B3389" i="12"/>
  <c r="B3460" i="12" s="1"/>
  <c r="O3383" i="12"/>
  <c r="O3352" i="12"/>
  <c r="B3321" i="12"/>
  <c r="B3783" i="12" s="1"/>
  <c r="B3712" i="12"/>
  <c r="G3175" i="12"/>
  <c r="G3138" i="12"/>
  <c r="G3131" i="12"/>
  <c r="G3176" i="12"/>
  <c r="O3102" i="12"/>
  <c r="G3454" i="12"/>
  <c r="O3454" i="12" s="1"/>
  <c r="O3845" i="12" s="1"/>
  <c r="K3845" i="12" s="1"/>
  <c r="G3525" i="12"/>
  <c r="G3596" i="12" s="1"/>
  <c r="O3058" i="12"/>
  <c r="G3132" i="12"/>
  <c r="F2684" i="12"/>
  <c r="I2662" i="12"/>
  <c r="N3565" i="12"/>
  <c r="B3240" i="12"/>
  <c r="O3092" i="12"/>
  <c r="G3166" i="12"/>
  <c r="G3391" i="12" s="1"/>
  <c r="O3391" i="12" s="1"/>
  <c r="O3083" i="12"/>
  <c r="G3157" i="12"/>
  <c r="G3382" i="12" s="1"/>
  <c r="O3382" i="12" s="1"/>
  <c r="B3375" i="12"/>
  <c r="B3446" i="12" s="1"/>
  <c r="N3604" i="12"/>
  <c r="N3580" i="12"/>
  <c r="O3580" i="12" s="1"/>
  <c r="O3530" i="12"/>
  <c r="B3498" i="12"/>
  <c r="B3569" i="12" s="1"/>
  <c r="B3257" i="12"/>
  <c r="B3399" i="12"/>
  <c r="B3470" i="12" s="1"/>
  <c r="O3100" i="12"/>
  <c r="G3174" i="12"/>
  <c r="G3541" i="12" s="1"/>
  <c r="O3065" i="12"/>
  <c r="G3139" i="12"/>
  <c r="B2662" i="12"/>
  <c r="B2684" i="12"/>
  <c r="B3385" i="12"/>
  <c r="B3456" i="12" s="1"/>
  <c r="B3243" i="12"/>
  <c r="G3179" i="12"/>
  <c r="O3105" i="12"/>
  <c r="B3727" i="12"/>
  <c r="N3612" i="12"/>
  <c r="N3600" i="12"/>
  <c r="N3567" i="12"/>
  <c r="N3564" i="12"/>
  <c r="B3377" i="12"/>
  <c r="B3448" i="12" s="1"/>
  <c r="B3235" i="12"/>
  <c r="B3358" i="12"/>
  <c r="B3429" i="12" s="1"/>
  <c r="B3216" i="12"/>
  <c r="G3186" i="12"/>
  <c r="G3553" i="12" s="1"/>
  <c r="O3116" i="12"/>
  <c r="N3603" i="12"/>
  <c r="N3598" i="12"/>
  <c r="N3592" i="12"/>
  <c r="N3562" i="12"/>
  <c r="E2689" i="12"/>
  <c r="E2709" i="12" s="1"/>
  <c r="CR220" i="15"/>
  <c r="L220" i="15"/>
  <c r="AR220" i="15" s="1"/>
  <c r="N220" i="15"/>
  <c r="CM208" i="15"/>
  <c r="CF208" i="15"/>
  <c r="CM204" i="15"/>
  <c r="CF204" i="15"/>
  <c r="AC220" i="15"/>
  <c r="CR211" i="15"/>
  <c r="AC210" i="15"/>
  <c r="CR207" i="15"/>
  <c r="AR207" i="15"/>
  <c r="AC206" i="15"/>
  <c r="CA202" i="15"/>
  <c r="AE202" i="15"/>
  <c r="CA219" i="15"/>
  <c r="CA215" i="15"/>
  <c r="AE211" i="15"/>
  <c r="N211" i="15"/>
  <c r="AE207" i="15"/>
  <c r="N207" i="15"/>
  <c r="AE203" i="15"/>
  <c r="AD203" i="15"/>
  <c r="AC203" i="15"/>
  <c r="AD217" i="15"/>
  <c r="AD213" i="15"/>
  <c r="AN211" i="15"/>
  <c r="AN207" i="15"/>
  <c r="AD199" i="15"/>
  <c r="AE199" i="15"/>
  <c r="CA199" i="15"/>
  <c r="CF218" i="15"/>
  <c r="AC217" i="15"/>
  <c r="CR214" i="15"/>
  <c r="AC213" i="15"/>
  <c r="CA211" i="15"/>
  <c r="AD208" i="15"/>
  <c r="CA207" i="15"/>
  <c r="AM207" i="15"/>
  <c r="AD204" i="15"/>
  <c r="CA203" i="15"/>
  <c r="AE218" i="15"/>
  <c r="AE214" i="15"/>
  <c r="CR209" i="15"/>
  <c r="AC208" i="15"/>
  <c r="CR205" i="15"/>
  <c r="AC204" i="15"/>
  <c r="N209" i="15"/>
  <c r="CR219" i="15"/>
  <c r="CR215" i="15"/>
  <c r="N186" i="15"/>
  <c r="L186" i="15"/>
  <c r="CR186" i="15"/>
  <c r="AE219" i="15"/>
  <c r="AE215" i="15"/>
  <c r="CF210" i="15"/>
  <c r="L209" i="15"/>
  <c r="AD219" i="15"/>
  <c r="AD215" i="15"/>
  <c r="CA201" i="15"/>
  <c r="AC201" i="15"/>
  <c r="AD201" i="15"/>
  <c r="AE201" i="15"/>
  <c r="N195" i="15"/>
  <c r="CR195" i="15"/>
  <c r="CM192" i="15"/>
  <c r="CF192" i="15"/>
  <c r="AE195" i="15"/>
  <c r="AC195" i="15"/>
  <c r="L175" i="15"/>
  <c r="CR175" i="15"/>
  <c r="N175" i="15"/>
  <c r="CZ175" i="15"/>
  <c r="AE192" i="15"/>
  <c r="CZ192" i="15"/>
  <c r="L187" i="15"/>
  <c r="AD184" i="15"/>
  <c r="AE184" i="15"/>
  <c r="CA177" i="15"/>
  <c r="AD177" i="15"/>
  <c r="AE177" i="15"/>
  <c r="AC177" i="15"/>
  <c r="AC191" i="15"/>
  <c r="AD180" i="15"/>
  <c r="AC180" i="15"/>
  <c r="AE180" i="15"/>
  <c r="CM184" i="15"/>
  <c r="AE183" i="15"/>
  <c r="AC183" i="15"/>
  <c r="CA183" i="15"/>
  <c r="N192" i="15"/>
  <c r="AE191" i="15"/>
  <c r="CA191" i="15"/>
  <c r="CZ189" i="15"/>
  <c r="L192" i="15"/>
  <c r="AR192" i="15" s="1"/>
  <c r="CZ180" i="15"/>
  <c r="AE196" i="15"/>
  <c r="AD192" i="15"/>
  <c r="CM180" i="15"/>
  <c r="CF180" i="15"/>
  <c r="CF174" i="15"/>
  <c r="CM174" i="15"/>
  <c r="CA196" i="15"/>
  <c r="AD196" i="15"/>
  <c r="CA195" i="15"/>
  <c r="AD195" i="15"/>
  <c r="E195" i="15"/>
  <c r="CA194" i="15"/>
  <c r="AD194" i="15"/>
  <c r="CR192" i="15"/>
  <c r="AC192" i="15"/>
  <c r="AC184" i="15"/>
  <c r="AC194" i="15"/>
  <c r="CM182" i="15"/>
  <c r="AD181" i="15"/>
  <c r="CA173" i="15"/>
  <c r="AC173" i="15"/>
  <c r="AD173" i="15"/>
  <c r="AD176" i="15"/>
  <c r="CA176" i="15"/>
  <c r="AE176" i="15"/>
  <c r="CA181" i="15"/>
  <c r="AE181" i="15"/>
  <c r="CA175" i="15"/>
  <c r="AC175" i="15"/>
  <c r="AC174" i="15"/>
  <c r="AD174" i="15"/>
  <c r="CZ173" i="15"/>
  <c r="CR172" i="15"/>
  <c r="CA179" i="15"/>
  <c r="AD179" i="15"/>
  <c r="CA178" i="15"/>
  <c r="AD178" i="15"/>
  <c r="N168" i="15"/>
  <c r="L162" i="15"/>
  <c r="AR162" i="15" s="1"/>
  <c r="N162" i="15"/>
  <c r="CR162" i="15"/>
  <c r="CA166" i="15"/>
  <c r="AC166" i="15"/>
  <c r="AD166" i="15"/>
  <c r="AE166" i="15"/>
  <c r="CA162" i="15"/>
  <c r="AC162" i="15"/>
  <c r="AD162" i="15"/>
  <c r="AE162" i="15"/>
  <c r="CF163" i="15"/>
  <c r="CR161" i="15"/>
  <c r="N161" i="15"/>
  <c r="CZ158" i="15"/>
  <c r="E164" i="15"/>
  <c r="AE163" i="15"/>
  <c r="AD163" i="15"/>
  <c r="AC163" i="15"/>
  <c r="AD151" i="15"/>
  <c r="AE151" i="15"/>
  <c r="CA151" i="15"/>
  <c r="CR149" i="15"/>
  <c r="AC138" i="15"/>
  <c r="CA138" i="15"/>
  <c r="AD138" i="15"/>
  <c r="AE138" i="15"/>
  <c r="E152" i="15"/>
  <c r="L146" i="15"/>
  <c r="AE147" i="15"/>
  <c r="N153" i="15"/>
  <c r="E150" i="15"/>
  <c r="AC140" i="15"/>
  <c r="CA140" i="15"/>
  <c r="AD140" i="15"/>
  <c r="CM150" i="15"/>
  <c r="AD147" i="15"/>
  <c r="L153" i="15"/>
  <c r="AR153" i="15" s="1"/>
  <c r="CA146" i="15"/>
  <c r="AD146" i="15"/>
  <c r="AE142" i="15"/>
  <c r="AC139" i="15"/>
  <c r="CA139" i="15"/>
  <c r="CA142" i="15"/>
  <c r="CA143" i="15"/>
  <c r="L125" i="15"/>
  <c r="N125" i="15"/>
  <c r="L133" i="15"/>
  <c r="AV133" i="15" s="1"/>
  <c r="N133" i="15"/>
  <c r="L132" i="15"/>
  <c r="CR133" i="15"/>
  <c r="CZ133" i="15"/>
  <c r="L135" i="15"/>
  <c r="N135" i="15"/>
  <c r="CR132" i="15"/>
  <c r="N132" i="15"/>
  <c r="CR125" i="15"/>
  <c r="CR136" i="15"/>
  <c r="L127" i="15"/>
  <c r="AR127" i="15" s="1"/>
  <c r="E122" i="15"/>
  <c r="CB122" i="15" s="1"/>
  <c r="CF118" i="15"/>
  <c r="CZ117" i="15"/>
  <c r="L121" i="15"/>
  <c r="N121" i="15"/>
  <c r="CR121" i="15"/>
  <c r="AE132" i="15"/>
  <c r="E127" i="15"/>
  <c r="CZ123" i="15"/>
  <c r="E117" i="15"/>
  <c r="CB117" i="15" s="1"/>
  <c r="AC123" i="15"/>
  <c r="AE123" i="15"/>
  <c r="CA123" i="15"/>
  <c r="CZ115" i="15"/>
  <c r="L112" i="15"/>
  <c r="CZ120" i="15"/>
  <c r="L110" i="15"/>
  <c r="N110" i="15"/>
  <c r="L109" i="15"/>
  <c r="N109" i="15"/>
  <c r="CR105" i="15"/>
  <c r="L105" i="15"/>
  <c r="N105" i="15"/>
  <c r="CZ98" i="15"/>
  <c r="CR109" i="15"/>
  <c r="CZ108" i="15"/>
  <c r="L107" i="15"/>
  <c r="CR107" i="15"/>
  <c r="N107" i="15"/>
  <c r="AD109" i="15"/>
  <c r="AC108" i="15"/>
  <c r="CZ105" i="15"/>
  <c r="CZ101" i="15"/>
  <c r="CA109" i="15"/>
  <c r="AC106" i="15"/>
  <c r="E103" i="15"/>
  <c r="E98" i="15"/>
  <c r="AE97" i="15"/>
  <c r="AD97" i="15"/>
  <c r="L96" i="15"/>
  <c r="CR96" i="15"/>
  <c r="CA94" i="15"/>
  <c r="AC94" i="15"/>
  <c r="AD94" i="15"/>
  <c r="AE94" i="15"/>
  <c r="L93" i="15"/>
  <c r="CR94" i="15"/>
  <c r="AD95" i="15"/>
  <c r="N94" i="15"/>
  <c r="AE89" i="15"/>
  <c r="K1931" i="12"/>
  <c r="K1942" i="12"/>
  <c r="O1942" i="12" s="1"/>
  <c r="K1940" i="12"/>
  <c r="K1938" i="12"/>
  <c r="K1936" i="12"/>
  <c r="K1934" i="12"/>
  <c r="K1932" i="12"/>
  <c r="K1965" i="12" s="1"/>
  <c r="K1981" i="12" s="1"/>
  <c r="K1941" i="12"/>
  <c r="K1939" i="12"/>
  <c r="K1937" i="12"/>
  <c r="O1937" i="12" s="1"/>
  <c r="K1935" i="12"/>
  <c r="O1935" i="12" s="1"/>
  <c r="Y87" i="13"/>
  <c r="AK87" i="13" s="1"/>
  <c r="BX87" i="13"/>
  <c r="CA87" i="13" s="1"/>
  <c r="O1893" i="12"/>
  <c r="D1889" i="12" s="1"/>
  <c r="O1896" i="12"/>
  <c r="O1898" i="12" s="1"/>
  <c r="BP87" i="13"/>
  <c r="BO87" i="13"/>
  <c r="DH81" i="13"/>
  <c r="V81" i="13"/>
  <c r="BZ69" i="13"/>
  <c r="BY69" i="13"/>
  <c r="AY85" i="13"/>
  <c r="K85" i="13"/>
  <c r="BX85" i="13"/>
  <c r="CA85" i="13" s="1"/>
  <c r="DA85" i="13"/>
  <c r="AB74" i="13"/>
  <c r="BB74" i="13"/>
  <c r="BC74" i="13" s="1"/>
  <c r="BD74" i="13"/>
  <c r="CP103" i="13"/>
  <c r="DG102" i="13"/>
  <c r="BB101" i="13"/>
  <c r="BC101" i="13" s="1"/>
  <c r="AF99" i="13"/>
  <c r="BV98" i="13"/>
  <c r="CU96" i="13"/>
  <c r="BX96" i="13"/>
  <c r="BZ96" i="13" s="1"/>
  <c r="AC96" i="13"/>
  <c r="DA95" i="13"/>
  <c r="CX94" i="13"/>
  <c r="BN94" i="13"/>
  <c r="AD94" i="13"/>
  <c r="AY91" i="13"/>
  <c r="H91" i="13"/>
  <c r="CO89" i="13"/>
  <c r="T89" i="13"/>
  <c r="H89" i="13" s="1"/>
  <c r="BX89" i="13" s="1"/>
  <c r="BZ89" i="13" s="1"/>
  <c r="CN85" i="13"/>
  <c r="CA83" i="13"/>
  <c r="BY83" i="13"/>
  <c r="CK81" i="13"/>
  <c r="CL81" i="13"/>
  <c r="AE81" i="13"/>
  <c r="CS59" i="13"/>
  <c r="CT59" i="13"/>
  <c r="T59" i="13"/>
  <c r="CF59" i="13"/>
  <c r="CU59" i="13"/>
  <c r="CZ59" i="13" s="1"/>
  <c r="AY59" i="13"/>
  <c r="BN59" i="13"/>
  <c r="CJ59" i="13"/>
  <c r="BQ59" i="13"/>
  <c r="CN59" i="13"/>
  <c r="CO59" i="13"/>
  <c r="BT59" i="13"/>
  <c r="BU59" i="13" s="1"/>
  <c r="CP59" i="13"/>
  <c r="CP48" i="13"/>
  <c r="BN91" i="13"/>
  <c r="BO91" i="13" s="1"/>
  <c r="CG105" i="13"/>
  <c r="CT104" i="13"/>
  <c r="CF104" i="13"/>
  <c r="AY104" i="13"/>
  <c r="CO103" i="13"/>
  <c r="DA99" i="13"/>
  <c r="BY98" i="13"/>
  <c r="CT96" i="13"/>
  <c r="BT96" i="13"/>
  <c r="BU96" i="13" s="1"/>
  <c r="AA96" i="13"/>
  <c r="CU95" i="13"/>
  <c r="BQ95" i="13"/>
  <c r="CV94" i="13"/>
  <c r="CI94" i="13"/>
  <c r="BM94" i="13"/>
  <c r="U93" i="13"/>
  <c r="CU91" i="13"/>
  <c r="CZ91" i="13" s="1"/>
  <c r="CJ89" i="13"/>
  <c r="CL89" i="13" s="1"/>
  <c r="U88" i="13"/>
  <c r="DK87" i="13"/>
  <c r="CC86" i="13"/>
  <c r="BQ85" i="13"/>
  <c r="CG81" i="13"/>
  <c r="CH81" i="13"/>
  <c r="CI81" i="13"/>
  <c r="BB73" i="13"/>
  <c r="BC73" i="13" s="1"/>
  <c r="AB73" i="13"/>
  <c r="BD73" i="13"/>
  <c r="CC63" i="13"/>
  <c r="CD63" i="13"/>
  <c r="CE63" i="13"/>
  <c r="AN103" i="16"/>
  <c r="AO103" i="16"/>
  <c r="AP103" i="16"/>
  <c r="AO82" i="16"/>
  <c r="AP82" i="16" s="1"/>
  <c r="AI115" i="16"/>
  <c r="M2647" i="12" s="1"/>
  <c r="M2728" i="12" s="1"/>
  <c r="K2728" i="12" s="1"/>
  <c r="CS104" i="13"/>
  <c r="CE104" i="13"/>
  <c r="CX102" i="13"/>
  <c r="AI102" i="13"/>
  <c r="CU99" i="13"/>
  <c r="CY99" i="13" s="1"/>
  <c r="CS96" i="13"/>
  <c r="BQ96" i="13"/>
  <c r="CA94" i="13"/>
  <c r="BZ93" i="13"/>
  <c r="CT91" i="13"/>
  <c r="CF89" i="13"/>
  <c r="BV87" i="13"/>
  <c r="BZ86" i="13"/>
  <c r="DN82" i="13"/>
  <c r="AD81" i="13"/>
  <c r="AF81" i="13"/>
  <c r="AG81" i="13"/>
  <c r="AI81" i="13"/>
  <c r="CS80" i="13"/>
  <c r="AH79" i="13"/>
  <c r="BS77" i="13"/>
  <c r="BR77" i="13"/>
  <c r="AF64" i="13"/>
  <c r="DG64" i="13"/>
  <c r="DH64" i="13"/>
  <c r="AI64" i="13"/>
  <c r="AU64" i="13"/>
  <c r="DL64" i="13"/>
  <c r="BB61" i="13"/>
  <c r="BC61" i="13" s="1"/>
  <c r="AN102" i="16"/>
  <c r="AP102" i="16" s="1"/>
  <c r="AO102" i="16"/>
  <c r="CR104" i="13"/>
  <c r="K104" i="13"/>
  <c r="BB103" i="13"/>
  <c r="BC103" i="13" s="1"/>
  <c r="AH102" i="13"/>
  <c r="AH101" i="13"/>
  <c r="CS99" i="13"/>
  <c r="BO98" i="13"/>
  <c r="CR96" i="13"/>
  <c r="BN96" i="13"/>
  <c r="T96" i="13"/>
  <c r="CS95" i="13"/>
  <c r="CF95" i="13"/>
  <c r="DM93" i="13"/>
  <c r="CS91" i="13"/>
  <c r="BT89" i="13"/>
  <c r="BU89" i="13" s="1"/>
  <c r="K89" i="13"/>
  <c r="BU87" i="13"/>
  <c r="BY86" i="13"/>
  <c r="AC86" i="13"/>
  <c r="AD86" i="13"/>
  <c r="CP80" i="13"/>
  <c r="CQ57" i="13"/>
  <c r="K57" i="13"/>
  <c r="CO57" i="13"/>
  <c r="BN57" i="13"/>
  <c r="BP57" i="13" s="1"/>
  <c r="CP57" i="13"/>
  <c r="CR57" i="13"/>
  <c r="T57" i="13"/>
  <c r="H57" i="13" s="1"/>
  <c r="BQ57" i="13"/>
  <c r="BR57" i="13" s="1"/>
  <c r="CS57" i="13"/>
  <c r="CT57" i="13"/>
  <c r="BT57" i="13"/>
  <c r="DA57" i="13"/>
  <c r="BX57" i="13"/>
  <c r="BZ57" i="13" s="1"/>
  <c r="CB57" i="13"/>
  <c r="CC57" i="13" s="1"/>
  <c r="CF57" i="13"/>
  <c r="U53" i="13"/>
  <c r="AD52" i="13"/>
  <c r="AG52" i="13"/>
  <c r="AI52" i="13"/>
  <c r="AD84" i="13"/>
  <c r="AF84" i="13"/>
  <c r="AI104" i="13"/>
  <c r="AZ103" i="13"/>
  <c r="AG102" i="13"/>
  <c r="AF101" i="13"/>
  <c r="CR99" i="13"/>
  <c r="T99" i="13"/>
  <c r="CQ91" i="13"/>
  <c r="CV81" i="13"/>
  <c r="CX81" i="13"/>
  <c r="CZ81" i="13"/>
  <c r="X66" i="13"/>
  <c r="U66" i="13"/>
  <c r="DJ61" i="13"/>
  <c r="DM61" i="13"/>
  <c r="AC50" i="13"/>
  <c r="AG50" i="13"/>
  <c r="AI50" i="13"/>
  <c r="AO94" i="16"/>
  <c r="AP94" i="16"/>
  <c r="AH115" i="16"/>
  <c r="M2646" i="12" s="1"/>
  <c r="CB91" i="13"/>
  <c r="CE91" i="13" s="1"/>
  <c r="CX105" i="13"/>
  <c r="BD105" i="13"/>
  <c r="CP104" i="13"/>
  <c r="CA104" i="13"/>
  <c r="AH104" i="13"/>
  <c r="CT102" i="13"/>
  <c r="BT102" i="13"/>
  <c r="BW102" i="13" s="1"/>
  <c r="AF102" i="13"/>
  <c r="AE101" i="13"/>
  <c r="CO99" i="13"/>
  <c r="AI98" i="13"/>
  <c r="CS97" i="13"/>
  <c r="CP96" i="13"/>
  <c r="AY96" i="13"/>
  <c r="AZ96" i="13" s="1"/>
  <c r="CQ95" i="13"/>
  <c r="CA95" i="13"/>
  <c r="AG95" i="13"/>
  <c r="H95" i="13"/>
  <c r="CB95" i="13" s="1"/>
  <c r="AY94" i="13"/>
  <c r="DG93" i="13"/>
  <c r="H93" i="13"/>
  <c r="CP91" i="13"/>
  <c r="AC91" i="13"/>
  <c r="BN89" i="13"/>
  <c r="DP87" i="13"/>
  <c r="CN87" i="13"/>
  <c r="AC87" i="13"/>
  <c r="CL86" i="13"/>
  <c r="BW86" i="13"/>
  <c r="CY84" i="13"/>
  <c r="AC83" i="13"/>
  <c r="AG83" i="13"/>
  <c r="AI83" i="13"/>
  <c r="BS81" i="13"/>
  <c r="AG78" i="13"/>
  <c r="CA73" i="13"/>
  <c r="BZ73" i="13"/>
  <c r="CP72" i="13"/>
  <c r="CR72" i="13"/>
  <c r="BN72" i="13"/>
  <c r="BQ72" i="13"/>
  <c r="BS72" i="13" s="1"/>
  <c r="CF69" i="13"/>
  <c r="CI69" i="13" s="1"/>
  <c r="BB69" i="13"/>
  <c r="BD69" i="13"/>
  <c r="AA69" i="13"/>
  <c r="AB69" i="13"/>
  <c r="DI64" i="13"/>
  <c r="CU61" i="13"/>
  <c r="CF61" i="13"/>
  <c r="CT61" i="13"/>
  <c r="T61" i="13"/>
  <c r="AY61" i="13"/>
  <c r="CJ61" i="13"/>
  <c r="BN61" i="13"/>
  <c r="CN61" i="13"/>
  <c r="BQ61" i="13"/>
  <c r="BR61" i="13" s="1"/>
  <c r="CO61" i="13"/>
  <c r="CP61" i="13"/>
  <c r="BX61" i="13"/>
  <c r="CQ61" i="13"/>
  <c r="CR59" i="13"/>
  <c r="DA51" i="13"/>
  <c r="T51" i="13"/>
  <c r="BQ51" i="13"/>
  <c r="CO51" i="13"/>
  <c r="CQ51" i="13"/>
  <c r="K48" i="13"/>
  <c r="H48" i="13"/>
  <c r="AS48" i="13" s="1"/>
  <c r="BX48" i="13"/>
  <c r="BZ48" i="13" s="1"/>
  <c r="CR48" i="13"/>
  <c r="CS48" i="13"/>
  <c r="CB48" i="13"/>
  <c r="CD48" i="13" s="1"/>
  <c r="CT48" i="13"/>
  <c r="T48" i="13"/>
  <c r="CU48" i="13"/>
  <c r="BN48" i="13"/>
  <c r="CJ48" i="13"/>
  <c r="BQ48" i="13"/>
  <c r="BR48" i="13" s="1"/>
  <c r="CN48" i="13"/>
  <c r="CO48" i="13"/>
  <c r="AP75" i="16"/>
  <c r="AP64" i="16"/>
  <c r="CO56" i="13"/>
  <c r="CQ56" i="13"/>
  <c r="AP81" i="16"/>
  <c r="CV105" i="13"/>
  <c r="BB105" i="13"/>
  <c r="BM105" i="13" s="1"/>
  <c r="CI105" i="13"/>
  <c r="CN104" i="13"/>
  <c r="BY104" i="13"/>
  <c r="AG104" i="13"/>
  <c r="AH103" i="13"/>
  <c r="CS102" i="13"/>
  <c r="BQ102" i="13"/>
  <c r="BS102" i="13" s="1"/>
  <c r="AE102" i="13"/>
  <c r="H102" i="13"/>
  <c r="I102" i="13" s="1"/>
  <c r="CD101" i="13"/>
  <c r="AB101" i="13"/>
  <c r="BT99" i="13"/>
  <c r="CL98" i="13"/>
  <c r="AH98" i="13"/>
  <c r="CP97" i="13"/>
  <c r="CO96" i="13"/>
  <c r="BM96" i="13"/>
  <c r="K96" i="13"/>
  <c r="DM96" i="13" s="1"/>
  <c r="CP95" i="13"/>
  <c r="BY95" i="13"/>
  <c r="AF95" i="13"/>
  <c r="BT94" i="13"/>
  <c r="BW94" i="13" s="1"/>
  <c r="CU93" i="13"/>
  <c r="CV93" i="13" s="1"/>
  <c r="CN91" i="13"/>
  <c r="AY89" i="13"/>
  <c r="AZ89" i="13" s="1"/>
  <c r="DM87" i="13"/>
  <c r="CJ87" i="13"/>
  <c r="CM87" i="13" s="1"/>
  <c r="BQ87" i="13"/>
  <c r="DA87" i="13"/>
  <c r="CK86" i="13"/>
  <c r="BU86" i="13"/>
  <c r="K86" i="13"/>
  <c r="AY86" i="13"/>
  <c r="CP86" i="13"/>
  <c r="T86" i="13"/>
  <c r="BQ86" i="13"/>
  <c r="CF86" i="13"/>
  <c r="BO64" i="13"/>
  <c r="CQ59" i="13"/>
  <c r="DA49" i="13"/>
  <c r="T49" i="13"/>
  <c r="BQ49" i="13"/>
  <c r="CO49" i="13"/>
  <c r="CQ49" i="13"/>
  <c r="AN78" i="16"/>
  <c r="AO78" i="16" s="1"/>
  <c r="AP76" i="16"/>
  <c r="AO65" i="16"/>
  <c r="AP65" i="16"/>
  <c r="AM115" i="16"/>
  <c r="AO54" i="16"/>
  <c r="BD101" i="13"/>
  <c r="CQ85" i="13"/>
  <c r="DJ60" i="13"/>
  <c r="DM60" i="13"/>
  <c r="CM104" i="13"/>
  <c r="AE104" i="13"/>
  <c r="AG103" i="13"/>
  <c r="AC102" i="13"/>
  <c r="BS94" i="13"/>
  <c r="AH93" i="13"/>
  <c r="AG90" i="13"/>
  <c r="CY87" i="13"/>
  <c r="CV84" i="13"/>
  <c r="CX84" i="13"/>
  <c r="AC77" i="13"/>
  <c r="AD77" i="13"/>
  <c r="AF77" i="13"/>
  <c r="AG77" i="13"/>
  <c r="AI77" i="13"/>
  <c r="U70" i="13"/>
  <c r="X70" i="13"/>
  <c r="CB69" i="13"/>
  <c r="CD69" i="13" s="1"/>
  <c r="K69" i="13"/>
  <c r="AY69" i="13"/>
  <c r="AZ69" i="13" s="1"/>
  <c r="CJ69" i="13"/>
  <c r="CK69" i="13" s="1"/>
  <c r="CR69" i="13"/>
  <c r="CS69" i="13"/>
  <c r="CU69" i="13"/>
  <c r="BT69" i="13"/>
  <c r="BW69" i="13" s="1"/>
  <c r="BB67" i="13"/>
  <c r="BC67" i="13" s="1"/>
  <c r="BD67" i="13"/>
  <c r="CE59" i="13"/>
  <c r="CC59" i="13"/>
  <c r="CD59" i="13"/>
  <c r="BY45" i="13"/>
  <c r="BZ45" i="13"/>
  <c r="CA45" i="13"/>
  <c r="BO45" i="13"/>
  <c r="BP45" i="13"/>
  <c r="AP88" i="16"/>
  <c r="AN66" i="16"/>
  <c r="AP66" i="16" s="1"/>
  <c r="AO66" i="16"/>
  <c r="AL115" i="16"/>
  <c r="M2650" i="12" s="1"/>
  <c r="CH94" i="13"/>
  <c r="BD59" i="13"/>
  <c r="DK59" i="13"/>
  <c r="M2729" i="12"/>
  <c r="K2729" i="12" s="1"/>
  <c r="AI105" i="13"/>
  <c r="CL104" i="13"/>
  <c r="AD104" i="13"/>
  <c r="CQ102" i="13"/>
  <c r="BZ101" i="13"/>
  <c r="AC98" i="13"/>
  <c r="AG97" i="13"/>
  <c r="AH96" i="13"/>
  <c r="CD96" i="13"/>
  <c r="CN95" i="13"/>
  <c r="BW95" i="13"/>
  <c r="AD95" i="13"/>
  <c r="AH94" i="13"/>
  <c r="CS93" i="13"/>
  <c r="AE93" i="13"/>
  <c r="CJ91" i="13"/>
  <c r="CL91" i="13" s="1"/>
  <c r="U91" i="13"/>
  <c r="DA89" i="13"/>
  <c r="AI89" i="13"/>
  <c r="AE88" i="13"/>
  <c r="CX87" i="13"/>
  <c r="CF87" i="13"/>
  <c r="H86" i="13"/>
  <c r="CB79" i="13"/>
  <c r="CF79" i="13"/>
  <c r="DA79" i="13"/>
  <c r="CJ79" i="13"/>
  <c r="CN79" i="13"/>
  <c r="AY79" i="13"/>
  <c r="AZ79" i="13" s="1"/>
  <c r="CP79" i="13"/>
  <c r="K79" i="13"/>
  <c r="BQ79" i="13"/>
  <c r="BR79" i="13" s="1"/>
  <c r="CQ79" i="13"/>
  <c r="BX79" i="13"/>
  <c r="CS79" i="13"/>
  <c r="X67" i="13"/>
  <c r="U67" i="13"/>
  <c r="BX59" i="13"/>
  <c r="BZ59" i="13" s="1"/>
  <c r="CG54" i="13"/>
  <c r="CH54" i="13"/>
  <c r="CI54" i="13"/>
  <c r="K54" i="13"/>
  <c r="AO54" i="13" s="1"/>
  <c r="DA54" i="13"/>
  <c r="AY54" i="13"/>
  <c r="CJ54" i="13"/>
  <c r="CL54" i="13" s="1"/>
  <c r="T54" i="13"/>
  <c r="H54" i="13" s="1"/>
  <c r="BN54" i="13"/>
  <c r="BQ54" i="13"/>
  <c r="CN54" i="13"/>
  <c r="BT54" i="13"/>
  <c r="BW54" i="13" s="1"/>
  <c r="CO54" i="13"/>
  <c r="BX54" i="13"/>
  <c r="CP54" i="13"/>
  <c r="CQ54" i="13"/>
  <c r="CR54" i="13"/>
  <c r="CB54" i="13"/>
  <c r="CS54" i="13"/>
  <c r="AO107" i="16"/>
  <c r="AP107" i="16" s="1"/>
  <c r="AO89" i="16"/>
  <c r="AP89" i="16" s="1"/>
  <c r="AK115" i="16"/>
  <c r="M2649" i="12" s="1"/>
  <c r="AH105" i="13"/>
  <c r="BT104" i="13"/>
  <c r="BV104" i="13" s="1"/>
  <c r="AC104" i="13"/>
  <c r="DO102" i="13"/>
  <c r="CP102" i="13"/>
  <c r="AA102" i="13"/>
  <c r="CW101" i="13"/>
  <c r="BR101" i="13"/>
  <c r="T101" i="13"/>
  <c r="H101" i="13" s="1"/>
  <c r="AD97" i="13"/>
  <c r="DA96" i="13"/>
  <c r="AG96" i="13"/>
  <c r="CM95" i="13"/>
  <c r="AG94" i="13"/>
  <c r="AC93" i="13"/>
  <c r="K91" i="13"/>
  <c r="AT91" i="13" s="1"/>
  <c r="CT89" i="13"/>
  <c r="AF89" i="13"/>
  <c r="CV87" i="13"/>
  <c r="AZ87" i="13"/>
  <c r="AC84" i="13"/>
  <c r="AB77" i="13"/>
  <c r="BD77" i="13"/>
  <c r="AA77" i="13"/>
  <c r="AA73" i="13"/>
  <c r="BD60" i="13"/>
  <c r="AO100" i="16"/>
  <c r="AP100" i="16" s="1"/>
  <c r="AN90" i="16"/>
  <c r="AO90" i="16"/>
  <c r="AP90" i="16"/>
  <c r="AB115" i="16"/>
  <c r="O1910" i="12" s="1"/>
  <c r="O1912" i="12" s="1"/>
  <c r="O1915" i="12" s="1"/>
  <c r="O1917" i="12" s="1"/>
  <c r="DL81" i="13"/>
  <c r="CJ77" i="13"/>
  <c r="K77" i="13"/>
  <c r="BB75" i="13"/>
  <c r="BC75" i="13" s="1"/>
  <c r="CN73" i="13"/>
  <c r="BT73" i="13"/>
  <c r="CQ71" i="13"/>
  <c r="CQ64" i="13"/>
  <c r="CB64" i="13"/>
  <c r="CP63" i="13"/>
  <c r="AA63" i="13"/>
  <c r="DA62" i="13"/>
  <c r="BS61" i="13"/>
  <c r="BQ58" i="13"/>
  <c r="AG54" i="13"/>
  <c r="CJ52" i="13"/>
  <c r="CJ50" i="13"/>
  <c r="BQ45" i="13"/>
  <c r="AP114" i="16"/>
  <c r="AP110" i="16"/>
  <c r="AP97" i="16"/>
  <c r="AP85" i="16"/>
  <c r="AP73" i="16"/>
  <c r="AP61" i="16"/>
  <c r="CA64" i="13"/>
  <c r="AC64" i="13"/>
  <c r="DA63" i="13"/>
  <c r="CO63" i="13"/>
  <c r="CS62" i="13"/>
  <c r="CF52" i="13"/>
  <c r="DA48" i="13"/>
  <c r="CJ45" i="13"/>
  <c r="T45" i="13"/>
  <c r="H45" i="13" s="1"/>
  <c r="AP96" i="16"/>
  <c r="AP84" i="16"/>
  <c r="AG80" i="13"/>
  <c r="CD77" i="13"/>
  <c r="BP77" i="13"/>
  <c r="CK73" i="13"/>
  <c r="BO73" i="13"/>
  <c r="CN71" i="13"/>
  <c r="H71" i="13"/>
  <c r="AY64" i="13"/>
  <c r="CZ63" i="13"/>
  <c r="CN63" i="13"/>
  <c r="BT63" i="13"/>
  <c r="T63" i="13"/>
  <c r="CO62" i="13"/>
  <c r="DA61" i="13"/>
  <c r="BX52" i="13"/>
  <c r="K52" i="13"/>
  <c r="CF50" i="13"/>
  <c r="CH50" i="13" s="1"/>
  <c r="CU45" i="13"/>
  <c r="AO109" i="16"/>
  <c r="AP109" i="16" s="1"/>
  <c r="AP108" i="16"/>
  <c r="AO96" i="16"/>
  <c r="AP95" i="16"/>
  <c r="AO84" i="16"/>
  <c r="AP83" i="16"/>
  <c r="AO72" i="16"/>
  <c r="AP72" i="16" s="1"/>
  <c r="AP71" i="16"/>
  <c r="AO60" i="16"/>
  <c r="AP60" i="16" s="1"/>
  <c r="AP59" i="16"/>
  <c r="AP58" i="16"/>
  <c r="AW74" i="13"/>
  <c r="BY64" i="13"/>
  <c r="H64" i="13"/>
  <c r="DN64" i="13" s="1"/>
  <c r="CY63" i="13"/>
  <c r="CJ63" i="13"/>
  <c r="BR63" i="13"/>
  <c r="BN62" i="13"/>
  <c r="BS55" i="13"/>
  <c r="BT52" i="13"/>
  <c r="H52" i="13"/>
  <c r="BX50" i="13"/>
  <c r="BY50" i="13" s="1"/>
  <c r="K50" i="13"/>
  <c r="CT45" i="13"/>
  <c r="CF45" i="13"/>
  <c r="AW64" i="13"/>
  <c r="CS84" i="13"/>
  <c r="BB79" i="13"/>
  <c r="BC79" i="13" s="1"/>
  <c r="CF73" i="13"/>
  <c r="CI73" i="13" s="1"/>
  <c r="DA73" i="13"/>
  <c r="X72" i="13"/>
  <c r="CF71" i="13"/>
  <c r="CL64" i="13"/>
  <c r="BT64" i="13"/>
  <c r="BW64" i="13" s="1"/>
  <c r="AH64" i="13"/>
  <c r="CW63" i="13"/>
  <c r="K63" i="13"/>
  <c r="AG60" i="13"/>
  <c r="CT58" i="13"/>
  <c r="U57" i="13"/>
  <c r="X53" i="13"/>
  <c r="AY52" i="13"/>
  <c r="U52" i="13"/>
  <c r="AY50" i="13"/>
  <c r="AD49" i="13"/>
  <c r="CR45" i="13"/>
  <c r="AO106" i="16"/>
  <c r="AP106" i="16" s="1"/>
  <c r="AP105" i="16"/>
  <c r="AO93" i="16"/>
  <c r="AP93" i="16" s="1"/>
  <c r="AO81" i="16"/>
  <c r="AP80" i="16"/>
  <c r="AO69" i="16"/>
  <c r="AP69" i="16" s="1"/>
  <c r="AO56" i="16"/>
  <c r="AP56" i="16" s="1"/>
  <c r="AI82" i="13"/>
  <c r="H79" i="13"/>
  <c r="AS79" i="13" s="1"/>
  <c r="CT77" i="13"/>
  <c r="U75" i="13"/>
  <c r="CB71" i="13"/>
  <c r="BD66" i="13"/>
  <c r="AG64" i="13"/>
  <c r="CF63" i="13"/>
  <c r="BN63" i="13"/>
  <c r="H63" i="13"/>
  <c r="T62" i="13"/>
  <c r="AC60" i="13"/>
  <c r="CS58" i="13"/>
  <c r="BP55" i="13"/>
  <c r="CU52" i="13"/>
  <c r="CZ50" i="13"/>
  <c r="CQ45" i="13"/>
  <c r="CB45" i="13"/>
  <c r="AH45" i="13"/>
  <c r="AP104" i="16"/>
  <c r="AP91" i="16"/>
  <c r="AP79" i="16"/>
  <c r="AP67" i="16"/>
  <c r="AP54" i="16"/>
  <c r="AF82" i="13"/>
  <c r="CR77" i="13"/>
  <c r="BO77" i="13"/>
  <c r="AV74" i="13"/>
  <c r="CB73" i="13"/>
  <c r="CU71" i="13"/>
  <c r="BT71" i="13"/>
  <c r="AI69" i="13"/>
  <c r="CU64" i="13"/>
  <c r="BQ64" i="13"/>
  <c r="AE64" i="13"/>
  <c r="CT63" i="13"/>
  <c r="U62" i="13"/>
  <c r="CP58" i="13"/>
  <c r="CS52" i="13"/>
  <c r="CS50" i="13"/>
  <c r="CO45" i="13"/>
  <c r="CS63" i="13"/>
  <c r="U56" i="13"/>
  <c r="CR52" i="13"/>
  <c r="U51" i="13"/>
  <c r="CR50" i="13"/>
  <c r="CN45" i="13"/>
  <c r="AS93" i="13"/>
  <c r="L93" i="13"/>
  <c r="N93" i="13" s="1"/>
  <c r="DK93" i="13"/>
  <c r="DL93" i="13"/>
  <c r="I93" i="13"/>
  <c r="CB93" i="13"/>
  <c r="V93" i="13"/>
  <c r="AT93" i="13"/>
  <c r="Y93" i="13"/>
  <c r="AK93" i="13" s="1"/>
  <c r="DJ93" i="13"/>
  <c r="BU101" i="13"/>
  <c r="BW101" i="13"/>
  <c r="BU99" i="13"/>
  <c r="BV99" i="13"/>
  <c r="CX95" i="13"/>
  <c r="CY95" i="13"/>
  <c r="CV95" i="13"/>
  <c r="CK94" i="13"/>
  <c r="CL94" i="13"/>
  <c r="BS105" i="13"/>
  <c r="BC105" i="13"/>
  <c r="K105" i="13"/>
  <c r="L105" i="13" s="1"/>
  <c r="N105" i="13" s="1"/>
  <c r="AY105" i="13"/>
  <c r="BX105" i="13"/>
  <c r="DH104" i="13"/>
  <c r="BO102" i="13"/>
  <c r="BP102" i="13"/>
  <c r="CK100" i="13"/>
  <c r="CL100" i="13"/>
  <c r="CM100" i="13"/>
  <c r="AZ100" i="13"/>
  <c r="AB100" i="13"/>
  <c r="BB100" i="13"/>
  <c r="BC100" i="13" s="1"/>
  <c r="BD100" i="13"/>
  <c r="BR99" i="13"/>
  <c r="BS99" i="13"/>
  <c r="BD98" i="13"/>
  <c r="AA98" i="13"/>
  <c r="AB98" i="13"/>
  <c r="BB98" i="13"/>
  <c r="DP96" i="13"/>
  <c r="DG96" i="13"/>
  <c r="DH96" i="13"/>
  <c r="AU96" i="13"/>
  <c r="DI96" i="13"/>
  <c r="AV96" i="13"/>
  <c r="DN96" i="13"/>
  <c r="BP95" i="13"/>
  <c r="Y105" i="13"/>
  <c r="Z105" i="13" s="1"/>
  <c r="U102" i="13"/>
  <c r="CV99" i="13"/>
  <c r="CW99" i="13"/>
  <c r="CX99" i="13"/>
  <c r="CZ99" i="13"/>
  <c r="CA96" i="13"/>
  <c r="BY96" i="13"/>
  <c r="BO88" i="13"/>
  <c r="BP88" i="13"/>
  <c r="CZ104" i="13"/>
  <c r="DK103" i="13"/>
  <c r="AU103" i="13"/>
  <c r="DI103" i="13"/>
  <c r="CI102" i="13"/>
  <c r="DH100" i="13"/>
  <c r="AU100" i="13"/>
  <c r="DI100" i="13"/>
  <c r="DN100" i="13"/>
  <c r="DO100" i="13"/>
  <c r="DP100" i="13"/>
  <c r="CC97" i="13"/>
  <c r="CE97" i="13"/>
  <c r="CC95" i="13"/>
  <c r="CD95" i="13"/>
  <c r="CE95" i="13"/>
  <c r="AV94" i="13"/>
  <c r="DN94" i="13"/>
  <c r="AU94" i="13"/>
  <c r="DO94" i="13"/>
  <c r="AZ94" i="13"/>
  <c r="DG94" i="13"/>
  <c r="DH94" i="13"/>
  <c r="DI94" i="13"/>
  <c r="DJ94" i="13"/>
  <c r="I94" i="13"/>
  <c r="DL94" i="13"/>
  <c r="BO93" i="13"/>
  <c r="BP93" i="13"/>
  <c r="CY104" i="13"/>
  <c r="CT103" i="13"/>
  <c r="CU103" i="13"/>
  <c r="BN103" i="13"/>
  <c r="CB103" i="13"/>
  <c r="CN103" i="13"/>
  <c r="T103" i="13"/>
  <c r="H103" i="13" s="1"/>
  <c r="BQ103" i="13"/>
  <c r="BT103" i="13"/>
  <c r="CF103" i="13"/>
  <c r="CR103" i="13"/>
  <c r="CG102" i="13"/>
  <c r="CH102" i="13"/>
  <c r="CE100" i="13"/>
  <c r="CC100" i="13"/>
  <c r="CQ100" i="13"/>
  <c r="BT100" i="13"/>
  <c r="CR100" i="13"/>
  <c r="CT100" i="13"/>
  <c r="CU100" i="13"/>
  <c r="BN100" i="13"/>
  <c r="T100" i="13"/>
  <c r="H100" i="13" s="1"/>
  <c r="BQ100" i="13"/>
  <c r="CO100" i="13"/>
  <c r="DA100" i="13"/>
  <c r="CC98" i="13"/>
  <c r="CD98" i="13"/>
  <c r="BR96" i="13"/>
  <c r="BS96" i="13"/>
  <c r="AS94" i="13"/>
  <c r="L94" i="13"/>
  <c r="N94" i="13" s="1"/>
  <c r="CB94" i="13"/>
  <c r="V94" i="13"/>
  <c r="Y94" i="13"/>
  <c r="F106" i="13"/>
  <c r="CZ105" i="13"/>
  <c r="CN105" i="13"/>
  <c r="CB105" i="13"/>
  <c r="BN105" i="13"/>
  <c r="CX104" i="13"/>
  <c r="BW104" i="13"/>
  <c r="BU104" i="13"/>
  <c r="CQ103" i="13"/>
  <c r="BX103" i="13"/>
  <c r="CW102" i="13"/>
  <c r="CY102" i="13"/>
  <c r="CZ102" i="13"/>
  <c r="CD102" i="13"/>
  <c r="DM100" i="13"/>
  <c r="BX100" i="13"/>
  <c r="H98" i="13"/>
  <c r="CD97" i="13"/>
  <c r="BO96" i="13"/>
  <c r="BP96" i="13"/>
  <c r="H96" i="13"/>
  <c r="AT96" i="13" s="1"/>
  <c r="BE96" i="13" s="1"/>
  <c r="AS95" i="13"/>
  <c r="Y95" i="13"/>
  <c r="Z95" i="13" s="1"/>
  <c r="CW91" i="13"/>
  <c r="CY91" i="13"/>
  <c r="CV91" i="13"/>
  <c r="CX91" i="13"/>
  <c r="CW104" i="13"/>
  <c r="CE102" i="13"/>
  <c r="BB104" i="13"/>
  <c r="BC104" i="13" s="1"/>
  <c r="BD104" i="13"/>
  <c r="BZ102" i="13"/>
  <c r="BV101" i="13"/>
  <c r="DG100" i="13"/>
  <c r="AS91" i="13"/>
  <c r="Y91" i="13"/>
  <c r="AQ91" i="13"/>
  <c r="BX91" i="13"/>
  <c r="DM86" i="13"/>
  <c r="DN86" i="13"/>
  <c r="I86" i="13"/>
  <c r="DP86" i="13"/>
  <c r="BB86" i="13"/>
  <c r="AP86" i="13"/>
  <c r="BD86" i="13"/>
  <c r="DG86" i="13"/>
  <c r="DH86" i="13"/>
  <c r="DI86" i="13"/>
  <c r="AU86" i="13"/>
  <c r="DK86" i="13"/>
  <c r="AT86" i="13"/>
  <c r="AV86" i="13"/>
  <c r="DJ86" i="13"/>
  <c r="DL86" i="13"/>
  <c r="DO86" i="13"/>
  <c r="AF105" i="13"/>
  <c r="CI104" i="13"/>
  <c r="DL103" i="13"/>
  <c r="AV103" i="13"/>
  <c r="AC103" i="13"/>
  <c r="AE103" i="13"/>
  <c r="AF103" i="13"/>
  <c r="AI103" i="13"/>
  <c r="BY102" i="13"/>
  <c r="CA102" i="13"/>
  <c r="AZ102" i="13"/>
  <c r="BS101" i="13"/>
  <c r="DO96" i="13"/>
  <c r="DM94" i="13"/>
  <c r="BU94" i="13"/>
  <c r="CJ105" i="13"/>
  <c r="BW105" i="13"/>
  <c r="CC102" i="13"/>
  <c r="AT102" i="13"/>
  <c r="L86" i="13"/>
  <c r="AS86" i="13"/>
  <c r="V86" i="13"/>
  <c r="Y86" i="13"/>
  <c r="AQ86" i="13" s="1"/>
  <c r="BV105" i="13"/>
  <c r="AD105" i="13"/>
  <c r="DL104" i="13"/>
  <c r="AV104" i="13"/>
  <c r="DH103" i="13"/>
  <c r="BM103" i="13"/>
  <c r="DM102" i="13"/>
  <c r="BU102" i="13"/>
  <c r="BV102" i="13"/>
  <c r="BM102" i="13"/>
  <c r="BM101" i="13"/>
  <c r="CM96" i="13"/>
  <c r="CK96" i="13"/>
  <c r="CZ95" i="13"/>
  <c r="BB95" i="13"/>
  <c r="BD95" i="13"/>
  <c r="AA95" i="13"/>
  <c r="CP47" i="13"/>
  <c r="BT47" i="13"/>
  <c r="CF47" i="13"/>
  <c r="CR47" i="13"/>
  <c r="CT47" i="13"/>
  <c r="CU47" i="13"/>
  <c r="K47" i="13"/>
  <c r="AY47" i="13"/>
  <c r="BX47" i="13"/>
  <c r="CJ47" i="13"/>
  <c r="BN47" i="13"/>
  <c r="CN47" i="13"/>
  <c r="CO47" i="13"/>
  <c r="CQ47" i="13"/>
  <c r="DA47" i="13"/>
  <c r="BQ47" i="13"/>
  <c r="T47" i="13"/>
  <c r="H47" i="13" s="1"/>
  <c r="CS47" i="13"/>
  <c r="CT105" i="13"/>
  <c r="AC105" i="13"/>
  <c r="DJ104" i="13"/>
  <c r="CC104" i="13"/>
  <c r="BM104" i="13"/>
  <c r="DG103" i="13"/>
  <c r="BR102" i="13"/>
  <c r="Y102" i="13"/>
  <c r="AP102" i="13" s="1"/>
  <c r="AM102" i="13"/>
  <c r="L102" i="13"/>
  <c r="N102" i="13" s="1"/>
  <c r="V102" i="13"/>
  <c r="CP100" i="13"/>
  <c r="AH100" i="13"/>
  <c r="AI100" i="13"/>
  <c r="AC100" i="13"/>
  <c r="AD100" i="13"/>
  <c r="AF100" i="13"/>
  <c r="BW99" i="13"/>
  <c r="BC96" i="13"/>
  <c r="CW95" i="13"/>
  <c r="CM94" i="13"/>
  <c r="DH102" i="13"/>
  <c r="CP101" i="13"/>
  <c r="AG101" i="13"/>
  <c r="CN99" i="13"/>
  <c r="CB99" i="13"/>
  <c r="AE99" i="13"/>
  <c r="AD98" i="13"/>
  <c r="BN97" i="13"/>
  <c r="AC97" i="13"/>
  <c r="CW96" i="13"/>
  <c r="AB96" i="13"/>
  <c r="K95" i="13"/>
  <c r="V95" i="13" s="1"/>
  <c r="CK93" i="13"/>
  <c r="CM93" i="13"/>
  <c r="BM91" i="13"/>
  <c r="BB87" i="13"/>
  <c r="BC87" i="13" s="1"/>
  <c r="BD87" i="13"/>
  <c r="BY85" i="13"/>
  <c r="BZ85" i="13"/>
  <c r="BB83" i="13"/>
  <c r="BC83" i="13" s="1"/>
  <c r="BD83" i="13"/>
  <c r="AB91" i="13"/>
  <c r="CC88" i="13"/>
  <c r="CD88" i="13"/>
  <c r="CE88" i="13"/>
  <c r="BR85" i="13"/>
  <c r="BS85" i="13"/>
  <c r="CZ101" i="13"/>
  <c r="BN99" i="13"/>
  <c r="AC99" i="13"/>
  <c r="CK98" i="13"/>
  <c r="BM98" i="13"/>
  <c r="CJ97" i="13"/>
  <c r="AY97" i="13"/>
  <c r="K97" i="13"/>
  <c r="BW96" i="13"/>
  <c r="CZ93" i="13"/>
  <c r="BR89" i="13"/>
  <c r="BS89" i="13"/>
  <c r="BY87" i="13"/>
  <c r="BZ87" i="13"/>
  <c r="BM87" i="13"/>
  <c r="DK83" i="13"/>
  <c r="DL83" i="13"/>
  <c r="DP83" i="13"/>
  <c r="AU83" i="13"/>
  <c r="DM83" i="13"/>
  <c r="DN83" i="13"/>
  <c r="DO83" i="13"/>
  <c r="CY101" i="13"/>
  <c r="CA101" i="13"/>
  <c r="AD101" i="13"/>
  <c r="BM99" i="13"/>
  <c r="AY98" i="13"/>
  <c r="K98" i="13"/>
  <c r="CU97" i="13"/>
  <c r="BV96" i="13"/>
  <c r="CX93" i="13"/>
  <c r="CY90" i="13"/>
  <c r="BO89" i="13"/>
  <c r="BP89" i="13"/>
  <c r="AP87" i="13"/>
  <c r="DA104" i="13"/>
  <c r="CO104" i="13"/>
  <c r="BQ104" i="13"/>
  <c r="T104" i="13"/>
  <c r="H104" i="13" s="1"/>
  <c r="DP102" i="13"/>
  <c r="CX101" i="13"/>
  <c r="BN101" i="13"/>
  <c r="AC101" i="13"/>
  <c r="BM100" i="13"/>
  <c r="CJ99" i="13"/>
  <c r="BX99" i="13"/>
  <c r="AY99" i="13"/>
  <c r="K99" i="13"/>
  <c r="CU98" i="13"/>
  <c r="BW98" i="13"/>
  <c r="CT97" i="13"/>
  <c r="AI95" i="13"/>
  <c r="BD93" i="13"/>
  <c r="AB93" i="13"/>
  <c r="BB93" i="13"/>
  <c r="BC93" i="13" s="1"/>
  <c r="BP91" i="13"/>
  <c r="CB90" i="13"/>
  <c r="CN90" i="13"/>
  <c r="T90" i="13"/>
  <c r="H90" i="13" s="1"/>
  <c r="BQ90" i="13"/>
  <c r="CO90" i="13"/>
  <c r="DA90" i="13"/>
  <c r="CQ90" i="13"/>
  <c r="BT90" i="13"/>
  <c r="CF90" i="13"/>
  <c r="CR90" i="13"/>
  <c r="CT90" i="13"/>
  <c r="K90" i="13"/>
  <c r="BD90" i="13" s="1"/>
  <c r="AY90" i="13"/>
  <c r="AZ90" i="13" s="1"/>
  <c r="CJ90" i="13"/>
  <c r="BN90" i="13"/>
  <c r="AM87" i="13"/>
  <c r="AZ86" i="13"/>
  <c r="CH83" i="13"/>
  <c r="CI83" i="13"/>
  <c r="CG83" i="13"/>
  <c r="BM74" i="13"/>
  <c r="CW93" i="13"/>
  <c r="CY93" i="13"/>
  <c r="CZ90" i="13"/>
  <c r="CV90" i="13"/>
  <c r="CX90" i="13"/>
  <c r="V89" i="13"/>
  <c r="AZ85" i="13"/>
  <c r="CE83" i="13"/>
  <c r="CC83" i="13"/>
  <c r="CD83" i="13"/>
  <c r="DN102" i="13"/>
  <c r="AN102" i="13"/>
  <c r="K101" i="13"/>
  <c r="CT99" i="13"/>
  <c r="H99" i="13"/>
  <c r="CR97" i="13"/>
  <c r="CF97" i="13"/>
  <c r="BT97" i="13"/>
  <c r="AI97" i="13"/>
  <c r="CE96" i="13"/>
  <c r="AU93" i="13"/>
  <c r="DI93" i="13"/>
  <c r="AN93" i="13"/>
  <c r="DN93" i="13"/>
  <c r="AP93" i="13"/>
  <c r="DP93" i="13"/>
  <c r="DK91" i="13"/>
  <c r="CK91" i="13"/>
  <c r="CM91" i="13"/>
  <c r="CS90" i="13"/>
  <c r="BB89" i="13"/>
  <c r="BC89" i="13" s="1"/>
  <c r="CX88" i="13"/>
  <c r="CY88" i="13"/>
  <c r="CV88" i="13"/>
  <c r="BM85" i="13"/>
  <c r="BM84" i="13"/>
  <c r="CV75" i="13"/>
  <c r="CX75" i="13"/>
  <c r="CZ75" i="13"/>
  <c r="CW75" i="13"/>
  <c r="CY75" i="13"/>
  <c r="CQ97" i="13"/>
  <c r="AH97" i="13"/>
  <c r="BY93" i="13"/>
  <c r="CA93" i="13"/>
  <c r="CK87" i="13"/>
  <c r="CL87" i="13"/>
  <c r="CM89" i="13"/>
  <c r="CK89" i="13"/>
  <c r="DP89" i="13"/>
  <c r="DG89" i="13"/>
  <c r="DH89" i="13"/>
  <c r="AU89" i="13"/>
  <c r="AV89" i="13"/>
  <c r="I89" i="13"/>
  <c r="DN89" i="13"/>
  <c r="DN85" i="13"/>
  <c r="DJ85" i="13"/>
  <c r="DK85" i="13"/>
  <c r="DL85" i="13"/>
  <c r="DM85" i="13"/>
  <c r="AU85" i="13"/>
  <c r="DO85" i="13"/>
  <c r="AV85" i="13"/>
  <c r="DP85" i="13"/>
  <c r="DK102" i="13"/>
  <c r="AK102" i="13"/>
  <c r="CQ99" i="13"/>
  <c r="AH99" i="13"/>
  <c r="AG98" i="13"/>
  <c r="DA97" i="13"/>
  <c r="CO97" i="13"/>
  <c r="BQ97" i="13"/>
  <c r="AF97" i="13"/>
  <c r="T97" i="13"/>
  <c r="H97" i="13" s="1"/>
  <c r="CZ96" i="13"/>
  <c r="DO89" i="13"/>
  <c r="CG89" i="13"/>
  <c r="CH89" i="13"/>
  <c r="CI89" i="13"/>
  <c r="CD89" i="13"/>
  <c r="CE89" i="13"/>
  <c r="AN87" i="13"/>
  <c r="DN87" i="13"/>
  <c r="AO87" i="13"/>
  <c r="DO87" i="13"/>
  <c r="AQ87" i="13"/>
  <c r="DG87" i="13"/>
  <c r="DH87" i="13"/>
  <c r="AU87" i="13"/>
  <c r="DI87" i="13"/>
  <c r="AJ87" i="13"/>
  <c r="AV87" i="13"/>
  <c r="DJ87" i="13"/>
  <c r="I87" i="13"/>
  <c r="DL87" i="13"/>
  <c r="CV86" i="13"/>
  <c r="CW86" i="13"/>
  <c r="CY86" i="13"/>
  <c r="CZ86" i="13"/>
  <c r="CB85" i="13"/>
  <c r="CO85" i="13"/>
  <c r="CP85" i="13"/>
  <c r="CR85" i="13"/>
  <c r="CF85" i="13"/>
  <c r="CS85" i="13"/>
  <c r="BT85" i="13"/>
  <c r="CT85" i="13"/>
  <c r="T85" i="13"/>
  <c r="H85" i="13" s="1"/>
  <c r="CU85" i="13"/>
  <c r="CJ85" i="13"/>
  <c r="DJ83" i="13"/>
  <c r="CC80" i="13"/>
  <c r="CE80" i="13"/>
  <c r="CD80" i="13"/>
  <c r="DJ102" i="13"/>
  <c r="AV102" i="13"/>
  <c r="CR101" i="13"/>
  <c r="CF101" i="13"/>
  <c r="DA98" i="13"/>
  <c r="CO98" i="13"/>
  <c r="BQ98" i="13"/>
  <c r="CN97" i="13"/>
  <c r="BZ94" i="13"/>
  <c r="AT94" i="13"/>
  <c r="CC91" i="13"/>
  <c r="CD91" i="13"/>
  <c r="AE90" i="13"/>
  <c r="AF90" i="13"/>
  <c r="AH90" i="13"/>
  <c r="AI90" i="13"/>
  <c r="AC90" i="13"/>
  <c r="DM89" i="13"/>
  <c r="CC89" i="13"/>
  <c r="L87" i="13"/>
  <c r="AL87" i="13" s="1"/>
  <c r="AS87" i="13"/>
  <c r="V87" i="13"/>
  <c r="Z87" i="13"/>
  <c r="AD93" i="13"/>
  <c r="AD91" i="13"/>
  <c r="BM89" i="13"/>
  <c r="AB89" i="13"/>
  <c r="CJ88" i="13"/>
  <c r="AY88" i="13"/>
  <c r="K88" i="13"/>
  <c r="BB88" i="13" s="1"/>
  <c r="CI87" i="13"/>
  <c r="BW87" i="13"/>
  <c r="BT84" i="13"/>
  <c r="CF84" i="13"/>
  <c r="CR84" i="13"/>
  <c r="K84" i="13"/>
  <c r="AY84" i="13"/>
  <c r="BX84" i="13"/>
  <c r="CJ84" i="13"/>
  <c r="CB84" i="13"/>
  <c r="CN84" i="13"/>
  <c r="CP84" i="13"/>
  <c r="DM82" i="13"/>
  <c r="CY79" i="13"/>
  <c r="CX79" i="13"/>
  <c r="CZ79" i="13"/>
  <c r="CV79" i="13"/>
  <c r="CK77" i="13"/>
  <c r="CL77" i="13"/>
  <c r="CM77" i="13"/>
  <c r="AA76" i="13"/>
  <c r="AB76" i="13"/>
  <c r="BB76" i="13"/>
  <c r="BC76" i="13" s="1"/>
  <c r="AU73" i="13"/>
  <c r="DJ73" i="13"/>
  <c r="DK73" i="13"/>
  <c r="AG73" i="13"/>
  <c r="AV73" i="13"/>
  <c r="DM73" i="13"/>
  <c r="DO73" i="13"/>
  <c r="DP73" i="13"/>
  <c r="DG73" i="13"/>
  <c r="I73" i="13"/>
  <c r="DH73" i="13"/>
  <c r="AW73" i="13"/>
  <c r="DI73" i="13"/>
  <c r="DL73" i="13"/>
  <c r="DN73" i="13"/>
  <c r="AF73" i="13"/>
  <c r="BD81" i="13"/>
  <c r="AA81" i="13"/>
  <c r="AB81" i="13"/>
  <c r="BB81" i="13"/>
  <c r="CU89" i="13"/>
  <c r="BW89" i="13"/>
  <c r="CT88" i="13"/>
  <c r="H88" i="13"/>
  <c r="BX88" i="13" s="1"/>
  <c r="AF86" i="13"/>
  <c r="AI85" i="13"/>
  <c r="CZ84" i="13"/>
  <c r="BQ84" i="13"/>
  <c r="BZ83" i="13"/>
  <c r="CK82" i="13"/>
  <c r="CL82" i="13"/>
  <c r="BP81" i="13"/>
  <c r="CK70" i="13"/>
  <c r="CL70" i="13"/>
  <c r="CM70" i="13"/>
  <c r="BV89" i="13"/>
  <c r="DG82" i="13"/>
  <c r="DH82" i="13"/>
  <c r="AV82" i="13"/>
  <c r="DO82" i="13"/>
  <c r="DG79" i="13"/>
  <c r="BN79" i="13"/>
  <c r="DI79" i="13"/>
  <c r="Y79" i="13"/>
  <c r="AO79" i="13" s="1"/>
  <c r="BM78" i="13"/>
  <c r="BD76" i="13"/>
  <c r="AT73" i="13"/>
  <c r="BO67" i="13"/>
  <c r="BP67" i="13"/>
  <c r="CF88" i="13"/>
  <c r="BT88" i="13"/>
  <c r="AI88" i="13"/>
  <c r="AT87" i="13"/>
  <c r="AI84" i="13"/>
  <c r="AE84" i="13"/>
  <c r="AG84" i="13"/>
  <c r="CG82" i="13"/>
  <c r="CH82" i="13"/>
  <c r="AS81" i="13"/>
  <c r="DG81" i="13"/>
  <c r="BT81" i="13"/>
  <c r="I81" i="13"/>
  <c r="AL81" i="13"/>
  <c r="L81" i="13"/>
  <c r="N81" i="13" s="1"/>
  <c r="BW79" i="13"/>
  <c r="BU79" i="13"/>
  <c r="AH73" i="13"/>
  <c r="CQ83" i="13"/>
  <c r="CT83" i="13"/>
  <c r="CU83" i="13"/>
  <c r="T83" i="13"/>
  <c r="H83" i="13" s="1"/>
  <c r="BQ83" i="13"/>
  <c r="CO83" i="13"/>
  <c r="DA83" i="13"/>
  <c r="BC82" i="13"/>
  <c r="H82" i="13"/>
  <c r="DK82" i="13" s="1"/>
  <c r="L77" i="13"/>
  <c r="N77" i="13" s="1"/>
  <c r="V77" i="13"/>
  <c r="Y77" i="13"/>
  <c r="AL77" i="13" s="1"/>
  <c r="BT77" i="13"/>
  <c r="CQ89" i="13"/>
  <c r="AH89" i="13"/>
  <c r="CP88" i="13"/>
  <c r="AG88" i="13"/>
  <c r="CC87" i="13"/>
  <c r="AE85" i="13"/>
  <c r="T84" i="13"/>
  <c r="H84" i="13" s="1"/>
  <c r="CN83" i="13"/>
  <c r="BT83" i="13"/>
  <c r="AY83" i="13"/>
  <c r="AZ83" i="13" s="1"/>
  <c r="CW82" i="13"/>
  <c r="CX82" i="13"/>
  <c r="CZ82" i="13"/>
  <c r="AZ82" i="13"/>
  <c r="U82" i="13"/>
  <c r="CW72" i="13"/>
  <c r="CV72" i="13"/>
  <c r="CY72" i="13"/>
  <c r="CZ72" i="13"/>
  <c r="CX72" i="13"/>
  <c r="CR93" i="13"/>
  <c r="CF93" i="13"/>
  <c r="BT93" i="13"/>
  <c r="AI93" i="13"/>
  <c r="CR91" i="13"/>
  <c r="CF91" i="13"/>
  <c r="BT91" i="13"/>
  <c r="AI91" i="13"/>
  <c r="CP89" i="13"/>
  <c r="AG89" i="13"/>
  <c r="DA88" i="13"/>
  <c r="CO88" i="13"/>
  <c r="BQ88" i="13"/>
  <c r="AF88" i="13"/>
  <c r="T88" i="13"/>
  <c r="CZ87" i="13"/>
  <c r="BD85" i="13"/>
  <c r="CT84" i="13"/>
  <c r="CC81" i="13"/>
  <c r="CD81" i="13"/>
  <c r="AT77" i="13"/>
  <c r="T70" i="13"/>
  <c r="BQ70" i="13"/>
  <c r="CO70" i="13"/>
  <c r="DA70" i="13"/>
  <c r="CP70" i="13"/>
  <c r="BT70" i="13"/>
  <c r="CF70" i="13"/>
  <c r="CR70" i="13"/>
  <c r="H70" i="13"/>
  <c r="CT70" i="13"/>
  <c r="CU70" i="13"/>
  <c r="CN70" i="13"/>
  <c r="K70" i="13"/>
  <c r="AF70" i="13" s="1"/>
  <c r="CS70" i="13"/>
  <c r="CB70" i="13"/>
  <c r="CQ70" i="13"/>
  <c r="AY70" i="13"/>
  <c r="BX70" i="13"/>
  <c r="CM79" i="13"/>
  <c r="CK79" i="13"/>
  <c r="CL79" i="13"/>
  <c r="BN78" i="13"/>
  <c r="CF78" i="13"/>
  <c r="CR78" i="13"/>
  <c r="K78" i="13"/>
  <c r="CB78" i="13"/>
  <c r="CQ78" i="13"/>
  <c r="CS78" i="13"/>
  <c r="CU78" i="13"/>
  <c r="T78" i="13"/>
  <c r="H78" i="13" s="1"/>
  <c r="BT78" i="13" s="1"/>
  <c r="AY78" i="13"/>
  <c r="BQ78" i="13"/>
  <c r="CJ78" i="13"/>
  <c r="DA78" i="13"/>
  <c r="BX78" i="13"/>
  <c r="CO78" i="13"/>
  <c r="CK74" i="13"/>
  <c r="CM74" i="13"/>
  <c r="CL74" i="13"/>
  <c r="U74" i="13"/>
  <c r="X74" i="13"/>
  <c r="BU73" i="13"/>
  <c r="BV73" i="13"/>
  <c r="BW73" i="13"/>
  <c r="AG93" i="13"/>
  <c r="AG91" i="13"/>
  <c r="CN89" i="13"/>
  <c r="AE89" i="13"/>
  <c r="AD88" i="13"/>
  <c r="BN86" i="13"/>
  <c r="BB85" i="13"/>
  <c r="BC85" i="13" s="1"/>
  <c r="CJ83" i="13"/>
  <c r="BU82" i="13"/>
  <c r="BV82" i="13"/>
  <c r="AU82" i="13"/>
  <c r="BM81" i="13"/>
  <c r="Y81" i="13"/>
  <c r="AO81" i="13" s="1"/>
  <c r="CT78" i="13"/>
  <c r="CD71" i="13"/>
  <c r="CE71" i="13"/>
  <c r="CC71" i="13"/>
  <c r="DA93" i="13"/>
  <c r="CO93" i="13"/>
  <c r="BQ93" i="13"/>
  <c r="DA91" i="13"/>
  <c r="CO91" i="13"/>
  <c r="BQ91" i="13"/>
  <c r="CO84" i="13"/>
  <c r="AH84" i="13"/>
  <c r="AH83" i="13"/>
  <c r="AD83" i="13"/>
  <c r="AF83" i="13"/>
  <c r="DP82" i="13"/>
  <c r="BR82" i="13"/>
  <c r="BS82" i="13"/>
  <c r="AT81" i="13"/>
  <c r="L79" i="13"/>
  <c r="AJ79" i="13" s="1"/>
  <c r="CP78" i="13"/>
  <c r="BR62" i="13"/>
  <c r="BS62" i="13"/>
  <c r="CB82" i="13"/>
  <c r="AE82" i="13"/>
  <c r="DP81" i="13"/>
  <c r="CY81" i="13"/>
  <c r="CM81" i="13"/>
  <c r="CA81" i="13"/>
  <c r="AP81" i="13"/>
  <c r="AC80" i="13"/>
  <c r="CI79" i="13"/>
  <c r="AA78" i="13"/>
  <c r="DG77" i="13"/>
  <c r="BM77" i="13"/>
  <c r="CV76" i="13"/>
  <c r="CW76" i="13"/>
  <c r="CY76" i="13"/>
  <c r="BM76" i="13"/>
  <c r="CK63" i="13"/>
  <c r="CL63" i="13"/>
  <c r="CM63" i="13"/>
  <c r="BN82" i="13"/>
  <c r="AC82" i="13"/>
  <c r="DN81" i="13"/>
  <c r="CW81" i="13"/>
  <c r="AN81" i="13"/>
  <c r="CJ80" i="13"/>
  <c r="BX80" i="13"/>
  <c r="AY80" i="13"/>
  <c r="K80" i="13"/>
  <c r="BS79" i="13"/>
  <c r="BD79" i="13"/>
  <c r="AN79" i="13"/>
  <c r="CZ77" i="13"/>
  <c r="CI77" i="13"/>
  <c r="BY74" i="13"/>
  <c r="CA74" i="13"/>
  <c r="CU80" i="13"/>
  <c r="AC78" i="13"/>
  <c r="AD78" i="13"/>
  <c r="AI78" i="13"/>
  <c r="CY77" i="13"/>
  <c r="CH77" i="13"/>
  <c r="AP77" i="13"/>
  <c r="BR76" i="13"/>
  <c r="BS76" i="13"/>
  <c r="I76" i="13"/>
  <c r="BC69" i="13"/>
  <c r="CC65" i="13"/>
  <c r="CD65" i="13"/>
  <c r="CE65" i="13"/>
  <c r="DK65" i="13"/>
  <c r="DL65" i="13"/>
  <c r="AV65" i="13"/>
  <c r="DH65" i="13"/>
  <c r="DJ65" i="13"/>
  <c r="AG65" i="13"/>
  <c r="AI65" i="13"/>
  <c r="AC65" i="13"/>
  <c r="DG65" i="13"/>
  <c r="CT80" i="13"/>
  <c r="AD79" i="13"/>
  <c r="AE79" i="13"/>
  <c r="BP76" i="13"/>
  <c r="L76" i="13"/>
  <c r="N76" i="13" s="1"/>
  <c r="AS76" i="13"/>
  <c r="V76" i="13"/>
  <c r="BO74" i="13"/>
  <c r="BP74" i="13"/>
  <c r="BR72" i="13"/>
  <c r="CU66" i="13"/>
  <c r="K66" i="13"/>
  <c r="AC66" i="13" s="1"/>
  <c r="AY66" i="13"/>
  <c r="BX66" i="13"/>
  <c r="CJ66" i="13"/>
  <c r="BQ66" i="13"/>
  <c r="CS66" i="13"/>
  <c r="CF66" i="13"/>
  <c r="CT66" i="13"/>
  <c r="BT66" i="13"/>
  <c r="DA66" i="13"/>
  <c r="T66" i="13"/>
  <c r="H66" i="13" s="1"/>
  <c r="CO66" i="13"/>
  <c r="BN66" i="13"/>
  <c r="CB66" i="13"/>
  <c r="CP66" i="13"/>
  <c r="CN66" i="13"/>
  <c r="CQ66" i="13"/>
  <c r="BV65" i="13"/>
  <c r="BW65" i="13"/>
  <c r="BU65" i="13"/>
  <c r="CV64" i="13"/>
  <c r="CX64" i="13"/>
  <c r="CY64" i="13"/>
  <c r="CZ64" i="13"/>
  <c r="CW64" i="13"/>
  <c r="CW77" i="13"/>
  <c r="CX77" i="13"/>
  <c r="DM76" i="13"/>
  <c r="DN76" i="13"/>
  <c r="DP76" i="13"/>
  <c r="DG76" i="13"/>
  <c r="AT76" i="13"/>
  <c r="DH76" i="13"/>
  <c r="AU76" i="13"/>
  <c r="DI76" i="13"/>
  <c r="AV76" i="13"/>
  <c r="CG73" i="13"/>
  <c r="CH73" i="13"/>
  <c r="BO72" i="13"/>
  <c r="BP72" i="13"/>
  <c r="CT82" i="13"/>
  <c r="DJ81" i="13"/>
  <c r="AV81" i="13"/>
  <c r="AJ81" i="13"/>
  <c r="CR80" i="13"/>
  <c r="CF80" i="13"/>
  <c r="BT80" i="13"/>
  <c r="AI80" i="13"/>
  <c r="DH79" i="13"/>
  <c r="BM79" i="13"/>
  <c r="DP77" i="13"/>
  <c r="CC77" i="13"/>
  <c r="DL76" i="13"/>
  <c r="CV67" i="13"/>
  <c r="CW67" i="13"/>
  <c r="CY67" i="13"/>
  <c r="CX67" i="13"/>
  <c r="CZ67" i="13"/>
  <c r="DI81" i="13"/>
  <c r="CQ80" i="13"/>
  <c r="AH80" i="13"/>
  <c r="AI79" i="13"/>
  <c r="U79" i="13"/>
  <c r="V79" i="13" s="1"/>
  <c r="AH78" i="13"/>
  <c r="DK76" i="13"/>
  <c r="CV73" i="13"/>
  <c r="CX73" i="13"/>
  <c r="CY73" i="13"/>
  <c r="CZ73" i="13"/>
  <c r="L73" i="13"/>
  <c r="N73" i="13" s="1"/>
  <c r="AS73" i="13"/>
  <c r="V73" i="13"/>
  <c r="Y73" i="13"/>
  <c r="AK73" i="13" s="1"/>
  <c r="DA80" i="13"/>
  <c r="CO80" i="13"/>
  <c r="BQ80" i="13"/>
  <c r="AF80" i="13"/>
  <c r="T80" i="13"/>
  <c r="H80" i="13" s="1"/>
  <c r="CA79" i="13"/>
  <c r="AU79" i="13"/>
  <c r="AG79" i="13"/>
  <c r="BY77" i="13"/>
  <c r="BZ77" i="13"/>
  <c r="AN77" i="13"/>
  <c r="DN77" i="13"/>
  <c r="AO77" i="13"/>
  <c r="DO77" i="13"/>
  <c r="AQ77" i="13"/>
  <c r="DH77" i="13"/>
  <c r="AU77" i="13"/>
  <c r="AV77" i="13"/>
  <c r="DK74" i="13"/>
  <c r="DL74" i="13"/>
  <c r="DN74" i="13"/>
  <c r="DP74" i="13"/>
  <c r="AU74" i="13"/>
  <c r="AA71" i="13"/>
  <c r="BD71" i="13"/>
  <c r="AB71" i="13"/>
  <c r="AF67" i="13"/>
  <c r="DI65" i="13"/>
  <c r="CN80" i="13"/>
  <c r="DP79" i="13"/>
  <c r="AT79" i="13"/>
  <c r="AF79" i="13"/>
  <c r="AE78" i="13"/>
  <c r="DJ77" i="13"/>
  <c r="AZ77" i="13"/>
  <c r="I77" i="13"/>
  <c r="CZ76" i="13"/>
  <c r="CD76" i="13"/>
  <c r="CE76" i="13"/>
  <c r="Y76" i="13"/>
  <c r="AK76" i="13" s="1"/>
  <c r="AZ74" i="13"/>
  <c r="CT74" i="13"/>
  <c r="CU74" i="13"/>
  <c r="CB74" i="13"/>
  <c r="CN74" i="13"/>
  <c r="T74" i="13"/>
  <c r="H74" i="13" s="1"/>
  <c r="BQ74" i="13"/>
  <c r="CO74" i="13"/>
  <c r="DA74" i="13"/>
  <c r="CP74" i="13"/>
  <c r="CQ74" i="13"/>
  <c r="CF74" i="13"/>
  <c r="CR74" i="13"/>
  <c r="AD65" i="13"/>
  <c r="BY60" i="13"/>
  <c r="BZ60" i="13"/>
  <c r="CA60" i="13"/>
  <c r="CQ72" i="13"/>
  <c r="H72" i="13"/>
  <c r="AS71" i="13"/>
  <c r="K67" i="13"/>
  <c r="AC67" i="13" s="1"/>
  <c r="CQ67" i="13"/>
  <c r="T67" i="13"/>
  <c r="BT67" i="13"/>
  <c r="CF67" i="13"/>
  <c r="CR67" i="13"/>
  <c r="CT67" i="13"/>
  <c r="AY67" i="13"/>
  <c r="BX67" i="13"/>
  <c r="CJ67" i="13"/>
  <c r="H67" i="13"/>
  <c r="BU57" i="13"/>
  <c r="BW57" i="13"/>
  <c r="BV57" i="13"/>
  <c r="CR75" i="13"/>
  <c r="CF75" i="13"/>
  <c r="BT75" i="13"/>
  <c r="CO72" i="13"/>
  <c r="BR71" i="13"/>
  <c r="BS71" i="13"/>
  <c r="BO65" i="13"/>
  <c r="BP65" i="13"/>
  <c r="AE65" i="13"/>
  <c r="CR76" i="13"/>
  <c r="CF76" i="13"/>
  <c r="BT76" i="13"/>
  <c r="AI76" i="13"/>
  <c r="CQ75" i="13"/>
  <c r="CN72" i="13"/>
  <c r="AA72" i="13"/>
  <c r="CM69" i="13"/>
  <c r="BU69" i="13"/>
  <c r="BV69" i="13"/>
  <c r="CQ76" i="13"/>
  <c r="AH76" i="13"/>
  <c r="CP75" i="13"/>
  <c r="AI73" i="13"/>
  <c r="DA72" i="13"/>
  <c r="BX72" i="13"/>
  <c r="CL69" i="13"/>
  <c r="CC69" i="13"/>
  <c r="CE69" i="13"/>
  <c r="DA67" i="13"/>
  <c r="BB65" i="13"/>
  <c r="BC65" i="13" s="1"/>
  <c r="AA65" i="13"/>
  <c r="AB65" i="13"/>
  <c r="BD65" i="13"/>
  <c r="DA59" i="13"/>
  <c r="H59" i="13"/>
  <c r="DO59" i="13" s="1"/>
  <c r="CQ77" i="13"/>
  <c r="AH77" i="13"/>
  <c r="CP76" i="13"/>
  <c r="AG76" i="13"/>
  <c r="DA75" i="13"/>
  <c r="CO75" i="13"/>
  <c r="BQ75" i="13"/>
  <c r="BD75" i="13"/>
  <c r="T75" i="13"/>
  <c r="H75" i="13" s="1"/>
  <c r="AY73" i="13"/>
  <c r="AZ73" i="13" s="1"/>
  <c r="CG71" i="13"/>
  <c r="BN71" i="13"/>
  <c r="CB67" i="13"/>
  <c r="AE66" i="13"/>
  <c r="AH66" i="13"/>
  <c r="AI66" i="13"/>
  <c r="BC64" i="13"/>
  <c r="BM64" i="13"/>
  <c r="BY63" i="13"/>
  <c r="BZ63" i="13"/>
  <c r="CA63" i="13"/>
  <c r="CN75" i="13"/>
  <c r="CB75" i="13"/>
  <c r="CJ72" i="13"/>
  <c r="Y71" i="13"/>
  <c r="Z71" i="13" s="1"/>
  <c r="BB70" i="13"/>
  <c r="BC70" i="13" s="1"/>
  <c r="BN75" i="13"/>
  <c r="CG69" i="13"/>
  <c r="CH69" i="13"/>
  <c r="CS67" i="13"/>
  <c r="CL65" i="13"/>
  <c r="CM65" i="13"/>
  <c r="Y64" i="13"/>
  <c r="AK64" i="13" s="1"/>
  <c r="V64" i="13"/>
  <c r="DM64" i="13"/>
  <c r="DO64" i="13"/>
  <c r="I64" i="13"/>
  <c r="AS64" i="13"/>
  <c r="L64" i="13"/>
  <c r="N64" i="13" s="1"/>
  <c r="AT64" i="13"/>
  <c r="CJ75" i="13"/>
  <c r="BX75" i="13"/>
  <c r="AY75" i="13"/>
  <c r="K75" i="13"/>
  <c r="CT73" i="13"/>
  <c r="CT72" i="13"/>
  <c r="CF72" i="13"/>
  <c r="AY72" i="13"/>
  <c r="AZ72" i="13" s="1"/>
  <c r="AB70" i="13"/>
  <c r="CV69" i="13"/>
  <c r="CA69" i="13"/>
  <c r="CO67" i="13"/>
  <c r="BQ67" i="13"/>
  <c r="AG66" i="13"/>
  <c r="CJ76" i="13"/>
  <c r="BX76" i="13"/>
  <c r="AY76" i="13"/>
  <c r="AZ76" i="13" s="1"/>
  <c r="CS73" i="13"/>
  <c r="CS72" i="13"/>
  <c r="CD72" i="13"/>
  <c r="K72" i="13"/>
  <c r="BW71" i="13"/>
  <c r="U71" i="13"/>
  <c r="X71" i="13"/>
  <c r="AA70" i="13"/>
  <c r="CN67" i="13"/>
  <c r="AD66" i="13"/>
  <c r="CY59" i="13"/>
  <c r="CV59" i="13"/>
  <c r="CW59" i="13"/>
  <c r="CX59" i="13"/>
  <c r="BS65" i="13"/>
  <c r="CT65" i="13"/>
  <c r="CU65" i="13"/>
  <c r="AE63" i="13"/>
  <c r="AF63" i="13"/>
  <c r="AH63" i="13"/>
  <c r="AI63" i="13"/>
  <c r="BB62" i="13"/>
  <c r="BC62" i="13" s="1"/>
  <c r="AW61" i="13"/>
  <c r="DK60" i="13"/>
  <c r="DL60" i="13"/>
  <c r="BB60" i="13"/>
  <c r="DN60" i="13"/>
  <c r="AV60" i="13"/>
  <c r="AB59" i="13"/>
  <c r="BB59" i="13"/>
  <c r="BC59" i="13" s="1"/>
  <c r="CY54" i="13"/>
  <c r="CX54" i="13"/>
  <c r="CV54" i="13"/>
  <c r="CZ54" i="13"/>
  <c r="CF65" i="13"/>
  <c r="AW65" i="13"/>
  <c r="I63" i="13"/>
  <c r="DL63" i="13"/>
  <c r="DN63" i="13"/>
  <c r="DH63" i="13"/>
  <c r="AU63" i="13"/>
  <c r="DI63" i="13"/>
  <c r="AV63" i="13"/>
  <c r="DJ63" i="13"/>
  <c r="U61" i="13"/>
  <c r="X61" i="13"/>
  <c r="CT60" i="13"/>
  <c r="CB60" i="13"/>
  <c r="CN60" i="13"/>
  <c r="CR60" i="13"/>
  <c r="CF60" i="13"/>
  <c r="CU60" i="13"/>
  <c r="CJ60" i="13"/>
  <c r="T60" i="13"/>
  <c r="H60" i="13" s="1"/>
  <c r="CO60" i="13"/>
  <c r="CP60" i="13"/>
  <c r="CV58" i="13"/>
  <c r="CX58" i="13"/>
  <c r="CZ58" i="13"/>
  <c r="CW58" i="13"/>
  <c r="CY58" i="13"/>
  <c r="L63" i="13"/>
  <c r="N63" i="13" s="1"/>
  <c r="DL61" i="13"/>
  <c r="DK61" i="13"/>
  <c r="AU61" i="13"/>
  <c r="DO61" i="13"/>
  <c r="AV61" i="13"/>
  <c r="DP61" i="13"/>
  <c r="BP60" i="13"/>
  <c r="BO60" i="13"/>
  <c r="AV59" i="13"/>
  <c r="DJ59" i="13"/>
  <c r="DP59" i="13"/>
  <c r="I59" i="13"/>
  <c r="AG59" i="13"/>
  <c r="AW59" i="13"/>
  <c r="DH59" i="13"/>
  <c r="DL59" i="13"/>
  <c r="DM59" i="13"/>
  <c r="AE55" i="13"/>
  <c r="AC55" i="13"/>
  <c r="AD55" i="13"/>
  <c r="CJ71" i="13"/>
  <c r="BX71" i="13"/>
  <c r="AY71" i="13"/>
  <c r="K71" i="13"/>
  <c r="DK69" i="13"/>
  <c r="CT69" i="13"/>
  <c r="CR65" i="13"/>
  <c r="AD64" i="13"/>
  <c r="AD63" i="13"/>
  <c r="CU62" i="13"/>
  <c r="AU59" i="13"/>
  <c r="AD58" i="13"/>
  <c r="CG57" i="13"/>
  <c r="CI57" i="13"/>
  <c r="CH57" i="13"/>
  <c r="Z52" i="13"/>
  <c r="CB52" i="13"/>
  <c r="V52" i="13"/>
  <c r="AS52" i="13"/>
  <c r="Y52" i="13"/>
  <c r="DJ69" i="13"/>
  <c r="AV69" i="13"/>
  <c r="CQ65" i="13"/>
  <c r="AB64" i="13"/>
  <c r="AC63" i="13"/>
  <c r="BO62" i="13"/>
  <c r="BP62" i="13"/>
  <c r="H62" i="13"/>
  <c r="BX62" i="13" s="1"/>
  <c r="CT62" i="13"/>
  <c r="K62" i="13"/>
  <c r="AY62" i="13"/>
  <c r="CJ62" i="13"/>
  <c r="CB62" i="13"/>
  <c r="CN62" i="13"/>
  <c r="CP62" i="13"/>
  <c r="CQ62" i="13"/>
  <c r="BT62" i="13"/>
  <c r="CF62" i="13"/>
  <c r="CR62" i="13"/>
  <c r="CA59" i="13"/>
  <c r="BY59" i="13"/>
  <c r="AW72" i="13"/>
  <c r="CQ69" i="13"/>
  <c r="AH69" i="13"/>
  <c r="CO65" i="13"/>
  <c r="AH65" i="13"/>
  <c r="T65" i="13"/>
  <c r="H65" i="13" s="1"/>
  <c r="BU64" i="13"/>
  <c r="BV64" i="13"/>
  <c r="DN59" i="13"/>
  <c r="AI59" i="13"/>
  <c r="CP56" i="13"/>
  <c r="BT56" i="13"/>
  <c r="CF56" i="13"/>
  <c r="CR56" i="13"/>
  <c r="CT56" i="13"/>
  <c r="CU56" i="13"/>
  <c r="K56" i="13"/>
  <c r="AC56" i="13" s="1"/>
  <c r="AY56" i="13"/>
  <c r="BX56" i="13"/>
  <c r="BN56" i="13"/>
  <c r="CB56" i="13"/>
  <c r="CN56" i="13"/>
  <c r="BQ56" i="13"/>
  <c r="CS56" i="13"/>
  <c r="DA56" i="13"/>
  <c r="T56" i="13"/>
  <c r="H56" i="13" s="1"/>
  <c r="BS54" i="13"/>
  <c r="BR54" i="13"/>
  <c r="DA69" i="13"/>
  <c r="CO69" i="13"/>
  <c r="BQ69" i="13"/>
  <c r="AF69" i="13"/>
  <c r="T69" i="13"/>
  <c r="H69" i="13" s="1"/>
  <c r="DA65" i="13"/>
  <c r="AF65" i="13"/>
  <c r="CG64" i="13"/>
  <c r="CH64" i="13"/>
  <c r="AW63" i="13"/>
  <c r="U63" i="13"/>
  <c r="DP60" i="13"/>
  <c r="DI59" i="13"/>
  <c r="AF59" i="13"/>
  <c r="K53" i="13"/>
  <c r="AE53" i="13" s="1"/>
  <c r="AY53" i="13"/>
  <c r="BX53" i="13"/>
  <c r="BN53" i="13"/>
  <c r="CB53" i="13"/>
  <c r="CN53" i="13"/>
  <c r="T53" i="13"/>
  <c r="H53" i="13" s="1"/>
  <c r="BQ53" i="13"/>
  <c r="CO53" i="13"/>
  <c r="DA53" i="13"/>
  <c r="CP53" i="13"/>
  <c r="BT53" i="13"/>
  <c r="CF53" i="13"/>
  <c r="CR53" i="13"/>
  <c r="CT53" i="13"/>
  <c r="CQ53" i="13"/>
  <c r="CU53" i="13"/>
  <c r="CS53" i="13"/>
  <c r="CN69" i="13"/>
  <c r="AA67" i="13"/>
  <c r="AB67" i="13"/>
  <c r="BB66" i="13"/>
  <c r="BC66" i="13" s="1"/>
  <c r="BX65" i="13"/>
  <c r="AS63" i="13"/>
  <c r="DN61" i="13"/>
  <c r="BD61" i="13"/>
  <c r="AB61" i="13"/>
  <c r="DO60" i="13"/>
  <c r="AU60" i="13"/>
  <c r="DG59" i="13"/>
  <c r="AC59" i="13"/>
  <c r="CC55" i="13"/>
  <c r="CE55" i="13"/>
  <c r="CD55" i="13"/>
  <c r="DK64" i="13"/>
  <c r="CB61" i="13"/>
  <c r="H61" i="13"/>
  <c r="CK59" i="13"/>
  <c r="BW59" i="13"/>
  <c r="BT58" i="13"/>
  <c r="CF58" i="13"/>
  <c r="CR58" i="13"/>
  <c r="H58" i="13"/>
  <c r="K58" i="13"/>
  <c r="AF58" i="13" s="1"/>
  <c r="AY58" i="13"/>
  <c r="BX58" i="13"/>
  <c r="CJ58" i="13"/>
  <c r="BN58" i="13"/>
  <c r="CB58" i="13"/>
  <c r="CN58" i="13"/>
  <c r="CD57" i="13"/>
  <c r="DM55" i="13"/>
  <c r="CK55" i="13"/>
  <c r="CM55" i="13"/>
  <c r="AZ50" i="13"/>
  <c r="DJ64" i="13"/>
  <c r="AV64" i="13"/>
  <c r="AI60" i="13"/>
  <c r="BV59" i="13"/>
  <c r="AB57" i="13"/>
  <c r="DI55" i="13"/>
  <c r="BB55" i="13"/>
  <c r="BC55" i="13" s="1"/>
  <c r="AG47" i="13"/>
  <c r="AI47" i="13"/>
  <c r="AC47" i="13"/>
  <c r="AE47" i="13"/>
  <c r="AF47" i="13"/>
  <c r="AH47" i="13"/>
  <c r="AD57" i="13"/>
  <c r="BU54" i="13"/>
  <c r="BV54" i="13"/>
  <c r="AC53" i="13"/>
  <c r="BY52" i="13"/>
  <c r="CA52" i="13"/>
  <c r="BZ52" i="13"/>
  <c r="X48" i="13"/>
  <c r="U48" i="13"/>
  <c r="DH54" i="13"/>
  <c r="DN54" i="13"/>
  <c r="BW52" i="13"/>
  <c r="BU52" i="13"/>
  <c r="BV52" i="13"/>
  <c r="AF60" i="13"/>
  <c r="BY57" i="13"/>
  <c r="CA57" i="13"/>
  <c r="CM54" i="13"/>
  <c r="CK54" i="13"/>
  <c r="BO54" i="13"/>
  <c r="BP54" i="13"/>
  <c r="BO52" i="13"/>
  <c r="BP52" i="13"/>
  <c r="CV51" i="13"/>
  <c r="CX51" i="13"/>
  <c r="CY51" i="13"/>
  <c r="CZ51" i="13"/>
  <c r="CW51" i="13"/>
  <c r="AI49" i="13"/>
  <c r="AC49" i="13"/>
  <c r="AE49" i="13"/>
  <c r="AG49" i="13"/>
  <c r="AF49" i="13"/>
  <c r="DH48" i="13"/>
  <c r="AV48" i="13"/>
  <c r="DJ48" i="13"/>
  <c r="I48" i="13"/>
  <c r="DL48" i="13"/>
  <c r="DM48" i="13"/>
  <c r="DN48" i="13"/>
  <c r="DP48" i="13"/>
  <c r="DG48" i="13"/>
  <c r="DK48" i="13"/>
  <c r="AD60" i="13"/>
  <c r="U59" i="13"/>
  <c r="BY55" i="13"/>
  <c r="CA55" i="13"/>
  <c r="CI61" i="13"/>
  <c r="AD59" i="13"/>
  <c r="BS57" i="13"/>
  <c r="BD55" i="13"/>
  <c r="DH55" i="13"/>
  <c r="AV55" i="13"/>
  <c r="DN55" i="13"/>
  <c r="DP55" i="13"/>
  <c r="AT52" i="13"/>
  <c r="CH52" i="13"/>
  <c r="AC51" i="13"/>
  <c r="AD51" i="13"/>
  <c r="AE51" i="13"/>
  <c r="AG51" i="13"/>
  <c r="AI51" i="13"/>
  <c r="AF51" i="13"/>
  <c r="AH51" i="13"/>
  <c r="BU50" i="13"/>
  <c r="BW50" i="13"/>
  <c r="BV50" i="13"/>
  <c r="AE59" i="13"/>
  <c r="BO57" i="13"/>
  <c r="CL52" i="13"/>
  <c r="DH52" i="13"/>
  <c r="BU48" i="13"/>
  <c r="BW48" i="13"/>
  <c r="AB48" i="13"/>
  <c r="BB48" i="13"/>
  <c r="BC48" i="13" s="1"/>
  <c r="BD48" i="13"/>
  <c r="BU46" i="13"/>
  <c r="BV46" i="13"/>
  <c r="BW46" i="13"/>
  <c r="AB50" i="13"/>
  <c r="BB50" i="13"/>
  <c r="BC50" i="13" s="1"/>
  <c r="BD50" i="13"/>
  <c r="L48" i="13"/>
  <c r="N48" i="13" s="1"/>
  <c r="BO46" i="13"/>
  <c r="CU55" i="13"/>
  <c r="CC54" i="13"/>
  <c r="V54" i="13"/>
  <c r="CK52" i="13"/>
  <c r="CM52" i="13"/>
  <c r="H51" i="13"/>
  <c r="CT51" i="13"/>
  <c r="K51" i="13"/>
  <c r="AY51" i="13"/>
  <c r="BX51" i="13"/>
  <c r="CJ51" i="13"/>
  <c r="BN51" i="13"/>
  <c r="CB51" i="13"/>
  <c r="CN51" i="13"/>
  <c r="CP51" i="13"/>
  <c r="BT51" i="13"/>
  <c r="CF51" i="13"/>
  <c r="CR51" i="13"/>
  <c r="AV50" i="13"/>
  <c r="DN50" i="13"/>
  <c r="DO50" i="13"/>
  <c r="DP50" i="13"/>
  <c r="DH50" i="13"/>
  <c r="BS48" i="13"/>
  <c r="BB51" i="13"/>
  <c r="CV49" i="13"/>
  <c r="CW49" i="13"/>
  <c r="CX49" i="13"/>
  <c r="CZ49" i="13"/>
  <c r="BD46" i="13"/>
  <c r="AB46" i="13"/>
  <c r="BB46" i="13"/>
  <c r="BC46" i="13" s="1"/>
  <c r="DL57" i="13"/>
  <c r="CU57" i="13"/>
  <c r="CS55" i="13"/>
  <c r="BT55" i="13"/>
  <c r="AB54" i="13"/>
  <c r="CI52" i="13"/>
  <c r="CG52" i="13"/>
  <c r="CW50" i="13"/>
  <c r="CX50" i="13"/>
  <c r="CY50" i="13"/>
  <c r="AZ46" i="13"/>
  <c r="U46" i="13"/>
  <c r="H55" i="13"/>
  <c r="DK55" i="13" s="1"/>
  <c r="CK50" i="13"/>
  <c r="CL50" i="13"/>
  <c r="CM50" i="13"/>
  <c r="BT49" i="13"/>
  <c r="CF49" i="13"/>
  <c r="CR49" i="13"/>
  <c r="H49" i="13"/>
  <c r="CB49" i="13" s="1"/>
  <c r="CT49" i="13"/>
  <c r="K49" i="13"/>
  <c r="AY49" i="13"/>
  <c r="BX49" i="13"/>
  <c r="CJ49" i="13"/>
  <c r="BN49" i="13"/>
  <c r="CN49" i="13"/>
  <c r="CP49" i="13"/>
  <c r="CE48" i="13"/>
  <c r="CC48" i="13"/>
  <c r="Y48" i="13"/>
  <c r="AK48" i="13" s="1"/>
  <c r="CK46" i="13"/>
  <c r="CG46" i="13"/>
  <c r="CH46" i="13"/>
  <c r="CI46" i="13"/>
  <c r="AT46" i="13"/>
  <c r="DA55" i="13"/>
  <c r="CO55" i="13"/>
  <c r="BD54" i="13"/>
  <c r="CG50" i="13"/>
  <c r="CI50" i="13"/>
  <c r="BY48" i="13"/>
  <c r="AW48" i="13"/>
  <c r="CC46" i="13"/>
  <c r="CD46" i="13"/>
  <c r="CE46" i="13"/>
  <c r="CQ50" i="13"/>
  <c r="AH50" i="13"/>
  <c r="DP46" i="13"/>
  <c r="CM46" i="13"/>
  <c r="AD46" i="13"/>
  <c r="CX45" i="13"/>
  <c r="CQ52" i="13"/>
  <c r="AH52" i="13"/>
  <c r="DA50" i="13"/>
  <c r="CO50" i="13"/>
  <c r="BQ50" i="13"/>
  <c r="AF50" i="13"/>
  <c r="T50" i="13"/>
  <c r="H50" i="13" s="1"/>
  <c r="CY48" i="13"/>
  <c r="CM48" i="13"/>
  <c r="CA48" i="13"/>
  <c r="DN46" i="13"/>
  <c r="BM46" i="13"/>
  <c r="CV45" i="13"/>
  <c r="K45" i="13"/>
  <c r="DA52" i="13"/>
  <c r="CO52" i="13"/>
  <c r="BQ52" i="13"/>
  <c r="AF52" i="13"/>
  <c r="AD50" i="13"/>
  <c r="CW48" i="13"/>
  <c r="CU46" i="13"/>
  <c r="CH45" i="13"/>
  <c r="CZ52" i="13"/>
  <c r="AE52" i="13"/>
  <c r="BN50" i="13"/>
  <c r="AY48" i="13"/>
  <c r="AZ48" i="13" s="1"/>
  <c r="CT46" i="13"/>
  <c r="H46" i="13"/>
  <c r="CY52" i="13"/>
  <c r="AV46" i="13"/>
  <c r="AI45" i="13"/>
  <c r="CQ46" i="13"/>
  <c r="AH46" i="13"/>
  <c r="BQ46" i="13"/>
  <c r="K3804" i="12"/>
  <c r="D3734" i="12" s="1"/>
  <c r="K3733" i="12"/>
  <c r="D3663" i="12" s="1"/>
  <c r="B2951" i="12"/>
  <c r="B2963" i="12"/>
  <c r="B3012" i="12"/>
  <c r="B2062" i="12" s="1"/>
  <c r="B2069" i="12" s="1"/>
  <c r="B3827" i="12"/>
  <c r="B3507" i="12"/>
  <c r="B3578" i="12" s="1"/>
  <c r="B3230" i="12"/>
  <c r="B3372" i="12"/>
  <c r="B3443" i="12" s="1"/>
  <c r="B3224" i="12"/>
  <c r="B3366" i="12"/>
  <c r="B3437" i="12" s="1"/>
  <c r="B3218" i="12"/>
  <c r="B3360" i="12"/>
  <c r="B3431" i="12" s="1"/>
  <c r="O3077" i="12"/>
  <c r="G3151" i="12"/>
  <c r="N3618" i="12"/>
  <c r="N3606" i="12"/>
  <c r="N3594" i="12"/>
  <c r="N3582" i="12"/>
  <c r="B3248" i="12"/>
  <c r="B3390" i="12"/>
  <c r="B3461" i="12" s="1"/>
  <c r="B3236" i="12"/>
  <c r="B3378" i="12"/>
  <c r="B3449" i="12" s="1"/>
  <c r="N3576" i="12"/>
  <c r="O3091" i="12"/>
  <c r="G3165" i="12"/>
  <c r="B3266" i="12"/>
  <c r="B3408" i="12"/>
  <c r="B3479" i="12" s="1"/>
  <c r="B3260" i="12"/>
  <c r="B3402" i="12"/>
  <c r="B3473" i="12" s="1"/>
  <c r="B3254" i="12"/>
  <c r="B3396" i="12"/>
  <c r="B3467" i="12" s="1"/>
  <c r="O2895" i="12"/>
  <c r="D2914" i="12"/>
  <c r="N3617" i="12"/>
  <c r="N3605" i="12"/>
  <c r="N3593" i="12"/>
  <c r="N3581" i="12"/>
  <c r="N3342" i="12"/>
  <c r="D3272" i="12" s="1"/>
  <c r="O3055" i="12"/>
  <c r="G3129" i="12"/>
  <c r="O3114" i="12"/>
  <c r="G3184" i="12"/>
  <c r="B2946" i="12"/>
  <c r="B3007" i="12"/>
  <c r="N3271" i="12"/>
  <c r="D3201" i="12" s="1"/>
  <c r="B3212" i="12"/>
  <c r="B3354" i="12"/>
  <c r="B3425" i="12" s="1"/>
  <c r="B3206" i="12"/>
  <c r="B3348" i="12"/>
  <c r="B3419" i="12" s="1"/>
  <c r="B3393" i="12"/>
  <c r="B3464" i="12" s="1"/>
  <c r="B3371" i="12"/>
  <c r="B3442" i="12" s="1"/>
  <c r="B3255" i="12"/>
  <c r="B3219" i="12"/>
  <c r="O2792" i="12"/>
  <c r="O2794" i="12" s="1"/>
  <c r="F2683" i="12"/>
  <c r="F2703" i="12" s="1"/>
  <c r="F2702" i="12"/>
  <c r="O3478" i="12"/>
  <c r="O3869" i="12" s="1"/>
  <c r="K3869" i="12" s="1"/>
  <c r="B3363" i="12"/>
  <c r="B3434" i="12" s="1"/>
  <c r="G3169" i="12"/>
  <c r="G3133" i="12"/>
  <c r="I3036" i="12"/>
  <c r="I3037" i="12" s="1"/>
  <c r="I3039" i="12" s="1"/>
  <c r="D3033" i="12" s="1"/>
  <c r="E2062" i="12"/>
  <c r="I3012" i="12"/>
  <c r="N2954" i="12"/>
  <c r="D2949" i="12" s="1"/>
  <c r="E2682" i="12"/>
  <c r="I2661" i="12"/>
  <c r="B3381" i="12"/>
  <c r="B3452" i="12" s="1"/>
  <c r="N2992" i="12"/>
  <c r="K2992" i="12" s="1"/>
  <c r="K2995" i="12" s="1"/>
  <c r="D2989" i="12" s="1"/>
  <c r="K2980" i="12"/>
  <c r="F2715" i="12"/>
  <c r="F2676" i="12"/>
  <c r="F2696" i="12"/>
  <c r="B3351" i="12"/>
  <c r="B3422" i="12" s="1"/>
  <c r="B3237" i="12"/>
  <c r="O2786" i="12"/>
  <c r="O2788" i="12" s="1"/>
  <c r="D2783" i="12" s="1"/>
  <c r="B3369" i="12"/>
  <c r="B3440" i="12" s="1"/>
  <c r="B3258" i="12"/>
  <c r="E3042" i="12"/>
  <c r="N3042" i="12" s="1"/>
  <c r="G3438" i="12"/>
  <c r="O3438" i="12" s="1"/>
  <c r="O3829" i="12" s="1"/>
  <c r="K3829" i="12" s="1"/>
  <c r="N2960" i="12"/>
  <c r="D2955" i="12" s="1"/>
  <c r="B3405" i="12"/>
  <c r="B3476" i="12" s="1"/>
  <c r="G3185" i="12"/>
  <c r="O3115" i="12"/>
  <c r="M2810" i="12"/>
  <c r="O2798" i="12"/>
  <c r="O2800" i="12" s="1"/>
  <c r="M2687" i="12"/>
  <c r="M2668" i="12"/>
  <c r="E2692" i="12"/>
  <c r="E2672" i="12"/>
  <c r="B2661" i="12"/>
  <c r="B2682" i="12"/>
  <c r="E2676" i="12"/>
  <c r="E2696" i="12"/>
  <c r="E2715" i="12"/>
  <c r="F2669" i="12"/>
  <c r="F2689" i="12"/>
  <c r="F2709" i="12" s="1"/>
  <c r="F2708" i="12"/>
  <c r="E2711" i="12"/>
  <c r="K2063" i="12"/>
  <c r="E2070" i="12"/>
  <c r="K2061" i="12"/>
  <c r="E2068" i="12"/>
  <c r="E1968" i="12"/>
  <c r="E1988" i="12"/>
  <c r="E1980" i="12"/>
  <c r="E1986" i="12"/>
  <c r="E1982" i="12"/>
  <c r="C2153" i="12"/>
  <c r="C3646" i="12"/>
  <c r="C1918" i="12"/>
  <c r="C1904" i="12"/>
  <c r="C1875" i="12"/>
  <c r="C3045" i="12"/>
  <c r="C2354" i="12"/>
  <c r="C2342" i="12"/>
  <c r="C2330" i="12"/>
  <c r="C2318" i="12"/>
  <c r="C2305" i="12"/>
  <c r="C2293" i="12"/>
  <c r="C2277" i="12"/>
  <c r="C2261" i="12"/>
  <c r="C2204" i="12"/>
  <c r="C2048" i="12"/>
  <c r="C3640" i="12"/>
  <c r="C2914" i="12"/>
  <c r="C1913" i="12"/>
  <c r="C1899" i="12"/>
  <c r="C1885" i="12"/>
  <c r="C1868" i="12"/>
  <c r="C3119" i="12"/>
  <c r="C3040" i="12"/>
  <c r="C2374" i="12"/>
  <c r="C2362" i="12"/>
  <c r="C2350" i="12"/>
  <c r="C2338" i="12"/>
  <c r="C2326" i="12"/>
  <c r="C2314" i="12"/>
  <c r="C2301" i="12"/>
  <c r="C2289" i="12"/>
  <c r="C2271" i="12"/>
  <c r="C2043" i="12"/>
  <c r="G3476" i="12" l="1"/>
  <c r="O3476" i="12" s="1"/>
  <c r="O3867" i="12" s="1"/>
  <c r="K3867" i="12" s="1"/>
  <c r="G3547" i="12"/>
  <c r="G3618" i="12" s="1"/>
  <c r="G3443" i="12"/>
  <c r="O3443" i="12" s="1"/>
  <c r="O3834" i="12" s="1"/>
  <c r="K3834" i="12" s="1"/>
  <c r="G3367" i="12"/>
  <c r="O3367" i="12" s="1"/>
  <c r="O3540" i="12"/>
  <c r="O96" i="14"/>
  <c r="G3494" i="12"/>
  <c r="G3565" i="12" s="1"/>
  <c r="O3565" i="12" s="1"/>
  <c r="B3296" i="12"/>
  <c r="B3758" i="12" s="1"/>
  <c r="B3819" i="12"/>
  <c r="O3509" i="12"/>
  <c r="G3446" i="12"/>
  <c r="O3446" i="12" s="1"/>
  <c r="O3837" i="12" s="1"/>
  <c r="K3837" i="12" s="1"/>
  <c r="O3590" i="12"/>
  <c r="G3517" i="12"/>
  <c r="G3588" i="12" s="1"/>
  <c r="O3588" i="12" s="1"/>
  <c r="B3849" i="12"/>
  <c r="I2709" i="12"/>
  <c r="G3378" i="12"/>
  <c r="O3378" i="12" s="1"/>
  <c r="G3449" i="12"/>
  <c r="O3449" i="12" s="1"/>
  <c r="O3840" i="12" s="1"/>
  <c r="K3840" i="12" s="1"/>
  <c r="B3679" i="12"/>
  <c r="G3507" i="12"/>
  <c r="B3282" i="12"/>
  <c r="B3744" i="12" s="1"/>
  <c r="G3474" i="12"/>
  <c r="O3474" i="12" s="1"/>
  <c r="O3865" i="12" s="1"/>
  <c r="K3865" i="12" s="1"/>
  <c r="G3365" i="12"/>
  <c r="O3365" i="12" s="1"/>
  <c r="I3015" i="12"/>
  <c r="D3010" i="12" s="1"/>
  <c r="B3685" i="12"/>
  <c r="G3403" i="12"/>
  <c r="O3403" i="12" s="1"/>
  <c r="B3872" i="12"/>
  <c r="G3616" i="12"/>
  <c r="O3616" i="12" s="1"/>
  <c r="O3521" i="12"/>
  <c r="G3510" i="12"/>
  <c r="G3581" i="12" s="1"/>
  <c r="O3581" i="12" s="1"/>
  <c r="O3605" i="12"/>
  <c r="G3392" i="12"/>
  <c r="O3392" i="12" s="1"/>
  <c r="G3368" i="12"/>
  <c r="O3368" i="12" s="1"/>
  <c r="B3528" i="12"/>
  <c r="B3599" i="12" s="1"/>
  <c r="O3592" i="12"/>
  <c r="O3534" i="12"/>
  <c r="G3349" i="12"/>
  <c r="O3349" i="12" s="1"/>
  <c r="G3420" i="12"/>
  <c r="O3420" i="12" s="1"/>
  <c r="O3811" i="12" s="1"/>
  <c r="K3811" i="12" s="1"/>
  <c r="O3620" i="12"/>
  <c r="G3385" i="12"/>
  <c r="O3385" i="12" s="1"/>
  <c r="B3809" i="12"/>
  <c r="G3456" i="12"/>
  <c r="O3456" i="12" s="1"/>
  <c r="O3847" i="12" s="1"/>
  <c r="K3847" i="12" s="1"/>
  <c r="B3715" i="12"/>
  <c r="O3562" i="12"/>
  <c r="B3812" i="12"/>
  <c r="G3418" i="12"/>
  <c r="O3418" i="12" s="1"/>
  <c r="O3809" i="12" s="1"/>
  <c r="K3809" i="12" s="1"/>
  <c r="G3489" i="12"/>
  <c r="G3560" i="12" s="1"/>
  <c r="O3560" i="12" s="1"/>
  <c r="O2868" i="12"/>
  <c r="O2875" i="12" s="1"/>
  <c r="O2864" i="12"/>
  <c r="D2859" i="12" s="1"/>
  <c r="G3424" i="12"/>
  <c r="O3424" i="12" s="1"/>
  <c r="O3815" i="12" s="1"/>
  <c r="K3815" i="12" s="1"/>
  <c r="D1908" i="12"/>
  <c r="G3361" i="12"/>
  <c r="O3361" i="12" s="1"/>
  <c r="O3491" i="12"/>
  <c r="G3360" i="12"/>
  <c r="O3360" i="12" s="1"/>
  <c r="G3495" i="12"/>
  <c r="G3503" i="12"/>
  <c r="G3574" i="12" s="1"/>
  <c r="O3574" i="12" s="1"/>
  <c r="B3873" i="12"/>
  <c r="O3519" i="12"/>
  <c r="G3502" i="12"/>
  <c r="G3573" i="12" s="1"/>
  <c r="O3573" i="12" s="1"/>
  <c r="B3693" i="12"/>
  <c r="B3275" i="12"/>
  <c r="B3737" i="12" s="1"/>
  <c r="O3608" i="12"/>
  <c r="B3279" i="12"/>
  <c r="B3741" i="12" s="1"/>
  <c r="B3694" i="12"/>
  <c r="O3549" i="12"/>
  <c r="G3463" i="12"/>
  <c r="O3463" i="12" s="1"/>
  <c r="O3854" i="12" s="1"/>
  <c r="K3854" i="12" s="1"/>
  <c r="O3596" i="12"/>
  <c r="O3537" i="12"/>
  <c r="O3584" i="12"/>
  <c r="G3452" i="12"/>
  <c r="O3452" i="12" s="1"/>
  <c r="O3843" i="12" s="1"/>
  <c r="K3843" i="12" s="1"/>
  <c r="G3381" i="12"/>
  <c r="O3381" i="12" s="1"/>
  <c r="B3305" i="12"/>
  <c r="B3767" i="12" s="1"/>
  <c r="B3696" i="12"/>
  <c r="G3516" i="12"/>
  <c r="G3445" i="12"/>
  <c r="O3445" i="12" s="1"/>
  <c r="O3836" i="12" s="1"/>
  <c r="K3836" i="12" s="1"/>
  <c r="G3564" i="12"/>
  <c r="O3564" i="12" s="1"/>
  <c r="O3493" i="12"/>
  <c r="O3514" i="12"/>
  <c r="B3299" i="12"/>
  <c r="B3761" i="12" s="1"/>
  <c r="B3690" i="12"/>
  <c r="B3293" i="12"/>
  <c r="B3755" i="12" s="1"/>
  <c r="B3684" i="12"/>
  <c r="B3724" i="12"/>
  <c r="B3333" i="12"/>
  <c r="B3795" i="12" s="1"/>
  <c r="G3396" i="12"/>
  <c r="O3396" i="12" s="1"/>
  <c r="G3467" i="12"/>
  <c r="O3467" i="12" s="1"/>
  <c r="O3858" i="12" s="1"/>
  <c r="K3858" i="12" s="1"/>
  <c r="G3538" i="12"/>
  <c r="B3860" i="12"/>
  <c r="B3846" i="12"/>
  <c r="G3504" i="12"/>
  <c r="G3433" i="12"/>
  <c r="O3433" i="12" s="1"/>
  <c r="O3824" i="12" s="1"/>
  <c r="K3824" i="12" s="1"/>
  <c r="G3362" i="12"/>
  <c r="O3362" i="12" s="1"/>
  <c r="CZ159" i="15"/>
  <c r="CZ196" i="15"/>
  <c r="E210" i="15"/>
  <c r="BY210" i="15" s="1"/>
  <c r="CO210" i="15" s="1"/>
  <c r="AV218" i="15"/>
  <c r="E97" i="15"/>
  <c r="I97" i="15" s="1"/>
  <c r="E133" i="15"/>
  <c r="BZ133" i="15" s="1"/>
  <c r="CZ132" i="15"/>
  <c r="CZ184" i="15"/>
  <c r="E89" i="15"/>
  <c r="CZ121" i="15"/>
  <c r="E126" i="15"/>
  <c r="CB126" i="15" s="1"/>
  <c r="V207" i="15"/>
  <c r="E213" i="15"/>
  <c r="BZ213" i="15" s="1"/>
  <c r="CZ219" i="15"/>
  <c r="CZ148" i="15"/>
  <c r="AR146" i="15"/>
  <c r="CZ207" i="15"/>
  <c r="CZ190" i="15"/>
  <c r="E134" i="15"/>
  <c r="BZ134" i="15" s="1"/>
  <c r="E95" i="15"/>
  <c r="CB95" i="15" s="1"/>
  <c r="E194" i="15"/>
  <c r="BZ194" i="15" s="1"/>
  <c r="CZ166" i="15"/>
  <c r="E158" i="15"/>
  <c r="AV93" i="15"/>
  <c r="N124" i="15"/>
  <c r="N187" i="15"/>
  <c r="L124" i="15"/>
  <c r="AR124" i="15" s="1"/>
  <c r="L210" i="15"/>
  <c r="AR210" i="15" s="1"/>
  <c r="CR210" i="15"/>
  <c r="CR112" i="15"/>
  <c r="AR168" i="15"/>
  <c r="CR158" i="15"/>
  <c r="AR121" i="15"/>
  <c r="E187" i="15"/>
  <c r="CZ193" i="15"/>
  <c r="E199" i="15"/>
  <c r="E124" i="15"/>
  <c r="CB124" i="15" s="1"/>
  <c r="E174" i="15"/>
  <c r="BZ174" i="15" s="1"/>
  <c r="CZ93" i="15"/>
  <c r="CZ118" i="15"/>
  <c r="E203" i="15"/>
  <c r="BZ203" i="15" s="1"/>
  <c r="E196" i="15"/>
  <c r="CB196" i="15" s="1"/>
  <c r="E96" i="15"/>
  <c r="BZ96" i="15" s="1"/>
  <c r="E212" i="15"/>
  <c r="I212" i="15" s="1"/>
  <c r="AV181" i="15"/>
  <c r="CR93" i="15"/>
  <c r="AR137" i="15"/>
  <c r="N181" i="15"/>
  <c r="AT181" i="15"/>
  <c r="N93" i="15"/>
  <c r="AR112" i="15"/>
  <c r="AR132" i="15"/>
  <c r="AV170" i="15"/>
  <c r="CR181" i="15"/>
  <c r="CZ146" i="15"/>
  <c r="AM181" i="15"/>
  <c r="N146" i="15"/>
  <c r="AT170" i="15"/>
  <c r="AU170" i="15" s="1"/>
  <c r="N218" i="15"/>
  <c r="CR218" i="15"/>
  <c r="L119" i="15"/>
  <c r="AR119" i="15" s="1"/>
  <c r="N119" i="15"/>
  <c r="CR168" i="15"/>
  <c r="V181" i="15"/>
  <c r="CZ170" i="15"/>
  <c r="CR170" i="15"/>
  <c r="AM170" i="15"/>
  <c r="CZ168" i="15"/>
  <c r="N126" i="15"/>
  <c r="AR170" i="15"/>
  <c r="V170" i="15"/>
  <c r="AR187" i="15"/>
  <c r="AR181" i="15"/>
  <c r="AO170" i="15"/>
  <c r="L126" i="15"/>
  <c r="AO126" i="15" s="1"/>
  <c r="N170" i="15"/>
  <c r="E172" i="15"/>
  <c r="I172" i="15" s="1"/>
  <c r="E200" i="15"/>
  <c r="BY200" i="15" s="1"/>
  <c r="CO200" i="15" s="1"/>
  <c r="E178" i="15"/>
  <c r="CB178" i="15" s="1"/>
  <c r="N158" i="15"/>
  <c r="L194" i="15"/>
  <c r="AV194" i="15" s="1"/>
  <c r="CZ194" i="15"/>
  <c r="CZ172" i="15"/>
  <c r="L154" i="15"/>
  <c r="AR154" i="15" s="1"/>
  <c r="CR217" i="15"/>
  <c r="CZ110" i="15"/>
  <c r="V172" i="15"/>
  <c r="E177" i="15"/>
  <c r="I177" i="15" s="1"/>
  <c r="CZ197" i="15"/>
  <c r="E90" i="15"/>
  <c r="I90" i="15" s="1"/>
  <c r="CZ208" i="15"/>
  <c r="CR154" i="15"/>
  <c r="CZ113" i="15"/>
  <c r="N194" i="15"/>
  <c r="N113" i="15"/>
  <c r="L206" i="15"/>
  <c r="AR206" i="15" s="1"/>
  <c r="CZ206" i="15"/>
  <c r="L113" i="15"/>
  <c r="AN172" i="15"/>
  <c r="L183" i="15"/>
  <c r="AR183" i="15" s="1"/>
  <c r="CR206" i="15"/>
  <c r="N172" i="15"/>
  <c r="CR183" i="15"/>
  <c r="CZ183" i="15"/>
  <c r="CM136" i="15"/>
  <c r="E135" i="15"/>
  <c r="E206" i="15"/>
  <c r="E197" i="15"/>
  <c r="E149" i="15"/>
  <c r="CB149" i="15" s="1"/>
  <c r="E193" i="15"/>
  <c r="CZ199" i="15"/>
  <c r="AT207" i="15"/>
  <c r="AU207" i="15" s="1"/>
  <c r="E119" i="15"/>
  <c r="CB119" i="15" s="1"/>
  <c r="CZ124" i="15"/>
  <c r="E145" i="15"/>
  <c r="I145" i="15" s="1"/>
  <c r="CZ142" i="15"/>
  <c r="E93" i="15"/>
  <c r="I93" i="15" s="1"/>
  <c r="CZ137" i="15"/>
  <c r="E118" i="15"/>
  <c r="BZ118" i="15" s="1"/>
  <c r="E146" i="15"/>
  <c r="CB146" i="15" s="1"/>
  <c r="E154" i="15"/>
  <c r="I154" i="15" s="1"/>
  <c r="E132" i="15"/>
  <c r="CZ89" i="15"/>
  <c r="E121" i="15"/>
  <c r="I121" i="15" s="1"/>
  <c r="J121" i="15" s="1"/>
  <c r="CZ126" i="15"/>
  <c r="CZ213" i="15"/>
  <c r="E109" i="15"/>
  <c r="BY109" i="15" s="1"/>
  <c r="CO109" i="15" s="1"/>
  <c r="E159" i="15"/>
  <c r="BY159" i="15" s="1"/>
  <c r="CO159" i="15" s="1"/>
  <c r="CZ165" i="15"/>
  <c r="E171" i="15"/>
  <c r="E107" i="15"/>
  <c r="BZ107" i="15" s="1"/>
  <c r="CZ188" i="15"/>
  <c r="CZ202" i="15"/>
  <c r="E148" i="15"/>
  <c r="E170" i="15"/>
  <c r="CB170" i="15" s="1"/>
  <c r="CR103" i="15"/>
  <c r="L165" i="15"/>
  <c r="AR165" i="15" s="1"/>
  <c r="CZ211" i="15"/>
  <c r="E104" i="15"/>
  <c r="CB104" i="15" s="1"/>
  <c r="E155" i="15"/>
  <c r="BY155" i="15" s="1"/>
  <c r="CZ163" i="15"/>
  <c r="E169" i="15"/>
  <c r="CZ186" i="15"/>
  <c r="E216" i="15"/>
  <c r="BY216" i="15" s="1"/>
  <c r="CO216" i="15" s="1"/>
  <c r="CZ125" i="15"/>
  <c r="E143" i="15"/>
  <c r="CB143" i="15" s="1"/>
  <c r="L103" i="15"/>
  <c r="AV103" i="15" s="1"/>
  <c r="CR165" i="15"/>
  <c r="E207" i="15"/>
  <c r="BZ207" i="15" s="1"/>
  <c r="E113" i="15"/>
  <c r="I113" i="15" s="1"/>
  <c r="Y113" i="15" s="1"/>
  <c r="AM211" i="15"/>
  <c r="AR217" i="15"/>
  <c r="AR104" i="15"/>
  <c r="AT155" i="15"/>
  <c r="AU155" i="15" s="1"/>
  <c r="CZ135" i="15"/>
  <c r="AR107" i="15"/>
  <c r="N165" i="15"/>
  <c r="AV207" i="15"/>
  <c r="CM106" i="15"/>
  <c r="AR125" i="15"/>
  <c r="CZ217" i="15"/>
  <c r="N217" i="15"/>
  <c r="CM97" i="15"/>
  <c r="CZ128" i="15"/>
  <c r="CZ143" i="15"/>
  <c r="E110" i="15"/>
  <c r="K1950" i="12"/>
  <c r="M2604" i="12" s="1"/>
  <c r="N2604" i="12" s="1"/>
  <c r="K1966" i="12"/>
  <c r="K1982" i="12" s="1"/>
  <c r="AV211" i="15"/>
  <c r="O1933" i="12"/>
  <c r="N100" i="15"/>
  <c r="V100" i="15" s="1"/>
  <c r="N155" i="15"/>
  <c r="AO186" i="15"/>
  <c r="AR203" i="15"/>
  <c r="AT211" i="15"/>
  <c r="AU211" i="15" s="1"/>
  <c r="L177" i="15"/>
  <c r="AV177" i="15" s="1"/>
  <c r="AV210" i="15"/>
  <c r="N216" i="15"/>
  <c r="L169" i="15"/>
  <c r="AT169" i="15" s="1"/>
  <c r="AU169" i="15" s="1"/>
  <c r="N179" i="15"/>
  <c r="CZ203" i="15"/>
  <c r="L216" i="15"/>
  <c r="AR216" i="15" s="1"/>
  <c r="CR100" i="15"/>
  <c r="L179" i="15"/>
  <c r="AR179" i="15" s="1"/>
  <c r="CR155" i="15"/>
  <c r="CZ169" i="15"/>
  <c r="AR211" i="15"/>
  <c r="CZ216" i="15"/>
  <c r="N169" i="15"/>
  <c r="E138" i="15"/>
  <c r="BY138" i="15" s="1"/>
  <c r="CO138" i="15" s="1"/>
  <c r="CR128" i="15"/>
  <c r="CZ177" i="15"/>
  <c r="N200" i="15"/>
  <c r="N203" i="15"/>
  <c r="CR203" i="15"/>
  <c r="AR172" i="15"/>
  <c r="N190" i="15"/>
  <c r="L200" i="15"/>
  <c r="AR200" i="15" s="1"/>
  <c r="V203" i="15"/>
  <c r="AM128" i="15"/>
  <c r="CR166" i="15"/>
  <c r="AV172" i="15"/>
  <c r="AT203" i="15"/>
  <c r="AU203" i="15" s="1"/>
  <c r="AO110" i="15"/>
  <c r="AR158" i="15"/>
  <c r="N166" i="15"/>
  <c r="CR177" i="15"/>
  <c r="V211" i="15"/>
  <c r="AM203" i="15"/>
  <c r="AV203" i="15"/>
  <c r="CF105" i="15"/>
  <c r="L166" i="15"/>
  <c r="AR166" i="15" s="1"/>
  <c r="AT172" i="15"/>
  <c r="AU172" i="15" s="1"/>
  <c r="AR128" i="15"/>
  <c r="N128" i="15"/>
  <c r="V128" i="15" s="1"/>
  <c r="AM172" i="15"/>
  <c r="G221" i="15"/>
  <c r="CM193" i="15"/>
  <c r="AR135" i="15"/>
  <c r="CF133" i="15"/>
  <c r="CZ151" i="15"/>
  <c r="CM171" i="15"/>
  <c r="AV100" i="15"/>
  <c r="CZ191" i="15"/>
  <c r="CZ139" i="15"/>
  <c r="CZ140" i="15"/>
  <c r="CZ200" i="15"/>
  <c r="AT125" i="15"/>
  <c r="AU125" i="15" s="1"/>
  <c r="E188" i="15"/>
  <c r="CZ96" i="15"/>
  <c r="CZ209" i="15"/>
  <c r="E205" i="15"/>
  <c r="I205" i="15" s="1"/>
  <c r="CZ162" i="15"/>
  <c r="E120" i="15"/>
  <c r="CB120" i="15" s="1"/>
  <c r="E192" i="15"/>
  <c r="CB192" i="15" s="1"/>
  <c r="E204" i="15"/>
  <c r="I204" i="15" s="1"/>
  <c r="E220" i="15"/>
  <c r="BZ220" i="15" s="1"/>
  <c r="E105" i="15"/>
  <c r="CB105" i="15" s="1"/>
  <c r="E180" i="15"/>
  <c r="BZ180" i="15" s="1"/>
  <c r="CZ164" i="15"/>
  <c r="N1935" i="12"/>
  <c r="E173" i="15"/>
  <c r="CB173" i="15" s="1"/>
  <c r="AR195" i="15"/>
  <c r="E215" i="15"/>
  <c r="BY215" i="15" s="1"/>
  <c r="CO215" i="15" s="1"/>
  <c r="AR161" i="15"/>
  <c r="CZ167" i="15"/>
  <c r="CZ122" i="15"/>
  <c r="E198" i="15"/>
  <c r="BY198" i="15" s="1"/>
  <c r="CF89" i="15"/>
  <c r="CM134" i="15"/>
  <c r="E111" i="15"/>
  <c r="CZ155" i="15"/>
  <c r="E163" i="15"/>
  <c r="E186" i="15"/>
  <c r="E125" i="15"/>
  <c r="CM205" i="15"/>
  <c r="AV125" i="15"/>
  <c r="CZ187" i="15"/>
  <c r="E181" i="15"/>
  <c r="CZ112" i="15"/>
  <c r="CZ210" i="15"/>
  <c r="E218" i="15"/>
  <c r="CF172" i="15"/>
  <c r="CF214" i="15"/>
  <c r="CZ119" i="15"/>
  <c r="CZ181" i="15"/>
  <c r="AV214" i="15"/>
  <c r="CZ152" i="15"/>
  <c r="E130" i="15"/>
  <c r="BY130" i="15" s="1"/>
  <c r="AT115" i="15"/>
  <c r="AU115" i="15" s="1"/>
  <c r="E157" i="15"/>
  <c r="I157" i="15" s="1"/>
  <c r="CZ185" i="15"/>
  <c r="CZ94" i="15"/>
  <c r="CZ138" i="15"/>
  <c r="CZ201" i="15"/>
  <c r="CZ215" i="15"/>
  <c r="E99" i="15"/>
  <c r="I99" i="15" s="1"/>
  <c r="E136" i="15"/>
  <c r="BY136" i="15" s="1"/>
  <c r="CO136" i="15" s="1"/>
  <c r="E147" i="15"/>
  <c r="BZ147" i="15" s="1"/>
  <c r="E161" i="15"/>
  <c r="BY161" i="15" s="1"/>
  <c r="CO161" i="15" s="1"/>
  <c r="E167" i="15"/>
  <c r="BY167" i="15" s="1"/>
  <c r="AR205" i="15"/>
  <c r="E101" i="15"/>
  <c r="E209" i="15"/>
  <c r="CB209" i="15" s="1"/>
  <c r="E175" i="15"/>
  <c r="E123" i="15"/>
  <c r="CR127" i="15"/>
  <c r="CM147" i="15"/>
  <c r="AT192" i="15"/>
  <c r="BD192" i="15" s="1"/>
  <c r="CM108" i="15"/>
  <c r="CR115" i="15"/>
  <c r="CM216" i="15"/>
  <c r="AO100" i="15"/>
  <c r="CF95" i="15"/>
  <c r="N205" i="15"/>
  <c r="CM161" i="15"/>
  <c r="CZ100" i="15"/>
  <c r="CZ111" i="15"/>
  <c r="CZ149" i="15"/>
  <c r="E214" i="15"/>
  <c r="CZ220" i="15"/>
  <c r="E115" i="15"/>
  <c r="CF120" i="15"/>
  <c r="N115" i="15"/>
  <c r="V115" i="15" s="1"/>
  <c r="CZ127" i="15"/>
  <c r="N214" i="15"/>
  <c r="E182" i="15"/>
  <c r="AM100" i="15"/>
  <c r="CM145" i="15"/>
  <c r="CZ95" i="15"/>
  <c r="E140" i="15"/>
  <c r="CZ182" i="15"/>
  <c r="AR175" i="15"/>
  <c r="E219" i="15"/>
  <c r="E168" i="15"/>
  <c r="AT100" i="15"/>
  <c r="AU100" i="15" s="1"/>
  <c r="CF206" i="15"/>
  <c r="AV192" i="15"/>
  <c r="CM168" i="15"/>
  <c r="AR209" i="15"/>
  <c r="CZ136" i="15"/>
  <c r="CM160" i="15"/>
  <c r="CF209" i="15"/>
  <c r="CM209" i="15"/>
  <c r="CF165" i="15"/>
  <c r="CM165" i="15"/>
  <c r="CF135" i="15"/>
  <c r="CM135" i="15"/>
  <c r="CF213" i="15"/>
  <c r="AR93" i="15"/>
  <c r="CM213" i="15"/>
  <c r="N189" i="15"/>
  <c r="CR189" i="15"/>
  <c r="L189" i="15"/>
  <c r="AV189" i="15" s="1"/>
  <c r="L92" i="15"/>
  <c r="N92" i="15"/>
  <c r="CR92" i="15"/>
  <c r="L129" i="15"/>
  <c r="V129" i="15" s="1"/>
  <c r="CR129" i="15"/>
  <c r="N176" i="15"/>
  <c r="CR176" i="15"/>
  <c r="L176" i="15"/>
  <c r="E100" i="15"/>
  <c r="E183" i="15"/>
  <c r="L215" i="15"/>
  <c r="N215" i="15"/>
  <c r="N219" i="15"/>
  <c r="L219" i="15"/>
  <c r="N111" i="15"/>
  <c r="L111" i="15"/>
  <c r="CR111" i="15"/>
  <c r="E190" i="15"/>
  <c r="CZ129" i="15"/>
  <c r="L151" i="15"/>
  <c r="AT151" i="15" s="1"/>
  <c r="N151" i="15"/>
  <c r="CZ205" i="15"/>
  <c r="CZ107" i="15"/>
  <c r="CZ103" i="15"/>
  <c r="AR100" i="15"/>
  <c r="E94" i="15"/>
  <c r="CZ92" i="15"/>
  <c r="E129" i="15"/>
  <c r="E156" i="15"/>
  <c r="L94" i="15"/>
  <c r="V94" i="15" s="1"/>
  <c r="L174" i="15"/>
  <c r="N174" i="15"/>
  <c r="L156" i="15"/>
  <c r="N156" i="15"/>
  <c r="E184" i="15"/>
  <c r="CZ179" i="15"/>
  <c r="CZ153" i="15"/>
  <c r="CZ156" i="15"/>
  <c r="L191" i="15"/>
  <c r="CR191" i="15"/>
  <c r="E211" i="15"/>
  <c r="E108" i="15"/>
  <c r="E112" i="15"/>
  <c r="E202" i="15"/>
  <c r="N182" i="15"/>
  <c r="CR182" i="15"/>
  <c r="L182" i="15"/>
  <c r="L184" i="15"/>
  <c r="N184" i="15"/>
  <c r="CR184" i="15"/>
  <c r="N104" i="15"/>
  <c r="V104" i="15" s="1"/>
  <c r="CR104" i="15"/>
  <c r="E191" i="15"/>
  <c r="CZ195" i="15"/>
  <c r="N136" i="15"/>
  <c r="L136" i="15"/>
  <c r="L149" i="15"/>
  <c r="AT149" i="15" s="1"/>
  <c r="N149" i="15"/>
  <c r="E153" i="15"/>
  <c r="CR95" i="15"/>
  <c r="L95" i="15"/>
  <c r="L139" i="15"/>
  <c r="V139" i="15" s="1"/>
  <c r="CR139" i="15"/>
  <c r="E137" i="15"/>
  <c r="CZ154" i="15"/>
  <c r="E106" i="15"/>
  <c r="E160" i="15"/>
  <c r="N137" i="15"/>
  <c r="V137" i="15" s="1"/>
  <c r="CR137" i="15"/>
  <c r="L106" i="15"/>
  <c r="CR106" i="15"/>
  <c r="N106" i="15"/>
  <c r="N138" i="15"/>
  <c r="L138" i="15"/>
  <c r="CR138" i="15"/>
  <c r="CZ104" i="15"/>
  <c r="L160" i="15"/>
  <c r="N160" i="15"/>
  <c r="CR90" i="15"/>
  <c r="L90" i="15"/>
  <c r="N90" i="15"/>
  <c r="CZ176" i="15"/>
  <c r="CZ106" i="15"/>
  <c r="E201" i="15"/>
  <c r="L190" i="15"/>
  <c r="CR190" i="15"/>
  <c r="CZ160" i="15"/>
  <c r="CZ90" i="15"/>
  <c r="L140" i="15"/>
  <c r="CR140" i="15"/>
  <c r="N140" i="15"/>
  <c r="CZ214" i="15"/>
  <c r="E92" i="15"/>
  <c r="CZ161" i="15"/>
  <c r="CZ174" i="15"/>
  <c r="E139" i="15"/>
  <c r="CZ218" i="15"/>
  <c r="E176" i="15"/>
  <c r="F2673" i="12"/>
  <c r="F2693" i="12"/>
  <c r="F2713" i="12" s="1"/>
  <c r="E2673" i="12"/>
  <c r="G3526" i="12"/>
  <c r="G3455" i="12"/>
  <c r="O3455" i="12" s="1"/>
  <c r="O3846" i="12" s="1"/>
  <c r="K3846" i="12" s="1"/>
  <c r="G3384" i="12"/>
  <c r="O3384" i="12" s="1"/>
  <c r="O3585" i="12"/>
  <c r="O3572" i="12"/>
  <c r="G3440" i="12"/>
  <c r="O3440" i="12" s="1"/>
  <c r="O3831" i="12" s="1"/>
  <c r="K3831" i="12" s="1"/>
  <c r="G3511" i="12"/>
  <c r="G3419" i="12"/>
  <c r="O3419" i="12" s="1"/>
  <c r="O3810" i="12" s="1"/>
  <c r="K3810" i="12" s="1"/>
  <c r="G3348" i="12"/>
  <c r="O3348" i="12" s="1"/>
  <c r="G3490" i="12"/>
  <c r="B3854" i="12"/>
  <c r="B3534" i="12"/>
  <c r="B3605" i="12" s="1"/>
  <c r="F2712" i="12"/>
  <c r="O3547" i="12"/>
  <c r="O3527" i="12"/>
  <c r="G3598" i="12"/>
  <c r="O3598" i="12" s="1"/>
  <c r="G3393" i="12"/>
  <c r="O3393" i="12" s="1"/>
  <c r="G3464" i="12"/>
  <c r="O3464" i="12" s="1"/>
  <c r="O3855" i="12" s="1"/>
  <c r="K3855" i="12" s="1"/>
  <c r="G3426" i="12"/>
  <c r="O3426" i="12" s="1"/>
  <c r="O3817" i="12" s="1"/>
  <c r="K3817" i="12" s="1"/>
  <c r="G3355" i="12"/>
  <c r="O3355" i="12" s="1"/>
  <c r="G3497" i="12"/>
  <c r="B3863" i="12"/>
  <c r="B3543" i="12"/>
  <c r="B3614" i="12" s="1"/>
  <c r="G3473" i="12"/>
  <c r="O3473" i="12" s="1"/>
  <c r="O3864" i="12" s="1"/>
  <c r="K3864" i="12" s="1"/>
  <c r="G3544" i="12"/>
  <c r="G3402" i="12"/>
  <c r="O3402" i="12" s="1"/>
  <c r="G3457" i="12"/>
  <c r="O3457" i="12" s="1"/>
  <c r="O3848" i="12" s="1"/>
  <c r="K3848" i="12" s="1"/>
  <c r="G3528" i="12"/>
  <c r="G3386" i="12"/>
  <c r="O3386" i="12" s="1"/>
  <c r="B3320" i="12"/>
  <c r="B3782" i="12" s="1"/>
  <c r="B3711" i="12"/>
  <c r="B3281" i="12"/>
  <c r="B3743" i="12" s="1"/>
  <c r="B3672" i="12"/>
  <c r="G3387" i="12"/>
  <c r="O3387" i="12" s="1"/>
  <c r="G3458" i="12"/>
  <c r="O3458" i="12" s="1"/>
  <c r="O3849" i="12" s="1"/>
  <c r="K3849" i="12" s="1"/>
  <c r="G3422" i="12"/>
  <c r="O3422" i="12" s="1"/>
  <c r="O3813" i="12" s="1"/>
  <c r="K3813" i="12" s="1"/>
  <c r="G3351" i="12"/>
  <c r="O3351" i="12" s="1"/>
  <c r="O3618" i="12"/>
  <c r="B3549" i="12"/>
  <c r="B3620" i="12" s="1"/>
  <c r="B3869" i="12"/>
  <c r="G3477" i="12"/>
  <c r="O3477" i="12" s="1"/>
  <c r="O3868" i="12" s="1"/>
  <c r="K3868" i="12" s="1"/>
  <c r="G3406" i="12"/>
  <c r="O3406" i="12" s="1"/>
  <c r="G3548" i="12"/>
  <c r="O3501" i="12"/>
  <c r="O3494" i="12"/>
  <c r="E2693" i="12"/>
  <c r="E2713" i="12" s="1"/>
  <c r="B3312" i="12"/>
  <c r="B3774" i="12" s="1"/>
  <c r="B3703" i="12"/>
  <c r="CM159" i="15"/>
  <c r="CM132" i="15"/>
  <c r="CM122" i="15"/>
  <c r="CF137" i="15"/>
  <c r="CM200" i="15"/>
  <c r="CF200" i="15"/>
  <c r="BZ143" i="15"/>
  <c r="CB127" i="15"/>
  <c r="CB103" i="15"/>
  <c r="CM107" i="15"/>
  <c r="AR155" i="15"/>
  <c r="CM190" i="15"/>
  <c r="CF190" i="15"/>
  <c r="AR186" i="15"/>
  <c r="CM149" i="15"/>
  <c r="AV121" i="15"/>
  <c r="AT127" i="15"/>
  <c r="AU127" i="15" s="1"/>
  <c r="AT133" i="15"/>
  <c r="AU133" i="15" s="1"/>
  <c r="AR133" i="15"/>
  <c r="AT105" i="15"/>
  <c r="AV105" i="15"/>
  <c r="CF197" i="15"/>
  <c r="CM197" i="15"/>
  <c r="CF217" i="15"/>
  <c r="CM217" i="15"/>
  <c r="CF220" i="15"/>
  <c r="CM220" i="15"/>
  <c r="CB89" i="15"/>
  <c r="AV110" i="15"/>
  <c r="AV124" i="15"/>
  <c r="AT137" i="15"/>
  <c r="AU137" i="15" s="1"/>
  <c r="AT109" i="15"/>
  <c r="AV109" i="15"/>
  <c r="AR115" i="15"/>
  <c r="AT124" i="15"/>
  <c r="AU124" i="15" s="1"/>
  <c r="AR109" i="15"/>
  <c r="AR218" i="15"/>
  <c r="CB110" i="15"/>
  <c r="CF212" i="15"/>
  <c r="CM212" i="15"/>
  <c r="AT107" i="15"/>
  <c r="AV107" i="15"/>
  <c r="AT121" i="15"/>
  <c r="AU121" i="15" s="1"/>
  <c r="AO169" i="15"/>
  <c r="BD169" i="15" s="1"/>
  <c r="AV115" i="15"/>
  <c r="AR96" i="15"/>
  <c r="AT96" i="15"/>
  <c r="AV96" i="15"/>
  <c r="AR110" i="15"/>
  <c r="AT110" i="15"/>
  <c r="AU110" i="15" s="1"/>
  <c r="AO113" i="15"/>
  <c r="AT113" i="15"/>
  <c r="AU113" i="15" s="1"/>
  <c r="AV113" i="15"/>
  <c r="AT112" i="15"/>
  <c r="AU112" i="15" s="1"/>
  <c r="AV112" i="15"/>
  <c r="AO112" i="15"/>
  <c r="AR113" i="15"/>
  <c r="AO127" i="15"/>
  <c r="AV135" i="15"/>
  <c r="AT135" i="15"/>
  <c r="CF117" i="15"/>
  <c r="CM117" i="15"/>
  <c r="BZ89" i="15"/>
  <c r="AV127" i="15"/>
  <c r="AR105" i="15"/>
  <c r="BZ135" i="15"/>
  <c r="CF148" i="15"/>
  <c r="CM148" i="15"/>
  <c r="BZ199" i="15"/>
  <c r="AR214" i="15"/>
  <c r="G3427" i="12"/>
  <c r="O3427" i="12" s="1"/>
  <c r="O3818" i="12" s="1"/>
  <c r="K3818" i="12" s="1"/>
  <c r="G3498" i="12"/>
  <c r="G3356" i="12"/>
  <c r="O3356" i="12" s="1"/>
  <c r="B3519" i="12"/>
  <c r="B3590" i="12" s="1"/>
  <c r="B3839" i="12"/>
  <c r="G3462" i="12"/>
  <c r="O3462" i="12" s="1"/>
  <c r="O3853" i="12" s="1"/>
  <c r="K3853" i="12" s="1"/>
  <c r="G3533" i="12"/>
  <c r="F2704" i="12"/>
  <c r="F2685" i="12"/>
  <c r="F2705" i="12" s="1"/>
  <c r="G3363" i="12"/>
  <c r="O3363" i="12" s="1"/>
  <c r="G3434" i="12"/>
  <c r="O3434" i="12" s="1"/>
  <c r="O3825" i="12" s="1"/>
  <c r="K3825" i="12" s="1"/>
  <c r="G3505" i="12"/>
  <c r="G3468" i="12"/>
  <c r="O3468" i="12" s="1"/>
  <c r="O3859" i="12" s="1"/>
  <c r="K3859" i="12" s="1"/>
  <c r="G3539" i="12"/>
  <c r="G3397" i="12"/>
  <c r="O3397" i="12" s="1"/>
  <c r="G3435" i="12"/>
  <c r="O3435" i="12" s="1"/>
  <c r="O3826" i="12" s="1"/>
  <c r="K3826" i="12" s="1"/>
  <c r="G3364" i="12"/>
  <c r="O3364" i="12" s="1"/>
  <c r="G3506" i="12"/>
  <c r="G3471" i="12"/>
  <c r="O3471" i="12" s="1"/>
  <c r="O3862" i="12" s="1"/>
  <c r="K3862" i="12" s="1"/>
  <c r="G3400" i="12"/>
  <c r="O3400" i="12" s="1"/>
  <c r="G3542" i="12"/>
  <c r="G3437" i="12"/>
  <c r="O3437" i="12" s="1"/>
  <c r="O3828" i="12" s="1"/>
  <c r="K3828" i="12" s="1"/>
  <c r="G3508" i="12"/>
  <c r="G3366" i="12"/>
  <c r="O3366" i="12" s="1"/>
  <c r="B3702" i="12"/>
  <c r="B3311" i="12"/>
  <c r="B3773" i="12" s="1"/>
  <c r="B3323" i="12"/>
  <c r="B3785" i="12" s="1"/>
  <c r="B3714" i="12"/>
  <c r="B3700" i="12"/>
  <c r="B3309" i="12"/>
  <c r="B3771" i="12" s="1"/>
  <c r="B3317" i="12"/>
  <c r="B3779" i="12" s="1"/>
  <c r="B3708" i="12"/>
  <c r="G3470" i="12"/>
  <c r="O3470" i="12" s="1"/>
  <c r="O3861" i="12" s="1"/>
  <c r="K3861" i="12" s="1"/>
  <c r="G3399" i="12"/>
  <c r="O3399" i="12" s="1"/>
  <c r="B3856" i="12"/>
  <c r="B3536" i="12"/>
  <c r="B3607" i="12" s="1"/>
  <c r="B3522" i="12"/>
  <c r="B3593" i="12" s="1"/>
  <c r="B3842" i="12"/>
  <c r="B3530" i="12"/>
  <c r="B3601" i="12" s="1"/>
  <c r="B3850" i="12"/>
  <c r="O3110" i="12"/>
  <c r="D3045" i="12" s="1"/>
  <c r="G3546" i="12"/>
  <c r="G3475" i="12"/>
  <c r="O3475" i="12" s="1"/>
  <c r="O3866" i="12" s="1"/>
  <c r="K3866" i="12" s="1"/>
  <c r="G3404" i="12"/>
  <c r="O3404" i="12" s="1"/>
  <c r="G3479" i="12"/>
  <c r="O3479" i="12" s="1"/>
  <c r="O3870" i="12" s="1"/>
  <c r="K3870" i="12" s="1"/>
  <c r="G3550" i="12"/>
  <c r="G3408" i="12"/>
  <c r="O3408" i="12" s="1"/>
  <c r="B3332" i="12"/>
  <c r="B3794" i="12" s="1"/>
  <c r="B3723" i="12"/>
  <c r="O3525" i="12"/>
  <c r="G3591" i="12"/>
  <c r="O3591" i="12" s="1"/>
  <c r="O3520" i="12"/>
  <c r="O3523" i="12"/>
  <c r="B3314" i="12"/>
  <c r="B3776" i="12" s="1"/>
  <c r="B3705" i="12"/>
  <c r="B3517" i="12"/>
  <c r="B3588" i="12" s="1"/>
  <c r="B3837" i="12"/>
  <c r="G3357" i="12"/>
  <c r="O3357" i="12" s="1"/>
  <c r="G3428" i="12"/>
  <c r="O3428" i="12" s="1"/>
  <c r="O3819" i="12" s="1"/>
  <c r="K3819" i="12" s="1"/>
  <c r="G3499" i="12"/>
  <c r="B3278" i="12"/>
  <c r="B3740" i="12" s="1"/>
  <c r="B3669" i="12"/>
  <c r="B3545" i="12"/>
  <c r="B3616" i="12" s="1"/>
  <c r="B3865" i="12"/>
  <c r="B3510" i="12"/>
  <c r="B3581" i="12" s="1"/>
  <c r="B3830" i="12"/>
  <c r="B2728" i="12"/>
  <c r="B2704" i="12"/>
  <c r="B3504" i="12"/>
  <c r="B3575" i="12" s="1"/>
  <c r="B3824" i="12"/>
  <c r="O3535" i="12"/>
  <c r="O3513" i="12"/>
  <c r="B3527" i="12"/>
  <c r="B3598" i="12" s="1"/>
  <c r="B3847" i="12"/>
  <c r="B3541" i="12"/>
  <c r="B3612" i="12" s="1"/>
  <c r="B3861" i="12"/>
  <c r="B3328" i="12"/>
  <c r="B3790" i="12" s="1"/>
  <c r="B3719" i="12"/>
  <c r="B3531" i="12"/>
  <c r="B3602" i="12" s="1"/>
  <c r="B3851" i="12"/>
  <c r="B3338" i="12"/>
  <c r="B3800" i="12" s="1"/>
  <c r="B3729" i="12"/>
  <c r="B3284" i="12"/>
  <c r="B3746" i="12" s="1"/>
  <c r="B3675" i="12"/>
  <c r="B3335" i="12"/>
  <c r="B3797" i="12" s="1"/>
  <c r="B3726" i="12"/>
  <c r="O3600" i="12"/>
  <c r="O3118" i="12"/>
  <c r="D3111" i="12" s="1"/>
  <c r="G3411" i="12"/>
  <c r="O3411" i="12" s="1"/>
  <c r="G3482" i="12"/>
  <c r="O3482" i="12" s="1"/>
  <c r="O3873" i="12" s="1"/>
  <c r="K3873" i="12" s="1"/>
  <c r="B3871" i="12"/>
  <c r="B3551" i="12"/>
  <c r="B3622" i="12" s="1"/>
  <c r="B3497" i="12"/>
  <c r="B3568" i="12" s="1"/>
  <c r="B3817" i="12"/>
  <c r="G3417" i="12"/>
  <c r="O3417" i="12" s="1"/>
  <c r="O3808" i="12" s="1"/>
  <c r="K3808" i="12" s="1"/>
  <c r="G3346" i="12"/>
  <c r="O3346" i="12" s="1"/>
  <c r="G3488" i="12"/>
  <c r="B3548" i="12"/>
  <c r="B3619" i="12" s="1"/>
  <c r="B3868" i="12"/>
  <c r="B3306" i="12"/>
  <c r="B3768" i="12" s="1"/>
  <c r="B3697" i="12"/>
  <c r="E2708" i="12"/>
  <c r="B3287" i="12"/>
  <c r="B3749" i="12" s="1"/>
  <c r="B3678" i="12"/>
  <c r="G3444" i="12"/>
  <c r="O3444" i="12" s="1"/>
  <c r="O3835" i="12" s="1"/>
  <c r="K3835" i="12" s="1"/>
  <c r="G3515" i="12"/>
  <c r="G3373" i="12"/>
  <c r="O3373" i="12" s="1"/>
  <c r="O3606" i="12"/>
  <c r="B3500" i="12"/>
  <c r="B3571" i="12" s="1"/>
  <c r="B3820" i="12"/>
  <c r="G3453" i="12"/>
  <c r="O3453" i="12" s="1"/>
  <c r="O3844" i="12" s="1"/>
  <c r="K3844" i="12" s="1"/>
  <c r="G3524" i="12"/>
  <c r="G3401" i="12"/>
  <c r="O3401" i="12" s="1"/>
  <c r="G3472" i="12"/>
  <c r="O3472" i="12" s="1"/>
  <c r="O3863" i="12" s="1"/>
  <c r="K3863" i="12" s="1"/>
  <c r="G3543" i="12"/>
  <c r="G3522" i="12"/>
  <c r="G3380" i="12"/>
  <c r="O3380" i="12" s="1"/>
  <c r="G3451" i="12"/>
  <c r="O3451" i="12" s="1"/>
  <c r="O3842" i="12" s="1"/>
  <c r="K3842" i="12" s="1"/>
  <c r="CD118" i="15"/>
  <c r="I149" i="15"/>
  <c r="BZ149" i="15"/>
  <c r="I136" i="15"/>
  <c r="BZ136" i="15"/>
  <c r="I195" i="15"/>
  <c r="BQ195" i="15" s="1"/>
  <c r="CB195" i="15"/>
  <c r="BY195" i="15"/>
  <c r="CO195" i="15" s="1"/>
  <c r="BZ195" i="15"/>
  <c r="CF109" i="15"/>
  <c r="CM109" i="15"/>
  <c r="AM109" i="15"/>
  <c r="AN109" i="15"/>
  <c r="V109" i="15"/>
  <c r="BY132" i="15"/>
  <c r="I132" i="15"/>
  <c r="BR132" i="15" s="1"/>
  <c r="V125" i="15"/>
  <c r="AM125" i="15"/>
  <c r="AN125" i="15"/>
  <c r="BY152" i="15"/>
  <c r="I152" i="15"/>
  <c r="CB152" i="15"/>
  <c r="L171" i="15"/>
  <c r="AR171" i="15" s="1"/>
  <c r="N171" i="15"/>
  <c r="CR171" i="15"/>
  <c r="CM179" i="15"/>
  <c r="CF179" i="15"/>
  <c r="CM176" i="15"/>
  <c r="CF176" i="15"/>
  <c r="CM199" i="15"/>
  <c r="CF199" i="15"/>
  <c r="L212" i="15"/>
  <c r="AR212" i="15" s="1"/>
  <c r="N212" i="15"/>
  <c r="CR212" i="15"/>
  <c r="V206" i="15"/>
  <c r="AM206" i="15"/>
  <c r="AN206" i="15"/>
  <c r="AM146" i="15"/>
  <c r="AN146" i="15"/>
  <c r="V146" i="15"/>
  <c r="V96" i="15"/>
  <c r="AM96" i="15"/>
  <c r="AN96" i="15"/>
  <c r="N101" i="15"/>
  <c r="CR101" i="15"/>
  <c r="L101" i="15"/>
  <c r="AR101" i="15" s="1"/>
  <c r="N120" i="15"/>
  <c r="L120" i="15"/>
  <c r="CR120" i="15"/>
  <c r="N148" i="15"/>
  <c r="L148" i="15"/>
  <c r="AR148" i="15" s="1"/>
  <c r="CR148" i="15"/>
  <c r="N152" i="15"/>
  <c r="L152" i="15"/>
  <c r="AR152" i="15" s="1"/>
  <c r="CR152" i="15"/>
  <c r="CZ145" i="15"/>
  <c r="L164" i="15"/>
  <c r="AR164" i="15" s="1"/>
  <c r="CR164" i="15"/>
  <c r="N164" i="15"/>
  <c r="AV155" i="15"/>
  <c r="L167" i="15"/>
  <c r="AR167" i="15" s="1"/>
  <c r="N167" i="15"/>
  <c r="CR167" i="15"/>
  <c r="V158" i="15"/>
  <c r="AM158" i="15"/>
  <c r="AN158" i="15"/>
  <c r="CZ171" i="15"/>
  <c r="CF195" i="15"/>
  <c r="CM195" i="15"/>
  <c r="V192" i="15"/>
  <c r="AM192" i="15"/>
  <c r="AN192" i="15"/>
  <c r="CZ204" i="15"/>
  <c r="L208" i="15"/>
  <c r="AR208" i="15" s="1"/>
  <c r="N208" i="15"/>
  <c r="CR208" i="15"/>
  <c r="AT206" i="15"/>
  <c r="V220" i="15"/>
  <c r="AM220" i="15"/>
  <c r="AN220" i="15"/>
  <c r="BY135" i="15"/>
  <c r="CB135" i="15"/>
  <c r="I135" i="15"/>
  <c r="J135" i="15" s="1"/>
  <c r="I89" i="15"/>
  <c r="BY89" i="15"/>
  <c r="CO89" i="15" s="1"/>
  <c r="CR98" i="15"/>
  <c r="L98" i="15"/>
  <c r="AR98" i="15" s="1"/>
  <c r="N98" i="15"/>
  <c r="I103" i="15"/>
  <c r="Y103" i="15" s="1"/>
  <c r="BY103" i="15"/>
  <c r="CR108" i="15"/>
  <c r="L108" i="15"/>
  <c r="N108" i="15"/>
  <c r="I127" i="15"/>
  <c r="Y127" i="15" s="1"/>
  <c r="BY127" i="15"/>
  <c r="V121" i="15"/>
  <c r="AM121" i="15"/>
  <c r="AN121" i="15"/>
  <c r="V127" i="15"/>
  <c r="AM127" i="15"/>
  <c r="AN127" i="15"/>
  <c r="I124" i="15"/>
  <c r="Y124" i="15" s="1"/>
  <c r="BY124" i="15"/>
  <c r="AT132" i="15"/>
  <c r="AV132" i="15"/>
  <c r="BZ122" i="15"/>
  <c r="AM137" i="15"/>
  <c r="AV137" i="15"/>
  <c r="AN137" i="15"/>
  <c r="N142" i="15"/>
  <c r="L142" i="15"/>
  <c r="AR142" i="15" s="1"/>
  <c r="CR142" i="15"/>
  <c r="AT158" i="15"/>
  <c r="AU158" i="15" s="1"/>
  <c r="AV158" i="15"/>
  <c r="AO158" i="15"/>
  <c r="BY173" i="15"/>
  <c r="CO173" i="15" s="1"/>
  <c r="I173" i="15"/>
  <c r="E179" i="15"/>
  <c r="CR198" i="15"/>
  <c r="L198" i="15"/>
  <c r="AR198" i="15" s="1"/>
  <c r="N198" i="15"/>
  <c r="AO187" i="15"/>
  <c r="AV187" i="15"/>
  <c r="AT187" i="15"/>
  <c r="AU187" i="15" s="1"/>
  <c r="E185" i="15"/>
  <c r="E217" i="15"/>
  <c r="AV206" i="15"/>
  <c r="CR197" i="15"/>
  <c r="L197" i="15"/>
  <c r="AT197" i="15" s="1"/>
  <c r="N197" i="15"/>
  <c r="L204" i="15"/>
  <c r="AV204" i="15" s="1"/>
  <c r="N204" i="15"/>
  <c r="CR204" i="15"/>
  <c r="BY207" i="15"/>
  <c r="AN210" i="15"/>
  <c r="I118" i="15"/>
  <c r="BY118" i="15"/>
  <c r="CO118" i="15" s="1"/>
  <c r="CB118" i="15"/>
  <c r="V153" i="15"/>
  <c r="AN153" i="15"/>
  <c r="AM153" i="15"/>
  <c r="AV153" i="15"/>
  <c r="BY169" i="15"/>
  <c r="I169" i="15"/>
  <c r="CB169" i="15"/>
  <c r="AM162" i="15"/>
  <c r="AN162" i="15"/>
  <c r="V162" i="15"/>
  <c r="L173" i="15"/>
  <c r="AR173" i="15" s="1"/>
  <c r="N173" i="15"/>
  <c r="CR173" i="15"/>
  <c r="CF196" i="15"/>
  <c r="CM196" i="15"/>
  <c r="CF191" i="15"/>
  <c r="CM191" i="15"/>
  <c r="N178" i="15"/>
  <c r="CR178" i="15"/>
  <c r="L178" i="15"/>
  <c r="AR178" i="15" s="1"/>
  <c r="N199" i="15"/>
  <c r="CR199" i="15"/>
  <c r="L199" i="15"/>
  <c r="AR199" i="15" s="1"/>
  <c r="BY187" i="15"/>
  <c r="CB187" i="15"/>
  <c r="I187" i="15"/>
  <c r="BQ187" i="15" s="1"/>
  <c r="AM187" i="15"/>
  <c r="AN187" i="15"/>
  <c r="V187" i="15"/>
  <c r="AM175" i="15"/>
  <c r="V175" i="15"/>
  <c r="AT175" i="15"/>
  <c r="AV175" i="15"/>
  <c r="AN175" i="15"/>
  <c r="AM205" i="15"/>
  <c r="AN205" i="15"/>
  <c r="V205" i="15"/>
  <c r="AT205" i="15"/>
  <c r="AV205" i="15"/>
  <c r="AV217" i="15"/>
  <c r="AT217" i="15"/>
  <c r="BY193" i="15"/>
  <c r="CO193" i="15" s="1"/>
  <c r="I193" i="15"/>
  <c r="CB193" i="15"/>
  <c r="BZ193" i="15"/>
  <c r="BY206" i="15"/>
  <c r="CO206" i="15" s="1"/>
  <c r="BZ206" i="15"/>
  <c r="I206" i="15"/>
  <c r="BQ206" i="15" s="1"/>
  <c r="CB206" i="15"/>
  <c r="CZ212" i="15"/>
  <c r="I213" i="15"/>
  <c r="BY213" i="15"/>
  <c r="CO213" i="15" s="1"/>
  <c r="BY164" i="15"/>
  <c r="CB164" i="15"/>
  <c r="I164" i="15"/>
  <c r="I105" i="15"/>
  <c r="BQ105" i="15" s="1"/>
  <c r="BY105" i="15"/>
  <c r="CO105" i="15" s="1"/>
  <c r="BZ105" i="15"/>
  <c r="CR130" i="15"/>
  <c r="L130" i="15"/>
  <c r="AV130" i="15" s="1"/>
  <c r="N130" i="15"/>
  <c r="V124" i="15"/>
  <c r="AM124" i="15"/>
  <c r="AN124" i="15"/>
  <c r="L134" i="15"/>
  <c r="AR134" i="15" s="1"/>
  <c r="N134" i="15"/>
  <c r="CR134" i="15"/>
  <c r="E151" i="15"/>
  <c r="AT153" i="15"/>
  <c r="AU153" i="15" s="1"/>
  <c r="CM166" i="15"/>
  <c r="CF166" i="15"/>
  <c r="CF201" i="15"/>
  <c r="CM201" i="15"/>
  <c r="BY199" i="15"/>
  <c r="CO199" i="15" s="1"/>
  <c r="CB199" i="15"/>
  <c r="I199" i="15"/>
  <c r="CB197" i="15"/>
  <c r="I197" i="15"/>
  <c r="BY197" i="15"/>
  <c r="CO197" i="15" s="1"/>
  <c r="BZ197" i="15"/>
  <c r="L213" i="15"/>
  <c r="AR213" i="15" s="1"/>
  <c r="N213" i="15"/>
  <c r="CR213" i="15"/>
  <c r="I95" i="15"/>
  <c r="BY95" i="15"/>
  <c r="CO95" i="15" s="1"/>
  <c r="BZ95" i="15"/>
  <c r="L99" i="15"/>
  <c r="AR99" i="15" s="1"/>
  <c r="N99" i="15"/>
  <c r="CR99" i="15"/>
  <c r="E102" i="15"/>
  <c r="V110" i="15"/>
  <c r="AM110" i="15"/>
  <c r="AN110" i="15"/>
  <c r="E114" i="15"/>
  <c r="CZ130" i="15"/>
  <c r="CM140" i="15"/>
  <c r="CF140" i="15"/>
  <c r="E142" i="15"/>
  <c r="CF151" i="15"/>
  <c r="CM151" i="15"/>
  <c r="AT162" i="15"/>
  <c r="AV162" i="15"/>
  <c r="E162" i="15"/>
  <c r="N180" i="15"/>
  <c r="CR180" i="15"/>
  <c r="L180" i="15"/>
  <c r="AV180" i="15" s="1"/>
  <c r="CZ178" i="15"/>
  <c r="L188" i="15"/>
  <c r="N188" i="15"/>
  <c r="CR188" i="15"/>
  <c r="CR196" i="15"/>
  <c r="L196" i="15"/>
  <c r="AR196" i="15" s="1"/>
  <c r="N196" i="15"/>
  <c r="N202" i="15"/>
  <c r="CR202" i="15"/>
  <c r="L202" i="15"/>
  <c r="AR202" i="15" s="1"/>
  <c r="AM218" i="15"/>
  <c r="AN218" i="15"/>
  <c r="V218" i="15"/>
  <c r="AT218" i="15"/>
  <c r="CM207" i="15"/>
  <c r="CF207" i="15"/>
  <c r="V93" i="15"/>
  <c r="AM93" i="15"/>
  <c r="AN93" i="15"/>
  <c r="AO93" i="15"/>
  <c r="L102" i="15"/>
  <c r="AR102" i="15" s="1"/>
  <c r="N102" i="15"/>
  <c r="CR102" i="15"/>
  <c r="CZ102" i="15"/>
  <c r="AM104" i="15"/>
  <c r="AN104" i="15"/>
  <c r="BY107" i="15"/>
  <c r="CO107" i="15" s="1"/>
  <c r="I107" i="15"/>
  <c r="BQ107" i="15" s="1"/>
  <c r="AN112" i="15"/>
  <c r="V112" i="15"/>
  <c r="AM112" i="15"/>
  <c r="AT128" i="15"/>
  <c r="AU128" i="15" s="1"/>
  <c r="AO128" i="15"/>
  <c r="AV128" i="15"/>
  <c r="BZ132" i="15"/>
  <c r="BY154" i="15"/>
  <c r="V168" i="15"/>
  <c r="AV168" i="15"/>
  <c r="AM168" i="15"/>
  <c r="AN168" i="15"/>
  <c r="CM173" i="15"/>
  <c r="CF173" i="15"/>
  <c r="BD181" i="15"/>
  <c r="AU181" i="15"/>
  <c r="CF219" i="15"/>
  <c r="CM219" i="15"/>
  <c r="CM202" i="15"/>
  <c r="CF202" i="15"/>
  <c r="AT93" i="15"/>
  <c r="AU93" i="15" s="1"/>
  <c r="CZ99" i="15"/>
  <c r="CZ114" i="15"/>
  <c r="N117" i="15"/>
  <c r="CR117" i="15"/>
  <c r="L117" i="15"/>
  <c r="AR117" i="15" s="1"/>
  <c r="CR122" i="15"/>
  <c r="N122" i="15"/>
  <c r="L122" i="15"/>
  <c r="AO124" i="15"/>
  <c r="AM132" i="15"/>
  <c r="V132" i="15"/>
  <c r="AN132" i="15"/>
  <c r="BY134" i="15"/>
  <c r="CO134" i="15" s="1"/>
  <c r="CB134" i="15"/>
  <c r="I134" i="15"/>
  <c r="CM139" i="15"/>
  <c r="CF139" i="15"/>
  <c r="N143" i="15"/>
  <c r="L143" i="15"/>
  <c r="AR143" i="15" s="1"/>
  <c r="CR143" i="15"/>
  <c r="CM138" i="15"/>
  <c r="CF138" i="15"/>
  <c r="CB172" i="15"/>
  <c r="AT168" i="15"/>
  <c r="BZ173" i="15"/>
  <c r="AM195" i="15"/>
  <c r="AN195" i="15"/>
  <c r="V195" i="15"/>
  <c r="BS195" i="15"/>
  <c r="AM209" i="15"/>
  <c r="AN209" i="15"/>
  <c r="V209" i="15"/>
  <c r="AT209" i="15"/>
  <c r="AV209" i="15"/>
  <c r="CZ198" i="15"/>
  <c r="BY98" i="15"/>
  <c r="I98" i="15"/>
  <c r="L114" i="15"/>
  <c r="AR114" i="15" s="1"/>
  <c r="N114" i="15"/>
  <c r="CR114" i="15"/>
  <c r="CF123" i="15"/>
  <c r="CM123" i="15"/>
  <c r="AN135" i="15"/>
  <c r="AM135" i="15"/>
  <c r="V135" i="15"/>
  <c r="CZ134" i="15"/>
  <c r="CM143" i="15"/>
  <c r="CF143" i="15"/>
  <c r="AM155" i="15"/>
  <c r="AN155" i="15"/>
  <c r="V155" i="15"/>
  <c r="E166" i="15"/>
  <c r="E165" i="15"/>
  <c r="CZ157" i="15"/>
  <c r="AN169" i="15"/>
  <c r="V169" i="15"/>
  <c r="AV169" i="15"/>
  <c r="AM169" i="15"/>
  <c r="L185" i="15"/>
  <c r="AR185" i="15" s="1"/>
  <c r="CR185" i="15"/>
  <c r="N185" i="15"/>
  <c r="I196" i="15"/>
  <c r="CB194" i="15"/>
  <c r="I194" i="15"/>
  <c r="BR194" i="15" s="1"/>
  <c r="BY194" i="15"/>
  <c r="CO194" i="15" s="1"/>
  <c r="AT189" i="15"/>
  <c r="AU189" i="15" s="1"/>
  <c r="CM183" i="15"/>
  <c r="CF183" i="15"/>
  <c r="AO104" i="15"/>
  <c r="AT104" i="15"/>
  <c r="AU104" i="15" s="1"/>
  <c r="AV104" i="15"/>
  <c r="E91" i="15"/>
  <c r="I110" i="15"/>
  <c r="BQ110" i="15" s="1"/>
  <c r="BY110" i="15"/>
  <c r="N123" i="15"/>
  <c r="L123" i="15"/>
  <c r="AR123" i="15" s="1"/>
  <c r="CR123" i="15"/>
  <c r="BD121" i="15"/>
  <c r="E131" i="15"/>
  <c r="V133" i="15"/>
  <c r="AN133" i="15"/>
  <c r="AM133" i="15"/>
  <c r="CM142" i="15"/>
  <c r="CF142" i="15"/>
  <c r="CR147" i="15"/>
  <c r="L147" i="15"/>
  <c r="AR147" i="15" s="1"/>
  <c r="N147" i="15"/>
  <c r="CZ147" i="15"/>
  <c r="AT146" i="15"/>
  <c r="L163" i="15"/>
  <c r="N163" i="15"/>
  <c r="CR163" i="15"/>
  <c r="L159" i="15"/>
  <c r="AT159" i="15" s="1"/>
  <c r="CR159" i="15"/>
  <c r="N159" i="15"/>
  <c r="CM178" i="15"/>
  <c r="CF178" i="15"/>
  <c r="CR201" i="15"/>
  <c r="L201" i="15"/>
  <c r="N201" i="15"/>
  <c r="AN186" i="15"/>
  <c r="V186" i="15"/>
  <c r="AM186" i="15"/>
  <c r="AT186" i="15"/>
  <c r="AU186" i="15" s="1"/>
  <c r="AV186" i="15"/>
  <c r="BD170" i="15"/>
  <c r="E208" i="15"/>
  <c r="N89" i="15"/>
  <c r="CR89" i="15"/>
  <c r="L89" i="15"/>
  <c r="AR89" i="15" s="1"/>
  <c r="L97" i="15"/>
  <c r="AR97" i="15" s="1"/>
  <c r="N97" i="15"/>
  <c r="CR97" i="15"/>
  <c r="CM94" i="15"/>
  <c r="CF94" i="15"/>
  <c r="CR91" i="15"/>
  <c r="L91" i="15"/>
  <c r="AR91" i="15" s="1"/>
  <c r="N91" i="15"/>
  <c r="AM113" i="15"/>
  <c r="V113" i="15"/>
  <c r="AN113" i="15"/>
  <c r="I117" i="15"/>
  <c r="BY117" i="15"/>
  <c r="CO117" i="15" s="1"/>
  <c r="BZ117" i="15"/>
  <c r="BY122" i="15"/>
  <c r="CO122" i="15" s="1"/>
  <c r="I122" i="15"/>
  <c r="E128" i="15"/>
  <c r="CR131" i="15"/>
  <c r="L131" i="15"/>
  <c r="AV131" i="15" s="1"/>
  <c r="N131" i="15"/>
  <c r="CM146" i="15"/>
  <c r="CF146" i="15"/>
  <c r="I143" i="15"/>
  <c r="BY143" i="15"/>
  <c r="CO143" i="15" s="1"/>
  <c r="L150" i="15"/>
  <c r="AV150" i="15" s="1"/>
  <c r="N150" i="15"/>
  <c r="CR150" i="15"/>
  <c r="CZ150" i="15"/>
  <c r="AO153" i="15"/>
  <c r="AV146" i="15"/>
  <c r="V154" i="15"/>
  <c r="AM154" i="15"/>
  <c r="AN154" i="15"/>
  <c r="AV161" i="15"/>
  <c r="AM161" i="15"/>
  <c r="AN161" i="15"/>
  <c r="AT161" i="15"/>
  <c r="V161" i="15"/>
  <c r="CM162" i="15"/>
  <c r="CF162" i="15"/>
  <c r="L157" i="15"/>
  <c r="AR157" i="15" s="1"/>
  <c r="N157" i="15"/>
  <c r="CR157" i="15"/>
  <c r="BY171" i="15"/>
  <c r="CO171" i="15" s="1"/>
  <c r="CB171" i="15"/>
  <c r="BZ171" i="15"/>
  <c r="I171" i="15"/>
  <c r="CM181" i="15"/>
  <c r="CF181" i="15"/>
  <c r="CF194" i="15"/>
  <c r="CM194" i="15"/>
  <c r="E189" i="15"/>
  <c r="CM177" i="15"/>
  <c r="CF177" i="15"/>
  <c r="AM214" i="15"/>
  <c r="AN214" i="15"/>
  <c r="V214" i="15"/>
  <c r="AT214" i="15"/>
  <c r="CZ97" i="15"/>
  <c r="CZ91" i="15"/>
  <c r="CB98" i="15"/>
  <c r="AM107" i="15"/>
  <c r="V107" i="15"/>
  <c r="AN107" i="15"/>
  <c r="AN105" i="15"/>
  <c r="AM105" i="15"/>
  <c r="V105" i="15"/>
  <c r="AM115" i="15"/>
  <c r="AN115" i="15"/>
  <c r="AO115" i="15"/>
  <c r="N118" i="15"/>
  <c r="CR118" i="15"/>
  <c r="L118" i="15"/>
  <c r="AR118" i="15" s="1"/>
  <c r="AO125" i="15"/>
  <c r="CZ131" i="15"/>
  <c r="BY133" i="15"/>
  <c r="CO133" i="15" s="1"/>
  <c r="CB133" i="15"/>
  <c r="I133" i="15"/>
  <c r="AL133" i="15" s="1"/>
  <c r="CB132" i="15"/>
  <c r="BY150" i="15"/>
  <c r="CO150" i="15" s="1"/>
  <c r="I150" i="15"/>
  <c r="BZ150" i="15"/>
  <c r="CB150" i="15"/>
  <c r="AT154" i="15"/>
  <c r="AU154" i="15" s="1"/>
  <c r="AV154" i="15"/>
  <c r="AO154" i="15"/>
  <c r="BY148" i="15"/>
  <c r="CO148" i="15" s="1"/>
  <c r="I148" i="15"/>
  <c r="BZ148" i="15"/>
  <c r="CB148" i="15"/>
  <c r="L145" i="15"/>
  <c r="AV145" i="15" s="1"/>
  <c r="N145" i="15"/>
  <c r="CR145" i="15"/>
  <c r="BY158" i="15"/>
  <c r="CB158" i="15"/>
  <c r="I158" i="15"/>
  <c r="J158" i="15" s="1"/>
  <c r="AO155" i="15"/>
  <c r="CM175" i="15"/>
  <c r="CF175" i="15"/>
  <c r="BY174" i="15"/>
  <c r="AT195" i="15"/>
  <c r="AV195" i="15"/>
  <c r="L193" i="15"/>
  <c r="AR193" i="15" s="1"/>
  <c r="CR193" i="15"/>
  <c r="N193" i="15"/>
  <c r="CM203" i="15"/>
  <c r="CF203" i="15"/>
  <c r="CM211" i="15"/>
  <c r="CF211" i="15"/>
  <c r="AT220" i="15"/>
  <c r="AV220" i="15"/>
  <c r="CF215" i="15"/>
  <c r="CM215" i="15"/>
  <c r="AM217" i="15"/>
  <c r="AN217" i="15"/>
  <c r="V217" i="15"/>
  <c r="CB213" i="15"/>
  <c r="K1973" i="12"/>
  <c r="K1989" i="12" s="1"/>
  <c r="N1940" i="12"/>
  <c r="O1940" i="12"/>
  <c r="K1957" i="12"/>
  <c r="K1970" i="12"/>
  <c r="K1986" i="12" s="1"/>
  <c r="K1959" i="12"/>
  <c r="K1975" i="12"/>
  <c r="K1991" i="12" s="1"/>
  <c r="K1955" i="12"/>
  <c r="K1971" i="12"/>
  <c r="K1987" i="12" s="1"/>
  <c r="O1938" i="12"/>
  <c r="N1938" i="12"/>
  <c r="K1954" i="12"/>
  <c r="N1937" i="12"/>
  <c r="K1968" i="12"/>
  <c r="K1984" i="12" s="1"/>
  <c r="K1952" i="12"/>
  <c r="N1939" i="12"/>
  <c r="O1939" i="12"/>
  <c r="K1956" i="12"/>
  <c r="K1972" i="12"/>
  <c r="K1988" i="12" s="1"/>
  <c r="K1948" i="12"/>
  <c r="K1964" i="12"/>
  <c r="K1980" i="12" s="1"/>
  <c r="N1931" i="12"/>
  <c r="O1931" i="12"/>
  <c r="N1941" i="12"/>
  <c r="O1941" i="12"/>
  <c r="K1958" i="12"/>
  <c r="K1974" i="12"/>
  <c r="K1990" i="12" s="1"/>
  <c r="N1942" i="12"/>
  <c r="K1949" i="12"/>
  <c r="N1932" i="12"/>
  <c r="O1932" i="12"/>
  <c r="K1951" i="12"/>
  <c r="N1934" i="12"/>
  <c r="O1934" i="12"/>
  <c r="K1967" i="12"/>
  <c r="K1983" i="12" s="1"/>
  <c r="N1936" i="12"/>
  <c r="K1953" i="12"/>
  <c r="K1969" i="12"/>
  <c r="K1985" i="12" s="1"/>
  <c r="O1936" i="12"/>
  <c r="AS45" i="13"/>
  <c r="BT45" i="13"/>
  <c r="Y45" i="13"/>
  <c r="Z45" i="13" s="1"/>
  <c r="CJ101" i="13"/>
  <c r="AS101" i="13"/>
  <c r="Y101" i="13"/>
  <c r="Z101" i="13" s="1"/>
  <c r="AU52" i="13"/>
  <c r="DI52" i="13"/>
  <c r="DM52" i="13"/>
  <c r="CH86" i="13"/>
  <c r="CI86" i="13"/>
  <c r="CG86" i="13"/>
  <c r="AQ52" i="13"/>
  <c r="AQ48" i="13"/>
  <c r="AP48" i="13"/>
  <c r="L57" i="13"/>
  <c r="L54" i="13"/>
  <c r="DP54" i="13"/>
  <c r="AH57" i="13"/>
  <c r="BB57" i="13"/>
  <c r="BC57" i="13" s="1"/>
  <c r="AH67" i="13"/>
  <c r="AJ77" i="13"/>
  <c r="AO76" i="13"/>
  <c r="AQ79" i="13"/>
  <c r="Z77" i="13"/>
  <c r="I82" i="13"/>
  <c r="BE73" i="13"/>
  <c r="DK89" i="13"/>
  <c r="AS89" i="13"/>
  <c r="I91" i="13"/>
  <c r="BV94" i="13"/>
  <c r="AO91" i="13"/>
  <c r="CW52" i="13"/>
  <c r="CV52" i="13"/>
  <c r="CX52" i="13"/>
  <c r="CI71" i="13"/>
  <c r="CH71" i="13"/>
  <c r="BR45" i="13"/>
  <c r="BS45" i="13"/>
  <c r="AP78" i="16"/>
  <c r="BR86" i="13"/>
  <c r="BS86" i="13"/>
  <c r="CF48" i="13"/>
  <c r="BR51" i="13"/>
  <c r="BS51" i="13"/>
  <c r="BR95" i="13"/>
  <c r="BS95" i="13"/>
  <c r="DO91" i="13"/>
  <c r="DM91" i="13"/>
  <c r="DH91" i="13"/>
  <c r="BO48" i="13"/>
  <c r="BP48" i="13"/>
  <c r="DH57" i="13"/>
  <c r="AC57" i="13"/>
  <c r="DG57" i="13"/>
  <c r="AE57" i="13"/>
  <c r="DI57" i="13"/>
  <c r="DK57" i="13"/>
  <c r="AU57" i="13"/>
  <c r="DM57" i="13"/>
  <c r="AW57" i="13"/>
  <c r="DP52" i="13"/>
  <c r="CA50" i="13"/>
  <c r="DL54" i="13"/>
  <c r="AP54" i="13"/>
  <c r="CE57" i="13"/>
  <c r="L52" i="13"/>
  <c r="AT72" i="13"/>
  <c r="AK57" i="13"/>
  <c r="AG67" i="13"/>
  <c r="AK89" i="13"/>
  <c r="AT99" i="13"/>
  <c r="DJ91" i="13"/>
  <c r="DL91" i="13"/>
  <c r="CA54" i="13"/>
  <c r="BY54" i="13"/>
  <c r="BZ54" i="13"/>
  <c r="CZ69" i="13"/>
  <c r="CW69" i="13"/>
  <c r="CX69" i="13"/>
  <c r="CY69" i="13"/>
  <c r="CV48" i="13"/>
  <c r="CX48" i="13"/>
  <c r="CZ48" i="13"/>
  <c r="CG59" i="13"/>
  <c r="CH59" i="13"/>
  <c r="CI59" i="13"/>
  <c r="AP52" i="13"/>
  <c r="BZ50" i="13"/>
  <c r="V57" i="13"/>
  <c r="AU54" i="13"/>
  <c r="DJ89" i="13"/>
  <c r="AV91" i="13"/>
  <c r="AK91" i="13"/>
  <c r="AZ91" i="13"/>
  <c r="AJ57" i="13"/>
  <c r="DN57" i="13"/>
  <c r="DN52" i="13"/>
  <c r="AG57" i="13"/>
  <c r="DK54" i="13"/>
  <c r="AJ91" i="13"/>
  <c r="L91" i="13"/>
  <c r="BY89" i="13"/>
  <c r="AP115" i="16"/>
  <c r="DM77" i="13"/>
  <c r="DI77" i="13"/>
  <c r="DK77" i="13"/>
  <c r="DL77" i="13"/>
  <c r="O2649" i="12"/>
  <c r="M2672" i="12"/>
  <c r="O2672" i="12" s="1"/>
  <c r="M2730" i="12"/>
  <c r="K2730" i="12" s="1"/>
  <c r="AS102" i="13"/>
  <c r="CJ102" i="13"/>
  <c r="CG61" i="13"/>
  <c r="CH61" i="13"/>
  <c r="DP64" i="13"/>
  <c r="BD57" i="13"/>
  <c r="AL102" i="13"/>
  <c r="O2647" i="12"/>
  <c r="DG52" i="13"/>
  <c r="M2656" i="12"/>
  <c r="O2656" i="12" s="1"/>
  <c r="BD52" i="13"/>
  <c r="AZ49" i="13"/>
  <c r="AV57" i="13"/>
  <c r="AT54" i="13"/>
  <c r="AX52" i="13"/>
  <c r="DI54" i="13"/>
  <c r="AD73" i="13"/>
  <c r="AF66" i="13"/>
  <c r="AK77" i="13"/>
  <c r="AJ89" i="13"/>
  <c r="AM91" i="13"/>
  <c r="DI91" i="13"/>
  <c r="Z91" i="13"/>
  <c r="CA89" i="13"/>
  <c r="BR58" i="13"/>
  <c r="BS58" i="13"/>
  <c r="CG79" i="13"/>
  <c r="CH79" i="13"/>
  <c r="CV61" i="13"/>
  <c r="CW61" i="13"/>
  <c r="CX61" i="13"/>
  <c r="CY61" i="13"/>
  <c r="CZ61" i="13"/>
  <c r="BP94" i="13"/>
  <c r="BO94" i="13"/>
  <c r="DJ57" i="13"/>
  <c r="AA48" i="13"/>
  <c r="DL52" i="13"/>
  <c r="AP63" i="13"/>
  <c r="AN76" i="13"/>
  <c r="AU91" i="13"/>
  <c r="BR64" i="13"/>
  <c r="BS64" i="13"/>
  <c r="AK63" i="13"/>
  <c r="Y63" i="13"/>
  <c r="BU63" i="13"/>
  <c r="BV63" i="13"/>
  <c r="BW63" i="13"/>
  <c r="CC79" i="13"/>
  <c r="CE79" i="13"/>
  <c r="CD79" i="13"/>
  <c r="CA61" i="13"/>
  <c r="BY61" i="13"/>
  <c r="BZ61" i="13"/>
  <c r="AK54" i="13"/>
  <c r="DG54" i="13"/>
  <c r="CL61" i="13"/>
  <c r="CM61" i="13"/>
  <c r="BB52" i="13"/>
  <c r="BC52" i="13" s="1"/>
  <c r="AL52" i="13"/>
  <c r="AI57" i="13"/>
  <c r="AE73" i="13"/>
  <c r="Z73" i="13"/>
  <c r="BE87" i="13"/>
  <c r="AX87" i="13"/>
  <c r="DG91" i="13"/>
  <c r="BP63" i="13"/>
  <c r="BO63" i="13"/>
  <c r="DL69" i="13"/>
  <c r="DM69" i="13"/>
  <c r="DO69" i="13"/>
  <c r="DP69" i="13"/>
  <c r="AU69" i="13"/>
  <c r="DN69" i="13"/>
  <c r="AN115" i="16"/>
  <c r="BR49" i="13"/>
  <c r="BS49" i="13"/>
  <c r="Y57" i="13"/>
  <c r="Z57" i="13" s="1"/>
  <c r="AS57" i="13"/>
  <c r="CJ57" i="13"/>
  <c r="BD89" i="13"/>
  <c r="DI89" i="13"/>
  <c r="AJ102" i="13"/>
  <c r="O1901" i="12"/>
  <c r="D1894" i="12"/>
  <c r="AQ54" i="13"/>
  <c r="DP91" i="13"/>
  <c r="BB91" i="13"/>
  <c r="CG63" i="13"/>
  <c r="CH63" i="13"/>
  <c r="CI63" i="13"/>
  <c r="DO63" i="13"/>
  <c r="DP63" i="13"/>
  <c r="DG63" i="13"/>
  <c r="DK63" i="13"/>
  <c r="DM63" i="13"/>
  <c r="AG63" i="13"/>
  <c r="AS54" i="13"/>
  <c r="Y54" i="13"/>
  <c r="Z54" i="13" s="1"/>
  <c r="BZ79" i="13"/>
  <c r="BY79" i="13"/>
  <c r="CG87" i="13"/>
  <c r="CH87" i="13"/>
  <c r="AO115" i="16"/>
  <c r="M2727" i="12"/>
  <c r="K2727" i="12" s="1"/>
  <c r="M2655" i="12"/>
  <c r="O2646" i="12"/>
  <c r="L45" i="13"/>
  <c r="N45" i="13" s="1"/>
  <c r="I57" i="13"/>
  <c r="DJ52" i="13"/>
  <c r="BB54" i="13"/>
  <c r="BC54" i="13" s="1"/>
  <c r="AT55" i="13"/>
  <c r="DJ54" i="13"/>
  <c r="AK52" i="13"/>
  <c r="AP91" i="13"/>
  <c r="AL94" i="13"/>
  <c r="BU71" i="13"/>
  <c r="BV71" i="13"/>
  <c r="CG45" i="13"/>
  <c r="CI45" i="13"/>
  <c r="BR87" i="13"/>
  <c r="BS87" i="13"/>
  <c r="DI104" i="13"/>
  <c r="DK104" i="13"/>
  <c r="AU104" i="13"/>
  <c r="DG104" i="13"/>
  <c r="AZ104" i="13"/>
  <c r="BR59" i="13"/>
  <c r="BS59" i="13"/>
  <c r="I54" i="13"/>
  <c r="AL57" i="13"/>
  <c r="DK52" i="13"/>
  <c r="DO52" i="13"/>
  <c r="AV52" i="13"/>
  <c r="DJ55" i="13"/>
  <c r="AO48" i="13"/>
  <c r="AV54" i="13"/>
  <c r="DO54" i="13"/>
  <c r="AO52" i="13"/>
  <c r="AC73" i="13"/>
  <c r="BA87" i="13"/>
  <c r="BE94" i="13"/>
  <c r="DL89" i="13"/>
  <c r="L89" i="13"/>
  <c r="DN91" i="13"/>
  <c r="BD91" i="13"/>
  <c r="CV71" i="13"/>
  <c r="CX71" i="13"/>
  <c r="CY71" i="13"/>
  <c r="CZ71" i="13"/>
  <c r="CW71" i="13"/>
  <c r="CD45" i="13"/>
  <c r="CC45" i="13"/>
  <c r="CE45" i="13"/>
  <c r="CZ45" i="13"/>
  <c r="CW45" i="13"/>
  <c r="CY45" i="13"/>
  <c r="CE64" i="13"/>
  <c r="CC64" i="13"/>
  <c r="CD64" i="13"/>
  <c r="CE54" i="13"/>
  <c r="CD54" i="13"/>
  <c r="O2650" i="12"/>
  <c r="M2695" i="12"/>
  <c r="M2731" i="12"/>
  <c r="K2731" i="12" s="1"/>
  <c r="DO48" i="13"/>
  <c r="AU48" i="13"/>
  <c r="DI48" i="13"/>
  <c r="CH104" i="13"/>
  <c r="CG104" i="13"/>
  <c r="CM59" i="13"/>
  <c r="CL59" i="13"/>
  <c r="CY96" i="13"/>
  <c r="CX96" i="13"/>
  <c r="CV96" i="13"/>
  <c r="I52" i="13"/>
  <c r="CK61" i="13"/>
  <c r="DP57" i="13"/>
  <c r="AJ52" i="13"/>
  <c r="AJ54" i="13"/>
  <c r="DM54" i="13"/>
  <c r="DO57" i="13"/>
  <c r="AM57" i="13"/>
  <c r="AI72" i="13"/>
  <c r="AI67" i="13"/>
  <c r="Z76" i="13"/>
  <c r="AT89" i="13"/>
  <c r="AP89" i="13"/>
  <c r="Y89" i="13"/>
  <c r="AQ89" i="13" s="1"/>
  <c r="AN91" i="13"/>
  <c r="V91" i="13"/>
  <c r="AJ93" i="13"/>
  <c r="CC73" i="13"/>
  <c r="CE73" i="13"/>
  <c r="CD73" i="13"/>
  <c r="AU50" i="13"/>
  <c r="DG50" i="13"/>
  <c r="DI50" i="13"/>
  <c r="DM50" i="13"/>
  <c r="CK45" i="13"/>
  <c r="CL45" i="13"/>
  <c r="CM45" i="13"/>
  <c r="DK79" i="13"/>
  <c r="AV79" i="13"/>
  <c r="DL79" i="13"/>
  <c r="I79" i="13"/>
  <c r="DN79" i="13"/>
  <c r="DO79" i="13"/>
  <c r="DJ79" i="13"/>
  <c r="DM79" i="13"/>
  <c r="CK48" i="13"/>
  <c r="CL48" i="13"/>
  <c r="BO61" i="13"/>
  <c r="BP61" i="13"/>
  <c r="CG95" i="13"/>
  <c r="CH95" i="13"/>
  <c r="CI95" i="13"/>
  <c r="BO59" i="13"/>
  <c r="BP59" i="13"/>
  <c r="Y65" i="13"/>
  <c r="AN65" i="13" s="1"/>
  <c r="Z65" i="13"/>
  <c r="AS65" i="13"/>
  <c r="V65" i="13"/>
  <c r="L65" i="13"/>
  <c r="N65" i="13" s="1"/>
  <c r="AQ65" i="13"/>
  <c r="AM65" i="13"/>
  <c r="DM65" i="13"/>
  <c r="DN65" i="13"/>
  <c r="I65" i="13"/>
  <c r="DO65" i="13"/>
  <c r="AT65" i="13"/>
  <c r="AL65" i="13"/>
  <c r="DP65" i="13"/>
  <c r="V100" i="13"/>
  <c r="Y100" i="13"/>
  <c r="AN100" i="13" s="1"/>
  <c r="L100" i="13"/>
  <c r="N100" i="13" s="1"/>
  <c r="AS100" i="13"/>
  <c r="DJ100" i="13"/>
  <c r="AJ100" i="13"/>
  <c r="AO100" i="13"/>
  <c r="DL100" i="13"/>
  <c r="CF100" i="13"/>
  <c r="AP100" i="13"/>
  <c r="AK100" i="13"/>
  <c r="AQ100" i="13"/>
  <c r="DK100" i="13"/>
  <c r="AT100" i="13"/>
  <c r="BE100" i="13" s="1"/>
  <c r="I100" i="13"/>
  <c r="Y60" i="13"/>
  <c r="AN60" i="13" s="1"/>
  <c r="AS60" i="13"/>
  <c r="V60" i="13"/>
  <c r="Z60" i="13"/>
  <c r="L60" i="13"/>
  <c r="AP60" i="13"/>
  <c r="BT60" i="13"/>
  <c r="I60" i="13"/>
  <c r="AT60" i="13"/>
  <c r="AQ60" i="13"/>
  <c r="DG60" i="13"/>
  <c r="DI60" i="13"/>
  <c r="AK60" i="13"/>
  <c r="DH60" i="13"/>
  <c r="AJ60" i="13"/>
  <c r="AS56" i="13"/>
  <c r="Y56" i="13"/>
  <c r="Z56" i="13" s="1"/>
  <c r="L56" i="13"/>
  <c r="CJ56" i="13"/>
  <c r="AS53" i="13"/>
  <c r="Y53" i="13"/>
  <c r="Z53" i="13" s="1"/>
  <c r="L53" i="13"/>
  <c r="CJ53" i="13"/>
  <c r="Y103" i="13"/>
  <c r="AN103" i="13" s="1"/>
  <c r="AS103" i="13"/>
  <c r="V103" i="13"/>
  <c r="AT103" i="13"/>
  <c r="BE103" i="13" s="1"/>
  <c r="L103" i="13"/>
  <c r="N103" i="13" s="1"/>
  <c r="AQ103" i="13"/>
  <c r="DO103" i="13"/>
  <c r="CJ103" i="13"/>
  <c r="AM103" i="13"/>
  <c r="I103" i="13"/>
  <c r="AL103" i="13"/>
  <c r="DM103" i="13"/>
  <c r="DP103" i="13"/>
  <c r="DN103" i="13"/>
  <c r="BU78" i="13"/>
  <c r="BV78" i="13"/>
  <c r="BW78" i="13"/>
  <c r="V83" i="13"/>
  <c r="Y83" i="13"/>
  <c r="AN83" i="13" s="1"/>
  <c r="AS83" i="13"/>
  <c r="L83" i="13"/>
  <c r="AO83" i="13"/>
  <c r="AP83" i="13"/>
  <c r="DG83" i="13"/>
  <c r="DI83" i="13"/>
  <c r="BN83" i="13"/>
  <c r="DH83" i="13"/>
  <c r="AT83" i="13"/>
  <c r="BE83" i="13" s="1"/>
  <c r="I83" i="13"/>
  <c r="V69" i="13"/>
  <c r="Y69" i="13"/>
  <c r="AN69" i="13" s="1"/>
  <c r="AM69" i="13"/>
  <c r="BN69" i="13"/>
  <c r="DG69" i="13"/>
  <c r="DI69" i="13"/>
  <c r="I69" i="13"/>
  <c r="L69" i="13"/>
  <c r="N69" i="13" s="1"/>
  <c r="AS69" i="13"/>
  <c r="DH69" i="13"/>
  <c r="AT69" i="13"/>
  <c r="BE69" i="13" s="1"/>
  <c r="Y66" i="13"/>
  <c r="Z66" i="13" s="1"/>
  <c r="AS66" i="13"/>
  <c r="L66" i="13"/>
  <c r="N66" i="13" s="1"/>
  <c r="BZ88" i="13"/>
  <c r="CA88" i="13"/>
  <c r="BY88" i="13"/>
  <c r="BC88" i="13"/>
  <c r="L104" i="13"/>
  <c r="N104" i="13" s="1"/>
  <c r="DM104" i="13"/>
  <c r="DO104" i="13"/>
  <c r="DP104" i="13"/>
  <c r="V104" i="13"/>
  <c r="Y104" i="13"/>
  <c r="AN104" i="13" s="1"/>
  <c r="AO104" i="13"/>
  <c r="AS104" i="13"/>
  <c r="AT104" i="13"/>
  <c r="AP104" i="13"/>
  <c r="DN104" i="13"/>
  <c r="I104" i="13"/>
  <c r="AL104" i="13"/>
  <c r="CA62" i="13"/>
  <c r="BY62" i="13"/>
  <c r="BZ62" i="13"/>
  <c r="V97" i="13"/>
  <c r="Y97" i="13"/>
  <c r="Z97" i="13" s="1"/>
  <c r="AS97" i="13"/>
  <c r="L97" i="13"/>
  <c r="BX97" i="13"/>
  <c r="V80" i="13"/>
  <c r="Y80" i="13"/>
  <c r="Z80" i="13" s="1"/>
  <c r="L80" i="13"/>
  <c r="AS80" i="13"/>
  <c r="BN80" i="13"/>
  <c r="L85" i="13"/>
  <c r="Z85" i="13"/>
  <c r="AS85" i="13"/>
  <c r="V85" i="13"/>
  <c r="AL85" i="13"/>
  <c r="Y85" i="13"/>
  <c r="AN85" i="13" s="1"/>
  <c r="BN85" i="13"/>
  <c r="AJ85" i="13"/>
  <c r="AT85" i="13"/>
  <c r="BE85" i="13" s="1"/>
  <c r="DI85" i="13"/>
  <c r="DG85" i="13"/>
  <c r="I85" i="13"/>
  <c r="AO85" i="13"/>
  <c r="AK85" i="13"/>
  <c r="DH85" i="13"/>
  <c r="AQ85" i="13"/>
  <c r="AP85" i="13"/>
  <c r="V90" i="13"/>
  <c r="Y90" i="13"/>
  <c r="Z90" i="13" s="1"/>
  <c r="L90" i="13"/>
  <c r="AS90" i="13"/>
  <c r="AT90" i="13"/>
  <c r="BX90" i="13"/>
  <c r="Z50" i="13"/>
  <c r="L50" i="13"/>
  <c r="V50" i="13"/>
  <c r="Y50" i="13"/>
  <c r="AN50" i="13" s="1"/>
  <c r="AK50" i="13"/>
  <c r="AS50" i="13"/>
  <c r="CB50" i="13"/>
  <c r="AQ50" i="13"/>
  <c r="AO50" i="13"/>
  <c r="AP50" i="13"/>
  <c r="DK50" i="13"/>
  <c r="AT50" i="13"/>
  <c r="AJ50" i="13"/>
  <c r="DJ50" i="13"/>
  <c r="I50" i="13"/>
  <c r="DL50" i="13"/>
  <c r="Y74" i="13"/>
  <c r="AN74" i="13" s="1"/>
  <c r="L74" i="13"/>
  <c r="N74" i="13" s="1"/>
  <c r="AS74" i="13"/>
  <c r="V74" i="13"/>
  <c r="AM74" i="13"/>
  <c r="DI74" i="13"/>
  <c r="I74" i="13"/>
  <c r="BT74" i="13"/>
  <c r="AT74" i="13"/>
  <c r="BE74" i="13" s="1"/>
  <c r="DG74" i="13"/>
  <c r="DH74" i="13"/>
  <c r="BM63" i="13"/>
  <c r="CL80" i="13"/>
  <c r="CK80" i="13"/>
  <c r="CM80" i="13"/>
  <c r="CG78" i="13"/>
  <c r="CH78" i="13"/>
  <c r="CI78" i="13"/>
  <c r="BS83" i="13"/>
  <c r="BR83" i="13"/>
  <c r="BS50" i="13"/>
  <c r="BR50" i="13"/>
  <c r="BY49" i="13"/>
  <c r="BZ49" i="13"/>
  <c r="CA49" i="13"/>
  <c r="BM52" i="13"/>
  <c r="BO51" i="13"/>
  <c r="BP51" i="13"/>
  <c r="AM48" i="13"/>
  <c r="CV53" i="13"/>
  <c r="CX53" i="13"/>
  <c r="CZ53" i="13"/>
  <c r="CW53" i="13"/>
  <c r="CY53" i="13"/>
  <c r="AW56" i="13"/>
  <c r="CV56" i="13"/>
  <c r="CX56" i="13"/>
  <c r="CZ56" i="13"/>
  <c r="CW56" i="13"/>
  <c r="CY56" i="13"/>
  <c r="CM62" i="13"/>
  <c r="CL62" i="13"/>
  <c r="CK62" i="13"/>
  <c r="CV62" i="13"/>
  <c r="CY62" i="13"/>
  <c r="CZ62" i="13"/>
  <c r="CW62" i="13"/>
  <c r="CX62" i="13"/>
  <c r="CK71" i="13"/>
  <c r="CL71" i="13"/>
  <c r="CM71" i="13"/>
  <c r="BM59" i="13"/>
  <c r="DG61" i="13"/>
  <c r="AG71" i="13"/>
  <c r="AH71" i="13"/>
  <c r="AC71" i="13"/>
  <c r="AD71" i="13"/>
  <c r="AE71" i="13"/>
  <c r="AF71" i="13"/>
  <c r="AI71" i="13"/>
  <c r="CK67" i="13"/>
  <c r="CM67" i="13"/>
  <c r="CL67" i="13"/>
  <c r="CI66" i="13"/>
  <c r="CH66" i="13"/>
  <c r="CG66" i="13"/>
  <c r="BR70" i="13"/>
  <c r="BS70" i="13"/>
  <c r="BR88" i="13"/>
  <c r="BS88" i="13"/>
  <c r="CG93" i="13"/>
  <c r="CH93" i="13"/>
  <c r="CI93" i="13"/>
  <c r="BU77" i="13"/>
  <c r="BW77" i="13"/>
  <c r="BV77" i="13"/>
  <c r="AL76" i="13"/>
  <c r="AJ73" i="13"/>
  <c r="AR73" i="13" s="1"/>
  <c r="W73" i="13" s="1"/>
  <c r="CL84" i="13"/>
  <c r="CK84" i="13"/>
  <c r="CM84" i="13"/>
  <c r="CL88" i="13"/>
  <c r="CM88" i="13"/>
  <c r="CK88" i="13"/>
  <c r="AQ97" i="13"/>
  <c r="BD97" i="13"/>
  <c r="AT97" i="13"/>
  <c r="DH97" i="13"/>
  <c r="AU97" i="13"/>
  <c r="DI97" i="13"/>
  <c r="AJ97" i="13"/>
  <c r="AV97" i="13"/>
  <c r="DJ97" i="13"/>
  <c r="DK97" i="13"/>
  <c r="I97" i="13"/>
  <c r="AL97" i="13"/>
  <c r="DL97" i="13"/>
  <c r="AM97" i="13"/>
  <c r="DM97" i="13"/>
  <c r="AO97" i="13"/>
  <c r="DO97" i="13"/>
  <c r="DG97" i="13"/>
  <c r="DN97" i="13"/>
  <c r="DP97" i="13"/>
  <c r="BB97" i="13"/>
  <c r="BP97" i="13"/>
  <c r="BO97" i="13"/>
  <c r="Z102" i="13"/>
  <c r="AO102" i="13"/>
  <c r="DA106" i="13"/>
  <c r="E2735" i="12" s="1"/>
  <c r="E2737" i="12" s="1"/>
  <c r="D2734" i="12" s="1"/>
  <c r="AS47" i="13"/>
  <c r="V47" i="13"/>
  <c r="Y47" i="13"/>
  <c r="Z47" i="13"/>
  <c r="L47" i="13"/>
  <c r="BE102" i="13"/>
  <c r="BC86" i="13"/>
  <c r="BE86" i="13" s="1"/>
  <c r="BS100" i="13"/>
  <c r="BR100" i="13"/>
  <c r="DL96" i="13"/>
  <c r="CK76" i="13"/>
  <c r="CM76" i="13"/>
  <c r="CL76" i="13"/>
  <c r="CW85" i="13"/>
  <c r="CV85" i="13"/>
  <c r="CX85" i="13"/>
  <c r="CZ85" i="13"/>
  <c r="CY85" i="13"/>
  <c r="CL51" i="13"/>
  <c r="CM51" i="13"/>
  <c r="CK51" i="13"/>
  <c r="CW55" i="13"/>
  <c r="CY55" i="13"/>
  <c r="CV55" i="13"/>
  <c r="CX55" i="13"/>
  <c r="CZ55" i="13"/>
  <c r="N57" i="13"/>
  <c r="AA57" i="13"/>
  <c r="N54" i="13"/>
  <c r="AA54" i="13"/>
  <c r="CC58" i="13"/>
  <c r="CE58" i="13"/>
  <c r="CD58" i="13"/>
  <c r="L61" i="13"/>
  <c r="V61" i="13"/>
  <c r="Y61" i="13"/>
  <c r="AL61" i="13" s="1"/>
  <c r="AS61" i="13"/>
  <c r="BT61" i="13"/>
  <c r="CC53" i="13"/>
  <c r="CD53" i="13"/>
  <c r="CE53" i="13"/>
  <c r="I61" i="13"/>
  <c r="I75" i="13"/>
  <c r="DL75" i="13"/>
  <c r="DM75" i="13"/>
  <c r="DO75" i="13"/>
  <c r="DG75" i="13"/>
  <c r="DH75" i="13"/>
  <c r="AU75" i="13"/>
  <c r="DI75" i="13"/>
  <c r="DP75" i="13"/>
  <c r="AV75" i="13"/>
  <c r="DK75" i="13"/>
  <c r="DJ75" i="13"/>
  <c r="DN75" i="13"/>
  <c r="AW75" i="13"/>
  <c r="CC75" i="13"/>
  <c r="CD75" i="13"/>
  <c r="CE75" i="13"/>
  <c r="CE67" i="13"/>
  <c r="CC67" i="13"/>
  <c r="CD67" i="13"/>
  <c r="BU76" i="13"/>
  <c r="BW76" i="13"/>
  <c r="BV76" i="13"/>
  <c r="BY67" i="13"/>
  <c r="CA67" i="13"/>
  <c r="BZ67" i="13"/>
  <c r="V72" i="13"/>
  <c r="Y72" i="13"/>
  <c r="Z72" i="13" s="1"/>
  <c r="L72" i="13"/>
  <c r="N72" i="13" s="1"/>
  <c r="AS72" i="13"/>
  <c r="BT72" i="13"/>
  <c r="BV80" i="13"/>
  <c r="BW80" i="13"/>
  <c r="BU80" i="13"/>
  <c r="BR93" i="13"/>
  <c r="BS93" i="13"/>
  <c r="CL78" i="13"/>
  <c r="CM78" i="13"/>
  <c r="CK78" i="13"/>
  <c r="BO78" i="13"/>
  <c r="BP78" i="13"/>
  <c r="DG70" i="13"/>
  <c r="AU70" i="13"/>
  <c r="DI70" i="13"/>
  <c r="AW70" i="13"/>
  <c r="V70" i="13" s="1"/>
  <c r="DK70" i="13"/>
  <c r="I70" i="13"/>
  <c r="DL70" i="13"/>
  <c r="DJ70" i="13"/>
  <c r="AV70" i="13"/>
  <c r="DM70" i="13"/>
  <c r="DO70" i="13"/>
  <c r="DN70" i="13"/>
  <c r="DP70" i="13"/>
  <c r="DH70" i="13"/>
  <c r="CY83" i="13"/>
  <c r="CV83" i="13"/>
  <c r="CX83" i="13"/>
  <c r="CZ83" i="13"/>
  <c r="CW83" i="13"/>
  <c r="BM73" i="13"/>
  <c r="BY84" i="13"/>
  <c r="CA84" i="13"/>
  <c r="BZ84" i="13"/>
  <c r="AZ97" i="13"/>
  <c r="AN86" i="13"/>
  <c r="AS98" i="13"/>
  <c r="CF98" i="13"/>
  <c r="Y98" i="13"/>
  <c r="Z98" i="13" s="1"/>
  <c r="L98" i="13"/>
  <c r="N98" i="13" s="1"/>
  <c r="V98" i="13"/>
  <c r="Z94" i="13"/>
  <c r="AN94" i="13"/>
  <c r="AK94" i="13"/>
  <c r="DJ46" i="13"/>
  <c r="I46" i="13"/>
  <c r="AQ45" i="13"/>
  <c r="BD45" i="13"/>
  <c r="DG45" i="13"/>
  <c r="AU45" i="13"/>
  <c r="DI45" i="13"/>
  <c r="AJ45" i="13"/>
  <c r="AV45" i="13"/>
  <c r="DJ45" i="13"/>
  <c r="AK45" i="13"/>
  <c r="DK45" i="13"/>
  <c r="I45" i="13"/>
  <c r="AL45" i="13"/>
  <c r="DL45" i="13"/>
  <c r="AM45" i="13"/>
  <c r="DM45" i="13"/>
  <c r="AO45" i="13"/>
  <c r="DO45" i="13"/>
  <c r="AN45" i="13"/>
  <c r="AP45" i="13"/>
  <c r="AT45" i="13"/>
  <c r="DH45" i="13"/>
  <c r="DN45" i="13"/>
  <c r="AZ45" i="13"/>
  <c r="DP45" i="13"/>
  <c r="BB45" i="13"/>
  <c r="AU49" i="13"/>
  <c r="DI49" i="13"/>
  <c r="DK49" i="13"/>
  <c r="DM49" i="13"/>
  <c r="DN49" i="13"/>
  <c r="DO49" i="13"/>
  <c r="DG49" i="13"/>
  <c r="AT49" i="13"/>
  <c r="DH49" i="13"/>
  <c r="BB49" i="13"/>
  <c r="DL49" i="13"/>
  <c r="BD49" i="13"/>
  <c r="I49" i="13"/>
  <c r="AV49" i="13"/>
  <c r="DJ49" i="13"/>
  <c r="DP49" i="13"/>
  <c r="Y55" i="13"/>
  <c r="AK55" i="13" s="1"/>
  <c r="L55" i="13"/>
  <c r="AS55" i="13"/>
  <c r="V55" i="13"/>
  <c r="CF55" i="13"/>
  <c r="I55" i="13"/>
  <c r="BC51" i="13"/>
  <c r="BM51" i="13"/>
  <c r="BZ51" i="13"/>
  <c r="CA51" i="13"/>
  <c r="BY51" i="13"/>
  <c r="AP57" i="13"/>
  <c r="AL48" i="13"/>
  <c r="AJ64" i="13"/>
  <c r="BP58" i="13"/>
  <c r="BO58" i="13"/>
  <c r="CD61" i="13"/>
  <c r="CC61" i="13"/>
  <c r="CE61" i="13"/>
  <c r="BP53" i="13"/>
  <c r="BO53" i="13"/>
  <c r="AO64" i="13"/>
  <c r="AT59" i="13"/>
  <c r="AM61" i="13"/>
  <c r="V63" i="13"/>
  <c r="CK60" i="13"/>
  <c r="CM60" i="13"/>
  <c r="CL60" i="13"/>
  <c r="BM65" i="13"/>
  <c r="BS67" i="13"/>
  <c r="BR67" i="13"/>
  <c r="AZ75" i="13"/>
  <c r="CH76" i="13"/>
  <c r="CI76" i="13"/>
  <c r="CG76" i="13"/>
  <c r="BR74" i="13"/>
  <c r="BS74" i="13"/>
  <c r="AE67" i="13"/>
  <c r="CH80" i="13"/>
  <c r="CI80" i="13"/>
  <c r="CG80" i="13"/>
  <c r="AM76" i="13"/>
  <c r="BR66" i="13"/>
  <c r="BS66" i="13"/>
  <c r="AQ76" i="13"/>
  <c r="BR78" i="13"/>
  <c r="BS78" i="13"/>
  <c r="BE77" i="13"/>
  <c r="AM77" i="13"/>
  <c r="AX77" i="13" s="1"/>
  <c r="AZ84" i="13"/>
  <c r="CG101" i="13"/>
  <c r="CI101" i="13"/>
  <c r="CH101" i="13"/>
  <c r="BU85" i="13"/>
  <c r="BV85" i="13"/>
  <c r="BW85" i="13"/>
  <c r="BP90" i="13"/>
  <c r="BO90" i="13"/>
  <c r="CZ97" i="13"/>
  <c r="CV97" i="13"/>
  <c r="CX97" i="13"/>
  <c r="CY97" i="13"/>
  <c r="CW97" i="13"/>
  <c r="CO109" i="13"/>
  <c r="E2380" i="12" s="1"/>
  <c r="E2382" i="12" s="1"/>
  <c r="D2379" i="12" s="1"/>
  <c r="CH47" i="13"/>
  <c r="CI47" i="13"/>
  <c r="CG47" i="13"/>
  <c r="BO100" i="13"/>
  <c r="BP100" i="13"/>
  <c r="I96" i="13"/>
  <c r="BE93" i="13"/>
  <c r="BR75" i="13"/>
  <c r="BS75" i="13"/>
  <c r="BU93" i="13"/>
  <c r="BV93" i="13"/>
  <c r="BW93" i="13"/>
  <c r="CD84" i="13"/>
  <c r="CC84" i="13"/>
  <c r="CE84" i="13"/>
  <c r="AM105" i="13"/>
  <c r="I105" i="13"/>
  <c r="AQ105" i="13"/>
  <c r="DK105" i="13"/>
  <c r="DL105" i="13"/>
  <c r="AT105" i="13"/>
  <c r="DM105" i="13"/>
  <c r="AP105" i="13"/>
  <c r="AU105" i="13"/>
  <c r="DN105" i="13"/>
  <c r="AV105" i="13"/>
  <c r="DO105" i="13"/>
  <c r="DP105" i="13"/>
  <c r="AJ105" i="13"/>
  <c r="AK105" i="13"/>
  <c r="AL105" i="13"/>
  <c r="DG105" i="13"/>
  <c r="AN105" i="13"/>
  <c r="DH105" i="13"/>
  <c r="DJ105" i="13"/>
  <c r="AO105" i="13"/>
  <c r="DI105" i="13"/>
  <c r="BM48" i="13"/>
  <c r="BU45" i="13"/>
  <c r="BV45" i="13"/>
  <c r="BW45" i="13"/>
  <c r="BM50" i="13"/>
  <c r="CL58" i="13"/>
  <c r="CK58" i="13"/>
  <c r="CM58" i="13"/>
  <c r="AW62" i="13"/>
  <c r="DK62" i="13"/>
  <c r="DM62" i="13"/>
  <c r="DP62" i="13"/>
  <c r="DG62" i="13"/>
  <c r="DH62" i="13"/>
  <c r="AU62" i="13"/>
  <c r="DI62" i="13"/>
  <c r="DN62" i="13"/>
  <c r="BD62" i="13"/>
  <c r="DO62" i="13"/>
  <c r="I62" i="13"/>
  <c r="AV62" i="13"/>
  <c r="DJ62" i="13"/>
  <c r="AC62" i="13"/>
  <c r="DL62" i="13"/>
  <c r="AK61" i="13"/>
  <c r="CZ60" i="13"/>
  <c r="CX60" i="13"/>
  <c r="CY60" i="13"/>
  <c r="CV60" i="13"/>
  <c r="CW60" i="13"/>
  <c r="CH65" i="13"/>
  <c r="CI65" i="13"/>
  <c r="CG65" i="13"/>
  <c r="BM61" i="13"/>
  <c r="DH72" i="13"/>
  <c r="AK72" i="13"/>
  <c r="BF72" i="13" s="1"/>
  <c r="AN72" i="13"/>
  <c r="DN72" i="13"/>
  <c r="DL72" i="13"/>
  <c r="DM72" i="13"/>
  <c r="AL72" i="13"/>
  <c r="DP72" i="13"/>
  <c r="AO72" i="13"/>
  <c r="AP72" i="13"/>
  <c r="AQ72" i="13"/>
  <c r="DG72" i="13"/>
  <c r="AC72" i="13"/>
  <c r="DI72" i="13"/>
  <c r="AD72" i="13"/>
  <c r="AU72" i="13"/>
  <c r="DJ72" i="13"/>
  <c r="AV72" i="13"/>
  <c r="DK72" i="13"/>
  <c r="DO72" i="13"/>
  <c r="AJ72" i="13"/>
  <c r="AE72" i="13"/>
  <c r="AM72" i="13"/>
  <c r="I72" i="13"/>
  <c r="BZ75" i="13"/>
  <c r="CA75" i="13"/>
  <c r="BY75" i="13"/>
  <c r="BO71" i="13"/>
  <c r="BP71" i="13"/>
  <c r="BA77" i="13"/>
  <c r="AD67" i="13"/>
  <c r="AJ76" i="13"/>
  <c r="CL66" i="13"/>
  <c r="CM66" i="13"/>
  <c r="CK66" i="13"/>
  <c r="AZ78" i="13"/>
  <c r="CV70" i="13"/>
  <c r="CW70" i="13"/>
  <c r="CX70" i="13"/>
  <c r="CY70" i="13"/>
  <c r="CZ70" i="13"/>
  <c r="BV83" i="13"/>
  <c r="BW83" i="13"/>
  <c r="BU83" i="13"/>
  <c r="Z79" i="13"/>
  <c r="CY89" i="13"/>
  <c r="CZ89" i="13"/>
  <c r="CW89" i="13"/>
  <c r="CV89" i="13"/>
  <c r="CX89" i="13"/>
  <c r="AP73" i="13"/>
  <c r="AU84" i="13"/>
  <c r="I84" i="13"/>
  <c r="DM84" i="13"/>
  <c r="BB84" i="13"/>
  <c r="DI84" i="13"/>
  <c r="BD84" i="13"/>
  <c r="DJ84" i="13"/>
  <c r="DL84" i="13"/>
  <c r="DN84" i="13"/>
  <c r="DO84" i="13"/>
  <c r="DP84" i="13"/>
  <c r="AT84" i="13"/>
  <c r="AV84" i="13"/>
  <c r="DG84" i="13"/>
  <c r="AK84" i="13"/>
  <c r="DH84" i="13"/>
  <c r="DK84" i="13"/>
  <c r="CL90" i="13"/>
  <c r="CK90" i="13"/>
  <c r="CM90" i="13"/>
  <c r="BS90" i="13"/>
  <c r="BR90" i="13"/>
  <c r="DG98" i="13"/>
  <c r="AU98" i="13"/>
  <c r="DI98" i="13"/>
  <c r="AV98" i="13"/>
  <c r="DJ98" i="13"/>
  <c r="DK98" i="13"/>
  <c r="I98" i="13"/>
  <c r="DL98" i="13"/>
  <c r="DM98" i="13"/>
  <c r="DN98" i="13"/>
  <c r="DP98" i="13"/>
  <c r="AT98" i="13"/>
  <c r="DH98" i="13"/>
  <c r="DO98" i="13"/>
  <c r="CL97" i="13"/>
  <c r="CK97" i="13"/>
  <c r="CM97" i="13"/>
  <c r="CD99" i="13"/>
  <c r="CE99" i="13"/>
  <c r="CC99" i="13"/>
  <c r="CN109" i="13"/>
  <c r="E2741" i="12" s="1"/>
  <c r="BV47" i="13"/>
  <c r="BW47" i="13"/>
  <c r="BU47" i="13"/>
  <c r="AL86" i="13"/>
  <c r="AM86" i="13"/>
  <c r="CC94" i="13"/>
  <c r="CD94" i="13"/>
  <c r="CE94" i="13"/>
  <c r="CW100" i="13"/>
  <c r="CX100" i="13"/>
  <c r="CY100" i="13"/>
  <c r="CV100" i="13"/>
  <c r="CZ100" i="13"/>
  <c r="CH103" i="13"/>
  <c r="CI103" i="13"/>
  <c r="CG103" i="13"/>
  <c r="DK96" i="13"/>
  <c r="BC98" i="13"/>
  <c r="Z93" i="13"/>
  <c r="CD51" i="13"/>
  <c r="CE51" i="13"/>
  <c r="CC51" i="13"/>
  <c r="CZ65" i="13"/>
  <c r="CV65" i="13"/>
  <c r="CW65" i="13"/>
  <c r="CX65" i="13"/>
  <c r="CY65" i="13"/>
  <c r="E1795" i="12"/>
  <c r="E2821" i="12"/>
  <c r="E2823" i="12" s="1"/>
  <c r="D2820" i="12" s="1"/>
  <c r="Y49" i="13"/>
  <c r="AJ49" i="13" s="1"/>
  <c r="L49" i="13"/>
  <c r="AS49" i="13"/>
  <c r="V49" i="13"/>
  <c r="V45" i="13"/>
  <c r="AT48" i="13"/>
  <c r="DK51" i="13"/>
  <c r="DM51" i="13"/>
  <c r="DO51" i="13"/>
  <c r="DP51" i="13"/>
  <c r="DG51" i="13"/>
  <c r="AU51" i="13"/>
  <c r="DI51" i="13"/>
  <c r="DH51" i="13"/>
  <c r="DL51" i="13"/>
  <c r="AT51" i="13"/>
  <c r="AV51" i="13"/>
  <c r="BD51" i="13"/>
  <c r="DJ51" i="13"/>
  <c r="I51" i="13"/>
  <c r="DN51" i="13"/>
  <c r="BZ58" i="13"/>
  <c r="CA58" i="13"/>
  <c r="BY58" i="13"/>
  <c r="BZ53" i="13"/>
  <c r="CA53" i="13"/>
  <c r="BY53" i="13"/>
  <c r="BR56" i="13"/>
  <c r="BS56" i="13"/>
  <c r="CH56" i="13"/>
  <c r="CI56" i="13"/>
  <c r="CG56" i="13"/>
  <c r="AO61" i="13"/>
  <c r="CH60" i="13"/>
  <c r="CI60" i="13"/>
  <c r="CG60" i="13"/>
  <c r="DH61" i="13"/>
  <c r="AF72" i="13"/>
  <c r="CL75" i="13"/>
  <c r="CK75" i="13"/>
  <c r="CM75" i="13"/>
  <c r="AW71" i="13"/>
  <c r="AT71" i="13" s="1"/>
  <c r="AI75" i="13"/>
  <c r="CE66" i="13"/>
  <c r="CC66" i="13"/>
  <c r="CD66" i="13"/>
  <c r="BY66" i="13"/>
  <c r="CA66" i="13"/>
  <c r="BZ66" i="13"/>
  <c r="BP82" i="13"/>
  <c r="BO82" i="13"/>
  <c r="CM83" i="13"/>
  <c r="CL83" i="13"/>
  <c r="CK83" i="13"/>
  <c r="AD74" i="13"/>
  <c r="AE74" i="13"/>
  <c r="AF74" i="13"/>
  <c r="AG74" i="13"/>
  <c r="AH74" i="13"/>
  <c r="AI74" i="13"/>
  <c r="AC74" i="13"/>
  <c r="AM81" i="13"/>
  <c r="AM79" i="13"/>
  <c r="BC81" i="13"/>
  <c r="BE81" i="13" s="1"/>
  <c r="CG85" i="13"/>
  <c r="CH85" i="13"/>
  <c r="CI85" i="13"/>
  <c r="BS97" i="13"/>
  <c r="BR97" i="13"/>
  <c r="CV98" i="13"/>
  <c r="CW98" i="13"/>
  <c r="CY98" i="13"/>
  <c r="CX98" i="13"/>
  <c r="CZ98" i="13"/>
  <c r="BR104" i="13"/>
  <c r="BS104" i="13"/>
  <c r="AZ98" i="13"/>
  <c r="BF87" i="13"/>
  <c r="BC91" i="13"/>
  <c r="BE91" i="13" s="1"/>
  <c r="CB47" i="13"/>
  <c r="CK105" i="13"/>
  <c r="CL105" i="13"/>
  <c r="CM105" i="13"/>
  <c r="BY100" i="13"/>
  <c r="BZ100" i="13"/>
  <c r="CA100" i="13"/>
  <c r="BV103" i="13"/>
  <c r="BW103" i="13"/>
  <c r="BU103" i="13"/>
  <c r="AQ93" i="13"/>
  <c r="AQ64" i="13"/>
  <c r="AN64" i="13"/>
  <c r="AR64" i="13" s="1"/>
  <c r="W64" i="13" s="1"/>
  <c r="CV46" i="13"/>
  <c r="CW46" i="13"/>
  <c r="CY46" i="13"/>
  <c r="CZ46" i="13"/>
  <c r="CX46" i="13"/>
  <c r="CU106" i="13"/>
  <c r="AH48" i="13"/>
  <c r="AD48" i="13"/>
  <c r="AF48" i="13"/>
  <c r="AE48" i="13"/>
  <c r="AG48" i="13"/>
  <c r="AI48" i="13"/>
  <c r="AC48" i="13"/>
  <c r="BY65" i="13"/>
  <c r="CA65" i="13"/>
  <c r="BZ65" i="13"/>
  <c r="CH53" i="13"/>
  <c r="CG53" i="13"/>
  <c r="CI53" i="13"/>
  <c r="BV56" i="13"/>
  <c r="BW56" i="13"/>
  <c r="BU56" i="13"/>
  <c r="Y62" i="13"/>
  <c r="AF62" i="13" s="1"/>
  <c r="AS62" i="13"/>
  <c r="L62" i="13"/>
  <c r="AP64" i="13"/>
  <c r="BP75" i="13"/>
  <c r="BO75" i="13"/>
  <c r="BY72" i="13"/>
  <c r="BZ72" i="13"/>
  <c r="CA72" i="13"/>
  <c r="BW75" i="13"/>
  <c r="BV75" i="13"/>
  <c r="BU75" i="13"/>
  <c r="CH67" i="13"/>
  <c r="CG67" i="13"/>
  <c r="CI67" i="13"/>
  <c r="CC74" i="13"/>
  <c r="CD74" i="13"/>
  <c r="CE74" i="13"/>
  <c r="BS80" i="13"/>
  <c r="BR80" i="13"/>
  <c r="BO66" i="13"/>
  <c r="BP66" i="13"/>
  <c r="CX78" i="13"/>
  <c r="CY78" i="13"/>
  <c r="CV78" i="13"/>
  <c r="CW78" i="13"/>
  <c r="CZ78" i="13"/>
  <c r="AS70" i="13"/>
  <c r="Y70" i="13"/>
  <c r="AE70" i="13" s="1"/>
  <c r="L70" i="13"/>
  <c r="N70" i="13" s="1"/>
  <c r="Z84" i="13"/>
  <c r="AS84" i="13"/>
  <c r="L84" i="13"/>
  <c r="V84" i="13"/>
  <c r="BN84" i="13"/>
  <c r="Y84" i="13"/>
  <c r="AO84" i="13" s="1"/>
  <c r="BG87" i="13"/>
  <c r="BI87" i="13" s="1"/>
  <c r="CG84" i="13"/>
  <c r="CH84" i="13"/>
  <c r="CI84" i="13"/>
  <c r="BU97" i="13"/>
  <c r="BV97" i="13"/>
  <c r="BW97" i="13"/>
  <c r="DG99" i="13"/>
  <c r="DH99" i="13"/>
  <c r="AJ99" i="13"/>
  <c r="AV99" i="13"/>
  <c r="DJ99" i="13"/>
  <c r="AK99" i="13"/>
  <c r="DK99" i="13"/>
  <c r="I99" i="13"/>
  <c r="DM99" i="13"/>
  <c r="DN99" i="13"/>
  <c r="AO99" i="13"/>
  <c r="DO99" i="13"/>
  <c r="AQ99" i="13"/>
  <c r="AP99" i="13"/>
  <c r="DI99" i="13"/>
  <c r="DL99" i="13"/>
  <c r="AU99" i="13"/>
  <c r="DP99" i="13"/>
  <c r="BP47" i="13"/>
  <c r="BO47" i="13"/>
  <c r="V105" i="13"/>
  <c r="BR103" i="13"/>
  <c r="BS103" i="13"/>
  <c r="DJ96" i="13"/>
  <c r="AO93" i="13"/>
  <c r="CD62" i="13"/>
  <c r="CE62" i="13"/>
  <c r="CC62" i="13"/>
  <c r="L67" i="13"/>
  <c r="N67" i="13" s="1"/>
  <c r="Y67" i="13"/>
  <c r="Z67" i="13" s="1"/>
  <c r="AS67" i="13"/>
  <c r="AU101" i="13"/>
  <c r="DI101" i="13"/>
  <c r="AJ101" i="13"/>
  <c r="AV101" i="13"/>
  <c r="DJ101" i="13"/>
  <c r="I101" i="13"/>
  <c r="AL101" i="13"/>
  <c r="DL101" i="13"/>
  <c r="AM101" i="13"/>
  <c r="DM101" i="13"/>
  <c r="DO101" i="13"/>
  <c r="AP101" i="13"/>
  <c r="DP101" i="13"/>
  <c r="AQ101" i="13"/>
  <c r="DG101" i="13"/>
  <c r="AK101" i="13"/>
  <c r="AN101" i="13"/>
  <c r="AT101" i="13"/>
  <c r="AZ101" i="13"/>
  <c r="DH101" i="13"/>
  <c r="DK101" i="13"/>
  <c r="DN101" i="13"/>
  <c r="BR47" i="13"/>
  <c r="BS47" i="13"/>
  <c r="DL46" i="13"/>
  <c r="CH49" i="13"/>
  <c r="CI49" i="13"/>
  <c r="CG49" i="13"/>
  <c r="BV55" i="13"/>
  <c r="BU55" i="13"/>
  <c r="BW55" i="13"/>
  <c r="Y51" i="13"/>
  <c r="Z51" i="13" s="1"/>
  <c r="AS51" i="13"/>
  <c r="V51" i="13"/>
  <c r="L51" i="13"/>
  <c r="AJ48" i="13"/>
  <c r="AU58" i="13"/>
  <c r="DI58" i="13"/>
  <c r="DM58" i="13"/>
  <c r="DO58" i="13"/>
  <c r="DH58" i="13"/>
  <c r="BD58" i="13"/>
  <c r="DK58" i="13"/>
  <c r="DP58" i="13"/>
  <c r="AT58" i="13"/>
  <c r="AV58" i="13"/>
  <c r="AW58" i="13"/>
  <c r="DN58" i="13"/>
  <c r="I58" i="13"/>
  <c r="AH58" i="13"/>
  <c r="DG58" i="13"/>
  <c r="DJ58" i="13"/>
  <c r="BB58" i="13"/>
  <c r="BC58" i="13" s="1"/>
  <c r="DL58" i="13"/>
  <c r="BV53" i="13"/>
  <c r="BU53" i="13"/>
  <c r="BW53" i="13"/>
  <c r="AM53" i="13"/>
  <c r="AO53" i="13"/>
  <c r="DO53" i="13"/>
  <c r="AQ53" i="13"/>
  <c r="BD53" i="13"/>
  <c r="DG53" i="13"/>
  <c r="AU53" i="13"/>
  <c r="DI53" i="13"/>
  <c r="AK53" i="13"/>
  <c r="AW53" i="13"/>
  <c r="DK53" i="13"/>
  <c r="DP53" i="13"/>
  <c r="I53" i="13"/>
  <c r="AJ53" i="13"/>
  <c r="AN53" i="13"/>
  <c r="AP53" i="13"/>
  <c r="DJ53" i="13"/>
  <c r="BB53" i="13"/>
  <c r="BC53" i="13" s="1"/>
  <c r="DM53" i="13"/>
  <c r="AV53" i="13"/>
  <c r="DN53" i="13"/>
  <c r="DH53" i="13"/>
  <c r="DL53" i="13"/>
  <c r="AL53" i="13"/>
  <c r="CD56" i="13"/>
  <c r="CC56" i="13"/>
  <c r="CE56" i="13"/>
  <c r="CH62" i="13"/>
  <c r="CG62" i="13"/>
  <c r="CI62" i="13"/>
  <c r="AG58" i="13"/>
  <c r="BC60" i="13"/>
  <c r="BM60" i="13"/>
  <c r="AI62" i="13"/>
  <c r="Z64" i="13"/>
  <c r="AD56" i="13"/>
  <c r="AH72" i="13"/>
  <c r="L59" i="13"/>
  <c r="V59" i="13"/>
  <c r="Y59" i="13"/>
  <c r="AM59" i="13" s="1"/>
  <c r="Z59" i="13"/>
  <c r="AS59" i="13"/>
  <c r="CI75" i="13"/>
  <c r="CG75" i="13"/>
  <c r="CH75" i="13"/>
  <c r="BV67" i="13"/>
  <c r="BU67" i="13"/>
  <c r="BW67" i="13"/>
  <c r="CW74" i="13"/>
  <c r="CY74" i="13"/>
  <c r="CZ74" i="13"/>
  <c r="CX74" i="13"/>
  <c r="CV74" i="13"/>
  <c r="I66" i="13"/>
  <c r="AL66" i="13"/>
  <c r="DL66" i="13"/>
  <c r="AM66" i="13"/>
  <c r="DM66" i="13"/>
  <c r="AN66" i="13"/>
  <c r="DN66" i="13"/>
  <c r="DO66" i="13"/>
  <c r="AQ66" i="13"/>
  <c r="AT66" i="13"/>
  <c r="BE66" i="13" s="1"/>
  <c r="AV66" i="13"/>
  <c r="DH66" i="13"/>
  <c r="DI66" i="13"/>
  <c r="AK66" i="13"/>
  <c r="DJ66" i="13"/>
  <c r="DP66" i="13"/>
  <c r="AU66" i="13"/>
  <c r="AP66" i="13"/>
  <c r="DG66" i="13"/>
  <c r="DK66" i="13"/>
  <c r="AJ66" i="13"/>
  <c r="CD82" i="13"/>
  <c r="CE82" i="13"/>
  <c r="CC82" i="13"/>
  <c r="AS82" i="13"/>
  <c r="V82" i="13"/>
  <c r="Y82" i="13"/>
  <c r="L82" i="13"/>
  <c r="N82" i="13" s="1"/>
  <c r="BX82" i="13"/>
  <c r="DL82" i="13"/>
  <c r="Z82" i="13"/>
  <c r="AC70" i="13"/>
  <c r="Z81" i="13"/>
  <c r="AL79" i="13"/>
  <c r="DJ82" i="13"/>
  <c r="AN73" i="13"/>
  <c r="AO73" i="13"/>
  <c r="BW84" i="13"/>
  <c r="BU84" i="13"/>
  <c r="BV84" i="13"/>
  <c r="AR87" i="13"/>
  <c r="W87" i="13" s="1"/>
  <c r="CG97" i="13"/>
  <c r="CH97" i="13"/>
  <c r="CI97" i="13"/>
  <c r="N89" i="13"/>
  <c r="AA89" i="13"/>
  <c r="AQ90" i="13"/>
  <c r="DH90" i="13"/>
  <c r="AU90" i="13"/>
  <c r="DI90" i="13"/>
  <c r="AK90" i="13"/>
  <c r="DK90" i="13"/>
  <c r="I90" i="13"/>
  <c r="AL90" i="13"/>
  <c r="AM90" i="13"/>
  <c r="DM90" i="13"/>
  <c r="AO90" i="13"/>
  <c r="DO90" i="13"/>
  <c r="DP90" i="13"/>
  <c r="AJ90" i="13"/>
  <c r="AN90" i="13"/>
  <c r="AP90" i="13"/>
  <c r="AV90" i="13"/>
  <c r="DG90" i="13"/>
  <c r="DJ90" i="13"/>
  <c r="DL90" i="13"/>
  <c r="DN90" i="13"/>
  <c r="BB90" i="13"/>
  <c r="CC90" i="13"/>
  <c r="CE90" i="13"/>
  <c r="CD90" i="13"/>
  <c r="AZ99" i="13"/>
  <c r="CL47" i="13"/>
  <c r="CM47" i="13"/>
  <c r="CK47" i="13"/>
  <c r="AK86" i="13"/>
  <c r="AP94" i="13"/>
  <c r="V101" i="13"/>
  <c r="AC61" i="13"/>
  <c r="AE61" i="13"/>
  <c r="AH61" i="13"/>
  <c r="AI61" i="13"/>
  <c r="AD61" i="13"/>
  <c r="AG61" i="13"/>
  <c r="AF61" i="13"/>
  <c r="CK72" i="13"/>
  <c r="CL72" i="13"/>
  <c r="CM72" i="13"/>
  <c r="BV90" i="13"/>
  <c r="BU90" i="13"/>
  <c r="BW90" i="13"/>
  <c r="BV49" i="13"/>
  <c r="BU49" i="13"/>
  <c r="BW49" i="13"/>
  <c r="AB106" i="13"/>
  <c r="CH51" i="13"/>
  <c r="CI51" i="13"/>
  <c r="CG51" i="13"/>
  <c r="Z48" i="13"/>
  <c r="BM54" i="13"/>
  <c r="AQ55" i="13"/>
  <c r="Y58" i="13"/>
  <c r="AJ58" i="13" s="1"/>
  <c r="L58" i="13"/>
  <c r="V58" i="13"/>
  <c r="Z58" i="13"/>
  <c r="AS58" i="13"/>
  <c r="BS69" i="13"/>
  <c r="BR69" i="13"/>
  <c r="BP56" i="13"/>
  <c r="BO56" i="13"/>
  <c r="BV62" i="13"/>
  <c r="BU62" i="13"/>
  <c r="BW62" i="13"/>
  <c r="CC52" i="13"/>
  <c r="CE52" i="13"/>
  <c r="CD52" i="13"/>
  <c r="AE58" i="13"/>
  <c r="AF56" i="13"/>
  <c r="CD60" i="13"/>
  <c r="CC60" i="13"/>
  <c r="CE60" i="13"/>
  <c r="AT63" i="13"/>
  <c r="AG72" i="13"/>
  <c r="AH62" i="13"/>
  <c r="AT61" i="13"/>
  <c r="BE79" i="13"/>
  <c r="BE76" i="13"/>
  <c r="CV66" i="13"/>
  <c r="CX66" i="13"/>
  <c r="CZ66" i="13"/>
  <c r="CW66" i="13"/>
  <c r="CY66" i="13"/>
  <c r="AP79" i="13"/>
  <c r="BO86" i="13"/>
  <c r="BP86" i="13"/>
  <c r="BY70" i="13"/>
  <c r="BZ70" i="13"/>
  <c r="CA70" i="13"/>
  <c r="CH70" i="13"/>
  <c r="CI70" i="13"/>
  <c r="CG70" i="13"/>
  <c r="BU91" i="13"/>
  <c r="BV91" i="13"/>
  <c r="BW91" i="13"/>
  <c r="AT82" i="13"/>
  <c r="BE82" i="13" s="1"/>
  <c r="AH70" i="13"/>
  <c r="BU88" i="13"/>
  <c r="BV88" i="13"/>
  <c r="BW88" i="13"/>
  <c r="BR84" i="13"/>
  <c r="BS84" i="13"/>
  <c r="AM73" i="13"/>
  <c r="BD88" i="13"/>
  <c r="Z89" i="13"/>
  <c r="BY99" i="13"/>
  <c r="BZ99" i="13"/>
  <c r="CA99" i="13"/>
  <c r="BP99" i="13"/>
  <c r="BO99" i="13"/>
  <c r="BZ47" i="13"/>
  <c r="BY47" i="13"/>
  <c r="CA47" i="13"/>
  <c r="BM93" i="13"/>
  <c r="BO105" i="13"/>
  <c r="BP105" i="13"/>
  <c r="AQ94" i="13"/>
  <c r="L101" i="13"/>
  <c r="N101" i="13" s="1"/>
  <c r="AM93" i="13"/>
  <c r="BY71" i="13"/>
  <c r="CA71" i="13"/>
  <c r="BZ71" i="13"/>
  <c r="CC70" i="13"/>
  <c r="CD70" i="13"/>
  <c r="CE70" i="13"/>
  <c r="AS88" i="13"/>
  <c r="V88" i="13"/>
  <c r="Y88" i="13"/>
  <c r="Z88" i="13" s="1"/>
  <c r="L88" i="13"/>
  <c r="BR98" i="13"/>
  <c r="BS98" i="13"/>
  <c r="BO101" i="13"/>
  <c r="BP101" i="13"/>
  <c r="AS46" i="13"/>
  <c r="V46" i="13"/>
  <c r="Y46" i="13"/>
  <c r="AN46" i="13" s="1"/>
  <c r="BX46" i="13"/>
  <c r="L46" i="13"/>
  <c r="BR46" i="13"/>
  <c r="BS46" i="13"/>
  <c r="BV51" i="13"/>
  <c r="BU51" i="13"/>
  <c r="BW51" i="13"/>
  <c r="V48" i="13"/>
  <c r="AL54" i="13"/>
  <c r="BM72" i="13"/>
  <c r="AX72" i="13"/>
  <c r="N52" i="13"/>
  <c r="AA52" i="13"/>
  <c r="AC58" i="13"/>
  <c r="AE56" i="13"/>
  <c r="BA72" i="13"/>
  <c r="AG62" i="13"/>
  <c r="AM64" i="13"/>
  <c r="Z75" i="13"/>
  <c r="AS75" i="13"/>
  <c r="V75" i="13"/>
  <c r="L75" i="13"/>
  <c r="N75" i="13" s="1"/>
  <c r="Y75" i="13"/>
  <c r="AL75" i="13" s="1"/>
  <c r="CH74" i="13"/>
  <c r="CI74" i="13"/>
  <c r="CG74" i="13"/>
  <c r="AQ80" i="13"/>
  <c r="BD80" i="13"/>
  <c r="AT80" i="13"/>
  <c r="DH80" i="13"/>
  <c r="AU80" i="13"/>
  <c r="DI80" i="13"/>
  <c r="AK80" i="13"/>
  <c r="DK80" i="13"/>
  <c r="I80" i="13"/>
  <c r="AL80" i="13"/>
  <c r="DL80" i="13"/>
  <c r="AM80" i="13"/>
  <c r="DM80" i="13"/>
  <c r="AO80" i="13"/>
  <c r="DO80" i="13"/>
  <c r="DP80" i="13"/>
  <c r="AV80" i="13"/>
  <c r="BB80" i="13"/>
  <c r="AJ80" i="13"/>
  <c r="DG80" i="13"/>
  <c r="AN80" i="13"/>
  <c r="DJ80" i="13"/>
  <c r="DN80" i="13"/>
  <c r="AP80" i="13"/>
  <c r="CC78" i="13"/>
  <c r="CE78" i="13"/>
  <c r="CD78" i="13"/>
  <c r="BN70" i="13"/>
  <c r="BV70" i="13"/>
  <c r="BW70" i="13"/>
  <c r="BU70" i="13"/>
  <c r="CG91" i="13"/>
  <c r="CI91" i="13"/>
  <c r="CH91" i="13"/>
  <c r="AD70" i="13"/>
  <c r="BU81" i="13"/>
  <c r="BW81" i="13"/>
  <c r="BV81" i="13"/>
  <c r="CG88" i="13"/>
  <c r="CH88" i="13"/>
  <c r="CI88" i="13"/>
  <c r="BO79" i="13"/>
  <c r="BP79" i="13"/>
  <c r="AQ73" i="13"/>
  <c r="AL73" i="13"/>
  <c r="N87" i="13"/>
  <c r="AA87" i="13"/>
  <c r="CC85" i="13"/>
  <c r="CE85" i="13"/>
  <c r="CD85" i="13"/>
  <c r="AS99" i="13"/>
  <c r="V99" i="13"/>
  <c r="Y99" i="13"/>
  <c r="AN99" i="13" s="1"/>
  <c r="L99" i="13"/>
  <c r="N99" i="13" s="1"/>
  <c r="CF99" i="13"/>
  <c r="CK99" i="13"/>
  <c r="CL99" i="13"/>
  <c r="CM99" i="13"/>
  <c r="AO95" i="13"/>
  <c r="DO95" i="13"/>
  <c r="AP95" i="13"/>
  <c r="DP95" i="13"/>
  <c r="DG95" i="13"/>
  <c r="AT95" i="13"/>
  <c r="DH95" i="13"/>
  <c r="AU95" i="13"/>
  <c r="DI95" i="13"/>
  <c r="AJ95" i="13"/>
  <c r="AV95" i="13"/>
  <c r="DJ95" i="13"/>
  <c r="AK95" i="13"/>
  <c r="DK95" i="13"/>
  <c r="AM95" i="13"/>
  <c r="DM95" i="13"/>
  <c r="AN95" i="13"/>
  <c r="AQ95" i="13"/>
  <c r="DL95" i="13"/>
  <c r="DN95" i="13"/>
  <c r="AZ95" i="13"/>
  <c r="I95" i="13"/>
  <c r="L95" i="13"/>
  <c r="N95" i="13" s="1"/>
  <c r="AZ47" i="13"/>
  <c r="BC95" i="13"/>
  <c r="BM95" i="13"/>
  <c r="AJ86" i="13"/>
  <c r="CC105" i="13"/>
  <c r="CD105" i="13"/>
  <c r="CE105" i="13"/>
  <c r="BV100" i="13"/>
  <c r="BW100" i="13"/>
  <c r="BU100" i="13"/>
  <c r="CE103" i="13"/>
  <c r="CC103" i="13"/>
  <c r="CD103" i="13"/>
  <c r="AO94" i="13"/>
  <c r="CC93" i="13"/>
  <c r="CD93" i="13"/>
  <c r="CE93" i="13"/>
  <c r="CK49" i="13"/>
  <c r="CL49" i="13"/>
  <c r="CM49" i="13"/>
  <c r="L78" i="13"/>
  <c r="N78" i="13" s="1"/>
  <c r="V78" i="13"/>
  <c r="Y78" i="13"/>
  <c r="AS78" i="13"/>
  <c r="Z78" i="13"/>
  <c r="CD49" i="13"/>
  <c r="CE49" i="13"/>
  <c r="CC49" i="13"/>
  <c r="CG58" i="13"/>
  <c r="CH58" i="13"/>
  <c r="CI58" i="13"/>
  <c r="BZ56" i="13"/>
  <c r="BY56" i="13"/>
  <c r="CA56" i="13"/>
  <c r="AI58" i="13"/>
  <c r="DG71" i="13"/>
  <c r="DH71" i="13"/>
  <c r="AV71" i="13"/>
  <c r="DJ71" i="13"/>
  <c r="I71" i="13"/>
  <c r="AL71" i="13"/>
  <c r="AM71" i="13"/>
  <c r="DM71" i="13"/>
  <c r="AK71" i="13"/>
  <c r="DI71" i="13"/>
  <c r="AN71" i="13"/>
  <c r="DK71" i="13"/>
  <c r="AP71" i="13"/>
  <c r="DN71" i="13"/>
  <c r="DP71" i="13"/>
  <c r="AU71" i="13"/>
  <c r="AO71" i="13"/>
  <c r="AQ71" i="13"/>
  <c r="DL71" i="13"/>
  <c r="DO71" i="13"/>
  <c r="L71" i="13"/>
  <c r="N71" i="13" s="1"/>
  <c r="DI61" i="13"/>
  <c r="CH72" i="13"/>
  <c r="CG72" i="13"/>
  <c r="CI72" i="13"/>
  <c r="AE62" i="13"/>
  <c r="AF75" i="13"/>
  <c r="AG75" i="13"/>
  <c r="AH75" i="13"/>
  <c r="AM67" i="13"/>
  <c r="DH67" i="13"/>
  <c r="AU67" i="13"/>
  <c r="DI67" i="13"/>
  <c r="AJ67" i="13"/>
  <c r="AW67" i="13"/>
  <c r="AT67" i="13" s="1"/>
  <c r="DK67" i="13"/>
  <c r="AL67" i="13"/>
  <c r="DM67" i="13"/>
  <c r="AN67" i="13"/>
  <c r="DN67" i="13"/>
  <c r="AP67" i="13"/>
  <c r="DP67" i="13"/>
  <c r="I67" i="13"/>
  <c r="DG67" i="13"/>
  <c r="AK67" i="13"/>
  <c r="DJ67" i="13"/>
  <c r="AO67" i="13"/>
  <c r="DL67" i="13"/>
  <c r="AQ67" i="13"/>
  <c r="DO67" i="13"/>
  <c r="AV67" i="13"/>
  <c r="BW66" i="13"/>
  <c r="BV66" i="13"/>
  <c r="BU66" i="13"/>
  <c r="AZ80" i="13"/>
  <c r="AQ81" i="13"/>
  <c r="AK81" i="13"/>
  <c r="AO78" i="13"/>
  <c r="DO78" i="13"/>
  <c r="AP78" i="13"/>
  <c r="DP78" i="13"/>
  <c r="AU78" i="13"/>
  <c r="DI78" i="13"/>
  <c r="AT78" i="13"/>
  <c r="DL78" i="13"/>
  <c r="AV78" i="13"/>
  <c r="DM78" i="13"/>
  <c r="AK78" i="13"/>
  <c r="AL78" i="13"/>
  <c r="AM78" i="13"/>
  <c r="AN78" i="13"/>
  <c r="DG78" i="13"/>
  <c r="DJ78" i="13"/>
  <c r="AQ78" i="13"/>
  <c r="DH78" i="13"/>
  <c r="I78" i="13"/>
  <c r="DK78" i="13"/>
  <c r="DN78" i="13"/>
  <c r="AZ70" i="13"/>
  <c r="AI70" i="13"/>
  <c r="AK79" i="13"/>
  <c r="AO88" i="13"/>
  <c r="DO88" i="13"/>
  <c r="DP88" i="13"/>
  <c r="DG88" i="13"/>
  <c r="AT88" i="13"/>
  <c r="DH88" i="13"/>
  <c r="AU88" i="13"/>
  <c r="DI88" i="13"/>
  <c r="AV88" i="13"/>
  <c r="DJ88" i="13"/>
  <c r="AK88" i="13"/>
  <c r="DK88" i="13"/>
  <c r="DM88" i="13"/>
  <c r="I88" i="13"/>
  <c r="DL88" i="13"/>
  <c r="DN88" i="13"/>
  <c r="BE89" i="13"/>
  <c r="AQ102" i="13"/>
  <c r="BF102" i="13" s="1"/>
  <c r="AR102" i="13"/>
  <c r="W102" i="13" s="1"/>
  <c r="DG47" i="13"/>
  <c r="AU47" i="13"/>
  <c r="DI47" i="13"/>
  <c r="AK47" i="13"/>
  <c r="DK47" i="13"/>
  <c r="I47" i="13"/>
  <c r="AL47" i="13"/>
  <c r="DL47" i="13"/>
  <c r="AM47" i="13"/>
  <c r="DM47" i="13"/>
  <c r="AN47" i="13"/>
  <c r="AO47" i="13"/>
  <c r="DO47" i="13"/>
  <c r="AQ47" i="13"/>
  <c r="DJ47" i="13"/>
  <c r="BD47" i="13"/>
  <c r="DP47" i="13"/>
  <c r="AJ47" i="13"/>
  <c r="AV47" i="13"/>
  <c r="AP47" i="13"/>
  <c r="DH47" i="13"/>
  <c r="AT47" i="13"/>
  <c r="DN47" i="13"/>
  <c r="BB47" i="13"/>
  <c r="AA86" i="13"/>
  <c r="N86" i="13"/>
  <c r="AO86" i="13"/>
  <c r="AS96" i="13"/>
  <c r="V96" i="13"/>
  <c r="CF96" i="13"/>
  <c r="Y96" i="13"/>
  <c r="Z96" i="13" s="1"/>
  <c r="L96" i="13"/>
  <c r="N96" i="13" s="1"/>
  <c r="BP103" i="13"/>
  <c r="BO103" i="13"/>
  <c r="AM94" i="13"/>
  <c r="BY105" i="13"/>
  <c r="BZ105" i="13"/>
  <c r="CA105" i="13"/>
  <c r="CL101" i="13"/>
  <c r="CM101" i="13"/>
  <c r="CK101" i="13"/>
  <c r="AL93" i="13"/>
  <c r="BF93" i="13" s="1"/>
  <c r="BS52" i="13"/>
  <c r="BR52" i="13"/>
  <c r="DG56" i="13"/>
  <c r="AU56" i="13"/>
  <c r="DI56" i="13"/>
  <c r="AK56" i="13"/>
  <c r="DK56" i="13"/>
  <c r="I56" i="13"/>
  <c r="AL56" i="13"/>
  <c r="DL56" i="13"/>
  <c r="AM56" i="13"/>
  <c r="DM56" i="13"/>
  <c r="AO56" i="13"/>
  <c r="DO56" i="13"/>
  <c r="AQ56" i="13"/>
  <c r="BD56" i="13"/>
  <c r="DP56" i="13"/>
  <c r="AN56" i="13"/>
  <c r="AP56" i="13"/>
  <c r="AT56" i="13"/>
  <c r="AV56" i="13"/>
  <c r="DH56" i="13"/>
  <c r="DJ56" i="13"/>
  <c r="BB56" i="13"/>
  <c r="BC56" i="13" s="1"/>
  <c r="AH56" i="13"/>
  <c r="AJ56" i="13"/>
  <c r="DN56" i="13"/>
  <c r="N79" i="13"/>
  <c r="AA79" i="13"/>
  <c r="DK46" i="13"/>
  <c r="BO50" i="13"/>
  <c r="BP50" i="13"/>
  <c r="BP49" i="13"/>
  <c r="BO49" i="13"/>
  <c r="CW57" i="13"/>
  <c r="CY57" i="13"/>
  <c r="CV57" i="13"/>
  <c r="CX57" i="13"/>
  <c r="CZ57" i="13"/>
  <c r="DL55" i="13"/>
  <c r="AN48" i="13"/>
  <c r="BA48" i="13" s="1"/>
  <c r="AD53" i="13"/>
  <c r="AO57" i="13"/>
  <c r="BV58" i="13"/>
  <c r="BU58" i="13"/>
  <c r="BW58" i="13"/>
  <c r="BR53" i="13"/>
  <c r="BS53" i="13"/>
  <c r="BM55" i="13"/>
  <c r="AH53" i="13"/>
  <c r="AZ71" i="13"/>
  <c r="AI56" i="13"/>
  <c r="AP61" i="13"/>
  <c r="BY76" i="13"/>
  <c r="CA76" i="13"/>
  <c r="BZ76" i="13"/>
  <c r="AD62" i="13"/>
  <c r="AL64" i="13"/>
  <c r="AT75" i="13"/>
  <c r="BE75" i="13" s="1"/>
  <c r="AP76" i="13"/>
  <c r="BF76" i="13" s="1"/>
  <c r="CZ80" i="13"/>
  <c r="CV80" i="13"/>
  <c r="CX80" i="13"/>
  <c r="CW80" i="13"/>
  <c r="CY80" i="13"/>
  <c r="BZ80" i="13"/>
  <c r="CA80" i="13"/>
  <c r="BY80" i="13"/>
  <c r="BR91" i="13"/>
  <c r="BS91" i="13"/>
  <c r="BZ78" i="13"/>
  <c r="CA78" i="13"/>
  <c r="BY78" i="13"/>
  <c r="AG70" i="13"/>
  <c r="AZ88" i="13"/>
  <c r="CK85" i="13"/>
  <c r="CM85" i="13"/>
  <c r="CL85" i="13"/>
  <c r="AX102" i="13"/>
  <c r="CH90" i="13"/>
  <c r="CI90" i="13"/>
  <c r="CG90" i="13"/>
  <c r="CV47" i="13"/>
  <c r="CX47" i="13"/>
  <c r="CZ47" i="13"/>
  <c r="CW47" i="13"/>
  <c r="CY47" i="13"/>
  <c r="Z86" i="13"/>
  <c r="BY91" i="13"/>
  <c r="CA91" i="13"/>
  <c r="BZ91" i="13"/>
  <c r="BZ103" i="13"/>
  <c r="BY103" i="13"/>
  <c r="CA103" i="13"/>
  <c r="CX103" i="13"/>
  <c r="CZ103" i="13"/>
  <c r="CV103" i="13"/>
  <c r="CW103" i="13"/>
  <c r="CY103" i="13"/>
  <c r="AJ94" i="13"/>
  <c r="AX94" i="13" s="1"/>
  <c r="AZ105" i="13"/>
  <c r="I2692" i="12"/>
  <c r="I2712" i="12" s="1"/>
  <c r="E2712" i="12"/>
  <c r="N2810" i="12"/>
  <c r="N2812" i="12" s="1"/>
  <c r="D2807" i="12" s="1"/>
  <c r="M2816" i="12"/>
  <c r="K2816" i="12" s="1"/>
  <c r="K2818" i="12" s="1"/>
  <c r="D2813" i="12" s="1"/>
  <c r="B3493" i="12"/>
  <c r="B3564" i="12" s="1"/>
  <c r="B3813" i="12"/>
  <c r="K2062" i="12"/>
  <c r="K2065" i="12" s="1"/>
  <c r="D2059" i="12" s="1"/>
  <c r="E2069" i="12"/>
  <c r="B3326" i="12"/>
  <c r="B3788" i="12" s="1"/>
  <c r="B3717" i="12"/>
  <c r="B3277" i="12"/>
  <c r="B3739" i="12" s="1"/>
  <c r="B3668" i="12"/>
  <c r="M2869" i="12"/>
  <c r="O2876" i="12"/>
  <c r="B3331" i="12"/>
  <c r="B3793" i="12" s="1"/>
  <c r="B3722" i="12"/>
  <c r="B3514" i="12"/>
  <c r="B3585" i="12" s="1"/>
  <c r="B3834" i="12"/>
  <c r="B3308" i="12"/>
  <c r="B3770" i="12" s="1"/>
  <c r="B3699" i="12"/>
  <c r="B3290" i="12"/>
  <c r="B3752" i="12" s="1"/>
  <c r="B3681" i="12"/>
  <c r="B3295" i="12"/>
  <c r="B3757" i="12" s="1"/>
  <c r="B3686" i="12"/>
  <c r="B3720" i="12"/>
  <c r="B3329" i="12"/>
  <c r="B3791" i="12" s="1"/>
  <c r="E2697" i="12"/>
  <c r="E2717" i="12" s="1"/>
  <c r="F2677" i="12"/>
  <c r="F2697" i="12"/>
  <c r="F2717" i="12" s="1"/>
  <c r="F2716" i="12"/>
  <c r="E2677" i="12"/>
  <c r="B3496" i="12"/>
  <c r="B3567" i="12" s="1"/>
  <c r="B3816" i="12"/>
  <c r="B3550" i="12"/>
  <c r="B3621" i="12" s="1"/>
  <c r="B3870" i="12"/>
  <c r="B3520" i="12"/>
  <c r="B3591" i="12" s="1"/>
  <c r="B3840" i="12"/>
  <c r="B3301" i="12"/>
  <c r="B3763" i="12" s="1"/>
  <c r="B3692" i="12"/>
  <c r="D2795" i="12"/>
  <c r="O2803" i="12"/>
  <c r="O3553" i="12"/>
  <c r="G3624" i="12"/>
  <c r="O3624" i="12" s="1"/>
  <c r="B3490" i="12"/>
  <c r="B3561" i="12" s="1"/>
  <c r="B3810" i="12"/>
  <c r="K2070" i="12"/>
  <c r="G3410" i="12"/>
  <c r="O3410" i="12" s="1"/>
  <c r="G3552" i="12"/>
  <c r="G3481" i="12"/>
  <c r="O3481" i="12" s="1"/>
  <c r="O3872" i="12" s="1"/>
  <c r="K3872" i="12" s="1"/>
  <c r="B3511" i="12"/>
  <c r="B3582" i="12" s="1"/>
  <c r="B3831" i="12"/>
  <c r="G3429" i="12"/>
  <c r="O3429" i="12" s="1"/>
  <c r="O3820" i="12" s="1"/>
  <c r="K3820" i="12" s="1"/>
  <c r="G3500" i="12"/>
  <c r="G3358" i="12"/>
  <c r="O3358" i="12" s="1"/>
  <c r="B3283" i="12"/>
  <c r="B3745" i="12" s="1"/>
  <c r="B3674" i="12"/>
  <c r="B2952" i="12"/>
  <c r="B2964" i="12"/>
  <c r="B3013" i="12"/>
  <c r="B2063" i="12" s="1"/>
  <c r="B2070" i="12" s="1"/>
  <c r="B3337" i="12"/>
  <c r="B3799" i="12" s="1"/>
  <c r="B3728" i="12"/>
  <c r="B3307" i="12"/>
  <c r="B3769" i="12" s="1"/>
  <c r="B3698" i="12"/>
  <c r="E1984" i="12"/>
  <c r="B3544" i="12"/>
  <c r="B3615" i="12" s="1"/>
  <c r="B3864" i="12"/>
  <c r="O2668" i="12"/>
  <c r="M2669" i="12"/>
  <c r="O2669" i="12" s="1"/>
  <c r="G3465" i="12"/>
  <c r="O3465" i="12" s="1"/>
  <c r="O3856" i="12" s="1"/>
  <c r="K3856" i="12" s="1"/>
  <c r="G3394" i="12"/>
  <c r="O3394" i="12" s="1"/>
  <c r="G3536" i="12"/>
  <c r="D2789" i="12"/>
  <c r="O2802" i="12"/>
  <c r="B3833" i="12"/>
  <c r="B3513" i="12"/>
  <c r="B3584" i="12" s="1"/>
  <c r="G3480" i="12"/>
  <c r="O3480" i="12" s="1"/>
  <c r="O3871" i="12" s="1"/>
  <c r="K3871" i="12" s="1"/>
  <c r="G3409" i="12"/>
  <c r="O3409" i="12" s="1"/>
  <c r="G3551" i="12"/>
  <c r="G3354" i="12"/>
  <c r="O3354" i="12" s="1"/>
  <c r="G3425" i="12"/>
  <c r="O3425" i="12" s="1"/>
  <c r="O3816" i="12" s="1"/>
  <c r="K3816" i="12" s="1"/>
  <c r="G3188" i="12"/>
  <c r="D3119" i="12" s="1"/>
  <c r="G3496" i="12"/>
  <c r="B3532" i="12"/>
  <c r="B3603" i="12" s="1"/>
  <c r="B3852" i="12"/>
  <c r="G3447" i="12"/>
  <c r="O3447" i="12" s="1"/>
  <c r="O3838" i="12" s="1"/>
  <c r="K3838" i="12" s="1"/>
  <c r="G3376" i="12"/>
  <c r="O3376" i="12" s="1"/>
  <c r="G3518" i="12"/>
  <c r="M2707" i="12"/>
  <c r="N2707" i="12" s="1"/>
  <c r="M2688" i="12"/>
  <c r="O2687" i="12"/>
  <c r="K2984" i="12"/>
  <c r="K2986" i="12" s="1"/>
  <c r="K2988" i="12" s="1"/>
  <c r="D2983" i="12" s="1"/>
  <c r="K2982" i="12"/>
  <c r="D2973" i="12" s="1"/>
  <c r="B3319" i="12"/>
  <c r="B3781" i="12" s="1"/>
  <c r="B3710" i="12"/>
  <c r="B3535" i="12"/>
  <c r="B3606" i="12" s="1"/>
  <c r="B3855" i="12"/>
  <c r="K2068" i="12"/>
  <c r="B2702" i="12"/>
  <c r="B2727" i="12"/>
  <c r="B3547" i="12"/>
  <c r="B3618" i="12" s="1"/>
  <c r="B3867" i="12"/>
  <c r="B3523" i="12"/>
  <c r="B3594" i="12" s="1"/>
  <c r="B3843" i="12"/>
  <c r="B3505" i="12"/>
  <c r="B3576" i="12" s="1"/>
  <c r="B3825" i="12"/>
  <c r="D1913" i="12"/>
  <c r="O1920" i="12"/>
  <c r="E2702" i="12"/>
  <c r="E2683" i="12"/>
  <c r="G3390" i="12"/>
  <c r="O3390" i="12" s="1"/>
  <c r="G3532" i="12"/>
  <c r="G3461" i="12"/>
  <c r="O3461" i="12" s="1"/>
  <c r="O3852" i="12" s="1"/>
  <c r="K3852" i="12" s="1"/>
  <c r="I2696" i="12"/>
  <c r="E2716" i="12"/>
  <c r="N3195" i="12"/>
  <c r="O3195" i="12" s="1"/>
  <c r="O3198" i="12" s="1"/>
  <c r="N3044" i="12"/>
  <c r="B3502" i="12"/>
  <c r="B3573" i="12" s="1"/>
  <c r="B3822" i="12"/>
  <c r="B2969" i="12"/>
  <c r="B2977" i="12" s="1"/>
  <c r="B2992" i="12"/>
  <c r="B2957" i="12"/>
  <c r="B2999" i="12" s="1"/>
  <c r="B3538" i="12"/>
  <c r="B3609" i="12" s="1"/>
  <c r="B3858" i="12"/>
  <c r="O3594" i="12"/>
  <c r="B3289" i="12"/>
  <c r="B3751" i="12" s="1"/>
  <c r="B3680" i="12"/>
  <c r="O3529" i="12"/>
  <c r="O3541" i="12"/>
  <c r="G3612" i="12"/>
  <c r="O3612" i="12" s="1"/>
  <c r="B3325" i="12"/>
  <c r="B3787" i="12" s="1"/>
  <c r="B3716" i="12"/>
  <c r="B3508" i="12"/>
  <c r="B3579" i="12" s="1"/>
  <c r="B3828" i="12"/>
  <c r="O3517" i="12" l="1"/>
  <c r="I2713" i="12"/>
  <c r="M2868" i="12"/>
  <c r="M2871" i="12" s="1"/>
  <c r="D2865" i="12" s="1"/>
  <c r="O3510" i="12"/>
  <c r="G3578" i="12"/>
  <c r="O3578" i="12" s="1"/>
  <c r="O3507" i="12"/>
  <c r="O3489" i="12"/>
  <c r="M2685" i="12"/>
  <c r="M2662" i="12"/>
  <c r="N2662" i="12" s="1"/>
  <c r="O2806" i="12"/>
  <c r="D2801" i="12" s="1"/>
  <c r="O3503" i="12"/>
  <c r="O3502" i="12"/>
  <c r="G3566" i="12"/>
  <c r="O3566" i="12" s="1"/>
  <c r="O3495" i="12"/>
  <c r="I2717" i="12"/>
  <c r="G3587" i="12"/>
  <c r="O3587" i="12" s="1"/>
  <c r="O3516" i="12"/>
  <c r="O3504" i="12"/>
  <c r="G3575" i="12"/>
  <c r="O3575" i="12" s="1"/>
  <c r="G3609" i="12"/>
  <c r="O3609" i="12" s="1"/>
  <c r="O3538" i="12"/>
  <c r="V194" i="15"/>
  <c r="AM210" i="15"/>
  <c r="BZ97" i="15"/>
  <c r="BY220" i="15"/>
  <c r="CO220" i="15" s="1"/>
  <c r="CB210" i="15"/>
  <c r="AM194" i="15"/>
  <c r="V210" i="15"/>
  <c r="I220" i="15"/>
  <c r="J220" i="15" s="1"/>
  <c r="I210" i="15"/>
  <c r="BQ210" i="15" s="1"/>
  <c r="BY97" i="15"/>
  <c r="AT210" i="15"/>
  <c r="BD210" i="15" s="1"/>
  <c r="AT194" i="15"/>
  <c r="AU194" i="15" s="1"/>
  <c r="Y169" i="15"/>
  <c r="BZ210" i="15"/>
  <c r="CB97" i="15"/>
  <c r="CB220" i="15"/>
  <c r="AN194" i="15"/>
  <c r="BD172" i="15"/>
  <c r="AR194" i="15"/>
  <c r="BY203" i="15"/>
  <c r="BY126" i="15"/>
  <c r="I126" i="15"/>
  <c r="Y126" i="15" s="1"/>
  <c r="BZ172" i="15"/>
  <c r="BY172" i="15"/>
  <c r="CO172" i="15" s="1"/>
  <c r="AL195" i="15"/>
  <c r="BR195" i="15"/>
  <c r="J195" i="15"/>
  <c r="I119" i="15"/>
  <c r="Y119" i="15" s="1"/>
  <c r="AD119" i="15" s="1"/>
  <c r="BZ196" i="15"/>
  <c r="BY196" i="15"/>
  <c r="CO196" i="15" s="1"/>
  <c r="Y154" i="15"/>
  <c r="J154" i="15"/>
  <c r="BY149" i="15"/>
  <c r="CO149" i="15" s="1"/>
  <c r="CB203" i="15"/>
  <c r="I174" i="15"/>
  <c r="AV212" i="15"/>
  <c r="I200" i="15"/>
  <c r="BZ177" i="15"/>
  <c r="I203" i="15"/>
  <c r="J203" i="15" s="1"/>
  <c r="CB174" i="15"/>
  <c r="AT212" i="15"/>
  <c r="AU212" i="15" s="1"/>
  <c r="CB154" i="15"/>
  <c r="I96" i="15"/>
  <c r="BQ96" i="15" s="1"/>
  <c r="AM183" i="15"/>
  <c r="CB96" i="15"/>
  <c r="AM119" i="15"/>
  <c r="AL154" i="15"/>
  <c r="CB99" i="15"/>
  <c r="V119" i="15"/>
  <c r="AO119" i="15"/>
  <c r="BY99" i="15"/>
  <c r="AN119" i="15"/>
  <c r="CB200" i="15"/>
  <c r="AO98" i="15"/>
  <c r="AL98" i="15" s="1"/>
  <c r="BZ200" i="15"/>
  <c r="CB90" i="15"/>
  <c r="BY96" i="15"/>
  <c r="CO96" i="15" s="1"/>
  <c r="BY90" i="15"/>
  <c r="CB113" i="15"/>
  <c r="CB212" i="15"/>
  <c r="BY113" i="15"/>
  <c r="BZ212" i="15"/>
  <c r="BY212" i="15"/>
  <c r="CO212" i="15" s="1"/>
  <c r="AV149" i="15"/>
  <c r="BZ120" i="15"/>
  <c r="CD120" i="15" s="1"/>
  <c r="BZ178" i="15"/>
  <c r="BY120" i="15"/>
  <c r="CO120" i="15" s="1"/>
  <c r="I120" i="15"/>
  <c r="AT177" i="15"/>
  <c r="V177" i="15"/>
  <c r="AN177" i="15"/>
  <c r="AM177" i="15"/>
  <c r="I155" i="15"/>
  <c r="Y155" i="15" s="1"/>
  <c r="CA155" i="15" s="1"/>
  <c r="CO155" i="15" s="1"/>
  <c r="Y93" i="15"/>
  <c r="Z93" i="15" s="1"/>
  <c r="AA93" i="15" s="1"/>
  <c r="AT126" i="15"/>
  <c r="AU126" i="15" s="1"/>
  <c r="AV126" i="15"/>
  <c r="AN126" i="15"/>
  <c r="AM126" i="15"/>
  <c r="V126" i="15"/>
  <c r="AD126" i="15" s="1"/>
  <c r="AR126" i="15"/>
  <c r="I170" i="15"/>
  <c r="BY170" i="15"/>
  <c r="BY178" i="15"/>
  <c r="CO178" i="15" s="1"/>
  <c r="I178" i="15"/>
  <c r="CB157" i="15"/>
  <c r="AV119" i="15"/>
  <c r="BY157" i="15"/>
  <c r="AT119" i="15"/>
  <c r="AU119" i="15" s="1"/>
  <c r="J177" i="15"/>
  <c r="BQ177" i="15"/>
  <c r="V165" i="15"/>
  <c r="AT183" i="15"/>
  <c r="AU183" i="15" s="1"/>
  <c r="BZ121" i="15"/>
  <c r="AN165" i="15"/>
  <c r="CB121" i="15"/>
  <c r="AN179" i="15"/>
  <c r="AM165" i="15"/>
  <c r="BY121" i="15"/>
  <c r="CO121" i="15" s="1"/>
  <c r="V179" i="15"/>
  <c r="CB177" i="15"/>
  <c r="AM179" i="15"/>
  <c r="BY177" i="15"/>
  <c r="CO177" i="15" s="1"/>
  <c r="AT165" i="15"/>
  <c r="AU165" i="15" s="1"/>
  <c r="AV165" i="15"/>
  <c r="AV183" i="15"/>
  <c r="AV179" i="15"/>
  <c r="CB207" i="15"/>
  <c r="AN183" i="15"/>
  <c r="AT179" i="15"/>
  <c r="AU179" i="15" s="1"/>
  <c r="I207" i="15"/>
  <c r="AI207" i="15" s="1"/>
  <c r="BY119" i="15"/>
  <c r="V183" i="15"/>
  <c r="CB136" i="15"/>
  <c r="CB145" i="15"/>
  <c r="BY145" i="15"/>
  <c r="CO145" i="15" s="1"/>
  <c r="AR169" i="15"/>
  <c r="AV164" i="15"/>
  <c r="J132" i="15"/>
  <c r="AT164" i="15"/>
  <c r="AU164" i="15" s="1"/>
  <c r="I130" i="15"/>
  <c r="AO164" i="15"/>
  <c r="AL164" i="15" s="1"/>
  <c r="BQ132" i="15"/>
  <c r="BZ109" i="15"/>
  <c r="AO103" i="15"/>
  <c r="AL103" i="15" s="1"/>
  <c r="BD100" i="15"/>
  <c r="CB107" i="15"/>
  <c r="AU192" i="15"/>
  <c r="BD207" i="15"/>
  <c r="AR177" i="15"/>
  <c r="BR105" i="15"/>
  <c r="AL105" i="15"/>
  <c r="J105" i="15"/>
  <c r="BS105" i="15"/>
  <c r="BY93" i="15"/>
  <c r="CB93" i="15"/>
  <c r="CB130" i="15"/>
  <c r="BZ145" i="15"/>
  <c r="AO189" i="15"/>
  <c r="CB155" i="15"/>
  <c r="CB109" i="15"/>
  <c r="I109" i="15"/>
  <c r="AL109" i="15" s="1"/>
  <c r="BY104" i="15"/>
  <c r="I104" i="15"/>
  <c r="BR104" i="15" s="1"/>
  <c r="I159" i="15"/>
  <c r="CB159" i="15"/>
  <c r="BZ159" i="15"/>
  <c r="BQ154" i="15"/>
  <c r="BS154" i="15"/>
  <c r="BD137" i="15"/>
  <c r="BZ204" i="15"/>
  <c r="I146" i="15"/>
  <c r="BS146" i="15" s="1"/>
  <c r="AV208" i="15"/>
  <c r="BY204" i="15"/>
  <c r="CO204" i="15" s="1"/>
  <c r="BS135" i="15"/>
  <c r="AV166" i="15"/>
  <c r="AT166" i="15"/>
  <c r="I198" i="15"/>
  <c r="BS198" i="15" s="1"/>
  <c r="CB216" i="15"/>
  <c r="CB198" i="15"/>
  <c r="I216" i="15"/>
  <c r="J216" i="15" s="1"/>
  <c r="BZ216" i="15"/>
  <c r="BZ146" i="15"/>
  <c r="V166" i="15"/>
  <c r="CB204" i="15"/>
  <c r="BY146" i="15"/>
  <c r="CO146" i="15" s="1"/>
  <c r="AN166" i="15"/>
  <c r="AM166" i="15"/>
  <c r="AR103" i="15"/>
  <c r="J103" i="15"/>
  <c r="AT103" i="15"/>
  <c r="AU103" i="15" s="1"/>
  <c r="V103" i="15"/>
  <c r="AE103" i="15" s="1"/>
  <c r="CB180" i="15"/>
  <c r="BS103" i="15"/>
  <c r="BR103" i="15"/>
  <c r="BQ103" i="15"/>
  <c r="AN103" i="15"/>
  <c r="AM103" i="15"/>
  <c r="AL107" i="15"/>
  <c r="BY180" i="15"/>
  <c r="CO180" i="15" s="1"/>
  <c r="J155" i="15"/>
  <c r="AL155" i="15"/>
  <c r="AW155" i="15" s="1"/>
  <c r="BS113" i="15"/>
  <c r="BQ155" i="15"/>
  <c r="BR113" i="15"/>
  <c r="BS155" i="15"/>
  <c r="BR155" i="15"/>
  <c r="BZ138" i="15"/>
  <c r="CD138" i="15" s="1"/>
  <c r="BR107" i="15"/>
  <c r="BQ113" i="15"/>
  <c r="J107" i="15"/>
  <c r="BD203" i="15"/>
  <c r="BS107" i="15"/>
  <c r="J113" i="15"/>
  <c r="I180" i="15"/>
  <c r="AK180" i="15" s="1"/>
  <c r="AV216" i="15"/>
  <c r="AN216" i="15"/>
  <c r="AT216" i="15"/>
  <c r="AU216" i="15" s="1"/>
  <c r="AM216" i="15"/>
  <c r="V216" i="15"/>
  <c r="BD110" i="15"/>
  <c r="BD211" i="15"/>
  <c r="AL113" i="15"/>
  <c r="AL205" i="15"/>
  <c r="M205" i="15"/>
  <c r="O205" i="15" s="1"/>
  <c r="W205" i="15" s="1"/>
  <c r="BE205" i="15"/>
  <c r="BF205" i="15" s="1"/>
  <c r="AI205" i="15"/>
  <c r="BR205" i="15"/>
  <c r="AK205" i="15"/>
  <c r="J205" i="15"/>
  <c r="Z205" i="15"/>
  <c r="AA205" i="15" s="1"/>
  <c r="BQ205" i="15"/>
  <c r="BS205" i="15"/>
  <c r="AT200" i="15"/>
  <c r="BQ200" i="15"/>
  <c r="BQ124" i="15"/>
  <c r="BY147" i="15"/>
  <c r="CO147" i="15" s="1"/>
  <c r="I192" i="15"/>
  <c r="I147" i="15"/>
  <c r="Z147" i="15" s="1"/>
  <c r="CB147" i="15"/>
  <c r="CB167" i="15"/>
  <c r="BD127" i="15"/>
  <c r="BZ205" i="15"/>
  <c r="AN200" i="15"/>
  <c r="I167" i="15"/>
  <c r="Y167" i="15" s="1"/>
  <c r="Z167" i="15" s="1"/>
  <c r="AA167" i="15" s="1"/>
  <c r="BZ192" i="15"/>
  <c r="BY205" i="15"/>
  <c r="CO205" i="15" s="1"/>
  <c r="AM200" i="15"/>
  <c r="O1950" i="12"/>
  <c r="BY192" i="15"/>
  <c r="CO192" i="15" s="1"/>
  <c r="CB205" i="15"/>
  <c r="V200" i="15"/>
  <c r="CB138" i="15"/>
  <c r="I138" i="15"/>
  <c r="BS138" i="15" s="1"/>
  <c r="J200" i="15"/>
  <c r="AT208" i="15"/>
  <c r="AV200" i="15"/>
  <c r="AL124" i="15"/>
  <c r="BR124" i="15"/>
  <c r="BR154" i="15"/>
  <c r="J124" i="15"/>
  <c r="BS124" i="15"/>
  <c r="BR220" i="15"/>
  <c r="Y152" i="15"/>
  <c r="BZ152" i="15" s="1"/>
  <c r="AL200" i="15"/>
  <c r="AV94" i="15"/>
  <c r="BS200" i="15"/>
  <c r="BD113" i="15"/>
  <c r="BR200" i="15"/>
  <c r="BS177" i="15"/>
  <c r="I215" i="15"/>
  <c r="BS215" i="15" s="1"/>
  <c r="CB215" i="15"/>
  <c r="BZ215" i="15"/>
  <c r="CB188" i="15"/>
  <c r="I188" i="15"/>
  <c r="Y188" i="15" s="1"/>
  <c r="BY188" i="15"/>
  <c r="BZ161" i="15"/>
  <c r="I161" i="15"/>
  <c r="CB161" i="15"/>
  <c r="BY125" i="15"/>
  <c r="I125" i="15"/>
  <c r="CB125" i="15"/>
  <c r="CB186" i="15"/>
  <c r="I186" i="15"/>
  <c r="BY186" i="15"/>
  <c r="CB163" i="15"/>
  <c r="BY163" i="15"/>
  <c r="CO163" i="15" s="1"/>
  <c r="BZ163" i="15"/>
  <c r="I163" i="15"/>
  <c r="M163" i="15" s="1"/>
  <c r="O163" i="15" s="1"/>
  <c r="AB163" i="15" s="1"/>
  <c r="BZ218" i="15"/>
  <c r="I218" i="15"/>
  <c r="CB218" i="15"/>
  <c r="BY218" i="15"/>
  <c r="CO218" i="15" s="1"/>
  <c r="CB111" i="15"/>
  <c r="I111" i="15"/>
  <c r="J111" i="15" s="1"/>
  <c r="BY111" i="15"/>
  <c r="I181" i="15"/>
  <c r="BY181" i="15"/>
  <c r="CO181" i="15" s="1"/>
  <c r="BZ181" i="15"/>
  <c r="CB181" i="15"/>
  <c r="BS126" i="15"/>
  <c r="AL132" i="15"/>
  <c r="BY209" i="15"/>
  <c r="CO209" i="15" s="1"/>
  <c r="BR169" i="15"/>
  <c r="BD112" i="15"/>
  <c r="BY182" i="15"/>
  <c r="CO182" i="15" s="1"/>
  <c r="BZ182" i="15"/>
  <c r="CB182" i="15"/>
  <c r="I182" i="15"/>
  <c r="BR182" i="15" s="1"/>
  <c r="AL177" i="15"/>
  <c r="BS132" i="15"/>
  <c r="BD133" i="15"/>
  <c r="BR177" i="15"/>
  <c r="I123" i="15"/>
  <c r="BS123" i="15" s="1"/>
  <c r="BY123" i="15"/>
  <c r="CO123" i="15" s="1"/>
  <c r="CQ123" i="15" s="1"/>
  <c r="CB123" i="15"/>
  <c r="BZ123" i="15"/>
  <c r="CD123" i="15" s="1"/>
  <c r="BS169" i="15"/>
  <c r="BR121" i="15"/>
  <c r="BY168" i="15"/>
  <c r="CO168" i="15" s="1"/>
  <c r="CB168" i="15"/>
  <c r="I168" i="15"/>
  <c r="BZ168" i="15"/>
  <c r="CB175" i="15"/>
  <c r="BY175" i="15"/>
  <c r="CO175" i="15" s="1"/>
  <c r="I175" i="15"/>
  <c r="BZ175" i="15"/>
  <c r="BZ219" i="15"/>
  <c r="BY219" i="15"/>
  <c r="CO219" i="15" s="1"/>
  <c r="I219" i="15"/>
  <c r="BR219" i="15" s="1"/>
  <c r="CB219" i="15"/>
  <c r="BZ209" i="15"/>
  <c r="I209" i="15"/>
  <c r="BQ169" i="15"/>
  <c r="AL121" i="15"/>
  <c r="AW121" i="15" s="1"/>
  <c r="BY101" i="15"/>
  <c r="CB101" i="15"/>
  <c r="I101" i="15"/>
  <c r="Y101" i="15" s="1"/>
  <c r="BQ121" i="15"/>
  <c r="J169" i="15"/>
  <c r="BQ126" i="15"/>
  <c r="AV151" i="15"/>
  <c r="BY115" i="15"/>
  <c r="I115" i="15"/>
  <c r="Y115" i="15" s="1"/>
  <c r="AE115" i="15" s="1"/>
  <c r="CB115" i="15"/>
  <c r="AR204" i="15"/>
  <c r="BS121" i="15"/>
  <c r="CB140" i="15"/>
  <c r="BZ140" i="15"/>
  <c r="CD140" i="15" s="1"/>
  <c r="BY140" i="15"/>
  <c r="CO140" i="15" s="1"/>
  <c r="I140" i="15"/>
  <c r="BR140" i="15" s="1"/>
  <c r="BZ214" i="15"/>
  <c r="I214" i="15"/>
  <c r="CB214" i="15"/>
  <c r="BY214" i="15"/>
  <c r="CO214" i="15" s="1"/>
  <c r="BR126" i="15"/>
  <c r="AL126" i="15"/>
  <c r="J126" i="15"/>
  <c r="V138" i="15"/>
  <c r="AR138" i="15"/>
  <c r="AM138" i="15"/>
  <c r="AN138" i="15"/>
  <c r="AV138" i="15"/>
  <c r="AT138" i="15"/>
  <c r="I191" i="15"/>
  <c r="BR191" i="15" s="1"/>
  <c r="BY191" i="15"/>
  <c r="CO191" i="15" s="1"/>
  <c r="BZ191" i="15"/>
  <c r="CB191" i="15"/>
  <c r="CB156" i="15"/>
  <c r="BY156" i="15"/>
  <c r="I156" i="15"/>
  <c r="BS156" i="15" s="1"/>
  <c r="AM151" i="15"/>
  <c r="V151" i="15"/>
  <c r="AN151" i="15"/>
  <c r="AR151" i="15"/>
  <c r="AN176" i="15"/>
  <c r="AR176" i="15"/>
  <c r="AM176" i="15"/>
  <c r="AV176" i="15"/>
  <c r="AT176" i="15"/>
  <c r="V176" i="15"/>
  <c r="CB139" i="15"/>
  <c r="BZ139" i="15"/>
  <c r="CD139" i="15" s="1"/>
  <c r="I139" i="15"/>
  <c r="BY139" i="15"/>
  <c r="CO139" i="15" s="1"/>
  <c r="AR190" i="15"/>
  <c r="AM190" i="15"/>
  <c r="AT190" i="15"/>
  <c r="AV190" i="15"/>
  <c r="AN190" i="15"/>
  <c r="V190" i="15"/>
  <c r="CB137" i="15"/>
  <c r="I137" i="15"/>
  <c r="BY137" i="15"/>
  <c r="CO137" i="15" s="1"/>
  <c r="BZ137" i="15"/>
  <c r="I129" i="15"/>
  <c r="BY129" i="15"/>
  <c r="CB129" i="15"/>
  <c r="BY201" i="15"/>
  <c r="CO201" i="15" s="1"/>
  <c r="I201" i="15"/>
  <c r="CB201" i="15"/>
  <c r="BZ201" i="15"/>
  <c r="AR182" i="15"/>
  <c r="AN182" i="15"/>
  <c r="AL182" i="15"/>
  <c r="AV182" i="15"/>
  <c r="AT182" i="15"/>
  <c r="V182" i="15"/>
  <c r="AM182" i="15"/>
  <c r="BY190" i="15"/>
  <c r="CO190" i="15" s="1"/>
  <c r="I190" i="15"/>
  <c r="AL190" i="15" s="1"/>
  <c r="CB190" i="15"/>
  <c r="BZ190" i="15"/>
  <c r="AT139" i="15"/>
  <c r="AN139" i="15"/>
  <c r="AR139" i="15"/>
  <c r="AV139" i="15"/>
  <c r="AM139" i="15"/>
  <c r="CB184" i="15"/>
  <c r="BZ184" i="15"/>
  <c r="BY184" i="15"/>
  <c r="CO184" i="15" s="1"/>
  <c r="I184" i="15"/>
  <c r="I94" i="15"/>
  <c r="CB94" i="15"/>
  <c r="BZ94" i="15"/>
  <c r="BY94" i="15"/>
  <c r="CO94" i="15" s="1"/>
  <c r="I92" i="15"/>
  <c r="Y92" i="15" s="1"/>
  <c r="BY92" i="15"/>
  <c r="CB92" i="15"/>
  <c r="AM106" i="15"/>
  <c r="AT106" i="15"/>
  <c r="AV106" i="15"/>
  <c r="V106" i="15"/>
  <c r="AR106" i="15"/>
  <c r="AN106" i="15"/>
  <c r="AT95" i="15"/>
  <c r="AV95" i="15"/>
  <c r="AR95" i="15"/>
  <c r="AM95" i="15"/>
  <c r="AN95" i="15"/>
  <c r="V95" i="15"/>
  <c r="AT111" i="15"/>
  <c r="AU111" i="15" s="1"/>
  <c r="AR111" i="15"/>
  <c r="AO111" i="15"/>
  <c r="V111" i="15"/>
  <c r="AV111" i="15"/>
  <c r="AM111" i="15"/>
  <c r="AN111" i="15"/>
  <c r="AM129" i="15"/>
  <c r="AR129" i="15"/>
  <c r="AV129" i="15"/>
  <c r="AO129" i="15"/>
  <c r="AN129" i="15"/>
  <c r="AT129" i="15"/>
  <c r="AU129" i="15" s="1"/>
  <c r="BY202" i="15"/>
  <c r="CO202" i="15" s="1"/>
  <c r="CB202" i="15"/>
  <c r="BZ202" i="15"/>
  <c r="I202" i="15"/>
  <c r="BQ202" i="15" s="1"/>
  <c r="AM156" i="15"/>
  <c r="AT156" i="15"/>
  <c r="AU156" i="15" s="1"/>
  <c r="AO156" i="15"/>
  <c r="AR156" i="15"/>
  <c r="V156" i="15"/>
  <c r="AN156" i="15"/>
  <c r="AV156" i="15"/>
  <c r="AN90" i="15"/>
  <c r="AR90" i="15"/>
  <c r="AV90" i="15"/>
  <c r="AT90" i="15"/>
  <c r="AU90" i="15" s="1"/>
  <c r="AO90" i="15"/>
  <c r="AL90" i="15" s="1"/>
  <c r="AM90" i="15"/>
  <c r="V90" i="15"/>
  <c r="BY153" i="15"/>
  <c r="I153" i="15"/>
  <c r="CB153" i="15"/>
  <c r="I112" i="15"/>
  <c r="AL112" i="15" s="1"/>
  <c r="AW112" i="15" s="1"/>
  <c r="CB112" i="15"/>
  <c r="BY112" i="15"/>
  <c r="AR219" i="15"/>
  <c r="AT219" i="15"/>
  <c r="AN219" i="15"/>
  <c r="AM219" i="15"/>
  <c r="V219" i="15"/>
  <c r="AV219" i="15"/>
  <c r="CB160" i="15"/>
  <c r="BY160" i="15"/>
  <c r="CO160" i="15" s="1"/>
  <c r="BZ160" i="15"/>
  <c r="I160" i="15"/>
  <c r="BY108" i="15"/>
  <c r="CO108" i="15" s="1"/>
  <c r="CB108" i="15"/>
  <c r="BZ108" i="15"/>
  <c r="I108" i="15"/>
  <c r="BS108" i="15" s="1"/>
  <c r="V174" i="15"/>
  <c r="AN174" i="15"/>
  <c r="AV174" i="15"/>
  <c r="AT174" i="15"/>
  <c r="AM174" i="15"/>
  <c r="AR174" i="15"/>
  <c r="V92" i="15"/>
  <c r="AR92" i="15"/>
  <c r="AN92" i="15"/>
  <c r="AM92" i="15"/>
  <c r="AO92" i="15"/>
  <c r="BZ106" i="15"/>
  <c r="BY106" i="15"/>
  <c r="CO106" i="15" s="1"/>
  <c r="CB106" i="15"/>
  <c r="I106" i="15"/>
  <c r="J106" i="15" s="1"/>
  <c r="AM149" i="15"/>
  <c r="AN149" i="15"/>
  <c r="AR149" i="15"/>
  <c r="V149" i="15"/>
  <c r="CB211" i="15"/>
  <c r="BY211" i="15"/>
  <c r="CO211" i="15" s="1"/>
  <c r="I211" i="15"/>
  <c r="BZ211" i="15"/>
  <c r="AV92" i="15"/>
  <c r="AR140" i="15"/>
  <c r="AM140" i="15"/>
  <c r="V140" i="15"/>
  <c r="AV140" i="15"/>
  <c r="AT140" i="15"/>
  <c r="AN140" i="15"/>
  <c r="AM160" i="15"/>
  <c r="AN160" i="15"/>
  <c r="V160" i="15"/>
  <c r="AR160" i="15"/>
  <c r="AT160" i="15"/>
  <c r="AV160" i="15"/>
  <c r="AR136" i="15"/>
  <c r="V136" i="15"/>
  <c r="AN136" i="15"/>
  <c r="AM136" i="15"/>
  <c r="AV136" i="15"/>
  <c r="AT136" i="15"/>
  <c r="AT92" i="15"/>
  <c r="AU92" i="15" s="1"/>
  <c r="AR215" i="15"/>
  <c r="AV215" i="15"/>
  <c r="AT215" i="15"/>
  <c r="V215" i="15"/>
  <c r="AM215" i="15"/>
  <c r="AN215" i="15"/>
  <c r="AN189" i="15"/>
  <c r="AR189" i="15"/>
  <c r="V189" i="15"/>
  <c r="AM189" i="15"/>
  <c r="AN184" i="15"/>
  <c r="AT184" i="15"/>
  <c r="AV184" i="15"/>
  <c r="V184" i="15"/>
  <c r="AM184" i="15"/>
  <c r="AR184" i="15"/>
  <c r="AV191" i="15"/>
  <c r="AR191" i="15"/>
  <c r="V191" i="15"/>
  <c r="AT191" i="15"/>
  <c r="AM191" i="15"/>
  <c r="AN191" i="15"/>
  <c r="AT94" i="15"/>
  <c r="AM94" i="15"/>
  <c r="AN94" i="15"/>
  <c r="I183" i="15"/>
  <c r="BZ183" i="15"/>
  <c r="CB183" i="15"/>
  <c r="BY183" i="15"/>
  <c r="CO183" i="15" s="1"/>
  <c r="BY176" i="15"/>
  <c r="CO176" i="15" s="1"/>
  <c r="BZ176" i="15"/>
  <c r="CB176" i="15"/>
  <c r="I176" i="15"/>
  <c r="BS176" i="15" s="1"/>
  <c r="BQ219" i="15"/>
  <c r="AR94" i="15"/>
  <c r="BY100" i="15"/>
  <c r="I100" i="15"/>
  <c r="CB100" i="15"/>
  <c r="G3599" i="12"/>
  <c r="O3599" i="12" s="1"/>
  <c r="O3528" i="12"/>
  <c r="G3615" i="12"/>
  <c r="O3615" i="12" s="1"/>
  <c r="O3544" i="12"/>
  <c r="G3597" i="12"/>
  <c r="O3597" i="12" s="1"/>
  <c r="O3526" i="12"/>
  <c r="G3561" i="12"/>
  <c r="O3561" i="12" s="1"/>
  <c r="O3490" i="12"/>
  <c r="O3548" i="12"/>
  <c r="G3619" i="12"/>
  <c r="O3619" i="12" s="1"/>
  <c r="O3497" i="12"/>
  <c r="G3568" i="12"/>
  <c r="O3568" i="12" s="1"/>
  <c r="E1993" i="12"/>
  <c r="D1978" i="12" s="1"/>
  <c r="G3582" i="12"/>
  <c r="O3582" i="12" s="1"/>
  <c r="O3511" i="12"/>
  <c r="Y157" i="15"/>
  <c r="AL169" i="15"/>
  <c r="AL187" i="15"/>
  <c r="AW187" i="15" s="1"/>
  <c r="AL127" i="15"/>
  <c r="AW127" i="15" s="1"/>
  <c r="BS220" i="15"/>
  <c r="BQ220" i="15"/>
  <c r="AL220" i="15"/>
  <c r="BQ135" i="15"/>
  <c r="BR127" i="15"/>
  <c r="BR135" i="15"/>
  <c r="J127" i="15"/>
  <c r="AL135" i="15"/>
  <c r="AL93" i="15"/>
  <c r="AW93" i="15" s="1"/>
  <c r="J93" i="15"/>
  <c r="BS93" i="15"/>
  <c r="AL96" i="15"/>
  <c r="BR93" i="15"/>
  <c r="BQ93" i="15"/>
  <c r="AT204" i="15"/>
  <c r="BD204" i="15" s="1"/>
  <c r="AR163" i="15"/>
  <c r="AR180" i="15"/>
  <c r="CZ221" i="15"/>
  <c r="Z126" i="15"/>
  <c r="AA126" i="15" s="1"/>
  <c r="CA126" i="15"/>
  <c r="CO126" i="15" s="1"/>
  <c r="AE126" i="15"/>
  <c r="BZ126" i="15"/>
  <c r="AD169" i="15"/>
  <c r="AE169" i="15"/>
  <c r="BZ169" i="15"/>
  <c r="CA169" i="15"/>
  <c r="CO169" i="15" s="1"/>
  <c r="Z169" i="15"/>
  <c r="AA169" i="15" s="1"/>
  <c r="BZ113" i="15"/>
  <c r="CD113" i="15" s="1"/>
  <c r="CA113" i="15"/>
  <c r="AE113" i="15"/>
  <c r="Z113" i="15"/>
  <c r="AA113" i="15" s="1"/>
  <c r="Z124" i="15"/>
  <c r="AA124" i="15" s="1"/>
  <c r="BZ124" i="15"/>
  <c r="CD124" i="15" s="1"/>
  <c r="CA124" i="15"/>
  <c r="AE124" i="15"/>
  <c r="AD124" i="15"/>
  <c r="J133" i="15"/>
  <c r="AV159" i="15"/>
  <c r="AT122" i="15"/>
  <c r="AV122" i="15"/>
  <c r="AO185" i="15"/>
  <c r="J104" i="15"/>
  <c r="BS194" i="15"/>
  <c r="BS187" i="15"/>
  <c r="Y164" i="15"/>
  <c r="Z164" i="15" s="1"/>
  <c r="AA164" i="15" s="1"/>
  <c r="AT118" i="15"/>
  <c r="AV118" i="15"/>
  <c r="AT185" i="15"/>
  <c r="AU185" i="15" s="1"/>
  <c r="Z154" i="15"/>
  <c r="AA154" i="15" s="1"/>
  <c r="BZ154" i="15"/>
  <c r="CA154" i="15"/>
  <c r="AE154" i="15"/>
  <c r="AL194" i="15"/>
  <c r="BQ90" i="15"/>
  <c r="J90" i="15"/>
  <c r="Y90" i="15"/>
  <c r="BR90" i="15"/>
  <c r="BS90" i="15"/>
  <c r="BS210" i="15"/>
  <c r="AL149" i="15"/>
  <c r="J149" i="15"/>
  <c r="BQ149" i="15"/>
  <c r="BR149" i="15"/>
  <c r="BS149" i="15"/>
  <c r="AR131" i="15"/>
  <c r="AV89" i="15"/>
  <c r="AT89" i="15"/>
  <c r="AR201" i="15"/>
  <c r="BS133" i="15"/>
  <c r="AV185" i="15"/>
  <c r="AL170" i="15"/>
  <c r="AW170" i="15" s="1"/>
  <c r="J170" i="15"/>
  <c r="BQ170" i="15"/>
  <c r="BR170" i="15"/>
  <c r="BS170" i="15"/>
  <c r="BR210" i="15"/>
  <c r="BZ103" i="15"/>
  <c r="CA103" i="15"/>
  <c r="Z103" i="15"/>
  <c r="AA103" i="15" s="1"/>
  <c r="AT120" i="15"/>
  <c r="AV120" i="15"/>
  <c r="BR109" i="15"/>
  <c r="AU96" i="15"/>
  <c r="BD96" i="15"/>
  <c r="AU109" i="15"/>
  <c r="BD109" i="15"/>
  <c r="AR145" i="15"/>
  <c r="BQ133" i="15"/>
  <c r="BS172" i="15"/>
  <c r="BQ172" i="15"/>
  <c r="BR172" i="15"/>
  <c r="AL172" i="15"/>
  <c r="AW172" i="15" s="1"/>
  <c r="J172" i="15"/>
  <c r="AR122" i="15"/>
  <c r="J110" i="15"/>
  <c r="BQ194" i="15"/>
  <c r="BS127" i="15"/>
  <c r="AR120" i="15"/>
  <c r="AT101" i="15"/>
  <c r="AU101" i="15" s="1"/>
  <c r="AV101" i="15"/>
  <c r="AU135" i="15"/>
  <c r="BD135" i="15"/>
  <c r="CR221" i="15"/>
  <c r="BR110" i="15"/>
  <c r="BS95" i="15"/>
  <c r="J95" i="15"/>
  <c r="AL95" i="15"/>
  <c r="BQ95" i="15"/>
  <c r="BR95" i="15"/>
  <c r="J206" i="15"/>
  <c r="Y110" i="15"/>
  <c r="AR150" i="15"/>
  <c r="AT131" i="15"/>
  <c r="AU131" i="15" s="1"/>
  <c r="J194" i="15"/>
  <c r="Y98" i="15"/>
  <c r="BZ98" i="15" s="1"/>
  <c r="BS158" i="15"/>
  <c r="AU105" i="15"/>
  <c r="AW105" i="15" s="1"/>
  <c r="BD105" i="15"/>
  <c r="AO131" i="15"/>
  <c r="AT143" i="15"/>
  <c r="AV143" i="15"/>
  <c r="BZ127" i="15"/>
  <c r="Z127" i="15"/>
  <c r="AA127" i="15" s="1"/>
  <c r="CA127" i="15"/>
  <c r="AE127" i="15"/>
  <c r="AD127" i="15"/>
  <c r="AL206" i="15"/>
  <c r="BD107" i="15"/>
  <c r="AU107" i="15"/>
  <c r="AW107" i="15" s="1"/>
  <c r="CO203" i="15"/>
  <c r="BS174" i="15"/>
  <c r="AL174" i="15"/>
  <c r="BR174" i="15"/>
  <c r="BQ174" i="15"/>
  <c r="J174" i="15"/>
  <c r="AT123" i="15"/>
  <c r="AV123" i="15"/>
  <c r="Y99" i="15"/>
  <c r="AV142" i="15"/>
  <c r="AT142" i="15"/>
  <c r="AT98" i="15"/>
  <c r="AU98" i="15" s="1"/>
  <c r="AV98" i="15"/>
  <c r="BR158" i="15"/>
  <c r="BR136" i="15"/>
  <c r="BS136" i="15"/>
  <c r="BQ136" i="15"/>
  <c r="J136" i="15"/>
  <c r="AL136" i="15"/>
  <c r="BR133" i="15"/>
  <c r="AT114" i="15"/>
  <c r="AU114" i="15" s="1"/>
  <c r="AV114" i="15"/>
  <c r="AT117" i="15"/>
  <c r="AV117" i="15"/>
  <c r="AL110" i="15"/>
  <c r="AW110" i="15" s="1"/>
  <c r="AV99" i="15"/>
  <c r="AT99" i="15"/>
  <c r="AU99" i="15" s="1"/>
  <c r="AV134" i="15"/>
  <c r="AT134" i="15"/>
  <c r="AR130" i="15"/>
  <c r="BR187" i="15"/>
  <c r="BS206" i="15"/>
  <c r="Y130" i="15"/>
  <c r="BZ130" i="15" s="1"/>
  <c r="J210" i="15"/>
  <c r="AR197" i="15"/>
  <c r="BQ127" i="15"/>
  <c r="BQ158" i="15"/>
  <c r="BR206" i="15"/>
  <c r="Y158" i="15"/>
  <c r="Y104" i="15"/>
  <c r="BS104" i="15"/>
  <c r="AO102" i="15"/>
  <c r="AT102" i="15"/>
  <c r="AU102" i="15" s="1"/>
  <c r="AV102" i="15"/>
  <c r="AR188" i="15"/>
  <c r="BS110" i="15"/>
  <c r="AT108" i="15"/>
  <c r="AV108" i="15"/>
  <c r="Y187" i="15"/>
  <c r="AO91" i="15"/>
  <c r="AT91" i="15"/>
  <c r="AU91" i="15" s="1"/>
  <c r="AV91" i="15"/>
  <c r="AT97" i="15"/>
  <c r="AV97" i="15"/>
  <c r="AR159" i="15"/>
  <c r="BQ104" i="15"/>
  <c r="J187" i="15"/>
  <c r="AL210" i="15"/>
  <c r="AR108" i="15"/>
  <c r="AL158" i="15"/>
  <c r="AW158" i="15" s="1"/>
  <c r="Y170" i="15"/>
  <c r="O3515" i="12"/>
  <c r="G3586" i="12"/>
  <c r="O3586" i="12" s="1"/>
  <c r="G3576" i="12"/>
  <c r="O3576" i="12" s="1"/>
  <c r="O3505" i="12"/>
  <c r="O3634" i="12"/>
  <c r="O1947" i="12"/>
  <c r="O1996" i="12" s="1"/>
  <c r="O3542" i="12"/>
  <c r="G3613" i="12"/>
  <c r="O3613" i="12" s="1"/>
  <c r="G3614" i="12"/>
  <c r="O3614" i="12" s="1"/>
  <c r="O3543" i="12"/>
  <c r="G3621" i="12"/>
  <c r="O3621" i="12" s="1"/>
  <c r="O3550" i="12"/>
  <c r="O3522" i="12"/>
  <c r="G3593" i="12"/>
  <c r="O3593" i="12" s="1"/>
  <c r="O3506" i="12"/>
  <c r="G3577" i="12"/>
  <c r="O3577" i="12" s="1"/>
  <c r="K2733" i="12"/>
  <c r="D2725" i="12" s="1"/>
  <c r="N1944" i="12"/>
  <c r="D1928" i="12" s="1"/>
  <c r="O3533" i="12"/>
  <c r="G3604" i="12"/>
  <c r="O3604" i="12" s="1"/>
  <c r="G3595" i="12"/>
  <c r="O3595" i="12" s="1"/>
  <c r="O3524" i="12"/>
  <c r="O2881" i="12"/>
  <c r="M2875" i="12"/>
  <c r="G3617" i="12"/>
  <c r="O3617" i="12" s="1"/>
  <c r="O3546" i="12"/>
  <c r="E1977" i="12"/>
  <c r="D1962" i="12" s="1"/>
  <c r="O3488" i="12"/>
  <c r="G3559" i="12"/>
  <c r="O3559" i="12" s="1"/>
  <c r="O3539" i="12"/>
  <c r="G3610" i="12"/>
  <c r="O3610" i="12" s="1"/>
  <c r="G3579" i="12"/>
  <c r="O3579" i="12" s="1"/>
  <c r="O3508" i="12"/>
  <c r="G3569" i="12"/>
  <c r="O3569" i="12" s="1"/>
  <c r="O3498" i="12"/>
  <c r="G3570" i="12"/>
  <c r="O3570" i="12" s="1"/>
  <c r="O3499" i="12"/>
  <c r="BD197" i="15"/>
  <c r="AU197" i="15"/>
  <c r="BR193" i="15"/>
  <c r="J193" i="15"/>
  <c r="V193" i="15"/>
  <c r="AL193" i="15"/>
  <c r="BS193" i="15"/>
  <c r="AM193" i="15"/>
  <c r="AN193" i="15"/>
  <c r="BQ193" i="15"/>
  <c r="AI148" i="15"/>
  <c r="AK148" i="15"/>
  <c r="M148" i="15"/>
  <c r="O148" i="15" s="1"/>
  <c r="BE148" i="15"/>
  <c r="Z148" i="15"/>
  <c r="AA148" i="15" s="1"/>
  <c r="V131" i="15"/>
  <c r="AM131" i="15"/>
  <c r="AN131" i="15"/>
  <c r="CD117" i="15"/>
  <c r="AU177" i="15"/>
  <c r="BD177" i="15"/>
  <c r="V159" i="15"/>
  <c r="AL159" i="15"/>
  <c r="AM159" i="15"/>
  <c r="AN159" i="15"/>
  <c r="BQ159" i="15"/>
  <c r="J159" i="15"/>
  <c r="BR159" i="15"/>
  <c r="BS159" i="15"/>
  <c r="AW133" i="15"/>
  <c r="AK120" i="15"/>
  <c r="M120" i="15"/>
  <c r="O120" i="15" s="1"/>
  <c r="AI120" i="15"/>
  <c r="BE120" i="15"/>
  <c r="Z120" i="15"/>
  <c r="BD104" i="15"/>
  <c r="V185" i="15"/>
  <c r="AM185" i="15"/>
  <c r="AN185" i="15"/>
  <c r="AU166" i="15"/>
  <c r="BD166" i="15"/>
  <c r="CO207" i="15"/>
  <c r="V99" i="15"/>
  <c r="AM99" i="15"/>
  <c r="BQ99" i="15"/>
  <c r="AN99" i="15"/>
  <c r="BR99" i="15"/>
  <c r="J99" i="15"/>
  <c r="BS99" i="15"/>
  <c r="AO99" i="15"/>
  <c r="AL99" i="15" s="1"/>
  <c r="BQ134" i="15"/>
  <c r="BS134" i="15"/>
  <c r="V134" i="15"/>
  <c r="J134" i="15"/>
  <c r="AL134" i="15"/>
  <c r="AN134" i="15"/>
  <c r="AM134" i="15"/>
  <c r="BR134" i="15"/>
  <c r="AU217" i="15"/>
  <c r="BD217" i="15"/>
  <c r="BE90" i="15"/>
  <c r="AI90" i="15"/>
  <c r="AK90" i="15"/>
  <c r="M90" i="15"/>
  <c r="O90" i="15" s="1"/>
  <c r="AL204" i="15"/>
  <c r="AM204" i="15"/>
  <c r="J204" i="15"/>
  <c r="AN204" i="15"/>
  <c r="BQ204" i="15"/>
  <c r="BR204" i="15"/>
  <c r="BS204" i="15"/>
  <c r="V204" i="15"/>
  <c r="AV193" i="15"/>
  <c r="BY217" i="15"/>
  <c r="CO217" i="15" s="1"/>
  <c r="I217" i="15"/>
  <c r="CB217" i="15"/>
  <c r="BZ217" i="15"/>
  <c r="AU132" i="15"/>
  <c r="AW132" i="15" s="1"/>
  <c r="BD132" i="15"/>
  <c r="AO167" i="15"/>
  <c r="V167" i="15"/>
  <c r="AT167" i="15"/>
  <c r="AU167" i="15" s="1"/>
  <c r="AM167" i="15"/>
  <c r="AN167" i="15"/>
  <c r="AV167" i="15"/>
  <c r="J167" i="15"/>
  <c r="BQ152" i="15"/>
  <c r="BS152" i="15"/>
  <c r="V152" i="15"/>
  <c r="AM152" i="15"/>
  <c r="AN152" i="15"/>
  <c r="BR152" i="15"/>
  <c r="J152" i="15"/>
  <c r="AO152" i="15"/>
  <c r="AL152" i="15" s="1"/>
  <c r="AT152" i="15"/>
  <c r="AU152" i="15" s="1"/>
  <c r="AV152" i="15"/>
  <c r="AO130" i="15"/>
  <c r="AL130" i="15" s="1"/>
  <c r="AK96" i="15"/>
  <c r="Z96" i="15"/>
  <c r="AA96" i="15" s="1"/>
  <c r="AI96" i="15"/>
  <c r="BE96" i="15"/>
  <c r="M96" i="15"/>
  <c r="O96" i="15" s="1"/>
  <c r="AK136" i="15"/>
  <c r="BE136" i="15"/>
  <c r="M136" i="15"/>
  <c r="O136" i="15" s="1"/>
  <c r="AI136" i="15"/>
  <c r="Z136" i="15"/>
  <c r="AA136" i="15" s="1"/>
  <c r="AI158" i="15"/>
  <c r="M158" i="15"/>
  <c r="O158" i="15" s="1"/>
  <c r="AK158" i="15"/>
  <c r="BE158" i="15"/>
  <c r="AK133" i="15"/>
  <c r="M133" i="15"/>
  <c r="O133" i="15" s="1"/>
  <c r="AI133" i="15"/>
  <c r="BE133" i="15"/>
  <c r="Z133" i="15"/>
  <c r="AA133" i="15" s="1"/>
  <c r="BQ157" i="15"/>
  <c r="BS157" i="15"/>
  <c r="BR157" i="15"/>
  <c r="J157" i="15"/>
  <c r="AM157" i="15"/>
  <c r="AN157" i="15"/>
  <c r="V157" i="15"/>
  <c r="CQ117" i="15"/>
  <c r="CO97" i="15"/>
  <c r="AU168" i="15"/>
  <c r="BD168" i="15"/>
  <c r="BE172" i="15"/>
  <c r="AK172" i="15"/>
  <c r="Z172" i="15"/>
  <c r="AA172" i="15" s="1"/>
  <c r="M172" i="15"/>
  <c r="O172" i="15" s="1"/>
  <c r="AI172" i="15"/>
  <c r="BY102" i="15"/>
  <c r="CB102" i="15"/>
  <c r="I102" i="15"/>
  <c r="Y102" i="15" s="1"/>
  <c r="AU151" i="15"/>
  <c r="BD151" i="15"/>
  <c r="BE164" i="15"/>
  <c r="AI164" i="15"/>
  <c r="AK164" i="15"/>
  <c r="M164" i="15"/>
  <c r="O164" i="15" s="1"/>
  <c r="AT193" i="15"/>
  <c r="BD187" i="15"/>
  <c r="I179" i="15"/>
  <c r="BY179" i="15"/>
  <c r="CO179" i="15" s="1"/>
  <c r="CB179" i="15"/>
  <c r="BZ179" i="15"/>
  <c r="AM142" i="15"/>
  <c r="AN142" i="15"/>
  <c r="V142" i="15"/>
  <c r="CO135" i="15"/>
  <c r="AN120" i="15"/>
  <c r="BS120" i="15"/>
  <c r="V120" i="15"/>
  <c r="J120" i="15"/>
  <c r="BQ120" i="15"/>
  <c r="AL120" i="15"/>
  <c r="AM120" i="15"/>
  <c r="BR120" i="15"/>
  <c r="AI212" i="15"/>
  <c r="AK212" i="15"/>
  <c r="M212" i="15"/>
  <c r="O212" i="15" s="1"/>
  <c r="BE212" i="15"/>
  <c r="Z212" i="15"/>
  <c r="AA212" i="15" s="1"/>
  <c r="BD154" i="15"/>
  <c r="BD125" i="15"/>
  <c r="AM150" i="15"/>
  <c r="BQ150" i="15"/>
  <c r="AN150" i="15"/>
  <c r="BR150" i="15"/>
  <c r="J150" i="15"/>
  <c r="BS150" i="15"/>
  <c r="AL150" i="15"/>
  <c r="V150" i="15"/>
  <c r="I128" i="15"/>
  <c r="BY128" i="15"/>
  <c r="CB128" i="15"/>
  <c r="M117" i="15"/>
  <c r="O117" i="15" s="1"/>
  <c r="AI117" i="15"/>
  <c r="AK117" i="15"/>
  <c r="Z117" i="15"/>
  <c r="AA117" i="15" s="1"/>
  <c r="BE117" i="15"/>
  <c r="AN89" i="15"/>
  <c r="BQ89" i="15"/>
  <c r="BR89" i="15"/>
  <c r="BS89" i="15"/>
  <c r="V89" i="15"/>
  <c r="J89" i="15"/>
  <c r="AL89" i="15"/>
  <c r="AM89" i="15"/>
  <c r="BY208" i="15"/>
  <c r="CO208" i="15" s="1"/>
  <c r="BZ208" i="15"/>
  <c r="I208" i="15"/>
  <c r="AL208" i="15" s="1"/>
  <c r="CB208" i="15"/>
  <c r="AT150" i="15"/>
  <c r="AM143" i="15"/>
  <c r="AN143" i="15"/>
  <c r="V143" i="15"/>
  <c r="AL143" i="15"/>
  <c r="BQ143" i="15"/>
  <c r="BS143" i="15"/>
  <c r="BR143" i="15"/>
  <c r="J143" i="15"/>
  <c r="BD128" i="15"/>
  <c r="AK197" i="15"/>
  <c r="AI197" i="15"/>
  <c r="Z197" i="15"/>
  <c r="AA197" i="15" s="1"/>
  <c r="BE197" i="15"/>
  <c r="M197" i="15"/>
  <c r="O197" i="15" s="1"/>
  <c r="BQ130" i="15"/>
  <c r="V130" i="15"/>
  <c r="AN130" i="15"/>
  <c r="BR130" i="15"/>
  <c r="BS130" i="15"/>
  <c r="J130" i="15"/>
  <c r="AM130" i="15"/>
  <c r="AM178" i="15"/>
  <c r="BQ178" i="15"/>
  <c r="AN178" i="15"/>
  <c r="V178" i="15"/>
  <c r="BR178" i="15"/>
  <c r="BS178" i="15"/>
  <c r="J178" i="15"/>
  <c r="AL178" i="15"/>
  <c r="CQ118" i="15"/>
  <c r="V198" i="15"/>
  <c r="AM198" i="15"/>
  <c r="AN198" i="15"/>
  <c r="AO198" i="15"/>
  <c r="AT198" i="15"/>
  <c r="AU198" i="15" s="1"/>
  <c r="AV198" i="15"/>
  <c r="AT145" i="15"/>
  <c r="AK124" i="15"/>
  <c r="M124" i="15"/>
  <c r="O124" i="15" s="1"/>
  <c r="BE124" i="15"/>
  <c r="AI124" i="15"/>
  <c r="M103" i="15"/>
  <c r="O103" i="15" s="1"/>
  <c r="BE103" i="15"/>
  <c r="AI103" i="15"/>
  <c r="AK103" i="15"/>
  <c r="AV197" i="15"/>
  <c r="AT130" i="15"/>
  <c r="AU130" i="15" s="1"/>
  <c r="BE97" i="15"/>
  <c r="M97" i="15"/>
  <c r="O97" i="15" s="1"/>
  <c r="AI97" i="15"/>
  <c r="AK97" i="15"/>
  <c r="Z97" i="15"/>
  <c r="AA97" i="15" s="1"/>
  <c r="M194" i="15"/>
  <c r="O194" i="15" s="1"/>
  <c r="AI194" i="15"/>
  <c r="BE194" i="15"/>
  <c r="Z194" i="15"/>
  <c r="AA194" i="15" s="1"/>
  <c r="AK194" i="15"/>
  <c r="AI93" i="15"/>
  <c r="AK93" i="15"/>
  <c r="M93" i="15"/>
  <c r="O93" i="15" s="1"/>
  <c r="BE93" i="15"/>
  <c r="M145" i="15"/>
  <c r="O145" i="15" s="1"/>
  <c r="AK145" i="15"/>
  <c r="BE145" i="15"/>
  <c r="AI145" i="15"/>
  <c r="Z145" i="15"/>
  <c r="AA145" i="15" s="1"/>
  <c r="M118" i="15"/>
  <c r="O118" i="15" s="1"/>
  <c r="AI118" i="15"/>
  <c r="AK118" i="15"/>
  <c r="BE118" i="15"/>
  <c r="Z118" i="15"/>
  <c r="AA118" i="15" s="1"/>
  <c r="AI173" i="15"/>
  <c r="BE173" i="15"/>
  <c r="M173" i="15"/>
  <c r="O173" i="15" s="1"/>
  <c r="AK173" i="15"/>
  <c r="Z173" i="15"/>
  <c r="AA173" i="15" s="1"/>
  <c r="AM118" i="15"/>
  <c r="AN118" i="15"/>
  <c r="BS118" i="15"/>
  <c r="V118" i="15"/>
  <c r="J118" i="15"/>
  <c r="BQ118" i="15"/>
  <c r="AL118" i="15"/>
  <c r="BR118" i="15"/>
  <c r="BD212" i="15"/>
  <c r="AI171" i="15"/>
  <c r="AK171" i="15"/>
  <c r="Z171" i="15"/>
  <c r="AA171" i="15" s="1"/>
  <c r="BE171" i="15"/>
  <c r="M171" i="15"/>
  <c r="O171" i="15" s="1"/>
  <c r="M143" i="15"/>
  <c r="O143" i="15" s="1"/>
  <c r="AI143" i="15"/>
  <c r="BE143" i="15"/>
  <c r="AK143" i="15"/>
  <c r="Z143" i="15"/>
  <c r="AI99" i="15"/>
  <c r="AK99" i="15"/>
  <c r="BE99" i="15"/>
  <c r="M99" i="15"/>
  <c r="O99" i="15" s="1"/>
  <c r="V147" i="15"/>
  <c r="AM147" i="15"/>
  <c r="AN147" i="15"/>
  <c r="AT147" i="15"/>
  <c r="AV147" i="15"/>
  <c r="BD189" i="15"/>
  <c r="AN114" i="15"/>
  <c r="V114" i="15"/>
  <c r="AM114" i="15"/>
  <c r="AV157" i="15"/>
  <c r="CQ139" i="15"/>
  <c r="BD218" i="15"/>
  <c r="AU218" i="15"/>
  <c r="V196" i="15"/>
  <c r="AN196" i="15"/>
  <c r="J196" i="15"/>
  <c r="BQ196" i="15"/>
  <c r="AM196" i="15"/>
  <c r="BS196" i="15"/>
  <c r="BR196" i="15"/>
  <c r="AL196" i="15"/>
  <c r="BD205" i="15"/>
  <c r="AU205" i="15"/>
  <c r="AW205" i="15" s="1"/>
  <c r="AT180" i="15"/>
  <c r="AI155" i="15"/>
  <c r="AK155" i="15"/>
  <c r="M155" i="15"/>
  <c r="O155" i="15" s="1"/>
  <c r="BE155" i="15"/>
  <c r="AK127" i="15"/>
  <c r="M127" i="15"/>
  <c r="O127" i="15" s="1"/>
  <c r="BE127" i="15"/>
  <c r="AI127" i="15"/>
  <c r="BD206" i="15"/>
  <c r="AU206" i="15"/>
  <c r="AK122" i="15"/>
  <c r="AI122" i="15"/>
  <c r="M122" i="15"/>
  <c r="O122" i="15" s="1"/>
  <c r="BE122" i="15"/>
  <c r="Z122" i="15"/>
  <c r="AA122" i="15" s="1"/>
  <c r="AW113" i="15"/>
  <c r="V123" i="15"/>
  <c r="AM123" i="15"/>
  <c r="AN123" i="15"/>
  <c r="M110" i="15"/>
  <c r="O110" i="15" s="1"/>
  <c r="BE110" i="15"/>
  <c r="AI110" i="15"/>
  <c r="AK110" i="15"/>
  <c r="BE200" i="15"/>
  <c r="M200" i="15"/>
  <c r="O200" i="15" s="1"/>
  <c r="AI200" i="15"/>
  <c r="Z200" i="15"/>
  <c r="AA200" i="15" s="1"/>
  <c r="AK200" i="15"/>
  <c r="AT157" i="15"/>
  <c r="AU157" i="15" s="1"/>
  <c r="AK134" i="15"/>
  <c r="AI134" i="15"/>
  <c r="BE134" i="15"/>
  <c r="M134" i="15"/>
  <c r="O134" i="15" s="1"/>
  <c r="Z134" i="15"/>
  <c r="BD93" i="15"/>
  <c r="AM202" i="15"/>
  <c r="AN202" i="15"/>
  <c r="AT202" i="15"/>
  <c r="V202" i="15"/>
  <c r="AV202" i="15"/>
  <c r="BE187" i="15"/>
  <c r="M187" i="15"/>
  <c r="O187" i="15" s="1"/>
  <c r="AK187" i="15"/>
  <c r="AI187" i="15"/>
  <c r="BS173" i="15"/>
  <c r="J173" i="15"/>
  <c r="AL173" i="15"/>
  <c r="AM173" i="15"/>
  <c r="BR173" i="15"/>
  <c r="V173" i="15"/>
  <c r="BQ173" i="15"/>
  <c r="AV173" i="15"/>
  <c r="AN173" i="15"/>
  <c r="AT173" i="15"/>
  <c r="BQ148" i="15"/>
  <c r="BS148" i="15"/>
  <c r="BR148" i="15"/>
  <c r="J148" i="15"/>
  <c r="AL148" i="15"/>
  <c r="V148" i="15"/>
  <c r="AM148" i="15"/>
  <c r="AN148" i="15"/>
  <c r="AT148" i="15"/>
  <c r="AV148" i="15"/>
  <c r="AM101" i="15"/>
  <c r="AN101" i="15"/>
  <c r="BQ101" i="15"/>
  <c r="V101" i="15"/>
  <c r="AO101" i="15"/>
  <c r="BE220" i="15"/>
  <c r="AI220" i="15"/>
  <c r="AK220" i="15"/>
  <c r="M220" i="15"/>
  <c r="O220" i="15" s="1"/>
  <c r="Z220" i="15"/>
  <c r="AK152" i="15"/>
  <c r="M152" i="15"/>
  <c r="O152" i="15" s="1"/>
  <c r="AI152" i="15"/>
  <c r="BE152" i="15"/>
  <c r="M210" i="15"/>
  <c r="O210" i="15" s="1"/>
  <c r="BE210" i="15"/>
  <c r="AI210" i="15"/>
  <c r="AK210" i="15"/>
  <c r="Z210" i="15"/>
  <c r="AH210" i="15" s="1"/>
  <c r="AU195" i="15"/>
  <c r="AW195" i="15" s="1"/>
  <c r="BD195" i="15"/>
  <c r="CQ122" i="15"/>
  <c r="AI159" i="15"/>
  <c r="AK159" i="15"/>
  <c r="Z159" i="15"/>
  <c r="BE159" i="15"/>
  <c r="M159" i="15"/>
  <c r="O159" i="15" s="1"/>
  <c r="M177" i="15"/>
  <c r="O177" i="15" s="1"/>
  <c r="AK177" i="15"/>
  <c r="BE177" i="15"/>
  <c r="AI177" i="15"/>
  <c r="Z177" i="15"/>
  <c r="AO157" i="15"/>
  <c r="AL157" i="15" s="1"/>
  <c r="AK204" i="15"/>
  <c r="Z204" i="15"/>
  <c r="AA204" i="15" s="1"/>
  <c r="M204" i="15"/>
  <c r="O204" i="15" s="1"/>
  <c r="BE204" i="15"/>
  <c r="AI204" i="15"/>
  <c r="BD208" i="15"/>
  <c r="AU208" i="15"/>
  <c r="M107" i="15"/>
  <c r="O107" i="15" s="1"/>
  <c r="AK107" i="15"/>
  <c r="BE107" i="15"/>
  <c r="AI107" i="15"/>
  <c r="Z107" i="15"/>
  <c r="BY142" i="15"/>
  <c r="CO142" i="15" s="1"/>
  <c r="I142" i="15"/>
  <c r="BR142" i="15" s="1"/>
  <c r="BZ142" i="15"/>
  <c r="CB142" i="15"/>
  <c r="AW124" i="15"/>
  <c r="AO114" i="15"/>
  <c r="BD158" i="15"/>
  <c r="AT178" i="15"/>
  <c r="BR164" i="15"/>
  <c r="BS164" i="15"/>
  <c r="V164" i="15"/>
  <c r="J164" i="15"/>
  <c r="AN164" i="15"/>
  <c r="AM164" i="15"/>
  <c r="BQ164" i="15"/>
  <c r="V212" i="15"/>
  <c r="J212" i="15"/>
  <c r="AL212" i="15"/>
  <c r="AM212" i="15"/>
  <c r="AN212" i="15"/>
  <c r="BQ212" i="15"/>
  <c r="BR212" i="15"/>
  <c r="BS212" i="15"/>
  <c r="BD186" i="15"/>
  <c r="M174" i="15"/>
  <c r="O174" i="15" s="1"/>
  <c r="BE174" i="15"/>
  <c r="AI174" i="15"/>
  <c r="AK174" i="15"/>
  <c r="Z174" i="15"/>
  <c r="AK150" i="15"/>
  <c r="AI150" i="15"/>
  <c r="Z150" i="15"/>
  <c r="AA150" i="15" s="1"/>
  <c r="M150" i="15"/>
  <c r="O150" i="15" s="1"/>
  <c r="BE150" i="15"/>
  <c r="V163" i="15"/>
  <c r="AM163" i="15"/>
  <c r="AN163" i="15"/>
  <c r="AV163" i="15"/>
  <c r="AT163" i="15"/>
  <c r="I91" i="15"/>
  <c r="Y91" i="15" s="1"/>
  <c r="BY91" i="15"/>
  <c r="CB91" i="15"/>
  <c r="AK196" i="15"/>
  <c r="M196" i="15"/>
  <c r="O196" i="15" s="1"/>
  <c r="AI196" i="15"/>
  <c r="BE196" i="15"/>
  <c r="Z196" i="15"/>
  <c r="M98" i="15"/>
  <c r="O98" i="15" s="1"/>
  <c r="AI98" i="15"/>
  <c r="AK98" i="15"/>
  <c r="BE98" i="15"/>
  <c r="BD124" i="15"/>
  <c r="AM117" i="15"/>
  <c r="AN117" i="15"/>
  <c r="BS117" i="15"/>
  <c r="V117" i="15"/>
  <c r="J117" i="15"/>
  <c r="BQ117" i="15"/>
  <c r="AL117" i="15"/>
  <c r="BR117" i="15"/>
  <c r="I162" i="15"/>
  <c r="CB162" i="15"/>
  <c r="BY162" i="15"/>
  <c r="CO162" i="15" s="1"/>
  <c r="BZ162" i="15"/>
  <c r="BY114" i="15"/>
  <c r="I114" i="15"/>
  <c r="BS114" i="15" s="1"/>
  <c r="CB114" i="15"/>
  <c r="AV196" i="15"/>
  <c r="M206" i="15"/>
  <c r="O206" i="15" s="1"/>
  <c r="BE206" i="15"/>
  <c r="AI206" i="15"/>
  <c r="AK206" i="15"/>
  <c r="Z206" i="15"/>
  <c r="AA206" i="15" s="1"/>
  <c r="AI169" i="15"/>
  <c r="AK169" i="15"/>
  <c r="M169" i="15"/>
  <c r="O169" i="15" s="1"/>
  <c r="BE169" i="15"/>
  <c r="CD122" i="15"/>
  <c r="AM98" i="15"/>
  <c r="J98" i="15"/>
  <c r="BR98" i="15"/>
  <c r="BS98" i="15"/>
  <c r="V98" i="15"/>
  <c r="AN98" i="15"/>
  <c r="BQ98" i="15"/>
  <c r="AV178" i="15"/>
  <c r="BE149" i="15"/>
  <c r="AI149" i="15"/>
  <c r="AK149" i="15"/>
  <c r="M149" i="15"/>
  <c r="O149" i="15" s="1"/>
  <c r="Z149" i="15"/>
  <c r="AA149" i="15" s="1"/>
  <c r="J145" i="15"/>
  <c r="AL145" i="15"/>
  <c r="BR145" i="15"/>
  <c r="AN145" i="15"/>
  <c r="AM145" i="15"/>
  <c r="BQ145" i="15"/>
  <c r="BS145" i="15"/>
  <c r="V145" i="15"/>
  <c r="BD115" i="15"/>
  <c r="BD153" i="15"/>
  <c r="BY131" i="15"/>
  <c r="CB131" i="15"/>
  <c r="I131" i="15"/>
  <c r="BR131" i="15" s="1"/>
  <c r="BD209" i="15"/>
  <c r="AU209" i="15"/>
  <c r="BE154" i="15"/>
  <c r="M154" i="15"/>
  <c r="O154" i="15" s="1"/>
  <c r="AI154" i="15"/>
  <c r="AK154" i="15"/>
  <c r="V188" i="15"/>
  <c r="AM188" i="15"/>
  <c r="AN188" i="15"/>
  <c r="AV188" i="15"/>
  <c r="AT188" i="15"/>
  <c r="AU188" i="15" s="1"/>
  <c r="AO188" i="15"/>
  <c r="AT196" i="15"/>
  <c r="AK130" i="15"/>
  <c r="M130" i="15"/>
  <c r="O130" i="15" s="1"/>
  <c r="AI130" i="15"/>
  <c r="BE130" i="15"/>
  <c r="AI213" i="15"/>
  <c r="AK213" i="15"/>
  <c r="M213" i="15"/>
  <c r="O213" i="15" s="1"/>
  <c r="BE213" i="15"/>
  <c r="Z213" i="15"/>
  <c r="AA213" i="15" s="1"/>
  <c r="BS199" i="15"/>
  <c r="V199" i="15"/>
  <c r="AM199" i="15"/>
  <c r="AN199" i="15"/>
  <c r="J199" i="15"/>
  <c r="BQ199" i="15"/>
  <c r="BR199" i="15"/>
  <c r="AL199" i="15"/>
  <c r="BY185" i="15"/>
  <c r="I185" i="15"/>
  <c r="Y185" i="15" s="1"/>
  <c r="CB185" i="15"/>
  <c r="M178" i="15"/>
  <c r="O178" i="15" s="1"/>
  <c r="Z178" i="15"/>
  <c r="AA178" i="15" s="1"/>
  <c r="AI178" i="15"/>
  <c r="AK178" i="15"/>
  <c r="BE178" i="15"/>
  <c r="AK121" i="15"/>
  <c r="BE121" i="15"/>
  <c r="AI121" i="15"/>
  <c r="M121" i="15"/>
  <c r="O121" i="15" s="1"/>
  <c r="Z121" i="15"/>
  <c r="AU220" i="15"/>
  <c r="BD220" i="15"/>
  <c r="CO174" i="15"/>
  <c r="BD214" i="15"/>
  <c r="AU214" i="15"/>
  <c r="AW154" i="15"/>
  <c r="BE104" i="15"/>
  <c r="AI104" i="15"/>
  <c r="AK104" i="15"/>
  <c r="M104" i="15"/>
  <c r="O104" i="15" s="1"/>
  <c r="AM201" i="15"/>
  <c r="BQ201" i="15"/>
  <c r="J201" i="15"/>
  <c r="BR201" i="15"/>
  <c r="V201" i="15"/>
  <c r="AL201" i="15"/>
  <c r="AN201" i="15"/>
  <c r="BS201" i="15"/>
  <c r="AV201" i="15"/>
  <c r="AT201" i="15"/>
  <c r="BY165" i="15"/>
  <c r="BZ165" i="15"/>
  <c r="I165" i="15"/>
  <c r="CB165" i="15"/>
  <c r="AU159" i="15"/>
  <c r="BD159" i="15"/>
  <c r="AN102" i="15"/>
  <c r="V102" i="15"/>
  <c r="AM102" i="15"/>
  <c r="AU162" i="15"/>
  <c r="BD162" i="15"/>
  <c r="AV199" i="15"/>
  <c r="V108" i="15"/>
  <c r="AM108" i="15"/>
  <c r="AN108" i="15"/>
  <c r="M132" i="15"/>
  <c r="O132" i="15" s="1"/>
  <c r="AI132" i="15"/>
  <c r="AK132" i="15"/>
  <c r="Z132" i="15"/>
  <c r="AA132" i="15" s="1"/>
  <c r="BE132" i="15"/>
  <c r="M195" i="15"/>
  <c r="O195" i="15" s="1"/>
  <c r="AI195" i="15"/>
  <c r="BE195" i="15"/>
  <c r="AK195" i="15"/>
  <c r="Z195" i="15"/>
  <c r="AU161" i="15"/>
  <c r="BD161" i="15"/>
  <c r="AU149" i="15"/>
  <c r="BD149" i="15"/>
  <c r="V91" i="15"/>
  <c r="AM91" i="15"/>
  <c r="AN91" i="15"/>
  <c r="I166" i="15"/>
  <c r="CB166" i="15"/>
  <c r="BY166" i="15"/>
  <c r="BZ166" i="15"/>
  <c r="CQ138" i="15"/>
  <c r="AK126" i="15"/>
  <c r="M126" i="15"/>
  <c r="O126" i="15" s="1"/>
  <c r="AI126" i="15"/>
  <c r="BE126" i="15"/>
  <c r="BE170" i="15"/>
  <c r="AK170" i="15"/>
  <c r="AI170" i="15"/>
  <c r="M170" i="15"/>
  <c r="O170" i="15" s="1"/>
  <c r="CQ140" i="15"/>
  <c r="AK95" i="15"/>
  <c r="M95" i="15"/>
  <c r="O95" i="15" s="1"/>
  <c r="BE95" i="15"/>
  <c r="AI95" i="15"/>
  <c r="Z95" i="15"/>
  <c r="AA95" i="15" s="1"/>
  <c r="M199" i="15"/>
  <c r="O199" i="15" s="1"/>
  <c r="BE199" i="15"/>
  <c r="AI199" i="15"/>
  <c r="AK199" i="15"/>
  <c r="Z199" i="15"/>
  <c r="AK193" i="15"/>
  <c r="M193" i="15"/>
  <c r="O193" i="15" s="1"/>
  <c r="AI193" i="15"/>
  <c r="Z193" i="15"/>
  <c r="AA193" i="15" s="1"/>
  <c r="BE193" i="15"/>
  <c r="AL197" i="15"/>
  <c r="AM197" i="15"/>
  <c r="AN197" i="15"/>
  <c r="BQ197" i="15"/>
  <c r="BR197" i="15"/>
  <c r="J197" i="15"/>
  <c r="BS197" i="15"/>
  <c r="V197" i="15"/>
  <c r="AT199" i="15"/>
  <c r="AK113" i="15"/>
  <c r="M113" i="15"/>
  <c r="O113" i="15" s="1"/>
  <c r="AI113" i="15"/>
  <c r="BE113" i="15"/>
  <c r="BE89" i="15"/>
  <c r="AI89" i="15"/>
  <c r="AK89" i="15"/>
  <c r="M89" i="15"/>
  <c r="O89" i="15" s="1"/>
  <c r="Z89" i="15"/>
  <c r="AA89" i="15" s="1"/>
  <c r="AK135" i="15"/>
  <c r="AI135" i="15"/>
  <c r="BE135" i="15"/>
  <c r="M135" i="15"/>
  <c r="O135" i="15" s="1"/>
  <c r="Z135" i="15"/>
  <c r="AA135" i="15" s="1"/>
  <c r="AM208" i="15"/>
  <c r="AN208" i="15"/>
  <c r="BQ208" i="15"/>
  <c r="BR208" i="15"/>
  <c r="V208" i="15"/>
  <c r="BQ171" i="15"/>
  <c r="V171" i="15"/>
  <c r="J171" i="15"/>
  <c r="AN171" i="15"/>
  <c r="BR171" i="15"/>
  <c r="BS171" i="15"/>
  <c r="AL171" i="15"/>
  <c r="AM171" i="15"/>
  <c r="AV171" i="15"/>
  <c r="AT171" i="15"/>
  <c r="CO132" i="15"/>
  <c r="BD155" i="15"/>
  <c r="BY189" i="15"/>
  <c r="CB189" i="15"/>
  <c r="I189" i="15"/>
  <c r="AL97" i="15"/>
  <c r="BR97" i="15"/>
  <c r="V97" i="15"/>
  <c r="AN97" i="15"/>
  <c r="J97" i="15"/>
  <c r="BQ97" i="15"/>
  <c r="BS97" i="15"/>
  <c r="AM97" i="15"/>
  <c r="BD146" i="15"/>
  <c r="AU146" i="15"/>
  <c r="CQ120" i="15"/>
  <c r="V122" i="15"/>
  <c r="J122" i="15"/>
  <c r="AL122" i="15"/>
  <c r="AM122" i="15"/>
  <c r="AN122" i="15"/>
  <c r="BQ122" i="15"/>
  <c r="BS122" i="15"/>
  <c r="BR122" i="15"/>
  <c r="AI157" i="15"/>
  <c r="AK157" i="15"/>
  <c r="M157" i="15"/>
  <c r="O157" i="15" s="1"/>
  <c r="BE157" i="15"/>
  <c r="AN180" i="15"/>
  <c r="V180" i="15"/>
  <c r="AM180" i="15"/>
  <c r="J213" i="15"/>
  <c r="AL213" i="15"/>
  <c r="AM213" i="15"/>
  <c r="AN213" i="15"/>
  <c r="BQ213" i="15"/>
  <c r="BR213" i="15"/>
  <c r="BS213" i="15"/>
  <c r="V213" i="15"/>
  <c r="AV213" i="15"/>
  <c r="AT213" i="15"/>
  <c r="BD194" i="15"/>
  <c r="CB151" i="15"/>
  <c r="I151" i="15"/>
  <c r="BY151" i="15"/>
  <c r="BZ151" i="15"/>
  <c r="AI105" i="15"/>
  <c r="AK105" i="15"/>
  <c r="M105" i="15"/>
  <c r="O105" i="15" s="1"/>
  <c r="BE105" i="15"/>
  <c r="Z105" i="15"/>
  <c r="AU175" i="15"/>
  <c r="BD175" i="15"/>
  <c r="O1951" i="12"/>
  <c r="M2605" i="12"/>
  <c r="N2605" i="12" s="1"/>
  <c r="M2602" i="12"/>
  <c r="N2602" i="12" s="1"/>
  <c r="O1948" i="12"/>
  <c r="M2603" i="12"/>
  <c r="N2603" i="12" s="1"/>
  <c r="O1949" i="12"/>
  <c r="O1955" i="12"/>
  <c r="M2609" i="12"/>
  <c r="N2609" i="12" s="1"/>
  <c r="M2610" i="12"/>
  <c r="N2610" i="12" s="1"/>
  <c r="O1956" i="12"/>
  <c r="O1959" i="12"/>
  <c r="M2613" i="12"/>
  <c r="N2613" i="12" s="1"/>
  <c r="O1953" i="12"/>
  <c r="M2607" i="12"/>
  <c r="N2607" i="12" s="1"/>
  <c r="O1957" i="12"/>
  <c r="M2611" i="12"/>
  <c r="N2611" i="12" s="1"/>
  <c r="M2612" i="12"/>
  <c r="N2612" i="12" s="1"/>
  <c r="O1958" i="12"/>
  <c r="M2606" i="12"/>
  <c r="N2606" i="12" s="1"/>
  <c r="O1952" i="12"/>
  <c r="M2608" i="12"/>
  <c r="N2608" i="12" s="1"/>
  <c r="O1954" i="12"/>
  <c r="CX106" i="13"/>
  <c r="BA79" i="13"/>
  <c r="AL98" i="13"/>
  <c r="AJ61" i="13"/>
  <c r="AP74" i="13"/>
  <c r="CL102" i="13"/>
  <c r="CK102" i="13"/>
  <c r="CM102" i="13"/>
  <c r="BA91" i="13"/>
  <c r="BA56" i="13"/>
  <c r="BA76" i="13"/>
  <c r="BA73" i="13"/>
  <c r="AO58" i="13"/>
  <c r="AR52" i="13"/>
  <c r="W52" i="13" s="1"/>
  <c r="AQ58" i="13"/>
  <c r="AO55" i="13"/>
  <c r="AK74" i="13"/>
  <c r="AO65" i="13"/>
  <c r="CL57" i="13"/>
  <c r="CM57" i="13"/>
  <c r="CK57" i="13"/>
  <c r="CH48" i="13"/>
  <c r="CG48" i="13"/>
  <c r="CI48" i="13"/>
  <c r="N91" i="13"/>
  <c r="AA91" i="13"/>
  <c r="AL91" i="13"/>
  <c r="AP55" i="13"/>
  <c r="AN54" i="13"/>
  <c r="AQ88" i="13"/>
  <c r="AQ98" i="13"/>
  <c r="AK98" i="13"/>
  <c r="Z55" i="13"/>
  <c r="AK103" i="13"/>
  <c r="AL100" i="13"/>
  <c r="AK65" i="13"/>
  <c r="AM63" i="13"/>
  <c r="AN63" i="13"/>
  <c r="AQ63" i="13"/>
  <c r="Z63" i="13"/>
  <c r="AJ63" i="13"/>
  <c r="AL63" i="13"/>
  <c r="AO63" i="13"/>
  <c r="M2673" i="12"/>
  <c r="O2673" i="12" s="1"/>
  <c r="M2691" i="12"/>
  <c r="AN57" i="13"/>
  <c r="BF57" i="13" s="1"/>
  <c r="BG57" i="13" s="1"/>
  <c r="BI57" i="13" s="1"/>
  <c r="AJ88" i="13"/>
  <c r="AN88" i="13"/>
  <c r="AL88" i="13"/>
  <c r="AX88" i="13" s="1"/>
  <c r="Z99" i="13"/>
  <c r="AJ55" i="13"/>
  <c r="AO66" i="13"/>
  <c r="AX66" i="13" s="1"/>
  <c r="BE71" i="13"/>
  <c r="AO98" i="13"/>
  <c r="AQ69" i="13"/>
  <c r="AO60" i="13"/>
  <c r="BA60" i="13" s="1"/>
  <c r="BA52" i="13"/>
  <c r="BF89" i="13"/>
  <c r="AS106" i="13"/>
  <c r="N2163" i="12" s="1"/>
  <c r="N2165" i="12" s="1"/>
  <c r="D2162" i="12" s="1"/>
  <c r="BE88" i="13"/>
  <c r="BA53" i="13"/>
  <c r="BF48" i="13"/>
  <c r="BG48" i="13" s="1"/>
  <c r="BI48" i="13" s="1"/>
  <c r="AP98" i="13"/>
  <c r="AJ98" i="13"/>
  <c r="BF98" i="13" s="1"/>
  <c r="AL55" i="13"/>
  <c r="AA45" i="13"/>
  <c r="AL60" i="13"/>
  <c r="BF60" i="13" s="1"/>
  <c r="O2652" i="12"/>
  <c r="D2644" i="12" s="1"/>
  <c r="AQ57" i="13"/>
  <c r="BE78" i="13"/>
  <c r="AR77" i="13"/>
  <c r="W77" i="13" s="1"/>
  <c r="BE72" i="13"/>
  <c r="BF52" i="13"/>
  <c r="BG52" i="13" s="1"/>
  <c r="AK104" i="13"/>
  <c r="AJ103" i="13"/>
  <c r="AM60" i="13"/>
  <c r="AJ65" i="13"/>
  <c r="AM89" i="13"/>
  <c r="AL89" i="13"/>
  <c r="AN89" i="13"/>
  <c r="AO89" i="13"/>
  <c r="AT57" i="13"/>
  <c r="BM57" i="13"/>
  <c r="BA86" i="13"/>
  <c r="AN98" i="13"/>
  <c r="M2696" i="12"/>
  <c r="M2676" i="12"/>
  <c r="O2676" i="12" s="1"/>
  <c r="M2715" i="12"/>
  <c r="N2715" i="12" s="1"/>
  <c r="O2695" i="12"/>
  <c r="AM88" i="13"/>
  <c r="O1905" i="12"/>
  <c r="M1905" i="12" s="1"/>
  <c r="M1907" i="12" s="1"/>
  <c r="D1904" i="12" s="1"/>
  <c r="M1901" i="12"/>
  <c r="M1903" i="12" s="1"/>
  <c r="D1899" i="12" s="1"/>
  <c r="AM54" i="13"/>
  <c r="AR54" i="13" s="1"/>
  <c r="AP88" i="13"/>
  <c r="AW106" i="13"/>
  <c r="O2269" i="12" s="1"/>
  <c r="CV106" i="13"/>
  <c r="AM98" i="13"/>
  <c r="AX98" i="13" s="1"/>
  <c r="BE104" i="13"/>
  <c r="AL83" i="13"/>
  <c r="AO103" i="13"/>
  <c r="M2683" i="12"/>
  <c r="M2703" i="12" s="1"/>
  <c r="O2655" i="12"/>
  <c r="O2658" i="12" s="1"/>
  <c r="D2653" i="12" s="1"/>
  <c r="M2661" i="12"/>
  <c r="N2661" i="12" s="1"/>
  <c r="N2664" i="12" s="1"/>
  <c r="D2659" i="12" s="1"/>
  <c r="AF57" i="13"/>
  <c r="AE106" i="13"/>
  <c r="O2082" i="12" s="1"/>
  <c r="O2084" i="12" s="1"/>
  <c r="D2080" i="12" s="1"/>
  <c r="BG72" i="13"/>
  <c r="BI72" i="13" s="1"/>
  <c r="BY46" i="13"/>
  <c r="CA46" i="13"/>
  <c r="BZ46" i="13"/>
  <c r="AX90" i="13"/>
  <c r="AK82" i="13"/>
  <c r="AN82" i="13"/>
  <c r="AK46" i="13"/>
  <c r="AM99" i="13"/>
  <c r="CY106" i="13"/>
  <c r="AP51" i="13"/>
  <c r="AN84" i="13"/>
  <c r="AM62" i="13"/>
  <c r="AQ49" i="13"/>
  <c r="BD106" i="13"/>
  <c r="AL70" i="13"/>
  <c r="AP75" i="13"/>
  <c r="W47" i="13"/>
  <c r="AR47" i="13"/>
  <c r="BA93" i="13"/>
  <c r="AA80" i="13"/>
  <c r="N80" i="13"/>
  <c r="BC47" i="13"/>
  <c r="BM47" i="13"/>
  <c r="BF47" i="13"/>
  <c r="BO70" i="13"/>
  <c r="BP70" i="13"/>
  <c r="Z46" i="13"/>
  <c r="AL99" i="13"/>
  <c r="BF99" i="13" s="1"/>
  <c r="CW106" i="13"/>
  <c r="AA49" i="13"/>
  <c r="N49" i="13"/>
  <c r="BE105" i="13"/>
  <c r="BC45" i="13"/>
  <c r="BF45" i="13"/>
  <c r="BM45" i="13"/>
  <c r="BB106" i="13"/>
  <c r="O2214" i="12" s="1"/>
  <c r="O2215" i="12" s="1"/>
  <c r="D2212" i="12" s="1"/>
  <c r="DL106" i="13"/>
  <c r="N2184" i="12" s="1"/>
  <c r="N2186" i="12" s="1"/>
  <c r="D2183" i="12" s="1"/>
  <c r="AP70" i="13"/>
  <c r="AR72" i="13"/>
  <c r="W72" i="13" s="1"/>
  <c r="N50" i="13"/>
  <c r="AA50" i="13"/>
  <c r="AE75" i="13"/>
  <c r="CL103" i="13"/>
  <c r="CK103" i="13"/>
  <c r="CM103" i="13"/>
  <c r="BA47" i="13"/>
  <c r="AR48" i="13"/>
  <c r="W48" i="13" s="1"/>
  <c r="AO51" i="13"/>
  <c r="O2741" i="12"/>
  <c r="O2744" i="12" s="1"/>
  <c r="D2739" i="12" s="1"/>
  <c r="E2748" i="12"/>
  <c r="BM62" i="13"/>
  <c r="BA67" i="13"/>
  <c r="AL49" i="13"/>
  <c r="AO49" i="13"/>
  <c r="DP106" i="13"/>
  <c r="N2200" i="12" s="1"/>
  <c r="N2202" i="12" s="1"/>
  <c r="D2199" i="12" s="1"/>
  <c r="AX73" i="13"/>
  <c r="AO70" i="13"/>
  <c r="BM75" i="13"/>
  <c r="AQ96" i="13"/>
  <c r="AR90" i="13"/>
  <c r="W90" i="13" s="1"/>
  <c r="BO85" i="13"/>
  <c r="BP85" i="13"/>
  <c r="CL53" i="13"/>
  <c r="CK53" i="13"/>
  <c r="CK108" i="13" s="1"/>
  <c r="CM53" i="13"/>
  <c r="AO96" i="13"/>
  <c r="AR86" i="13"/>
  <c r="W86" i="13" s="1"/>
  <c r="BM66" i="13"/>
  <c r="BM58" i="13"/>
  <c r="AN51" i="13"/>
  <c r="AL46" i="13"/>
  <c r="AJ84" i="13"/>
  <c r="AK62" i="13"/>
  <c r="AR63" i="13"/>
  <c r="W63" i="13" s="1"/>
  <c r="AX64" i="13"/>
  <c r="BF64" i="13"/>
  <c r="BG64" i="13" s="1"/>
  <c r="BI64" i="13" s="1"/>
  <c r="BA64" i="13"/>
  <c r="BA45" i="13"/>
  <c r="AZ106" i="13"/>
  <c r="O2262" i="12" s="1"/>
  <c r="O2264" i="12" s="1"/>
  <c r="D2261" i="12" s="1"/>
  <c r="I106" i="13"/>
  <c r="BF73" i="13"/>
  <c r="AN70" i="13"/>
  <c r="BM70" i="13"/>
  <c r="AN75" i="13"/>
  <c r="AQ74" i="13"/>
  <c r="AX79" i="13"/>
  <c r="AR80" i="13"/>
  <c r="W80" i="13" s="1"/>
  <c r="AO69" i="13"/>
  <c r="AQ83" i="13"/>
  <c r="AA53" i="13"/>
  <c r="N53" i="13"/>
  <c r="AR79" i="13"/>
  <c r="W79" i="13" s="1"/>
  <c r="Z100" i="13"/>
  <c r="AM82" i="13"/>
  <c r="AR93" i="13"/>
  <c r="W93" i="13" s="1"/>
  <c r="BC90" i="13"/>
  <c r="BF90" i="13"/>
  <c r="AM58" i="13"/>
  <c r="Z70" i="13"/>
  <c r="CD47" i="13"/>
  <c r="CC47" i="13"/>
  <c r="CE47" i="13"/>
  <c r="AJ51" i="13"/>
  <c r="AM51" i="13"/>
  <c r="AJ62" i="13"/>
  <c r="AN49" i="13"/>
  <c r="DN106" i="13"/>
  <c r="N2192" i="12" s="1"/>
  <c r="N2194" i="12" s="1"/>
  <c r="D2191" i="12" s="1"/>
  <c r="DK106" i="13"/>
  <c r="N2180" i="12" s="1"/>
  <c r="N2182" i="12" s="1"/>
  <c r="D2179" i="12" s="1"/>
  <c r="CG98" i="13"/>
  <c r="CH98" i="13"/>
  <c r="CI98" i="13"/>
  <c r="AM70" i="13"/>
  <c r="AK70" i="13"/>
  <c r="AC75" i="13"/>
  <c r="AC106" i="13" s="1"/>
  <c r="AJ75" i="13"/>
  <c r="AQ82" i="13"/>
  <c r="AR76" i="13"/>
  <c r="W76" i="13" s="1"/>
  <c r="BF79" i="13"/>
  <c r="BG79" i="13" s="1"/>
  <c r="BI79" i="13" s="1"/>
  <c r="V66" i="13"/>
  <c r="AJ83" i="13"/>
  <c r="N83" i="13"/>
  <c r="AA83" i="13"/>
  <c r="BV60" i="13"/>
  <c r="BV108" i="13" s="1"/>
  <c r="BU60" i="13"/>
  <c r="BW60" i="13"/>
  <c r="BA105" i="13"/>
  <c r="BF105" i="13"/>
  <c r="BM53" i="13"/>
  <c r="AX53" i="13"/>
  <c r="BF53" i="13"/>
  <c r="AK58" i="13"/>
  <c r="BC84" i="13"/>
  <c r="BE84" i="13" s="1"/>
  <c r="AX105" i="13"/>
  <c r="BG93" i="13"/>
  <c r="BH93" i="13" s="1"/>
  <c r="CG55" i="13"/>
  <c r="CH55" i="13"/>
  <c r="CI55" i="13"/>
  <c r="DH106" i="13"/>
  <c r="N2172" i="12" s="1"/>
  <c r="N2174" i="12" s="1"/>
  <c r="D2171" i="12" s="1"/>
  <c r="BA102" i="13"/>
  <c r="AJ70" i="13"/>
  <c r="AQ75" i="13"/>
  <c r="AJ74" i="13"/>
  <c r="Z74" i="13"/>
  <c r="V53" i="13"/>
  <c r="AX60" i="13"/>
  <c r="AM96" i="13"/>
  <c r="AN96" i="13"/>
  <c r="CG99" i="13"/>
  <c r="CH99" i="13"/>
  <c r="CI99" i="13"/>
  <c r="BG76" i="13"/>
  <c r="BI76" i="13" s="1"/>
  <c r="AM46" i="13"/>
  <c r="AO101" i="13"/>
  <c r="AX101" i="13" s="1"/>
  <c r="AK96" i="13"/>
  <c r="AK51" i="13"/>
  <c r="E1797" i="12"/>
  <c r="D1793" i="12" s="1"/>
  <c r="E1800" i="12"/>
  <c r="AQ84" i="13"/>
  <c r="AT62" i="13"/>
  <c r="AX48" i="13"/>
  <c r="AP96" i="13"/>
  <c r="BC49" i="13"/>
  <c r="BM49" i="13"/>
  <c r="AM49" i="13"/>
  <c r="DJ106" i="13"/>
  <c r="N2176" i="12" s="1"/>
  <c r="N2178" i="12" s="1"/>
  <c r="D2175" i="12" s="1"/>
  <c r="BW61" i="13"/>
  <c r="BV61" i="13"/>
  <c r="BU61" i="13"/>
  <c r="BF86" i="13"/>
  <c r="AX56" i="13"/>
  <c r="BF56" i="13"/>
  <c r="BM56" i="13"/>
  <c r="BF77" i="13"/>
  <c r="AK83" i="13"/>
  <c r="Z83" i="13"/>
  <c r="AI53" i="13"/>
  <c r="AF53" i="13"/>
  <c r="AG53" i="13"/>
  <c r="AA60" i="13"/>
  <c r="N60" i="13"/>
  <c r="CG96" i="13"/>
  <c r="CH96" i="13"/>
  <c r="CI96" i="13"/>
  <c r="BG89" i="13"/>
  <c r="BH89" i="13" s="1"/>
  <c r="BS108" i="13"/>
  <c r="N58" i="13"/>
  <c r="AA58" i="13"/>
  <c r="AX93" i="13"/>
  <c r="AK59" i="13"/>
  <c r="AJ59" i="13"/>
  <c r="AL59" i="13"/>
  <c r="AN59" i="13"/>
  <c r="AO59" i="13"/>
  <c r="AQ59" i="13"/>
  <c r="AP58" i="13"/>
  <c r="AX99" i="13"/>
  <c r="BH87" i="13"/>
  <c r="AX76" i="13"/>
  <c r="AV106" i="13"/>
  <c r="O2209" i="12" s="1"/>
  <c r="O2211" i="12" s="1"/>
  <c r="AO75" i="13"/>
  <c r="BC97" i="13"/>
  <c r="BE97" i="13" s="1"/>
  <c r="BM97" i="13"/>
  <c r="CC50" i="13"/>
  <c r="CE50" i="13"/>
  <c r="CD50" i="13"/>
  <c r="BE99" i="13"/>
  <c r="CH100" i="13"/>
  <c r="CI100" i="13"/>
  <c r="CG100" i="13"/>
  <c r="BA88" i="13"/>
  <c r="AX81" i="13"/>
  <c r="BF67" i="13"/>
  <c r="BG67" i="13" s="1"/>
  <c r="BI67" i="13" s="1"/>
  <c r="BM67" i="13"/>
  <c r="AX67" i="13"/>
  <c r="BR108" i="13"/>
  <c r="BR109" i="13" s="1"/>
  <c r="AP82" i="13"/>
  <c r="AN58" i="13"/>
  <c r="V67" i="13"/>
  <c r="AA62" i="13"/>
  <c r="N62" i="13"/>
  <c r="BA98" i="13"/>
  <c r="AL51" i="13"/>
  <c r="AR45" i="13"/>
  <c r="W45" i="13" s="1"/>
  <c r="BF94" i="13"/>
  <c r="AP84" i="13"/>
  <c r="AM84" i="13"/>
  <c r="AO62" i="13"/>
  <c r="AQ62" i="13"/>
  <c r="AR57" i="13"/>
  <c r="AK49" i="13"/>
  <c r="AX49" i="13" s="1"/>
  <c r="AX45" i="13"/>
  <c r="AL96" i="13"/>
  <c r="BV72" i="13"/>
  <c r="BU72" i="13"/>
  <c r="BW72" i="13"/>
  <c r="AK75" i="13"/>
  <c r="AQ61" i="13"/>
  <c r="W61" i="13" s="1"/>
  <c r="AN61" i="13"/>
  <c r="BG102" i="13"/>
  <c r="BH102" i="13" s="1"/>
  <c r="AP97" i="13"/>
  <c r="AL74" i="13"/>
  <c r="BZ90" i="13"/>
  <c r="BY90" i="13"/>
  <c r="CA90" i="13"/>
  <c r="N85" i="13"/>
  <c r="AA85" i="13"/>
  <c r="BZ97" i="13"/>
  <c r="BY97" i="13"/>
  <c r="CA97" i="13"/>
  <c r="AM104" i="13"/>
  <c r="BP69" i="13"/>
  <c r="BO69" i="13"/>
  <c r="BO83" i="13"/>
  <c r="BP83" i="13"/>
  <c r="CL56" i="13"/>
  <c r="CM56" i="13"/>
  <c r="CK56" i="13"/>
  <c r="AR60" i="13"/>
  <c r="AX47" i="13"/>
  <c r="AJ78" i="13"/>
  <c r="AX78" i="13" s="1"/>
  <c r="AJ71" i="13"/>
  <c r="AX71" i="13" s="1"/>
  <c r="BE95" i="13"/>
  <c r="AJ82" i="13"/>
  <c r="AQ46" i="13"/>
  <c r="AL82" i="13"/>
  <c r="N59" i="13"/>
  <c r="AA59" i="13"/>
  <c r="BF101" i="13"/>
  <c r="AR105" i="13"/>
  <c r="W105" i="13" s="1"/>
  <c r="BP84" i="13"/>
  <c r="BO84" i="13"/>
  <c r="Z62" i="13"/>
  <c r="BF81" i="13"/>
  <c r="BA94" i="13"/>
  <c r="AL84" i="13"/>
  <c r="AN62" i="13"/>
  <c r="AO82" i="13"/>
  <c r="AA55" i="13"/>
  <c r="N55" i="13"/>
  <c r="AP49" i="13"/>
  <c r="DO106" i="13"/>
  <c r="N2196" i="12" s="1"/>
  <c r="N2198" i="12" s="1"/>
  <c r="D2195" i="12" s="1"/>
  <c r="DI106" i="13"/>
  <c r="AR81" i="13"/>
  <c r="W81" i="13" s="1"/>
  <c r="AD75" i="13"/>
  <c r="AM75" i="13"/>
  <c r="AR61" i="13"/>
  <c r="N47" i="13"/>
  <c r="AA47" i="13"/>
  <c r="AN97" i="13"/>
  <c r="AK97" i="13"/>
  <c r="AX97" i="13" s="1"/>
  <c r="AG56" i="13"/>
  <c r="AO74" i="13"/>
  <c r="AM50" i="13"/>
  <c r="BE90" i="13"/>
  <c r="BA81" i="13"/>
  <c r="AA97" i="13"/>
  <c r="N97" i="13"/>
  <c r="Z69" i="13"/>
  <c r="AP103" i="13"/>
  <c r="Z103" i="13"/>
  <c r="V56" i="13"/>
  <c r="AM100" i="13"/>
  <c r="AX86" i="13"/>
  <c r="AL95" i="13"/>
  <c r="BF95" i="13" s="1"/>
  <c r="AR99" i="13"/>
  <c r="AX80" i="13"/>
  <c r="AO46" i="13"/>
  <c r="N88" i="13"/>
  <c r="AA88" i="13"/>
  <c r="BA54" i="13"/>
  <c r="BY82" i="13"/>
  <c r="BZ82" i="13"/>
  <c r="CA82" i="13"/>
  <c r="AT53" i="13"/>
  <c r="AL58" i="13"/>
  <c r="AA51" i="13"/>
  <c r="N51" i="13"/>
  <c r="BE101" i="13"/>
  <c r="BA90" i="13"/>
  <c r="V62" i="13"/>
  <c r="BM71" i="13"/>
  <c r="V71" i="13"/>
  <c r="AQ51" i="13"/>
  <c r="Z49" i="13"/>
  <c r="AP62" i="13"/>
  <c r="AR94" i="13"/>
  <c r="W94" i="13" s="1"/>
  <c r="AN55" i="13"/>
  <c r="AI55" i="13"/>
  <c r="AM55" i="13"/>
  <c r="AF55" i="13"/>
  <c r="AH55" i="13"/>
  <c r="AH106" i="13" s="1"/>
  <c r="O2092" i="12" s="1"/>
  <c r="O2094" i="12" s="1"/>
  <c r="D2090" i="12" s="1"/>
  <c r="AG55" i="13"/>
  <c r="AU106" i="13"/>
  <c r="O2205" i="12" s="1"/>
  <c r="O2207" i="12" s="1"/>
  <c r="AQ70" i="13"/>
  <c r="AT70" i="13"/>
  <c r="BE70" i="13" s="1"/>
  <c r="N61" i="13"/>
  <c r="AA61" i="13"/>
  <c r="BV74" i="13"/>
  <c r="BW74" i="13"/>
  <c r="BU74" i="13"/>
  <c r="AL50" i="13"/>
  <c r="AR50" i="13" s="1"/>
  <c r="AM85" i="13"/>
  <c r="BP80" i="13"/>
  <c r="BO80" i="13"/>
  <c r="AQ104" i="13"/>
  <c r="Z104" i="13"/>
  <c r="AK69" i="13"/>
  <c r="AP69" i="13"/>
  <c r="AM83" i="13"/>
  <c r="N56" i="13"/>
  <c r="AA56" i="13"/>
  <c r="BA80" i="13"/>
  <c r="BC80" i="13"/>
  <c r="BE80" i="13" s="1"/>
  <c r="BF80" i="13"/>
  <c r="BH72" i="13"/>
  <c r="N46" i="13"/>
  <c r="AA46" i="13"/>
  <c r="CL108" i="13"/>
  <c r="E2375" i="12" s="1"/>
  <c r="E2377" i="12" s="1"/>
  <c r="D2374" i="12" s="1"/>
  <c r="N84" i="13"/>
  <c r="AA84" i="13"/>
  <c r="CZ106" i="13"/>
  <c r="BE98" i="13"/>
  <c r="AL62" i="13"/>
  <c r="BA62" i="13" s="1"/>
  <c r="DM106" i="13"/>
  <c r="N2188" i="12" s="1"/>
  <c r="N2190" i="12" s="1"/>
  <c r="D2187" i="12" s="1"/>
  <c r="DG106" i="13"/>
  <c r="N2168" i="12" s="1"/>
  <c r="N2170" i="12" s="1"/>
  <c r="D2167" i="12" s="1"/>
  <c r="Z61" i="13"/>
  <c r="AJ46" i="13"/>
  <c r="N90" i="13"/>
  <c r="AA90" i="13"/>
  <c r="AJ104" i="13"/>
  <c r="AR104" i="13" s="1"/>
  <c r="AJ69" i="13"/>
  <c r="AL69" i="13"/>
  <c r="AJ96" i="13"/>
  <c r="AP46" i="13"/>
  <c r="AX100" i="13"/>
  <c r="K3875" i="12"/>
  <c r="D3805" i="12" s="1"/>
  <c r="D3040" i="12"/>
  <c r="N3628" i="12"/>
  <c r="O3629" i="12" s="1"/>
  <c r="O3631" i="12" s="1"/>
  <c r="I2716" i="12"/>
  <c r="O2696" i="12"/>
  <c r="O2882" i="12"/>
  <c r="M2876" i="12"/>
  <c r="O3484" i="12"/>
  <c r="D3414" i="12" s="1"/>
  <c r="M2705" i="12"/>
  <c r="N2705" i="12" s="1"/>
  <c r="O2685" i="12"/>
  <c r="G3607" i="12"/>
  <c r="O3607" i="12" s="1"/>
  <c r="O3536" i="12"/>
  <c r="O3500" i="12"/>
  <c r="G3571" i="12"/>
  <c r="O3571" i="12" s="1"/>
  <c r="B2958" i="12"/>
  <c r="B3000" i="12" s="1"/>
  <c r="B2993" i="12"/>
  <c r="B2970" i="12"/>
  <c r="B2978" i="12" s="1"/>
  <c r="O3532" i="12"/>
  <c r="G3603" i="12"/>
  <c r="O3603" i="12" s="1"/>
  <c r="G3567" i="12"/>
  <c r="O3567" i="12" s="1"/>
  <c r="O3496" i="12"/>
  <c r="E2703" i="12"/>
  <c r="I2703" i="12" s="1"/>
  <c r="O2688" i="12"/>
  <c r="M2689" i="12"/>
  <c r="M2708" i="12"/>
  <c r="N2708" i="12" s="1"/>
  <c r="O3413" i="12"/>
  <c r="D3343" i="12" s="1"/>
  <c r="O3551" i="12"/>
  <c r="G3622" i="12"/>
  <c r="O3622" i="12" s="1"/>
  <c r="O3552" i="12"/>
  <c r="G3623" i="12"/>
  <c r="O3623" i="12" s="1"/>
  <c r="K2069" i="12"/>
  <c r="K2072" i="12" s="1"/>
  <c r="D2066" i="12" s="1"/>
  <c r="O3518" i="12"/>
  <c r="G3589" i="12"/>
  <c r="O3589" i="12" s="1"/>
  <c r="O3655" i="12"/>
  <c r="K3655" i="12" s="1"/>
  <c r="O3200" i="12"/>
  <c r="D3193" i="12" s="1"/>
  <c r="O1924" i="12"/>
  <c r="M1924" i="12" s="1"/>
  <c r="M1926" i="12" s="1"/>
  <c r="D1923" i="12" s="1"/>
  <c r="M1920" i="12"/>
  <c r="M1922" i="12" s="1"/>
  <c r="D1918" i="12" s="1"/>
  <c r="N2703" i="12" l="1"/>
  <c r="O2683" i="12"/>
  <c r="O2884" i="12"/>
  <c r="D2879" i="12" s="1"/>
  <c r="E1997" i="12"/>
  <c r="O1997" i="12" s="1"/>
  <c r="O1999" i="12" s="1"/>
  <c r="O2002" i="12" s="1"/>
  <c r="AU210" i="15"/>
  <c r="BQ203" i="15"/>
  <c r="BR111" i="15"/>
  <c r="M203" i="15"/>
  <c r="O203" i="15" s="1"/>
  <c r="BS96" i="15"/>
  <c r="BR96" i="15"/>
  <c r="CA99" i="15"/>
  <c r="CO99" i="15" s="1"/>
  <c r="AK203" i="15"/>
  <c r="BR203" i="15"/>
  <c r="AK119" i="15"/>
  <c r="AI203" i="15"/>
  <c r="BS203" i="15"/>
  <c r="CA157" i="15"/>
  <c r="Z203" i="15"/>
  <c r="AA203" i="15" s="1"/>
  <c r="Z180" i="15"/>
  <c r="AA180" i="15" s="1"/>
  <c r="AL203" i="15"/>
  <c r="AW203" i="15" s="1"/>
  <c r="BE203" i="15"/>
  <c r="BD119" i="15"/>
  <c r="BS119" i="15"/>
  <c r="J119" i="15"/>
  <c r="BQ119" i="15"/>
  <c r="BR119" i="15"/>
  <c r="AE93" i="15"/>
  <c r="BZ93" i="15"/>
  <c r="CD93" i="15" s="1"/>
  <c r="AE119" i="15"/>
  <c r="J198" i="15"/>
  <c r="BZ119" i="15"/>
  <c r="CD119" i="15" s="1"/>
  <c r="AI119" i="15"/>
  <c r="Z119" i="15"/>
  <c r="AA119" i="15" s="1"/>
  <c r="CA119" i="15"/>
  <c r="CO119" i="15" s="1"/>
  <c r="M119" i="15"/>
  <c r="O119" i="15" s="1"/>
  <c r="W119" i="15" s="1"/>
  <c r="BE119" i="15"/>
  <c r="BG119" i="15" s="1"/>
  <c r="AL119" i="15"/>
  <c r="AW119" i="15" s="1"/>
  <c r="J96" i="15"/>
  <c r="BD216" i="15"/>
  <c r="AG194" i="15"/>
  <c r="AE152" i="15"/>
  <c r="BD164" i="15"/>
  <c r="BZ155" i="15"/>
  <c r="CD155" i="15" s="1"/>
  <c r="AE155" i="15"/>
  <c r="AE98" i="15"/>
  <c r="Z98" i="15"/>
  <c r="AA98" i="15" s="1"/>
  <c r="Z155" i="15"/>
  <c r="AA155" i="15" s="1"/>
  <c r="CA98" i="15"/>
  <c r="CO98" i="15" s="1"/>
  <c r="CA152" i="15"/>
  <c r="Z152" i="15"/>
  <c r="AA152" i="15" s="1"/>
  <c r="M146" i="15"/>
  <c r="O146" i="15" s="1"/>
  <c r="BD165" i="15"/>
  <c r="Z146" i="15"/>
  <c r="AA146" i="15" s="1"/>
  <c r="BE146" i="15"/>
  <c r="CA93" i="15"/>
  <c r="AK146" i="15"/>
  <c r="AI146" i="15"/>
  <c r="BQ146" i="15"/>
  <c r="BR146" i="15"/>
  <c r="BD183" i="15"/>
  <c r="J146" i="15"/>
  <c r="BD126" i="15"/>
  <c r="AL146" i="15"/>
  <c r="AW146" i="15" s="1"/>
  <c r="BQ198" i="15"/>
  <c r="BE198" i="15"/>
  <c r="BD179" i="15"/>
  <c r="AK198" i="15"/>
  <c r="Y198" i="15"/>
  <c r="CA198" i="15" s="1"/>
  <c r="AI198" i="15"/>
  <c r="BR198" i="15"/>
  <c r="M198" i="15"/>
  <c r="O198" i="15" s="1"/>
  <c r="W198" i="15" s="1"/>
  <c r="AW126" i="15"/>
  <c r="AL198" i="15"/>
  <c r="AW198" i="15" s="1"/>
  <c r="M167" i="15"/>
  <c r="O167" i="15" s="1"/>
  <c r="BR123" i="15"/>
  <c r="J101" i="15"/>
  <c r="AK167" i="15"/>
  <c r="BQ123" i="15"/>
  <c r="Z109" i="15"/>
  <c r="AA109" i="15" s="1"/>
  <c r="AI167" i="15"/>
  <c r="M109" i="15"/>
  <c r="O109" i="15" s="1"/>
  <c r="W109" i="15" s="1"/>
  <c r="BE167" i="15"/>
  <c r="AK109" i="15"/>
  <c r="AI109" i="15"/>
  <c r="J123" i="15"/>
  <c r="BE109" i="15"/>
  <c r="BQ167" i="15"/>
  <c r="BQ109" i="15"/>
  <c r="AL101" i="15"/>
  <c r="M123" i="15"/>
  <c r="O123" i="15" s="1"/>
  <c r="BZ164" i="15"/>
  <c r="AL167" i="15"/>
  <c r="BS167" i="15"/>
  <c r="BS101" i="15"/>
  <c r="AW109" i="15"/>
  <c r="AL108" i="15"/>
  <c r="AL123" i="15"/>
  <c r="J108" i="15"/>
  <c r="AE164" i="15"/>
  <c r="BR101" i="15"/>
  <c r="AE157" i="15"/>
  <c r="BR180" i="15"/>
  <c r="AI180" i="15"/>
  <c r="J207" i="15"/>
  <c r="BQ180" i="15"/>
  <c r="BE180" i="15"/>
  <c r="BS207" i="15"/>
  <c r="J180" i="15"/>
  <c r="Z207" i="15"/>
  <c r="AA207" i="15" s="1"/>
  <c r="M180" i="15"/>
  <c r="O180" i="15" s="1"/>
  <c r="AL207" i="15"/>
  <c r="AW207" i="15" s="1"/>
  <c r="BE207" i="15"/>
  <c r="BF207" i="15" s="1"/>
  <c r="BQ207" i="15"/>
  <c r="M207" i="15"/>
  <c r="O207" i="15" s="1"/>
  <c r="BR207" i="15"/>
  <c r="AK207" i="15"/>
  <c r="AL180" i="15"/>
  <c r="BS180" i="15"/>
  <c r="AW103" i="15"/>
  <c r="BS188" i="15"/>
  <c r="AW169" i="15"/>
  <c r="BE147" i="15"/>
  <c r="AI147" i="15"/>
  <c r="J147" i="15"/>
  <c r="J208" i="15"/>
  <c r="AH194" i="15"/>
  <c r="AG206" i="15"/>
  <c r="AL104" i="15"/>
  <c r="AW104" i="15" s="1"/>
  <c r="J109" i="15"/>
  <c r="AG213" i="15"/>
  <c r="BS109" i="15"/>
  <c r="AK147" i="15"/>
  <c r="BQ188" i="15"/>
  <c r="AI216" i="15"/>
  <c r="AL147" i="15"/>
  <c r="M147" i="15"/>
  <c r="O147" i="15" s="1"/>
  <c r="W147" i="15" s="1"/>
  <c r="BS147" i="15"/>
  <c r="BQ147" i="15"/>
  <c r="BR147" i="15"/>
  <c r="AL188" i="15"/>
  <c r="AW188" i="15" s="1"/>
  <c r="AG212" i="15"/>
  <c r="M108" i="15"/>
  <c r="O108" i="15" s="1"/>
  <c r="W108" i="15" s="1"/>
  <c r="BR188" i="15"/>
  <c r="BG205" i="15"/>
  <c r="J188" i="15"/>
  <c r="BS208" i="15"/>
  <c r="CA164" i="15"/>
  <c r="CO164" i="15" s="1"/>
  <c r="BR167" i="15"/>
  <c r="AW177" i="15"/>
  <c r="BE216" i="15"/>
  <c r="AL216" i="15"/>
  <c r="AW216" i="15" s="1"/>
  <c r="BQ216" i="15"/>
  <c r="BS216" i="15"/>
  <c r="BR216" i="15"/>
  <c r="M216" i="15"/>
  <c r="O216" i="15" s="1"/>
  <c r="W216" i="15" s="1"/>
  <c r="Z216" i="15"/>
  <c r="AA216" i="15" s="1"/>
  <c r="AK216" i="15"/>
  <c r="J163" i="15"/>
  <c r="BS163" i="15"/>
  <c r="BR163" i="15"/>
  <c r="BQ163" i="15"/>
  <c r="AL163" i="15"/>
  <c r="BD103" i="15"/>
  <c r="AL191" i="15"/>
  <c r="AL138" i="15"/>
  <c r="AG93" i="15"/>
  <c r="AW206" i="15"/>
  <c r="AW210" i="15"/>
  <c r="J202" i="15"/>
  <c r="J215" i="15"/>
  <c r="AB205" i="15"/>
  <c r="BR215" i="15"/>
  <c r="AG205" i="15"/>
  <c r="AU204" i="15"/>
  <c r="AH205" i="15"/>
  <c r="BQ111" i="15"/>
  <c r="AF205" i="15"/>
  <c r="M188" i="15"/>
  <c r="O188" i="15" s="1"/>
  <c r="AB188" i="15" s="1"/>
  <c r="BQ215" i="15"/>
  <c r="AW149" i="15"/>
  <c r="AG122" i="15"/>
  <c r="CA188" i="15"/>
  <c r="CO188" i="15" s="1"/>
  <c r="Z188" i="15"/>
  <c r="AA188" i="15" s="1"/>
  <c r="BZ188" i="15"/>
  <c r="CD188" i="15" s="1"/>
  <c r="CA167" i="15"/>
  <c r="AL202" i="15"/>
  <c r="BE138" i="15"/>
  <c r="Z138" i="15"/>
  <c r="AG138" i="15" s="1"/>
  <c r="AI138" i="15"/>
  <c r="M138" i="15"/>
  <c r="O138" i="15" s="1"/>
  <c r="AK138" i="15"/>
  <c r="AE167" i="15"/>
  <c r="BR108" i="15"/>
  <c r="BS102" i="15"/>
  <c r="Z157" i="15"/>
  <c r="AA157" i="15" s="1"/>
  <c r="BQ108" i="15"/>
  <c r="BR102" i="15"/>
  <c r="BZ167" i="15"/>
  <c r="CD167" i="15" s="1"/>
  <c r="BQ102" i="15"/>
  <c r="BR138" i="15"/>
  <c r="AD167" i="15"/>
  <c r="AH174" i="15"/>
  <c r="BR156" i="15"/>
  <c r="J138" i="15"/>
  <c r="Z192" i="15"/>
  <c r="AA192" i="15" s="1"/>
  <c r="AK192" i="15"/>
  <c r="BE192" i="15"/>
  <c r="J192" i="15"/>
  <c r="BQ192" i="15"/>
  <c r="BS192" i="15"/>
  <c r="BR192" i="15"/>
  <c r="AL192" i="15"/>
  <c r="AW192" i="15" s="1"/>
  <c r="M192" i="15"/>
  <c r="O192" i="15" s="1"/>
  <c r="AI192" i="15"/>
  <c r="AL102" i="15"/>
  <c r="AW102" i="15" s="1"/>
  <c r="BS202" i="15"/>
  <c r="BR202" i="15"/>
  <c r="AU200" i="15"/>
  <c r="AW200" i="15" s="1"/>
  <c r="BD200" i="15"/>
  <c r="M202" i="15"/>
  <c r="O202" i="15" s="1"/>
  <c r="W202" i="15" s="1"/>
  <c r="BQ138" i="15"/>
  <c r="AG171" i="15"/>
  <c r="BR92" i="15"/>
  <c r="BD185" i="15"/>
  <c r="AL92" i="15"/>
  <c r="AW92" i="15" s="1"/>
  <c r="AH206" i="15"/>
  <c r="AH173" i="15"/>
  <c r="AF173" i="15"/>
  <c r="Z198" i="15"/>
  <c r="AA198" i="15" s="1"/>
  <c r="BS92" i="15"/>
  <c r="BZ157" i="15"/>
  <c r="CD157" i="15" s="1"/>
  <c r="W163" i="15"/>
  <c r="AL115" i="15"/>
  <c r="AW115" i="15" s="1"/>
  <c r="AG143" i="15"/>
  <c r="BE188" i="15"/>
  <c r="AK188" i="15"/>
  <c r="AI188" i="15"/>
  <c r="BD102" i="15"/>
  <c r="BE215" i="15"/>
  <c r="AI215" i="15"/>
  <c r="AK215" i="15"/>
  <c r="Z215" i="15"/>
  <c r="AG215" i="15" s="1"/>
  <c r="AL215" i="15"/>
  <c r="M215" i="15"/>
  <c r="O215" i="15" s="1"/>
  <c r="AB215" i="15" s="1"/>
  <c r="BR91" i="15"/>
  <c r="AG117" i="15"/>
  <c r="J92" i="15"/>
  <c r="BR125" i="15"/>
  <c r="AK125" i="15"/>
  <c r="M125" i="15"/>
  <c r="O125" i="15" s="1"/>
  <c r="BS125" i="15"/>
  <c r="BE125" i="15"/>
  <c r="AI125" i="15"/>
  <c r="J125" i="15"/>
  <c r="Y125" i="15"/>
  <c r="BQ125" i="15"/>
  <c r="AL218" i="15"/>
  <c r="AW218" i="15" s="1"/>
  <c r="Z218" i="15"/>
  <c r="M218" i="15"/>
  <c r="O218" i="15" s="1"/>
  <c r="J218" i="15"/>
  <c r="BE218" i="15"/>
  <c r="AI218" i="15"/>
  <c r="BQ218" i="15"/>
  <c r="AK218" i="15"/>
  <c r="BR218" i="15"/>
  <c r="BS218" i="15"/>
  <c r="AF171" i="15"/>
  <c r="AH148" i="15"/>
  <c r="AW96" i="15"/>
  <c r="AC164" i="15"/>
  <c r="BR176" i="15"/>
  <c r="Z163" i="15"/>
  <c r="AF163" i="15" s="1"/>
  <c r="BE163" i="15"/>
  <c r="AI163" i="15"/>
  <c r="AK163" i="15"/>
  <c r="J102" i="15"/>
  <c r="AF148" i="15"/>
  <c r="BQ92" i="15"/>
  <c r="AL125" i="15"/>
  <c r="AW125" i="15" s="1"/>
  <c r="AL181" i="15"/>
  <c r="AW181" i="15" s="1"/>
  <c r="M181" i="15"/>
  <c r="O181" i="15" s="1"/>
  <c r="J181" i="15"/>
  <c r="BR181" i="15"/>
  <c r="AK181" i="15"/>
  <c r="AI181" i="15"/>
  <c r="BQ181" i="15"/>
  <c r="BE181" i="15"/>
  <c r="Z181" i="15"/>
  <c r="BS181" i="15"/>
  <c r="AL161" i="15"/>
  <c r="AW161" i="15" s="1"/>
  <c r="BE161" i="15"/>
  <c r="AI161" i="15"/>
  <c r="J161" i="15"/>
  <c r="AK161" i="15"/>
  <c r="Z161" i="15"/>
  <c r="BQ161" i="15"/>
  <c r="M161" i="15"/>
  <c r="O161" i="15" s="1"/>
  <c r="BS161" i="15"/>
  <c r="BR161" i="15"/>
  <c r="J91" i="15"/>
  <c r="AF117" i="15"/>
  <c r="AK111" i="15"/>
  <c r="M111" i="15"/>
  <c r="O111" i="15" s="1"/>
  <c r="AB111" i="15" s="1"/>
  <c r="BE111" i="15"/>
  <c r="BS111" i="15"/>
  <c r="Y111" i="15"/>
  <c r="AI111" i="15"/>
  <c r="Y186" i="15"/>
  <c r="BS186" i="15"/>
  <c r="AI186" i="15"/>
  <c r="M186" i="15"/>
  <c r="O186" i="15" s="1"/>
  <c r="BE186" i="15"/>
  <c r="J186" i="15"/>
  <c r="AK186" i="15"/>
  <c r="BQ186" i="15"/>
  <c r="BR186" i="15"/>
  <c r="AL186" i="15"/>
  <c r="AW186" i="15" s="1"/>
  <c r="AE101" i="15"/>
  <c r="BZ101" i="15"/>
  <c r="CD101" i="15" s="1"/>
  <c r="Z101" i="15"/>
  <c r="AA101" i="15" s="1"/>
  <c r="CA101" i="15"/>
  <c r="CO101" i="15" s="1"/>
  <c r="AG199" i="15"/>
  <c r="AF133" i="15"/>
  <c r="BD131" i="15"/>
  <c r="BS191" i="15"/>
  <c r="AK101" i="15"/>
  <c r="M101" i="15"/>
  <c r="O101" i="15" s="1"/>
  <c r="AB101" i="15" s="1"/>
  <c r="BE101" i="15"/>
  <c r="AI101" i="15"/>
  <c r="AH196" i="15"/>
  <c r="J219" i="15"/>
  <c r="J190" i="15"/>
  <c r="Z175" i="15"/>
  <c r="AA175" i="15" s="1"/>
  <c r="AL175" i="15"/>
  <c r="AW175" i="15" s="1"/>
  <c r="J175" i="15"/>
  <c r="BQ175" i="15"/>
  <c r="BS175" i="15"/>
  <c r="BE175" i="15"/>
  <c r="AI175" i="15"/>
  <c r="M175" i="15"/>
  <c r="O175" i="15" s="1"/>
  <c r="AK175" i="15"/>
  <c r="BR175" i="15"/>
  <c r="AL91" i="15"/>
  <c r="AW91" i="15" s="1"/>
  <c r="BD98" i="15"/>
  <c r="AE99" i="15"/>
  <c r="BD90" i="15"/>
  <c r="BD156" i="15"/>
  <c r="BS182" i="15"/>
  <c r="BS190" i="15"/>
  <c r="J156" i="15"/>
  <c r="BR190" i="15"/>
  <c r="BE123" i="15"/>
  <c r="AI123" i="15"/>
  <c r="AK123" i="15"/>
  <c r="Z123" i="15"/>
  <c r="AA123" i="15" s="1"/>
  <c r="AG152" i="15"/>
  <c r="Z115" i="15"/>
  <c r="CA115" i="15"/>
  <c r="CO115" i="15" s="1"/>
  <c r="BZ115" i="15"/>
  <c r="CD115" i="15" s="1"/>
  <c r="BS91" i="15"/>
  <c r="BE115" i="15"/>
  <c r="AK115" i="15"/>
  <c r="BS115" i="15"/>
  <c r="J115" i="15"/>
  <c r="BQ115" i="15"/>
  <c r="BR115" i="15"/>
  <c r="AI115" i="15"/>
  <c r="M115" i="15"/>
  <c r="AC115" i="15" s="1"/>
  <c r="AL209" i="15"/>
  <c r="AW209" i="15" s="1"/>
  <c r="J209" i="15"/>
  <c r="M209" i="15"/>
  <c r="O209" i="15" s="1"/>
  <c r="BQ209" i="15"/>
  <c r="BE209" i="15"/>
  <c r="BR209" i="15"/>
  <c r="AI209" i="15"/>
  <c r="BS209" i="15"/>
  <c r="AK209" i="15"/>
  <c r="Z209" i="15"/>
  <c r="M214" i="15"/>
  <c r="O214" i="15" s="1"/>
  <c r="BQ214" i="15"/>
  <c r="BE214" i="15"/>
  <c r="BR214" i="15"/>
  <c r="AI214" i="15"/>
  <c r="J214" i="15"/>
  <c r="BS214" i="15"/>
  <c r="AK214" i="15"/>
  <c r="Z214" i="15"/>
  <c r="AL214" i="15"/>
  <c r="AW214" i="15" s="1"/>
  <c r="BS168" i="15"/>
  <c r="BR168" i="15"/>
  <c r="AL168" i="15"/>
  <c r="AW168" i="15" s="1"/>
  <c r="BE168" i="15"/>
  <c r="J168" i="15"/>
  <c r="AK168" i="15"/>
  <c r="Z168" i="15"/>
  <c r="BQ168" i="15"/>
  <c r="M168" i="15"/>
  <c r="O168" i="15" s="1"/>
  <c r="AI168" i="15"/>
  <c r="AW194" i="15"/>
  <c r="BQ91" i="15"/>
  <c r="AI140" i="15"/>
  <c r="AL140" i="15"/>
  <c r="M140" i="15"/>
  <c r="O140" i="15" s="1"/>
  <c r="AK140" i="15"/>
  <c r="Z140" i="15"/>
  <c r="AG140" i="15" s="1"/>
  <c r="BE140" i="15"/>
  <c r="J140" i="15"/>
  <c r="BS140" i="15"/>
  <c r="M219" i="15"/>
  <c r="O219" i="15" s="1"/>
  <c r="BE219" i="15"/>
  <c r="AI219" i="15"/>
  <c r="AK219" i="15"/>
  <c r="Z219" i="15"/>
  <c r="AG219" i="15" s="1"/>
  <c r="AL219" i="15"/>
  <c r="M182" i="15"/>
  <c r="O182" i="15" s="1"/>
  <c r="AI182" i="15"/>
  <c r="AK182" i="15"/>
  <c r="BE182" i="15"/>
  <c r="Z182" i="15"/>
  <c r="BS219" i="15"/>
  <c r="BQ140" i="15"/>
  <c r="BQ182" i="15"/>
  <c r="J182" i="15"/>
  <c r="AH171" i="15"/>
  <c r="BD215" i="15"/>
  <c r="AU215" i="15"/>
  <c r="BD160" i="15"/>
  <c r="AU160" i="15"/>
  <c r="J160" i="15"/>
  <c r="M160" i="15"/>
  <c r="O160" i="15" s="1"/>
  <c r="BQ160" i="15"/>
  <c r="BE160" i="15"/>
  <c r="BR160" i="15"/>
  <c r="AI160" i="15"/>
  <c r="Z160" i="15"/>
  <c r="AG160" i="15" s="1"/>
  <c r="AL160" i="15"/>
  <c r="BS160" i="15"/>
  <c r="AK160" i="15"/>
  <c r="BD219" i="15"/>
  <c r="AU219" i="15"/>
  <c r="AL156" i="15"/>
  <c r="AW156" i="15" s="1"/>
  <c r="BQ139" i="15"/>
  <c r="AL139" i="15"/>
  <c r="J139" i="15"/>
  <c r="Z139" i="15"/>
  <c r="AH139" i="15" s="1"/>
  <c r="BR139" i="15"/>
  <c r="BS139" i="15"/>
  <c r="AI139" i="15"/>
  <c r="M139" i="15"/>
  <c r="O139" i="15" s="1"/>
  <c r="AK139" i="15"/>
  <c r="BE139" i="15"/>
  <c r="BD184" i="15"/>
  <c r="AU184" i="15"/>
  <c r="BD111" i="15"/>
  <c r="AL111" i="15"/>
  <c r="AW111" i="15" s="1"/>
  <c r="BS106" i="15"/>
  <c r="AK201" i="15"/>
  <c r="Z201" i="15"/>
  <c r="AH201" i="15" s="1"/>
  <c r="BE201" i="15"/>
  <c r="AI201" i="15"/>
  <c r="BD129" i="15"/>
  <c r="M156" i="15"/>
  <c r="O156" i="15" s="1"/>
  <c r="BE156" i="15"/>
  <c r="Y156" i="15"/>
  <c r="BQ156" i="15"/>
  <c r="AI156" i="15"/>
  <c r="AK156" i="15"/>
  <c r="AG133" i="15"/>
  <c r="AH133" i="15"/>
  <c r="AU191" i="15"/>
  <c r="BD191" i="15"/>
  <c r="Z211" i="15"/>
  <c r="AA211" i="15" s="1"/>
  <c r="AL211" i="15"/>
  <c r="AW211" i="15" s="1"/>
  <c r="BS211" i="15"/>
  <c r="BQ211" i="15"/>
  <c r="BR211" i="15"/>
  <c r="J211" i="15"/>
  <c r="AI211" i="15"/>
  <c r="AK211" i="15"/>
  <c r="M211" i="15"/>
  <c r="O211" i="15" s="1"/>
  <c r="W211" i="15" s="1"/>
  <c r="BE211" i="15"/>
  <c r="BD92" i="15"/>
  <c r="AU174" i="15"/>
  <c r="AW174" i="15" s="1"/>
  <c r="BD174" i="15"/>
  <c r="AI112" i="15"/>
  <c r="M112" i="15"/>
  <c r="O112" i="15" s="1"/>
  <c r="AK112" i="15"/>
  <c r="BE112" i="15"/>
  <c r="Y112" i="15"/>
  <c r="BS112" i="15"/>
  <c r="J112" i="15"/>
  <c r="BQ112" i="15"/>
  <c r="BR112" i="15"/>
  <c r="BD106" i="15"/>
  <c r="AU106" i="15"/>
  <c r="BD139" i="15"/>
  <c r="AU139" i="15"/>
  <c r="AU176" i="15"/>
  <c r="BD176" i="15"/>
  <c r="AW135" i="15"/>
  <c r="AW90" i="15"/>
  <c r="AU136" i="15"/>
  <c r="AW136" i="15" s="1"/>
  <c r="BD136" i="15"/>
  <c r="Z92" i="15"/>
  <c r="AA92" i="15" s="1"/>
  <c r="BZ92" i="15"/>
  <c r="AE92" i="15"/>
  <c r="AI202" i="15"/>
  <c r="Z202" i="15"/>
  <c r="AA202" i="15" s="1"/>
  <c r="BE202" i="15"/>
  <c r="AK202" i="15"/>
  <c r="BD182" i="15"/>
  <c r="AU182" i="15"/>
  <c r="AW182" i="15" s="1"/>
  <c r="BQ100" i="15"/>
  <c r="BS100" i="15"/>
  <c r="Y100" i="15"/>
  <c r="J100" i="15"/>
  <c r="M100" i="15"/>
  <c r="O100" i="15" s="1"/>
  <c r="AI100" i="15"/>
  <c r="BE100" i="15"/>
  <c r="BR100" i="15"/>
  <c r="AK100" i="15"/>
  <c r="AL100" i="15"/>
  <c r="AW100" i="15" s="1"/>
  <c r="AU140" i="15"/>
  <c r="BD140" i="15"/>
  <c r="AI153" i="15"/>
  <c r="BE153" i="15"/>
  <c r="AK153" i="15"/>
  <c r="BS153" i="15"/>
  <c r="M153" i="15"/>
  <c r="O153" i="15" s="1"/>
  <c r="J153" i="15"/>
  <c r="Y153" i="15"/>
  <c r="BQ153" i="15"/>
  <c r="BR153" i="15"/>
  <c r="AL106" i="15"/>
  <c r="BQ94" i="15"/>
  <c r="J94" i="15"/>
  <c r="BR94" i="15"/>
  <c r="Z94" i="15"/>
  <c r="AA94" i="15" s="1"/>
  <c r="BS94" i="15"/>
  <c r="AL94" i="15"/>
  <c r="AK94" i="15"/>
  <c r="AI94" i="15"/>
  <c r="M94" i="15"/>
  <c r="O94" i="15" s="1"/>
  <c r="BE94" i="15"/>
  <c r="Z183" i="15"/>
  <c r="AH183" i="15" s="1"/>
  <c r="M183" i="15"/>
  <c r="O183" i="15" s="1"/>
  <c r="AK183" i="15"/>
  <c r="BE183" i="15"/>
  <c r="BQ183" i="15"/>
  <c r="AI183" i="15"/>
  <c r="J183" i="15"/>
  <c r="BR183" i="15"/>
  <c r="BS183" i="15"/>
  <c r="AL183" i="15"/>
  <c r="AW183" i="15" s="1"/>
  <c r="BQ129" i="15"/>
  <c r="BR129" i="15"/>
  <c r="AL129" i="15"/>
  <c r="AW129" i="15" s="1"/>
  <c r="Y129" i="15"/>
  <c r="J129" i="15"/>
  <c r="BS129" i="15"/>
  <c r="AI129" i="15"/>
  <c r="AK129" i="15"/>
  <c r="BE129" i="15"/>
  <c r="M129" i="15"/>
  <c r="O129" i="15" s="1"/>
  <c r="AU190" i="15"/>
  <c r="AW190" i="15" s="1"/>
  <c r="BD190" i="15"/>
  <c r="AK108" i="15"/>
  <c r="AI108" i="15"/>
  <c r="BE108" i="15"/>
  <c r="Z108" i="15"/>
  <c r="CA92" i="15"/>
  <c r="BQ184" i="15"/>
  <c r="BS184" i="15"/>
  <c r="AL184" i="15"/>
  <c r="J184" i="15"/>
  <c r="BR184" i="15"/>
  <c r="AK184" i="15"/>
  <c r="BE184" i="15"/>
  <c r="M184" i="15"/>
  <c r="O184" i="15" s="1"/>
  <c r="AI184" i="15"/>
  <c r="Z184" i="15"/>
  <c r="AH184" i="15" s="1"/>
  <c r="BD95" i="15"/>
  <c r="AU95" i="15"/>
  <c r="AW95" i="15" s="1"/>
  <c r="BE92" i="15"/>
  <c r="AI92" i="15"/>
  <c r="AK92" i="15"/>
  <c r="M92" i="15"/>
  <c r="O92" i="15" s="1"/>
  <c r="CQ184" i="15"/>
  <c r="J191" i="15"/>
  <c r="BQ191" i="15"/>
  <c r="Z191" i="15"/>
  <c r="AK191" i="15"/>
  <c r="AI191" i="15"/>
  <c r="BE191" i="15"/>
  <c r="M191" i="15"/>
  <c r="O191" i="15" s="1"/>
  <c r="Z176" i="15"/>
  <c r="AA176" i="15" s="1"/>
  <c r="BE176" i="15"/>
  <c r="AI176" i="15"/>
  <c r="M176" i="15"/>
  <c r="O176" i="15" s="1"/>
  <c r="AL176" i="15"/>
  <c r="BQ176" i="15"/>
  <c r="AK176" i="15"/>
  <c r="J176" i="15"/>
  <c r="CD184" i="15"/>
  <c r="AU94" i="15"/>
  <c r="BD94" i="15"/>
  <c r="BR106" i="15"/>
  <c r="Z106" i="15"/>
  <c r="AH106" i="15" s="1"/>
  <c r="AK106" i="15"/>
  <c r="M106" i="15"/>
  <c r="O106" i="15" s="1"/>
  <c r="BQ106" i="15"/>
  <c r="AI106" i="15"/>
  <c r="BE106" i="15"/>
  <c r="BQ190" i="15"/>
  <c r="M190" i="15"/>
  <c r="O190" i="15" s="1"/>
  <c r="AI190" i="15"/>
  <c r="AK190" i="15"/>
  <c r="BE190" i="15"/>
  <c r="Z190" i="15"/>
  <c r="BE137" i="15"/>
  <c r="AK137" i="15"/>
  <c r="Z137" i="15"/>
  <c r="AI137" i="15"/>
  <c r="AL137" i="15"/>
  <c r="AW137" i="15" s="1"/>
  <c r="BR137" i="15"/>
  <c r="BS137" i="15"/>
  <c r="BQ137" i="15"/>
  <c r="J137" i="15"/>
  <c r="M137" i="15"/>
  <c r="O137" i="15" s="1"/>
  <c r="AU138" i="15"/>
  <c r="BD138" i="15"/>
  <c r="AL153" i="15"/>
  <c r="AW153" i="15" s="1"/>
  <c r="M201" i="15"/>
  <c r="O201" i="15" s="1"/>
  <c r="AB201" i="15" s="1"/>
  <c r="O1961" i="12"/>
  <c r="D1945" i="12" s="1"/>
  <c r="CD169" i="15"/>
  <c r="AF145" i="15"/>
  <c r="AH180" i="15"/>
  <c r="AG145" i="15"/>
  <c r="CA130" i="15"/>
  <c r="CO130" i="15" s="1"/>
  <c r="AD130" i="15"/>
  <c r="AG120" i="15"/>
  <c r="CO124" i="15"/>
  <c r="AF134" i="15"/>
  <c r="AC99" i="15"/>
  <c r="AF193" i="15"/>
  <c r="AW220" i="15"/>
  <c r="AH197" i="15"/>
  <c r="AG197" i="15"/>
  <c r="AF197" i="15"/>
  <c r="AG173" i="15"/>
  <c r="AF174" i="15"/>
  <c r="AF200" i="15"/>
  <c r="AF122" i="15"/>
  <c r="AF120" i="15"/>
  <c r="AD99" i="15"/>
  <c r="BZ99" i="15"/>
  <c r="CD99" i="15" s="1"/>
  <c r="Z99" i="15"/>
  <c r="AA99" i="15" s="1"/>
  <c r="AH95" i="15"/>
  <c r="CO113" i="15"/>
  <c r="AH97" i="15"/>
  <c r="AG97" i="15"/>
  <c r="AF97" i="15"/>
  <c r="AA196" i="15"/>
  <c r="AF164" i="15"/>
  <c r="AA147" i="15"/>
  <c r="AF204" i="15"/>
  <c r="AF159" i="15"/>
  <c r="AH145" i="15"/>
  <c r="AH172" i="15"/>
  <c r="AF172" i="15"/>
  <c r="AW152" i="15"/>
  <c r="AH213" i="15"/>
  <c r="AA199" i="15"/>
  <c r="AF210" i="15"/>
  <c r="AF212" i="15"/>
  <c r="AG148" i="15"/>
  <c r="AG203" i="15"/>
  <c r="AG149" i="15"/>
  <c r="AH164" i="15"/>
  <c r="AR221" i="15"/>
  <c r="AG174" i="15"/>
  <c r="AF213" i="15"/>
  <c r="AG164" i="15"/>
  <c r="AA210" i="15"/>
  <c r="AA143" i="15"/>
  <c r="AH122" i="15"/>
  <c r="AH120" i="15"/>
  <c r="Z130" i="15"/>
  <c r="AA130" i="15" s="1"/>
  <c r="AA134" i="15"/>
  <c r="AA120" i="15"/>
  <c r="AF118" i="15"/>
  <c r="CD126" i="15"/>
  <c r="CO93" i="15"/>
  <c r="AG95" i="15"/>
  <c r="BD91" i="15"/>
  <c r="BZ102" i="15"/>
  <c r="CD102" i="15" s="1"/>
  <c r="AE102" i="15"/>
  <c r="CA102" i="15"/>
  <c r="CO102" i="15" s="1"/>
  <c r="Z102" i="15"/>
  <c r="AA102" i="15" s="1"/>
  <c r="AE91" i="15"/>
  <c r="Z91" i="15"/>
  <c r="AA91" i="15" s="1"/>
  <c r="BZ91" i="15"/>
  <c r="CD91" i="15" s="1"/>
  <c r="CA91" i="15"/>
  <c r="CO91" i="15" s="1"/>
  <c r="CA185" i="15"/>
  <c r="AD185" i="15"/>
  <c r="AE185" i="15"/>
  <c r="BZ185" i="15"/>
  <c r="CD185" i="15" s="1"/>
  <c r="Z185" i="15"/>
  <c r="AF185" i="15" s="1"/>
  <c r="AA105" i="15"/>
  <c r="AF105" i="15"/>
  <c r="AH105" i="15"/>
  <c r="AG105" i="15"/>
  <c r="AB89" i="15"/>
  <c r="W89" i="15"/>
  <c r="W132" i="15"/>
  <c r="AB132" i="15"/>
  <c r="W104" i="15"/>
  <c r="AB104" i="15"/>
  <c r="W178" i="15"/>
  <c r="AB178" i="15"/>
  <c r="AH199" i="15"/>
  <c r="W213" i="15"/>
  <c r="AB213" i="15"/>
  <c r="W196" i="15"/>
  <c r="AB196" i="15"/>
  <c r="W200" i="15"/>
  <c r="AB200" i="15"/>
  <c r="AG147" i="15"/>
  <c r="W97" i="15"/>
  <c r="AB97" i="15"/>
  <c r="AD164" i="15"/>
  <c r="W103" i="15"/>
  <c r="AB103" i="15"/>
  <c r="AF143" i="15"/>
  <c r="AG150" i="15"/>
  <c r="BS142" i="15"/>
  <c r="AU97" i="15"/>
  <c r="AW97" i="15" s="1"/>
  <c r="BD97" i="15"/>
  <c r="AC127" i="15"/>
  <c r="AV221" i="15"/>
  <c r="AF113" i="15"/>
  <c r="AG113" i="15"/>
  <c r="AH113" i="15"/>
  <c r="AC169" i="15"/>
  <c r="W95" i="15"/>
  <c r="AB95" i="15"/>
  <c r="AF195" i="15"/>
  <c r="AG195" i="15"/>
  <c r="AH195" i="15"/>
  <c r="AF199" i="15"/>
  <c r="W149" i="15"/>
  <c r="AB149" i="15"/>
  <c r="AF107" i="15"/>
  <c r="AG107" i="15"/>
  <c r="AH107" i="15"/>
  <c r="AA177" i="15"/>
  <c r="AH177" i="15"/>
  <c r="AG177" i="15"/>
  <c r="AF177" i="15"/>
  <c r="W145" i="15"/>
  <c r="AB145" i="15"/>
  <c r="W93" i="15"/>
  <c r="AB93" i="15"/>
  <c r="AM221" i="15"/>
  <c r="W212" i="15"/>
  <c r="AB212" i="15"/>
  <c r="BQ142" i="15"/>
  <c r="AC130" i="15"/>
  <c r="W96" i="15"/>
  <c r="AB96" i="15"/>
  <c r="AL217" i="15"/>
  <c r="AW217" i="15" s="1"/>
  <c r="J217" i="15"/>
  <c r="BQ217" i="15"/>
  <c r="BR217" i="15"/>
  <c r="BS217" i="15"/>
  <c r="AL185" i="15"/>
  <c r="AW185" i="15" s="1"/>
  <c r="W120" i="15"/>
  <c r="AB120" i="15"/>
  <c r="BS131" i="15"/>
  <c r="CO127" i="15"/>
  <c r="AD103" i="15"/>
  <c r="AD154" i="15"/>
  <c r="AD155" i="15"/>
  <c r="W105" i="15"/>
  <c r="AB105" i="15"/>
  <c r="W146" i="15"/>
  <c r="AB146" i="15"/>
  <c r="W193" i="15"/>
  <c r="AB193" i="15"/>
  <c r="AA174" i="15"/>
  <c r="W152" i="15"/>
  <c r="AB152" i="15"/>
  <c r="AF150" i="15"/>
  <c r="AL142" i="15"/>
  <c r="AE130" i="15"/>
  <c r="AF136" i="15"/>
  <c r="AH152" i="15"/>
  <c r="AG167" i="15"/>
  <c r="AW204" i="15"/>
  <c r="BQ185" i="15"/>
  <c r="BQ131" i="15"/>
  <c r="AG210" i="15"/>
  <c r="AF127" i="15"/>
  <c r="AG127" i="15"/>
  <c r="AH127" i="15"/>
  <c r="CO103" i="15"/>
  <c r="AC154" i="15"/>
  <c r="AD113" i="15"/>
  <c r="AD93" i="15"/>
  <c r="AC155" i="15"/>
  <c r="W157" i="15"/>
  <c r="AB157" i="15"/>
  <c r="AA195" i="15"/>
  <c r="W150" i="15"/>
  <c r="AB150" i="15"/>
  <c r="W204" i="15"/>
  <c r="AB204" i="15"/>
  <c r="W127" i="15"/>
  <c r="AB127" i="15"/>
  <c r="BR114" i="15"/>
  <c r="W143" i="15"/>
  <c r="AB143" i="15"/>
  <c r="AG178" i="15"/>
  <c r="AD152" i="15"/>
  <c r="W90" i="15"/>
  <c r="AB90" i="15"/>
  <c r="W180" i="15"/>
  <c r="AB180" i="15"/>
  <c r="BS185" i="15"/>
  <c r="AC157" i="15"/>
  <c r="AF194" i="15"/>
  <c r="AO221" i="15"/>
  <c r="AU108" i="15"/>
  <c r="BD108" i="15"/>
  <c r="Z158" i="15"/>
  <c r="BZ158" i="15"/>
  <c r="AD158" i="15"/>
  <c r="AE158" i="15"/>
  <c r="CA158" i="15"/>
  <c r="AC158" i="15"/>
  <c r="CD127" i="15"/>
  <c r="CD103" i="15"/>
  <c r="CO154" i="15"/>
  <c r="AC93" i="15"/>
  <c r="AW208" i="15"/>
  <c r="W199" i="15"/>
  <c r="AB199" i="15"/>
  <c r="BS166" i="15"/>
  <c r="AL166" i="15"/>
  <c r="AW166" i="15" s="1"/>
  <c r="J166" i="15"/>
  <c r="BQ166" i="15"/>
  <c r="BR166" i="15"/>
  <c r="W154" i="15"/>
  <c r="AB154" i="15"/>
  <c r="W169" i="15"/>
  <c r="AB169" i="15"/>
  <c r="W206" i="15"/>
  <c r="AB206" i="15"/>
  <c r="AW212" i="15"/>
  <c r="AE188" i="15"/>
  <c r="AA220" i="15"/>
  <c r="AH220" i="15"/>
  <c r="AF220" i="15"/>
  <c r="AG220" i="15"/>
  <c r="AG196" i="15"/>
  <c r="W171" i="15"/>
  <c r="AB171" i="15"/>
  <c r="AF178" i="15"/>
  <c r="AH143" i="15"/>
  <c r="AH89" i="15"/>
  <c r="W133" i="15"/>
  <c r="AB133" i="15"/>
  <c r="AG136" i="15"/>
  <c r="AH204" i="15"/>
  <c r="AH134" i="15"/>
  <c r="BR185" i="15"/>
  <c r="AU134" i="15"/>
  <c r="AW134" i="15" s="1"/>
  <c r="BD134" i="15"/>
  <c r="AU117" i="15"/>
  <c r="AW117" i="15" s="1"/>
  <c r="BD117" i="15"/>
  <c r="AC103" i="15"/>
  <c r="CD154" i="15"/>
  <c r="AH135" i="15"/>
  <c r="AF135" i="15"/>
  <c r="AG135" i="15"/>
  <c r="W174" i="15"/>
  <c r="AB174" i="15"/>
  <c r="AA107" i="15"/>
  <c r="W177" i="15"/>
  <c r="AB177" i="15"/>
  <c r="W220" i="15"/>
  <c r="AB220" i="15"/>
  <c r="W122" i="15"/>
  <c r="AB122" i="15"/>
  <c r="AF196" i="15"/>
  <c r="AL114" i="15"/>
  <c r="AW114" i="15" s="1"/>
  <c r="AH203" i="15"/>
  <c r="W117" i="15"/>
  <c r="AB117" i="15"/>
  <c r="W164" i="15"/>
  <c r="AB164" i="15"/>
  <c r="AG96" i="15"/>
  <c r="AF96" i="15"/>
  <c r="AH96" i="15"/>
  <c r="AE198" i="15"/>
  <c r="J185" i="15"/>
  <c r="AG159" i="15"/>
  <c r="W148" i="15"/>
  <c r="AB148" i="15"/>
  <c r="AF206" i="15"/>
  <c r="AU142" i="15"/>
  <c r="BD142" i="15"/>
  <c r="AC90" i="15"/>
  <c r="AD90" i="15"/>
  <c r="AE90" i="15"/>
  <c r="Z90" i="15"/>
  <c r="BZ90" i="15"/>
  <c r="CA90" i="15"/>
  <c r="AG154" i="15"/>
  <c r="AF154" i="15"/>
  <c r="AH154" i="15"/>
  <c r="AC124" i="15"/>
  <c r="J189" i="15"/>
  <c r="AL189" i="15"/>
  <c r="AW189" i="15" s="1"/>
  <c r="BR189" i="15"/>
  <c r="Y189" i="15"/>
  <c r="BQ189" i="15"/>
  <c r="BS189" i="15"/>
  <c r="W135" i="15"/>
  <c r="AB135" i="15"/>
  <c r="W195" i="15"/>
  <c r="AB195" i="15"/>
  <c r="AH117" i="15"/>
  <c r="AH212" i="15"/>
  <c r="W107" i="15"/>
  <c r="AB107" i="15"/>
  <c r="W159" i="15"/>
  <c r="AB159" i="15"/>
  <c r="W210" i="15"/>
  <c r="AB210" i="15"/>
  <c r="W110" i="15"/>
  <c r="AB110" i="15"/>
  <c r="J114" i="15"/>
  <c r="W99" i="15"/>
  <c r="AB99" i="15"/>
  <c r="AF203" i="15"/>
  <c r="W194" i="15"/>
  <c r="AB194" i="15"/>
  <c r="AH136" i="15"/>
  <c r="AF93" i="15"/>
  <c r="AH93" i="15"/>
  <c r="AF95" i="15"/>
  <c r="W130" i="15"/>
  <c r="AB130" i="15"/>
  <c r="W98" i="15"/>
  <c r="AB98" i="15"/>
  <c r="AC98" i="15"/>
  <c r="W187" i="15"/>
  <c r="AB187" i="15"/>
  <c r="W123" i="15"/>
  <c r="AB123" i="15"/>
  <c r="W155" i="15"/>
  <c r="AB155" i="15"/>
  <c r="W124" i="15"/>
  <c r="AB124" i="15"/>
  <c r="W197" i="15"/>
  <c r="AB197" i="15"/>
  <c r="AG89" i="15"/>
  <c r="AC152" i="15"/>
  <c r="W136" i="15"/>
  <c r="AB136" i="15"/>
  <c r="AH167" i="15"/>
  <c r="AG204" i="15"/>
  <c r="AG134" i="15"/>
  <c r="AL131" i="15"/>
  <c r="AW131" i="15" s="1"/>
  <c r="Y114" i="15"/>
  <c r="AH169" i="15"/>
  <c r="AF169" i="15"/>
  <c r="AG169" i="15"/>
  <c r="AL162" i="15"/>
  <c r="AW162" i="15" s="1"/>
  <c r="J162" i="15"/>
  <c r="BQ162" i="15"/>
  <c r="BR162" i="15"/>
  <c r="BS162" i="15"/>
  <c r="AA159" i="15"/>
  <c r="AD98" i="15"/>
  <c r="AH147" i="15"/>
  <c r="AH118" i="15"/>
  <c r="W118" i="15"/>
  <c r="AB118" i="15"/>
  <c r="J128" i="15"/>
  <c r="AL128" i="15"/>
  <c r="AW128" i="15" s="1"/>
  <c r="BR128" i="15"/>
  <c r="BQ128" i="15"/>
  <c r="BS128" i="15"/>
  <c r="Y128" i="15"/>
  <c r="J142" i="15"/>
  <c r="AG172" i="15"/>
  <c r="AH146" i="15"/>
  <c r="AF152" i="15"/>
  <c r="W207" i="15"/>
  <c r="AB207" i="15"/>
  <c r="AH159" i="15"/>
  <c r="J131" i="15"/>
  <c r="AH193" i="15"/>
  <c r="BZ170" i="15"/>
  <c r="AE170" i="15"/>
  <c r="AC170" i="15"/>
  <c r="CA170" i="15"/>
  <c r="AD170" i="15"/>
  <c r="Z170" i="15"/>
  <c r="AF146" i="15"/>
  <c r="AF124" i="15"/>
  <c r="AG124" i="15"/>
  <c r="AH124" i="15"/>
  <c r="AG119" i="15"/>
  <c r="AH119" i="15"/>
  <c r="AF119" i="15"/>
  <c r="AC126" i="15"/>
  <c r="W113" i="15"/>
  <c r="AB113" i="15"/>
  <c r="W170" i="15"/>
  <c r="AB170" i="15"/>
  <c r="AF132" i="15"/>
  <c r="AG132" i="15"/>
  <c r="AH132" i="15"/>
  <c r="AA121" i="15"/>
  <c r="AG121" i="15"/>
  <c r="AH121" i="15"/>
  <c r="AF121" i="15"/>
  <c r="AF149" i="15"/>
  <c r="W134" i="15"/>
  <c r="AB134" i="15"/>
  <c r="AG146" i="15"/>
  <c r="W203" i="15"/>
  <c r="AB203" i="15"/>
  <c r="AF89" i="15"/>
  <c r="BR179" i="15"/>
  <c r="J179" i="15"/>
  <c r="BS179" i="15"/>
  <c r="BQ179" i="15"/>
  <c r="AL179" i="15"/>
  <c r="AW179" i="15" s="1"/>
  <c r="AG193" i="15"/>
  <c r="AE187" i="15"/>
  <c r="Z187" i="15"/>
  <c r="AD187" i="15"/>
  <c r="BZ187" i="15"/>
  <c r="CA187" i="15"/>
  <c r="AC187" i="15"/>
  <c r="AC104" i="15"/>
  <c r="AD104" i="15"/>
  <c r="CA104" i="15"/>
  <c r="BZ104" i="15"/>
  <c r="Z104" i="15"/>
  <c r="AE104" i="15"/>
  <c r="Y131" i="15"/>
  <c r="W126" i="15"/>
  <c r="AB126" i="15"/>
  <c r="J165" i="15"/>
  <c r="BQ165" i="15"/>
  <c r="BS165" i="15"/>
  <c r="BR165" i="15"/>
  <c r="AL165" i="15"/>
  <c r="AW165" i="15" s="1"/>
  <c r="W121" i="15"/>
  <c r="AB121" i="15"/>
  <c r="W167" i="15"/>
  <c r="AB167" i="15"/>
  <c r="AG200" i="15"/>
  <c r="AH200" i="15"/>
  <c r="AH178" i="15"/>
  <c r="W172" i="15"/>
  <c r="AB172" i="15"/>
  <c r="AF167" i="15"/>
  <c r="AD157" i="15"/>
  <c r="AU123" i="15"/>
  <c r="BD123" i="15"/>
  <c r="BD120" i="15"/>
  <c r="AU120" i="15"/>
  <c r="AW120" i="15" s="1"/>
  <c r="AU122" i="15"/>
  <c r="AW122" i="15" s="1"/>
  <c r="BD122" i="15"/>
  <c r="AF126" i="15"/>
  <c r="AG126" i="15"/>
  <c r="AH126" i="15"/>
  <c r="BQ151" i="15"/>
  <c r="J151" i="15"/>
  <c r="BR151" i="15"/>
  <c r="AL151" i="15"/>
  <c r="AW151" i="15" s="1"/>
  <c r="BS151" i="15"/>
  <c r="AH149" i="15"/>
  <c r="BQ114" i="15"/>
  <c r="AG118" i="15"/>
  <c r="W173" i="15"/>
  <c r="AB173" i="15"/>
  <c r="AN221" i="15"/>
  <c r="AH150" i="15"/>
  <c r="W158" i="15"/>
  <c r="AB158" i="15"/>
  <c r="AU143" i="15"/>
  <c r="AW143" i="15" s="1"/>
  <c r="BD143" i="15"/>
  <c r="CA110" i="15"/>
  <c r="AC110" i="15"/>
  <c r="AD110" i="15"/>
  <c r="AE110" i="15"/>
  <c r="Z110" i="15"/>
  <c r="BZ110" i="15"/>
  <c r="AH103" i="15"/>
  <c r="AF103" i="15"/>
  <c r="AG103" i="15"/>
  <c r="BD89" i="15"/>
  <c r="AU89" i="15"/>
  <c r="AW89" i="15" s="1"/>
  <c r="AT221" i="15"/>
  <c r="AU118" i="15"/>
  <c r="AW118" i="15" s="1"/>
  <c r="BD118" i="15"/>
  <c r="AC113" i="15"/>
  <c r="M2878" i="12"/>
  <c r="D2872" i="12" s="1"/>
  <c r="BF135" i="15"/>
  <c r="BG135" i="15"/>
  <c r="AW98" i="15"/>
  <c r="M142" i="15"/>
  <c r="O142" i="15" s="1"/>
  <c r="AI142" i="15"/>
  <c r="BE142" i="15"/>
  <c r="AK142" i="15"/>
  <c r="Z142" i="15"/>
  <c r="AH142" i="15" s="1"/>
  <c r="BF177" i="15"/>
  <c r="BG177" i="15"/>
  <c r="AI128" i="15"/>
  <c r="M128" i="15"/>
  <c r="O128" i="15" s="1"/>
  <c r="BE128" i="15"/>
  <c r="AK128" i="15"/>
  <c r="CO152" i="15"/>
  <c r="BF96" i="15"/>
  <c r="BG96" i="15"/>
  <c r="AI217" i="15"/>
  <c r="AK217" i="15"/>
  <c r="M217" i="15"/>
  <c r="O217" i="15" s="1"/>
  <c r="BE217" i="15"/>
  <c r="Z217" i="15"/>
  <c r="AA217" i="15" s="1"/>
  <c r="AW99" i="15"/>
  <c r="BF120" i="15"/>
  <c r="BG120" i="15"/>
  <c r="AI166" i="15"/>
  <c r="M166" i="15"/>
  <c r="O166" i="15" s="1"/>
  <c r="BE166" i="15"/>
  <c r="AK166" i="15"/>
  <c r="Z166" i="15"/>
  <c r="AA166" i="15" s="1"/>
  <c r="BG104" i="15"/>
  <c r="BF104" i="15"/>
  <c r="BF119" i="15"/>
  <c r="BD114" i="15"/>
  <c r="BG171" i="15"/>
  <c r="BF171" i="15"/>
  <c r="BG97" i="15"/>
  <c r="BF97" i="15"/>
  <c r="BD99" i="15"/>
  <c r="BG154" i="15"/>
  <c r="BF154" i="15"/>
  <c r="AW101" i="15"/>
  <c r="BF200" i="15"/>
  <c r="BG200" i="15"/>
  <c r="BF155" i="15"/>
  <c r="BG155" i="15"/>
  <c r="BF194" i="15"/>
  <c r="BG194" i="15"/>
  <c r="AK208" i="15"/>
  <c r="Z208" i="15"/>
  <c r="M208" i="15"/>
  <c r="O208" i="15" s="1"/>
  <c r="BE208" i="15"/>
  <c r="AI208" i="15"/>
  <c r="CD152" i="15"/>
  <c r="BF180" i="15"/>
  <c r="BG180" i="15"/>
  <c r="BF148" i="15"/>
  <c r="BG148" i="15"/>
  <c r="BF147" i="15"/>
  <c r="BG147" i="15"/>
  <c r="BF195" i="15"/>
  <c r="BG195" i="15"/>
  <c r="BF213" i="15"/>
  <c r="BG213" i="15"/>
  <c r="AU196" i="15"/>
  <c r="AW196" i="15" s="1"/>
  <c r="BD196" i="15"/>
  <c r="BF220" i="15"/>
  <c r="BG220" i="15"/>
  <c r="AU173" i="15"/>
  <c r="AW173" i="15" s="1"/>
  <c r="BD173" i="15"/>
  <c r="BF110" i="15"/>
  <c r="BG110" i="15"/>
  <c r="BG99" i="15"/>
  <c r="BF99" i="15"/>
  <c r="BF173" i="15"/>
  <c r="BG173" i="15"/>
  <c r="BD145" i="15"/>
  <c r="AU145" i="15"/>
  <c r="AW145" i="15" s="1"/>
  <c r="AU193" i="15"/>
  <c r="AW193" i="15" s="1"/>
  <c r="BD193" i="15"/>
  <c r="BF164" i="15"/>
  <c r="BG164" i="15"/>
  <c r="BF157" i="15"/>
  <c r="BG157" i="15"/>
  <c r="AU199" i="15"/>
  <c r="AW199" i="15" s="1"/>
  <c r="BD199" i="15"/>
  <c r="BF126" i="15"/>
  <c r="BG126" i="15"/>
  <c r="BE165" i="15"/>
  <c r="AI165" i="15"/>
  <c r="AK165" i="15"/>
  <c r="Z165" i="15"/>
  <c r="AA165" i="15" s="1"/>
  <c r="M165" i="15"/>
  <c r="O165" i="15" s="1"/>
  <c r="AI162" i="15"/>
  <c r="M162" i="15"/>
  <c r="O162" i="15" s="1"/>
  <c r="BE162" i="15"/>
  <c r="AK162" i="15"/>
  <c r="Z162" i="15"/>
  <c r="BF174" i="15"/>
  <c r="BG174" i="15"/>
  <c r="AU178" i="15"/>
  <c r="AW178" i="15" s="1"/>
  <c r="BD178" i="15"/>
  <c r="AU148" i="15"/>
  <c r="AW148" i="15" s="1"/>
  <c r="BD148" i="15"/>
  <c r="BF117" i="15"/>
  <c r="BG117" i="15"/>
  <c r="BG172" i="15"/>
  <c r="BF172" i="15"/>
  <c r="AU213" i="15"/>
  <c r="AW213" i="15" s="1"/>
  <c r="BD213" i="15"/>
  <c r="AI131" i="15"/>
  <c r="AK131" i="15"/>
  <c r="M131" i="15"/>
  <c r="O131" i="15" s="1"/>
  <c r="BE131" i="15"/>
  <c r="BF145" i="15"/>
  <c r="BG145" i="15"/>
  <c r="BF103" i="15"/>
  <c r="BG103" i="15"/>
  <c r="BF109" i="15"/>
  <c r="BG109" i="15"/>
  <c r="AW159" i="15"/>
  <c r="AW197" i="15"/>
  <c r="BG193" i="15"/>
  <c r="BF193" i="15"/>
  <c r="AK185" i="15"/>
  <c r="AI185" i="15"/>
  <c r="BE185" i="15"/>
  <c r="M185" i="15"/>
  <c r="O185" i="15" s="1"/>
  <c r="CO167" i="15"/>
  <c r="BG95" i="15"/>
  <c r="BF95" i="15"/>
  <c r="CO165" i="15"/>
  <c r="BE91" i="15"/>
  <c r="AI91" i="15"/>
  <c r="AK91" i="15"/>
  <c r="M91" i="15"/>
  <c r="O91" i="15" s="1"/>
  <c r="AW164" i="15"/>
  <c r="BG159" i="15"/>
  <c r="BF159" i="15"/>
  <c r="BF152" i="15"/>
  <c r="BG152" i="15"/>
  <c r="BG212" i="15"/>
  <c r="BF212" i="15"/>
  <c r="AK102" i="15"/>
  <c r="BE102" i="15"/>
  <c r="AI102" i="15"/>
  <c r="M102" i="15"/>
  <c r="O102" i="15" s="1"/>
  <c r="AW157" i="15"/>
  <c r="BG158" i="15"/>
  <c r="BF158" i="15"/>
  <c r="BF136" i="15"/>
  <c r="BG136" i="15"/>
  <c r="BD130" i="15"/>
  <c r="BF90" i="15"/>
  <c r="BG90" i="15"/>
  <c r="BF89" i="15"/>
  <c r="BG89" i="15"/>
  <c r="BG196" i="15"/>
  <c r="BF196" i="15"/>
  <c r="BG187" i="15"/>
  <c r="BF187" i="15"/>
  <c r="BF216" i="15"/>
  <c r="BG216" i="15"/>
  <c r="AU202" i="15"/>
  <c r="AW202" i="15" s="1"/>
  <c r="BD202" i="15"/>
  <c r="AU180" i="15"/>
  <c r="BD180" i="15"/>
  <c r="BG93" i="15"/>
  <c r="BF93" i="15"/>
  <c r="M179" i="15"/>
  <c r="O179" i="15" s="1"/>
  <c r="AI179" i="15"/>
  <c r="BE179" i="15"/>
  <c r="Z179" i="15"/>
  <c r="AA179" i="15" s="1"/>
  <c r="AK179" i="15"/>
  <c r="CD130" i="15"/>
  <c r="CO198" i="15"/>
  <c r="M151" i="15"/>
  <c r="O151" i="15" s="1"/>
  <c r="BE151" i="15"/>
  <c r="AI151" i="15"/>
  <c r="AK151" i="15"/>
  <c r="Z151" i="15"/>
  <c r="AG151" i="15" s="1"/>
  <c r="BG170" i="15"/>
  <c r="BF170" i="15"/>
  <c r="BF132" i="15"/>
  <c r="BG132" i="15"/>
  <c r="AU201" i="15"/>
  <c r="AW201" i="15" s="1"/>
  <c r="BD201" i="15"/>
  <c r="BG149" i="15"/>
  <c r="BF149" i="15"/>
  <c r="BF107" i="15"/>
  <c r="BG107" i="15"/>
  <c r="BF204" i="15"/>
  <c r="BG204" i="15"/>
  <c r="CD98" i="15"/>
  <c r="BF127" i="15"/>
  <c r="BG127" i="15"/>
  <c r="BG143" i="15"/>
  <c r="BF143" i="15"/>
  <c r="BF203" i="15"/>
  <c r="BG203" i="15"/>
  <c r="CD164" i="15"/>
  <c r="BF198" i="15"/>
  <c r="BG198" i="15"/>
  <c r="AW130" i="15"/>
  <c r="CO157" i="15"/>
  <c r="AK189" i="15"/>
  <c r="AI189" i="15"/>
  <c r="BE189" i="15"/>
  <c r="M189" i="15"/>
  <c r="O189" i="15" s="1"/>
  <c r="AU171" i="15"/>
  <c r="AW171" i="15" s="1"/>
  <c r="BD171" i="15"/>
  <c r="BF146" i="15"/>
  <c r="BG146" i="15"/>
  <c r="CO166" i="15"/>
  <c r="BF130" i="15"/>
  <c r="BG130" i="15"/>
  <c r="BD188" i="15"/>
  <c r="BD157" i="15"/>
  <c r="BF210" i="15"/>
  <c r="BG210" i="15"/>
  <c r="BG167" i="15"/>
  <c r="BF167" i="15"/>
  <c r="BF118" i="15"/>
  <c r="BG118" i="15"/>
  <c r="BD198" i="15"/>
  <c r="AU150" i="15"/>
  <c r="AW150" i="15" s="1"/>
  <c r="BD150" i="15"/>
  <c r="BD152" i="15"/>
  <c r="BD167" i="15"/>
  <c r="BF105" i="15"/>
  <c r="BG105" i="15"/>
  <c r="BF113" i="15"/>
  <c r="BG113" i="15"/>
  <c r="BF199" i="15"/>
  <c r="BG199" i="15"/>
  <c r="BG121" i="15"/>
  <c r="BF121" i="15"/>
  <c r="BF178" i="15"/>
  <c r="BG178" i="15"/>
  <c r="BG169" i="15"/>
  <c r="BF169" i="15"/>
  <c r="BG122" i="15"/>
  <c r="BF122" i="15"/>
  <c r="AW167" i="15"/>
  <c r="CO151" i="15"/>
  <c r="BF206" i="15"/>
  <c r="BG206" i="15"/>
  <c r="AK114" i="15"/>
  <c r="BE114" i="15"/>
  <c r="M114" i="15"/>
  <c r="O114" i="15" s="1"/>
  <c r="AI114" i="15"/>
  <c r="BF98" i="15"/>
  <c r="BG98" i="15"/>
  <c r="BD163" i="15"/>
  <c r="AU163" i="15"/>
  <c r="AW163" i="15" s="1"/>
  <c r="BF150" i="15"/>
  <c r="BG150" i="15"/>
  <c r="BD101" i="15"/>
  <c r="BF134" i="15"/>
  <c r="BG134" i="15"/>
  <c r="BD147" i="15"/>
  <c r="AU147" i="15"/>
  <c r="BF124" i="15"/>
  <c r="BG124" i="15"/>
  <c r="BF197" i="15"/>
  <c r="BG197" i="15"/>
  <c r="BF133" i="15"/>
  <c r="BG133" i="15"/>
  <c r="N2615" i="12"/>
  <c r="D2600" i="12" s="1"/>
  <c r="BI52" i="13"/>
  <c r="BH52" i="13"/>
  <c r="BF71" i="13"/>
  <c r="BA103" i="13"/>
  <c r="W57" i="13"/>
  <c r="BA101" i="13"/>
  <c r="AR65" i="13"/>
  <c r="W65" i="13" s="1"/>
  <c r="BI102" i="13"/>
  <c r="W98" i="13"/>
  <c r="AX58" i="13"/>
  <c r="AR55" i="13"/>
  <c r="BF61" i="13"/>
  <c r="CH108" i="13"/>
  <c r="E2363" i="12" s="1"/>
  <c r="E2365" i="12" s="1"/>
  <c r="D2362" i="12" s="1"/>
  <c r="CM108" i="13"/>
  <c r="AR98" i="13"/>
  <c r="BA99" i="13"/>
  <c r="BF54" i="13"/>
  <c r="BG54" i="13" s="1"/>
  <c r="AX54" i="13"/>
  <c r="AX57" i="13"/>
  <c r="AR91" i="13"/>
  <c r="W91" i="13"/>
  <c r="BF91" i="13"/>
  <c r="BG91" i="13" s="1"/>
  <c r="W55" i="13"/>
  <c r="AR49" i="13"/>
  <c r="AX75" i="13"/>
  <c r="W60" i="13"/>
  <c r="BA75" i="13"/>
  <c r="AP106" i="13"/>
  <c r="AR59" i="13"/>
  <c r="W59" i="13" s="1"/>
  <c r="BF62" i="13"/>
  <c r="AL106" i="13"/>
  <c r="O2112" i="12" s="1"/>
  <c r="O2114" i="12" s="1"/>
  <c r="D2110" i="12" s="1"/>
  <c r="BF88" i="13"/>
  <c r="BG88" i="13" s="1"/>
  <c r="BH88" i="13" s="1"/>
  <c r="AR89" i="13"/>
  <c r="W89" i="13" s="1"/>
  <c r="BA89" i="13"/>
  <c r="BA71" i="13"/>
  <c r="AO106" i="13"/>
  <c r="O2127" i="12" s="1"/>
  <c r="O2129" i="12" s="1"/>
  <c r="D2125" i="12" s="1"/>
  <c r="AR69" i="13"/>
  <c r="BF55" i="13"/>
  <c r="BG55" i="13" s="1"/>
  <c r="BI55" i="13" s="1"/>
  <c r="W99" i="13"/>
  <c r="AR75" i="13"/>
  <c r="AQ106" i="13"/>
  <c r="O2137" i="12" s="1"/>
  <c r="O2139" i="12" s="1"/>
  <c r="D2135" i="12" s="1"/>
  <c r="CI108" i="13"/>
  <c r="AR101" i="13"/>
  <c r="W101" i="13" s="1"/>
  <c r="AN106" i="13"/>
  <c r="O2122" i="12" s="1"/>
  <c r="O2124" i="12" s="1"/>
  <c r="D2120" i="12" s="1"/>
  <c r="AR88" i="13"/>
  <c r="W88" i="13" s="1"/>
  <c r="AX91" i="13"/>
  <c r="AX89" i="13"/>
  <c r="BA65" i="13"/>
  <c r="BF65" i="13"/>
  <c r="BG65" i="13" s="1"/>
  <c r="BI65" i="13" s="1"/>
  <c r="AX65" i="13"/>
  <c r="BA66" i="13"/>
  <c r="BF75" i="13"/>
  <c r="BA97" i="13"/>
  <c r="AF106" i="13"/>
  <c r="CG108" i="13"/>
  <c r="CG109" i="13" s="1"/>
  <c r="E2302" i="12" s="1"/>
  <c r="E2304" i="12" s="1"/>
  <c r="D2301" i="12" s="1"/>
  <c r="BF66" i="13"/>
  <c r="BG66" i="13" s="1"/>
  <c r="BI66" i="13" s="1"/>
  <c r="AX50" i="13"/>
  <c r="BA57" i="13"/>
  <c r="O2691" i="12"/>
  <c r="M2692" i="12"/>
  <c r="M2711" i="12"/>
  <c r="N2711" i="12" s="1"/>
  <c r="BW108" i="13"/>
  <c r="W54" i="13"/>
  <c r="AX70" i="13"/>
  <c r="AR46" i="13"/>
  <c r="W46" i="13" s="1"/>
  <c r="AA106" i="13"/>
  <c r="W49" i="13"/>
  <c r="BU108" i="13"/>
  <c r="E2331" i="12" s="1"/>
  <c r="M2677" i="12"/>
  <c r="O2677" i="12" s="1"/>
  <c r="O2679" i="12" s="1"/>
  <c r="D2665" i="12" s="1"/>
  <c r="M2716" i="12"/>
  <c r="N2716" i="12" s="1"/>
  <c r="M2697" i="12"/>
  <c r="BP108" i="13"/>
  <c r="E2323" i="12" s="1"/>
  <c r="E2325" i="12" s="1"/>
  <c r="D2322" i="12" s="1"/>
  <c r="BA70" i="13"/>
  <c r="AK106" i="13"/>
  <c r="O2107" i="12" s="1"/>
  <c r="O2109" i="12" s="1"/>
  <c r="D2105" i="12" s="1"/>
  <c r="BO108" i="13"/>
  <c r="E2319" i="12" s="1"/>
  <c r="BA63" i="13"/>
  <c r="AX63" i="13"/>
  <c r="BF63" i="13"/>
  <c r="BG80" i="13"/>
  <c r="BI80" i="13" s="1"/>
  <c r="BG61" i="13"/>
  <c r="BI61" i="13" s="1"/>
  <c r="CK109" i="13"/>
  <c r="E2306" i="12" s="1"/>
  <c r="E2308" i="12" s="1"/>
  <c r="D2305" i="12" s="1"/>
  <c r="E2371" i="12"/>
  <c r="BG75" i="13"/>
  <c r="BI75" i="13" s="1"/>
  <c r="N2221" i="12"/>
  <c r="N1869" i="12"/>
  <c r="BO109" i="13"/>
  <c r="E2286" i="12" s="1"/>
  <c r="E2288" i="12" s="1"/>
  <c r="D2285" i="12" s="1"/>
  <c r="BG101" i="13"/>
  <c r="BI101" i="13" s="1"/>
  <c r="BF100" i="13"/>
  <c r="BA100" i="13"/>
  <c r="AG106" i="13"/>
  <c r="O2087" i="12" s="1"/>
  <c r="O2089" i="12" s="1"/>
  <c r="D2085" i="12" s="1"/>
  <c r="AR100" i="13"/>
  <c r="W100" i="13" s="1"/>
  <c r="BF103" i="13"/>
  <c r="AX51" i="13"/>
  <c r="BA51" i="13"/>
  <c r="BF51" i="13"/>
  <c r="AR70" i="13"/>
  <c r="W70" i="13" s="1"/>
  <c r="AR82" i="13"/>
  <c r="W82" i="13" s="1"/>
  <c r="W56" i="13"/>
  <c r="AR56" i="13"/>
  <c r="BA84" i="13"/>
  <c r="AX74" i="13"/>
  <c r="BA74" i="13"/>
  <c r="BF74" i="13"/>
  <c r="BI93" i="13"/>
  <c r="AX103" i="13"/>
  <c r="CE108" i="13"/>
  <c r="BF70" i="13"/>
  <c r="BG70" i="13" s="1"/>
  <c r="BI70" i="13" s="1"/>
  <c r="W74" i="13"/>
  <c r="AX61" i="13"/>
  <c r="BA85" i="13"/>
  <c r="BF85" i="13"/>
  <c r="AR62" i="13"/>
  <c r="BF49" i="13"/>
  <c r="BG49" i="13" s="1"/>
  <c r="BI49" i="13" s="1"/>
  <c r="BG47" i="13"/>
  <c r="BI47" i="13" s="1"/>
  <c r="AX82" i="13"/>
  <c r="BF82" i="13"/>
  <c r="BA82" i="13"/>
  <c r="AR96" i="13"/>
  <c r="W96" i="13" s="1"/>
  <c r="AI106" i="13"/>
  <c r="O2097" i="12" s="1"/>
  <c r="O2099" i="12" s="1"/>
  <c r="D2095" i="12" s="1"/>
  <c r="BA61" i="13"/>
  <c r="CC108" i="13"/>
  <c r="AR74" i="13"/>
  <c r="W75" i="13"/>
  <c r="BG95" i="13"/>
  <c r="BI95" i="13" s="1"/>
  <c r="AR67" i="13"/>
  <c r="W67" i="13" s="1"/>
  <c r="BF97" i="13"/>
  <c r="BG62" i="13"/>
  <c r="BH62" i="13" s="1"/>
  <c r="AR58" i="13"/>
  <c r="AX95" i="13"/>
  <c r="CD108" i="13"/>
  <c r="E2355" i="12" s="1"/>
  <c r="E2357" i="12" s="1"/>
  <c r="D2354" i="12" s="1"/>
  <c r="BF78" i="13"/>
  <c r="BM106" i="13"/>
  <c r="O2241" i="12" s="1"/>
  <c r="K2242" i="12" s="1"/>
  <c r="K2243" i="12" s="1"/>
  <c r="D2240" i="12" s="1"/>
  <c r="AD106" i="13"/>
  <c r="O2077" i="12" s="1"/>
  <c r="O2079" i="12" s="1"/>
  <c r="D2075" i="12" s="1"/>
  <c r="BG60" i="13"/>
  <c r="BH60" i="13" s="1"/>
  <c r="O2273" i="12"/>
  <c r="O2281" i="12" s="1"/>
  <c r="M2281" i="12" s="1"/>
  <c r="D2204" i="12"/>
  <c r="AR71" i="13"/>
  <c r="W71" i="13"/>
  <c r="BG53" i="13"/>
  <c r="BI53" i="13" s="1"/>
  <c r="AT106" i="13"/>
  <c r="W58" i="13"/>
  <c r="AR53" i="13"/>
  <c r="W53" i="13" s="1"/>
  <c r="BF84" i="13"/>
  <c r="BG84" i="13" s="1"/>
  <c r="BI84" i="13" s="1"/>
  <c r="BA95" i="13"/>
  <c r="AX83" i="13"/>
  <c r="BF83" i="13"/>
  <c r="BA83" i="13"/>
  <c r="BG73" i="13"/>
  <c r="BI73" i="13" s="1"/>
  <c r="BA78" i="13"/>
  <c r="AX62" i="13"/>
  <c r="AR97" i="13"/>
  <c r="W97" i="13" s="1"/>
  <c r="W50" i="13"/>
  <c r="BH76" i="13"/>
  <c r="BH48" i="13"/>
  <c r="AX96" i="13"/>
  <c r="BA96" i="13"/>
  <c r="BF96" i="13"/>
  <c r="BG98" i="13"/>
  <c r="BH98" i="13" s="1"/>
  <c r="AR83" i="13"/>
  <c r="W83" i="13" s="1"/>
  <c r="BI89" i="13"/>
  <c r="BG45" i="13"/>
  <c r="BI45" i="13" s="1"/>
  <c r="BE106" i="13"/>
  <c r="E1808" i="12"/>
  <c r="M1801" i="12"/>
  <c r="N1803" i="12" s="1"/>
  <c r="N1805" i="12" s="1"/>
  <c r="D1798" i="12" s="1"/>
  <c r="AR66" i="13"/>
  <c r="W66" i="13" s="1"/>
  <c r="AX84" i="13"/>
  <c r="W69" i="13"/>
  <c r="AX85" i="13"/>
  <c r="BC106" i="13"/>
  <c r="O2218" i="12" s="1"/>
  <c r="O2219" i="12" s="1"/>
  <c r="D2216" i="12" s="1"/>
  <c r="BH79" i="13"/>
  <c r="O2748" i="12"/>
  <c r="O2751" i="12" s="1"/>
  <c r="D2745" i="12" s="1"/>
  <c r="O2759" i="12" s="1"/>
  <c r="E2754" i="12"/>
  <c r="BG105" i="13"/>
  <c r="BH105" i="13" s="1"/>
  <c r="AM106" i="13"/>
  <c r="O2117" i="12" s="1"/>
  <c r="O2119" i="12" s="1"/>
  <c r="D2115" i="12" s="1"/>
  <c r="BA49" i="13"/>
  <c r="BA58" i="13"/>
  <c r="BH101" i="13"/>
  <c r="AX69" i="13"/>
  <c r="BA69" i="13"/>
  <c r="BF69" i="13"/>
  <c r="BF50" i="13"/>
  <c r="BA50" i="13"/>
  <c r="BG56" i="13"/>
  <c r="BI56" i="13" s="1"/>
  <c r="BH57" i="13"/>
  <c r="BG94" i="13"/>
  <c r="BI94" i="13" s="1"/>
  <c r="D2208" i="12"/>
  <c r="O2274" i="12"/>
  <c r="O2282" i="12" s="1"/>
  <c r="M2282" i="12" s="1"/>
  <c r="W104" i="13"/>
  <c r="BG71" i="13"/>
  <c r="BI71" i="13" s="1"/>
  <c r="V109" i="13"/>
  <c r="BH47" i="13"/>
  <c r="AR51" i="13"/>
  <c r="AJ106" i="13"/>
  <c r="AR84" i="13"/>
  <c r="W84" i="13" s="1"/>
  <c r="BA55" i="13"/>
  <c r="AR103" i="13"/>
  <c r="W103" i="13" s="1"/>
  <c r="BH64" i="13"/>
  <c r="BF58" i="13"/>
  <c r="BG58" i="13" s="1"/>
  <c r="BI58" i="13" s="1"/>
  <c r="BG77" i="13"/>
  <c r="BI77" i="13" s="1"/>
  <c r="W51" i="13"/>
  <c r="BZ108" i="13"/>
  <c r="E2343" i="12" s="1"/>
  <c r="E2345" i="12" s="1"/>
  <c r="D2342" i="12" s="1"/>
  <c r="AR95" i="13"/>
  <c r="W95" i="13" s="1"/>
  <c r="BF59" i="13"/>
  <c r="AX59" i="13"/>
  <c r="BA59" i="13"/>
  <c r="BG90" i="13"/>
  <c r="BH90" i="13" s="1"/>
  <c r="BG99" i="13"/>
  <c r="BI99" i="13" s="1"/>
  <c r="CA108" i="13"/>
  <c r="BG81" i="13"/>
  <c r="BI81" i="13" s="1"/>
  <c r="BA104" i="13"/>
  <c r="AX104" i="13"/>
  <c r="BF104" i="13"/>
  <c r="AX46" i="13"/>
  <c r="BA46" i="13"/>
  <c r="BF46" i="13"/>
  <c r="AX55" i="13"/>
  <c r="BH67" i="13"/>
  <c r="AR85" i="13"/>
  <c r="W85" i="13" s="1"/>
  <c r="AR78" i="13"/>
  <c r="W78" i="13" s="1"/>
  <c r="BG86" i="13"/>
  <c r="BI86" i="13" s="1"/>
  <c r="BY108" i="13"/>
  <c r="O3555" i="12"/>
  <c r="D3485" i="12" s="1"/>
  <c r="O3626" i="12"/>
  <c r="D3627" i="12"/>
  <c r="O3643" i="12"/>
  <c r="M2709" i="12"/>
  <c r="N2709" i="12" s="1"/>
  <c r="O2689" i="12"/>
  <c r="K3657" i="12"/>
  <c r="D3652" i="12" s="1"/>
  <c r="K3659" i="12"/>
  <c r="K3662" i="12" s="1"/>
  <c r="D3658" i="12" s="1"/>
  <c r="BH53" i="13" l="1"/>
  <c r="BH56" i="13"/>
  <c r="BI60" i="13"/>
  <c r="BH45" i="13"/>
  <c r="O2132" i="12"/>
  <c r="O2134" i="12" s="1"/>
  <c r="D2130" i="12" s="1"/>
  <c r="BH65" i="13"/>
  <c r="O2721" i="12"/>
  <c r="E2359" i="12"/>
  <c r="K2359" i="12" s="1"/>
  <c r="K2361" i="12" s="1"/>
  <c r="D2358" i="12" s="1"/>
  <c r="AG180" i="15"/>
  <c r="AC198" i="15"/>
  <c r="AG109" i="15"/>
  <c r="AB119" i="15"/>
  <c r="AH155" i="15"/>
  <c r="AB198" i="15"/>
  <c r="AG155" i="15"/>
  <c r="AF155" i="15"/>
  <c r="AC119" i="15"/>
  <c r="AH98" i="15"/>
  <c r="AF98" i="15"/>
  <c r="AW180" i="15"/>
  <c r="AB109" i="15"/>
  <c r="AG98" i="15"/>
  <c r="AF109" i="15"/>
  <c r="AW108" i="15"/>
  <c r="W188" i="15"/>
  <c r="AB216" i="15"/>
  <c r="BZ198" i="15"/>
  <c r="CD198" i="15" s="1"/>
  <c r="AC167" i="15"/>
  <c r="AD198" i="15"/>
  <c r="AW123" i="15"/>
  <c r="AH109" i="15"/>
  <c r="AH216" i="15"/>
  <c r="AF207" i="15"/>
  <c r="AH207" i="15"/>
  <c r="AG207" i="15"/>
  <c r="AF198" i="15"/>
  <c r="AG188" i="15"/>
  <c r="AF180" i="15"/>
  <c r="AW147" i="15"/>
  <c r="AH130" i="15"/>
  <c r="AH101" i="15"/>
  <c r="AF202" i="15"/>
  <c r="BG207" i="15"/>
  <c r="AB202" i="15"/>
  <c r="AG101" i="15"/>
  <c r="AF147" i="15"/>
  <c r="AP147" i="15" s="1"/>
  <c r="AB147" i="15"/>
  <c r="AF130" i="15"/>
  <c r="AF101" i="15"/>
  <c r="AG123" i="15"/>
  <c r="AP148" i="15"/>
  <c r="AF188" i="15"/>
  <c r="AH188" i="15"/>
  <c r="AG216" i="15"/>
  <c r="AS171" i="15"/>
  <c r="AX117" i="15"/>
  <c r="AY117" i="15" s="1"/>
  <c r="AZ117" i="15" s="1"/>
  <c r="AB108" i="15"/>
  <c r="AJ171" i="15"/>
  <c r="X171" i="15" s="1"/>
  <c r="AW138" i="15"/>
  <c r="AX171" i="15"/>
  <c r="AY171" i="15" s="1"/>
  <c r="AZ171" i="15" s="1"/>
  <c r="AF123" i="15"/>
  <c r="AS210" i="15"/>
  <c r="AG157" i="15"/>
  <c r="AH157" i="15"/>
  <c r="AP174" i="15"/>
  <c r="AW191" i="15"/>
  <c r="AF216" i="15"/>
  <c r="AF157" i="15"/>
  <c r="AG130" i="15"/>
  <c r="AJ133" i="15"/>
  <c r="X133" i="15" s="1"/>
  <c r="AP143" i="15"/>
  <c r="AS174" i="15"/>
  <c r="AX174" i="15"/>
  <c r="AY174" i="15" s="1"/>
  <c r="AZ174" i="15" s="1"/>
  <c r="AP205" i="15"/>
  <c r="AH198" i="15"/>
  <c r="W111" i="15"/>
  <c r="AJ148" i="15"/>
  <c r="X148" i="15" s="1"/>
  <c r="AG198" i="15"/>
  <c r="AJ117" i="15"/>
  <c r="X117" i="15" s="1"/>
  <c r="AD188" i="15"/>
  <c r="AC188" i="15"/>
  <c r="AX118" i="15"/>
  <c r="AY118" i="15" s="1"/>
  <c r="AZ118" i="15" s="1"/>
  <c r="AX205" i="15"/>
  <c r="AY205" i="15" s="1"/>
  <c r="AZ205" i="15" s="1"/>
  <c r="AW215" i="15"/>
  <c r="AH140" i="15"/>
  <c r="AX122" i="15"/>
  <c r="AY122" i="15" s="1"/>
  <c r="AZ122" i="15" s="1"/>
  <c r="AS205" i="15"/>
  <c r="D1994" i="12"/>
  <c r="W215" i="15"/>
  <c r="AJ205" i="15"/>
  <c r="X205" i="15" s="1"/>
  <c r="AS117" i="15"/>
  <c r="AX133" i="15"/>
  <c r="AY133" i="15" s="1"/>
  <c r="AZ133" i="15" s="1"/>
  <c r="AP122" i="15"/>
  <c r="AS134" i="15"/>
  <c r="AX145" i="15"/>
  <c r="AH138" i="15"/>
  <c r="AF138" i="15"/>
  <c r="BF138" i="15"/>
  <c r="BG138" i="15"/>
  <c r="AS145" i="15"/>
  <c r="AS133" i="15"/>
  <c r="BG192" i="15"/>
  <c r="BF192" i="15"/>
  <c r="AP133" i="15"/>
  <c r="AP173" i="15"/>
  <c r="AF192" i="15"/>
  <c r="AG192" i="15"/>
  <c r="AH192" i="15"/>
  <c r="W192" i="15"/>
  <c r="AB192" i="15"/>
  <c r="AA138" i="15"/>
  <c r="W138" i="15"/>
  <c r="AB138" i="15"/>
  <c r="AS143" i="15"/>
  <c r="AX213" i="15"/>
  <c r="AY213" i="15" s="1"/>
  <c r="AZ213" i="15" s="1"/>
  <c r="AS97" i="15"/>
  <c r="AH99" i="15"/>
  <c r="AF99" i="15"/>
  <c r="AG99" i="15"/>
  <c r="AJ213" i="15"/>
  <c r="X213" i="15" s="1"/>
  <c r="AS213" i="15"/>
  <c r="AP117" i="15"/>
  <c r="AH215" i="15"/>
  <c r="AX173" i="15"/>
  <c r="AY173" i="15" s="1"/>
  <c r="AZ173" i="15" s="1"/>
  <c r="AS122" i="15"/>
  <c r="AW219" i="15"/>
  <c r="AS173" i="15"/>
  <c r="AJ199" i="15"/>
  <c r="X199" i="15" s="1"/>
  <c r="AP171" i="15"/>
  <c r="AJ118" i="15"/>
  <c r="X118" i="15" s="1"/>
  <c r="AJ173" i="15"/>
  <c r="X173" i="15" s="1"/>
  <c r="AP120" i="15"/>
  <c r="AW142" i="15"/>
  <c r="AJ145" i="15"/>
  <c r="X145" i="15" s="1"/>
  <c r="BF215" i="15"/>
  <c r="BG215" i="15"/>
  <c r="AX143" i="15"/>
  <c r="AY143" i="15" s="1"/>
  <c r="AZ143" i="15" s="1"/>
  <c r="AP213" i="15"/>
  <c r="AS197" i="15"/>
  <c r="BG188" i="15"/>
  <c r="BF188" i="15"/>
  <c r="AW139" i="15"/>
  <c r="AP203" i="15"/>
  <c r="AX199" i="15"/>
  <c r="AY199" i="15" s="1"/>
  <c r="AZ199" i="15" s="1"/>
  <c r="AA215" i="15"/>
  <c r="AF215" i="15"/>
  <c r="AP145" i="15"/>
  <c r="AG202" i="15"/>
  <c r="AC101" i="15"/>
  <c r="AB125" i="15"/>
  <c r="W125" i="15"/>
  <c r="AJ143" i="15"/>
  <c r="X143" i="15" s="1"/>
  <c r="AH163" i="15"/>
  <c r="BG111" i="15"/>
  <c r="BF111" i="15"/>
  <c r="W181" i="15"/>
  <c r="AB181" i="15"/>
  <c r="BF218" i="15"/>
  <c r="BG218" i="15"/>
  <c r="AG163" i="15"/>
  <c r="AE111" i="15"/>
  <c r="BZ111" i="15"/>
  <c r="CD111" i="15" s="1"/>
  <c r="AD111" i="15"/>
  <c r="CA111" i="15"/>
  <c r="CO111" i="15" s="1"/>
  <c r="AC111" i="15"/>
  <c r="Z111" i="15"/>
  <c r="AB211" i="15"/>
  <c r="AH176" i="15"/>
  <c r="BF161" i="15"/>
  <c r="BG161" i="15"/>
  <c r="W218" i="15"/>
  <c r="AB218" i="15"/>
  <c r="AW140" i="15"/>
  <c r="AA218" i="15"/>
  <c r="AG218" i="15"/>
  <c r="AF218" i="15"/>
  <c r="AH218" i="15"/>
  <c r="AS120" i="15"/>
  <c r="AF137" i="15"/>
  <c r="BG186" i="15"/>
  <c r="BF186" i="15"/>
  <c r="AX197" i="15"/>
  <c r="AY197" i="15" s="1"/>
  <c r="AZ197" i="15" s="1"/>
  <c r="AX120" i="15"/>
  <c r="AY120" i="15" s="1"/>
  <c r="AZ120" i="15" s="1"/>
  <c r="AG176" i="15"/>
  <c r="W101" i="15"/>
  <c r="AH123" i="15"/>
  <c r="W186" i="15"/>
  <c r="AB186" i="15"/>
  <c r="AA181" i="15"/>
  <c r="AG181" i="15"/>
  <c r="AH181" i="15"/>
  <c r="AF181" i="15"/>
  <c r="AJ120" i="15"/>
  <c r="X120" i="15" s="1"/>
  <c r="AJ193" i="15"/>
  <c r="X193" i="15" s="1"/>
  <c r="BG181" i="15"/>
  <c r="BF181" i="15"/>
  <c r="AA163" i="15"/>
  <c r="Z125" i="15"/>
  <c r="BZ125" i="15"/>
  <c r="CD125" i="15" s="1"/>
  <c r="CA125" i="15"/>
  <c r="CO125" i="15" s="1"/>
  <c r="AE125" i="15"/>
  <c r="AD125" i="15"/>
  <c r="AC125" i="15"/>
  <c r="AA161" i="15"/>
  <c r="AF161" i="15"/>
  <c r="AG161" i="15"/>
  <c r="AH161" i="15"/>
  <c r="AJ197" i="15"/>
  <c r="X197" i="15" s="1"/>
  <c r="AJ196" i="15"/>
  <c r="X196" i="15" s="1"/>
  <c r="AE186" i="15"/>
  <c r="BZ186" i="15"/>
  <c r="CD186" i="15" s="1"/>
  <c r="CA186" i="15"/>
  <c r="CO186" i="15" s="1"/>
  <c r="Z186" i="15"/>
  <c r="AD186" i="15"/>
  <c r="AC186" i="15"/>
  <c r="W161" i="15"/>
  <c r="AB161" i="15"/>
  <c r="AF160" i="15"/>
  <c r="AD101" i="15"/>
  <c r="BF163" i="15"/>
  <c r="BG163" i="15"/>
  <c r="BF125" i="15"/>
  <c r="BG125" i="15"/>
  <c r="BF219" i="15"/>
  <c r="BG219" i="15"/>
  <c r="AJ134" i="15"/>
  <c r="X134" i="15" s="1"/>
  <c r="AJ204" i="15"/>
  <c r="X204" i="15" s="1"/>
  <c r="W219" i="15"/>
  <c r="AB219" i="15"/>
  <c r="AA214" i="15"/>
  <c r="AG214" i="15"/>
  <c r="AF214" i="15"/>
  <c r="AH214" i="15"/>
  <c r="AH175" i="15"/>
  <c r="AF175" i="15"/>
  <c r="AG175" i="15"/>
  <c r="AH94" i="15"/>
  <c r="AF182" i="15"/>
  <c r="AH182" i="15"/>
  <c r="AA182" i="15"/>
  <c r="AS148" i="15"/>
  <c r="AJ177" i="15"/>
  <c r="X177" i="15" s="1"/>
  <c r="AF183" i="15"/>
  <c r="BG182" i="15"/>
  <c r="BF182" i="15"/>
  <c r="BG140" i="15"/>
  <c r="BF140" i="15"/>
  <c r="W168" i="15"/>
  <c r="AB168" i="15"/>
  <c r="BG209" i="15"/>
  <c r="BF209" i="15"/>
  <c r="BF115" i="15"/>
  <c r="BG115" i="15"/>
  <c r="AF162" i="15"/>
  <c r="AP134" i="15"/>
  <c r="AW106" i="15"/>
  <c r="AF140" i="15"/>
  <c r="BG123" i="15"/>
  <c r="BF123" i="15"/>
  <c r="AG168" i="15"/>
  <c r="AF168" i="15"/>
  <c r="AA168" i="15"/>
  <c r="AH168" i="15"/>
  <c r="W209" i="15"/>
  <c r="AB209" i="15"/>
  <c r="W175" i="15"/>
  <c r="AB175" i="15"/>
  <c r="AJ122" i="15"/>
  <c r="X122" i="15" s="1"/>
  <c r="AX148" i="15"/>
  <c r="AY148" i="15" s="1"/>
  <c r="AZ148" i="15" s="1"/>
  <c r="AJ174" i="15"/>
  <c r="X174" i="15" s="1"/>
  <c r="AP197" i="15"/>
  <c r="AF106" i="15"/>
  <c r="W182" i="15"/>
  <c r="AB182" i="15"/>
  <c r="AA140" i="15"/>
  <c r="W140" i="15"/>
  <c r="AB140" i="15"/>
  <c r="BF214" i="15"/>
  <c r="BG214" i="15"/>
  <c r="BF175" i="15"/>
  <c r="BG175" i="15"/>
  <c r="BG101" i="15"/>
  <c r="BF101" i="15"/>
  <c r="AA219" i="15"/>
  <c r="AH219" i="15"/>
  <c r="AF219" i="15"/>
  <c r="BF168" i="15"/>
  <c r="BG168" i="15"/>
  <c r="O115" i="15"/>
  <c r="O221" i="15" s="1"/>
  <c r="AD115" i="15"/>
  <c r="W214" i="15"/>
  <c r="AB214" i="15"/>
  <c r="AA115" i="15"/>
  <c r="AH115" i="15"/>
  <c r="AG115" i="15"/>
  <c r="AF115" i="15"/>
  <c r="AA209" i="15"/>
  <c r="AH209" i="15"/>
  <c r="AG209" i="15"/>
  <c r="AF209" i="15"/>
  <c r="AG182" i="15"/>
  <c r="BF100" i="15"/>
  <c r="BG100" i="15"/>
  <c r="BF202" i="15"/>
  <c r="BG202" i="15"/>
  <c r="W139" i="15"/>
  <c r="AB139" i="15"/>
  <c r="W160" i="15"/>
  <c r="AB160" i="15"/>
  <c r="W201" i="15"/>
  <c r="AH202" i="15"/>
  <c r="W190" i="15"/>
  <c r="AB190" i="15"/>
  <c r="W191" i="15"/>
  <c r="AB191" i="15"/>
  <c r="W129" i="15"/>
  <c r="AB129" i="15"/>
  <c r="BF94" i="15"/>
  <c r="BG94" i="15"/>
  <c r="BG153" i="15"/>
  <c r="BF153" i="15"/>
  <c r="W100" i="15"/>
  <c r="AB100" i="15"/>
  <c r="AC156" i="15"/>
  <c r="AE156" i="15"/>
  <c r="Z156" i="15"/>
  <c r="BZ156" i="15"/>
  <c r="AD156" i="15"/>
  <c r="CA156" i="15"/>
  <c r="AJ103" i="15"/>
  <c r="X103" i="15" s="1"/>
  <c r="BF191" i="15"/>
  <c r="BG191" i="15"/>
  <c r="CO92" i="15"/>
  <c r="BG129" i="15"/>
  <c r="BF129" i="15"/>
  <c r="AD92" i="15"/>
  <c r="BF156" i="15"/>
  <c r="BG156" i="15"/>
  <c r="AF176" i="15"/>
  <c r="W92" i="15"/>
  <c r="AB92" i="15"/>
  <c r="AG184" i="15"/>
  <c r="AF184" i="15"/>
  <c r="AA184" i="15"/>
  <c r="AA108" i="15"/>
  <c r="AF108" i="15"/>
  <c r="AH108" i="15"/>
  <c r="AG108" i="15"/>
  <c r="W94" i="15"/>
  <c r="AB94" i="15"/>
  <c r="BZ100" i="15"/>
  <c r="Z100" i="15"/>
  <c r="CA100" i="15"/>
  <c r="AD100" i="15"/>
  <c r="AE100" i="15"/>
  <c r="AC100" i="15"/>
  <c r="AC92" i="15"/>
  <c r="AF211" i="15"/>
  <c r="AG211" i="15"/>
  <c r="W156" i="15"/>
  <c r="AB156" i="15"/>
  <c r="AP149" i="15"/>
  <c r="AX97" i="15"/>
  <c r="AY97" i="15" s="1"/>
  <c r="AZ97" i="15" s="1"/>
  <c r="BG108" i="15"/>
  <c r="BF108" i="15"/>
  <c r="BF211" i="15"/>
  <c r="BG211" i="15"/>
  <c r="AF139" i="15"/>
  <c r="AW160" i="15"/>
  <c r="AG106" i="15"/>
  <c r="AW176" i="15"/>
  <c r="AG191" i="15"/>
  <c r="AF191" i="15"/>
  <c r="AA191" i="15"/>
  <c r="AH191" i="15"/>
  <c r="W184" i="15"/>
  <c r="AB184" i="15"/>
  <c r="CD92" i="15"/>
  <c r="AW184" i="15"/>
  <c r="AA160" i="15"/>
  <c r="AH160" i="15"/>
  <c r="AS212" i="15"/>
  <c r="AA137" i="15"/>
  <c r="AG137" i="15"/>
  <c r="AH137" i="15"/>
  <c r="BG106" i="15"/>
  <c r="BF106" i="15"/>
  <c r="W176" i="15"/>
  <c r="AB176" i="15"/>
  <c r="BF92" i="15"/>
  <c r="BG92" i="15"/>
  <c r="BG184" i="15"/>
  <c r="BF184" i="15"/>
  <c r="BF183" i="15"/>
  <c r="BG183" i="15"/>
  <c r="BZ153" i="15"/>
  <c r="CA153" i="15"/>
  <c r="Z153" i="15"/>
  <c r="AC153" i="15"/>
  <c r="AD153" i="15"/>
  <c r="AE153" i="15"/>
  <c r="AF92" i="15"/>
  <c r="AG92" i="15"/>
  <c r="AH92" i="15"/>
  <c r="BZ112" i="15"/>
  <c r="AC112" i="15"/>
  <c r="AD112" i="15"/>
  <c r="CA112" i="15"/>
  <c r="Z112" i="15"/>
  <c r="AE112" i="15"/>
  <c r="AE129" i="15"/>
  <c r="BZ129" i="15"/>
  <c r="CA129" i="15"/>
  <c r="AD129" i="15"/>
  <c r="Z129" i="15"/>
  <c r="AC129" i="15"/>
  <c r="AA183" i="15"/>
  <c r="AW94" i="15"/>
  <c r="AG183" i="15"/>
  <c r="BF112" i="15"/>
  <c r="BG112" i="15"/>
  <c r="BF139" i="15"/>
  <c r="BG139" i="15"/>
  <c r="AS89" i="15"/>
  <c r="BF137" i="15"/>
  <c r="BG137" i="15"/>
  <c r="BF176" i="15"/>
  <c r="BG176" i="15"/>
  <c r="AA190" i="15"/>
  <c r="AG190" i="15"/>
  <c r="AH190" i="15"/>
  <c r="AF190" i="15"/>
  <c r="AA106" i="15"/>
  <c r="W183" i="15"/>
  <c r="AB183" i="15"/>
  <c r="AG94" i="15"/>
  <c r="AF94" i="15"/>
  <c r="W153" i="15"/>
  <c r="AB153" i="15"/>
  <c r="AB112" i="15"/>
  <c r="W112" i="15"/>
  <c r="AH211" i="15"/>
  <c r="BF201" i="15"/>
  <c r="BG201" i="15"/>
  <c r="AG139" i="15"/>
  <c r="BF160" i="15"/>
  <c r="BG160" i="15"/>
  <c r="AB137" i="15"/>
  <c r="W137" i="15"/>
  <c r="BF190" i="15"/>
  <c r="BG190" i="15"/>
  <c r="W106" i="15"/>
  <c r="AB106" i="15"/>
  <c r="AA201" i="15"/>
  <c r="AF201" i="15"/>
  <c r="AG201" i="15"/>
  <c r="AA139" i="15"/>
  <c r="AJ212" i="15"/>
  <c r="X212" i="15" s="1"/>
  <c r="AJ169" i="15"/>
  <c r="X169" i="15" s="1"/>
  <c r="AP152" i="15"/>
  <c r="AJ155" i="15"/>
  <c r="X155" i="15" s="1"/>
  <c r="AX150" i="15"/>
  <c r="AY150" i="15" s="1"/>
  <c r="AZ150" i="15" s="1"/>
  <c r="AJ210" i="15"/>
  <c r="X210" i="15" s="1"/>
  <c r="AG162" i="15"/>
  <c r="CO185" i="15"/>
  <c r="AJ159" i="15"/>
  <c r="X159" i="15" s="1"/>
  <c r="AJ206" i="15"/>
  <c r="X206" i="15" s="1"/>
  <c r="AJ167" i="15"/>
  <c r="X167" i="15" s="1"/>
  <c r="AJ194" i="15"/>
  <c r="X194" i="15" s="1"/>
  <c r="AA162" i="15"/>
  <c r="AP136" i="15"/>
  <c r="AS118" i="15"/>
  <c r="AP95" i="15"/>
  <c r="AJ95" i="15"/>
  <c r="X95" i="15" s="1"/>
  <c r="AX98" i="15"/>
  <c r="AY98" i="15" s="1"/>
  <c r="AZ98" i="15" s="1"/>
  <c r="AF217" i="15"/>
  <c r="AH217" i="15"/>
  <c r="AX212" i="15"/>
  <c r="AY212" i="15" s="1"/>
  <c r="AZ212" i="15" s="1"/>
  <c r="AX152" i="15"/>
  <c r="AY152" i="15" s="1"/>
  <c r="AZ152" i="15" s="1"/>
  <c r="AP210" i="15"/>
  <c r="AJ203" i="15"/>
  <c r="X203" i="15" s="1"/>
  <c r="AH162" i="15"/>
  <c r="AP200" i="15"/>
  <c r="AX196" i="15"/>
  <c r="AY196" i="15" s="1"/>
  <c r="AZ196" i="15" s="1"/>
  <c r="AS164" i="15"/>
  <c r="AG165" i="15"/>
  <c r="AP193" i="15"/>
  <c r="AS203" i="15"/>
  <c r="AJ154" i="15"/>
  <c r="X154" i="15" s="1"/>
  <c r="AP172" i="15"/>
  <c r="AX203" i="15"/>
  <c r="AY203" i="15" s="1"/>
  <c r="AZ203" i="15" s="1"/>
  <c r="AX210" i="15"/>
  <c r="AY210" i="15" s="1"/>
  <c r="AZ210" i="15" s="1"/>
  <c r="AS152" i="15"/>
  <c r="AJ178" i="15"/>
  <c r="X178" i="15" s="1"/>
  <c r="AJ220" i="15"/>
  <c r="X220" i="15" s="1"/>
  <c r="AX178" i="15"/>
  <c r="AY178" i="15" s="1"/>
  <c r="AZ178" i="15" s="1"/>
  <c r="AJ195" i="15"/>
  <c r="X195" i="15" s="1"/>
  <c r="AG217" i="15"/>
  <c r="AJ152" i="15"/>
  <c r="X152" i="15" s="1"/>
  <c r="AJ132" i="15"/>
  <c r="X132" i="15" s="1"/>
  <c r="AX95" i="15"/>
  <c r="AY95" i="15" s="1"/>
  <c r="AZ95" i="15" s="1"/>
  <c r="AS95" i="15"/>
  <c r="AJ97" i="15"/>
  <c r="X97" i="15" s="1"/>
  <c r="AP97" i="15"/>
  <c r="AK221" i="15"/>
  <c r="AH185" i="15"/>
  <c r="AJ146" i="15"/>
  <c r="X146" i="15" s="1"/>
  <c r="BR221" i="15"/>
  <c r="AP167" i="15"/>
  <c r="AP212" i="15"/>
  <c r="AG185" i="15"/>
  <c r="AX167" i="15"/>
  <c r="AY167" i="15" s="1"/>
  <c r="AZ167" i="15" s="1"/>
  <c r="BS221" i="15"/>
  <c r="AX164" i="15"/>
  <c r="AY164" i="15" s="1"/>
  <c r="AZ164" i="15" s="1"/>
  <c r="AA185" i="15"/>
  <c r="AX193" i="15"/>
  <c r="AY193" i="15" s="1"/>
  <c r="AZ193" i="15" s="1"/>
  <c r="AS172" i="15"/>
  <c r="AL221" i="15"/>
  <c r="AJ164" i="15"/>
  <c r="X164" i="15" s="1"/>
  <c r="AX172" i="15"/>
  <c r="AY172" i="15" s="1"/>
  <c r="AZ172" i="15" s="1"/>
  <c r="AA151" i="15"/>
  <c r="AP164" i="15"/>
  <c r="AJ149" i="15"/>
  <c r="X149" i="15" s="1"/>
  <c r="AJ172" i="15"/>
  <c r="X172" i="15" s="1"/>
  <c r="J221" i="15"/>
  <c r="AJ126" i="15"/>
  <c r="X126" i="15" s="1"/>
  <c r="AJ136" i="15"/>
  <c r="X136" i="15" s="1"/>
  <c r="AS136" i="15"/>
  <c r="AX136" i="15"/>
  <c r="AY136" i="15" s="1"/>
  <c r="AZ136" i="15" s="1"/>
  <c r="AP118" i="15"/>
  <c r="BQ221" i="15"/>
  <c r="AP89" i="15"/>
  <c r="AS149" i="15"/>
  <c r="AJ150" i="15"/>
  <c r="X150" i="15" s="1"/>
  <c r="AP159" i="15"/>
  <c r="AS200" i="15"/>
  <c r="AJ200" i="15"/>
  <c r="X200" i="15" s="1"/>
  <c r="AX200" i="15"/>
  <c r="AY200" i="15" s="1"/>
  <c r="AZ200" i="15" s="1"/>
  <c r="AS167" i="15"/>
  <c r="AP204" i="15"/>
  <c r="AJ93" i="15"/>
  <c r="X93" i="15" s="1"/>
  <c r="AX89" i="15"/>
  <c r="AY89" i="15" s="1"/>
  <c r="AZ89" i="15" s="1"/>
  <c r="W131" i="15"/>
  <c r="AB131" i="15"/>
  <c r="W166" i="15"/>
  <c r="AB166" i="15"/>
  <c r="AU221" i="15"/>
  <c r="AX146" i="15"/>
  <c r="AY146" i="15" s="1"/>
  <c r="AZ146" i="15" s="1"/>
  <c r="AP146" i="15"/>
  <c r="AS146" i="15"/>
  <c r="AP199" i="15"/>
  <c r="AS199" i="15"/>
  <c r="AS193" i="15"/>
  <c r="W114" i="15"/>
  <c r="AB114" i="15"/>
  <c r="W185" i="15"/>
  <c r="AB185" i="15"/>
  <c r="W165" i="15"/>
  <c r="AB165" i="15"/>
  <c r="BD221" i="15"/>
  <c r="AG187" i="15"/>
  <c r="AA187" i="15"/>
  <c r="AH187" i="15"/>
  <c r="AF187" i="15"/>
  <c r="AS119" i="15"/>
  <c r="AP119" i="15"/>
  <c r="AX119" i="15"/>
  <c r="AY119" i="15" s="1"/>
  <c r="AZ119" i="15" s="1"/>
  <c r="AA170" i="15"/>
  <c r="AH170" i="15"/>
  <c r="AG170" i="15"/>
  <c r="AF170" i="15"/>
  <c r="AJ135" i="15"/>
  <c r="X135" i="15" s="1"/>
  <c r="AP196" i="15"/>
  <c r="AS196" i="15"/>
  <c r="CO158" i="15"/>
  <c r="AJ127" i="15"/>
  <c r="X127" i="15" s="1"/>
  <c r="AP177" i="15"/>
  <c r="AS177" i="15"/>
  <c r="AX177" i="15"/>
  <c r="AY177" i="15" s="1"/>
  <c r="AZ177" i="15" s="1"/>
  <c r="AJ89" i="15"/>
  <c r="X89" i="15" s="1"/>
  <c r="AX159" i="15"/>
  <c r="AY159" i="15" s="1"/>
  <c r="AZ159" i="15" s="1"/>
  <c r="W189" i="15"/>
  <c r="AB189" i="15"/>
  <c r="W151" i="15"/>
  <c r="AB151" i="15"/>
  <c r="W179" i="15"/>
  <c r="AB179" i="15"/>
  <c r="W91" i="15"/>
  <c r="AB91" i="15"/>
  <c r="AP103" i="15"/>
  <c r="AX103" i="15"/>
  <c r="AY103" i="15" s="1"/>
  <c r="AZ103" i="15" s="1"/>
  <c r="AS103" i="15"/>
  <c r="AJ121" i="15"/>
  <c r="X121" i="15" s="1"/>
  <c r="CO170" i="15"/>
  <c r="AP220" i="15"/>
  <c r="AS220" i="15"/>
  <c r="AX220" i="15"/>
  <c r="AY220" i="15" s="1"/>
  <c r="AZ220" i="15" s="1"/>
  <c r="AJ96" i="15"/>
  <c r="X96" i="15" s="1"/>
  <c r="AP195" i="15"/>
  <c r="AX195" i="15"/>
  <c r="AY195" i="15" s="1"/>
  <c r="AZ195" i="15" s="1"/>
  <c r="AS195" i="15"/>
  <c r="AX113" i="15"/>
  <c r="AY113" i="15" s="1"/>
  <c r="AZ113" i="15" s="1"/>
  <c r="AS113" i="15"/>
  <c r="AP113" i="15"/>
  <c r="AS159" i="15"/>
  <c r="AG104" i="15"/>
  <c r="AH104" i="15"/>
  <c r="AF104" i="15"/>
  <c r="AA104" i="15"/>
  <c r="AP96" i="15"/>
  <c r="AX96" i="15"/>
  <c r="AY96" i="15" s="1"/>
  <c r="AZ96" i="15" s="1"/>
  <c r="AS96" i="15"/>
  <c r="AC185" i="15"/>
  <c r="W128" i="15"/>
  <c r="AB128" i="15"/>
  <c r="CD110" i="15"/>
  <c r="CD104" i="15"/>
  <c r="AP132" i="15"/>
  <c r="AX132" i="15"/>
  <c r="AY132" i="15" s="1"/>
  <c r="AZ132" i="15" s="1"/>
  <c r="AS132" i="15"/>
  <c r="AS93" i="15"/>
  <c r="AX93" i="15"/>
  <c r="AY93" i="15" s="1"/>
  <c r="AZ93" i="15" s="1"/>
  <c r="AP93" i="15"/>
  <c r="AD189" i="15"/>
  <c r="AE189" i="15"/>
  <c r="BZ189" i="15"/>
  <c r="AC189" i="15"/>
  <c r="CA189" i="15"/>
  <c r="Z189" i="15"/>
  <c r="AS154" i="15"/>
  <c r="AX154" i="15"/>
  <c r="AY154" i="15" s="1"/>
  <c r="AZ154" i="15" s="1"/>
  <c r="AP154" i="15"/>
  <c r="CD158" i="15"/>
  <c r="AS127" i="15"/>
  <c r="AX127" i="15"/>
  <c r="AY127" i="15" s="1"/>
  <c r="AZ127" i="15" s="1"/>
  <c r="AP127" i="15"/>
  <c r="AS204" i="15"/>
  <c r="AG166" i="15"/>
  <c r="AA142" i="15"/>
  <c r="AF142" i="15"/>
  <c r="AG142" i="15"/>
  <c r="AG110" i="15"/>
  <c r="AF110" i="15"/>
  <c r="AA110" i="15"/>
  <c r="AH110" i="15"/>
  <c r="CO104" i="15"/>
  <c r="AS124" i="15"/>
  <c r="AX124" i="15"/>
  <c r="AY124" i="15" s="1"/>
  <c r="AZ124" i="15" s="1"/>
  <c r="AP124" i="15"/>
  <c r="CD170" i="15"/>
  <c r="AJ124" i="15"/>
  <c r="X124" i="15" s="1"/>
  <c r="AJ107" i="15"/>
  <c r="X107" i="15" s="1"/>
  <c r="AF158" i="15"/>
  <c r="AA158" i="15"/>
  <c r="AG158" i="15"/>
  <c r="AH158" i="15"/>
  <c r="AC91" i="15"/>
  <c r="AX204" i="15"/>
  <c r="AY204" i="15" s="1"/>
  <c r="AZ204" i="15" s="1"/>
  <c r="AF102" i="15"/>
  <c r="AG102" i="15"/>
  <c r="AH102" i="15"/>
  <c r="AH151" i="15"/>
  <c r="W102" i="15"/>
  <c r="AB102" i="15"/>
  <c r="AH166" i="15"/>
  <c r="Z131" i="15"/>
  <c r="BZ131" i="15"/>
  <c r="CA131" i="15"/>
  <c r="AC131" i="15"/>
  <c r="AD131" i="15"/>
  <c r="AE131" i="15"/>
  <c r="Z128" i="15"/>
  <c r="BZ128" i="15"/>
  <c r="AC128" i="15"/>
  <c r="AD128" i="15"/>
  <c r="AE128" i="15"/>
  <c r="CA128" i="15"/>
  <c r="CO90" i="15"/>
  <c r="AF151" i="15"/>
  <c r="AG179" i="15"/>
  <c r="W208" i="15"/>
  <c r="AB208" i="15"/>
  <c r="AF166" i="15"/>
  <c r="CD90" i="15"/>
  <c r="AS206" i="15"/>
  <c r="AX206" i="15"/>
  <c r="AY206" i="15" s="1"/>
  <c r="AZ206" i="15" s="1"/>
  <c r="AP206" i="15"/>
  <c r="AP178" i="15"/>
  <c r="AS178" i="15"/>
  <c r="AP107" i="15"/>
  <c r="AX107" i="15"/>
  <c r="AY107" i="15" s="1"/>
  <c r="AZ107" i="15" s="1"/>
  <c r="AS107" i="15"/>
  <c r="AX105" i="15"/>
  <c r="AY105" i="15" s="1"/>
  <c r="AZ105" i="15" s="1"/>
  <c r="AP105" i="15"/>
  <c r="AS105" i="15"/>
  <c r="AX134" i="15"/>
  <c r="AY134" i="15" s="1"/>
  <c r="AZ134" i="15" s="1"/>
  <c r="AH179" i="15"/>
  <c r="AA208" i="15"/>
  <c r="AF208" i="15"/>
  <c r="AG208" i="15"/>
  <c r="AH208" i="15"/>
  <c r="W217" i="15"/>
  <c r="AB217" i="15"/>
  <c r="AS126" i="15"/>
  <c r="AP126" i="15"/>
  <c r="AX126" i="15"/>
  <c r="AY126" i="15" s="1"/>
  <c r="AZ126" i="15" s="1"/>
  <c r="AX149" i="15"/>
  <c r="AY149" i="15" s="1"/>
  <c r="AZ149" i="15" s="1"/>
  <c r="AJ113" i="15"/>
  <c r="X113" i="15" s="1"/>
  <c r="AS169" i="15"/>
  <c r="AX169" i="15"/>
  <c r="AY169" i="15" s="1"/>
  <c r="AZ169" i="15" s="1"/>
  <c r="AP169" i="15"/>
  <c r="Z114" i="15"/>
  <c r="BZ114" i="15"/>
  <c r="AC114" i="15"/>
  <c r="AD114" i="15"/>
  <c r="CA114" i="15"/>
  <c r="AE114" i="15"/>
  <c r="AF90" i="15"/>
  <c r="AA90" i="15"/>
  <c r="AG90" i="15"/>
  <c r="AH90" i="15"/>
  <c r="AP150" i="15"/>
  <c r="AS150" i="15"/>
  <c r="AH91" i="15"/>
  <c r="AF91" i="15"/>
  <c r="AG91" i="15"/>
  <c r="AD102" i="15"/>
  <c r="AF179" i="15"/>
  <c r="W162" i="15"/>
  <c r="AB162" i="15"/>
  <c r="AF165" i="15"/>
  <c r="W142" i="15"/>
  <c r="AB142" i="15"/>
  <c r="CO110" i="15"/>
  <c r="AJ119" i="15"/>
  <c r="X119" i="15" s="1"/>
  <c r="CO187" i="15"/>
  <c r="AP135" i="15"/>
  <c r="AX135" i="15"/>
  <c r="AY135" i="15" s="1"/>
  <c r="AZ135" i="15" s="1"/>
  <c r="AS135" i="15"/>
  <c r="AX194" i="15"/>
  <c r="AY194" i="15" s="1"/>
  <c r="AZ194" i="15" s="1"/>
  <c r="AP194" i="15"/>
  <c r="AS194" i="15"/>
  <c r="AC102" i="15"/>
  <c r="AH165" i="15"/>
  <c r="CD187" i="15"/>
  <c r="AP121" i="15"/>
  <c r="AX121" i="15"/>
  <c r="AY121" i="15" s="1"/>
  <c r="AZ121" i="15" s="1"/>
  <c r="AS121" i="15"/>
  <c r="AJ105" i="15"/>
  <c r="X105" i="15" s="1"/>
  <c r="AS155" i="15"/>
  <c r="AP155" i="15"/>
  <c r="AX155" i="15"/>
  <c r="AY155" i="15" s="1"/>
  <c r="AZ155" i="15" s="1"/>
  <c r="AD91" i="15"/>
  <c r="BF165" i="15"/>
  <c r="BG165" i="15"/>
  <c r="BG131" i="15"/>
  <c r="BF131" i="15"/>
  <c r="BG166" i="15"/>
  <c r="BF166" i="15"/>
  <c r="BF185" i="15"/>
  <c r="BG185" i="15"/>
  <c r="BG142" i="15"/>
  <c r="BF142" i="15"/>
  <c r="BF189" i="15"/>
  <c r="BG189" i="15"/>
  <c r="BG162" i="15"/>
  <c r="BF162" i="15"/>
  <c r="BG151" i="15"/>
  <c r="BF151" i="15"/>
  <c r="BF179" i="15"/>
  <c r="BG179" i="15"/>
  <c r="AY145" i="15"/>
  <c r="AZ145" i="15" s="1"/>
  <c r="BG114" i="15"/>
  <c r="BF114" i="15"/>
  <c r="BF91" i="15"/>
  <c r="BG91" i="15"/>
  <c r="BG128" i="15"/>
  <c r="BF128" i="15"/>
  <c r="BF208" i="15"/>
  <c r="BG208" i="15"/>
  <c r="BF102" i="15"/>
  <c r="BG102" i="15"/>
  <c r="BF217" i="15"/>
  <c r="BG217" i="15"/>
  <c r="BH73" i="13"/>
  <c r="BG63" i="13"/>
  <c r="BI63" i="13" s="1"/>
  <c r="BH86" i="13"/>
  <c r="BH80" i="13"/>
  <c r="AR106" i="13"/>
  <c r="BH54" i="13"/>
  <c r="BI54" i="13"/>
  <c r="BH81" i="13"/>
  <c r="BU109" i="13"/>
  <c r="E2290" i="12" s="1"/>
  <c r="E2292" i="12" s="1"/>
  <c r="D2289" i="12" s="1"/>
  <c r="BF106" i="13"/>
  <c r="M2712" i="12"/>
  <c r="N2712" i="12" s="1"/>
  <c r="O2692" i="12"/>
  <c r="M2693" i="12"/>
  <c r="BI88" i="13"/>
  <c r="BA106" i="13"/>
  <c r="O2280" i="12" s="1"/>
  <c r="M2280" i="12" s="1"/>
  <c r="AX106" i="13"/>
  <c r="O2279" i="12" s="1"/>
  <c r="M2279" i="12" s="1"/>
  <c r="BH66" i="13"/>
  <c r="M2717" i="12"/>
  <c r="N2717" i="12" s="1"/>
  <c r="O2697" i="12"/>
  <c r="BH61" i="13"/>
  <c r="BH91" i="13"/>
  <c r="BI91" i="13"/>
  <c r="BI90" i="13"/>
  <c r="BG50" i="13"/>
  <c r="BI50" i="13" s="1"/>
  <c r="M1809" i="12"/>
  <c r="N1811" i="12" s="1"/>
  <c r="N1813" i="12" s="1"/>
  <c r="D1806" i="12" s="1"/>
  <c r="E1816" i="12"/>
  <c r="W62" i="13"/>
  <c r="E2315" i="12"/>
  <c r="K2315" i="12" s="1"/>
  <c r="K2317" i="12" s="1"/>
  <c r="E2321" i="12"/>
  <c r="D2318" i="12" s="1"/>
  <c r="BH99" i="13"/>
  <c r="E2351" i="12"/>
  <c r="CC109" i="13"/>
  <c r="E2298" i="12" s="1"/>
  <c r="E2300" i="12" s="1"/>
  <c r="D2297" i="12" s="1"/>
  <c r="BG103" i="13"/>
  <c r="BI103" i="13" s="1"/>
  <c r="BG104" i="13"/>
  <c r="BI104" i="13" s="1"/>
  <c r="BG85" i="13"/>
  <c r="BI85" i="13" s="1"/>
  <c r="BG69" i="13"/>
  <c r="BI69" i="13" s="1"/>
  <c r="E2339" i="12"/>
  <c r="BY109" i="13"/>
  <c r="E2294" i="12" s="1"/>
  <c r="E2296" i="12" s="1"/>
  <c r="D2293" i="12" s="1"/>
  <c r="BH77" i="13"/>
  <c r="BH84" i="13"/>
  <c r="BI62" i="13"/>
  <c r="BH75" i="13"/>
  <c r="E2772" i="12"/>
  <c r="N2772" i="12" s="1"/>
  <c r="N2775" i="12" s="1"/>
  <c r="D2770" i="12" s="1"/>
  <c r="O2754" i="12"/>
  <c r="O2757" i="12" s="1"/>
  <c r="D2752" i="12" s="1"/>
  <c r="O2760" i="12" s="1"/>
  <c r="O2763" i="12" s="1"/>
  <c r="D2758" i="12" s="1"/>
  <c r="E2766" i="12"/>
  <c r="K2766" i="12" s="1"/>
  <c r="K2769" i="12" s="1"/>
  <c r="D2764" i="12" s="1"/>
  <c r="BG83" i="13"/>
  <c r="BI83" i="13" s="1"/>
  <c r="BH95" i="13"/>
  <c r="BG59" i="13"/>
  <c r="BI59" i="13" s="1"/>
  <c r="BG82" i="13"/>
  <c r="BI82" i="13" s="1"/>
  <c r="BH94" i="13"/>
  <c r="BI98" i="13"/>
  <c r="BH70" i="13"/>
  <c r="BH55" i="13"/>
  <c r="BH100" i="13"/>
  <c r="BG100" i="13"/>
  <c r="BI100" i="13" s="1"/>
  <c r="BG96" i="13"/>
  <c r="BI96" i="13" s="1"/>
  <c r="BG51" i="13"/>
  <c r="BI51" i="13" s="1"/>
  <c r="BG97" i="13"/>
  <c r="BI97" i="13" s="1"/>
  <c r="BH58" i="13"/>
  <c r="BI105" i="13"/>
  <c r="BG78" i="13"/>
  <c r="BI78" i="13" s="1"/>
  <c r="E2327" i="12"/>
  <c r="K2327" i="12" s="1"/>
  <c r="K2329" i="12" s="1"/>
  <c r="D2326" i="12" s="1"/>
  <c r="E2333" i="12"/>
  <c r="D2330" i="12" s="1"/>
  <c r="BJ107" i="13"/>
  <c r="O2102" i="12"/>
  <c r="O2104" i="12" s="1"/>
  <c r="D2100" i="12" s="1"/>
  <c r="BG46" i="13"/>
  <c r="BI46" i="13" s="1"/>
  <c r="BH71" i="13"/>
  <c r="BH49" i="13"/>
  <c r="BG74" i="13"/>
  <c r="BI74" i="13" s="1"/>
  <c r="N2223" i="12"/>
  <c r="D2220" i="12" s="1"/>
  <c r="N2231" i="12"/>
  <c r="N2225" i="12"/>
  <c r="K2227" i="12" s="1"/>
  <c r="K2229" i="12" s="1"/>
  <c r="D2224" i="12" s="1"/>
  <c r="E2367" i="12"/>
  <c r="K2367" i="12" s="1"/>
  <c r="K2369" i="12" s="1"/>
  <c r="D2366" i="12" s="1"/>
  <c r="E2373" i="12"/>
  <c r="D2370" i="12" s="1"/>
  <c r="J3643" i="12"/>
  <c r="O3649" i="12"/>
  <c r="J3649" i="12" s="1"/>
  <c r="D3556" i="12"/>
  <c r="O3635" i="12"/>
  <c r="O3637" i="12" s="1"/>
  <c r="O3639" i="12" s="1"/>
  <c r="O2007" i="12"/>
  <c r="M2007" i="12" s="1"/>
  <c r="M2009" i="12" s="1"/>
  <c r="D2005" i="12" s="1"/>
  <c r="M2002" i="12"/>
  <c r="M2004" i="12" s="1"/>
  <c r="D2000" i="12" s="1"/>
  <c r="O2142" i="12" l="1"/>
  <c r="O2144" i="12" s="1"/>
  <c r="D2140" i="12" s="1"/>
  <c r="AS98" i="15"/>
  <c r="AJ180" i="15"/>
  <c r="X180" i="15" s="1"/>
  <c r="AP98" i="15"/>
  <c r="AX109" i="15"/>
  <c r="AY109" i="15" s="1"/>
  <c r="AZ109" i="15" s="1"/>
  <c r="AJ109" i="15"/>
  <c r="X109" i="15" s="1"/>
  <c r="AJ98" i="15"/>
  <c r="X98" i="15" s="1"/>
  <c r="AX207" i="15"/>
  <c r="AY207" i="15" s="1"/>
  <c r="AZ207" i="15" s="1"/>
  <c r="AS147" i="15"/>
  <c r="AJ147" i="15"/>
  <c r="X147" i="15" s="1"/>
  <c r="AX147" i="15"/>
  <c r="AY147" i="15" s="1"/>
  <c r="AZ147" i="15" s="1"/>
  <c r="AS207" i="15"/>
  <c r="AP207" i="15"/>
  <c r="AP180" i="15"/>
  <c r="AJ207" i="15"/>
  <c r="X207" i="15" s="1"/>
  <c r="AS109" i="15"/>
  <c r="AP109" i="15"/>
  <c r="AS101" i="15"/>
  <c r="AX180" i="15"/>
  <c r="AY180" i="15" s="1"/>
  <c r="AZ180" i="15" s="1"/>
  <c r="AS180" i="15"/>
  <c r="AX101" i="15"/>
  <c r="AY101" i="15" s="1"/>
  <c r="AZ101" i="15" s="1"/>
  <c r="AS130" i="15"/>
  <c r="AP130" i="15"/>
  <c r="AP101" i="15"/>
  <c r="AP188" i="15"/>
  <c r="AS188" i="15"/>
  <c r="AX188" i="15"/>
  <c r="AY188" i="15" s="1"/>
  <c r="AZ188" i="15" s="1"/>
  <c r="AJ130" i="15"/>
  <c r="X130" i="15" s="1"/>
  <c r="AX130" i="15"/>
  <c r="AY130" i="15" s="1"/>
  <c r="AZ130" i="15" s="1"/>
  <c r="AX216" i="15"/>
  <c r="AY216" i="15" s="1"/>
  <c r="AZ216" i="15" s="1"/>
  <c r="AX198" i="15"/>
  <c r="AY198" i="15" s="1"/>
  <c r="AZ198" i="15" s="1"/>
  <c r="AJ123" i="15"/>
  <c r="X123" i="15" s="1"/>
  <c r="AP198" i="15"/>
  <c r="AJ216" i="15"/>
  <c r="X216" i="15" s="1"/>
  <c r="AS198" i="15"/>
  <c r="AJ198" i="15"/>
  <c r="X198" i="15" s="1"/>
  <c r="AP157" i="15"/>
  <c r="AS157" i="15"/>
  <c r="AJ157" i="15"/>
  <c r="X157" i="15" s="1"/>
  <c r="AJ188" i="15"/>
  <c r="X188" i="15" s="1"/>
  <c r="AP216" i="15"/>
  <c r="AS216" i="15"/>
  <c r="AX157" i="15"/>
  <c r="AY157" i="15" s="1"/>
  <c r="AZ157" i="15" s="1"/>
  <c r="AS99" i="15"/>
  <c r="AJ101" i="15"/>
  <c r="X101" i="15" s="1"/>
  <c r="AJ99" i="15"/>
  <c r="X99" i="15" s="1"/>
  <c r="AX99" i="15"/>
  <c r="AY99" i="15" s="1"/>
  <c r="AZ99" i="15" s="1"/>
  <c r="AX140" i="15"/>
  <c r="AY140" i="15" s="1"/>
  <c r="AZ140" i="15" s="1"/>
  <c r="AP217" i="15"/>
  <c r="AS140" i="15"/>
  <c r="AP99" i="15"/>
  <c r="AJ215" i="15"/>
  <c r="X215" i="15" s="1"/>
  <c r="AP192" i="15"/>
  <c r="AS192" i="15"/>
  <c r="AX192" i="15"/>
  <c r="AY192" i="15" s="1"/>
  <c r="AZ192" i="15" s="1"/>
  <c r="AJ138" i="15"/>
  <c r="X138" i="15" s="1"/>
  <c r="AJ192" i="15"/>
  <c r="X192" i="15" s="1"/>
  <c r="AW221" i="15"/>
  <c r="AX138" i="15"/>
  <c r="AY138" i="15" s="1"/>
  <c r="AZ138" i="15" s="1"/>
  <c r="AP138" i="15"/>
  <c r="AS138" i="15"/>
  <c r="AJ202" i="15"/>
  <c r="X202" i="15" s="1"/>
  <c r="AX163" i="15"/>
  <c r="AY163" i="15" s="1"/>
  <c r="AZ163" i="15" s="1"/>
  <c r="AP161" i="15"/>
  <c r="AJ211" i="15"/>
  <c r="X211" i="15" s="1"/>
  <c r="AJ140" i="15"/>
  <c r="X140" i="15" s="1"/>
  <c r="AS163" i="15"/>
  <c r="AJ218" i="15"/>
  <c r="X218" i="15" s="1"/>
  <c r="AP140" i="15"/>
  <c r="AX215" i="15"/>
  <c r="AY215" i="15" s="1"/>
  <c r="AZ215" i="15" s="1"/>
  <c r="AS215" i="15"/>
  <c r="AP215" i="15"/>
  <c r="AJ162" i="15"/>
  <c r="X162" i="15" s="1"/>
  <c r="AX137" i="15"/>
  <c r="AY137" i="15" s="1"/>
  <c r="AZ137" i="15" s="1"/>
  <c r="AJ214" i="15"/>
  <c r="X214" i="15" s="1"/>
  <c r="AJ181" i="15"/>
  <c r="X181" i="15" s="1"/>
  <c r="AP166" i="15"/>
  <c r="AS218" i="15"/>
  <c r="AX218" i="15"/>
  <c r="AY218" i="15" s="1"/>
  <c r="AZ218" i="15" s="1"/>
  <c r="AP218" i="15"/>
  <c r="AF111" i="15"/>
  <c r="AH111" i="15"/>
  <c r="AG111" i="15"/>
  <c r="AA111" i="15"/>
  <c r="AA125" i="15"/>
  <c r="AF125" i="15"/>
  <c r="AH125" i="15"/>
  <c r="AG125" i="15"/>
  <c r="AS123" i="15"/>
  <c r="AX185" i="15"/>
  <c r="AY185" i="15" s="1"/>
  <c r="AZ185" i="15" s="1"/>
  <c r="AJ137" i="15"/>
  <c r="X137" i="15" s="1"/>
  <c r="AX160" i="15"/>
  <c r="AY160" i="15" s="1"/>
  <c r="AZ160" i="15" s="1"/>
  <c r="AX123" i="15"/>
  <c r="AY123" i="15" s="1"/>
  <c r="AZ123" i="15" s="1"/>
  <c r="AJ219" i="15"/>
  <c r="X219" i="15" s="1"/>
  <c r="AX162" i="15"/>
  <c r="AY162" i="15" s="1"/>
  <c r="AZ162" i="15" s="1"/>
  <c r="AJ161" i="15"/>
  <c r="X161" i="15" s="1"/>
  <c r="AS161" i="15"/>
  <c r="AX161" i="15"/>
  <c r="AY161" i="15" s="1"/>
  <c r="AZ161" i="15" s="1"/>
  <c r="AS162" i="15"/>
  <c r="AP163" i="15"/>
  <c r="AJ163" i="15"/>
  <c r="X163" i="15" s="1"/>
  <c r="AP162" i="15"/>
  <c r="AS217" i="15"/>
  <c r="AP123" i="15"/>
  <c r="AA186" i="15"/>
  <c r="AH186" i="15"/>
  <c r="AF186" i="15"/>
  <c r="AG186" i="15"/>
  <c r="AP181" i="15"/>
  <c r="AX181" i="15"/>
  <c r="AY181" i="15" s="1"/>
  <c r="AZ181" i="15" s="1"/>
  <c r="AS181" i="15"/>
  <c r="AS179" i="15"/>
  <c r="AS137" i="15"/>
  <c r="AX217" i="15"/>
  <c r="AY217" i="15" s="1"/>
  <c r="AZ217" i="15" s="1"/>
  <c r="AS214" i="15"/>
  <c r="AP214" i="15"/>
  <c r="AX214" i="15"/>
  <c r="AY214" i="15" s="1"/>
  <c r="AZ214" i="15" s="1"/>
  <c r="AJ217" i="15"/>
  <c r="X217" i="15" s="1"/>
  <c r="AJ108" i="15"/>
  <c r="X108" i="15" s="1"/>
  <c r="AX209" i="15"/>
  <c r="AY209" i="15" s="1"/>
  <c r="AZ209" i="15" s="1"/>
  <c r="AS209" i="15"/>
  <c r="AP209" i="15"/>
  <c r="W115" i="15"/>
  <c r="AJ115" i="15" s="1"/>
  <c r="X115" i="15" s="1"/>
  <c r="AB115" i="15"/>
  <c r="AB221" i="15" s="1"/>
  <c r="AJ175" i="15"/>
  <c r="X175" i="15" s="1"/>
  <c r="AJ209" i="15"/>
  <c r="X209" i="15" s="1"/>
  <c r="AX219" i="15"/>
  <c r="AY219" i="15" s="1"/>
  <c r="AZ219" i="15" s="1"/>
  <c r="AP219" i="15"/>
  <c r="AS219" i="15"/>
  <c r="AX182" i="15"/>
  <c r="AY182" i="15" s="1"/>
  <c r="AZ182" i="15" s="1"/>
  <c r="AP182" i="15"/>
  <c r="AS182" i="15"/>
  <c r="AS115" i="15"/>
  <c r="AX115" i="15"/>
  <c r="AY115" i="15" s="1"/>
  <c r="AZ115" i="15" s="1"/>
  <c r="AP115" i="15"/>
  <c r="AJ176" i="15"/>
  <c r="X176" i="15" s="1"/>
  <c r="AJ184" i="15"/>
  <c r="X184" i="15" s="1"/>
  <c r="AP184" i="15"/>
  <c r="AJ182" i="15"/>
  <c r="X182" i="15" s="1"/>
  <c r="AX168" i="15"/>
  <c r="AY168" i="15" s="1"/>
  <c r="AZ168" i="15" s="1"/>
  <c r="AS168" i="15"/>
  <c r="AP168" i="15"/>
  <c r="AJ168" i="15"/>
  <c r="X168" i="15" s="1"/>
  <c r="AX175" i="15"/>
  <c r="AY175" i="15" s="1"/>
  <c r="AZ175" i="15" s="1"/>
  <c r="AP175" i="15"/>
  <c r="AS175" i="15"/>
  <c r="AA129" i="15"/>
  <c r="AH129" i="15"/>
  <c r="AG129" i="15"/>
  <c r="AF129" i="15"/>
  <c r="CD112" i="15"/>
  <c r="AJ94" i="15"/>
  <c r="X94" i="15" s="1"/>
  <c r="AS160" i="15"/>
  <c r="AP94" i="15"/>
  <c r="AS94" i="15"/>
  <c r="AX94" i="15"/>
  <c r="AY94" i="15" s="1"/>
  <c r="AZ94" i="15" s="1"/>
  <c r="AP106" i="15"/>
  <c r="AS106" i="15"/>
  <c r="AX106" i="15"/>
  <c r="AY106" i="15" s="1"/>
  <c r="AZ106" i="15" s="1"/>
  <c r="AJ160" i="15"/>
  <c r="X160" i="15" s="1"/>
  <c r="CO129" i="15"/>
  <c r="AS92" i="15"/>
  <c r="CO156" i="15"/>
  <c r="CD129" i="15"/>
  <c r="AX92" i="15"/>
  <c r="AY92" i="15" s="1"/>
  <c r="AZ92" i="15" s="1"/>
  <c r="AP92" i="15"/>
  <c r="AS139" i="15"/>
  <c r="AP139" i="15"/>
  <c r="AX139" i="15"/>
  <c r="AY139" i="15" s="1"/>
  <c r="AZ139" i="15" s="1"/>
  <c r="AP211" i="15"/>
  <c r="AS211" i="15"/>
  <c r="AX211" i="15"/>
  <c r="AY211" i="15" s="1"/>
  <c r="AZ211" i="15" s="1"/>
  <c r="AP108" i="15"/>
  <c r="AX108" i="15"/>
  <c r="AY108" i="15" s="1"/>
  <c r="AZ108" i="15" s="1"/>
  <c r="AS108" i="15"/>
  <c r="AJ139" i="15"/>
  <c r="X139" i="15" s="1"/>
  <c r="AJ183" i="15"/>
  <c r="X183" i="15" s="1"/>
  <c r="CD156" i="15"/>
  <c r="AJ151" i="15"/>
  <c r="X151" i="15" s="1"/>
  <c r="AH156" i="15"/>
  <c r="AF156" i="15"/>
  <c r="AG156" i="15"/>
  <c r="AA156" i="15"/>
  <c r="AJ191" i="15"/>
  <c r="X191" i="15" s="1"/>
  <c r="AX201" i="15"/>
  <c r="AY201" i="15" s="1"/>
  <c r="AZ201" i="15" s="1"/>
  <c r="AS201" i="15"/>
  <c r="AP201" i="15"/>
  <c r="AP190" i="15"/>
  <c r="AS190" i="15"/>
  <c r="AX190" i="15"/>
  <c r="AY190" i="15" s="1"/>
  <c r="AZ190" i="15" s="1"/>
  <c r="AX184" i="15"/>
  <c r="AY184" i="15" s="1"/>
  <c r="AZ184" i="15" s="1"/>
  <c r="AS184" i="15"/>
  <c r="AA153" i="15"/>
  <c r="AF153" i="15"/>
  <c r="AH153" i="15"/>
  <c r="AG153" i="15"/>
  <c r="AJ190" i="15"/>
  <c r="X190" i="15" s="1"/>
  <c r="AS183" i="15"/>
  <c r="AP183" i="15"/>
  <c r="AA112" i="15"/>
  <c r="AH112" i="15"/>
  <c r="AG112" i="15"/>
  <c r="AF112" i="15"/>
  <c r="CO153" i="15"/>
  <c r="CO100" i="15"/>
  <c r="AX202" i="15"/>
  <c r="AY202" i="15" s="1"/>
  <c r="AZ202" i="15" s="1"/>
  <c r="AS202" i="15"/>
  <c r="AP202" i="15"/>
  <c r="AJ106" i="15"/>
  <c r="X106" i="15" s="1"/>
  <c r="CO112" i="15"/>
  <c r="CD153" i="15"/>
  <c r="AF100" i="15"/>
  <c r="AA100" i="15"/>
  <c r="AH100" i="15"/>
  <c r="AG100" i="15"/>
  <c r="AJ92" i="15"/>
  <c r="X92" i="15" s="1"/>
  <c r="AJ201" i="15"/>
  <c r="X201" i="15" s="1"/>
  <c r="AP137" i="15"/>
  <c r="AS191" i="15"/>
  <c r="AP191" i="15"/>
  <c r="AX191" i="15"/>
  <c r="AY191" i="15" s="1"/>
  <c r="AZ191" i="15" s="1"/>
  <c r="CD100" i="15"/>
  <c r="AP176" i="15"/>
  <c r="AX176" i="15"/>
  <c r="AY176" i="15" s="1"/>
  <c r="AZ176" i="15" s="1"/>
  <c r="AS176" i="15"/>
  <c r="AX183" i="15"/>
  <c r="AY183" i="15" s="1"/>
  <c r="AZ183" i="15" s="1"/>
  <c r="AP160" i="15"/>
  <c r="AJ165" i="15"/>
  <c r="X165" i="15" s="1"/>
  <c r="AJ179" i="15"/>
  <c r="X179" i="15" s="1"/>
  <c r="AS166" i="15"/>
  <c r="AJ185" i="15"/>
  <c r="X185" i="15" s="1"/>
  <c r="AJ208" i="15"/>
  <c r="X208" i="15" s="1"/>
  <c r="AS185" i="15"/>
  <c r="AE221" i="15"/>
  <c r="BG223" i="15"/>
  <c r="BF223" i="15"/>
  <c r="AX165" i="15"/>
  <c r="AY165" i="15" s="1"/>
  <c r="AZ165" i="15" s="1"/>
  <c r="AP179" i="15"/>
  <c r="AX151" i="15"/>
  <c r="AY151" i="15" s="1"/>
  <c r="AZ151" i="15" s="1"/>
  <c r="AS151" i="15"/>
  <c r="AP151" i="15"/>
  <c r="AP165" i="15"/>
  <c r="AP185" i="15"/>
  <c r="AX179" i="15"/>
  <c r="AY179" i="15" s="1"/>
  <c r="AZ179" i="15" s="1"/>
  <c r="AJ110" i="15"/>
  <c r="X110" i="15" s="1"/>
  <c r="AS165" i="15"/>
  <c r="AX166" i="15"/>
  <c r="AY166" i="15" s="1"/>
  <c r="AZ166" i="15" s="1"/>
  <c r="AJ166" i="15"/>
  <c r="X166" i="15" s="1"/>
  <c r="AD221" i="15"/>
  <c r="AC221" i="15"/>
  <c r="AJ142" i="15"/>
  <c r="X142" i="15" s="1"/>
  <c r="AF128" i="15"/>
  <c r="AA128" i="15"/>
  <c r="AG128" i="15"/>
  <c r="AH128" i="15"/>
  <c r="AS142" i="15"/>
  <c r="AX142" i="15"/>
  <c r="AY142" i="15" s="1"/>
  <c r="AZ142" i="15" s="1"/>
  <c r="AP142" i="15"/>
  <c r="AJ90" i="15"/>
  <c r="X90" i="15" s="1"/>
  <c r="AP170" i="15"/>
  <c r="AX170" i="15"/>
  <c r="AY170" i="15" s="1"/>
  <c r="AZ170" i="15" s="1"/>
  <c r="AS170" i="15"/>
  <c r="AJ170" i="15"/>
  <c r="X170" i="15" s="1"/>
  <c r="AJ91" i="15"/>
  <c r="X91" i="15" s="1"/>
  <c r="AP208" i="15"/>
  <c r="AX208" i="15"/>
  <c r="AY208" i="15" s="1"/>
  <c r="AZ208" i="15" s="1"/>
  <c r="AS208" i="15"/>
  <c r="AX90" i="15"/>
  <c r="AS90" i="15"/>
  <c r="AP90" i="15"/>
  <c r="CO131" i="15"/>
  <c r="AX102" i="15"/>
  <c r="AY102" i="15" s="1"/>
  <c r="AZ102" i="15" s="1"/>
  <c r="AS102" i="15"/>
  <c r="AP102" i="15"/>
  <c r="CD131" i="15"/>
  <c r="AA189" i="15"/>
  <c r="AH189" i="15"/>
  <c r="AF189" i="15"/>
  <c r="AG189" i="15"/>
  <c r="CO114" i="15"/>
  <c r="AF131" i="15"/>
  <c r="AH131" i="15"/>
  <c r="AG131" i="15"/>
  <c r="AA131" i="15"/>
  <c r="CO189" i="15"/>
  <c r="CO128" i="15"/>
  <c r="AS104" i="15"/>
  <c r="AX104" i="15"/>
  <c r="AY104" i="15" s="1"/>
  <c r="AZ104" i="15" s="1"/>
  <c r="AJ104" i="15"/>
  <c r="X104" i="15" s="1"/>
  <c r="AP104" i="15"/>
  <c r="AP91" i="15"/>
  <c r="AX91" i="15"/>
  <c r="AY91" i="15" s="1"/>
  <c r="AZ91" i="15" s="1"/>
  <c r="AS91" i="15"/>
  <c r="AS110" i="15"/>
  <c r="AX110" i="15"/>
  <c r="AY110" i="15" s="1"/>
  <c r="AZ110" i="15" s="1"/>
  <c r="AP110" i="15"/>
  <c r="CD189" i="15"/>
  <c r="AS187" i="15"/>
  <c r="AJ187" i="15"/>
  <c r="X187" i="15" s="1"/>
  <c r="AP187" i="15"/>
  <c r="AX187" i="15"/>
  <c r="AY187" i="15" s="1"/>
  <c r="AZ187" i="15" s="1"/>
  <c r="CD114" i="15"/>
  <c r="AF114" i="15"/>
  <c r="AH114" i="15"/>
  <c r="AA114" i="15"/>
  <c r="AG114" i="15"/>
  <c r="AS158" i="15"/>
  <c r="AX158" i="15"/>
  <c r="AY158" i="15" s="1"/>
  <c r="AZ158" i="15" s="1"/>
  <c r="AP158" i="15"/>
  <c r="AJ158" i="15"/>
  <c r="X158" i="15" s="1"/>
  <c r="CD128" i="15"/>
  <c r="AJ102" i="15"/>
  <c r="X102" i="15" s="1"/>
  <c r="BH74" i="13"/>
  <c r="BH69" i="13"/>
  <c r="BH78" i="13"/>
  <c r="BL107" i="13"/>
  <c r="O2151" i="12" s="1"/>
  <c r="M2151" i="12" s="1"/>
  <c r="M2713" i="12"/>
  <c r="N2713" i="12" s="1"/>
  <c r="N2719" i="12" s="1"/>
  <c r="D2700" i="12" s="1"/>
  <c r="O2693" i="12"/>
  <c r="O2699" i="12" s="1"/>
  <c r="BH63" i="13"/>
  <c r="E2341" i="12"/>
  <c r="D2338" i="12" s="1"/>
  <c r="E2335" i="12"/>
  <c r="K2335" i="12" s="1"/>
  <c r="K2337" i="12" s="1"/>
  <c r="D2334" i="12" s="1"/>
  <c r="E2347" i="12"/>
  <c r="K2347" i="12" s="1"/>
  <c r="K2349" i="12" s="1"/>
  <c r="D2346" i="12" s="1"/>
  <c r="E2353" i="12"/>
  <c r="D2350" i="12" s="1"/>
  <c r="N2235" i="12"/>
  <c r="K2237" i="12" s="1"/>
  <c r="K2239" i="12" s="1"/>
  <c r="D2234" i="12" s="1"/>
  <c r="N2233" i="12"/>
  <c r="D2230" i="12" s="1"/>
  <c r="BH96" i="13"/>
  <c r="BH82" i="13"/>
  <c r="BH83" i="13"/>
  <c r="D2314" i="12"/>
  <c r="E1818" i="12"/>
  <c r="E1820" i="12" s="1"/>
  <c r="D1814" i="12" s="1"/>
  <c r="E1823" i="12"/>
  <c r="M1824" i="12" s="1"/>
  <c r="M1826" i="12" s="1"/>
  <c r="D1821" i="12" s="1"/>
  <c r="BH59" i="13"/>
  <c r="BH85" i="13"/>
  <c r="BH46" i="13"/>
  <c r="BI106" i="13"/>
  <c r="BH104" i="13"/>
  <c r="BH50" i="13"/>
  <c r="BH97" i="13"/>
  <c r="BH51" i="13"/>
  <c r="BG106" i="13"/>
  <c r="O2266" i="12" s="1"/>
  <c r="BH103" i="13"/>
  <c r="O3642" i="12"/>
  <c r="D3632" i="12"/>
  <c r="O2155" i="12" l="1"/>
  <c r="M2155" i="12" s="1"/>
  <c r="AX125" i="15"/>
  <c r="AY125" i="15" s="1"/>
  <c r="AZ125" i="15" s="1"/>
  <c r="AP125" i="15"/>
  <c r="AS125" i="15"/>
  <c r="AX186" i="15"/>
  <c r="AY186" i="15" s="1"/>
  <c r="AZ186" i="15" s="1"/>
  <c r="AP186" i="15"/>
  <c r="AS186" i="15"/>
  <c r="AJ125" i="15"/>
  <c r="X125" i="15" s="1"/>
  <c r="AS111" i="15"/>
  <c r="AX111" i="15"/>
  <c r="AY111" i="15" s="1"/>
  <c r="AZ111" i="15" s="1"/>
  <c r="AP111" i="15"/>
  <c r="AJ111" i="15"/>
  <c r="X111" i="15" s="1"/>
  <c r="AJ186" i="15"/>
  <c r="X186" i="15" s="1"/>
  <c r="AP153" i="15"/>
  <c r="AX153" i="15"/>
  <c r="AY153" i="15" s="1"/>
  <c r="AZ153" i="15" s="1"/>
  <c r="AS153" i="15"/>
  <c r="AP112" i="15"/>
  <c r="AX112" i="15"/>
  <c r="AY112" i="15" s="1"/>
  <c r="AZ112" i="15" s="1"/>
  <c r="AJ156" i="15"/>
  <c r="X156" i="15" s="1"/>
  <c r="AP156" i="15"/>
  <c r="AX156" i="15"/>
  <c r="AY156" i="15" s="1"/>
  <c r="AZ156" i="15" s="1"/>
  <c r="AS156" i="15"/>
  <c r="AX100" i="15"/>
  <c r="AY100" i="15" s="1"/>
  <c r="AZ100" i="15" s="1"/>
  <c r="AS100" i="15"/>
  <c r="AP100" i="15"/>
  <c r="AS112" i="15"/>
  <c r="AX129" i="15"/>
  <c r="AY129" i="15" s="1"/>
  <c r="AZ129" i="15" s="1"/>
  <c r="AS129" i="15"/>
  <c r="AP129" i="15"/>
  <c r="AJ129" i="15"/>
  <c r="X129" i="15" s="1"/>
  <c r="AJ100" i="15"/>
  <c r="X100" i="15" s="1"/>
  <c r="AJ112" i="15"/>
  <c r="X112" i="15" s="1"/>
  <c r="AJ153" i="15"/>
  <c r="X153" i="15" s="1"/>
  <c r="BF225" i="15"/>
  <c r="AF221" i="15"/>
  <c r="AG221" i="15"/>
  <c r="AH221" i="15"/>
  <c r="AS189" i="15"/>
  <c r="AP189" i="15"/>
  <c r="AX189" i="15"/>
  <c r="AY189" i="15" s="1"/>
  <c r="AZ189" i="15" s="1"/>
  <c r="AJ189" i="15"/>
  <c r="X189" i="15" s="1"/>
  <c r="AX131" i="15"/>
  <c r="AY131" i="15" s="1"/>
  <c r="AZ131" i="15" s="1"/>
  <c r="AP131" i="15"/>
  <c r="AS131" i="15"/>
  <c r="AJ131" i="15"/>
  <c r="X131" i="15" s="1"/>
  <c r="AP128" i="15"/>
  <c r="AJ128" i="15"/>
  <c r="X128" i="15" s="1"/>
  <c r="AS128" i="15"/>
  <c r="AX128" i="15"/>
  <c r="AY128" i="15" s="1"/>
  <c r="AZ128" i="15" s="1"/>
  <c r="AS114" i="15"/>
  <c r="AX114" i="15"/>
  <c r="AY114" i="15" s="1"/>
  <c r="AZ114" i="15" s="1"/>
  <c r="AP114" i="15"/>
  <c r="AJ114" i="15"/>
  <c r="X114" i="15" s="1"/>
  <c r="AY90" i="15"/>
  <c r="O2722" i="12"/>
  <c r="O2724" i="12" s="1"/>
  <c r="D2720" i="12" s="1"/>
  <c r="D2680" i="12"/>
  <c r="BJ108" i="13"/>
  <c r="BJ47" i="13" s="1"/>
  <c r="BK47" i="13" s="1"/>
  <c r="BH106" i="13"/>
  <c r="K2311" i="12"/>
  <c r="M2311" i="12" s="1"/>
  <c r="M2313" i="12" s="1"/>
  <c r="D2310" i="12" s="1"/>
  <c r="O3648" i="12"/>
  <c r="J3648" i="12" s="1"/>
  <c r="J3651" i="12" s="1"/>
  <c r="D3646" i="12" s="1"/>
  <c r="J3642" i="12"/>
  <c r="J3645" i="12" s="1"/>
  <c r="D3640" i="12" s="1"/>
  <c r="BJ48" i="13" l="1"/>
  <c r="BK48" i="13" s="1"/>
  <c r="BJ60" i="13"/>
  <c r="BK60" i="13" s="1"/>
  <c r="BJ52" i="13"/>
  <c r="BK52" i="13" s="1"/>
  <c r="BJ98" i="13"/>
  <c r="BK98" i="13" s="1"/>
  <c r="BJ91" i="13"/>
  <c r="BK91" i="13" s="1"/>
  <c r="BJ73" i="13"/>
  <c r="BK73" i="13" s="1"/>
  <c r="BJ50" i="13"/>
  <c r="BK50" i="13" s="1"/>
  <c r="BJ88" i="13"/>
  <c r="BK88" i="13" s="1"/>
  <c r="BJ102" i="13"/>
  <c r="BK102" i="13" s="1"/>
  <c r="BJ81" i="13"/>
  <c r="BK81" i="13" s="1"/>
  <c r="BJ53" i="13"/>
  <c r="BK53" i="13" s="1"/>
  <c r="BJ56" i="13"/>
  <c r="BK56" i="13" s="1"/>
  <c r="BJ70" i="13"/>
  <c r="BK70" i="13" s="1"/>
  <c r="BJ57" i="13"/>
  <c r="BK57" i="13" s="1"/>
  <c r="BJ59" i="13"/>
  <c r="BK59" i="13" s="1"/>
  <c r="BJ104" i="13"/>
  <c r="BK104" i="13" s="1"/>
  <c r="BJ64" i="13"/>
  <c r="BK64" i="13" s="1"/>
  <c r="BJ54" i="13"/>
  <c r="BK54" i="13" s="1"/>
  <c r="BJ74" i="13"/>
  <c r="BK74" i="13" s="1"/>
  <c r="BJ105" i="13"/>
  <c r="BK105" i="13" s="1"/>
  <c r="BJ49" i="13"/>
  <c r="BK49" i="13" s="1"/>
  <c r="BJ79" i="13"/>
  <c r="BK79" i="13" s="1"/>
  <c r="BJ80" i="13"/>
  <c r="BK80" i="13" s="1"/>
  <c r="BJ77" i="13"/>
  <c r="BK77" i="13" s="1"/>
  <c r="BJ96" i="13"/>
  <c r="BK96" i="13" s="1"/>
  <c r="BJ84" i="13"/>
  <c r="BK84" i="13" s="1"/>
  <c r="BJ55" i="13"/>
  <c r="BK55" i="13" s="1"/>
  <c r="BJ61" i="13"/>
  <c r="BK61" i="13" s="1"/>
  <c r="BJ63" i="13"/>
  <c r="BK63" i="13" s="1"/>
  <c r="BJ51" i="13"/>
  <c r="BK51" i="13" s="1"/>
  <c r="BJ103" i="13"/>
  <c r="BK103" i="13" s="1"/>
  <c r="BJ94" i="13"/>
  <c r="BK94" i="13" s="1"/>
  <c r="BJ71" i="13"/>
  <c r="BK71" i="13" s="1"/>
  <c r="BJ62" i="13"/>
  <c r="BK62" i="13" s="1"/>
  <c r="BJ45" i="13"/>
  <c r="BJ69" i="13"/>
  <c r="BK69" i="13" s="1"/>
  <c r="BJ75" i="13"/>
  <c r="BK75" i="13" s="1"/>
  <c r="BJ99" i="13"/>
  <c r="BK99" i="13" s="1"/>
  <c r="BJ95" i="13"/>
  <c r="BK95" i="13" s="1"/>
  <c r="BJ76" i="13"/>
  <c r="BK76" i="13" s="1"/>
  <c r="BJ58" i="13"/>
  <c r="BK58" i="13" s="1"/>
  <c r="BJ87" i="13"/>
  <c r="BK87" i="13" s="1"/>
  <c r="BJ97" i="13"/>
  <c r="BK97" i="13" s="1"/>
  <c r="BJ78" i="13"/>
  <c r="BK78" i="13" s="1"/>
  <c r="BJ93" i="13"/>
  <c r="BK93" i="13" s="1"/>
  <c r="BJ89" i="13"/>
  <c r="BK89" i="13" s="1"/>
  <c r="BJ67" i="13"/>
  <c r="BK67" i="13" s="1"/>
  <c r="BJ65" i="13"/>
  <c r="BK65" i="13" s="1"/>
  <c r="BJ46" i="13"/>
  <c r="BK46" i="13" s="1"/>
  <c r="BJ100" i="13"/>
  <c r="BK100" i="13" s="1"/>
  <c r="BJ86" i="13"/>
  <c r="BK86" i="13" s="1"/>
  <c r="BJ101" i="13"/>
  <c r="BK101" i="13" s="1"/>
  <c r="BJ90" i="13"/>
  <c r="BK90" i="13" s="1"/>
  <c r="BJ83" i="13"/>
  <c r="BK83" i="13" s="1"/>
  <c r="BJ85" i="13"/>
  <c r="BK85" i="13" s="1"/>
  <c r="BJ82" i="13"/>
  <c r="BK82" i="13" s="1"/>
  <c r="BJ72" i="13"/>
  <c r="BK72" i="13" s="1"/>
  <c r="BJ66" i="13"/>
  <c r="BK66" i="13" s="1"/>
  <c r="AS221" i="15"/>
  <c r="BA222" i="15"/>
  <c r="AP221" i="15"/>
  <c r="AX221" i="15"/>
  <c r="AJ221" i="15"/>
  <c r="BC222" i="15" s="1"/>
  <c r="AZ90" i="15"/>
  <c r="AZ221" i="15" s="1"/>
  <c r="AY221" i="15"/>
  <c r="BJ106" i="13" l="1"/>
  <c r="BK45" i="13"/>
  <c r="BK106" i="13"/>
  <c r="BJ109" i="13" s="1"/>
  <c r="BA223" i="15"/>
  <c r="BA106" i="15" s="1"/>
  <c r="BB106" i="15" s="1"/>
  <c r="O2268" i="12"/>
  <c r="O2267" i="12"/>
  <c r="BJ110" i="13"/>
  <c r="BA212" i="15" l="1"/>
  <c r="BB212" i="15" s="1"/>
  <c r="BA127" i="15"/>
  <c r="BB127" i="15" s="1"/>
  <c r="BA147" i="15"/>
  <c r="BB147" i="15" s="1"/>
  <c r="BA206" i="15"/>
  <c r="BB206" i="15" s="1"/>
  <c r="BA93" i="15"/>
  <c r="BB93" i="15" s="1"/>
  <c r="BA168" i="15"/>
  <c r="BB168" i="15" s="1"/>
  <c r="BA199" i="15"/>
  <c r="BB199" i="15" s="1"/>
  <c r="BA210" i="15"/>
  <c r="BB210" i="15" s="1"/>
  <c r="BA219" i="15"/>
  <c r="BB219" i="15" s="1"/>
  <c r="BA129" i="15"/>
  <c r="BB129" i="15" s="1"/>
  <c r="BA143" i="15"/>
  <c r="BB143" i="15" s="1"/>
  <c r="BA107" i="15"/>
  <c r="BB107" i="15" s="1"/>
  <c r="BA135" i="15"/>
  <c r="BB135" i="15" s="1"/>
  <c r="BA96" i="15"/>
  <c r="BB96" i="15" s="1"/>
  <c r="BA182" i="15"/>
  <c r="BB182" i="15" s="1"/>
  <c r="BA91" i="15"/>
  <c r="BB91" i="15" s="1"/>
  <c r="BA123" i="15"/>
  <c r="BB123" i="15" s="1"/>
  <c r="BA200" i="15"/>
  <c r="BB200" i="15" s="1"/>
  <c r="BA211" i="15"/>
  <c r="BB211" i="15" s="1"/>
  <c r="BA159" i="15"/>
  <c r="BB159" i="15" s="1"/>
  <c r="BA196" i="15"/>
  <c r="BB196" i="15" s="1"/>
  <c r="BA189" i="15"/>
  <c r="BB189" i="15" s="1"/>
  <c r="BA216" i="15"/>
  <c r="BB216" i="15" s="1"/>
  <c r="BA209" i="15"/>
  <c r="BB209" i="15" s="1"/>
  <c r="BA176" i="15"/>
  <c r="BB176" i="15" s="1"/>
  <c r="BA97" i="15"/>
  <c r="BB97" i="15" s="1"/>
  <c r="BA170" i="15"/>
  <c r="BB170" i="15" s="1"/>
  <c r="BA105" i="15"/>
  <c r="BB105" i="15" s="1"/>
  <c r="BA146" i="15"/>
  <c r="BB146" i="15" s="1"/>
  <c r="BA169" i="15"/>
  <c r="BB169" i="15" s="1"/>
  <c r="BA174" i="15"/>
  <c r="BB174" i="15" s="1"/>
  <c r="BA193" i="15"/>
  <c r="BB193" i="15" s="1"/>
  <c r="BA192" i="15"/>
  <c r="BB192" i="15" s="1"/>
  <c r="BA202" i="15"/>
  <c r="BB202" i="15" s="1"/>
  <c r="BA184" i="15"/>
  <c r="BB184" i="15" s="1"/>
  <c r="BA166" i="15"/>
  <c r="BB166" i="15" s="1"/>
  <c r="BA89" i="15"/>
  <c r="BB89" i="15" s="1"/>
  <c r="BA132" i="15"/>
  <c r="BB132" i="15" s="1"/>
  <c r="BA102" i="15"/>
  <c r="BB102" i="15" s="1"/>
  <c r="BA134" i="15"/>
  <c r="BB134" i="15" s="1"/>
  <c r="BA163" i="15"/>
  <c r="BB163" i="15" s="1"/>
  <c r="BA153" i="15"/>
  <c r="BB153" i="15" s="1"/>
  <c r="BA179" i="15"/>
  <c r="BB179" i="15" s="1"/>
  <c r="BA214" i="15"/>
  <c r="BB214" i="15" s="1"/>
  <c r="BA183" i="15"/>
  <c r="BB183" i="15" s="1"/>
  <c r="BA181" i="15"/>
  <c r="BB181" i="15" s="1"/>
  <c r="BA187" i="15"/>
  <c r="BB187" i="15" s="1"/>
  <c r="BA162" i="15"/>
  <c r="BB162" i="15" s="1"/>
  <c r="BA203" i="15"/>
  <c r="BB203" i="15" s="1"/>
  <c r="BA126" i="15"/>
  <c r="BB126" i="15" s="1"/>
  <c r="BA195" i="15"/>
  <c r="BB195" i="15" s="1"/>
  <c r="BA94" i="15"/>
  <c r="BB94" i="15" s="1"/>
  <c r="BA113" i="15"/>
  <c r="BB113" i="15" s="1"/>
  <c r="BA167" i="15"/>
  <c r="BB167" i="15" s="1"/>
  <c r="BA218" i="15"/>
  <c r="BB218" i="15" s="1"/>
  <c r="BA217" i="15"/>
  <c r="BB217" i="15" s="1"/>
  <c r="BA119" i="15"/>
  <c r="BB119" i="15" s="1"/>
  <c r="BA124" i="15"/>
  <c r="BB124" i="15" s="1"/>
  <c r="BA156" i="15"/>
  <c r="BB156" i="15" s="1"/>
  <c r="BA165" i="15"/>
  <c r="BB165" i="15" s="1"/>
  <c r="BA207" i="15"/>
  <c r="BB207" i="15" s="1"/>
  <c r="BA133" i="15"/>
  <c r="BB133" i="15" s="1"/>
  <c r="BA109" i="15"/>
  <c r="BB109" i="15" s="1"/>
  <c r="BA186" i="15"/>
  <c r="BB186" i="15" s="1"/>
  <c r="BA103" i="15"/>
  <c r="BB103" i="15" s="1"/>
  <c r="BA140" i="15"/>
  <c r="BB140" i="15" s="1"/>
  <c r="BA139" i="15"/>
  <c r="BB139" i="15" s="1"/>
  <c r="BA164" i="15"/>
  <c r="BB164" i="15" s="1"/>
  <c r="BA178" i="15"/>
  <c r="BB178" i="15" s="1"/>
  <c r="BA171" i="15"/>
  <c r="BB171" i="15" s="1"/>
  <c r="BA154" i="15"/>
  <c r="BB154" i="15" s="1"/>
  <c r="BA204" i="15"/>
  <c r="BB204" i="15" s="1"/>
  <c r="BA95" i="15"/>
  <c r="BB95" i="15" s="1"/>
  <c r="BA173" i="15"/>
  <c r="BB173" i="15" s="1"/>
  <c r="BA194" i="15"/>
  <c r="BB194" i="15" s="1"/>
  <c r="BA197" i="15"/>
  <c r="BB197" i="15" s="1"/>
  <c r="BA125" i="15"/>
  <c r="BB125" i="15" s="1"/>
  <c r="BA152" i="15"/>
  <c r="BB152" i="15" s="1"/>
  <c r="BA185" i="15"/>
  <c r="BB185" i="15" s="1"/>
  <c r="BA155" i="15"/>
  <c r="BB155" i="15" s="1"/>
  <c r="BA157" i="15"/>
  <c r="BB157" i="15" s="1"/>
  <c r="BA148" i="15"/>
  <c r="BB148" i="15" s="1"/>
  <c r="BA198" i="15"/>
  <c r="BB198" i="15" s="1"/>
  <c r="BA177" i="15"/>
  <c r="BB177" i="15" s="1"/>
  <c r="BA205" i="15"/>
  <c r="BB205" i="15" s="1"/>
  <c r="BA115" i="15"/>
  <c r="BB115" i="15" s="1"/>
  <c r="BA101" i="15"/>
  <c r="BB101" i="15" s="1"/>
  <c r="BA213" i="15"/>
  <c r="BB213" i="15" s="1"/>
  <c r="BA98" i="15"/>
  <c r="BB98" i="15" s="1"/>
  <c r="BA117" i="15"/>
  <c r="BB117" i="15" s="1"/>
  <c r="BA128" i="15"/>
  <c r="BB128" i="15" s="1"/>
  <c r="BA142" i="15"/>
  <c r="BB142" i="15" s="1"/>
  <c r="BA175" i="15"/>
  <c r="BB175" i="15" s="1"/>
  <c r="BA149" i="15"/>
  <c r="BB149" i="15" s="1"/>
  <c r="BA137" i="15"/>
  <c r="BB137" i="15" s="1"/>
  <c r="BA100" i="15"/>
  <c r="BB100" i="15" s="1"/>
  <c r="BA191" i="15"/>
  <c r="BB191" i="15" s="1"/>
  <c r="BA114" i="15"/>
  <c r="BB114" i="15" s="1"/>
  <c r="BA121" i="15"/>
  <c r="BB121" i="15" s="1"/>
  <c r="BA158" i="15"/>
  <c r="BB158" i="15" s="1"/>
  <c r="BA151" i="15"/>
  <c r="BB151" i="15" s="1"/>
  <c r="BA110" i="15"/>
  <c r="BB110" i="15" s="1"/>
  <c r="BA111" i="15"/>
  <c r="BB111" i="15" s="1"/>
  <c r="BA138" i="15"/>
  <c r="BB138" i="15" s="1"/>
  <c r="BA160" i="15"/>
  <c r="BB160" i="15" s="1"/>
  <c r="BA136" i="15"/>
  <c r="BB136" i="15" s="1"/>
  <c r="BA131" i="15"/>
  <c r="BB131" i="15" s="1"/>
  <c r="BA180" i="15"/>
  <c r="BB180" i="15" s="1"/>
  <c r="BA99" i="15"/>
  <c r="BB99" i="15" s="1"/>
  <c r="BA188" i="15"/>
  <c r="BB188" i="15" s="1"/>
  <c r="BA220" i="15"/>
  <c r="BB220" i="15" s="1"/>
  <c r="BA172" i="15"/>
  <c r="BB172" i="15" s="1"/>
  <c r="BA104" i="15"/>
  <c r="BB104" i="15" s="1"/>
  <c r="BA92" i="15"/>
  <c r="BB92" i="15" s="1"/>
  <c r="BA122" i="15"/>
  <c r="BB122" i="15" s="1"/>
  <c r="BA150" i="15"/>
  <c r="BB150" i="15" s="1"/>
  <c r="BA130" i="15"/>
  <c r="BB130" i="15" s="1"/>
  <c r="BA118" i="15"/>
  <c r="BB118" i="15" s="1"/>
  <c r="BA161" i="15"/>
  <c r="BB161" i="15" s="1"/>
  <c r="BA90" i="15"/>
  <c r="BB90" i="15" s="1"/>
  <c r="BA190" i="15"/>
  <c r="BB190" i="15" s="1"/>
  <c r="BA208" i="15"/>
  <c r="BB208" i="15" s="1"/>
  <c r="BA215" i="15"/>
  <c r="BB215" i="15" s="1"/>
  <c r="BA108" i="15"/>
  <c r="BB108" i="15" s="1"/>
  <c r="BA201" i="15"/>
  <c r="BB201" i="15" s="1"/>
  <c r="BA112" i="15"/>
  <c r="BB112" i="15" s="1"/>
  <c r="BA145" i="15"/>
  <c r="BB145" i="15" s="1"/>
  <c r="BA120" i="15"/>
  <c r="BB120" i="15" s="1"/>
  <c r="BL106" i="13"/>
  <c r="BL108" i="13"/>
  <c r="O2150" i="12" s="1"/>
  <c r="O2270" i="12"/>
  <c r="D2265" i="12" s="1"/>
  <c r="O2278" i="12"/>
  <c r="BB221" i="15" l="1"/>
  <c r="BA224" i="15" s="1"/>
  <c r="BA221" i="15"/>
  <c r="BA225" i="15" s="1"/>
  <c r="BC221" i="15" s="1"/>
  <c r="M2278" i="12"/>
  <c r="M2284" i="12" s="1"/>
  <c r="D2277" i="12" s="1"/>
  <c r="O2272" i="12"/>
  <c r="O2276" i="12" s="1"/>
  <c r="D2271" i="12" s="1"/>
  <c r="M2150" i="12"/>
  <c r="M2152" i="12" s="1"/>
  <c r="D2149" i="12" s="1"/>
  <c r="O2154" i="12"/>
  <c r="M2154" i="12" s="1"/>
  <c r="M2157" i="12" s="1"/>
  <c r="D2153" i="12" s="1"/>
  <c r="O2159" i="12"/>
  <c r="O2160" i="12" s="1"/>
  <c r="D2158" i="12" s="1"/>
  <c r="O2147" i="12"/>
  <c r="O2148" i="12" s="1"/>
  <c r="D2145" i="12" s="1"/>
  <c r="BC223" i="15" l="1"/>
  <c r="O2040" i="12"/>
  <c r="O2042" i="12" l="1"/>
  <c r="D2038" i="12" s="1"/>
  <c r="O2045" i="12"/>
  <c r="O2047" i="12" s="1"/>
  <c r="O2050" i="12" l="1"/>
  <c r="D2043" i="12"/>
  <c r="O2018" i="12"/>
  <c r="O2055" i="12" l="1"/>
  <c r="M2055" i="12" s="1"/>
  <c r="M2057" i="12" s="1"/>
  <c r="D2053" i="12" s="1"/>
  <c r="M2050" i="12"/>
  <c r="M2052" i="12" s="1"/>
  <c r="D2048" i="12" s="1"/>
  <c r="O2020" i="12"/>
  <c r="D2016" i="12" s="1"/>
  <c r="O2024" i="12"/>
  <c r="O2558" i="12"/>
  <c r="O2552" i="12"/>
  <c r="O2553" i="12" s="1"/>
  <c r="D2550" i="12" s="1"/>
  <c r="O2497" i="12"/>
  <c r="O2499" i="12" s="1"/>
  <c r="D2496" i="12" l="1"/>
  <c r="O2575" i="12"/>
  <c r="O2583" i="12" s="1"/>
  <c r="M2583" i="12" s="1"/>
  <c r="O2493" i="12"/>
  <c r="O2495" i="12" s="1"/>
  <c r="D2491" i="12" s="1"/>
  <c r="N2478" i="12"/>
  <c r="N2480" i="12" s="1"/>
  <c r="D2476" i="12" s="1"/>
  <c r="N2468" i="12"/>
  <c r="N2470" i="12" s="1"/>
  <c r="D2466" i="12" s="1"/>
  <c r="N2473" i="12"/>
  <c r="N2475" i="12" s="1"/>
  <c r="D2471" i="12" s="1"/>
  <c r="O2418" i="12" l="1"/>
  <c r="O2421" i="12" s="1"/>
  <c r="D2416" i="12" s="1"/>
  <c r="O2412" i="12"/>
  <c r="O2415" i="12" s="1"/>
  <c r="D2410" i="12" s="1"/>
  <c r="E2632" i="12"/>
  <c r="E2634" i="12" s="1"/>
  <c r="D2631" i="12" s="1"/>
  <c r="E2636" i="12"/>
  <c r="E2638" i="12" s="1"/>
  <c r="O2406" i="12" l="1"/>
  <c r="O2409" i="12" s="1"/>
  <c r="D2404" i="12" s="1"/>
  <c r="E2640" i="12"/>
  <c r="E2642" i="12" s="1"/>
  <c r="D2639" i="12" s="1"/>
  <c r="D2635" i="12"/>
  <c r="O2446" i="12"/>
  <c r="O2449" i="12" s="1"/>
  <c r="D2444" i="12" s="1"/>
  <c r="O2440" i="12"/>
  <c r="O2443" i="12" s="1"/>
  <c r="D2438" i="12" s="1"/>
  <c r="O2434" i="12" l="1"/>
  <c r="O2437" i="12" s="1"/>
  <c r="D2432" i="12" s="1"/>
  <c r="O2572" i="12"/>
  <c r="O2573" i="12"/>
  <c r="O2501" i="12" l="1"/>
  <c r="O2503" i="12" s="1"/>
  <c r="O2536" i="12"/>
  <c r="O2539" i="12" s="1"/>
  <c r="D2535" i="12" s="1"/>
  <c r="D2500" i="12" l="1"/>
  <c r="O2527" i="12"/>
  <c r="K2527" i="12" s="1"/>
  <c r="N1870" i="12"/>
  <c r="E2385" i="12"/>
  <c r="E2387" i="12" s="1"/>
  <c r="N2501" i="12"/>
  <c r="N2505" i="12" s="1"/>
  <c r="O2546" i="12"/>
  <c r="O2541" i="12"/>
  <c r="O2544" i="12" s="1"/>
  <c r="D2540" i="12" s="1"/>
  <c r="N2507" i="12" l="1"/>
  <c r="D2504" i="12" s="1"/>
  <c r="N2515" i="12"/>
  <c r="N2509" i="12"/>
  <c r="K2511" i="12" s="1"/>
  <c r="K2513" i="12" s="1"/>
  <c r="D2508" i="12" s="1"/>
  <c r="D2384" i="12"/>
  <c r="E2389" i="12"/>
  <c r="K2529" i="12"/>
  <c r="D2524" i="12" s="1"/>
  <c r="K2531" i="12"/>
  <c r="K2533" i="12" s="1"/>
  <c r="K2534" i="12" s="1"/>
  <c r="D2530" i="12" s="1"/>
  <c r="O2556" i="12"/>
  <c r="N2517" i="12" l="1"/>
  <c r="D2514" i="12" s="1"/>
  <c r="N2519" i="12"/>
  <c r="K2521" i="12" s="1"/>
  <c r="K2523" i="12" s="1"/>
  <c r="D2518" i="12" s="1"/>
  <c r="E2401" i="12"/>
  <c r="M2401" i="12" s="1"/>
  <c r="M2403" i="12" s="1"/>
  <c r="D2400" i="12" s="1"/>
  <c r="M2389" i="12"/>
  <c r="N2389" i="12" s="1"/>
  <c r="N2391" i="12" s="1"/>
  <c r="D2388" i="12" s="1"/>
  <c r="E2393" i="12"/>
  <c r="E2397" i="12" l="1"/>
  <c r="M2397" i="12" s="1"/>
  <c r="M2399" i="12" s="1"/>
  <c r="D2396" i="12" s="1"/>
  <c r="E2395" i="12"/>
  <c r="D2392" i="12" s="1"/>
  <c r="C1889" i="12" l="1"/>
  <c r="O2462" i="12" l="1"/>
  <c r="O2465" i="12" s="1"/>
  <c r="D2460" i="12" s="1"/>
  <c r="O2566" i="12"/>
  <c r="O2894" i="12" l="1"/>
  <c r="O2900" i="12" s="1"/>
  <c r="M2900" i="12" s="1"/>
  <c r="O2557" i="12"/>
  <c r="O2574" i="12"/>
  <c r="O2582" i="12" s="1"/>
  <c r="M2582" i="12" s="1"/>
  <c r="O2897" i="12" l="1"/>
  <c r="O2905" i="12" s="1"/>
  <c r="O2565" i="12"/>
  <c r="M2898" i="12" l="1"/>
  <c r="M2902" i="12" s="1"/>
  <c r="D2892" i="12" s="1"/>
  <c r="M2905" i="12"/>
  <c r="M2907" i="12" s="1"/>
  <c r="D2903" i="12" s="1"/>
  <c r="O2910" i="12"/>
  <c r="O2912" i="12" s="1"/>
  <c r="D2908" i="12" s="1"/>
  <c r="AD33" i="16" l="1"/>
  <c r="AQ32" i="16"/>
  <c r="AK32" i="16"/>
  <c r="AJ32" i="16"/>
  <c r="AI32" i="16"/>
  <c r="AH32" i="16"/>
  <c r="AG32" i="16"/>
  <c r="AF32" i="16"/>
  <c r="AE32" i="16"/>
  <c r="Z32" i="16"/>
  <c r="AQ31" i="16"/>
  <c r="AK31" i="16"/>
  <c r="AJ31" i="16"/>
  <c r="AI31" i="16"/>
  <c r="AH31" i="16"/>
  <c r="AG31" i="16"/>
  <c r="AF31" i="16"/>
  <c r="AE31" i="16"/>
  <c r="Z31" i="16"/>
  <c r="Y31" i="16"/>
  <c r="AQ30" i="16"/>
  <c r="AK30" i="16"/>
  <c r="AJ30" i="16"/>
  <c r="AI30" i="16"/>
  <c r="AH30" i="16"/>
  <c r="AG30" i="16"/>
  <c r="AF30" i="16"/>
  <c r="AE30" i="16"/>
  <c r="Z30" i="16"/>
  <c r="AQ29" i="16"/>
  <c r="AK29" i="16"/>
  <c r="AJ29" i="16"/>
  <c r="AI29" i="16"/>
  <c r="AH29" i="16"/>
  <c r="AG29" i="16"/>
  <c r="AF29" i="16"/>
  <c r="AE29" i="16"/>
  <c r="Z29" i="16"/>
  <c r="Y29" i="16"/>
  <c r="AQ28" i="16"/>
  <c r="AK28" i="16"/>
  <c r="AJ28" i="16"/>
  <c r="AI28" i="16"/>
  <c r="AH28" i="16"/>
  <c r="AG28" i="16"/>
  <c r="AF28" i="16"/>
  <c r="AE28" i="16"/>
  <c r="Z28" i="16"/>
  <c r="AQ27" i="16"/>
  <c r="AK27" i="16"/>
  <c r="AJ27" i="16"/>
  <c r="AI27" i="16"/>
  <c r="AH27" i="16"/>
  <c r="AG27" i="16"/>
  <c r="AF27" i="16"/>
  <c r="AE27" i="16"/>
  <c r="Z27" i="16"/>
  <c r="Y27" i="16"/>
  <c r="AQ26" i="16"/>
  <c r="AK26" i="16"/>
  <c r="AL26" i="16" s="1"/>
  <c r="AJ26" i="16"/>
  <c r="AI26" i="16"/>
  <c r="AH26" i="16"/>
  <c r="AG26" i="16"/>
  <c r="AF26" i="16"/>
  <c r="AE26" i="16"/>
  <c r="Z26" i="16"/>
  <c r="AQ25" i="16"/>
  <c r="AK25" i="16"/>
  <c r="AL25" i="16" s="1"/>
  <c r="AJ25" i="16"/>
  <c r="AI25" i="16"/>
  <c r="AH25" i="16"/>
  <c r="AG25" i="16"/>
  <c r="AF25" i="16"/>
  <c r="AE25" i="16"/>
  <c r="Z25" i="16"/>
  <c r="Y25" i="16"/>
  <c r="AQ24" i="16"/>
  <c r="AK24" i="16"/>
  <c r="AJ24" i="16"/>
  <c r="AI24" i="16"/>
  <c r="AH24" i="16"/>
  <c r="AG24" i="16"/>
  <c r="AF24" i="16"/>
  <c r="AE24" i="16"/>
  <c r="Z24" i="16"/>
  <c r="AQ23" i="16"/>
  <c r="AK23" i="16"/>
  <c r="AJ23" i="16"/>
  <c r="AI23" i="16"/>
  <c r="AH23" i="16"/>
  <c r="AG23" i="16"/>
  <c r="AF23" i="16"/>
  <c r="AE23" i="16"/>
  <c r="Z23" i="16"/>
  <c r="Y23" i="16"/>
  <c r="AQ22" i="16"/>
  <c r="AK22" i="16"/>
  <c r="AJ22" i="16"/>
  <c r="AI22" i="16"/>
  <c r="AH22" i="16"/>
  <c r="AG22" i="16"/>
  <c r="AF22" i="16"/>
  <c r="AE22" i="16"/>
  <c r="Z22" i="16"/>
  <c r="Y22" i="16"/>
  <c r="AQ21" i="16"/>
  <c r="AK21" i="16"/>
  <c r="AL21" i="16" s="1"/>
  <c r="AJ21" i="16"/>
  <c r="AI21" i="16"/>
  <c r="AH21" i="16"/>
  <c r="AG21" i="16"/>
  <c r="AF21" i="16"/>
  <c r="AE21" i="16"/>
  <c r="Z21" i="16"/>
  <c r="Y21" i="16"/>
  <c r="AQ19" i="16"/>
  <c r="AK19" i="16"/>
  <c r="AJ19" i="16"/>
  <c r="AI19" i="16"/>
  <c r="AH19" i="16"/>
  <c r="AG19" i="16"/>
  <c r="AF19" i="16"/>
  <c r="AE19" i="16"/>
  <c r="Z19" i="16"/>
  <c r="AQ18" i="16"/>
  <c r="AK18" i="16"/>
  <c r="AJ18" i="16"/>
  <c r="AI18" i="16"/>
  <c r="AH18" i="16"/>
  <c r="AG18" i="16"/>
  <c r="AF18" i="16"/>
  <c r="AE18" i="16"/>
  <c r="Z18" i="16"/>
  <c r="Y18" i="16"/>
  <c r="AQ16" i="16"/>
  <c r="AK16" i="16"/>
  <c r="AL16" i="16" s="1"/>
  <c r="AJ16" i="16"/>
  <c r="AI16" i="16"/>
  <c r="AH16" i="16"/>
  <c r="AG16" i="16"/>
  <c r="AF16" i="16"/>
  <c r="AE16" i="16"/>
  <c r="Z16" i="16"/>
  <c r="AQ15" i="16"/>
  <c r="AL15" i="16"/>
  <c r="AK15" i="16"/>
  <c r="AM15" i="16" s="1"/>
  <c r="AN15" i="16" s="1"/>
  <c r="AJ15" i="16"/>
  <c r="AI15" i="16"/>
  <c r="AH15" i="16"/>
  <c r="AG15" i="16"/>
  <c r="AF15" i="16"/>
  <c r="AE15" i="16"/>
  <c r="Z15" i="16"/>
  <c r="Y15" i="16"/>
  <c r="AQ14" i="16"/>
  <c r="AK14" i="16"/>
  <c r="AJ14" i="16"/>
  <c r="AI14" i="16"/>
  <c r="AH14" i="16"/>
  <c r="AG14" i="16"/>
  <c r="AF14" i="16"/>
  <c r="AE14" i="16"/>
  <c r="Z14" i="16"/>
  <c r="AQ13" i="16"/>
  <c r="AK13" i="16"/>
  <c r="AL13" i="16" s="1"/>
  <c r="AM13" i="16" s="1"/>
  <c r="AJ13" i="16"/>
  <c r="AI13" i="16"/>
  <c r="AH13" i="16"/>
  <c r="AG13" i="16"/>
  <c r="AF13" i="16"/>
  <c r="AE13" i="16"/>
  <c r="Z13" i="16"/>
  <c r="Y13" i="16"/>
  <c r="AQ12" i="16"/>
  <c r="AK12" i="16"/>
  <c r="AJ12" i="16"/>
  <c r="AI12" i="16"/>
  <c r="AH12" i="16"/>
  <c r="AG12" i="16"/>
  <c r="AF12" i="16"/>
  <c r="AE12" i="16"/>
  <c r="Z12" i="16"/>
  <c r="Y12" i="16"/>
  <c r="AQ11" i="16"/>
  <c r="AL11" i="16"/>
  <c r="AM11" i="16" s="1"/>
  <c r="AK11" i="16"/>
  <c r="AJ11" i="16"/>
  <c r="AI11" i="16"/>
  <c r="AH11" i="16"/>
  <c r="AG11" i="16"/>
  <c r="AF11" i="16"/>
  <c r="AE11" i="16"/>
  <c r="Z11" i="16"/>
  <c r="AQ10" i="16"/>
  <c r="AL10" i="16"/>
  <c r="AM10" i="16" s="1"/>
  <c r="AK10" i="16"/>
  <c r="AJ10" i="16"/>
  <c r="AI10" i="16"/>
  <c r="AH10" i="16"/>
  <c r="AG10" i="16"/>
  <c r="AF10" i="16"/>
  <c r="AE10" i="16"/>
  <c r="Z10" i="16"/>
  <c r="Y10" i="16"/>
  <c r="Y33" i="16" s="1"/>
  <c r="O412" i="12" s="1"/>
  <c r="O417" i="12" s="1"/>
  <c r="O419" i="12" s="1"/>
  <c r="D6" i="16"/>
  <c r="E6" i="16" s="1"/>
  <c r="F6" i="16" s="1"/>
  <c r="G6" i="16" s="1"/>
  <c r="H6" i="16" s="1"/>
  <c r="I6" i="16" s="1"/>
  <c r="J6" i="16" s="1"/>
  <c r="K6" i="16" s="1"/>
  <c r="L6" i="16" s="1"/>
  <c r="M6" i="16" s="1"/>
  <c r="N6" i="16" s="1"/>
  <c r="O6" i="16" s="1"/>
  <c r="P6" i="16" s="1"/>
  <c r="Q6" i="16" s="1"/>
  <c r="R6" i="16" s="1"/>
  <c r="S6" i="16" s="1"/>
  <c r="T6" i="16" s="1"/>
  <c r="U6" i="16" s="1"/>
  <c r="V6" i="16" s="1"/>
  <c r="W6" i="16" s="1"/>
  <c r="X6" i="16" s="1"/>
  <c r="Y6" i="16" s="1"/>
  <c r="Z6" i="16" s="1"/>
  <c r="AA6" i="16" s="1"/>
  <c r="AB6" i="16" s="1"/>
  <c r="AC6" i="16" s="1"/>
  <c r="AD6" i="16" s="1"/>
  <c r="AE6" i="16" s="1"/>
  <c r="AF6" i="16" s="1"/>
  <c r="AG6" i="16" s="1"/>
  <c r="AH6" i="16" s="1"/>
  <c r="AI6" i="16" s="1"/>
  <c r="AJ6" i="16" s="1"/>
  <c r="AK6" i="16" s="1"/>
  <c r="AL6" i="16" s="1"/>
  <c r="AM6" i="16" s="1"/>
  <c r="AN6" i="16" s="1"/>
  <c r="C6" i="16"/>
  <c r="BH76" i="15"/>
  <c r="BL74" i="15"/>
  <c r="BK74" i="15"/>
  <c r="BK75" i="15" s="1"/>
  <c r="BK76" i="15" s="1"/>
  <c r="BL76" i="15" s="1"/>
  <c r="BJ73" i="15"/>
  <c r="BJ74" i="15" s="1"/>
  <c r="BJ75" i="15" s="1"/>
  <c r="AB71" i="15"/>
  <c r="AB70" i="15"/>
  <c r="AQ27" i="15"/>
  <c r="AO27" i="15"/>
  <c r="Y27" i="15"/>
  <c r="CA27" i="15" s="1"/>
  <c r="U27" i="15"/>
  <c r="AQ26" i="15"/>
  <c r="AO26" i="15"/>
  <c r="Y26" i="15"/>
  <c r="AE26" i="15" s="1"/>
  <c r="U26" i="15"/>
  <c r="T26" i="15"/>
  <c r="S26" i="15"/>
  <c r="AQ25" i="15"/>
  <c r="AO25" i="15"/>
  <c r="Y25" i="15"/>
  <c r="AE25" i="15" s="1"/>
  <c r="U25" i="15"/>
  <c r="T25" i="15"/>
  <c r="S25" i="15"/>
  <c r="P25" i="15"/>
  <c r="AQ24" i="15"/>
  <c r="AO24" i="15"/>
  <c r="Y24" i="15"/>
  <c r="AE24" i="15" s="1"/>
  <c r="U24" i="15"/>
  <c r="T24" i="15"/>
  <c r="S24" i="15"/>
  <c r="AQ23" i="15"/>
  <c r="AO23" i="15"/>
  <c r="Y23" i="15"/>
  <c r="AE23" i="15" s="1"/>
  <c r="U23" i="15"/>
  <c r="T23" i="15"/>
  <c r="S23" i="15"/>
  <c r="P23" i="15"/>
  <c r="AQ22" i="15"/>
  <c r="AO22" i="15"/>
  <c r="Y22" i="15"/>
  <c r="AE22" i="15" s="1"/>
  <c r="U22" i="15"/>
  <c r="T22" i="15"/>
  <c r="S22" i="15"/>
  <c r="P22" i="15"/>
  <c r="AQ21" i="15"/>
  <c r="AO21" i="15"/>
  <c r="Y21" i="15"/>
  <c r="AE21" i="15" s="1"/>
  <c r="U21" i="15"/>
  <c r="T21" i="15"/>
  <c r="S21" i="15"/>
  <c r="P21" i="15"/>
  <c r="AQ20" i="15"/>
  <c r="AO20" i="15"/>
  <c r="Y20" i="15"/>
  <c r="AE20" i="15" s="1"/>
  <c r="U20" i="15"/>
  <c r="T20" i="15"/>
  <c r="S20" i="15"/>
  <c r="P20" i="15"/>
  <c r="AQ19" i="15"/>
  <c r="AO19" i="15"/>
  <c r="Y19" i="15"/>
  <c r="AE19" i="15" s="1"/>
  <c r="U19" i="15"/>
  <c r="T19" i="15"/>
  <c r="S19" i="15"/>
  <c r="P19" i="15"/>
  <c r="AQ18" i="15"/>
  <c r="AO18" i="15"/>
  <c r="Y18" i="15"/>
  <c r="U18" i="15"/>
  <c r="T18" i="15"/>
  <c r="S18" i="15"/>
  <c r="AQ16" i="15"/>
  <c r="AO16" i="15"/>
  <c r="Y16" i="15"/>
  <c r="U16" i="15"/>
  <c r="T16" i="15"/>
  <c r="S16" i="15"/>
  <c r="P16" i="15"/>
  <c r="AQ15" i="15"/>
  <c r="AO15" i="15"/>
  <c r="Y15" i="15"/>
  <c r="U15" i="15"/>
  <c r="T15" i="15"/>
  <c r="S15" i="15"/>
  <c r="P15" i="15"/>
  <c r="AQ14" i="15"/>
  <c r="AO14" i="15"/>
  <c r="Y14" i="15"/>
  <c r="U14" i="15"/>
  <c r="T14" i="15"/>
  <c r="S14" i="15"/>
  <c r="P14" i="15"/>
  <c r="AQ11" i="15"/>
  <c r="U11" i="15"/>
  <c r="T11" i="15"/>
  <c r="S11" i="15"/>
  <c r="P11" i="15"/>
  <c r="AQ9" i="15"/>
  <c r="U9" i="15"/>
  <c r="T9" i="15"/>
  <c r="S9" i="15"/>
  <c r="P9" i="15"/>
  <c r="AQ8" i="15"/>
  <c r="U8" i="15"/>
  <c r="T8" i="15"/>
  <c r="S8" i="15"/>
  <c r="P8" i="15"/>
  <c r="AQ7" i="15"/>
  <c r="U7" i="15"/>
  <c r="T7" i="15"/>
  <c r="S7" i="15"/>
  <c r="P7" i="15"/>
  <c r="AQ6" i="15"/>
  <c r="U6" i="15"/>
  <c r="T6" i="15"/>
  <c r="S6" i="15"/>
  <c r="P6" i="15"/>
  <c r="K77" i="14"/>
  <c r="F77" i="14"/>
  <c r="L30" i="14"/>
  <c r="J30" i="14"/>
  <c r="I30" i="14"/>
  <c r="C30" i="14"/>
  <c r="A27" i="15" s="1"/>
  <c r="L29" i="14"/>
  <c r="J29" i="14"/>
  <c r="I29" i="14"/>
  <c r="C29" i="14"/>
  <c r="A26" i="15" s="1"/>
  <c r="L26" i="14"/>
  <c r="J26" i="14"/>
  <c r="I26" i="14"/>
  <c r="C26" i="14"/>
  <c r="A25" i="15" s="1"/>
  <c r="L25" i="14"/>
  <c r="J25" i="14"/>
  <c r="I25" i="14"/>
  <c r="C25" i="14"/>
  <c r="A24" i="15" s="1"/>
  <c r="C24" i="14"/>
  <c r="C23" i="14"/>
  <c r="L22" i="14"/>
  <c r="J22" i="14"/>
  <c r="I22" i="14"/>
  <c r="C22" i="14"/>
  <c r="A23" i="15" s="1"/>
  <c r="L21" i="14"/>
  <c r="J21" i="14"/>
  <c r="I21" i="14"/>
  <c r="C21" i="14"/>
  <c r="A22" i="15" s="1"/>
  <c r="L20" i="14"/>
  <c r="J20" i="14"/>
  <c r="I20" i="14"/>
  <c r="C20" i="14"/>
  <c r="A21" i="15" s="1"/>
  <c r="L19" i="14"/>
  <c r="J19" i="14"/>
  <c r="I19" i="14"/>
  <c r="C19" i="14"/>
  <c r="A20" i="15" s="1"/>
  <c r="L18" i="14"/>
  <c r="J18" i="14"/>
  <c r="I18" i="14"/>
  <c r="C18" i="14"/>
  <c r="A19" i="15" s="1"/>
  <c r="L17" i="14"/>
  <c r="J17" i="14"/>
  <c r="I17" i="14"/>
  <c r="C17" i="14"/>
  <c r="A18" i="15" s="1"/>
  <c r="L13" i="14"/>
  <c r="J13" i="14"/>
  <c r="I13" i="14"/>
  <c r="C13" i="14"/>
  <c r="A14" i="15" s="1"/>
  <c r="L12" i="14"/>
  <c r="J12" i="14"/>
  <c r="I12" i="14"/>
  <c r="C12" i="14"/>
  <c r="A13" i="15" s="1"/>
  <c r="L8" i="14"/>
  <c r="J8" i="14"/>
  <c r="I8" i="14"/>
  <c r="C8" i="14"/>
  <c r="A9" i="15" s="1"/>
  <c r="L7" i="14"/>
  <c r="J7" i="14"/>
  <c r="I7" i="14"/>
  <c r="C7" i="14"/>
  <c r="A8" i="15" s="1"/>
  <c r="L5" i="14"/>
  <c r="J5" i="14"/>
  <c r="C5" i="14"/>
  <c r="A7" i="15" s="1"/>
  <c r="L3" i="14"/>
  <c r="J3" i="14"/>
  <c r="C3" i="14"/>
  <c r="CU36" i="13"/>
  <c r="CY34" i="13"/>
  <c r="CX34" i="13"/>
  <c r="CX35" i="13" s="1"/>
  <c r="CX36" i="13" s="1"/>
  <c r="CY36" i="13" s="1"/>
  <c r="CW34" i="13"/>
  <c r="CW35" i="13" s="1"/>
  <c r="CW33" i="13"/>
  <c r="AQ33" i="13"/>
  <c r="AA31" i="13"/>
  <c r="AA30" i="13"/>
  <c r="AY28" i="13"/>
  <c r="AW28" i="13"/>
  <c r="X28" i="13"/>
  <c r="AE28" i="13" s="1"/>
  <c r="T28" i="13"/>
  <c r="O28" i="13"/>
  <c r="AB28" i="13" s="1"/>
  <c r="M28" i="13"/>
  <c r="U28" i="13" s="1"/>
  <c r="G28" i="13"/>
  <c r="CN28" i="13" s="1"/>
  <c r="F28" i="13"/>
  <c r="E28" i="13"/>
  <c r="D28" i="13"/>
  <c r="C28" i="13"/>
  <c r="AW27" i="13"/>
  <c r="AG27" i="13"/>
  <c r="AE27" i="13"/>
  <c r="X27" i="13"/>
  <c r="AC27" i="13" s="1"/>
  <c r="O27" i="13"/>
  <c r="M27" i="13"/>
  <c r="U27" i="13" s="1"/>
  <c r="G27" i="13"/>
  <c r="AY27" i="13" s="1"/>
  <c r="F27" i="13"/>
  <c r="E27" i="13"/>
  <c r="D27" i="13"/>
  <c r="C27" i="13"/>
  <c r="CB26" i="13"/>
  <c r="CC26" i="13" s="1"/>
  <c r="AW26" i="13"/>
  <c r="AI26" i="13"/>
  <c r="AG26" i="13"/>
  <c r="AE26" i="13"/>
  <c r="AC26" i="13"/>
  <c r="X26" i="13"/>
  <c r="AF26" i="13" s="1"/>
  <c r="O26" i="13"/>
  <c r="M26" i="13"/>
  <c r="G26" i="13"/>
  <c r="CQ26" i="13" s="1"/>
  <c r="F26" i="13"/>
  <c r="E26" i="13"/>
  <c r="D26" i="13"/>
  <c r="C26" i="13"/>
  <c r="AW25" i="13"/>
  <c r="AG25" i="13"/>
  <c r="X25" i="13"/>
  <c r="AE25" i="13" s="1"/>
  <c r="U25" i="13"/>
  <c r="O25" i="13"/>
  <c r="AB25" i="13" s="1"/>
  <c r="M25" i="13"/>
  <c r="G25" i="13"/>
  <c r="CN25" i="13" s="1"/>
  <c r="F25" i="13"/>
  <c r="E25" i="13"/>
  <c r="D25" i="13"/>
  <c r="C25" i="13"/>
  <c r="BP24" i="13"/>
  <c r="AW24" i="13"/>
  <c r="AG24" i="13"/>
  <c r="X24" i="13"/>
  <c r="AD24" i="13" s="1"/>
  <c r="O24" i="13"/>
  <c r="M24" i="13"/>
  <c r="U24" i="13" s="1"/>
  <c r="G24" i="13"/>
  <c r="BN24" i="13" s="1"/>
  <c r="BO24" i="13" s="1"/>
  <c r="F24" i="13"/>
  <c r="E24" i="13"/>
  <c r="D24" i="13"/>
  <c r="C24" i="13"/>
  <c r="AW23" i="13"/>
  <c r="X23" i="13"/>
  <c r="O23" i="13"/>
  <c r="AB23" i="13" s="1"/>
  <c r="M23" i="13"/>
  <c r="G23" i="13"/>
  <c r="BQ23" i="13" s="1"/>
  <c r="F23" i="13"/>
  <c r="E23" i="13"/>
  <c r="D23" i="13"/>
  <c r="C23" i="13"/>
  <c r="CF22" i="13"/>
  <c r="CH22" i="13" s="1"/>
  <c r="AW22" i="13"/>
  <c r="X22" i="13"/>
  <c r="AG22" i="13" s="1"/>
  <c r="O22" i="13"/>
  <c r="M22" i="13"/>
  <c r="U22" i="13" s="1"/>
  <c r="G22" i="13"/>
  <c r="CU22" i="13" s="1"/>
  <c r="CW22" i="13" s="1"/>
  <c r="F22" i="13"/>
  <c r="E22" i="13"/>
  <c r="D22" i="13"/>
  <c r="C22" i="13"/>
  <c r="AW21" i="13"/>
  <c r="X21" i="13"/>
  <c r="AH21" i="13" s="1"/>
  <c r="O21" i="13"/>
  <c r="AB21" i="13" s="1"/>
  <c r="M21" i="13"/>
  <c r="G21" i="13"/>
  <c r="CP21" i="13" s="1"/>
  <c r="F21" i="13"/>
  <c r="E21" i="13"/>
  <c r="D21" i="13"/>
  <c r="C21" i="13"/>
  <c r="BT20" i="13"/>
  <c r="AW20" i="13"/>
  <c r="X20" i="13"/>
  <c r="AH20" i="13" s="1"/>
  <c r="O20" i="13"/>
  <c r="AB20" i="13" s="1"/>
  <c r="M20" i="13"/>
  <c r="U20" i="13" s="1"/>
  <c r="G20" i="13"/>
  <c r="CS20" i="13" s="1"/>
  <c r="F20" i="13"/>
  <c r="E20" i="13"/>
  <c r="D20" i="13"/>
  <c r="C20" i="13"/>
  <c r="CO19" i="13"/>
  <c r="BX19" i="13"/>
  <c r="AW19" i="13"/>
  <c r="X19" i="13"/>
  <c r="T19" i="13"/>
  <c r="O19" i="13"/>
  <c r="M19" i="13"/>
  <c r="G19" i="13"/>
  <c r="BQ19" i="13" s="1"/>
  <c r="F19" i="13"/>
  <c r="E19" i="13"/>
  <c r="D19" i="13"/>
  <c r="C19" i="13"/>
  <c r="CT18" i="13"/>
  <c r="CR18" i="13"/>
  <c r="AW18" i="13"/>
  <c r="AG18" i="13"/>
  <c r="X18" i="13"/>
  <c r="AD18" i="13" s="1"/>
  <c r="U18" i="13"/>
  <c r="O18" i="13"/>
  <c r="M18" i="13"/>
  <c r="G18" i="13"/>
  <c r="CU18" i="13" s="1"/>
  <c r="F18" i="13"/>
  <c r="E18" i="13"/>
  <c r="D18" i="13"/>
  <c r="C18" i="13"/>
  <c r="AW17" i="13"/>
  <c r="X17" i="13"/>
  <c r="AI17" i="13" s="1"/>
  <c r="O17" i="13"/>
  <c r="AB17" i="13" s="1"/>
  <c r="M17" i="13"/>
  <c r="G17" i="13"/>
  <c r="CJ17" i="13" s="1"/>
  <c r="F17" i="13"/>
  <c r="E17" i="13"/>
  <c r="D17" i="13"/>
  <c r="C17" i="13"/>
  <c r="C16" i="13"/>
  <c r="AW15" i="13"/>
  <c r="AH15" i="13"/>
  <c r="AB15" i="13"/>
  <c r="X15" i="13"/>
  <c r="AI15" i="13" s="1"/>
  <c r="O15" i="13"/>
  <c r="M15" i="13"/>
  <c r="G15" i="13"/>
  <c r="CJ15" i="13" s="1"/>
  <c r="F15" i="13"/>
  <c r="E15" i="13"/>
  <c r="D15" i="13"/>
  <c r="C15" i="13"/>
  <c r="CJ14" i="13"/>
  <c r="AW14" i="13"/>
  <c r="X14" i="13"/>
  <c r="AD14" i="13" s="1"/>
  <c r="O14" i="13"/>
  <c r="AB14" i="13" s="1"/>
  <c r="M14" i="13"/>
  <c r="K14" i="13"/>
  <c r="DO14" i="13" s="1"/>
  <c r="G14" i="13"/>
  <c r="CS14" i="13" s="1"/>
  <c r="F14" i="13"/>
  <c r="E14" i="13"/>
  <c r="D14" i="13"/>
  <c r="C14" i="13"/>
  <c r="C13" i="13"/>
  <c r="O12" i="13"/>
  <c r="M12" i="13"/>
  <c r="G12" i="13"/>
  <c r="CU12" i="13" s="1"/>
  <c r="F12" i="13"/>
  <c r="E12" i="13"/>
  <c r="D12" i="13"/>
  <c r="C12" i="13"/>
  <c r="O11" i="13"/>
  <c r="M11" i="13"/>
  <c r="U11" i="13" s="1"/>
  <c r="G11" i="13"/>
  <c r="CT11" i="13" s="1"/>
  <c r="F11" i="13"/>
  <c r="E11" i="13"/>
  <c r="D11" i="13"/>
  <c r="C11" i="13"/>
  <c r="CB10" i="13"/>
  <c r="CE10" i="13" s="1"/>
  <c r="O10" i="13"/>
  <c r="M10" i="13"/>
  <c r="G10" i="13"/>
  <c r="CS10" i="13" s="1"/>
  <c r="F10" i="13"/>
  <c r="E10" i="13"/>
  <c r="D10" i="13"/>
  <c r="C10" i="13"/>
  <c r="O9" i="13"/>
  <c r="AB9" i="13" s="1"/>
  <c r="M9" i="13"/>
  <c r="G9" i="13"/>
  <c r="CT9" i="13" s="1"/>
  <c r="F9" i="13"/>
  <c r="E9" i="13"/>
  <c r="D9" i="13"/>
  <c r="C9" i="13"/>
  <c r="O8" i="13"/>
  <c r="AB8" i="13" s="1"/>
  <c r="M8" i="13"/>
  <c r="G8" i="13"/>
  <c r="CT8" i="13" s="1"/>
  <c r="F8" i="13"/>
  <c r="E8" i="13"/>
  <c r="D8" i="13"/>
  <c r="C8" i="13"/>
  <c r="BQ7" i="13"/>
  <c r="X7" i="13"/>
  <c r="O7" i="13"/>
  <c r="AB7" i="13" s="1"/>
  <c r="M7" i="13"/>
  <c r="G7" i="13"/>
  <c r="CU7" i="13" s="1"/>
  <c r="CW7" i="13" s="1"/>
  <c r="F7" i="13"/>
  <c r="E7" i="13"/>
  <c r="D7" i="13"/>
  <c r="C7" i="13"/>
  <c r="O6" i="13"/>
  <c r="M6" i="13"/>
  <c r="X6" i="13" s="1"/>
  <c r="G6" i="13"/>
  <c r="CN6" i="13" s="1"/>
  <c r="F6" i="13"/>
  <c r="E6" i="13"/>
  <c r="D6" i="13"/>
  <c r="C6" i="13"/>
  <c r="C5" i="13"/>
  <c r="A1740" i="12"/>
  <c r="C1740" i="12" s="1"/>
  <c r="A1694" i="12"/>
  <c r="A1648" i="12"/>
  <c r="B1648" i="12" s="1"/>
  <c r="A1643" i="12"/>
  <c r="H1640" i="12"/>
  <c r="B1640" i="12"/>
  <c r="B1644" i="12" s="1"/>
  <c r="A1637" i="12"/>
  <c r="B1637" i="12" s="1"/>
  <c r="E1634" i="12"/>
  <c r="B1634" i="12"/>
  <c r="E1633" i="12"/>
  <c r="B1633" i="12"/>
  <c r="A1631" i="12"/>
  <c r="B1631" i="12" s="1"/>
  <c r="A1625" i="12"/>
  <c r="A1617" i="12"/>
  <c r="B1617" i="12" s="1"/>
  <c r="A1612" i="12"/>
  <c r="B1612" i="12" s="1"/>
  <c r="J1609" i="12"/>
  <c r="F1609" i="12"/>
  <c r="E1609" i="12"/>
  <c r="J1608" i="12"/>
  <c r="F1608" i="12"/>
  <c r="E1608" i="12"/>
  <c r="J1607" i="12"/>
  <c r="F1607" i="12"/>
  <c r="E1607" i="12"/>
  <c r="N1607" i="12" s="1"/>
  <c r="J1606" i="12"/>
  <c r="F1606" i="12"/>
  <c r="E1606" i="12"/>
  <c r="J1605" i="12"/>
  <c r="F1605" i="12"/>
  <c r="E1605" i="12"/>
  <c r="J1604" i="12"/>
  <c r="F1604" i="12"/>
  <c r="E1604" i="12"/>
  <c r="J1603" i="12"/>
  <c r="F1603" i="12"/>
  <c r="E1603" i="12"/>
  <c r="J1602" i="12"/>
  <c r="F1602" i="12"/>
  <c r="E1602" i="12"/>
  <c r="J1601" i="12"/>
  <c r="F1601" i="12"/>
  <c r="E1601" i="12"/>
  <c r="J1600" i="12"/>
  <c r="F1600" i="12"/>
  <c r="E1600" i="12"/>
  <c r="J1599" i="12"/>
  <c r="F1599" i="12"/>
  <c r="E1599" i="12"/>
  <c r="J1598" i="12"/>
  <c r="F1598" i="12"/>
  <c r="E1598" i="12"/>
  <c r="J1597" i="12"/>
  <c r="F1597" i="12"/>
  <c r="E1597" i="12"/>
  <c r="J1596" i="12"/>
  <c r="F1596" i="12"/>
  <c r="E1596" i="12"/>
  <c r="J1595" i="12"/>
  <c r="F1595" i="12"/>
  <c r="E1595" i="12"/>
  <c r="N1595" i="12" s="1"/>
  <c r="J1594" i="12"/>
  <c r="F1594" i="12"/>
  <c r="E1594" i="12"/>
  <c r="J1593" i="12"/>
  <c r="F1593" i="12"/>
  <c r="E1593" i="12"/>
  <c r="J1592" i="12"/>
  <c r="F1592" i="12"/>
  <c r="E1592" i="12"/>
  <c r="J1591" i="12"/>
  <c r="F1591" i="12"/>
  <c r="E1591" i="12"/>
  <c r="N1591" i="12" s="1"/>
  <c r="J1590" i="12"/>
  <c r="F1590" i="12"/>
  <c r="E1590" i="12"/>
  <c r="J1589" i="12"/>
  <c r="F1589" i="12"/>
  <c r="E1589" i="12"/>
  <c r="J1588" i="12"/>
  <c r="F1588" i="12"/>
  <c r="E1588" i="12"/>
  <c r="J1587" i="12"/>
  <c r="F1587" i="12"/>
  <c r="E1587" i="12"/>
  <c r="J1586" i="12"/>
  <c r="F1586" i="12"/>
  <c r="E1586" i="12"/>
  <c r="J1585" i="12"/>
  <c r="F1585" i="12"/>
  <c r="E1585" i="12"/>
  <c r="J1584" i="12"/>
  <c r="F1584" i="12"/>
  <c r="E1584" i="12"/>
  <c r="J1583" i="12"/>
  <c r="F1583" i="12"/>
  <c r="E1583" i="12"/>
  <c r="N1583" i="12" s="1"/>
  <c r="J1582" i="12"/>
  <c r="F1582" i="12"/>
  <c r="E1582" i="12"/>
  <c r="J1581" i="12"/>
  <c r="F1581" i="12"/>
  <c r="E1581" i="12"/>
  <c r="J1580" i="12"/>
  <c r="F1580" i="12"/>
  <c r="E1580" i="12"/>
  <c r="J1579" i="12"/>
  <c r="F1579" i="12"/>
  <c r="E1579" i="12"/>
  <c r="N1579" i="12" s="1"/>
  <c r="J1578" i="12"/>
  <c r="F1578" i="12"/>
  <c r="E1578" i="12"/>
  <c r="J1577" i="12"/>
  <c r="F1577" i="12"/>
  <c r="E1577" i="12"/>
  <c r="J1576" i="12"/>
  <c r="F1576" i="12"/>
  <c r="E1576" i="12"/>
  <c r="J1575" i="12"/>
  <c r="F1575" i="12"/>
  <c r="E1575" i="12"/>
  <c r="N1575" i="12" s="1"/>
  <c r="J1574" i="12"/>
  <c r="F1574" i="12"/>
  <c r="E1574" i="12"/>
  <c r="J1573" i="12"/>
  <c r="F1573" i="12"/>
  <c r="E1573" i="12"/>
  <c r="J1572" i="12"/>
  <c r="F1572" i="12"/>
  <c r="E1572" i="12"/>
  <c r="J1571" i="12"/>
  <c r="F1571" i="12"/>
  <c r="E1571" i="12"/>
  <c r="J1570" i="12"/>
  <c r="F1570" i="12"/>
  <c r="E1570" i="12"/>
  <c r="J1569" i="12"/>
  <c r="F1569" i="12"/>
  <c r="E1569" i="12"/>
  <c r="B1568" i="12"/>
  <c r="A1566" i="12"/>
  <c r="C1566" i="12" s="1"/>
  <c r="N1563" i="12"/>
  <c r="N1562" i="12"/>
  <c r="N1561" i="12"/>
  <c r="N1560" i="12"/>
  <c r="N1559" i="12"/>
  <c r="N1558" i="12"/>
  <c r="N1557" i="12"/>
  <c r="N1556" i="12"/>
  <c r="N1555" i="12"/>
  <c r="N1554" i="12"/>
  <c r="N1553" i="12"/>
  <c r="N1552" i="12"/>
  <c r="N1551" i="12"/>
  <c r="N1550" i="12"/>
  <c r="N1549" i="12"/>
  <c r="N1548" i="12"/>
  <c r="N1547" i="12"/>
  <c r="N1546" i="12"/>
  <c r="N1545" i="12"/>
  <c r="N1544" i="12"/>
  <c r="N1543" i="12"/>
  <c r="N1542" i="12"/>
  <c r="N1541" i="12"/>
  <c r="N1540" i="12"/>
  <c r="N1539" i="12"/>
  <c r="N1538" i="12"/>
  <c r="N1537" i="12"/>
  <c r="N1536" i="12"/>
  <c r="N1535" i="12"/>
  <c r="N1534" i="12"/>
  <c r="N1533" i="12"/>
  <c r="N1532" i="12"/>
  <c r="N1531" i="12"/>
  <c r="N1530" i="12"/>
  <c r="N1529" i="12"/>
  <c r="N1528" i="12"/>
  <c r="N1527" i="12"/>
  <c r="N1526" i="12"/>
  <c r="N1525" i="12"/>
  <c r="N1524" i="12"/>
  <c r="N1523" i="12"/>
  <c r="A1520" i="12"/>
  <c r="N1517" i="12"/>
  <c r="N1516" i="12"/>
  <c r="N1515" i="12"/>
  <c r="N1514" i="12"/>
  <c r="N1513" i="12"/>
  <c r="N1512" i="12"/>
  <c r="N1511" i="12"/>
  <c r="N1510" i="12"/>
  <c r="N1509" i="12"/>
  <c r="N1508" i="12"/>
  <c r="N1507" i="12"/>
  <c r="N1506" i="12"/>
  <c r="N1505" i="12"/>
  <c r="N1504" i="12"/>
  <c r="N1503" i="12"/>
  <c r="N1502" i="12"/>
  <c r="N1501" i="12"/>
  <c r="N1500" i="12"/>
  <c r="N1499" i="12"/>
  <c r="N1498" i="12"/>
  <c r="N1497" i="12"/>
  <c r="N1496" i="12"/>
  <c r="N1495" i="12"/>
  <c r="N1494" i="12"/>
  <c r="N1493" i="12"/>
  <c r="N1492" i="12"/>
  <c r="N1491" i="12"/>
  <c r="N1490" i="12"/>
  <c r="N1489" i="12"/>
  <c r="N1488" i="12"/>
  <c r="N1487" i="12"/>
  <c r="N1486" i="12"/>
  <c r="N1485" i="12"/>
  <c r="N1484" i="12"/>
  <c r="N1483" i="12"/>
  <c r="N1482" i="12"/>
  <c r="N1481" i="12"/>
  <c r="N1480" i="12"/>
  <c r="N1479" i="12"/>
  <c r="N1478" i="12"/>
  <c r="N1477" i="12"/>
  <c r="A1474" i="12"/>
  <c r="B1474" i="12" s="1"/>
  <c r="N1471" i="12"/>
  <c r="N1470" i="12"/>
  <c r="N1469" i="12"/>
  <c r="N1468" i="12"/>
  <c r="N1467" i="12"/>
  <c r="N1466" i="12"/>
  <c r="N1465" i="12"/>
  <c r="N1464" i="12"/>
  <c r="N1463" i="12"/>
  <c r="N1462" i="12"/>
  <c r="N1461" i="12"/>
  <c r="N1460" i="12"/>
  <c r="N1459" i="12"/>
  <c r="N1458" i="12"/>
  <c r="N1457" i="12"/>
  <c r="N1456" i="12"/>
  <c r="N1455" i="12"/>
  <c r="N1454" i="12"/>
  <c r="N1453" i="12"/>
  <c r="N1452" i="12"/>
  <c r="N1451" i="12"/>
  <c r="N1450" i="12"/>
  <c r="N1449" i="12"/>
  <c r="N1448" i="12"/>
  <c r="N1447" i="12"/>
  <c r="N1446" i="12"/>
  <c r="N1445" i="12"/>
  <c r="N1444" i="12"/>
  <c r="N1443" i="12"/>
  <c r="N1442" i="12"/>
  <c r="N1441" i="12"/>
  <c r="N1440" i="12"/>
  <c r="N1439" i="12"/>
  <c r="N1438" i="12"/>
  <c r="N1437" i="12"/>
  <c r="N1436" i="12"/>
  <c r="N1435" i="12"/>
  <c r="N1434" i="12"/>
  <c r="N1433" i="12"/>
  <c r="N1432" i="12"/>
  <c r="N1431" i="12"/>
  <c r="A1428" i="12"/>
  <c r="B1428" i="12" s="1"/>
  <c r="N1425" i="12"/>
  <c r="N1737" i="12" s="1"/>
  <c r="K1737" i="12" s="1"/>
  <c r="N1424" i="12"/>
  <c r="N1736" i="12" s="1"/>
  <c r="K1736" i="12" s="1"/>
  <c r="N1423" i="12"/>
  <c r="N1735" i="12" s="1"/>
  <c r="K1735" i="12" s="1"/>
  <c r="N1422" i="12"/>
  <c r="N1734" i="12" s="1"/>
  <c r="K1734" i="12" s="1"/>
  <c r="N1421" i="12"/>
  <c r="N1733" i="12" s="1"/>
  <c r="K1733" i="12" s="1"/>
  <c r="N1420" i="12"/>
  <c r="N1732" i="12" s="1"/>
  <c r="K1732" i="12" s="1"/>
  <c r="N1419" i="12"/>
  <c r="N1731" i="12" s="1"/>
  <c r="K1731" i="12" s="1"/>
  <c r="N1418" i="12"/>
  <c r="N1730" i="12" s="1"/>
  <c r="K1730" i="12" s="1"/>
  <c r="N1417" i="12"/>
  <c r="N1729" i="12" s="1"/>
  <c r="K1729" i="12" s="1"/>
  <c r="N1416" i="12"/>
  <c r="N1728" i="12" s="1"/>
  <c r="K1728" i="12" s="1"/>
  <c r="N1415" i="12"/>
  <c r="N1727" i="12" s="1"/>
  <c r="K1727" i="12" s="1"/>
  <c r="N1414" i="12"/>
  <c r="N1726" i="12" s="1"/>
  <c r="K1726" i="12" s="1"/>
  <c r="N1413" i="12"/>
  <c r="N1725" i="12" s="1"/>
  <c r="K1725" i="12" s="1"/>
  <c r="N1412" i="12"/>
  <c r="N1724" i="12" s="1"/>
  <c r="K1724" i="12" s="1"/>
  <c r="N1411" i="12"/>
  <c r="N1723" i="12" s="1"/>
  <c r="K1723" i="12" s="1"/>
  <c r="N1410" i="12"/>
  <c r="N1722" i="12" s="1"/>
  <c r="K1722" i="12" s="1"/>
  <c r="N1409" i="12"/>
  <c r="N1721" i="12" s="1"/>
  <c r="K1721" i="12" s="1"/>
  <c r="N1408" i="12"/>
  <c r="N1720" i="12" s="1"/>
  <c r="K1720" i="12" s="1"/>
  <c r="N1407" i="12"/>
  <c r="N1719" i="12" s="1"/>
  <c r="K1719" i="12" s="1"/>
  <c r="N1406" i="12"/>
  <c r="N1718" i="12" s="1"/>
  <c r="K1718" i="12" s="1"/>
  <c r="N1405" i="12"/>
  <c r="N1717" i="12" s="1"/>
  <c r="K1717" i="12" s="1"/>
  <c r="N1404" i="12"/>
  <c r="N1716" i="12" s="1"/>
  <c r="K1716" i="12" s="1"/>
  <c r="N1403" i="12"/>
  <c r="N1715" i="12" s="1"/>
  <c r="K1715" i="12" s="1"/>
  <c r="N1402" i="12"/>
  <c r="N1714" i="12" s="1"/>
  <c r="K1714" i="12" s="1"/>
  <c r="N1401" i="12"/>
  <c r="N1713" i="12" s="1"/>
  <c r="K1713" i="12" s="1"/>
  <c r="N1400" i="12"/>
  <c r="N1712" i="12" s="1"/>
  <c r="K1712" i="12" s="1"/>
  <c r="N1399" i="12"/>
  <c r="N1711" i="12" s="1"/>
  <c r="K1711" i="12" s="1"/>
  <c r="N1398" i="12"/>
  <c r="N1710" i="12" s="1"/>
  <c r="K1710" i="12" s="1"/>
  <c r="N1397" i="12"/>
  <c r="N1709" i="12" s="1"/>
  <c r="K1709" i="12" s="1"/>
  <c r="N1396" i="12"/>
  <c r="N1708" i="12" s="1"/>
  <c r="K1708" i="12" s="1"/>
  <c r="N1395" i="12"/>
  <c r="N1707" i="12" s="1"/>
  <c r="K1707" i="12" s="1"/>
  <c r="N1394" i="12"/>
  <c r="N1706" i="12" s="1"/>
  <c r="K1706" i="12" s="1"/>
  <c r="N1393" i="12"/>
  <c r="N1705" i="12" s="1"/>
  <c r="K1705" i="12" s="1"/>
  <c r="N1392" i="12"/>
  <c r="N1704" i="12" s="1"/>
  <c r="K1704" i="12" s="1"/>
  <c r="N1391" i="12"/>
  <c r="N1703" i="12" s="1"/>
  <c r="K1703" i="12" s="1"/>
  <c r="N1390" i="12"/>
  <c r="N1702" i="12" s="1"/>
  <c r="K1702" i="12" s="1"/>
  <c r="N1389" i="12"/>
  <c r="N1701" i="12" s="1"/>
  <c r="K1701" i="12" s="1"/>
  <c r="N1388" i="12"/>
  <c r="N1700" i="12" s="1"/>
  <c r="K1700" i="12" s="1"/>
  <c r="N1387" i="12"/>
  <c r="N1699" i="12" s="1"/>
  <c r="K1699" i="12" s="1"/>
  <c r="N1386" i="12"/>
  <c r="N1698" i="12" s="1"/>
  <c r="K1698" i="12" s="1"/>
  <c r="N1385" i="12"/>
  <c r="B1384" i="12"/>
  <c r="A1382" i="12"/>
  <c r="C1382" i="12" s="1"/>
  <c r="N1379" i="12"/>
  <c r="N1691" i="12" s="1"/>
  <c r="K1691" i="12" s="1"/>
  <c r="N1378" i="12"/>
  <c r="N1690" i="12" s="1"/>
  <c r="K1690" i="12" s="1"/>
  <c r="N1377" i="12"/>
  <c r="N1689" i="12" s="1"/>
  <c r="K1689" i="12" s="1"/>
  <c r="N1376" i="12"/>
  <c r="N1688" i="12" s="1"/>
  <c r="K1688" i="12" s="1"/>
  <c r="N1375" i="12"/>
  <c r="N1687" i="12" s="1"/>
  <c r="K1687" i="12" s="1"/>
  <c r="N1374" i="12"/>
  <c r="N1686" i="12" s="1"/>
  <c r="K1686" i="12" s="1"/>
  <c r="N1373" i="12"/>
  <c r="N1685" i="12" s="1"/>
  <c r="K1685" i="12" s="1"/>
  <c r="N1372" i="12"/>
  <c r="N1684" i="12" s="1"/>
  <c r="K1684" i="12" s="1"/>
  <c r="N1371" i="12"/>
  <c r="N1683" i="12" s="1"/>
  <c r="K1683" i="12" s="1"/>
  <c r="N1370" i="12"/>
  <c r="N1682" i="12" s="1"/>
  <c r="K1682" i="12" s="1"/>
  <c r="N1369" i="12"/>
  <c r="N1681" i="12" s="1"/>
  <c r="K1681" i="12" s="1"/>
  <c r="N1368" i="12"/>
  <c r="N1680" i="12" s="1"/>
  <c r="K1680" i="12" s="1"/>
  <c r="N1367" i="12"/>
  <c r="N1679" i="12" s="1"/>
  <c r="K1679" i="12" s="1"/>
  <c r="N1366" i="12"/>
  <c r="N1678" i="12" s="1"/>
  <c r="K1678" i="12" s="1"/>
  <c r="N1365" i="12"/>
  <c r="N1677" i="12" s="1"/>
  <c r="K1677" i="12" s="1"/>
  <c r="N1364" i="12"/>
  <c r="N1676" i="12" s="1"/>
  <c r="K1676" i="12" s="1"/>
  <c r="N1363" i="12"/>
  <c r="N1675" i="12" s="1"/>
  <c r="K1675" i="12" s="1"/>
  <c r="N1362" i="12"/>
  <c r="N1674" i="12" s="1"/>
  <c r="K1674" i="12" s="1"/>
  <c r="N1361" i="12"/>
  <c r="N1673" i="12" s="1"/>
  <c r="K1673" i="12" s="1"/>
  <c r="N1360" i="12"/>
  <c r="N1672" i="12" s="1"/>
  <c r="K1672" i="12" s="1"/>
  <c r="N1359" i="12"/>
  <c r="N1671" i="12" s="1"/>
  <c r="K1671" i="12" s="1"/>
  <c r="N1358" i="12"/>
  <c r="N1670" i="12" s="1"/>
  <c r="K1670" i="12" s="1"/>
  <c r="N1357" i="12"/>
  <c r="N1669" i="12" s="1"/>
  <c r="K1669" i="12" s="1"/>
  <c r="N1356" i="12"/>
  <c r="N1668" i="12" s="1"/>
  <c r="K1668" i="12" s="1"/>
  <c r="N1355" i="12"/>
  <c r="N1667" i="12" s="1"/>
  <c r="K1667" i="12" s="1"/>
  <c r="N1354" i="12"/>
  <c r="N1666" i="12" s="1"/>
  <c r="K1666" i="12" s="1"/>
  <c r="N1353" i="12"/>
  <c r="N1665" i="12" s="1"/>
  <c r="K1665" i="12" s="1"/>
  <c r="N1352" i="12"/>
  <c r="N1664" i="12" s="1"/>
  <c r="K1664" i="12" s="1"/>
  <c r="N1351" i="12"/>
  <c r="N1663" i="12" s="1"/>
  <c r="K1663" i="12" s="1"/>
  <c r="N1350" i="12"/>
  <c r="N1662" i="12" s="1"/>
  <c r="K1662" i="12" s="1"/>
  <c r="N1349" i="12"/>
  <c r="N1661" i="12" s="1"/>
  <c r="K1661" i="12" s="1"/>
  <c r="N1348" i="12"/>
  <c r="N1660" i="12" s="1"/>
  <c r="K1660" i="12" s="1"/>
  <c r="N1347" i="12"/>
  <c r="N1659" i="12" s="1"/>
  <c r="K1659" i="12" s="1"/>
  <c r="N1346" i="12"/>
  <c r="N1658" i="12" s="1"/>
  <c r="K1658" i="12" s="1"/>
  <c r="N1345" i="12"/>
  <c r="N1657" i="12" s="1"/>
  <c r="K1657" i="12" s="1"/>
  <c r="N1344" i="12"/>
  <c r="N1656" i="12" s="1"/>
  <c r="K1656" i="12" s="1"/>
  <c r="N1343" i="12"/>
  <c r="N1655" i="12" s="1"/>
  <c r="K1655" i="12" s="1"/>
  <c r="N1342" i="12"/>
  <c r="N1654" i="12" s="1"/>
  <c r="K1654" i="12" s="1"/>
  <c r="N1341" i="12"/>
  <c r="N1653" i="12" s="1"/>
  <c r="K1653" i="12" s="1"/>
  <c r="N1340" i="12"/>
  <c r="N1652" i="12" s="1"/>
  <c r="K1652" i="12" s="1"/>
  <c r="N1339" i="12"/>
  <c r="N1651" i="12" s="1"/>
  <c r="K1651" i="12" s="1"/>
  <c r="A1336" i="12"/>
  <c r="C1336" i="12" s="1"/>
  <c r="N1331" i="12"/>
  <c r="A1328" i="12"/>
  <c r="A1324" i="12"/>
  <c r="B1324" i="12" s="1"/>
  <c r="B1321" i="12"/>
  <c r="B1320" i="12"/>
  <c r="B1470" i="12" s="1"/>
  <c r="B1516" i="12" s="1"/>
  <c r="B1319" i="12"/>
  <c r="B1377" i="12" s="1"/>
  <c r="B1318" i="12"/>
  <c r="B1376" i="12" s="1"/>
  <c r="B1317" i="12"/>
  <c r="B1467" i="12" s="1"/>
  <c r="B1513" i="12" s="1"/>
  <c r="B1316" i="12"/>
  <c r="B1374" i="12" s="1"/>
  <c r="B1315" i="12"/>
  <c r="B1314" i="12"/>
  <c r="B1464" i="12" s="1"/>
  <c r="B1510" i="12" s="1"/>
  <c r="B1313" i="12"/>
  <c r="B1371" i="12" s="1"/>
  <c r="B1312" i="12"/>
  <c r="B1370" i="12" s="1"/>
  <c r="B1311" i="12"/>
  <c r="B1461" i="12" s="1"/>
  <c r="B1507" i="12" s="1"/>
  <c r="B1310" i="12"/>
  <c r="B1368" i="12" s="1"/>
  <c r="B1309" i="12"/>
  <c r="B1308" i="12"/>
  <c r="B1458" i="12" s="1"/>
  <c r="B1504" i="12" s="1"/>
  <c r="B1307" i="12"/>
  <c r="B1365" i="12" s="1"/>
  <c r="B1306" i="12"/>
  <c r="B1364" i="12" s="1"/>
  <c r="B1305" i="12"/>
  <c r="B1455" i="12" s="1"/>
  <c r="B1501" i="12" s="1"/>
  <c r="B1304" i="12"/>
  <c r="B1362" i="12" s="1"/>
  <c r="B1303" i="12"/>
  <c r="B1302" i="12"/>
  <c r="B1452" i="12" s="1"/>
  <c r="B1498" i="12" s="1"/>
  <c r="B1301" i="12"/>
  <c r="B1359" i="12" s="1"/>
  <c r="B1300" i="12"/>
  <c r="B1358" i="12" s="1"/>
  <c r="B1299" i="12"/>
  <c r="B1449" i="12" s="1"/>
  <c r="B1495" i="12" s="1"/>
  <c r="B1298" i="12"/>
  <c r="B1356" i="12" s="1"/>
  <c r="B1297" i="12"/>
  <c r="B1296" i="12"/>
  <c r="B1446" i="12" s="1"/>
  <c r="B1492" i="12" s="1"/>
  <c r="B1538" i="12" s="1"/>
  <c r="B1584" i="12" s="1"/>
  <c r="B1295" i="12"/>
  <c r="B1353" i="12" s="1"/>
  <c r="B1294" i="12"/>
  <c r="B1352" i="12" s="1"/>
  <c r="B1293" i="12"/>
  <c r="B1443" i="12" s="1"/>
  <c r="B1489" i="12" s="1"/>
  <c r="B1292" i="12"/>
  <c r="B1350" i="12" s="1"/>
  <c r="B1291" i="12"/>
  <c r="B1290" i="12"/>
  <c r="B1440" i="12" s="1"/>
  <c r="B1486" i="12" s="1"/>
  <c r="B1289" i="12"/>
  <c r="B1347" i="12" s="1"/>
  <c r="B1288" i="12"/>
  <c r="B1346" i="12" s="1"/>
  <c r="B1287" i="12"/>
  <c r="B1437" i="12" s="1"/>
  <c r="B1483" i="12" s="1"/>
  <c r="B1286" i="12"/>
  <c r="B1344" i="12" s="1"/>
  <c r="B1285" i="12"/>
  <c r="B1284" i="12"/>
  <c r="B1434" i="12" s="1"/>
  <c r="B1480" i="12" s="1"/>
  <c r="B1283" i="12"/>
  <c r="B1341" i="12" s="1"/>
  <c r="B1282" i="12"/>
  <c r="B1340" i="12" s="1"/>
  <c r="B1281" i="12"/>
  <c r="B1431" i="12" s="1"/>
  <c r="B1477" i="12" s="1"/>
  <c r="A1279" i="12"/>
  <c r="B1279" i="12" s="1"/>
  <c r="O1278" i="12"/>
  <c r="D1271" i="12" s="1"/>
  <c r="G1268" i="12"/>
  <c r="O1268" i="12" s="1"/>
  <c r="G1267" i="12"/>
  <c r="O1267" i="12" s="1"/>
  <c r="G1266" i="12"/>
  <c r="G1319" i="12" s="1"/>
  <c r="G1265" i="12"/>
  <c r="G1264" i="12"/>
  <c r="G1317" i="12" s="1"/>
  <c r="G1263" i="12"/>
  <c r="G1316" i="12" s="1"/>
  <c r="G1512" i="12" s="1"/>
  <c r="G1262" i="12"/>
  <c r="O1262" i="12" s="1"/>
  <c r="G1261" i="12"/>
  <c r="O1261" i="12" s="1"/>
  <c r="G1260" i="12"/>
  <c r="G1313" i="12" s="1"/>
  <c r="G1259" i="12"/>
  <c r="G1312" i="12" s="1"/>
  <c r="G1258" i="12"/>
  <c r="G1311" i="12" s="1"/>
  <c r="G1257" i="12"/>
  <c r="G1310" i="12" s="1"/>
  <c r="G1506" i="12" s="1"/>
  <c r="G1256" i="12"/>
  <c r="O1256" i="12" s="1"/>
  <c r="G1255" i="12"/>
  <c r="G1308" i="12" s="1"/>
  <c r="G1550" i="12" s="1"/>
  <c r="G1254" i="12"/>
  <c r="O1254" i="12" s="1"/>
  <c r="G1253" i="12"/>
  <c r="G1306" i="12" s="1"/>
  <c r="G1252" i="12"/>
  <c r="G1305" i="12" s="1"/>
  <c r="G1251" i="12"/>
  <c r="G1304" i="12" s="1"/>
  <c r="G1500" i="12" s="1"/>
  <c r="G1250" i="12"/>
  <c r="O1250" i="12" s="1"/>
  <c r="G1249" i="12"/>
  <c r="G1302" i="12" s="1"/>
  <c r="G1544" i="12" s="1"/>
  <c r="G1248" i="12"/>
  <c r="G1301" i="12" s="1"/>
  <c r="G1543" i="12" s="1"/>
  <c r="G1247" i="12"/>
  <c r="G1300" i="12" s="1"/>
  <c r="G1246" i="12"/>
  <c r="G1299" i="12" s="1"/>
  <c r="G1245" i="12"/>
  <c r="G1298" i="12" s="1"/>
  <c r="G1244" i="12"/>
  <c r="O1244" i="12" s="1"/>
  <c r="G1243" i="12"/>
  <c r="G1296" i="12" s="1"/>
  <c r="G1538" i="12" s="1"/>
  <c r="G1242" i="12"/>
  <c r="G1295" i="12" s="1"/>
  <c r="G1241" i="12"/>
  <c r="G1294" i="12" s="1"/>
  <c r="G1240" i="12"/>
  <c r="G1293" i="12" s="1"/>
  <c r="G1239" i="12"/>
  <c r="O1239" i="12" s="1"/>
  <c r="G1238" i="12"/>
  <c r="O1238" i="12" s="1"/>
  <c r="G1237" i="12"/>
  <c r="G1290" i="12" s="1"/>
  <c r="G1532" i="12" s="1"/>
  <c r="G1236" i="12"/>
  <c r="O1236" i="12" s="1"/>
  <c r="G1235" i="12"/>
  <c r="G1288" i="12" s="1"/>
  <c r="G1234" i="12"/>
  <c r="O1234" i="12" s="1"/>
  <c r="G1233" i="12"/>
  <c r="G1286" i="12" s="1"/>
  <c r="G1482" i="12" s="1"/>
  <c r="G1232" i="12"/>
  <c r="O1232" i="12" s="1"/>
  <c r="G1231" i="12"/>
  <c r="G1284" i="12" s="1"/>
  <c r="G1526" i="12" s="1"/>
  <c r="G1230" i="12"/>
  <c r="G1283" i="12" s="1"/>
  <c r="G1229" i="12"/>
  <c r="G1282" i="12" s="1"/>
  <c r="G1228" i="12"/>
  <c r="O1228" i="12" s="1"/>
  <c r="A1226" i="12"/>
  <c r="M1222" i="12"/>
  <c r="M1331" i="12" s="1"/>
  <c r="O1331" i="12" s="1"/>
  <c r="A1221" i="12"/>
  <c r="F1217" i="12"/>
  <c r="E1217" i="12"/>
  <c r="E1223" i="12" s="1"/>
  <c r="A1214" i="12"/>
  <c r="B1214" i="12" s="1"/>
  <c r="A1213" i="12"/>
  <c r="B1213" i="12" s="1"/>
  <c r="M1210" i="12"/>
  <c r="D1209" i="12" s="1"/>
  <c r="A1209" i="12"/>
  <c r="B1209" i="12" s="1"/>
  <c r="M1208" i="12"/>
  <c r="D1205" i="12"/>
  <c r="A1205" i="12"/>
  <c r="B1205" i="12" s="1"/>
  <c r="A1204" i="12"/>
  <c r="B1204" i="12" s="1"/>
  <c r="M1201" i="12"/>
  <c r="M1203" i="12" s="1"/>
  <c r="D1200" i="12" s="1"/>
  <c r="A1200" i="12"/>
  <c r="A1199" i="12"/>
  <c r="B1199" i="12" s="1"/>
  <c r="B1198" i="12"/>
  <c r="A1198" i="12"/>
  <c r="A1194" i="12"/>
  <c r="B1194" i="12" s="1"/>
  <c r="A1193" i="12"/>
  <c r="B1193" i="12" s="1"/>
  <c r="A1189" i="12"/>
  <c r="B1189" i="12" s="1"/>
  <c r="A1180" i="12"/>
  <c r="B1180" i="12" s="1"/>
  <c r="A1175" i="12"/>
  <c r="H1172" i="12"/>
  <c r="B1172" i="12"/>
  <c r="H1171" i="12"/>
  <c r="G1171" i="12"/>
  <c r="B1171" i="12"/>
  <c r="B1170" i="12"/>
  <c r="F1169" i="12"/>
  <c r="E1169" i="12"/>
  <c r="H1168" i="12"/>
  <c r="B1168" i="12"/>
  <c r="H1167" i="12"/>
  <c r="G1167" i="12"/>
  <c r="B1167" i="12"/>
  <c r="B1166" i="12"/>
  <c r="F1165" i="12"/>
  <c r="E1165" i="12"/>
  <c r="H1164" i="12"/>
  <c r="B1164" i="12"/>
  <c r="H1163" i="12"/>
  <c r="G1163" i="12"/>
  <c r="B1163" i="12"/>
  <c r="B1162" i="12"/>
  <c r="F1161" i="12"/>
  <c r="E1161" i="12"/>
  <c r="B1160" i="12"/>
  <c r="H1158" i="12"/>
  <c r="B1158" i="12"/>
  <c r="A1155" i="12"/>
  <c r="F1150" i="12"/>
  <c r="F1170" i="12" s="1"/>
  <c r="E1150" i="12"/>
  <c r="E1151" i="12" s="1"/>
  <c r="E1171" i="12" s="1"/>
  <c r="F1146" i="12"/>
  <c r="F1127" i="12" s="1"/>
  <c r="E1146" i="12"/>
  <c r="E1127" i="12" s="1"/>
  <c r="F1142" i="12"/>
  <c r="F1123" i="12" s="1"/>
  <c r="E1142" i="12"/>
  <c r="A1135" i="12"/>
  <c r="B1135" i="12" s="1"/>
  <c r="B1177" i="12" s="1"/>
  <c r="B1130" i="12"/>
  <c r="B1149" i="12" s="1"/>
  <c r="B1186" i="12" s="1"/>
  <c r="B1126" i="12"/>
  <c r="B1145" i="12" s="1"/>
  <c r="B1122" i="12"/>
  <c r="B1141" i="12" s="1"/>
  <c r="B1161" i="12" s="1"/>
  <c r="A1120" i="12"/>
  <c r="B1120" i="12" s="1"/>
  <c r="B1176" i="12" s="1"/>
  <c r="A1114" i="12"/>
  <c r="B1114" i="12" s="1"/>
  <c r="F1111" i="12"/>
  <c r="F1117" i="12" s="1"/>
  <c r="F1139" i="12" s="1"/>
  <c r="F1140" i="12" s="1"/>
  <c r="F1160" i="12" s="1"/>
  <c r="E1111" i="12"/>
  <c r="E1117" i="12" s="1"/>
  <c r="B1111" i="12"/>
  <c r="B1139" i="12" s="1"/>
  <c r="F1110" i="12"/>
  <c r="F1116" i="12" s="1"/>
  <c r="F1137" i="12" s="1"/>
  <c r="F1138" i="12" s="1"/>
  <c r="F1158" i="12" s="1"/>
  <c r="E1110" i="12"/>
  <c r="E1116" i="12" s="1"/>
  <c r="B1110" i="12"/>
  <c r="B1116" i="12" s="1"/>
  <c r="B1109" i="12"/>
  <c r="B1115" i="12" s="1"/>
  <c r="B1136" i="12" s="1"/>
  <c r="A1108" i="12"/>
  <c r="B1108" i="12" s="1"/>
  <c r="A1099" i="12"/>
  <c r="A1098" i="12"/>
  <c r="B1098" i="12" s="1"/>
  <c r="A1094" i="12"/>
  <c r="B1094" i="12" s="1"/>
  <c r="A1090" i="12"/>
  <c r="B1090" i="12" s="1"/>
  <c r="A1081" i="12"/>
  <c r="B1081" i="12" s="1"/>
  <c r="A1078" i="12"/>
  <c r="A1075" i="12"/>
  <c r="C1075" i="12" s="1"/>
  <c r="A1071" i="12"/>
  <c r="B1071" i="12" s="1"/>
  <c r="B1068" i="12"/>
  <c r="B1067" i="12"/>
  <c r="B1066" i="12"/>
  <c r="B1065" i="12"/>
  <c r="B1064" i="12"/>
  <c r="B1063" i="12"/>
  <c r="B1062" i="12"/>
  <c r="B1061" i="12"/>
  <c r="B1060" i="12"/>
  <c r="B1059" i="12"/>
  <c r="B1058" i="12"/>
  <c r="B1057" i="12"/>
  <c r="A1055" i="12"/>
  <c r="A1051" i="12"/>
  <c r="B1051" i="12" s="1"/>
  <c r="B1082" i="12" s="1"/>
  <c r="A1047" i="12"/>
  <c r="B1047" i="12" s="1"/>
  <c r="A1044" i="12"/>
  <c r="B1044" i="12" s="1"/>
  <c r="E1042" i="12"/>
  <c r="B1042" i="12"/>
  <c r="E1041" i="12"/>
  <c r="B1041" i="12"/>
  <c r="A1040" i="12"/>
  <c r="B1040" i="12" s="1"/>
  <c r="A1033" i="12"/>
  <c r="B1022" i="12"/>
  <c r="B1019" i="12"/>
  <c r="A1017" i="12"/>
  <c r="B1017" i="12" s="1"/>
  <c r="A1009" i="12"/>
  <c r="B1009" i="12" s="1"/>
  <c r="A1005" i="12"/>
  <c r="B1005" i="12" s="1"/>
  <c r="L1003" i="12"/>
  <c r="A1000" i="12"/>
  <c r="B1000" i="12" s="1"/>
  <c r="A995" i="12"/>
  <c r="A990" i="12"/>
  <c r="B990" i="12" s="1"/>
  <c r="A985" i="12"/>
  <c r="B985" i="12" s="1"/>
  <c r="B982" i="12"/>
  <c r="B986" i="12" s="1"/>
  <c r="A979" i="12"/>
  <c r="B979" i="12" s="1"/>
  <c r="A973" i="12"/>
  <c r="C973" i="12" s="1"/>
  <c r="A969" i="12"/>
  <c r="B969" i="12" s="1"/>
  <c r="A963" i="12"/>
  <c r="C963" i="12" s="1"/>
  <c r="B960" i="12"/>
  <c r="B970" i="12" s="1"/>
  <c r="A959" i="12"/>
  <c r="B959" i="12" s="1"/>
  <c r="A955" i="12"/>
  <c r="B955" i="12" s="1"/>
  <c r="A951" i="12"/>
  <c r="B951" i="12" s="1"/>
  <c r="A946" i="12"/>
  <c r="B946" i="12" s="1"/>
  <c r="A941" i="12"/>
  <c r="B941" i="12" s="1"/>
  <c r="A936" i="12"/>
  <c r="B936" i="12" s="1"/>
  <c r="A931" i="12"/>
  <c r="B931" i="12" s="1"/>
  <c r="A926" i="12"/>
  <c r="B926" i="12" s="1"/>
  <c r="A921" i="12"/>
  <c r="B921" i="12" s="1"/>
  <c r="A915" i="12"/>
  <c r="A910" i="12"/>
  <c r="A905" i="12"/>
  <c r="A899" i="12"/>
  <c r="A893" i="12"/>
  <c r="A887" i="12"/>
  <c r="B887" i="12" s="1"/>
  <c r="A882" i="12"/>
  <c r="A855" i="12"/>
  <c r="B855" i="12" s="1"/>
  <c r="A851" i="12"/>
  <c r="B851" i="12" s="1"/>
  <c r="A847" i="12"/>
  <c r="A839" i="12"/>
  <c r="B839" i="12" s="1"/>
  <c r="A838" i="12"/>
  <c r="B838" i="12" s="1"/>
  <c r="O837" i="12"/>
  <c r="A834" i="12"/>
  <c r="B834" i="12" s="1"/>
  <c r="O833" i="12"/>
  <c r="A830" i="12"/>
  <c r="O829" i="12"/>
  <c r="A826" i="12"/>
  <c r="B826" i="12" s="1"/>
  <c r="O825" i="12"/>
  <c r="A822" i="12"/>
  <c r="O821" i="12"/>
  <c r="A818" i="12"/>
  <c r="B818" i="12" s="1"/>
  <c r="A814" i="12"/>
  <c r="B814" i="12" s="1"/>
  <c r="A810" i="12"/>
  <c r="A806" i="12"/>
  <c r="B806" i="12" s="1"/>
  <c r="O805" i="12"/>
  <c r="A802" i="12"/>
  <c r="B802" i="12" s="1"/>
  <c r="O801" i="12"/>
  <c r="A798" i="12"/>
  <c r="B798" i="12" s="1"/>
  <c r="A797" i="12"/>
  <c r="B797" i="12" s="1"/>
  <c r="A793" i="12"/>
  <c r="A789" i="12"/>
  <c r="A785" i="12"/>
  <c r="B785" i="12" s="1"/>
  <c r="A781" i="12"/>
  <c r="A774" i="12"/>
  <c r="B774" i="12" s="1"/>
  <c r="A768" i="12"/>
  <c r="B768" i="12" s="1"/>
  <c r="A762" i="12"/>
  <c r="B762" i="12" s="1"/>
  <c r="A758" i="12"/>
  <c r="B758" i="12" s="1"/>
  <c r="A752" i="12"/>
  <c r="C752" i="12" s="1"/>
  <c r="B749" i="12"/>
  <c r="B753" i="12" s="1"/>
  <c r="A746" i="12"/>
  <c r="A741" i="12"/>
  <c r="B741" i="12" s="1"/>
  <c r="L739" i="12"/>
  <c r="A737" i="12"/>
  <c r="B737" i="12" s="1"/>
  <c r="A731" i="12"/>
  <c r="B731" i="12" s="1"/>
  <c r="A727" i="12"/>
  <c r="A721" i="12"/>
  <c r="C721" i="12" s="1"/>
  <c r="A717" i="12"/>
  <c r="C717" i="12" s="1"/>
  <c r="A713" i="12"/>
  <c r="C713" i="12" s="1"/>
  <c r="A709" i="12"/>
  <c r="C709" i="12" s="1"/>
  <c r="A705" i="12"/>
  <c r="B705" i="12" s="1"/>
  <c r="A701" i="12"/>
  <c r="B701" i="12" s="1"/>
  <c r="A700" i="12"/>
  <c r="B700" i="12" s="1"/>
  <c r="B697" i="12"/>
  <c r="A696" i="12"/>
  <c r="B696" i="12" s="1"/>
  <c r="A695" i="12"/>
  <c r="B695" i="12" s="1"/>
  <c r="A691" i="12"/>
  <c r="B691" i="12" s="1"/>
  <c r="A687" i="12"/>
  <c r="B687" i="12" s="1"/>
  <c r="A683" i="12"/>
  <c r="B683" i="12" s="1"/>
  <c r="A679" i="12"/>
  <c r="B679" i="12" s="1"/>
  <c r="A675" i="12"/>
  <c r="B675" i="12" s="1"/>
  <c r="A671" i="12"/>
  <c r="B671" i="12" s="1"/>
  <c r="A667" i="12"/>
  <c r="B667" i="12" s="1"/>
  <c r="A663" i="12"/>
  <c r="B663" i="12" s="1"/>
  <c r="A659" i="12"/>
  <c r="B659" i="12" s="1"/>
  <c r="A658" i="12"/>
  <c r="B658" i="12" s="1"/>
  <c r="A655" i="12"/>
  <c r="B655" i="12" s="1"/>
  <c r="E653" i="12"/>
  <c r="B653" i="12"/>
  <c r="E652" i="12"/>
  <c r="B652" i="12"/>
  <c r="A651" i="12"/>
  <c r="B651" i="12" s="1"/>
  <c r="A646" i="12"/>
  <c r="A642" i="12"/>
  <c r="A637" i="12"/>
  <c r="B637" i="12" s="1"/>
  <c r="A632" i="12"/>
  <c r="B632" i="12" s="1"/>
  <c r="A627" i="12"/>
  <c r="B627" i="12" s="1"/>
  <c r="A622" i="12"/>
  <c r="B622" i="12" s="1"/>
  <c r="A617" i="12"/>
  <c r="B617" i="12" s="1"/>
  <c r="A612" i="12"/>
  <c r="B612" i="12" s="1"/>
  <c r="A607" i="12"/>
  <c r="B607" i="12" s="1"/>
  <c r="A602" i="12"/>
  <c r="B602" i="12" s="1"/>
  <c r="A597" i="12"/>
  <c r="A592" i="12"/>
  <c r="B592" i="12" s="1"/>
  <c r="A591" i="12"/>
  <c r="B591" i="12" s="1"/>
  <c r="A590" i="12"/>
  <c r="B590" i="12" s="1"/>
  <c r="B587" i="12"/>
  <c r="B586" i="12"/>
  <c r="B580" i="12"/>
  <c r="B579" i="12"/>
  <c r="E576" i="12"/>
  <c r="A574" i="12"/>
  <c r="A569" i="12"/>
  <c r="B569" i="12" s="1"/>
  <c r="A564" i="12"/>
  <c r="B564" i="12" s="1"/>
  <c r="A559" i="12"/>
  <c r="B559" i="12" s="1"/>
  <c r="B558" i="12"/>
  <c r="E555" i="12"/>
  <c r="A553" i="12"/>
  <c r="A548" i="12"/>
  <c r="B548" i="12" s="1"/>
  <c r="A542" i="12"/>
  <c r="A537" i="12"/>
  <c r="A532" i="12"/>
  <c r="B531" i="12"/>
  <c r="E528" i="12"/>
  <c r="A526" i="12"/>
  <c r="B526" i="12" s="1"/>
  <c r="A521" i="12"/>
  <c r="B521" i="12" s="1"/>
  <c r="A515" i="12"/>
  <c r="A499" i="12"/>
  <c r="C499" i="12" s="1"/>
  <c r="B496" i="12"/>
  <c r="B512" i="12" s="1"/>
  <c r="B495" i="12"/>
  <c r="B511" i="12" s="1"/>
  <c r="B494" i="12"/>
  <c r="B510" i="12" s="1"/>
  <c r="B493" i="12"/>
  <c r="B509" i="12" s="1"/>
  <c r="B492" i="12"/>
  <c r="B508" i="12" s="1"/>
  <c r="B491" i="12"/>
  <c r="B507" i="12" s="1"/>
  <c r="B490" i="12"/>
  <c r="B506" i="12" s="1"/>
  <c r="B489" i="12"/>
  <c r="B505" i="12" s="1"/>
  <c r="B488" i="12"/>
  <c r="B504" i="12" s="1"/>
  <c r="B487" i="12"/>
  <c r="B503" i="12" s="1"/>
  <c r="B486" i="12"/>
  <c r="B502" i="12" s="1"/>
  <c r="B485" i="12"/>
  <c r="B501" i="12" s="1"/>
  <c r="A483" i="12"/>
  <c r="C483" i="12" s="1"/>
  <c r="H480" i="12"/>
  <c r="F480" i="12"/>
  <c r="E480" i="12"/>
  <c r="B480" i="12"/>
  <c r="H479" i="12"/>
  <c r="F479" i="12"/>
  <c r="E479" i="12"/>
  <c r="B479" i="12"/>
  <c r="H478" i="12"/>
  <c r="F478" i="12"/>
  <c r="E478" i="12"/>
  <c r="B478" i="12"/>
  <c r="H477" i="12"/>
  <c r="F477" i="12"/>
  <c r="E477" i="12"/>
  <c r="B477" i="12"/>
  <c r="H476" i="12"/>
  <c r="F476" i="12"/>
  <c r="E476" i="12"/>
  <c r="B476" i="12"/>
  <c r="H475" i="12"/>
  <c r="F475" i="12"/>
  <c r="E475" i="12"/>
  <c r="B475" i="12"/>
  <c r="H474" i="12"/>
  <c r="F474" i="12"/>
  <c r="E474" i="12"/>
  <c r="B474" i="12"/>
  <c r="H473" i="12"/>
  <c r="F473" i="12"/>
  <c r="E473" i="12"/>
  <c r="B473" i="12"/>
  <c r="H472" i="12"/>
  <c r="F472" i="12"/>
  <c r="E472" i="12"/>
  <c r="B472" i="12"/>
  <c r="H471" i="12"/>
  <c r="F471" i="12"/>
  <c r="E471" i="12"/>
  <c r="B471" i="12"/>
  <c r="H470" i="12"/>
  <c r="F470" i="12"/>
  <c r="E470" i="12"/>
  <c r="B470" i="12"/>
  <c r="H469" i="12"/>
  <c r="F469" i="12"/>
  <c r="E469" i="12"/>
  <c r="B469" i="12"/>
  <c r="A466" i="12"/>
  <c r="B466" i="12" s="1"/>
  <c r="F463" i="12"/>
  <c r="E463" i="12"/>
  <c r="F462" i="12"/>
  <c r="E462" i="12"/>
  <c r="E495" i="12" s="1"/>
  <c r="F461" i="12"/>
  <c r="E461" i="12"/>
  <c r="E494" i="12" s="1"/>
  <c r="F460" i="12"/>
  <c r="E460" i="12"/>
  <c r="E493" i="12" s="1"/>
  <c r="F459" i="12"/>
  <c r="E459" i="12"/>
  <c r="F458" i="12"/>
  <c r="E458" i="12"/>
  <c r="F457" i="12"/>
  <c r="E457" i="12"/>
  <c r="E490" i="12" s="1"/>
  <c r="F456" i="12"/>
  <c r="E456" i="12"/>
  <c r="E489" i="12" s="1"/>
  <c r="F455" i="12"/>
  <c r="E455" i="12"/>
  <c r="F454" i="12"/>
  <c r="E454" i="12"/>
  <c r="E487" i="12" s="1"/>
  <c r="F453" i="12"/>
  <c r="E453" i="12"/>
  <c r="E486" i="12" s="1"/>
  <c r="F452" i="12"/>
  <c r="E452" i="12"/>
  <c r="E485" i="12" s="1"/>
  <c r="A449" i="12"/>
  <c r="B449" i="12" s="1"/>
  <c r="B448" i="12"/>
  <c r="E445" i="12"/>
  <c r="A444" i="12"/>
  <c r="A439" i="12"/>
  <c r="B439" i="12" s="1"/>
  <c r="A434" i="12"/>
  <c r="B434" i="12" s="1"/>
  <c r="A429" i="12"/>
  <c r="B429" i="12" s="1"/>
  <c r="E426" i="12"/>
  <c r="A425" i="12"/>
  <c r="B425" i="12" s="1"/>
  <c r="A420" i="12"/>
  <c r="B420" i="12" s="1"/>
  <c r="A415" i="12"/>
  <c r="A410" i="12"/>
  <c r="B410" i="12" s="1"/>
  <c r="E407" i="12"/>
  <c r="A406" i="12"/>
  <c r="A401" i="12"/>
  <c r="B401" i="12" s="1"/>
  <c r="H398" i="12"/>
  <c r="H743" i="12" s="1"/>
  <c r="H749" i="12" s="1"/>
  <c r="B398" i="12"/>
  <c r="B397" i="12"/>
  <c r="A396" i="12"/>
  <c r="B396" i="12" s="1"/>
  <c r="A389" i="12"/>
  <c r="B389" i="12" s="1"/>
  <c r="M388" i="12"/>
  <c r="D383" i="12" s="1"/>
  <c r="A383" i="12"/>
  <c r="C383" i="12" s="1"/>
  <c r="M382" i="12"/>
  <c r="D377" i="12" s="1"/>
  <c r="A377" i="12"/>
  <c r="C377" i="12" s="1"/>
  <c r="M376" i="12"/>
  <c r="D371" i="12" s="1"/>
  <c r="A371" i="12"/>
  <c r="C371" i="12" s="1"/>
  <c r="M370" i="12"/>
  <c r="D365" i="12" s="1"/>
  <c r="A365" i="12"/>
  <c r="C365" i="12" s="1"/>
  <c r="M364" i="12"/>
  <c r="D359" i="12" s="1"/>
  <c r="A359" i="12"/>
  <c r="B359" i="12" s="1"/>
  <c r="A353" i="12"/>
  <c r="B353" i="12" s="1"/>
  <c r="A347" i="12"/>
  <c r="A339" i="12"/>
  <c r="A331" i="12"/>
  <c r="A326" i="12"/>
  <c r="B326" i="12" s="1"/>
  <c r="N323" i="12"/>
  <c r="N325" i="12" s="1"/>
  <c r="A321" i="12"/>
  <c r="A320" i="12"/>
  <c r="B320" i="12" s="1"/>
  <c r="A319" i="12"/>
  <c r="E503" i="12" l="1"/>
  <c r="E509" i="12"/>
  <c r="C564" i="12"/>
  <c r="C521" i="12"/>
  <c r="C1040" i="12"/>
  <c r="D8" i="15"/>
  <c r="CR8" i="15" s="1"/>
  <c r="F8" i="15"/>
  <c r="G8" i="15"/>
  <c r="C8" i="15"/>
  <c r="CZ8" i="15" s="1"/>
  <c r="BH8" i="15"/>
  <c r="F14" i="15"/>
  <c r="G14" i="15"/>
  <c r="D14" i="15"/>
  <c r="C14" i="15"/>
  <c r="D20" i="15"/>
  <c r="G20" i="15"/>
  <c r="C20" i="15"/>
  <c r="F20" i="15"/>
  <c r="E20" i="15" s="1"/>
  <c r="D23" i="15"/>
  <c r="G23" i="15"/>
  <c r="C23" i="15"/>
  <c r="F23" i="15"/>
  <c r="E23" i="15" s="1"/>
  <c r="I23" i="15" s="1"/>
  <c r="O6" i="14"/>
  <c r="O5" i="14"/>
  <c r="O4" i="14"/>
  <c r="O3" i="14"/>
  <c r="O12" i="14"/>
  <c r="O14" i="14"/>
  <c r="O7" i="14"/>
  <c r="O13" i="14"/>
  <c r="O11" i="14"/>
  <c r="O10" i="14"/>
  <c r="O9" i="14"/>
  <c r="O8" i="14"/>
  <c r="F26" i="15"/>
  <c r="E26" i="15" s="1"/>
  <c r="D26" i="15"/>
  <c r="C26" i="15"/>
  <c r="G26" i="15"/>
  <c r="I20" i="15"/>
  <c r="D9" i="15"/>
  <c r="CR9" i="15" s="1"/>
  <c r="G9" i="15"/>
  <c r="C9" i="15"/>
  <c r="BH9" i="15"/>
  <c r="F9" i="15"/>
  <c r="E9" i="15" s="1"/>
  <c r="D18" i="15"/>
  <c r="F18" i="15"/>
  <c r="C18" i="15"/>
  <c r="G18" i="15"/>
  <c r="D21" i="15"/>
  <c r="C21" i="15"/>
  <c r="F21" i="15"/>
  <c r="G21" i="15"/>
  <c r="A6" i="15"/>
  <c r="F15" i="15"/>
  <c r="C62" i="15"/>
  <c r="D65" i="15"/>
  <c r="D32" i="15"/>
  <c r="BH58" i="15"/>
  <c r="BH36" i="15"/>
  <c r="D36" i="15"/>
  <c r="BH39" i="15"/>
  <c r="F65" i="15"/>
  <c r="BH54" i="15"/>
  <c r="G15" i="15"/>
  <c r="E15" i="15" s="1"/>
  <c r="I15" i="15" s="1"/>
  <c r="F55" i="15"/>
  <c r="C66" i="15"/>
  <c r="D40" i="15"/>
  <c r="G54" i="15"/>
  <c r="C45" i="15"/>
  <c r="G68" i="15"/>
  <c r="F36" i="15"/>
  <c r="F62" i="15"/>
  <c r="D59" i="15"/>
  <c r="C38" i="15"/>
  <c r="F52" i="15"/>
  <c r="G49" i="15"/>
  <c r="BH32" i="15"/>
  <c r="D11" i="15"/>
  <c r="CR11" i="15" s="1"/>
  <c r="BH48" i="15"/>
  <c r="F42" i="15"/>
  <c r="BH51" i="15"/>
  <c r="BH28" i="15"/>
  <c r="BH66" i="15"/>
  <c r="BH31" i="15"/>
  <c r="C28" i="15"/>
  <c r="F67" i="15"/>
  <c r="D15" i="15"/>
  <c r="G28" i="15"/>
  <c r="D52" i="15"/>
  <c r="G66" i="15"/>
  <c r="G30" i="15"/>
  <c r="C57" i="15"/>
  <c r="F48" i="15"/>
  <c r="G10" i="15"/>
  <c r="D35" i="15"/>
  <c r="C50" i="15"/>
  <c r="D58" i="15"/>
  <c r="D56" i="15"/>
  <c r="BH45" i="15"/>
  <c r="F28" i="15"/>
  <c r="BH60" i="15"/>
  <c r="G62" i="15"/>
  <c r="BH63" i="15"/>
  <c r="BH41" i="15"/>
  <c r="C51" i="15"/>
  <c r="BH44" i="15"/>
  <c r="C41" i="15"/>
  <c r="G16" i="15"/>
  <c r="G41" i="15"/>
  <c r="D64" i="15"/>
  <c r="G43" i="15"/>
  <c r="F10" i="15"/>
  <c r="F60" i="15"/>
  <c r="G33" i="15"/>
  <c r="D47" i="15"/>
  <c r="D41" i="15"/>
  <c r="D46" i="15"/>
  <c r="F16" i="15"/>
  <c r="C63" i="15"/>
  <c r="G39" i="15"/>
  <c r="C15" i="15"/>
  <c r="BH10" i="15"/>
  <c r="BH53" i="15"/>
  <c r="D61" i="15"/>
  <c r="BH56" i="15"/>
  <c r="C53" i="15"/>
  <c r="CZ53" i="15" s="1"/>
  <c r="D39" i="15"/>
  <c r="G53" i="15"/>
  <c r="C31" i="15"/>
  <c r="G55" i="15"/>
  <c r="G46" i="15"/>
  <c r="G35" i="15"/>
  <c r="F64" i="15"/>
  <c r="D43" i="15"/>
  <c r="D53" i="15"/>
  <c r="D29" i="15"/>
  <c r="BH57" i="15"/>
  <c r="BH38" i="15"/>
  <c r="D48" i="15"/>
  <c r="BH65" i="15"/>
  <c r="BH68" i="15"/>
  <c r="C65" i="15"/>
  <c r="CZ65" i="15" s="1"/>
  <c r="G40" i="15"/>
  <c r="D51" i="15"/>
  <c r="G65" i="15"/>
  <c r="C44" i="15"/>
  <c r="G67" i="15"/>
  <c r="F35" i="15"/>
  <c r="E35" i="15" s="1"/>
  <c r="C10" i="15"/>
  <c r="G58" i="15"/>
  <c r="G47" i="15"/>
  <c r="F51" i="15"/>
  <c r="G36" i="15"/>
  <c r="F63" i="15"/>
  <c r="D42" i="15"/>
  <c r="BH35" i="15"/>
  <c r="F41" i="15"/>
  <c r="E41" i="15" s="1"/>
  <c r="BH50" i="15"/>
  <c r="F54" i="15"/>
  <c r="E54" i="15" s="1"/>
  <c r="G52" i="15"/>
  <c r="D63" i="15"/>
  <c r="F32" i="15"/>
  <c r="E32" i="15" s="1"/>
  <c r="C56" i="15"/>
  <c r="CZ56" i="15" s="1"/>
  <c r="F47" i="15"/>
  <c r="E47" i="15" s="1"/>
  <c r="G32" i="15"/>
  <c r="C11" i="15"/>
  <c r="CZ11" i="15" s="1"/>
  <c r="G59" i="15"/>
  <c r="D57" i="15"/>
  <c r="G60" i="15"/>
  <c r="G37" i="15"/>
  <c r="D54" i="15"/>
  <c r="BH47" i="15"/>
  <c r="G51" i="15"/>
  <c r="BH62" i="15"/>
  <c r="C40" i="15"/>
  <c r="CZ40" i="15" s="1"/>
  <c r="BH30" i="15"/>
  <c r="D38" i="15"/>
  <c r="G64" i="15"/>
  <c r="C30" i="15"/>
  <c r="F45" i="15"/>
  <c r="C68" i="15"/>
  <c r="F59" i="15"/>
  <c r="E59" i="15" s="1"/>
  <c r="G45" i="15"/>
  <c r="C35" i="15"/>
  <c r="CZ35" i="15" s="1"/>
  <c r="D30" i="15"/>
  <c r="G11" i="15"/>
  <c r="F39" i="15"/>
  <c r="E39" i="15" s="1"/>
  <c r="D66" i="15"/>
  <c r="C64" i="15"/>
  <c r="CZ64" i="15" s="1"/>
  <c r="BH59" i="15"/>
  <c r="BH40" i="15"/>
  <c r="D60" i="15"/>
  <c r="BH43" i="15"/>
  <c r="D50" i="15"/>
  <c r="C43" i="15"/>
  <c r="CZ43" i="15" s="1"/>
  <c r="F57" i="15"/>
  <c r="C33" i="15"/>
  <c r="CZ33" i="15" s="1"/>
  <c r="G57" i="15"/>
  <c r="C47" i="15"/>
  <c r="CZ47" i="15" s="1"/>
  <c r="C36" i="15"/>
  <c r="CZ36" i="15" s="1"/>
  <c r="D33" i="15"/>
  <c r="G48" i="15"/>
  <c r="F40" i="15"/>
  <c r="BH37" i="15"/>
  <c r="D37" i="15"/>
  <c r="BH52" i="15"/>
  <c r="F66" i="15"/>
  <c r="E66" i="15" s="1"/>
  <c r="BH55" i="15"/>
  <c r="D62" i="15"/>
  <c r="F31" i="15"/>
  <c r="C55" i="15"/>
  <c r="CZ55" i="15" s="1"/>
  <c r="C46" i="15"/>
  <c r="CZ46" i="15" s="1"/>
  <c r="C59" i="15"/>
  <c r="CZ59" i="15" s="1"/>
  <c r="C48" i="15"/>
  <c r="CZ48" i="15" s="1"/>
  <c r="C37" i="15"/>
  <c r="D68" i="15"/>
  <c r="D55" i="15"/>
  <c r="D67" i="15"/>
  <c r="G38" i="15"/>
  <c r="F29" i="15"/>
  <c r="BH49" i="15"/>
  <c r="F53" i="15"/>
  <c r="BH64" i="15"/>
  <c r="BH67" i="15"/>
  <c r="C29" i="15"/>
  <c r="CZ29" i="15" s="1"/>
  <c r="F44" i="15"/>
  <c r="C67" i="15"/>
  <c r="F33" i="15"/>
  <c r="E33" i="15" s="1"/>
  <c r="G31" i="15"/>
  <c r="C58" i="15"/>
  <c r="CZ58" i="15" s="1"/>
  <c r="F37" i="15"/>
  <c r="E37" i="15" s="1"/>
  <c r="C60" i="15"/>
  <c r="CZ60" i="15" s="1"/>
  <c r="C49" i="15"/>
  <c r="D10" i="15"/>
  <c r="D28" i="15"/>
  <c r="D44" i="15"/>
  <c r="BH33" i="15"/>
  <c r="G50" i="15"/>
  <c r="BH61" i="15"/>
  <c r="G63" i="15"/>
  <c r="C39" i="15"/>
  <c r="CZ39" i="15" s="1"/>
  <c r="BH29" i="15"/>
  <c r="C52" i="15"/>
  <c r="CZ52" i="15" s="1"/>
  <c r="F30" i="15"/>
  <c r="E30" i="15" s="1"/>
  <c r="C42" i="15"/>
  <c r="CZ42" i="15" s="1"/>
  <c r="F56" i="15"/>
  <c r="D16" i="15"/>
  <c r="G29" i="15"/>
  <c r="F46" i="15"/>
  <c r="E46" i="15" s="1"/>
  <c r="G44" i="15"/>
  <c r="F11" i="15"/>
  <c r="E11" i="15" s="1"/>
  <c r="F49" i="15"/>
  <c r="E49" i="15" s="1"/>
  <c r="F38" i="15"/>
  <c r="E38" i="15" s="1"/>
  <c r="C61" i="15"/>
  <c r="CZ61" i="15" s="1"/>
  <c r="D45" i="15"/>
  <c r="D31" i="15"/>
  <c r="G61" i="15"/>
  <c r="BH46" i="15"/>
  <c r="C16" i="15"/>
  <c r="BH11" i="15"/>
  <c r="D49" i="15"/>
  <c r="BH42" i="15"/>
  <c r="F43" i="15"/>
  <c r="E43" i="15" s="1"/>
  <c r="C54" i="15"/>
  <c r="CZ54" i="15" s="1"/>
  <c r="F68" i="15"/>
  <c r="E68" i="15" s="1"/>
  <c r="G42" i="15"/>
  <c r="F58" i="15"/>
  <c r="E58" i="15" s="1"/>
  <c r="C32" i="15"/>
  <c r="CZ32" i="15" s="1"/>
  <c r="G56" i="15"/>
  <c r="F61" i="15"/>
  <c r="F50" i="15"/>
  <c r="E50" i="15" s="1"/>
  <c r="D24" i="15"/>
  <c r="G24" i="15"/>
  <c r="F24" i="15"/>
  <c r="E24" i="15" s="1"/>
  <c r="I24" i="15" s="1"/>
  <c r="C24" i="15"/>
  <c r="F27" i="15"/>
  <c r="C27" i="15"/>
  <c r="G27" i="15"/>
  <c r="E27" i="15" s="1"/>
  <c r="D27" i="15"/>
  <c r="I9" i="15"/>
  <c r="I26" i="15"/>
  <c r="G13" i="15"/>
  <c r="BH13" i="15"/>
  <c r="C13" i="15"/>
  <c r="CZ13" i="15" s="1"/>
  <c r="D13" i="15"/>
  <c r="F13" i="15"/>
  <c r="D19" i="15"/>
  <c r="F19" i="15"/>
  <c r="E19" i="15" s="1"/>
  <c r="I19" i="15" s="1"/>
  <c r="C19" i="15"/>
  <c r="G19" i="15"/>
  <c r="D22" i="15"/>
  <c r="F22" i="15"/>
  <c r="G22" i="15"/>
  <c r="C22" i="15"/>
  <c r="D7" i="15"/>
  <c r="CR7" i="15" s="1"/>
  <c r="C7" i="15"/>
  <c r="BH7" i="15"/>
  <c r="F7" i="15"/>
  <c r="E7" i="15" s="1"/>
  <c r="G7" i="15"/>
  <c r="G25" i="15"/>
  <c r="D25" i="15"/>
  <c r="C25" i="15"/>
  <c r="F25" i="15"/>
  <c r="E25" i="15" s="1"/>
  <c r="I25" i="15" s="1"/>
  <c r="I27" i="15"/>
  <c r="D321" i="12"/>
  <c r="N227" i="12"/>
  <c r="D223" i="12" s="1"/>
  <c r="B847" i="12"/>
  <c r="C617" i="12"/>
  <c r="N1592" i="12"/>
  <c r="N1604" i="12"/>
  <c r="F1131" i="12"/>
  <c r="E502" i="12"/>
  <c r="O1240" i="12"/>
  <c r="E505" i="12"/>
  <c r="E511" i="12"/>
  <c r="O1231" i="12"/>
  <c r="C592" i="12"/>
  <c r="O1248" i="12"/>
  <c r="C1279" i="12"/>
  <c r="BH150" i="15"/>
  <c r="BH158" i="15"/>
  <c r="BH214" i="15"/>
  <c r="BH140" i="15"/>
  <c r="BH205" i="15"/>
  <c r="BH151" i="15"/>
  <c r="BH147" i="15"/>
  <c r="BH111" i="15"/>
  <c r="BH203" i="15"/>
  <c r="BH193" i="15"/>
  <c r="BH189" i="15"/>
  <c r="BH106" i="15"/>
  <c r="BH121" i="15"/>
  <c r="BH185" i="15"/>
  <c r="BH100" i="15"/>
  <c r="BH180" i="15"/>
  <c r="BH166" i="15"/>
  <c r="BH200" i="15"/>
  <c r="BH122" i="15"/>
  <c r="BH131" i="15"/>
  <c r="BH213" i="15"/>
  <c r="BH197" i="15"/>
  <c r="BH177" i="15"/>
  <c r="BH128" i="15"/>
  <c r="BH154" i="15"/>
  <c r="BH115" i="15"/>
  <c r="BH96" i="15"/>
  <c r="BH143" i="15"/>
  <c r="BH107" i="15"/>
  <c r="BH171" i="15"/>
  <c r="BH190" i="15"/>
  <c r="BH217" i="15"/>
  <c r="BH133" i="15"/>
  <c r="BH178" i="15"/>
  <c r="BH176" i="15"/>
  <c r="BH120" i="15"/>
  <c r="BH139" i="15"/>
  <c r="BH142" i="15"/>
  <c r="BH165" i="15"/>
  <c r="BH161" i="15"/>
  <c r="BH187" i="15"/>
  <c r="BH138" i="15"/>
  <c r="BH89" i="15"/>
  <c r="BH173" i="15"/>
  <c r="BH170" i="15"/>
  <c r="BH152" i="15"/>
  <c r="BH91" i="15"/>
  <c r="BH105" i="15"/>
  <c r="BH210" i="15"/>
  <c r="BH204" i="15"/>
  <c r="BH194" i="15"/>
  <c r="BH162" i="15"/>
  <c r="BH160" i="15"/>
  <c r="BH117" i="15"/>
  <c r="BH181" i="15"/>
  <c r="BH99" i="15"/>
  <c r="BH102" i="15"/>
  <c r="BH216" i="15"/>
  <c r="BH198" i="15"/>
  <c r="BH188" i="15"/>
  <c r="BH112" i="15"/>
  <c r="BH95" i="15"/>
  <c r="BH108" i="15"/>
  <c r="BH153" i="15"/>
  <c r="BH211" i="15"/>
  <c r="BH207" i="15"/>
  <c r="BH201" i="15"/>
  <c r="BH97" i="15"/>
  <c r="BH156" i="15"/>
  <c r="BH110" i="15"/>
  <c r="BH168" i="15"/>
  <c r="BH137" i="15"/>
  <c r="BH149" i="15"/>
  <c r="BH145" i="15"/>
  <c r="BH109" i="15"/>
  <c r="BH104" i="15"/>
  <c r="BH119" i="15"/>
  <c r="BH195" i="15"/>
  <c r="BH94" i="15"/>
  <c r="BH184" i="15"/>
  <c r="BH146" i="15"/>
  <c r="BH130" i="15"/>
  <c r="BH182" i="15"/>
  <c r="BH186" i="15"/>
  <c r="BH127" i="15"/>
  <c r="BH114" i="15"/>
  <c r="BH175" i="15"/>
  <c r="BH129" i="15"/>
  <c r="BH199" i="15"/>
  <c r="BH191" i="15"/>
  <c r="BH113" i="15"/>
  <c r="BH98" i="15"/>
  <c r="BH164" i="15"/>
  <c r="BH93" i="15"/>
  <c r="BH103" i="15"/>
  <c r="BH169" i="15"/>
  <c r="BH159" i="15"/>
  <c r="BH136" i="15"/>
  <c r="BH219" i="15"/>
  <c r="BH215" i="15"/>
  <c r="BH206" i="15"/>
  <c r="BH132" i="15"/>
  <c r="BH135" i="15"/>
  <c r="BH172" i="15"/>
  <c r="BH220" i="15"/>
  <c r="BH174" i="15"/>
  <c r="BH167" i="15"/>
  <c r="BH163" i="15"/>
  <c r="BH179" i="15"/>
  <c r="BH183" i="15"/>
  <c r="BH157" i="15"/>
  <c r="BH212" i="15"/>
  <c r="BH125" i="15"/>
  <c r="BH208" i="15"/>
  <c r="BH202" i="15"/>
  <c r="BH192" i="15"/>
  <c r="BH134" i="15"/>
  <c r="BH92" i="15"/>
  <c r="BH126" i="15"/>
  <c r="BH101" i="15"/>
  <c r="BH118" i="15"/>
  <c r="BH148" i="15"/>
  <c r="BH123" i="15"/>
  <c r="BH218" i="15"/>
  <c r="BH196" i="15"/>
  <c r="BH90" i="15"/>
  <c r="BH155" i="15"/>
  <c r="BH124" i="15"/>
  <c r="BH209" i="15"/>
  <c r="K461" i="12"/>
  <c r="N461" i="12" s="1"/>
  <c r="K460" i="12"/>
  <c r="O460" i="12" s="1"/>
  <c r="K459" i="12"/>
  <c r="N459" i="12" s="1"/>
  <c r="K453" i="12"/>
  <c r="O453" i="12" s="1"/>
  <c r="O2" i="14"/>
  <c r="K463" i="12"/>
  <c r="C425" i="12"/>
  <c r="C439" i="12"/>
  <c r="C655" i="12"/>
  <c r="C1090" i="12"/>
  <c r="O1266" i="12"/>
  <c r="G1287" i="12"/>
  <c r="G1437" i="12" s="1"/>
  <c r="O1437" i="12" s="1"/>
  <c r="G1309" i="12"/>
  <c r="G1551" i="12" s="1"/>
  <c r="G1597" i="12" s="1"/>
  <c r="B1382" i="12"/>
  <c r="B365" i="12"/>
  <c r="G1314" i="12"/>
  <c r="G1556" i="12" s="1"/>
  <c r="G1602" i="12" s="1"/>
  <c r="E510" i="12"/>
  <c r="O1229" i="12"/>
  <c r="B1351" i="12"/>
  <c r="B1397" i="12" s="1"/>
  <c r="B1709" i="12" s="1"/>
  <c r="N1605" i="12"/>
  <c r="B1363" i="12"/>
  <c r="B1409" i="12" s="1"/>
  <c r="B1721" i="12" s="1"/>
  <c r="G1307" i="12"/>
  <c r="G1549" i="12" s="1"/>
  <c r="G1595" i="12" s="1"/>
  <c r="O1595" i="12" s="1"/>
  <c r="B1342" i="12"/>
  <c r="B1654" i="12" s="1"/>
  <c r="N1570" i="12"/>
  <c r="N1574" i="12"/>
  <c r="C1017" i="12"/>
  <c r="O1258" i="12"/>
  <c r="C466" i="12"/>
  <c r="C569" i="12"/>
  <c r="C1135" i="12"/>
  <c r="I1217" i="12"/>
  <c r="I1218" i="12" s="1"/>
  <c r="I1220" i="12" s="1"/>
  <c r="D1214" i="12" s="1"/>
  <c r="O1233" i="12"/>
  <c r="O1241" i="12"/>
  <c r="N1603" i="12"/>
  <c r="F1143" i="12"/>
  <c r="F1124" i="12" s="1"/>
  <c r="O1260" i="12"/>
  <c r="G1289" i="12"/>
  <c r="G1531" i="12" s="1"/>
  <c r="G1577" i="12" s="1"/>
  <c r="G1320" i="12"/>
  <c r="G1562" i="12" s="1"/>
  <c r="G1608" i="12" s="1"/>
  <c r="B1354" i="12"/>
  <c r="B1666" i="12" s="1"/>
  <c r="B1439" i="12"/>
  <c r="B1485" i="12" s="1"/>
  <c r="B1751" i="12" s="1"/>
  <c r="N1584" i="12"/>
  <c r="N1596" i="12"/>
  <c r="N1600" i="12"/>
  <c r="F1162" i="12"/>
  <c r="O1252" i="12"/>
  <c r="B1345" i="12"/>
  <c r="B1657" i="12" s="1"/>
  <c r="B1463" i="12"/>
  <c r="B1509" i="12" s="1"/>
  <c r="B1775" i="12" s="1"/>
  <c r="G1281" i="12"/>
  <c r="G1523" i="12" s="1"/>
  <c r="B1169" i="12"/>
  <c r="O1245" i="12"/>
  <c r="O1253" i="12"/>
  <c r="N1581" i="12"/>
  <c r="N1585" i="12"/>
  <c r="N1597" i="12"/>
  <c r="N1601" i="12"/>
  <c r="C818" i="12"/>
  <c r="B1378" i="12"/>
  <c r="B1690" i="12" s="1"/>
  <c r="C420" i="12"/>
  <c r="B713" i="12"/>
  <c r="F1151" i="12"/>
  <c r="F1171" i="12" s="1"/>
  <c r="M1212" i="12"/>
  <c r="O1246" i="12"/>
  <c r="C410" i="12"/>
  <c r="B1369" i="12"/>
  <c r="B1415" i="12" s="1"/>
  <c r="B1727" i="12" s="1"/>
  <c r="N1586" i="12"/>
  <c r="N1590" i="12"/>
  <c r="B1360" i="12"/>
  <c r="B1672" i="12" s="1"/>
  <c r="N1602" i="12"/>
  <c r="C642" i="12"/>
  <c r="B709" i="12"/>
  <c r="B499" i="12"/>
  <c r="C798" i="12"/>
  <c r="C802" i="12"/>
  <c r="CA24" i="15"/>
  <c r="CM24" i="15" s="1"/>
  <c r="CA25" i="15"/>
  <c r="CM25" i="15" s="1"/>
  <c r="AC27" i="15"/>
  <c r="AD27" i="15"/>
  <c r="AE27" i="15"/>
  <c r="AC23" i="15"/>
  <c r="AC24" i="15"/>
  <c r="AC25" i="15"/>
  <c r="AD21" i="15"/>
  <c r="CA22" i="15"/>
  <c r="CM22" i="15" s="1"/>
  <c r="AD24" i="15"/>
  <c r="AD25" i="15"/>
  <c r="CA21" i="15"/>
  <c r="CM21" i="15" s="1"/>
  <c r="AD20" i="15"/>
  <c r="CA23" i="15"/>
  <c r="CF23" i="15" s="1"/>
  <c r="AC26" i="15"/>
  <c r="AD26" i="15"/>
  <c r="CA19" i="15"/>
  <c r="CM19" i="15" s="1"/>
  <c r="CA20" i="15"/>
  <c r="CM20" i="15" s="1"/>
  <c r="K455" i="12"/>
  <c r="M1060" i="12" s="1"/>
  <c r="N1060" i="12" s="1"/>
  <c r="CA26" i="15"/>
  <c r="CM26" i="15" s="1"/>
  <c r="AD19" i="15"/>
  <c r="AD22" i="15"/>
  <c r="AD23" i="15"/>
  <c r="P24" i="15"/>
  <c r="AN11" i="16"/>
  <c r="K8" i="13"/>
  <c r="K11" i="13"/>
  <c r="DL11" i="13" s="1"/>
  <c r="AE14" i="13"/>
  <c r="E587" i="12"/>
  <c r="K587" i="12" s="1"/>
  <c r="K589" i="12" s="1"/>
  <c r="D585" i="12" s="1"/>
  <c r="CL17" i="13"/>
  <c r="T18" i="13"/>
  <c r="CS18" i="13"/>
  <c r="BY19" i="13"/>
  <c r="CN22" i="13"/>
  <c r="T25" i="13"/>
  <c r="CN26" i="13"/>
  <c r="AF27" i="13"/>
  <c r="BQ15" i="13"/>
  <c r="AJ33" i="16"/>
  <c r="M1105" i="12" s="1"/>
  <c r="M1186" i="12" s="1"/>
  <c r="K1186" i="12" s="1"/>
  <c r="AY14" i="13"/>
  <c r="AZ14" i="13" s="1"/>
  <c r="CN15" i="13"/>
  <c r="CQ19" i="13"/>
  <c r="AF20" i="13"/>
  <c r="CN24" i="13"/>
  <c r="P18" i="15"/>
  <c r="AK33" i="16"/>
  <c r="U7" i="13"/>
  <c r="CJ8" i="13"/>
  <c r="X11" i="13"/>
  <c r="BN14" i="13"/>
  <c r="CO15" i="13"/>
  <c r="AC18" i="13"/>
  <c r="CS19" i="13"/>
  <c r="AI20" i="13"/>
  <c r="CO24" i="13"/>
  <c r="CU27" i="13"/>
  <c r="CV27" i="13" s="1"/>
  <c r="AC28" i="13"/>
  <c r="AN14" i="16"/>
  <c r="BX11" i="13"/>
  <c r="BZ11" i="13" s="1"/>
  <c r="CF14" i="13"/>
  <c r="CI14" i="13" s="1"/>
  <c r="T15" i="13"/>
  <c r="CP15" i="13"/>
  <c r="AE18" i="13"/>
  <c r="DA19" i="13"/>
  <c r="T22" i="13"/>
  <c r="K24" i="13"/>
  <c r="CP24" i="13"/>
  <c r="AD28" i="13"/>
  <c r="AL12" i="16"/>
  <c r="AL14" i="16"/>
  <c r="K6" i="13"/>
  <c r="AI6" i="13" s="1"/>
  <c r="CU11" i="13"/>
  <c r="CW11" i="13" s="1"/>
  <c r="CU15" i="13"/>
  <c r="AI28" i="13"/>
  <c r="AN10" i="16"/>
  <c r="AM14" i="16"/>
  <c r="AG6" i="13"/>
  <c r="CN14" i="13"/>
  <c r="H18" i="13"/>
  <c r="AS18" i="13" s="1"/>
  <c r="BR19" i="13"/>
  <c r="BN20" i="13"/>
  <c r="AH22" i="13"/>
  <c r="DA25" i="13"/>
  <c r="CQ25" i="13"/>
  <c r="AD26" i="13"/>
  <c r="K27" i="13"/>
  <c r="BD27" i="13" s="1"/>
  <c r="H22" i="13"/>
  <c r="CO14" i="13"/>
  <c r="AC15" i="13"/>
  <c r="AY18" i="13"/>
  <c r="U19" i="13"/>
  <c r="CT25" i="13"/>
  <c r="Z33" i="16"/>
  <c r="O431" i="12" s="1"/>
  <c r="O433" i="12" s="1"/>
  <c r="D429" i="12" s="1"/>
  <c r="CF6" i="13"/>
  <c r="U14" i="13"/>
  <c r="CT14" i="13"/>
  <c r="AD15" i="13"/>
  <c r="BN18" i="13"/>
  <c r="BO18" i="13" s="1"/>
  <c r="CP20" i="13"/>
  <c r="BN21" i="13"/>
  <c r="BP21" i="13" s="1"/>
  <c r="BT22" i="13"/>
  <c r="T23" i="13"/>
  <c r="AC24" i="13"/>
  <c r="CU25" i="13"/>
  <c r="BX28" i="13"/>
  <c r="BZ28" i="13" s="1"/>
  <c r="CR6" i="13"/>
  <c r="U9" i="13"/>
  <c r="AE15" i="13"/>
  <c r="BQ18" i="13"/>
  <c r="BS18" i="13" s="1"/>
  <c r="CR20" i="13"/>
  <c r="BX22" i="13"/>
  <c r="AE24" i="13"/>
  <c r="CO28" i="13"/>
  <c r="AF33" i="16"/>
  <c r="M1101" i="12" s="1"/>
  <c r="O1101" i="12" s="1"/>
  <c r="T14" i="13"/>
  <c r="H14" i="13" s="1"/>
  <c r="AF15" i="13"/>
  <c r="BT18" i="13"/>
  <c r="BW18" i="13" s="1"/>
  <c r="K20" i="13"/>
  <c r="DG20" i="13" s="1"/>
  <c r="CT20" i="13"/>
  <c r="CB22" i="13"/>
  <c r="CE22" i="13" s="1"/>
  <c r="AF24" i="13"/>
  <c r="CQ28" i="13"/>
  <c r="CR8" i="13"/>
  <c r="CF10" i="13"/>
  <c r="CA11" i="13"/>
  <c r="CF12" i="13"/>
  <c r="AF14" i="13"/>
  <c r="BX14" i="13"/>
  <c r="CU14" i="13"/>
  <c r="CL15" i="13"/>
  <c r="CY15" i="13"/>
  <c r="AF18" i="13"/>
  <c r="BX18" i="13"/>
  <c r="BX20" i="13"/>
  <c r="DA20" i="13"/>
  <c r="AI22" i="13"/>
  <c r="CQ22" i="13"/>
  <c r="BQ24" i="13"/>
  <c r="AH25" i="13"/>
  <c r="CP26" i="13"/>
  <c r="BN27" i="13"/>
  <c r="BO27" i="13" s="1"/>
  <c r="H28" i="13"/>
  <c r="CT28" i="13"/>
  <c r="AW11" i="13"/>
  <c r="CJ11" i="13"/>
  <c r="K12" i="13"/>
  <c r="AG14" i="13"/>
  <c r="U15" i="13"/>
  <c r="BN15" i="13"/>
  <c r="BP15" i="13" s="1"/>
  <c r="DA15" i="13"/>
  <c r="AC17" i="13"/>
  <c r="CN17" i="13"/>
  <c r="H19" i="13"/>
  <c r="DK19" i="13" s="1"/>
  <c r="CB19" i="13"/>
  <c r="AC20" i="13"/>
  <c r="AC21" i="13"/>
  <c r="CR22" i="13"/>
  <c r="CR26" i="13"/>
  <c r="BQ27" i="13"/>
  <c r="BS27" i="13" s="1"/>
  <c r="BN28" i="13"/>
  <c r="CU28" i="13"/>
  <c r="CW28" i="13" s="1"/>
  <c r="CJ10" i="13"/>
  <c r="CJ12" i="13"/>
  <c r="CL12" i="13" s="1"/>
  <c r="AH14" i="13"/>
  <c r="AD17" i="13"/>
  <c r="CO17" i="13"/>
  <c r="AH18" i="13"/>
  <c r="AE20" i="13"/>
  <c r="CJ20" i="13"/>
  <c r="CK20" i="13" s="1"/>
  <c r="AD21" i="13"/>
  <c r="K22" i="13"/>
  <c r="DP22" i="13" s="1"/>
  <c r="AY22" i="13"/>
  <c r="CT22" i="13"/>
  <c r="T24" i="13"/>
  <c r="H24" i="13" s="1"/>
  <c r="BX24" i="13"/>
  <c r="BQ25" i="13"/>
  <c r="BS25" i="13" s="1"/>
  <c r="K26" i="13"/>
  <c r="AY26" i="13"/>
  <c r="CS26" i="13"/>
  <c r="T27" i="13"/>
  <c r="BX27" i="13"/>
  <c r="AF28" i="13"/>
  <c r="CN10" i="13"/>
  <c r="CN12" i="13"/>
  <c r="AI14" i="13"/>
  <c r="CK15" i="13"/>
  <c r="AE17" i="13"/>
  <c r="CP17" i="13"/>
  <c r="K18" i="13"/>
  <c r="AI18" i="13"/>
  <c r="CB18" i="13"/>
  <c r="CJ19" i="13"/>
  <c r="AG21" i="13"/>
  <c r="BN22" i="13"/>
  <c r="CV22" i="13"/>
  <c r="CF23" i="13"/>
  <c r="CB24" i="13"/>
  <c r="CO25" i="13"/>
  <c r="BN26" i="13"/>
  <c r="DA26" i="13"/>
  <c r="CB27" i="13"/>
  <c r="AG28" i="13"/>
  <c r="BQ28" i="13"/>
  <c r="DA28" i="13"/>
  <c r="CB6" i="13"/>
  <c r="CD6" i="13" s="1"/>
  <c r="T7" i="13"/>
  <c r="K10" i="13"/>
  <c r="CP10" i="13"/>
  <c r="T12" i="13"/>
  <c r="H12" i="13" s="1"/>
  <c r="CO12" i="13"/>
  <c r="CH14" i="13"/>
  <c r="CM15" i="13"/>
  <c r="AF17" i="13"/>
  <c r="CQ17" i="13"/>
  <c r="CP18" i="13"/>
  <c r="K19" i="13"/>
  <c r="CN19" i="13"/>
  <c r="AG20" i="13"/>
  <c r="CO20" i="13"/>
  <c r="DA23" i="13"/>
  <c r="CP25" i="13"/>
  <c r="BT26" i="13"/>
  <c r="CO27" i="13"/>
  <c r="K28" i="13"/>
  <c r="AH28" i="13"/>
  <c r="AW8" i="13"/>
  <c r="CR10" i="13"/>
  <c r="DM11" i="13"/>
  <c r="AY12" i="13"/>
  <c r="AZ12" i="13" s="1"/>
  <c r="CP12" i="13"/>
  <c r="AG17" i="13"/>
  <c r="CU17" i="13"/>
  <c r="BX26" i="13"/>
  <c r="BZ26" i="13" s="1"/>
  <c r="CT27" i="13"/>
  <c r="U8" i="13"/>
  <c r="CT10" i="13"/>
  <c r="AI11" i="13"/>
  <c r="DP11" i="13"/>
  <c r="BN12" i="13"/>
  <c r="BO12" i="13" s="1"/>
  <c r="CR12" i="13"/>
  <c r="DN14" i="13"/>
  <c r="AH17" i="13"/>
  <c r="AZ18" i="13"/>
  <c r="CU10" i="13"/>
  <c r="CX10" i="13" s="1"/>
  <c r="AB11" i="13"/>
  <c r="BQ12" i="13"/>
  <c r="CT12" i="13"/>
  <c r="CM17" i="13"/>
  <c r="BO21" i="13"/>
  <c r="AC22" i="13"/>
  <c r="BY28" i="13"/>
  <c r="CS6" i="13"/>
  <c r="CR7" i="13"/>
  <c r="X8" i="13"/>
  <c r="AI8" i="13" s="1"/>
  <c r="X9" i="13"/>
  <c r="AY10" i="13"/>
  <c r="AY11" i="13"/>
  <c r="AZ11" i="13" s="1"/>
  <c r="DA12" i="13"/>
  <c r="BQ14" i="13"/>
  <c r="CP14" i="13"/>
  <c r="CQ15" i="13"/>
  <c r="U17" i="13"/>
  <c r="BN17" i="13"/>
  <c r="BP17" i="13" s="1"/>
  <c r="BP18" i="13"/>
  <c r="CU19" i="13"/>
  <c r="T20" i="13"/>
  <c r="H20" i="13" s="1"/>
  <c r="AY20" i="13"/>
  <c r="AZ20" i="13" s="1"/>
  <c r="CU20" i="13"/>
  <c r="AD22" i="13"/>
  <c r="CT24" i="13"/>
  <c r="CD26" i="13"/>
  <c r="DA27" i="13"/>
  <c r="CA28" i="13"/>
  <c r="CB12" i="13"/>
  <c r="CT7" i="13"/>
  <c r="BN10" i="13"/>
  <c r="BX12" i="13"/>
  <c r="AC14" i="13"/>
  <c r="CQ14" i="13"/>
  <c r="BQ17" i="13"/>
  <c r="DA17" i="13"/>
  <c r="U21" i="13"/>
  <c r="AE22" i="13"/>
  <c r="DA24" i="13"/>
  <c r="AD25" i="13"/>
  <c r="CE26" i="13"/>
  <c r="BX8" i="13"/>
  <c r="BX10" i="13"/>
  <c r="DA14" i="13"/>
  <c r="BT14" i="13"/>
  <c r="CR14" i="13"/>
  <c r="AG15" i="13"/>
  <c r="CW15" i="13"/>
  <c r="T17" i="13"/>
  <c r="CB17" i="13"/>
  <c r="BR18" i="13"/>
  <c r="BQ20" i="13"/>
  <c r="BS20" i="13" s="1"/>
  <c r="AF22" i="13"/>
  <c r="AY24" i="13"/>
  <c r="AF25" i="13"/>
  <c r="AH26" i="13"/>
  <c r="CF26" i="13"/>
  <c r="H27" i="13"/>
  <c r="CP28" i="13"/>
  <c r="G1525" i="12"/>
  <c r="O1525" i="12" s="1"/>
  <c r="G1479" i="12"/>
  <c r="O1479" i="12" s="1"/>
  <c r="O1745" i="12" s="1"/>
  <c r="K1745" i="12" s="1"/>
  <c r="G1561" i="12"/>
  <c r="O1561" i="12" s="1"/>
  <c r="G1515" i="12"/>
  <c r="O1515" i="12" s="1"/>
  <c r="O1781" i="12" s="1"/>
  <c r="K1781" i="12" s="1"/>
  <c r="B1121" i="12"/>
  <c r="B1181" i="12"/>
  <c r="G1537" i="12"/>
  <c r="O1537" i="12" s="1"/>
  <c r="G1491" i="12"/>
  <c r="O1491" i="12" s="1"/>
  <c r="O1757" i="12" s="1"/>
  <c r="K1757" i="12" s="1"/>
  <c r="G1555" i="12"/>
  <c r="G1601" i="12" s="1"/>
  <c r="G1509" i="12"/>
  <c r="O1509" i="12" s="1"/>
  <c r="O1775" i="12" s="1"/>
  <c r="K1775" i="12" s="1"/>
  <c r="E1170" i="12"/>
  <c r="G1285" i="12"/>
  <c r="G1481" i="12" s="1"/>
  <c r="O1481" i="12" s="1"/>
  <c r="O1747" i="12" s="1"/>
  <c r="K1747" i="12" s="1"/>
  <c r="B1339" i="12"/>
  <c r="B1651" i="12" s="1"/>
  <c r="B1348" i="12"/>
  <c r="B1660" i="12" s="1"/>
  <c r="B1357" i="12"/>
  <c r="B1669" i="12" s="1"/>
  <c r="B1366" i="12"/>
  <c r="B1678" i="12" s="1"/>
  <c r="B1375" i="12"/>
  <c r="B1421" i="12" s="1"/>
  <c r="B1733" i="12" s="1"/>
  <c r="B1436" i="12"/>
  <c r="B1482" i="12" s="1"/>
  <c r="B1748" i="12" s="1"/>
  <c r="B1460" i="12"/>
  <c r="B1506" i="12" s="1"/>
  <c r="B1772" i="12" s="1"/>
  <c r="N1598" i="12"/>
  <c r="N1609" i="12"/>
  <c r="G1292" i="12"/>
  <c r="G1488" i="12" s="1"/>
  <c r="O1488" i="12" s="1"/>
  <c r="O1754" i="12" s="1"/>
  <c r="K1754" i="12" s="1"/>
  <c r="B1445" i="12"/>
  <c r="B1491" i="12" s="1"/>
  <c r="B1469" i="12"/>
  <c r="B1515" i="12" s="1"/>
  <c r="B1781" i="12" s="1"/>
  <c r="E506" i="12"/>
  <c r="O1255" i="12"/>
  <c r="N1588" i="12"/>
  <c r="E1131" i="12"/>
  <c r="O1242" i="12"/>
  <c r="O1249" i="12"/>
  <c r="O1263" i="12"/>
  <c r="M1280" i="12"/>
  <c r="M1325" i="12" s="1"/>
  <c r="M1327" i="12" s="1"/>
  <c r="D1324" i="12" s="1"/>
  <c r="B1454" i="12"/>
  <c r="B1500" i="12" s="1"/>
  <c r="B1766" i="12" s="1"/>
  <c r="O1243" i="12"/>
  <c r="O1257" i="12"/>
  <c r="O1264" i="12"/>
  <c r="N1571" i="12"/>
  <c r="N1582" i="12"/>
  <c r="B1758" i="12"/>
  <c r="B1117" i="12"/>
  <c r="O1230" i="12"/>
  <c r="O1237" i="12"/>
  <c r="O1251" i="12"/>
  <c r="G1321" i="12"/>
  <c r="G1563" i="12" s="1"/>
  <c r="G1609" i="12" s="1"/>
  <c r="B1448" i="12"/>
  <c r="B1494" i="12" s="1"/>
  <c r="C1474" i="12"/>
  <c r="N1589" i="12"/>
  <c r="G1315" i="12"/>
  <c r="G1511" i="12" s="1"/>
  <c r="O1511" i="12" s="1"/>
  <c r="O1777" i="12" s="1"/>
  <c r="K1777" i="12" s="1"/>
  <c r="B1433" i="12"/>
  <c r="B1479" i="12" s="1"/>
  <c r="B1745" i="12" s="1"/>
  <c r="B1457" i="12"/>
  <c r="B1503" i="12" s="1"/>
  <c r="G1497" i="12"/>
  <c r="O1497" i="12" s="1"/>
  <c r="O1763" i="12" s="1"/>
  <c r="K1763" i="12" s="1"/>
  <c r="B1137" i="12"/>
  <c r="B1182" i="12" s="1"/>
  <c r="B1372" i="12"/>
  <c r="B1684" i="12" s="1"/>
  <c r="C389" i="12"/>
  <c r="B377" i="12"/>
  <c r="C449" i="12"/>
  <c r="I1116" i="12"/>
  <c r="G1303" i="12"/>
  <c r="G1499" i="12" s="1"/>
  <c r="O1499" i="12" s="1"/>
  <c r="O1765" i="12" s="1"/>
  <c r="K1765" i="12" s="1"/>
  <c r="B1442" i="12"/>
  <c r="B1488" i="12" s="1"/>
  <c r="B1754" i="12" s="1"/>
  <c r="B1466" i="12"/>
  <c r="B1512" i="12" s="1"/>
  <c r="N1569" i="12"/>
  <c r="N1572" i="12"/>
  <c r="N1594" i="12"/>
  <c r="C434" i="12"/>
  <c r="C612" i="12"/>
  <c r="E501" i="12"/>
  <c r="G1297" i="12"/>
  <c r="G1493" i="12" s="1"/>
  <c r="O1493" i="12" s="1"/>
  <c r="O1759" i="12" s="1"/>
  <c r="K1759" i="12" s="1"/>
  <c r="B1451" i="12"/>
  <c r="B1497" i="12" s="1"/>
  <c r="B1763" i="12" s="1"/>
  <c r="F1159" i="12"/>
  <c r="F1223" i="12"/>
  <c r="N1223" i="12" s="1"/>
  <c r="G1291" i="12"/>
  <c r="G1487" i="12" s="1"/>
  <c r="O1487" i="12" s="1"/>
  <c r="O1753" i="12" s="1"/>
  <c r="K1753" i="12" s="1"/>
  <c r="N1573" i="12"/>
  <c r="N1577" i="12"/>
  <c r="B717" i="12"/>
  <c r="B752" i="12"/>
  <c r="C1428" i="12"/>
  <c r="C444" i="12"/>
  <c r="C602" i="12"/>
  <c r="C826" i="12"/>
  <c r="C1120" i="12"/>
  <c r="C1617" i="12"/>
  <c r="B721" i="12"/>
  <c r="C985" i="12"/>
  <c r="C834" i="12"/>
  <c r="B1075" i="12"/>
  <c r="C1648" i="12"/>
  <c r="B1740" i="12"/>
  <c r="C401" i="12"/>
  <c r="C810" i="12"/>
  <c r="C1081" i="12"/>
  <c r="C359" i="12"/>
  <c r="C737" i="12"/>
  <c r="C969" i="12"/>
  <c r="B1336" i="12"/>
  <c r="C1226" i="12"/>
  <c r="B973" i="12"/>
  <c r="C789" i="12"/>
  <c r="C667" i="12"/>
  <c r="C822" i="12"/>
  <c r="C701" i="12"/>
  <c r="C814" i="12"/>
  <c r="C1094" i="12"/>
  <c r="C1175" i="12"/>
  <c r="C785" i="12"/>
  <c r="C899" i="12"/>
  <c r="C396" i="12"/>
  <c r="C1189" i="12"/>
  <c r="D415" i="12"/>
  <c r="O422" i="12"/>
  <c r="C553" i="12"/>
  <c r="B830" i="12"/>
  <c r="B1662" i="12"/>
  <c r="B1396" i="12"/>
  <c r="B1708" i="12" s="1"/>
  <c r="G1540" i="12"/>
  <c r="G1448" i="12"/>
  <c r="O1448" i="12" s="1"/>
  <c r="G1494" i="12"/>
  <c r="O1494" i="12" s="1"/>
  <c r="O1760" i="12" s="1"/>
  <c r="K1760" i="12" s="1"/>
  <c r="B1767" i="12"/>
  <c r="B1547" i="12"/>
  <c r="B1593" i="12" s="1"/>
  <c r="G1553" i="12"/>
  <c r="G1507" i="12"/>
  <c r="O1507" i="12" s="1"/>
  <c r="O1773" i="12" s="1"/>
  <c r="K1773" i="12" s="1"/>
  <c r="G1461" i="12"/>
  <c r="O1461" i="12" s="1"/>
  <c r="B1422" i="12"/>
  <c r="B1734" i="12" s="1"/>
  <c r="B1688" i="12"/>
  <c r="CM12" i="13"/>
  <c r="C768" i="12"/>
  <c r="C905" i="12"/>
  <c r="C1033" i="12"/>
  <c r="C415" i="12"/>
  <c r="C1051" i="12"/>
  <c r="C1625" i="12"/>
  <c r="C526" i="12"/>
  <c r="C542" i="12"/>
  <c r="C559" i="12"/>
  <c r="C574" i="12"/>
  <c r="C781" i="12"/>
  <c r="B781" i="12"/>
  <c r="C910" i="12"/>
  <c r="C1114" i="12"/>
  <c r="C597" i="12"/>
  <c r="C882" i="12"/>
  <c r="B882" i="12"/>
  <c r="B995" i="12"/>
  <c r="C995" i="12"/>
  <c r="C548" i="12"/>
  <c r="C774" i="12"/>
  <c r="C1071" i="12"/>
  <c r="C1078" i="12"/>
  <c r="C321" i="12"/>
  <c r="B321" i="12"/>
  <c r="C532" i="12"/>
  <c r="C727" i="12"/>
  <c r="B727" i="12"/>
  <c r="B793" i="12"/>
  <c r="C793" i="12"/>
  <c r="C758" i="12"/>
  <c r="C887" i="12"/>
  <c r="C537" i="12"/>
  <c r="C585" i="12"/>
  <c r="B585" i="12"/>
  <c r="C607" i="12"/>
  <c r="B642" i="12"/>
  <c r="B899" i="12"/>
  <c r="B1165" i="12"/>
  <c r="B1185" i="12"/>
  <c r="C1005" i="12"/>
  <c r="E488" i="12"/>
  <c r="E504" i="12" s="1"/>
  <c r="B822" i="12"/>
  <c r="C515" i="12"/>
  <c r="B915" i="12"/>
  <c r="C893" i="12"/>
  <c r="B331" i="12"/>
  <c r="C406" i="12"/>
  <c r="B1078" i="12"/>
  <c r="B1083" i="12" s="1"/>
  <c r="B1159" i="12"/>
  <c r="B1183" i="12"/>
  <c r="B1656" i="12"/>
  <c r="B1390" i="12"/>
  <c r="B1702" i="12" s="1"/>
  <c r="B1541" i="12"/>
  <c r="B1587" i="12" s="1"/>
  <c r="B1761" i="12"/>
  <c r="G1547" i="12"/>
  <c r="G1501" i="12"/>
  <c r="O1501" i="12" s="1"/>
  <c r="O1767" i="12" s="1"/>
  <c r="K1767" i="12" s="1"/>
  <c r="G1455" i="12"/>
  <c r="O1455" i="12" s="1"/>
  <c r="B1682" i="12"/>
  <c r="B1416" i="12"/>
  <c r="B1728" i="12" s="1"/>
  <c r="B1689" i="12"/>
  <c r="B1423" i="12"/>
  <c r="B1735" i="12" s="1"/>
  <c r="C1520" i="12"/>
  <c r="B1520" i="12"/>
  <c r="N1576" i="12"/>
  <c r="BS7" i="13"/>
  <c r="E1139" i="12"/>
  <c r="I1117" i="12"/>
  <c r="C1221" i="12"/>
  <c r="G1528" i="12"/>
  <c r="G1436" i="12"/>
  <c r="O1436" i="12" s="1"/>
  <c r="B1755" i="12"/>
  <c r="B1535" i="12"/>
  <c r="B1581" i="12" s="1"/>
  <c r="G1541" i="12"/>
  <c r="G1495" i="12"/>
  <c r="O1495" i="12" s="1"/>
  <c r="O1761" i="12" s="1"/>
  <c r="K1761" i="12" s="1"/>
  <c r="G1449" i="12"/>
  <c r="O1449" i="12" s="1"/>
  <c r="B1676" i="12"/>
  <c r="B1410" i="12"/>
  <c r="B1722" i="12" s="1"/>
  <c r="B1683" i="12"/>
  <c r="B1417" i="12"/>
  <c r="B1729" i="12" s="1"/>
  <c r="O1482" i="12"/>
  <c r="O1748" i="12" s="1"/>
  <c r="K1748" i="12" s="1"/>
  <c r="CA8" i="13"/>
  <c r="BZ8" i="13"/>
  <c r="BY8" i="13"/>
  <c r="B383" i="12"/>
  <c r="B406" i="12"/>
  <c r="O414" i="12"/>
  <c r="D410" i="12" s="1"/>
  <c r="E491" i="12"/>
  <c r="E507" i="12" s="1"/>
  <c r="B515" i="12"/>
  <c r="B532" i="12"/>
  <c r="B542" i="12"/>
  <c r="C705" i="12"/>
  <c r="C959" i="12"/>
  <c r="C1044" i="12"/>
  <c r="E1137" i="12"/>
  <c r="E1166" i="12"/>
  <c r="E1147" i="12"/>
  <c r="B1749" i="12"/>
  <c r="B1529" i="12"/>
  <c r="B1575" i="12" s="1"/>
  <c r="G1535" i="12"/>
  <c r="G1489" i="12"/>
  <c r="O1489" i="12" s="1"/>
  <c r="O1755" i="12" s="1"/>
  <c r="K1755" i="12" s="1"/>
  <c r="G1443" i="12"/>
  <c r="O1443" i="12" s="1"/>
  <c r="B1670" i="12"/>
  <c r="B1404" i="12"/>
  <c r="B1716" i="12" s="1"/>
  <c r="B1677" i="12"/>
  <c r="B1411" i="12"/>
  <c r="B1723" i="12" s="1"/>
  <c r="B1782" i="12"/>
  <c r="B1562" i="12"/>
  <c r="B1608" i="12" s="1"/>
  <c r="N1697" i="12"/>
  <c r="K1697" i="12" s="1"/>
  <c r="K1739" i="12" s="1"/>
  <c r="D1694" i="12" s="1"/>
  <c r="N1427" i="12"/>
  <c r="D1382" i="12" s="1"/>
  <c r="CM8" i="13"/>
  <c r="CL8" i="13"/>
  <c r="CK8" i="13"/>
  <c r="C646" i="12"/>
  <c r="B1743" i="12"/>
  <c r="B1523" i="12"/>
  <c r="B1569" i="12" s="1"/>
  <c r="G1529" i="12"/>
  <c r="G1483" i="12"/>
  <c r="O1483" i="12" s="1"/>
  <c r="O1749" i="12" s="1"/>
  <c r="K1749" i="12" s="1"/>
  <c r="B1664" i="12"/>
  <c r="B1398" i="12"/>
  <c r="B1710" i="12" s="1"/>
  <c r="B1671" i="12"/>
  <c r="B1405" i="12"/>
  <c r="B1717" i="12" s="1"/>
  <c r="B1776" i="12"/>
  <c r="B1556" i="12"/>
  <c r="B1602" i="12" s="1"/>
  <c r="O1512" i="12"/>
  <c r="O1778" i="12" s="1"/>
  <c r="K1778" i="12" s="1"/>
  <c r="N1593" i="12"/>
  <c r="B347" i="12"/>
  <c r="B371" i="12"/>
  <c r="B415" i="12"/>
  <c r="B483" i="12"/>
  <c r="B553" i="12"/>
  <c r="B597" i="12"/>
  <c r="B646" i="12"/>
  <c r="C731" i="12"/>
  <c r="B905" i="12"/>
  <c r="C951" i="12"/>
  <c r="C1000" i="12"/>
  <c r="B1055" i="12"/>
  <c r="C1108" i="12"/>
  <c r="O1265" i="12"/>
  <c r="G1318" i="12"/>
  <c r="B1658" i="12"/>
  <c r="B1392" i="12"/>
  <c r="B1704" i="12" s="1"/>
  <c r="B1399" i="12"/>
  <c r="B1711" i="12" s="1"/>
  <c r="B1665" i="12"/>
  <c r="G1589" i="12"/>
  <c r="O1543" i="12"/>
  <c r="B1770" i="12"/>
  <c r="B1550" i="12"/>
  <c r="B1596" i="12" s="1"/>
  <c r="B1471" i="12"/>
  <c r="B1517" i="12" s="1"/>
  <c r="B1379" i="12"/>
  <c r="K1693" i="12"/>
  <c r="D1648" i="12" s="1"/>
  <c r="N1580" i="12"/>
  <c r="E492" i="12"/>
  <c r="E508" i="12" s="1"/>
  <c r="E496" i="12"/>
  <c r="E512" i="12" s="1"/>
  <c r="G1554" i="12"/>
  <c r="G1600" i="12" s="1"/>
  <c r="G1508" i="12"/>
  <c r="O1508" i="12" s="1"/>
  <c r="O1774" i="12" s="1"/>
  <c r="K1774" i="12" s="1"/>
  <c r="G1462" i="12"/>
  <c r="O1462" i="12" s="1"/>
  <c r="B1652" i="12"/>
  <c r="B1386" i="12"/>
  <c r="B1698" i="12" s="1"/>
  <c r="B1659" i="12"/>
  <c r="B1393" i="12"/>
  <c r="B1705" i="12" s="1"/>
  <c r="B1764" i="12"/>
  <c r="B1544" i="12"/>
  <c r="B1590" i="12" s="1"/>
  <c r="G1596" i="12"/>
  <c r="O1550" i="12"/>
  <c r="B1465" i="12"/>
  <c r="B1511" i="12" s="1"/>
  <c r="B1373" i="12"/>
  <c r="O1506" i="12"/>
  <c r="O1772" i="12" s="1"/>
  <c r="K1772" i="12" s="1"/>
  <c r="C622" i="12"/>
  <c r="C806" i="12"/>
  <c r="B963" i="12"/>
  <c r="C1047" i="12"/>
  <c r="F1157" i="12"/>
  <c r="B1184" i="12"/>
  <c r="G1548" i="12"/>
  <c r="G1594" i="12" s="1"/>
  <c r="G1502" i="12"/>
  <c r="O1502" i="12" s="1"/>
  <c r="O1768" i="12" s="1"/>
  <c r="K1768" i="12" s="1"/>
  <c r="G1456" i="12"/>
  <c r="O1456" i="12" s="1"/>
  <c r="O1259" i="12"/>
  <c r="B1653" i="12"/>
  <c r="B1387" i="12"/>
  <c r="B1699" i="12" s="1"/>
  <c r="G1590" i="12"/>
  <c r="O1544" i="12"/>
  <c r="B1459" i="12"/>
  <c r="B1505" i="12" s="1"/>
  <c r="B1367" i="12"/>
  <c r="E1162" i="12"/>
  <c r="E1143" i="12"/>
  <c r="E1123" i="12"/>
  <c r="G1542" i="12"/>
  <c r="G1588" i="12" s="1"/>
  <c r="G1496" i="12"/>
  <c r="O1496" i="12" s="1"/>
  <c r="O1762" i="12" s="1"/>
  <c r="K1762" i="12" s="1"/>
  <c r="G1450" i="12"/>
  <c r="O1450" i="12" s="1"/>
  <c r="B1752" i="12"/>
  <c r="B1532" i="12"/>
  <c r="B1578" i="12" s="1"/>
  <c r="O1538" i="12"/>
  <c r="G1584" i="12"/>
  <c r="B1453" i="12"/>
  <c r="B1499" i="12" s="1"/>
  <c r="B1361" i="12"/>
  <c r="B1686" i="12"/>
  <c r="B1420" i="12"/>
  <c r="B1732" i="12" s="1"/>
  <c r="O1500" i="12"/>
  <c r="O1766" i="12" s="1"/>
  <c r="K1766" i="12" s="1"/>
  <c r="N1578" i="12"/>
  <c r="B319" i="12"/>
  <c r="B339" i="12"/>
  <c r="B444" i="12"/>
  <c r="B537" i="12"/>
  <c r="B574" i="12"/>
  <c r="B746" i="12"/>
  <c r="B789" i="12"/>
  <c r="B893" i="12"/>
  <c r="B910" i="12"/>
  <c r="C990" i="12"/>
  <c r="B1033" i="12"/>
  <c r="B1200" i="12"/>
  <c r="G1536" i="12"/>
  <c r="G1582" i="12" s="1"/>
  <c r="G1490" i="12"/>
  <c r="O1490" i="12" s="1"/>
  <c r="O1756" i="12" s="1"/>
  <c r="K1756" i="12" s="1"/>
  <c r="G1444" i="12"/>
  <c r="O1444" i="12" s="1"/>
  <c r="O1247" i="12"/>
  <c r="B1526" i="12"/>
  <c r="B1572" i="12" s="1"/>
  <c r="B1746" i="12"/>
  <c r="G1578" i="12"/>
  <c r="O1532" i="12"/>
  <c r="B1447" i="12"/>
  <c r="B1493" i="12" s="1"/>
  <c r="B1355" i="12"/>
  <c r="B1680" i="12"/>
  <c r="B1414" i="12"/>
  <c r="B1726" i="12" s="1"/>
  <c r="G1558" i="12"/>
  <c r="G1466" i="12"/>
  <c r="O1466" i="12" s="1"/>
  <c r="B1099" i="12"/>
  <c r="B1175" i="12"/>
  <c r="G1530" i="12"/>
  <c r="G1576" i="12" s="1"/>
  <c r="G1484" i="12"/>
  <c r="O1484" i="12" s="1"/>
  <c r="O1750" i="12" s="1"/>
  <c r="K1750" i="12" s="1"/>
  <c r="G1438" i="12"/>
  <c r="O1438" i="12" s="1"/>
  <c r="O1526" i="12"/>
  <c r="G1572" i="12"/>
  <c r="B1441" i="12"/>
  <c r="B1487" i="12" s="1"/>
  <c r="B1349" i="12"/>
  <c r="B1674" i="12"/>
  <c r="B1408" i="12"/>
  <c r="B1720" i="12" s="1"/>
  <c r="G1552" i="12"/>
  <c r="G1460" i="12"/>
  <c r="O1460" i="12" s="1"/>
  <c r="B1779" i="12"/>
  <c r="B1559" i="12"/>
  <c r="B1605" i="12" s="1"/>
  <c r="CM10" i="13"/>
  <c r="CK10" i="13"/>
  <c r="CL10" i="13"/>
  <c r="C651" i="12"/>
  <c r="B810" i="12"/>
  <c r="G1524" i="12"/>
  <c r="G1570" i="12" s="1"/>
  <c r="G1478" i="12"/>
  <c r="O1478" i="12" s="1"/>
  <c r="O1744" i="12" s="1"/>
  <c r="K1744" i="12" s="1"/>
  <c r="G1432" i="12"/>
  <c r="O1432" i="12" s="1"/>
  <c r="O1235" i="12"/>
  <c r="B1435" i="12"/>
  <c r="B1481" i="12" s="1"/>
  <c r="B1343" i="12"/>
  <c r="B1668" i="12"/>
  <c r="B1402" i="12"/>
  <c r="B1714" i="12" s="1"/>
  <c r="G1546" i="12"/>
  <c r="G1454" i="12"/>
  <c r="O1454" i="12" s="1"/>
  <c r="B1553" i="12"/>
  <c r="B1599" i="12" s="1"/>
  <c r="B1773" i="12"/>
  <c r="G1559" i="12"/>
  <c r="G1513" i="12"/>
  <c r="O1513" i="12" s="1"/>
  <c r="O1779" i="12" s="1"/>
  <c r="K1779" i="12" s="1"/>
  <c r="G1467" i="12"/>
  <c r="O1467" i="12" s="1"/>
  <c r="C1643" i="12"/>
  <c r="B1643" i="12"/>
  <c r="G1433" i="12"/>
  <c r="O1433" i="12" s="1"/>
  <c r="G1445" i="12"/>
  <c r="O1445" i="12" s="1"/>
  <c r="G1451" i="12"/>
  <c r="O1451" i="12" s="1"/>
  <c r="G1463" i="12"/>
  <c r="O1463" i="12" s="1"/>
  <c r="G1469" i="12"/>
  <c r="O1469" i="12" s="1"/>
  <c r="CC6" i="13"/>
  <c r="CE6" i="13"/>
  <c r="BD8" i="13"/>
  <c r="CI6" i="13"/>
  <c r="CH6" i="13"/>
  <c r="CG6" i="13"/>
  <c r="B1226" i="12"/>
  <c r="B1566" i="12"/>
  <c r="CY12" i="13"/>
  <c r="CZ12" i="13"/>
  <c r="CX12" i="13"/>
  <c r="CW12" i="13"/>
  <c r="CV12" i="13"/>
  <c r="G1434" i="12"/>
  <c r="O1434" i="12" s="1"/>
  <c r="G1440" i="12"/>
  <c r="O1440" i="12" s="1"/>
  <c r="G1446" i="12"/>
  <c r="O1446" i="12" s="1"/>
  <c r="G1452" i="12"/>
  <c r="O1452" i="12" s="1"/>
  <c r="G1458" i="12"/>
  <c r="O1458" i="12" s="1"/>
  <c r="AU6" i="13"/>
  <c r="BS23" i="13"/>
  <c r="BR23" i="13"/>
  <c r="G1480" i="12"/>
  <c r="O1480" i="12" s="1"/>
  <c r="O1746" i="12" s="1"/>
  <c r="K1746" i="12" s="1"/>
  <c r="G1486" i="12"/>
  <c r="O1486" i="12" s="1"/>
  <c r="O1752" i="12" s="1"/>
  <c r="K1752" i="12" s="1"/>
  <c r="G1492" i="12"/>
  <c r="O1492" i="12" s="1"/>
  <c r="O1758" i="12" s="1"/>
  <c r="K1758" i="12" s="1"/>
  <c r="G1498" i="12"/>
  <c r="O1498" i="12" s="1"/>
  <c r="O1764" i="12" s="1"/>
  <c r="K1764" i="12" s="1"/>
  <c r="G1504" i="12"/>
  <c r="O1504" i="12" s="1"/>
  <c r="O1770" i="12" s="1"/>
  <c r="K1770" i="12" s="1"/>
  <c r="G1510" i="12"/>
  <c r="O1510" i="12" s="1"/>
  <c r="O1776" i="12" s="1"/>
  <c r="K1776" i="12" s="1"/>
  <c r="B1625" i="12"/>
  <c r="B1694" i="12"/>
  <c r="C1694" i="12"/>
  <c r="AW6" i="13"/>
  <c r="AV6" i="13"/>
  <c r="AH7" i="13"/>
  <c r="DL12" i="13"/>
  <c r="DK12" i="13"/>
  <c r="AW12" i="13"/>
  <c r="DJ12" i="13"/>
  <c r="AV12" i="13"/>
  <c r="AU12" i="13"/>
  <c r="DP12" i="13"/>
  <c r="DO12" i="13"/>
  <c r="DN12" i="13"/>
  <c r="DM12" i="13"/>
  <c r="CM14" i="13"/>
  <c r="CL14" i="13"/>
  <c r="CK14" i="13"/>
  <c r="BS15" i="13"/>
  <c r="BR15" i="13"/>
  <c r="BB19" i="13"/>
  <c r="AB19" i="13"/>
  <c r="F1147" i="12"/>
  <c r="B1155" i="12"/>
  <c r="B1221" i="12"/>
  <c r="B1328" i="12"/>
  <c r="N1381" i="12"/>
  <c r="D1336" i="12" s="1"/>
  <c r="N1599" i="12"/>
  <c r="F1166" i="12"/>
  <c r="B1432" i="12"/>
  <c r="B1478" i="12" s="1"/>
  <c r="B1438" i="12"/>
  <c r="B1484" i="12" s="1"/>
  <c r="B1444" i="12"/>
  <c r="B1490" i="12" s="1"/>
  <c r="B1450" i="12"/>
  <c r="B1496" i="12" s="1"/>
  <c r="B1456" i="12"/>
  <c r="B1502" i="12" s="1"/>
  <c r="B1462" i="12"/>
  <c r="B1508" i="12" s="1"/>
  <c r="B1468" i="12"/>
  <c r="B1514" i="12" s="1"/>
  <c r="N1587" i="12"/>
  <c r="C1612" i="12"/>
  <c r="CZ11" i="13"/>
  <c r="CX11" i="13"/>
  <c r="CY11" i="13"/>
  <c r="CV11" i="13"/>
  <c r="BO14" i="13"/>
  <c r="BP14" i="13"/>
  <c r="DP6" i="13"/>
  <c r="DO6" i="13"/>
  <c r="DN6" i="13"/>
  <c r="DL6" i="13"/>
  <c r="DM6" i="13"/>
  <c r="DK6" i="13"/>
  <c r="DJ6" i="13"/>
  <c r="BP10" i="13"/>
  <c r="BO10" i="13"/>
  <c r="N1608" i="12"/>
  <c r="AF6" i="13"/>
  <c r="AH6" i="13"/>
  <c r="N1606" i="12"/>
  <c r="C1631" i="12"/>
  <c r="BD6" i="13"/>
  <c r="BB6" i="13"/>
  <c r="AB6" i="13"/>
  <c r="DP8" i="13"/>
  <c r="DO8" i="13"/>
  <c r="DN8" i="13"/>
  <c r="DL8" i="13"/>
  <c r="DM8" i="13"/>
  <c r="DK8" i="13"/>
  <c r="DJ8" i="13"/>
  <c r="AV8" i="13"/>
  <c r="AU8" i="13"/>
  <c r="BD19" i="13"/>
  <c r="BN6" i="13"/>
  <c r="CT6" i="13"/>
  <c r="BR7" i="13"/>
  <c r="CP8" i="13"/>
  <c r="AZ22" i="13"/>
  <c r="U6" i="13"/>
  <c r="AY6" i="13"/>
  <c r="AZ6" i="13" s="1"/>
  <c r="CP7" i="13"/>
  <c r="CN7" i="13"/>
  <c r="CB7" i="13"/>
  <c r="BN7" i="13"/>
  <c r="CJ7" i="13"/>
  <c r="BX7" i="13"/>
  <c r="AY7" i="13"/>
  <c r="AZ7" i="13" s="1"/>
  <c r="K7" i="13"/>
  <c r="AG7" i="13" s="1"/>
  <c r="CO7" i="13"/>
  <c r="CS8" i="13"/>
  <c r="CR9" i="13"/>
  <c r="CF9" i="13"/>
  <c r="CP9" i="13"/>
  <c r="DA9" i="13"/>
  <c r="CO9" i="13"/>
  <c r="BQ9" i="13"/>
  <c r="T9" i="13"/>
  <c r="H9" i="13" s="1"/>
  <c r="CN9" i="13"/>
  <c r="CB9" i="13"/>
  <c r="BN9" i="13"/>
  <c r="CJ9" i="13"/>
  <c r="BX9" i="13"/>
  <c r="AY9" i="13"/>
  <c r="K9" i="13"/>
  <c r="CQ9" i="13"/>
  <c r="BZ12" i="13"/>
  <c r="BZ14" i="13"/>
  <c r="AB18" i="13"/>
  <c r="BD18" i="13"/>
  <c r="CX18" i="13"/>
  <c r="CW18" i="13"/>
  <c r="CZ18" i="13"/>
  <c r="CY18" i="13"/>
  <c r="CV18" i="13"/>
  <c r="CY19" i="13"/>
  <c r="CX19" i="13"/>
  <c r="CZ19" i="13"/>
  <c r="CW19" i="13"/>
  <c r="CV19" i="13"/>
  <c r="BB22" i="13"/>
  <c r="H7" i="13"/>
  <c r="AT7" i="13" s="1"/>
  <c r="CQ7" i="13"/>
  <c r="CS9" i="13"/>
  <c r="X12" i="13"/>
  <c r="U12" i="13"/>
  <c r="CE12" i="13"/>
  <c r="CD12" i="13"/>
  <c r="CC12" i="13"/>
  <c r="CK17" i="13"/>
  <c r="AI19" i="13"/>
  <c r="AG19" i="13"/>
  <c r="AD19" i="13"/>
  <c r="AC19" i="13"/>
  <c r="AH19" i="13"/>
  <c r="AF19" i="13"/>
  <c r="AE19" i="13"/>
  <c r="AE16" i="15"/>
  <c r="AC16" i="15"/>
  <c r="CA16" i="15"/>
  <c r="AD16" i="15"/>
  <c r="CA10" i="13"/>
  <c r="BY10" i="13"/>
  <c r="CZ10" i="13"/>
  <c r="CY10" i="13"/>
  <c r="CW10" i="13"/>
  <c r="BD12" i="13"/>
  <c r="BB12" i="13"/>
  <c r="BC12" i="13" s="1"/>
  <c r="AV14" i="13"/>
  <c r="DI14" i="13"/>
  <c r="AU14" i="13"/>
  <c r="DH14" i="13"/>
  <c r="DG14" i="13"/>
  <c r="DP14" i="13"/>
  <c r="CJ6" i="13"/>
  <c r="CS7" i="13"/>
  <c r="CU9" i="13"/>
  <c r="BZ10" i="13"/>
  <c r="CV10" i="13"/>
  <c r="DK11" i="13"/>
  <c r="DJ11" i="13"/>
  <c r="AV11" i="13"/>
  <c r="AU11" i="13"/>
  <c r="DO11" i="13"/>
  <c r="BY11" i="13"/>
  <c r="DN11" i="13"/>
  <c r="BO15" i="13"/>
  <c r="BW22" i="13"/>
  <c r="BU22" i="13"/>
  <c r="AC23" i="13"/>
  <c r="AH23" i="13"/>
  <c r="AG23" i="13"/>
  <c r="AI23" i="13"/>
  <c r="AF23" i="13"/>
  <c r="AE23" i="13"/>
  <c r="AD23" i="13"/>
  <c r="CH23" i="13"/>
  <c r="CI23" i="13"/>
  <c r="F29" i="13"/>
  <c r="CZ7" i="13"/>
  <c r="CY7" i="13"/>
  <c r="CX7" i="13"/>
  <c r="CV7" i="13"/>
  <c r="DJ10" i="13"/>
  <c r="AV10" i="13"/>
  <c r="AU10" i="13"/>
  <c r="DP10" i="13"/>
  <c r="DN10" i="13"/>
  <c r="DK10" i="13"/>
  <c r="AB12" i="13"/>
  <c r="BD14" i="13"/>
  <c r="BB14" i="13"/>
  <c r="L18" i="13"/>
  <c r="N18" i="13" s="1"/>
  <c r="Y18" i="13"/>
  <c r="AO18" i="13" s="1"/>
  <c r="CF18" i="13"/>
  <c r="V18" i="13"/>
  <c r="L22" i="13"/>
  <c r="N22" i="13" s="1"/>
  <c r="AS22" i="13"/>
  <c r="CJ22" i="13"/>
  <c r="Y22" i="13"/>
  <c r="AN22" i="13" s="1"/>
  <c r="V22" i="13"/>
  <c r="BV22" i="13"/>
  <c r="DO22" i="13"/>
  <c r="CG23" i="13"/>
  <c r="DL24" i="13"/>
  <c r="DJ24" i="13"/>
  <c r="AV24" i="13"/>
  <c r="DI24" i="13"/>
  <c r="AU24" i="13"/>
  <c r="DH24" i="13"/>
  <c r="DK24" i="13"/>
  <c r="DG24" i="13"/>
  <c r="DA6" i="13"/>
  <c r="CO6" i="13"/>
  <c r="BQ6" i="13"/>
  <c r="T6" i="13"/>
  <c r="H6" i="13" s="1"/>
  <c r="CU6" i="13"/>
  <c r="BX6" i="13"/>
  <c r="CP6" i="13"/>
  <c r="CQ8" i="13"/>
  <c r="DA8" i="13"/>
  <c r="CO8" i="13"/>
  <c r="BQ8" i="13"/>
  <c r="T8" i="13"/>
  <c r="H8" i="13" s="1"/>
  <c r="BT8" i="13" s="1"/>
  <c r="CN8" i="13"/>
  <c r="CB8" i="13"/>
  <c r="BN8" i="13"/>
  <c r="CU8" i="13"/>
  <c r="AY8" i="13"/>
  <c r="AZ8" i="13" s="1"/>
  <c r="CF8" i="13"/>
  <c r="X10" i="13"/>
  <c r="U10" i="13"/>
  <c r="AZ10" i="13"/>
  <c r="DL10" i="13"/>
  <c r="BO17" i="13"/>
  <c r="BB18" i="13"/>
  <c r="BM18" i="13" s="1"/>
  <c r="CC18" i="13"/>
  <c r="CD18" i="13"/>
  <c r="AT22" i="13"/>
  <c r="BY22" i="13"/>
  <c r="BZ22" i="13"/>
  <c r="CQ6" i="13"/>
  <c r="CF7" i="13"/>
  <c r="DA7" i="13"/>
  <c r="AI9" i="13"/>
  <c r="AG9" i="13"/>
  <c r="AF9" i="13"/>
  <c r="BD10" i="13"/>
  <c r="CI10" i="13"/>
  <c r="DM10" i="13"/>
  <c r="BD11" i="13"/>
  <c r="CK11" i="13"/>
  <c r="BP12" i="13"/>
  <c r="DM14" i="13"/>
  <c r="BS17" i="13"/>
  <c r="BR17" i="13"/>
  <c r="AT18" i="13"/>
  <c r="CE18" i="13"/>
  <c r="CA22" i="13"/>
  <c r="DN22" i="13"/>
  <c r="DL22" i="13"/>
  <c r="I22" i="13"/>
  <c r="DJ22" i="13"/>
  <c r="AV22" i="13"/>
  <c r="DG22" i="13"/>
  <c r="DM22" i="13"/>
  <c r="DK22" i="13"/>
  <c r="AU22" i="13"/>
  <c r="DI22" i="13"/>
  <c r="DH22" i="13"/>
  <c r="AB10" i="13"/>
  <c r="BN11" i="13"/>
  <c r="CZ15" i="13"/>
  <c r="CZ17" i="13"/>
  <c r="CA19" i="13"/>
  <c r="BZ19" i="13"/>
  <c r="BX21" i="13"/>
  <c r="AY21" i="13"/>
  <c r="K21" i="13"/>
  <c r="CT21" i="13"/>
  <c r="CR21" i="13"/>
  <c r="CF21" i="13"/>
  <c r="BT21" i="13"/>
  <c r="DA21" i="13"/>
  <c r="CO21" i="13"/>
  <c r="BQ21" i="13"/>
  <c r="T21" i="13"/>
  <c r="H21" i="13" s="1"/>
  <c r="CN21" i="13"/>
  <c r="CB21" i="13"/>
  <c r="AB22" i="13"/>
  <c r="BD22" i="13"/>
  <c r="CJ28" i="13"/>
  <c r="L28" i="13"/>
  <c r="BB24" i="13"/>
  <c r="BC24" i="13" s="1"/>
  <c r="AB24" i="13"/>
  <c r="CI26" i="13"/>
  <c r="CH26" i="13"/>
  <c r="CG26" i="13"/>
  <c r="CA27" i="13"/>
  <c r="BY27" i="13"/>
  <c r="BB10" i="13"/>
  <c r="BC10" i="13" s="1"/>
  <c r="CB11" i="13"/>
  <c r="CN11" i="13"/>
  <c r="CD17" i="13"/>
  <c r="BP20" i="13"/>
  <c r="BO20" i="13"/>
  <c r="CM20" i="13"/>
  <c r="CQ21" i="13"/>
  <c r="CD22" i="13"/>
  <c r="CC22" i="13"/>
  <c r="CX22" i="13"/>
  <c r="BZ27" i="13"/>
  <c r="T11" i="13"/>
  <c r="H11" i="13" s="1"/>
  <c r="DG11" i="13" s="1"/>
  <c r="AF11" i="13"/>
  <c r="BQ11" i="13"/>
  <c r="CO11" i="13"/>
  <c r="DA11" i="13"/>
  <c r="AU18" i="13"/>
  <c r="CS21" i="13"/>
  <c r="CY22" i="13"/>
  <c r="BN23" i="13"/>
  <c r="BX23" i="13"/>
  <c r="AY23" i="13"/>
  <c r="K23" i="13"/>
  <c r="BB23" i="13" s="1"/>
  <c r="CT23" i="13"/>
  <c r="H23" i="13"/>
  <c r="CJ23" i="13" s="1"/>
  <c r="CQ23" i="13"/>
  <c r="CP23" i="13"/>
  <c r="BT23" i="13"/>
  <c r="CN23" i="13"/>
  <c r="CA24" i="13"/>
  <c r="BZ24" i="13"/>
  <c r="BY24" i="13"/>
  <c r="CE27" i="13"/>
  <c r="CD27" i="13"/>
  <c r="CC27" i="13"/>
  <c r="BB8" i="13"/>
  <c r="BC8" i="13" s="1"/>
  <c r="T10" i="13"/>
  <c r="H10" i="13" s="1"/>
  <c r="DH10" i="13" s="1"/>
  <c r="BQ10" i="13"/>
  <c r="CC10" i="13"/>
  <c r="CO10" i="13"/>
  <c r="DA10" i="13"/>
  <c r="AG11" i="13"/>
  <c r="CP11" i="13"/>
  <c r="CQ12" i="13"/>
  <c r="BT15" i="13"/>
  <c r="CF15" i="13"/>
  <c r="CR15" i="13"/>
  <c r="BT17" i="13"/>
  <c r="CR17" i="13"/>
  <c r="CQ18" i="13"/>
  <c r="DA18" i="13"/>
  <c r="CO18" i="13"/>
  <c r="AJ18" i="13"/>
  <c r="AV18" i="13"/>
  <c r="BU18" i="13"/>
  <c r="CT19" i="13"/>
  <c r="CR19" i="13"/>
  <c r="CF19" i="13"/>
  <c r="BT19" i="13"/>
  <c r="CP19" i="13"/>
  <c r="BN19" i="13"/>
  <c r="CE19" i="13"/>
  <c r="BR20" i="13"/>
  <c r="CL20" i="13"/>
  <c r="CU21" i="13"/>
  <c r="CI22" i="13"/>
  <c r="CG22" i="13"/>
  <c r="CZ22" i="13"/>
  <c r="CO23" i="13"/>
  <c r="BM24" i="13"/>
  <c r="BR25" i="13"/>
  <c r="BP26" i="13"/>
  <c r="BO26" i="13"/>
  <c r="L27" i="13"/>
  <c r="N27" i="13" s="1"/>
  <c r="V27" i="13"/>
  <c r="AS27" i="13"/>
  <c r="Y27" i="13"/>
  <c r="AK27" i="13" s="1"/>
  <c r="CD10" i="13"/>
  <c r="AH11" i="13"/>
  <c r="CQ11" i="13"/>
  <c r="CS15" i="13"/>
  <c r="CS17" i="13"/>
  <c r="BV18" i="13"/>
  <c r="DG18" i="13"/>
  <c r="AV19" i="13"/>
  <c r="AV20" i="13"/>
  <c r="DH20" i="13"/>
  <c r="DP20" i="13"/>
  <c r="BW20" i="13"/>
  <c r="BU20" i="13"/>
  <c r="DM20" i="13"/>
  <c r="CR23" i="13"/>
  <c r="AZ24" i="13"/>
  <c r="CZ25" i="13"/>
  <c r="CY25" i="13"/>
  <c r="CX25" i="13"/>
  <c r="CV25" i="13"/>
  <c r="CQ10" i="13"/>
  <c r="CF11" i="13"/>
  <c r="CR11" i="13"/>
  <c r="CG12" i="13"/>
  <c r="CS12" i="13"/>
  <c r="BU14" i="13"/>
  <c r="CG14" i="13"/>
  <c r="H15" i="13"/>
  <c r="CT15" i="13"/>
  <c r="H17" i="13"/>
  <c r="CT17" i="13"/>
  <c r="I18" i="13"/>
  <c r="CJ18" i="13"/>
  <c r="BV20" i="13"/>
  <c r="DN20" i="13"/>
  <c r="AA22" i="13"/>
  <c r="U23" i="13"/>
  <c r="CS23" i="13"/>
  <c r="CW25" i="13"/>
  <c r="CY27" i="13"/>
  <c r="CW27" i="13"/>
  <c r="CZ27" i="13"/>
  <c r="CX27" i="13"/>
  <c r="CS11" i="13"/>
  <c r="DH18" i="13"/>
  <c r="DO18" i="13"/>
  <c r="DN18" i="13"/>
  <c r="DJ18" i="13"/>
  <c r="DI19" i="13"/>
  <c r="AU19" i="13"/>
  <c r="DG19" i="13"/>
  <c r="DP19" i="13"/>
  <c r="DO19" i="13"/>
  <c r="CM19" i="13"/>
  <c r="CL19" i="13"/>
  <c r="CU23" i="13"/>
  <c r="BD24" i="13"/>
  <c r="BD26" i="13"/>
  <c r="BW26" i="13"/>
  <c r="BV26" i="13"/>
  <c r="BU26" i="13"/>
  <c r="BB27" i="13"/>
  <c r="BC27" i="13" s="1"/>
  <c r="AB27" i="13"/>
  <c r="K15" i="13"/>
  <c r="AY15" i="13"/>
  <c r="BX15" i="13"/>
  <c r="K17" i="13"/>
  <c r="AY17" i="13"/>
  <c r="BX17" i="13"/>
  <c r="CN18" i="13"/>
  <c r="DK18" i="13"/>
  <c r="AY19" i="13"/>
  <c r="AZ19" i="13" s="1"/>
  <c r="BS19" i="13"/>
  <c r="CK19" i="13"/>
  <c r="BB20" i="13"/>
  <c r="BD20" i="13"/>
  <c r="BY20" i="13"/>
  <c r="AI21" i="13"/>
  <c r="AF21" i="13"/>
  <c r="AE21" i="13"/>
  <c r="CB23" i="13"/>
  <c r="H25" i="13"/>
  <c r="U26" i="13"/>
  <c r="CA26" i="13"/>
  <c r="AD20" i="13"/>
  <c r="CY20" i="13"/>
  <c r="BQ22" i="13"/>
  <c r="CO22" i="13"/>
  <c r="DA22" i="13"/>
  <c r="AH24" i="13"/>
  <c r="CQ24" i="13"/>
  <c r="AI25" i="13"/>
  <c r="BT25" i="13"/>
  <c r="CF25" i="13"/>
  <c r="CR25" i="13"/>
  <c r="AV26" i="13"/>
  <c r="CT26" i="13"/>
  <c r="AD27" i="13"/>
  <c r="AI27" i="13"/>
  <c r="AH27" i="13"/>
  <c r="K457" i="12"/>
  <c r="N457" i="12" s="1"/>
  <c r="CB20" i="13"/>
  <c r="CN20" i="13"/>
  <c r="CP22" i="13"/>
  <c r="AI24" i="13"/>
  <c r="BT24" i="13"/>
  <c r="CF24" i="13"/>
  <c r="CR24" i="13"/>
  <c r="CS25" i="13"/>
  <c r="CU26" i="13"/>
  <c r="CS24" i="13"/>
  <c r="BH16" i="15"/>
  <c r="BH19" i="15"/>
  <c r="BH22" i="15"/>
  <c r="DH26" i="13"/>
  <c r="DG26" i="13"/>
  <c r="AT27" i="13"/>
  <c r="CQ20" i="13"/>
  <c r="CS22" i="13"/>
  <c r="CU24" i="13"/>
  <c r="K25" i="13"/>
  <c r="AY25" i="13"/>
  <c r="BX25" i="13"/>
  <c r="AB26" i="13"/>
  <c r="BY26" i="13"/>
  <c r="CS27" i="13"/>
  <c r="CR27" i="13"/>
  <c r="CF27" i="13"/>
  <c r="BT27" i="13"/>
  <c r="CQ27" i="13"/>
  <c r="AV27" i="13"/>
  <c r="BP27" i="13"/>
  <c r="CJ27" i="13"/>
  <c r="DK27" i="13"/>
  <c r="K458" i="12"/>
  <c r="BH14" i="15"/>
  <c r="AC25" i="13"/>
  <c r="BN25" i="13"/>
  <c r="BB26" i="13"/>
  <c r="DI26" i="13"/>
  <c r="I27" i="13"/>
  <c r="BR27" i="13"/>
  <c r="CN27" i="13"/>
  <c r="CZ28" i="13"/>
  <c r="CX28" i="13"/>
  <c r="CV28" i="13"/>
  <c r="BH23" i="15"/>
  <c r="DJ26" i="13"/>
  <c r="DP27" i="13"/>
  <c r="DN27" i="13"/>
  <c r="DJ27" i="13"/>
  <c r="DI27" i="13"/>
  <c r="AU27" i="13"/>
  <c r="DH27" i="13"/>
  <c r="AZ27" i="13"/>
  <c r="DO27" i="13"/>
  <c r="CB25" i="13"/>
  <c r="T26" i="13"/>
  <c r="H26" i="13" s="1"/>
  <c r="BQ26" i="13"/>
  <c r="CO26" i="13"/>
  <c r="DK26" i="13"/>
  <c r="CP27" i="13"/>
  <c r="CY28" i="13"/>
  <c r="K454" i="12"/>
  <c r="N454" i="12" s="1"/>
  <c r="AU28" i="13"/>
  <c r="BT28" i="13"/>
  <c r="CF28" i="13"/>
  <c r="CR28" i="13"/>
  <c r="DI28" i="13"/>
  <c r="K456" i="12"/>
  <c r="AV28" i="13"/>
  <c r="CS28" i="13"/>
  <c r="DJ28" i="13"/>
  <c r="AE18" i="15"/>
  <c r="AC18" i="15"/>
  <c r="CA18" i="15"/>
  <c r="AD18" i="15"/>
  <c r="DK28" i="13"/>
  <c r="BH20" i="15"/>
  <c r="BH24" i="15"/>
  <c r="BH26" i="15"/>
  <c r="AC14" i="15"/>
  <c r="CA14" i="15"/>
  <c r="AC15" i="15"/>
  <c r="AE15" i="15"/>
  <c r="AD15" i="15"/>
  <c r="DM28" i="13"/>
  <c r="BH15" i="15"/>
  <c r="AD14" i="15"/>
  <c r="DO28" i="13"/>
  <c r="BH18" i="15"/>
  <c r="BH21" i="15"/>
  <c r="BH25" i="15"/>
  <c r="CZ25" i="15"/>
  <c r="BH27" i="15"/>
  <c r="AE14" i="15"/>
  <c r="CA15" i="15"/>
  <c r="CB28" i="13"/>
  <c r="AC19" i="15"/>
  <c r="AC20" i="15"/>
  <c r="AC21" i="15"/>
  <c r="AC22" i="15"/>
  <c r="AN13" i="16"/>
  <c r="AG33" i="16"/>
  <c r="M1102" i="12" s="1"/>
  <c r="AN22" i="16"/>
  <c r="AM22" i="16"/>
  <c r="AL22" i="16"/>
  <c r="AH33" i="16"/>
  <c r="M1103" i="12" s="1"/>
  <c r="AN21" i="16"/>
  <c r="CM27" i="15"/>
  <c r="AI33" i="16"/>
  <c r="M1104" i="12" s="1"/>
  <c r="AL19" i="16"/>
  <c r="AM19" i="16" s="1"/>
  <c r="AN26" i="16"/>
  <c r="CF27" i="15"/>
  <c r="AM16" i="16"/>
  <c r="AN16" i="16" s="1"/>
  <c r="AL18" i="16"/>
  <c r="AM18" i="16" s="1"/>
  <c r="AM21" i="16"/>
  <c r="AL23" i="16"/>
  <c r="AM23" i="16" s="1"/>
  <c r="AL24" i="16"/>
  <c r="AM24" i="16" s="1"/>
  <c r="AM25" i="16"/>
  <c r="AN25" i="16" s="1"/>
  <c r="AM26" i="16"/>
  <c r="AL27" i="16"/>
  <c r="AM27" i="16" s="1"/>
  <c r="AN27" i="16" s="1"/>
  <c r="AL28" i="16"/>
  <c r="AN28" i="16" s="1"/>
  <c r="AM28" i="16"/>
  <c r="AL29" i="16"/>
  <c r="AL30" i="16"/>
  <c r="AM30" i="16"/>
  <c r="AL31" i="16"/>
  <c r="AL32" i="16"/>
  <c r="AM32" i="16" s="1"/>
  <c r="B1663" i="12" l="1"/>
  <c r="G1583" i="12"/>
  <c r="O1583" i="12" s="1"/>
  <c r="H212" i="4"/>
  <c r="H152" i="4"/>
  <c r="H383" i="4"/>
  <c r="H231" i="4"/>
  <c r="H27" i="4"/>
  <c r="H261" i="4"/>
  <c r="H244" i="4"/>
  <c r="H33" i="4"/>
  <c r="H287" i="4"/>
  <c r="H260" i="4"/>
  <c r="H218" i="4"/>
  <c r="H169" i="4"/>
  <c r="H100" i="4"/>
  <c r="H356" i="4"/>
  <c r="H136" i="4"/>
  <c r="H37" i="4"/>
  <c r="H305" i="4"/>
  <c r="H113" i="4"/>
  <c r="H144" i="4"/>
  <c r="H34" i="4"/>
  <c r="H333" i="4"/>
  <c r="H298" i="4"/>
  <c r="H339" i="4"/>
  <c r="H141" i="4"/>
  <c r="H384" i="4"/>
  <c r="H377" i="4"/>
  <c r="H309" i="4"/>
  <c r="H8" i="4"/>
  <c r="H196" i="4"/>
  <c r="H140" i="4"/>
  <c r="H400" i="4"/>
  <c r="H254" i="4"/>
  <c r="H93" i="4"/>
  <c r="H19" i="4"/>
  <c r="H172" i="4"/>
  <c r="H379" i="4"/>
  <c r="H25" i="4"/>
  <c r="H245" i="4"/>
  <c r="H119" i="4"/>
  <c r="H90" i="4"/>
  <c r="H381" i="4"/>
  <c r="H274" i="4"/>
  <c r="H145" i="4"/>
  <c r="H187" i="4"/>
  <c r="H265" i="4"/>
  <c r="H353" i="4"/>
  <c r="H54" i="4"/>
  <c r="H407" i="4"/>
  <c r="H269" i="4"/>
  <c r="H76" i="4"/>
  <c r="H227" i="4"/>
  <c r="H156" i="4"/>
  <c r="H324" i="4"/>
  <c r="H55" i="4"/>
  <c r="H150" i="4"/>
  <c r="H70" i="4"/>
  <c r="H284" i="4"/>
  <c r="H158" i="4"/>
  <c r="H375" i="4"/>
  <c r="H272" i="4"/>
  <c r="H281" i="4"/>
  <c r="H246" i="4"/>
  <c r="H7" i="4"/>
  <c r="H242" i="4"/>
  <c r="H286" i="4"/>
  <c r="H182" i="4"/>
  <c r="H134" i="4"/>
  <c r="H194" i="4"/>
  <c r="H236" i="4"/>
  <c r="H251" i="4"/>
  <c r="H370" i="4"/>
  <c r="H66" i="4"/>
  <c r="H282" i="4"/>
  <c r="H9" i="4"/>
  <c r="H273" i="4"/>
  <c r="H317" i="4"/>
  <c r="H20" i="4"/>
  <c r="H190" i="4"/>
  <c r="H373" i="4"/>
  <c r="H56" i="4"/>
  <c r="H35" i="4"/>
  <c r="H135" i="4"/>
  <c r="H397" i="4"/>
  <c r="H116" i="4"/>
  <c r="H167" i="4"/>
  <c r="H133" i="4"/>
  <c r="H26" i="4"/>
  <c r="H405" i="4"/>
  <c r="H188" i="4"/>
  <c r="H147" i="4"/>
  <c r="H79" i="4"/>
  <c r="H374" i="4"/>
  <c r="H267" i="4"/>
  <c r="H143" i="4"/>
  <c r="H99" i="4"/>
  <c r="H22" i="4"/>
  <c r="H128" i="4"/>
  <c r="H215" i="4"/>
  <c r="H270" i="4"/>
  <c r="H209" i="4"/>
  <c r="H321" i="4"/>
  <c r="H94" i="4"/>
  <c r="H352" i="4"/>
  <c r="H302" i="4"/>
  <c r="H163" i="4"/>
  <c r="H205" i="4"/>
  <c r="H142" i="4"/>
  <c r="H336" i="4"/>
  <c r="H331" i="4"/>
  <c r="H177" i="4"/>
  <c r="H399" i="4"/>
  <c r="H253" i="4"/>
  <c r="H385" i="4"/>
  <c r="H32" i="4"/>
  <c r="H228" i="4"/>
  <c r="H130" i="4"/>
  <c r="H252" i="4"/>
  <c r="H224" i="4"/>
  <c r="H303" i="4"/>
  <c r="H111" i="4"/>
  <c r="H271" i="4"/>
  <c r="H386" i="4"/>
  <c r="H301" i="4"/>
  <c r="H291" i="4"/>
  <c r="H319" i="4"/>
  <c r="H258" i="4"/>
  <c r="H15" i="4"/>
  <c r="H57" i="4"/>
  <c r="H192" i="4"/>
  <c r="H166" i="4"/>
  <c r="H11" i="4"/>
  <c r="H297" i="4"/>
  <c r="H85" i="4"/>
  <c r="H312" i="4"/>
  <c r="H127" i="4"/>
  <c r="H278" i="4"/>
  <c r="H24" i="4"/>
  <c r="H120" i="4"/>
  <c r="H300" i="4"/>
  <c r="H109" i="4"/>
  <c r="H223" i="4"/>
  <c r="H350" i="4"/>
  <c r="H233" i="4"/>
  <c r="H64" i="4"/>
  <c r="H371" i="4"/>
  <c r="H87" i="4"/>
  <c r="H322" i="4"/>
  <c r="H326" i="4"/>
  <c r="H13" i="4"/>
  <c r="H316" i="4"/>
  <c r="H17" i="4"/>
  <c r="H293" i="4"/>
  <c r="H110" i="4"/>
  <c r="H202" i="4"/>
  <c r="H357" i="4"/>
  <c r="H266" i="4"/>
  <c r="H406" i="4"/>
  <c r="H68" i="4"/>
  <c r="H104" i="4"/>
  <c r="H388" i="4"/>
  <c r="H277" i="4"/>
  <c r="H125" i="4"/>
  <c r="H41" i="4"/>
  <c r="H234" i="4"/>
  <c r="H10" i="4"/>
  <c r="H92" i="4"/>
  <c r="H63" i="4"/>
  <c r="H292" i="4"/>
  <c r="H295" i="4"/>
  <c r="H338" i="4"/>
  <c r="H216" i="4"/>
  <c r="H86" i="4"/>
  <c r="H191" i="4"/>
  <c r="H184" i="4"/>
  <c r="H294" i="4"/>
  <c r="H126" i="4"/>
  <c r="H31" i="4"/>
  <c r="H4" i="4"/>
  <c r="H23" i="4"/>
  <c r="H98" i="4"/>
  <c r="H53" i="4"/>
  <c r="H58" i="4"/>
  <c r="H73" i="4"/>
  <c r="H378" i="4"/>
  <c r="H257" i="4"/>
  <c r="H176" i="4"/>
  <c r="H36" i="4"/>
  <c r="H220" i="4"/>
  <c r="H103" i="4"/>
  <c r="H243" i="4"/>
  <c r="H72" i="4"/>
  <c r="H75" i="4"/>
  <c r="H43" i="4"/>
  <c r="H332" i="4"/>
  <c r="H164" i="4"/>
  <c r="H206" i="4"/>
  <c r="H337" i="4"/>
  <c r="H80" i="4"/>
  <c r="H392" i="4"/>
  <c r="H354" i="4"/>
  <c r="H296" i="4"/>
  <c r="H290" i="4"/>
  <c r="H117" i="4"/>
  <c r="H46" i="4"/>
  <c r="H259" i="4"/>
  <c r="H173" i="4"/>
  <c r="H121" i="4"/>
  <c r="H358" i="4"/>
  <c r="H327" i="4"/>
  <c r="H308" i="4"/>
  <c r="H351" i="4"/>
  <c r="H137" i="4"/>
  <c r="H89" i="4"/>
  <c r="H394" i="4"/>
  <c r="H247" i="4"/>
  <c r="H199" i="4"/>
  <c r="H328" i="4"/>
  <c r="H372" i="4"/>
  <c r="H396" i="4"/>
  <c r="H390" i="4"/>
  <c r="H151" i="4"/>
  <c r="G1459" i="12"/>
  <c r="O1459" i="12" s="1"/>
  <c r="H44" i="4"/>
  <c r="BZ50" i="15"/>
  <c r="I50" i="15"/>
  <c r="CB50" i="15"/>
  <c r="BY50" i="15"/>
  <c r="CO50" i="15" s="1"/>
  <c r="CR28" i="15"/>
  <c r="AB28" i="15"/>
  <c r="AR28" i="15"/>
  <c r="N28" i="15"/>
  <c r="L28" i="15"/>
  <c r="BI64" i="15"/>
  <c r="BJ64" i="15"/>
  <c r="BM64" i="15"/>
  <c r="BL64" i="15"/>
  <c r="CI64" i="15"/>
  <c r="CT64" i="15" s="1"/>
  <c r="CX64" i="15"/>
  <c r="CY64" i="15" s="1"/>
  <c r="BX64" i="15"/>
  <c r="BO64" i="15"/>
  <c r="BN64" i="15"/>
  <c r="BW64" i="15"/>
  <c r="BK64" i="15"/>
  <c r="CN64" i="15"/>
  <c r="I39" i="15"/>
  <c r="BZ39" i="15"/>
  <c r="CB39" i="15"/>
  <c r="BY39" i="15"/>
  <c r="CO39" i="15" s="1"/>
  <c r="L48" i="15"/>
  <c r="AR48" i="15" s="1"/>
  <c r="CR48" i="15"/>
  <c r="N48" i="15"/>
  <c r="CR39" i="15"/>
  <c r="N39" i="15"/>
  <c r="L39" i="15"/>
  <c r="AR39" i="15" s="1"/>
  <c r="CR47" i="15"/>
  <c r="N47" i="15"/>
  <c r="L47" i="15"/>
  <c r="AR47" i="15" s="1"/>
  <c r="BK63" i="15"/>
  <c r="BI63" i="15"/>
  <c r="BJ63" i="15"/>
  <c r="BO63" i="15"/>
  <c r="BM63" i="15"/>
  <c r="BL63" i="15"/>
  <c r="CN63" i="15"/>
  <c r="CI63" i="15"/>
  <c r="CT63" i="15" s="1"/>
  <c r="CX63" i="15"/>
  <c r="CY63" i="15" s="1"/>
  <c r="BX63" i="15"/>
  <c r="BW63" i="15"/>
  <c r="BN63" i="15"/>
  <c r="BI48" i="15"/>
  <c r="CX48" i="15"/>
  <c r="CY48" i="15" s="1"/>
  <c r="BJ48" i="15"/>
  <c r="BM48" i="15"/>
  <c r="BX48" i="15"/>
  <c r="BW48" i="15"/>
  <c r="CN48" i="15"/>
  <c r="BL48" i="15"/>
  <c r="CI48" i="15"/>
  <c r="CT48" i="15" s="1"/>
  <c r="BK48" i="15"/>
  <c r="BO48" i="15"/>
  <c r="BN48" i="15"/>
  <c r="CR40" i="15"/>
  <c r="L40" i="15"/>
  <c r="AR40" i="15" s="1"/>
  <c r="N40" i="15"/>
  <c r="CZ62" i="15"/>
  <c r="E22" i="15"/>
  <c r="I22" i="15" s="1"/>
  <c r="E61" i="15"/>
  <c r="BL46" i="15"/>
  <c r="BK46" i="15"/>
  <c r="BI46" i="15"/>
  <c r="CX46" i="15"/>
  <c r="CY46" i="15" s="1"/>
  <c r="BX46" i="15"/>
  <c r="BW46" i="15"/>
  <c r="CN46" i="15"/>
  <c r="BM46" i="15"/>
  <c r="CI46" i="15"/>
  <c r="CT46" i="15" s="1"/>
  <c r="BJ46" i="15"/>
  <c r="BN46" i="15"/>
  <c r="BO46" i="15"/>
  <c r="CU46" i="15"/>
  <c r="CW46" i="15"/>
  <c r="BV46" i="15"/>
  <c r="CS46" i="15"/>
  <c r="E56" i="15"/>
  <c r="CR10" i="15"/>
  <c r="N10" i="15"/>
  <c r="L10" i="15"/>
  <c r="AR10" i="15"/>
  <c r="E31" i="15"/>
  <c r="BO62" i="15"/>
  <c r="BI62" i="15"/>
  <c r="BX62" i="15"/>
  <c r="BW62" i="15"/>
  <c r="CN62" i="15"/>
  <c r="CI62" i="15"/>
  <c r="CT62" i="15" s="1"/>
  <c r="BM62" i="15"/>
  <c r="BL62" i="15"/>
  <c r="BK62" i="15"/>
  <c r="BJ62" i="15"/>
  <c r="BN62" i="15"/>
  <c r="CX62" i="15"/>
  <c r="CY62" i="15" s="1"/>
  <c r="CB32" i="15"/>
  <c r="BY32" i="15"/>
  <c r="CO32" i="15" s="1"/>
  <c r="BZ32" i="15"/>
  <c r="I32" i="15"/>
  <c r="BO38" i="15"/>
  <c r="BN38" i="15"/>
  <c r="BK38" i="15"/>
  <c r="BI38" i="15"/>
  <c r="BM38" i="15"/>
  <c r="CU38" i="15"/>
  <c r="BL38" i="15"/>
  <c r="CS38" i="15"/>
  <c r="BJ38" i="15"/>
  <c r="CN38" i="15"/>
  <c r="CI38" i="15"/>
  <c r="CT38" i="15" s="1"/>
  <c r="CX38" i="15"/>
  <c r="CY38" i="15" s="1"/>
  <c r="CW38" i="15"/>
  <c r="CV38" i="15"/>
  <c r="BX38" i="15"/>
  <c r="BW38" i="15"/>
  <c r="BV38" i="15"/>
  <c r="CZ66" i="15"/>
  <c r="CZ49" i="15"/>
  <c r="BI49" i="15"/>
  <c r="BL49" i="15"/>
  <c r="BK49" i="15"/>
  <c r="CX49" i="15"/>
  <c r="CY49" i="15" s="1"/>
  <c r="BJ49" i="15"/>
  <c r="CW49" i="15"/>
  <c r="BN49" i="15"/>
  <c r="CV49" i="15"/>
  <c r="BX49" i="15"/>
  <c r="CU49" i="15"/>
  <c r="BW49" i="15"/>
  <c r="BV49" i="15"/>
  <c r="CS49" i="15"/>
  <c r="CN49" i="15"/>
  <c r="BO49" i="15"/>
  <c r="CI49" i="15"/>
  <c r="CT49" i="15" s="1"/>
  <c r="BM49" i="15"/>
  <c r="CR62" i="15"/>
  <c r="N62" i="15"/>
  <c r="L62" i="15"/>
  <c r="AR62" i="15" s="1"/>
  <c r="CR30" i="15"/>
  <c r="AR30" i="15"/>
  <c r="L30" i="15"/>
  <c r="AV30" i="15" s="1"/>
  <c r="N30" i="15"/>
  <c r="AB30" i="15"/>
  <c r="E51" i="15"/>
  <c r="CR63" i="15"/>
  <c r="L63" i="15"/>
  <c r="AR63" i="15" s="1"/>
  <c r="N63" i="15"/>
  <c r="CZ10" i="15"/>
  <c r="BW57" i="15"/>
  <c r="BJ57" i="15"/>
  <c r="BM57" i="15"/>
  <c r="BO57" i="15"/>
  <c r="BN57" i="15"/>
  <c r="BX57" i="15"/>
  <c r="CI57" i="15"/>
  <c r="CT57" i="15" s="1"/>
  <c r="CX57" i="15"/>
  <c r="CY57" i="15" s="1"/>
  <c r="BI57" i="15"/>
  <c r="BL57" i="15"/>
  <c r="BK57" i="15"/>
  <c r="CN57" i="15"/>
  <c r="CX56" i="15"/>
  <c r="CY56" i="15" s="1"/>
  <c r="BX56" i="15"/>
  <c r="BW56" i="15"/>
  <c r="BN56" i="15"/>
  <c r="BM56" i="15"/>
  <c r="BK56" i="15"/>
  <c r="BJ56" i="15"/>
  <c r="BO56" i="15"/>
  <c r="BL56" i="15"/>
  <c r="BI56" i="15"/>
  <c r="CN56" i="15"/>
  <c r="CI56" i="15"/>
  <c r="CT56" i="15" s="1"/>
  <c r="CS56" i="15"/>
  <c r="CV56" i="15"/>
  <c r="CU56" i="15"/>
  <c r="BV56" i="15"/>
  <c r="E60" i="15"/>
  <c r="BL60" i="15"/>
  <c r="BK60" i="15"/>
  <c r="BO60" i="15"/>
  <c r="BM60" i="15"/>
  <c r="BJ60" i="15"/>
  <c r="CS60" i="15"/>
  <c r="BI60" i="15"/>
  <c r="BX60" i="15"/>
  <c r="BN60" i="15"/>
  <c r="BW60" i="15"/>
  <c r="CN60" i="15"/>
  <c r="CI60" i="15"/>
  <c r="CT60" i="15" s="1"/>
  <c r="CX60" i="15"/>
  <c r="CY60" i="15" s="1"/>
  <c r="CW60" i="15"/>
  <c r="CR52" i="15"/>
  <c r="L52" i="15"/>
  <c r="N52" i="15"/>
  <c r="AR52" i="15"/>
  <c r="BW32" i="15"/>
  <c r="BL32" i="15"/>
  <c r="BK32" i="15"/>
  <c r="BO32" i="15"/>
  <c r="BI32" i="15"/>
  <c r="BM32" i="15"/>
  <c r="CN32" i="15"/>
  <c r="CI32" i="15"/>
  <c r="CT32" i="15" s="1"/>
  <c r="BJ32" i="15"/>
  <c r="CX32" i="15"/>
  <c r="CY32" i="15" s="1"/>
  <c r="BX32" i="15"/>
  <c r="BN32" i="15"/>
  <c r="CV32" i="15"/>
  <c r="CU32" i="15"/>
  <c r="CS32" i="15"/>
  <c r="BV32" i="15"/>
  <c r="CW32" i="15"/>
  <c r="E55" i="15"/>
  <c r="CU55" i="15" s="1"/>
  <c r="D6" i="15"/>
  <c r="BH6" i="15"/>
  <c r="C6" i="15"/>
  <c r="CZ6" i="15" s="1"/>
  <c r="G6" i="15"/>
  <c r="F6" i="15"/>
  <c r="CB9" i="15"/>
  <c r="BY9" i="15"/>
  <c r="CR31" i="15"/>
  <c r="N31" i="15"/>
  <c r="L31" i="15"/>
  <c r="AR31" i="15" s="1"/>
  <c r="CS30" i="15"/>
  <c r="I30" i="15"/>
  <c r="CB30" i="15"/>
  <c r="BY30" i="15"/>
  <c r="CO30" i="15" s="1"/>
  <c r="BZ30" i="15"/>
  <c r="BL55" i="15"/>
  <c r="CN55" i="15"/>
  <c r="BJ55" i="15"/>
  <c r="CI55" i="15"/>
  <c r="CT55" i="15" s="1"/>
  <c r="BN55" i="15"/>
  <c r="BX55" i="15"/>
  <c r="CX55" i="15"/>
  <c r="CY55" i="15" s="1"/>
  <c r="BI55" i="15"/>
  <c r="BK55" i="15"/>
  <c r="BO55" i="15"/>
  <c r="BW55" i="15"/>
  <c r="BM55" i="15"/>
  <c r="CS55" i="15"/>
  <c r="E57" i="15"/>
  <c r="CV57" i="15" s="1"/>
  <c r="BI47" i="15"/>
  <c r="BJ47" i="15"/>
  <c r="BX47" i="15"/>
  <c r="BM47" i="15"/>
  <c r="BK47" i="15"/>
  <c r="BL47" i="15"/>
  <c r="BN47" i="15"/>
  <c r="BW47" i="15"/>
  <c r="CN47" i="15"/>
  <c r="CI47" i="15"/>
  <c r="CT47" i="15" s="1"/>
  <c r="CX47" i="15"/>
  <c r="CY47" i="15" s="1"/>
  <c r="BO47" i="15"/>
  <c r="CS47" i="15"/>
  <c r="CU47" i="15"/>
  <c r="BV47" i="15"/>
  <c r="CV47" i="15"/>
  <c r="E52" i="15"/>
  <c r="AT52" i="15"/>
  <c r="AV52" i="15"/>
  <c r="CS35" i="15"/>
  <c r="I35" i="15"/>
  <c r="CB35" i="15"/>
  <c r="BY35" i="15"/>
  <c r="CO35" i="15" s="1"/>
  <c r="BZ35" i="15"/>
  <c r="CR29" i="15"/>
  <c r="N29" i="15"/>
  <c r="L29" i="15"/>
  <c r="AR29" i="15" s="1"/>
  <c r="N61" i="15"/>
  <c r="CR61" i="15"/>
  <c r="L61" i="15"/>
  <c r="AR61" i="15" s="1"/>
  <c r="E28" i="15"/>
  <c r="AV28" i="15"/>
  <c r="AT28" i="15"/>
  <c r="CN9" i="15"/>
  <c r="CX9" i="15"/>
  <c r="CY9" i="15" s="1"/>
  <c r="CW9" i="15"/>
  <c r="CI9" i="15"/>
  <c r="CT9" i="15" s="1"/>
  <c r="CV9" i="15"/>
  <c r="CU9" i="15"/>
  <c r="CS9" i="15"/>
  <c r="E14" i="15"/>
  <c r="I14" i="15" s="1"/>
  <c r="CW58" i="15"/>
  <c r="I58" i="15"/>
  <c r="CB58" i="15"/>
  <c r="BY58" i="15"/>
  <c r="CO58" i="15" s="1"/>
  <c r="BZ58" i="15"/>
  <c r="CR45" i="15"/>
  <c r="N45" i="15"/>
  <c r="L45" i="15"/>
  <c r="AR45" i="15" s="1"/>
  <c r="BZ37" i="15"/>
  <c r="I37" i="15"/>
  <c r="CB37" i="15"/>
  <c r="BY37" i="15"/>
  <c r="CO37" i="15" s="1"/>
  <c r="I66" i="15"/>
  <c r="CB66" i="15"/>
  <c r="BY66" i="15"/>
  <c r="AV45" i="15"/>
  <c r="CR54" i="15"/>
  <c r="N54" i="15"/>
  <c r="L54" i="15"/>
  <c r="I54" i="15"/>
  <c r="CB54" i="15"/>
  <c r="BY54" i="15"/>
  <c r="CO54" i="15" s="1"/>
  <c r="BZ54" i="15"/>
  <c r="CR53" i="15"/>
  <c r="L53" i="15"/>
  <c r="N53" i="15"/>
  <c r="AR53" i="15"/>
  <c r="BK53" i="15"/>
  <c r="BM53" i="15"/>
  <c r="BX53" i="15"/>
  <c r="BW53" i="15"/>
  <c r="BL53" i="15"/>
  <c r="CN53" i="15"/>
  <c r="BJ53" i="15"/>
  <c r="CI53" i="15"/>
  <c r="CT53" i="15" s="1"/>
  <c r="BI53" i="15"/>
  <c r="CX53" i="15"/>
  <c r="CY53" i="15" s="1"/>
  <c r="BO53" i="15"/>
  <c r="BN53" i="15"/>
  <c r="CX45" i="15"/>
  <c r="CY45" i="15" s="1"/>
  <c r="BX45" i="15"/>
  <c r="BW45" i="15"/>
  <c r="BI45" i="15"/>
  <c r="BJ45" i="15"/>
  <c r="BM45" i="15"/>
  <c r="BL45" i="15"/>
  <c r="BN45" i="15"/>
  <c r="CN45" i="15"/>
  <c r="CI45" i="15"/>
  <c r="CT45" i="15" s="1"/>
  <c r="BK45" i="15"/>
  <c r="BO45" i="15"/>
  <c r="BI54" i="15"/>
  <c r="CX54" i="15"/>
  <c r="CY54" i="15" s="1"/>
  <c r="BL54" i="15"/>
  <c r="BX54" i="15"/>
  <c r="BW54" i="15"/>
  <c r="CN54" i="15"/>
  <c r="CI54" i="15"/>
  <c r="CT54" i="15" s="1"/>
  <c r="BO54" i="15"/>
  <c r="BM54" i="15"/>
  <c r="BJ54" i="15"/>
  <c r="BK54" i="15"/>
  <c r="BN54" i="15"/>
  <c r="CU54" i="15"/>
  <c r="CV54" i="15"/>
  <c r="CW54" i="15"/>
  <c r="BV54" i="15"/>
  <c r="CS54" i="15"/>
  <c r="CZ9" i="15"/>
  <c r="CI8" i="15"/>
  <c r="CX8" i="15"/>
  <c r="CY8" i="15" s="1"/>
  <c r="CN8" i="15"/>
  <c r="CT8" i="15"/>
  <c r="BO29" i="15"/>
  <c r="BL29" i="15"/>
  <c r="BJ29" i="15"/>
  <c r="BM29" i="15"/>
  <c r="BI29" i="15"/>
  <c r="CX29" i="15"/>
  <c r="CY29" i="15" s="1"/>
  <c r="BK29" i="15"/>
  <c r="BN29" i="15"/>
  <c r="BX29" i="15"/>
  <c r="BW29" i="15"/>
  <c r="CN29" i="15"/>
  <c r="CI29" i="15"/>
  <c r="CT29" i="15" s="1"/>
  <c r="CR67" i="15"/>
  <c r="N67" i="15"/>
  <c r="L67" i="15"/>
  <c r="AR67" i="15" s="1"/>
  <c r="BJ52" i="15"/>
  <c r="CX52" i="15"/>
  <c r="CY52" i="15" s="1"/>
  <c r="BN52" i="15"/>
  <c r="BV52" i="15"/>
  <c r="BL52" i="15"/>
  <c r="BM52" i="15"/>
  <c r="CW52" i="15"/>
  <c r="CV52" i="15"/>
  <c r="BO52" i="15"/>
  <c r="BX52" i="15"/>
  <c r="CU52" i="15"/>
  <c r="BW52" i="15"/>
  <c r="CS52" i="15"/>
  <c r="CN52" i="15"/>
  <c r="BK52" i="15"/>
  <c r="CI52" i="15"/>
  <c r="CT52" i="15" s="1"/>
  <c r="BI52" i="15"/>
  <c r="CR50" i="15"/>
  <c r="N50" i="15"/>
  <c r="L50" i="15"/>
  <c r="AR50" i="15" s="1"/>
  <c r="BZ59" i="15"/>
  <c r="BY59" i="15"/>
  <c r="CO59" i="15" s="1"/>
  <c r="CB59" i="15"/>
  <c r="I59" i="15"/>
  <c r="BJ50" i="15"/>
  <c r="CU50" i="15"/>
  <c r="CS50" i="15"/>
  <c r="CN50" i="15"/>
  <c r="BV50" i="15"/>
  <c r="CI50" i="15"/>
  <c r="CT50" i="15" s="1"/>
  <c r="BM50" i="15"/>
  <c r="CX50" i="15"/>
  <c r="CY50" i="15" s="1"/>
  <c r="BL50" i="15"/>
  <c r="BX50" i="15"/>
  <c r="BK50" i="15"/>
  <c r="BI50" i="15"/>
  <c r="BN50" i="15"/>
  <c r="CW50" i="15"/>
  <c r="BO50" i="15"/>
  <c r="BW50" i="15"/>
  <c r="CV50" i="15"/>
  <c r="CZ44" i="15"/>
  <c r="CR43" i="15"/>
  <c r="N43" i="15"/>
  <c r="L43" i="15"/>
  <c r="AR43" i="15" s="1"/>
  <c r="CX10" i="15"/>
  <c r="CY10" i="15" s="1"/>
  <c r="BX10" i="15"/>
  <c r="BW10" i="15"/>
  <c r="CN10" i="15"/>
  <c r="CI10" i="15"/>
  <c r="CT10" i="15"/>
  <c r="BL10" i="15"/>
  <c r="BI10" i="15"/>
  <c r="BJ10" i="15"/>
  <c r="BM10" i="15"/>
  <c r="BK10" i="15"/>
  <c r="BN10" i="15"/>
  <c r="BO10" i="15"/>
  <c r="CR64" i="15"/>
  <c r="N64" i="15"/>
  <c r="L64" i="15"/>
  <c r="AR64" i="15"/>
  <c r="CR56" i="15"/>
  <c r="N56" i="15"/>
  <c r="L56" i="15"/>
  <c r="AT56" i="15" s="1"/>
  <c r="E67" i="15"/>
  <c r="CZ38" i="15"/>
  <c r="E65" i="15"/>
  <c r="CB7" i="15"/>
  <c r="BY7" i="15"/>
  <c r="CW68" i="15"/>
  <c r="I68" i="15"/>
  <c r="CB68" i="15"/>
  <c r="BY68" i="15"/>
  <c r="CO68" i="15" s="1"/>
  <c r="BZ68" i="15"/>
  <c r="BZ38" i="15"/>
  <c r="BY38" i="15"/>
  <c r="CO38" i="15" s="1"/>
  <c r="I38" i="15"/>
  <c r="CB38" i="15"/>
  <c r="AV31" i="15"/>
  <c r="AT31" i="15"/>
  <c r="CR55" i="15"/>
  <c r="N55" i="15"/>
  <c r="L55" i="15"/>
  <c r="AR55" i="15" s="1"/>
  <c r="L37" i="15"/>
  <c r="AR37" i="15" s="1"/>
  <c r="N37" i="15"/>
  <c r="CR37" i="15"/>
  <c r="BK43" i="15"/>
  <c r="BL43" i="15"/>
  <c r="BN43" i="15"/>
  <c r="BX43" i="15"/>
  <c r="BW43" i="15"/>
  <c r="BJ43" i="15"/>
  <c r="BI43" i="15"/>
  <c r="BM43" i="15"/>
  <c r="BO43" i="15"/>
  <c r="CN43" i="15"/>
  <c r="CI43" i="15"/>
  <c r="CT43" i="15" s="1"/>
  <c r="CX43" i="15"/>
  <c r="CY43" i="15" s="1"/>
  <c r="CV43" i="15"/>
  <c r="CW43" i="15"/>
  <c r="CS43" i="15"/>
  <c r="CZ68" i="15"/>
  <c r="BY41" i="15"/>
  <c r="CO41" i="15" s="1"/>
  <c r="BZ41" i="15"/>
  <c r="I41" i="15"/>
  <c r="CB41" i="15"/>
  <c r="CR58" i="15"/>
  <c r="N58" i="15"/>
  <c r="L58" i="15"/>
  <c r="AT58" i="15" s="1"/>
  <c r="CZ28" i="15"/>
  <c r="CR59" i="15"/>
  <c r="N59" i="15"/>
  <c r="L59" i="15"/>
  <c r="AR59" i="15"/>
  <c r="BJ39" i="15"/>
  <c r="BK39" i="15"/>
  <c r="BI39" i="15"/>
  <c r="CU39" i="15"/>
  <c r="BW39" i="15"/>
  <c r="BL39" i="15"/>
  <c r="CS39" i="15"/>
  <c r="CN39" i="15"/>
  <c r="CI39" i="15"/>
  <c r="CT39" i="15" s="1"/>
  <c r="BV39" i="15"/>
  <c r="BO39" i="15"/>
  <c r="BN39" i="15"/>
  <c r="CX39" i="15"/>
  <c r="CY39" i="15" s="1"/>
  <c r="BM39" i="15"/>
  <c r="CW39" i="15"/>
  <c r="CV39" i="15"/>
  <c r="BX39" i="15"/>
  <c r="CS7" i="15"/>
  <c r="CN7" i="15"/>
  <c r="CT7" i="15"/>
  <c r="CI7" i="15"/>
  <c r="CX7" i="15"/>
  <c r="CY7" i="15" s="1"/>
  <c r="CW7" i="15"/>
  <c r="CV7" i="15"/>
  <c r="CU7" i="15"/>
  <c r="E13" i="15"/>
  <c r="BZ49" i="15"/>
  <c r="BY49" i="15"/>
  <c r="CO49" i="15" s="1"/>
  <c r="I49" i="15"/>
  <c r="CB49" i="15"/>
  <c r="E63" i="15"/>
  <c r="CV63" i="15" s="1"/>
  <c r="AT63" i="15"/>
  <c r="AV63" i="15"/>
  <c r="I33" i="15"/>
  <c r="CB33" i="15"/>
  <c r="BY33" i="15"/>
  <c r="CO33" i="15" s="1"/>
  <c r="BZ33" i="15"/>
  <c r="CR68" i="15"/>
  <c r="N68" i="15"/>
  <c r="L68" i="15"/>
  <c r="AR68" i="15" s="1"/>
  <c r="BJ37" i="15"/>
  <c r="CS37" i="15"/>
  <c r="CN37" i="15"/>
  <c r="BI37" i="15"/>
  <c r="BL37" i="15"/>
  <c r="CI37" i="15"/>
  <c r="CT37" i="15" s="1"/>
  <c r="BO37" i="15"/>
  <c r="BM37" i="15"/>
  <c r="BN37" i="15"/>
  <c r="CX37" i="15"/>
  <c r="CY37" i="15" s="1"/>
  <c r="BK37" i="15"/>
  <c r="CW37" i="15"/>
  <c r="CV37" i="15"/>
  <c r="BX37" i="15"/>
  <c r="CU37" i="15"/>
  <c r="BW37" i="15"/>
  <c r="BV37" i="15"/>
  <c r="L60" i="15"/>
  <c r="AR60" i="15" s="1"/>
  <c r="N60" i="15"/>
  <c r="CR60" i="15"/>
  <c r="E45" i="15"/>
  <c r="CS45" i="15" s="1"/>
  <c r="CR57" i="15"/>
  <c r="L57" i="15"/>
  <c r="AT57" i="15" s="1"/>
  <c r="N57" i="15"/>
  <c r="AR57" i="15"/>
  <c r="BJ35" i="15"/>
  <c r="BI35" i="15"/>
  <c r="BK35" i="15"/>
  <c r="BO35" i="15"/>
  <c r="CN35" i="15"/>
  <c r="BL35" i="15"/>
  <c r="CI35" i="15"/>
  <c r="CT35" i="15" s="1"/>
  <c r="BN35" i="15"/>
  <c r="BM35" i="15"/>
  <c r="CX35" i="15"/>
  <c r="CY35" i="15" s="1"/>
  <c r="BX35" i="15"/>
  <c r="BW35" i="15"/>
  <c r="CV35" i="15"/>
  <c r="CW35" i="15"/>
  <c r="BV35" i="15"/>
  <c r="CU35" i="15"/>
  <c r="CR51" i="15"/>
  <c r="N51" i="15"/>
  <c r="L51" i="15"/>
  <c r="AV51" i="15" s="1"/>
  <c r="AV39" i="15"/>
  <c r="AT39" i="15"/>
  <c r="E16" i="15"/>
  <c r="I16" i="15" s="1"/>
  <c r="CZ50" i="15"/>
  <c r="BM31" i="15"/>
  <c r="BJ31" i="15"/>
  <c r="BL31" i="15"/>
  <c r="BK31" i="15"/>
  <c r="CX31" i="15"/>
  <c r="CY31" i="15" s="1"/>
  <c r="BO31" i="15"/>
  <c r="BX31" i="15"/>
  <c r="BW31" i="15"/>
  <c r="CN31" i="15"/>
  <c r="CI31" i="15"/>
  <c r="CT31" i="15" s="1"/>
  <c r="BI31" i="15"/>
  <c r="BN31" i="15"/>
  <c r="CU31" i="15"/>
  <c r="CW31" i="15"/>
  <c r="BV31" i="15"/>
  <c r="CS31" i="15"/>
  <c r="E62" i="15"/>
  <c r="CR36" i="15"/>
  <c r="N36" i="15"/>
  <c r="L36" i="15"/>
  <c r="AR36" i="15" s="1"/>
  <c r="E21" i="15"/>
  <c r="I21" i="15" s="1"/>
  <c r="E8" i="15"/>
  <c r="CV8" i="15" s="1"/>
  <c r="CZ7" i="15"/>
  <c r="L13" i="15"/>
  <c r="AB13" i="15"/>
  <c r="N13" i="15"/>
  <c r="CR13" i="15"/>
  <c r="AR13" i="15"/>
  <c r="CU43" i="15"/>
  <c r="BY43" i="15"/>
  <c r="I43" i="15"/>
  <c r="CB43" i="15"/>
  <c r="BY11" i="15"/>
  <c r="CB11" i="15"/>
  <c r="BO61" i="15"/>
  <c r="BM61" i="15"/>
  <c r="BJ61" i="15"/>
  <c r="BI61" i="15"/>
  <c r="CU61" i="15"/>
  <c r="BW61" i="15"/>
  <c r="BV61" i="15"/>
  <c r="BK61" i="15"/>
  <c r="CS61" i="15"/>
  <c r="BN61" i="15"/>
  <c r="CN61" i="15"/>
  <c r="BL61" i="15"/>
  <c r="CI61" i="15"/>
  <c r="CT61" i="15" s="1"/>
  <c r="CX61" i="15"/>
  <c r="CY61" i="15" s="1"/>
  <c r="CW61" i="15"/>
  <c r="CV61" i="15"/>
  <c r="BX61" i="15"/>
  <c r="CZ67" i="15"/>
  <c r="CZ37" i="15"/>
  <c r="BI40" i="15"/>
  <c r="BN40" i="15"/>
  <c r="BM40" i="15"/>
  <c r="BL40" i="15"/>
  <c r="BW40" i="15"/>
  <c r="CN40" i="15"/>
  <c r="CI40" i="15"/>
  <c r="CT40" i="15" s="1"/>
  <c r="CX40" i="15"/>
  <c r="CY40" i="15" s="1"/>
  <c r="BJ40" i="15"/>
  <c r="BX40" i="15"/>
  <c r="BK40" i="15"/>
  <c r="BO40" i="15"/>
  <c r="CZ30" i="15"/>
  <c r="AT59" i="15"/>
  <c r="AV59" i="15"/>
  <c r="CR42" i="15"/>
  <c r="L42" i="15"/>
  <c r="AT42" i="15" s="1"/>
  <c r="N42" i="15"/>
  <c r="E40" i="15"/>
  <c r="CW40" i="15" s="1"/>
  <c r="AV40" i="15"/>
  <c r="AT40" i="15"/>
  <c r="CZ63" i="15"/>
  <c r="CZ41" i="15"/>
  <c r="CR35" i="15"/>
  <c r="N35" i="15"/>
  <c r="L35" i="15"/>
  <c r="AR35" i="15" s="1"/>
  <c r="BJ66" i="15"/>
  <c r="CV66" i="15"/>
  <c r="CU66" i="15"/>
  <c r="CS66" i="15"/>
  <c r="BK66" i="15"/>
  <c r="CI66" i="15"/>
  <c r="CT66" i="15" s="1"/>
  <c r="BM66" i="15"/>
  <c r="CN66" i="15"/>
  <c r="BL66" i="15"/>
  <c r="BI66" i="15"/>
  <c r="BN66" i="15"/>
  <c r="CX66" i="15"/>
  <c r="CY66" i="15" s="1"/>
  <c r="BX66" i="15"/>
  <c r="BO66" i="15"/>
  <c r="CW66" i="15"/>
  <c r="BW66" i="15"/>
  <c r="E36" i="15"/>
  <c r="CU36" i="15" s="1"/>
  <c r="BM36" i="15"/>
  <c r="BK36" i="15"/>
  <c r="CX36" i="15"/>
  <c r="CY36" i="15" s="1"/>
  <c r="CW36" i="15"/>
  <c r="CV36" i="15"/>
  <c r="BO36" i="15"/>
  <c r="BN36" i="15"/>
  <c r="BI36" i="15"/>
  <c r="CS36" i="15"/>
  <c r="BJ36" i="15"/>
  <c r="BX36" i="15"/>
  <c r="BW36" i="15"/>
  <c r="CN36" i="15"/>
  <c r="BV36" i="15"/>
  <c r="BL36" i="15"/>
  <c r="CI36" i="15"/>
  <c r="CT36" i="15" s="1"/>
  <c r="BM42" i="15"/>
  <c r="BI42" i="15"/>
  <c r="BK42" i="15"/>
  <c r="BO42" i="15"/>
  <c r="CX42" i="15"/>
  <c r="CY42" i="15" s="1"/>
  <c r="BX42" i="15"/>
  <c r="BW42" i="15"/>
  <c r="CN42" i="15"/>
  <c r="CI42" i="15"/>
  <c r="CT42" i="15" s="1"/>
  <c r="BN42" i="15"/>
  <c r="BL42" i="15"/>
  <c r="BJ42" i="15"/>
  <c r="AV50" i="15"/>
  <c r="AT50" i="15"/>
  <c r="E44" i="15"/>
  <c r="AV48" i="15"/>
  <c r="AT48" i="15"/>
  <c r="BJ59" i="15"/>
  <c r="BM59" i="15"/>
  <c r="BO59" i="15"/>
  <c r="BX59" i="15"/>
  <c r="BL59" i="15"/>
  <c r="BW59" i="15"/>
  <c r="BK59" i="15"/>
  <c r="CN59" i="15"/>
  <c r="BI59" i="15"/>
  <c r="CI59" i="15"/>
  <c r="CT59" i="15" s="1"/>
  <c r="BN59" i="15"/>
  <c r="CX59" i="15"/>
  <c r="CY59" i="15" s="1"/>
  <c r="CW59" i="15"/>
  <c r="BV59" i="15"/>
  <c r="CU59" i="15"/>
  <c r="CV59" i="15"/>
  <c r="CS59" i="15"/>
  <c r="E64" i="15"/>
  <c r="BV64" i="15" s="1"/>
  <c r="AT64" i="15"/>
  <c r="AV64" i="15"/>
  <c r="AO55" i="15"/>
  <c r="AT55" i="15"/>
  <c r="AU55" i="15" s="1"/>
  <c r="AV55" i="15"/>
  <c r="BM44" i="15"/>
  <c r="BK44" i="15"/>
  <c r="BJ44" i="15"/>
  <c r="BL44" i="15"/>
  <c r="BI44" i="15"/>
  <c r="BO44" i="15"/>
  <c r="BN44" i="15"/>
  <c r="CX44" i="15"/>
  <c r="CY44" i="15" s="1"/>
  <c r="BX44" i="15"/>
  <c r="BW44" i="15"/>
  <c r="CN44" i="15"/>
  <c r="CI44" i="15"/>
  <c r="CT44" i="15" s="1"/>
  <c r="BV44" i="15"/>
  <c r="CV44" i="15"/>
  <c r="CW44" i="15"/>
  <c r="CU44" i="15"/>
  <c r="E10" i="15"/>
  <c r="AO10" i="15"/>
  <c r="AV10" i="15"/>
  <c r="AT10" i="15"/>
  <c r="AU10" i="15" s="1"/>
  <c r="BX28" i="15"/>
  <c r="BI28" i="15"/>
  <c r="CX28" i="15"/>
  <c r="CY28" i="15" s="1"/>
  <c r="CW28" i="15"/>
  <c r="BJ28" i="15"/>
  <c r="BV28" i="15"/>
  <c r="BK28" i="15"/>
  <c r="BO28" i="15"/>
  <c r="BN28" i="15"/>
  <c r="CV28" i="15"/>
  <c r="BL28" i="15"/>
  <c r="BW28" i="15"/>
  <c r="CU28" i="15"/>
  <c r="CS28" i="15"/>
  <c r="CN28" i="15"/>
  <c r="BM28" i="15"/>
  <c r="CI28" i="15"/>
  <c r="CT28" i="15" s="1"/>
  <c r="AT68" i="15"/>
  <c r="AV68" i="15"/>
  <c r="BI58" i="15"/>
  <c r="BL58" i="15"/>
  <c r="BK58" i="15"/>
  <c r="CN58" i="15"/>
  <c r="CI58" i="15"/>
  <c r="CT58" i="15" s="1"/>
  <c r="CX58" i="15"/>
  <c r="CY58" i="15" s="1"/>
  <c r="BX58" i="15"/>
  <c r="BO58" i="15"/>
  <c r="BW58" i="15"/>
  <c r="BM58" i="15"/>
  <c r="BJ58" i="15"/>
  <c r="BN58" i="15"/>
  <c r="BV58" i="15"/>
  <c r="CS58" i="15"/>
  <c r="CU58" i="15"/>
  <c r="CV58" i="15"/>
  <c r="I7" i="15"/>
  <c r="BN13" i="15"/>
  <c r="BJ13" i="15"/>
  <c r="BL13" i="15"/>
  <c r="BO13" i="15"/>
  <c r="CX13" i="15"/>
  <c r="CY13" i="15" s="1"/>
  <c r="BM13" i="15"/>
  <c r="CW13" i="15"/>
  <c r="CV13" i="15"/>
  <c r="CU13" i="15"/>
  <c r="BX13" i="15"/>
  <c r="CS13" i="15"/>
  <c r="BW13" i="15"/>
  <c r="BV13" i="15"/>
  <c r="BK13" i="15"/>
  <c r="CN13" i="15"/>
  <c r="CI13" i="15"/>
  <c r="CT13" i="15" s="1"/>
  <c r="BI13" i="15"/>
  <c r="L49" i="15"/>
  <c r="AR49" i="15" s="1"/>
  <c r="CR49" i="15"/>
  <c r="N49" i="15"/>
  <c r="CV46" i="15"/>
  <c r="I46" i="15"/>
  <c r="CB46" i="15"/>
  <c r="BY46" i="15"/>
  <c r="CO46" i="15" s="1"/>
  <c r="BZ46" i="15"/>
  <c r="BI33" i="15"/>
  <c r="BJ33" i="15"/>
  <c r="BK33" i="15"/>
  <c r="BM33" i="15"/>
  <c r="BL33" i="15"/>
  <c r="BN33" i="15"/>
  <c r="BO33" i="15"/>
  <c r="CX33" i="15"/>
  <c r="CY33" i="15" s="1"/>
  <c r="BX33" i="15"/>
  <c r="BW33" i="15"/>
  <c r="CN33" i="15"/>
  <c r="CI33" i="15"/>
  <c r="CT33" i="15" s="1"/>
  <c r="CS33" i="15"/>
  <c r="CV33" i="15"/>
  <c r="CU33" i="15"/>
  <c r="BV33" i="15"/>
  <c r="CW33" i="15"/>
  <c r="CR33" i="15"/>
  <c r="N33" i="15"/>
  <c r="L33" i="15"/>
  <c r="AV33" i="15" s="1"/>
  <c r="CR38" i="15"/>
  <c r="N38" i="15"/>
  <c r="L38" i="15"/>
  <c r="AR38" i="15" s="1"/>
  <c r="AV36" i="15"/>
  <c r="BN68" i="15"/>
  <c r="BM68" i="15"/>
  <c r="BJ68" i="15"/>
  <c r="BK68" i="15"/>
  <c r="BO68" i="15"/>
  <c r="BL68" i="15"/>
  <c r="CX68" i="15"/>
  <c r="CY68" i="15" s="1"/>
  <c r="BI68" i="15"/>
  <c r="BX68" i="15"/>
  <c r="BW68" i="15"/>
  <c r="CN68" i="15"/>
  <c r="CI68" i="15"/>
  <c r="CT68" i="15" s="1"/>
  <c r="CU68" i="15"/>
  <c r="BV68" i="15"/>
  <c r="CS68" i="15"/>
  <c r="CV68" i="15"/>
  <c r="CZ31" i="15"/>
  <c r="CR46" i="15"/>
  <c r="N46" i="15"/>
  <c r="L46" i="15"/>
  <c r="AR46" i="15" s="1"/>
  <c r="CZ51" i="15"/>
  <c r="E48" i="15"/>
  <c r="CS51" i="15"/>
  <c r="BJ51" i="15"/>
  <c r="CN51" i="15"/>
  <c r="BO51" i="15"/>
  <c r="BK51" i="15"/>
  <c r="BV51" i="15"/>
  <c r="BN51" i="15"/>
  <c r="CI51" i="15"/>
  <c r="CT51" i="15" s="1"/>
  <c r="BM51" i="15"/>
  <c r="CX51" i="15"/>
  <c r="CY51" i="15" s="1"/>
  <c r="BI51" i="15"/>
  <c r="CW51" i="15"/>
  <c r="CV51" i="15"/>
  <c r="BX51" i="15"/>
  <c r="CU51" i="15"/>
  <c r="BW51" i="15"/>
  <c r="BL51" i="15"/>
  <c r="CZ45" i="15"/>
  <c r="CR32" i="15"/>
  <c r="L32" i="15"/>
  <c r="AV32" i="15" s="1"/>
  <c r="N32" i="15"/>
  <c r="E18" i="15"/>
  <c r="I18" i="15" s="1"/>
  <c r="AT13" i="15"/>
  <c r="AV13" i="15"/>
  <c r="CS11" i="15"/>
  <c r="CN11" i="15"/>
  <c r="CI11" i="15"/>
  <c r="CX11" i="15"/>
  <c r="CY11" i="15" s="1"/>
  <c r="CW11" i="15"/>
  <c r="CV11" i="15"/>
  <c r="CU11" i="15"/>
  <c r="CT11" i="15"/>
  <c r="E29" i="15"/>
  <c r="AT29" i="15"/>
  <c r="AV29" i="15"/>
  <c r="CR44" i="15"/>
  <c r="N44" i="15"/>
  <c r="L44" i="15"/>
  <c r="AR44" i="15" s="1"/>
  <c r="BK67" i="15"/>
  <c r="BJ67" i="15"/>
  <c r="BL67" i="15"/>
  <c r="BI67" i="15"/>
  <c r="BM67" i="15"/>
  <c r="BN67" i="15"/>
  <c r="CN67" i="15"/>
  <c r="CI67" i="15"/>
  <c r="CT67" i="15" s="1"/>
  <c r="CX67" i="15"/>
  <c r="CY67" i="15" s="1"/>
  <c r="BO67" i="15"/>
  <c r="BX67" i="15"/>
  <c r="BW67" i="15"/>
  <c r="CV67" i="15"/>
  <c r="CU67" i="15"/>
  <c r="BV67" i="15"/>
  <c r="CS67" i="15"/>
  <c r="CR66" i="15"/>
  <c r="L66" i="15"/>
  <c r="N66" i="15"/>
  <c r="Y66" i="15" s="1"/>
  <c r="AR66" i="15"/>
  <c r="BL30" i="15"/>
  <c r="BI30" i="15"/>
  <c r="BO30" i="15"/>
  <c r="BK30" i="15"/>
  <c r="BM30" i="15"/>
  <c r="BJ30" i="15"/>
  <c r="CW30" i="15"/>
  <c r="BX30" i="15"/>
  <c r="CV30" i="15"/>
  <c r="BN30" i="15"/>
  <c r="BW30" i="15"/>
  <c r="CN30" i="15"/>
  <c r="CI30" i="15"/>
  <c r="CT30" i="15" s="1"/>
  <c r="CX30" i="15"/>
  <c r="CY30" i="15" s="1"/>
  <c r="BV30" i="15"/>
  <c r="CU30" i="15"/>
  <c r="CW47" i="15"/>
  <c r="I47" i="15"/>
  <c r="CB47" i="15"/>
  <c r="BY47" i="15"/>
  <c r="CO47" i="15" s="1"/>
  <c r="BZ47" i="15"/>
  <c r="BI65" i="15"/>
  <c r="BK65" i="15"/>
  <c r="BM65" i="15"/>
  <c r="BJ65" i="15"/>
  <c r="BN65" i="15"/>
  <c r="CN65" i="15"/>
  <c r="CI65" i="15"/>
  <c r="CT65" i="15" s="1"/>
  <c r="CX65" i="15"/>
  <c r="CY65" i="15" s="1"/>
  <c r="CW65" i="15"/>
  <c r="BX65" i="15"/>
  <c r="BW65" i="15"/>
  <c r="BO65" i="15"/>
  <c r="BL65" i="15"/>
  <c r="CU65" i="15"/>
  <c r="CV65" i="15"/>
  <c r="BV65" i="15"/>
  <c r="CS65" i="15"/>
  <c r="E53" i="15"/>
  <c r="CV53" i="15" s="1"/>
  <c r="AV53" i="15"/>
  <c r="AT53" i="15"/>
  <c r="CR41" i="15"/>
  <c r="N41" i="15"/>
  <c r="L41" i="15"/>
  <c r="AR41" i="15"/>
  <c r="BK41" i="15"/>
  <c r="BI41" i="15"/>
  <c r="BL41" i="15"/>
  <c r="BJ41" i="15"/>
  <c r="BN41" i="15"/>
  <c r="BM41" i="15"/>
  <c r="BO41" i="15"/>
  <c r="CI41" i="15"/>
  <c r="CT41" i="15" s="1"/>
  <c r="CX41" i="15"/>
  <c r="CY41" i="15" s="1"/>
  <c r="BX41" i="15"/>
  <c r="BW41" i="15"/>
  <c r="CN41" i="15"/>
  <c r="CW41" i="15"/>
  <c r="CV41" i="15"/>
  <c r="BV41" i="15"/>
  <c r="CU41" i="15"/>
  <c r="CS41" i="15"/>
  <c r="CZ57" i="15"/>
  <c r="E42" i="15"/>
  <c r="CU42" i="15" s="1"/>
  <c r="AV54" i="15"/>
  <c r="AT54" i="15"/>
  <c r="CR65" i="15"/>
  <c r="L65" i="15"/>
  <c r="N65" i="15"/>
  <c r="AR65" i="15"/>
  <c r="I11" i="15"/>
  <c r="O1555" i="12"/>
  <c r="O1556" i="12"/>
  <c r="G1464" i="12"/>
  <c r="O1464" i="12" s="1"/>
  <c r="B1418" i="12"/>
  <c r="B1730" i="12" s="1"/>
  <c r="B1412" i="12"/>
  <c r="B1724" i="12" s="1"/>
  <c r="G1477" i="12"/>
  <c r="O1477" i="12" s="1"/>
  <c r="O1549" i="12"/>
  <c r="G1503" i="12"/>
  <c r="O1503" i="12" s="1"/>
  <c r="O1769" i="12" s="1"/>
  <c r="K1769" i="12" s="1"/>
  <c r="G1457" i="12"/>
  <c r="O1457" i="12" s="1"/>
  <c r="B1388" i="12"/>
  <c r="B1700" i="12" s="1"/>
  <c r="G1607" i="12"/>
  <c r="O1607" i="12" s="1"/>
  <c r="O1588" i="12"/>
  <c r="O1570" i="12"/>
  <c r="G1505" i="12"/>
  <c r="O1505" i="12" s="1"/>
  <c r="O1771" i="12" s="1"/>
  <c r="K1771" i="12" s="1"/>
  <c r="B1681" i="12"/>
  <c r="O1597" i="12"/>
  <c r="G1431" i="12"/>
  <c r="O1431" i="12" s="1"/>
  <c r="O1551" i="12"/>
  <c r="B1400" i="12"/>
  <c r="B1712" i="12" s="1"/>
  <c r="O1594" i="12"/>
  <c r="O1105" i="12"/>
  <c r="M1150" i="12"/>
  <c r="O1150" i="12" s="1"/>
  <c r="B1528" i="12"/>
  <c r="B1574" i="12" s="1"/>
  <c r="G1517" i="12"/>
  <c r="O1517" i="12" s="1"/>
  <c r="O1783" i="12" s="1"/>
  <c r="K1783" i="12" s="1"/>
  <c r="O1602" i="12"/>
  <c r="B1687" i="12"/>
  <c r="B1555" i="12"/>
  <c r="B1601" i="12" s="1"/>
  <c r="I1151" i="12"/>
  <c r="I1171" i="12" s="1"/>
  <c r="E1152" i="12"/>
  <c r="E1172" i="12" s="1"/>
  <c r="E1132" i="12"/>
  <c r="F1152" i="12"/>
  <c r="F1172" i="12" s="1"/>
  <c r="I1172" i="12" s="1"/>
  <c r="E1144" i="12"/>
  <c r="E1164" i="12" s="1"/>
  <c r="F1144" i="12"/>
  <c r="F1164" i="12" s="1"/>
  <c r="B1157" i="12"/>
  <c r="F1132" i="12"/>
  <c r="M1110" i="12"/>
  <c r="M1138" i="12" s="1"/>
  <c r="M1158" i="12" s="1"/>
  <c r="M1182" i="12"/>
  <c r="K1182" i="12" s="1"/>
  <c r="O1596" i="12"/>
  <c r="O1600" i="12"/>
  <c r="O1589" i="12"/>
  <c r="B1525" i="12"/>
  <c r="B1571" i="12" s="1"/>
  <c r="B1403" i="12"/>
  <c r="B1715" i="12" s="1"/>
  <c r="B1406" i="12"/>
  <c r="B1718" i="12" s="1"/>
  <c r="O1590" i="12"/>
  <c r="O1601" i="12"/>
  <c r="B1385" i="12"/>
  <c r="B1697" i="12" s="1"/>
  <c r="B1394" i="12"/>
  <c r="B1706" i="12" s="1"/>
  <c r="G1471" i="12"/>
  <c r="O1471" i="12" s="1"/>
  <c r="B1561" i="12"/>
  <c r="B1607" i="12" s="1"/>
  <c r="O1609" i="12"/>
  <c r="O1584" i="12"/>
  <c r="O1563" i="12"/>
  <c r="B1543" i="12"/>
  <c r="B1589" i="12" s="1"/>
  <c r="G1534" i="12"/>
  <c r="O1534" i="12" s="1"/>
  <c r="O436" i="12"/>
  <c r="O438" i="12" s="1"/>
  <c r="O441" i="12" s="1"/>
  <c r="M441" i="12" s="1"/>
  <c r="M443" i="12" s="1"/>
  <c r="D439" i="12" s="1"/>
  <c r="G1442" i="12"/>
  <c r="O1442" i="12" s="1"/>
  <c r="O1572" i="12"/>
  <c r="B1546" i="12"/>
  <c r="B1592" i="12" s="1"/>
  <c r="B1534" i="12"/>
  <c r="B1580" i="12" s="1"/>
  <c r="B1391" i="12"/>
  <c r="B1703" i="12" s="1"/>
  <c r="O1577" i="12"/>
  <c r="O1530" i="12"/>
  <c r="B1424" i="12"/>
  <c r="B1736" i="12" s="1"/>
  <c r="O16" i="14"/>
  <c r="K462" i="12" s="1"/>
  <c r="O462" i="12" s="1"/>
  <c r="O15" i="14"/>
  <c r="CF26" i="15"/>
  <c r="CM23" i="15"/>
  <c r="L6" i="15"/>
  <c r="AR6" i="15" s="1"/>
  <c r="CF20" i="15"/>
  <c r="CF21" i="15"/>
  <c r="CF24" i="15"/>
  <c r="M1068" i="12"/>
  <c r="N1068" i="12" s="1"/>
  <c r="N463" i="12"/>
  <c r="O463" i="12"/>
  <c r="K480" i="12"/>
  <c r="O480" i="12" s="1"/>
  <c r="K496" i="12"/>
  <c r="K512" i="12" s="1"/>
  <c r="BZ22" i="15"/>
  <c r="BN126" i="15"/>
  <c r="BX126" i="15"/>
  <c r="BJ126" i="15"/>
  <c r="CX126" i="15"/>
  <c r="CY126" i="15" s="1"/>
  <c r="BK126" i="15"/>
  <c r="BL126" i="15"/>
  <c r="BM126" i="15"/>
  <c r="CN126" i="15"/>
  <c r="BO126" i="15"/>
  <c r="BW126" i="15"/>
  <c r="CI126" i="15"/>
  <c r="CT126" i="15" s="1"/>
  <c r="BI126" i="15"/>
  <c r="CS126" i="15"/>
  <c r="CW126" i="15"/>
  <c r="CV126" i="15"/>
  <c r="CU126" i="15"/>
  <c r="BV126" i="15"/>
  <c r="CN167" i="15"/>
  <c r="CX167" i="15"/>
  <c r="CY167" i="15" s="1"/>
  <c r="BK167" i="15"/>
  <c r="BI167" i="15"/>
  <c r="BL167" i="15"/>
  <c r="BM167" i="15"/>
  <c r="BO167" i="15"/>
  <c r="BW167" i="15"/>
  <c r="BX167" i="15"/>
  <c r="CI167" i="15"/>
  <c r="CT167" i="15" s="1"/>
  <c r="BN167" i="15"/>
  <c r="BJ167" i="15"/>
  <c r="CV167" i="15"/>
  <c r="CW167" i="15"/>
  <c r="CS167" i="15"/>
  <c r="CU167" i="15"/>
  <c r="BV167" i="15"/>
  <c r="BN103" i="15"/>
  <c r="BW103" i="15"/>
  <c r="BX103" i="15"/>
  <c r="BK103" i="15"/>
  <c r="BL103" i="15"/>
  <c r="BI103" i="15"/>
  <c r="BO103" i="15"/>
  <c r="CN103" i="15"/>
  <c r="BM103" i="15"/>
  <c r="CT103" i="15"/>
  <c r="CX103" i="15"/>
  <c r="CY103" i="15" s="1"/>
  <c r="BJ103" i="15"/>
  <c r="CU103" i="15"/>
  <c r="CS103" i="15"/>
  <c r="CV103" i="15"/>
  <c r="CW103" i="15"/>
  <c r="BV103" i="15"/>
  <c r="CV182" i="15"/>
  <c r="CW182" i="15"/>
  <c r="CX182" i="15"/>
  <c r="CY182" i="15" s="1"/>
  <c r="BI182" i="15"/>
  <c r="BK182" i="15"/>
  <c r="BO182" i="15"/>
  <c r="BW182" i="15"/>
  <c r="BX182" i="15"/>
  <c r="CI182" i="15"/>
  <c r="CT182" i="15" s="1"/>
  <c r="BN182" i="15"/>
  <c r="BV182" i="15"/>
  <c r="CU182" i="15"/>
  <c r="BL182" i="15"/>
  <c r="BM182" i="15"/>
  <c r="CS182" i="15"/>
  <c r="BJ182" i="15"/>
  <c r="CN182" i="15"/>
  <c r="BW168" i="15"/>
  <c r="CI168" i="15"/>
  <c r="CT168" i="15" s="1"/>
  <c r="CU168" i="15"/>
  <c r="CV168" i="15"/>
  <c r="BJ168" i="15"/>
  <c r="CW168" i="15"/>
  <c r="BM168" i="15"/>
  <c r="CN168" i="15"/>
  <c r="BN168" i="15"/>
  <c r="BO168" i="15"/>
  <c r="CS168" i="15"/>
  <c r="BV168" i="15"/>
  <c r="BI168" i="15"/>
  <c r="BX168" i="15"/>
  <c r="BK168" i="15"/>
  <c r="CX168" i="15"/>
  <c r="CY168" i="15" s="1"/>
  <c r="BL168" i="15"/>
  <c r="BX198" i="15"/>
  <c r="BN198" i="15"/>
  <c r="CI198" i="15"/>
  <c r="CT198" i="15" s="1"/>
  <c r="BW198" i="15"/>
  <c r="CX198" i="15"/>
  <c r="CY198" i="15" s="1"/>
  <c r="BI198" i="15"/>
  <c r="BJ198" i="15"/>
  <c r="BK198" i="15"/>
  <c r="CN198" i="15"/>
  <c r="BL198" i="15"/>
  <c r="BM198" i="15"/>
  <c r="BO198" i="15"/>
  <c r="CV198" i="15"/>
  <c r="CS198" i="15"/>
  <c r="CW198" i="15"/>
  <c r="CU198" i="15"/>
  <c r="BV198" i="15"/>
  <c r="CN91" i="15"/>
  <c r="BM91" i="15"/>
  <c r="BN91" i="15"/>
  <c r="BO91" i="15"/>
  <c r="BW91" i="15"/>
  <c r="BI91" i="15"/>
  <c r="BX91" i="15"/>
  <c r="BJ91" i="15"/>
  <c r="CX91" i="15"/>
  <c r="CY91" i="15" s="1"/>
  <c r="BK91" i="15"/>
  <c r="BL91" i="15"/>
  <c r="CT91" i="15"/>
  <c r="CU91" i="15"/>
  <c r="CS91" i="15"/>
  <c r="CW91" i="15"/>
  <c r="CV91" i="15"/>
  <c r="BV91" i="15"/>
  <c r="BJ176" i="15"/>
  <c r="BK176" i="15"/>
  <c r="CX176" i="15"/>
  <c r="CY176" i="15" s="1"/>
  <c r="BL176" i="15"/>
  <c r="BN176" i="15"/>
  <c r="CI176" i="15"/>
  <c r="CT176" i="15" s="1"/>
  <c r="BO176" i="15"/>
  <c r="CW176" i="15"/>
  <c r="CS176" i="15"/>
  <c r="BI176" i="15"/>
  <c r="CN176" i="15"/>
  <c r="BX176" i="15"/>
  <c r="BM176" i="15"/>
  <c r="CV176" i="15"/>
  <c r="CU176" i="15"/>
  <c r="BW176" i="15"/>
  <c r="BV176" i="15"/>
  <c r="CX177" i="15"/>
  <c r="CY177" i="15" s="1"/>
  <c r="BJ177" i="15"/>
  <c r="BK177" i="15"/>
  <c r="BM177" i="15"/>
  <c r="BN177" i="15"/>
  <c r="BW177" i="15"/>
  <c r="CI177" i="15"/>
  <c r="CT177" i="15" s="1"/>
  <c r="CN177" i="15"/>
  <c r="BL177" i="15"/>
  <c r="BO177" i="15"/>
  <c r="BI177" i="15"/>
  <c r="BX177" i="15"/>
  <c r="CV177" i="15"/>
  <c r="CS177" i="15"/>
  <c r="CW177" i="15"/>
  <c r="BV177" i="15"/>
  <c r="CU177" i="15"/>
  <c r="BN189" i="15"/>
  <c r="BI189" i="15"/>
  <c r="BM189" i="15"/>
  <c r="BW189" i="15"/>
  <c r="CI189" i="15"/>
  <c r="CT189" i="15" s="1"/>
  <c r="CX189" i="15"/>
  <c r="CY189" i="15" s="1"/>
  <c r="BJ189" i="15"/>
  <c r="BK189" i="15"/>
  <c r="CN189" i="15"/>
  <c r="BX189" i="15"/>
  <c r="BL189" i="15"/>
  <c r="BO189" i="15"/>
  <c r="CW189" i="15"/>
  <c r="CU189" i="15"/>
  <c r="CS189" i="15"/>
  <c r="CV189" i="15"/>
  <c r="BV189" i="15"/>
  <c r="BW92" i="15"/>
  <c r="CS92" i="15"/>
  <c r="CU92" i="15"/>
  <c r="BK92" i="15"/>
  <c r="CW92" i="15"/>
  <c r="BX92" i="15"/>
  <c r="BO92" i="15"/>
  <c r="BI92" i="15"/>
  <c r="CT92" i="15"/>
  <c r="CN92" i="15"/>
  <c r="BN92" i="15"/>
  <c r="BL92" i="15"/>
  <c r="CX92" i="15"/>
  <c r="CY92" i="15" s="1"/>
  <c r="CV92" i="15"/>
  <c r="BJ92" i="15"/>
  <c r="BM92" i="15"/>
  <c r="BV92" i="15"/>
  <c r="BK174" i="15"/>
  <c r="BI174" i="15"/>
  <c r="BJ174" i="15"/>
  <c r="BL174" i="15"/>
  <c r="BM174" i="15"/>
  <c r="BO174" i="15"/>
  <c r="BW174" i="15"/>
  <c r="BX174" i="15"/>
  <c r="CI174" i="15"/>
  <c r="CT174" i="15" s="1"/>
  <c r="CN174" i="15"/>
  <c r="BN174" i="15"/>
  <c r="CX174" i="15"/>
  <c r="CY174" i="15" s="1"/>
  <c r="CV174" i="15"/>
  <c r="CW174" i="15"/>
  <c r="CU174" i="15"/>
  <c r="BV174" i="15"/>
  <c r="CS174" i="15"/>
  <c r="BI93" i="15"/>
  <c r="BJ93" i="15"/>
  <c r="BW93" i="15"/>
  <c r="BX93" i="15"/>
  <c r="CX93" i="15"/>
  <c r="CY93" i="15" s="1"/>
  <c r="BM93" i="15"/>
  <c r="BK93" i="15"/>
  <c r="BN93" i="15"/>
  <c r="CN93" i="15"/>
  <c r="BL93" i="15"/>
  <c r="BO93" i="15"/>
  <c r="CU93" i="15"/>
  <c r="CV93" i="15"/>
  <c r="CW93" i="15"/>
  <c r="CS93" i="15"/>
  <c r="CT93" i="15"/>
  <c r="BV93" i="15"/>
  <c r="BX130" i="15"/>
  <c r="CX130" i="15"/>
  <c r="CY130" i="15" s="1"/>
  <c r="BJ130" i="15"/>
  <c r="CI130" i="15"/>
  <c r="CT130" i="15" s="1"/>
  <c r="BW130" i="15"/>
  <c r="CN130" i="15"/>
  <c r="BI130" i="15"/>
  <c r="BK130" i="15"/>
  <c r="BL130" i="15"/>
  <c r="BM130" i="15"/>
  <c r="CS130" i="15"/>
  <c r="BN130" i="15"/>
  <c r="CV130" i="15"/>
  <c r="BO130" i="15"/>
  <c r="CW130" i="15"/>
  <c r="CU130" i="15"/>
  <c r="BV130" i="15"/>
  <c r="CX110" i="15"/>
  <c r="CY110" i="15" s="1"/>
  <c r="BW110" i="15"/>
  <c r="BJ110" i="15"/>
  <c r="BL110" i="15"/>
  <c r="CN110" i="15"/>
  <c r="BM110" i="15"/>
  <c r="BN110" i="15"/>
  <c r="BO110" i="15"/>
  <c r="BI110" i="15"/>
  <c r="BX110" i="15"/>
  <c r="BK110" i="15"/>
  <c r="CU110" i="15"/>
  <c r="CT110" i="15"/>
  <c r="CV110" i="15"/>
  <c r="CW110" i="15"/>
  <c r="CS110" i="15"/>
  <c r="BV110" i="15"/>
  <c r="CV216" i="15"/>
  <c r="BJ216" i="15"/>
  <c r="CW216" i="15"/>
  <c r="BK216" i="15"/>
  <c r="CS216" i="15"/>
  <c r="BL216" i="15"/>
  <c r="BV216" i="15"/>
  <c r="BM216" i="15"/>
  <c r="BW216" i="15"/>
  <c r="CN216" i="15"/>
  <c r="CI216" i="15"/>
  <c r="CT216" i="15" s="1"/>
  <c r="BN216" i="15"/>
  <c r="CU216" i="15"/>
  <c r="BO216" i="15"/>
  <c r="BX216" i="15"/>
  <c r="BI216" i="15"/>
  <c r="CX216" i="15"/>
  <c r="CY216" i="15" s="1"/>
  <c r="CX152" i="15"/>
  <c r="CY152" i="15" s="1"/>
  <c r="BN152" i="15"/>
  <c r="BI152" i="15"/>
  <c r="BM152" i="15"/>
  <c r="BO152" i="15"/>
  <c r="CI152" i="15"/>
  <c r="CT152" i="15" s="1"/>
  <c r="BJ152" i="15"/>
  <c r="BK152" i="15"/>
  <c r="BW152" i="15"/>
  <c r="BX152" i="15"/>
  <c r="CN152" i="15"/>
  <c r="BL152" i="15"/>
  <c r="CW152" i="15"/>
  <c r="CS152" i="15"/>
  <c r="CV152" i="15"/>
  <c r="CU152" i="15"/>
  <c r="BV152" i="15"/>
  <c r="BM178" i="15"/>
  <c r="CI178" i="15"/>
  <c r="CT178" i="15" s="1"/>
  <c r="CN178" i="15"/>
  <c r="BI178" i="15"/>
  <c r="BV178" i="15"/>
  <c r="CV178" i="15"/>
  <c r="CS178" i="15"/>
  <c r="BL178" i="15"/>
  <c r="BN178" i="15"/>
  <c r="BO178" i="15"/>
  <c r="CU178" i="15"/>
  <c r="CX178" i="15"/>
  <c r="CY178" i="15" s="1"/>
  <c r="CW178" i="15"/>
  <c r="BK178" i="15"/>
  <c r="BX178" i="15"/>
  <c r="BJ178" i="15"/>
  <c r="BW178" i="15"/>
  <c r="BI197" i="15"/>
  <c r="CW197" i="15"/>
  <c r="BJ197" i="15"/>
  <c r="BL197" i="15"/>
  <c r="CX197" i="15"/>
  <c r="CY197" i="15" s="1"/>
  <c r="BM197" i="15"/>
  <c r="BW197" i="15"/>
  <c r="CN197" i="15"/>
  <c r="CI197" i="15"/>
  <c r="CT197" i="15" s="1"/>
  <c r="BN197" i="15"/>
  <c r="CU197" i="15"/>
  <c r="BO197" i="15"/>
  <c r="BK197" i="15"/>
  <c r="CS197" i="15"/>
  <c r="BV197" i="15"/>
  <c r="BX197" i="15"/>
  <c r="CV197" i="15"/>
  <c r="BW193" i="15"/>
  <c r="BX193" i="15"/>
  <c r="CX193" i="15"/>
  <c r="CY193" i="15" s="1"/>
  <c r="CN193" i="15"/>
  <c r="BI193" i="15"/>
  <c r="CI193" i="15"/>
  <c r="CT193" i="15" s="1"/>
  <c r="BK193" i="15"/>
  <c r="BL193" i="15"/>
  <c r="CS193" i="15"/>
  <c r="BM193" i="15"/>
  <c r="CU193" i="15"/>
  <c r="BN193" i="15"/>
  <c r="CV193" i="15"/>
  <c r="BJ193" i="15"/>
  <c r="BO193" i="15"/>
  <c r="CW193" i="15"/>
  <c r="BV193" i="15"/>
  <c r="CV209" i="15"/>
  <c r="BL209" i="15"/>
  <c r="BI209" i="15"/>
  <c r="BW209" i="15"/>
  <c r="BX209" i="15"/>
  <c r="CI209" i="15"/>
  <c r="CT209" i="15" s="1"/>
  <c r="CU209" i="15"/>
  <c r="CX209" i="15"/>
  <c r="CY209" i="15" s="1"/>
  <c r="BV209" i="15"/>
  <c r="BK209" i="15"/>
  <c r="CN209" i="15"/>
  <c r="CS209" i="15"/>
  <c r="BM209" i="15"/>
  <c r="BO209" i="15"/>
  <c r="CW209" i="15"/>
  <c r="BJ209" i="15"/>
  <c r="BN209" i="15"/>
  <c r="BI134" i="15"/>
  <c r="BN134" i="15"/>
  <c r="BO134" i="15"/>
  <c r="CI134" i="15"/>
  <c r="CT134" i="15" s="1"/>
  <c r="BL134" i="15"/>
  <c r="CN134" i="15"/>
  <c r="CS134" i="15"/>
  <c r="BV134" i="15"/>
  <c r="CU134" i="15"/>
  <c r="BW134" i="15"/>
  <c r="BJ134" i="15"/>
  <c r="CW134" i="15"/>
  <c r="BK134" i="15"/>
  <c r="CV134" i="15"/>
  <c r="CX134" i="15"/>
  <c r="CY134" i="15" s="1"/>
  <c r="BX134" i="15"/>
  <c r="BM134" i="15"/>
  <c r="BI220" i="15"/>
  <c r="BX220" i="15"/>
  <c r="CV220" i="15"/>
  <c r="BJ220" i="15"/>
  <c r="CW220" i="15"/>
  <c r="BO220" i="15"/>
  <c r="BK220" i="15"/>
  <c r="CS220" i="15"/>
  <c r="CX220" i="15"/>
  <c r="CY220" i="15" s="1"/>
  <c r="BV220" i="15"/>
  <c r="BL220" i="15"/>
  <c r="BM220" i="15"/>
  <c r="BW220" i="15"/>
  <c r="CN220" i="15"/>
  <c r="CI220" i="15"/>
  <c r="CT220" i="15" s="1"/>
  <c r="BN220" i="15"/>
  <c r="CU220" i="15"/>
  <c r="BI164" i="15"/>
  <c r="BX164" i="15"/>
  <c r="CV164" i="15"/>
  <c r="BJ164" i="15"/>
  <c r="CW164" i="15"/>
  <c r="BK164" i="15"/>
  <c r="CX164" i="15"/>
  <c r="CY164" i="15" s="1"/>
  <c r="BN164" i="15"/>
  <c r="BM164" i="15"/>
  <c r="CS164" i="15"/>
  <c r="CN164" i="15"/>
  <c r="BW164" i="15"/>
  <c r="BL164" i="15"/>
  <c r="CI164" i="15"/>
  <c r="CT164" i="15" s="1"/>
  <c r="BO164" i="15"/>
  <c r="CU164" i="15"/>
  <c r="BV164" i="15"/>
  <c r="CI146" i="15"/>
  <c r="CT146" i="15" s="1"/>
  <c r="BJ146" i="15"/>
  <c r="BW146" i="15"/>
  <c r="BI146" i="15"/>
  <c r="BM146" i="15"/>
  <c r="BK146" i="15"/>
  <c r="BN146" i="15"/>
  <c r="CX146" i="15"/>
  <c r="CY146" i="15" s="1"/>
  <c r="CV146" i="15"/>
  <c r="BX146" i="15"/>
  <c r="CN146" i="15"/>
  <c r="BO146" i="15"/>
  <c r="BL146" i="15"/>
  <c r="CW146" i="15"/>
  <c r="CS146" i="15"/>
  <c r="CU146" i="15"/>
  <c r="BV146" i="15"/>
  <c r="CI156" i="15"/>
  <c r="CT156" i="15" s="1"/>
  <c r="BM156" i="15"/>
  <c r="CU156" i="15"/>
  <c r="CN156" i="15"/>
  <c r="CW156" i="15"/>
  <c r="BO156" i="15"/>
  <c r="CV156" i="15"/>
  <c r="BN156" i="15"/>
  <c r="BW156" i="15"/>
  <c r="BK156" i="15"/>
  <c r="CX156" i="15"/>
  <c r="CY156" i="15" s="1"/>
  <c r="CS156" i="15"/>
  <c r="BI156" i="15"/>
  <c r="BX156" i="15"/>
  <c r="BJ156" i="15"/>
  <c r="BL156" i="15"/>
  <c r="BV156" i="15"/>
  <c r="BK102" i="15"/>
  <c r="BM102" i="15"/>
  <c r="BN102" i="15"/>
  <c r="BO102" i="15"/>
  <c r="BL102" i="15"/>
  <c r="BX102" i="15"/>
  <c r="BI102" i="15"/>
  <c r="CN102" i="15"/>
  <c r="CX102" i="15"/>
  <c r="CY102" i="15" s="1"/>
  <c r="BJ102" i="15"/>
  <c r="BW102" i="15"/>
  <c r="CW102" i="15"/>
  <c r="CT102" i="15"/>
  <c r="CU102" i="15"/>
  <c r="CS102" i="15"/>
  <c r="CV102" i="15"/>
  <c r="BV102" i="15"/>
  <c r="BL170" i="15"/>
  <c r="BN170" i="15"/>
  <c r="BO170" i="15"/>
  <c r="BX170" i="15"/>
  <c r="CI170" i="15"/>
  <c r="CT170" i="15" s="1"/>
  <c r="BW170" i="15"/>
  <c r="BI170" i="15"/>
  <c r="BK170" i="15"/>
  <c r="CX170" i="15"/>
  <c r="CY170" i="15" s="1"/>
  <c r="BJ170" i="15"/>
  <c r="BM170" i="15"/>
  <c r="CN170" i="15"/>
  <c r="CS170" i="15"/>
  <c r="CU170" i="15"/>
  <c r="CV170" i="15"/>
  <c r="CW170" i="15"/>
  <c r="BV170" i="15"/>
  <c r="BI133" i="15"/>
  <c r="BL133" i="15"/>
  <c r="BX133" i="15"/>
  <c r="CI133" i="15"/>
  <c r="CT133" i="15" s="1"/>
  <c r="BW133" i="15"/>
  <c r="CN133" i="15"/>
  <c r="BO133" i="15"/>
  <c r="BN133" i="15"/>
  <c r="BV133" i="15"/>
  <c r="BJ133" i="15"/>
  <c r="BK133" i="15"/>
  <c r="CX133" i="15"/>
  <c r="CY133" i="15" s="1"/>
  <c r="BM133" i="15"/>
  <c r="CV133" i="15"/>
  <c r="CS133" i="15"/>
  <c r="CW133" i="15"/>
  <c r="CU133" i="15"/>
  <c r="BJ213" i="15"/>
  <c r="BL213" i="15"/>
  <c r="BW213" i="15"/>
  <c r="CI213" i="15"/>
  <c r="CT213" i="15" s="1"/>
  <c r="BI213" i="15"/>
  <c r="BN213" i="15"/>
  <c r="BX213" i="15"/>
  <c r="BO213" i="15"/>
  <c r="CN213" i="15"/>
  <c r="BM213" i="15"/>
  <c r="CX213" i="15"/>
  <c r="CY213" i="15" s="1"/>
  <c r="BK213" i="15"/>
  <c r="CV213" i="15"/>
  <c r="CU213" i="15"/>
  <c r="CS213" i="15"/>
  <c r="BV213" i="15"/>
  <c r="CW213" i="15"/>
  <c r="BJ203" i="15"/>
  <c r="BN203" i="15"/>
  <c r="BO203" i="15"/>
  <c r="BW203" i="15"/>
  <c r="CI203" i="15"/>
  <c r="CT203" i="15" s="1"/>
  <c r="BL203" i="15"/>
  <c r="BI203" i="15"/>
  <c r="CS203" i="15"/>
  <c r="CN203" i="15"/>
  <c r="CX203" i="15"/>
  <c r="CY203" i="15" s="1"/>
  <c r="CV203" i="15"/>
  <c r="BM203" i="15"/>
  <c r="BK203" i="15"/>
  <c r="BX203" i="15"/>
  <c r="CW203" i="15"/>
  <c r="BV203" i="15"/>
  <c r="CU203" i="15"/>
  <c r="BK124" i="15"/>
  <c r="CX124" i="15"/>
  <c r="CY124" i="15" s="1"/>
  <c r="BL124" i="15"/>
  <c r="BM124" i="15"/>
  <c r="CN124" i="15"/>
  <c r="BN124" i="15"/>
  <c r="BO124" i="15"/>
  <c r="BW124" i="15"/>
  <c r="CI124" i="15"/>
  <c r="CT124" i="15" s="1"/>
  <c r="BI124" i="15"/>
  <c r="BX124" i="15"/>
  <c r="BJ124" i="15"/>
  <c r="CS124" i="15"/>
  <c r="CW124" i="15"/>
  <c r="CV124" i="15"/>
  <c r="CU124" i="15"/>
  <c r="BV124" i="15"/>
  <c r="BN192" i="15"/>
  <c r="CV192" i="15"/>
  <c r="BV192" i="15"/>
  <c r="BO192" i="15"/>
  <c r="BI192" i="15"/>
  <c r="CN192" i="15"/>
  <c r="CU192" i="15"/>
  <c r="CX192" i="15"/>
  <c r="CY192" i="15" s="1"/>
  <c r="CI192" i="15"/>
  <c r="CT192" i="15" s="1"/>
  <c r="BX192" i="15"/>
  <c r="BW192" i="15"/>
  <c r="CW192" i="15"/>
  <c r="BJ192" i="15"/>
  <c r="BK192" i="15"/>
  <c r="BL192" i="15"/>
  <c r="CS192" i="15"/>
  <c r="BM192" i="15"/>
  <c r="BI172" i="15"/>
  <c r="BN172" i="15"/>
  <c r="BW172" i="15"/>
  <c r="CI172" i="15"/>
  <c r="CT172" i="15" s="1"/>
  <c r="CX172" i="15"/>
  <c r="CY172" i="15" s="1"/>
  <c r="BO172" i="15"/>
  <c r="BL172" i="15"/>
  <c r="BJ172" i="15"/>
  <c r="BK172" i="15"/>
  <c r="BM172" i="15"/>
  <c r="CN172" i="15"/>
  <c r="BX172" i="15"/>
  <c r="BV172" i="15"/>
  <c r="CW172" i="15"/>
  <c r="CV172" i="15"/>
  <c r="CS172" i="15"/>
  <c r="CU172" i="15"/>
  <c r="CN98" i="15"/>
  <c r="CU98" i="15"/>
  <c r="BW98" i="15"/>
  <c r="BI98" i="15"/>
  <c r="CV98" i="15"/>
  <c r="BM98" i="15"/>
  <c r="BJ98" i="15"/>
  <c r="CX98" i="15"/>
  <c r="CY98" i="15" s="1"/>
  <c r="BN98" i="15"/>
  <c r="CW98" i="15"/>
  <c r="BO98" i="15"/>
  <c r="BX98" i="15"/>
  <c r="BK98" i="15"/>
  <c r="CT98" i="15"/>
  <c r="BL98" i="15"/>
  <c r="CS98" i="15"/>
  <c r="BV98" i="15"/>
  <c r="BN184" i="15"/>
  <c r="BX184" i="15"/>
  <c r="CS184" i="15"/>
  <c r="CU184" i="15"/>
  <c r="CX184" i="15"/>
  <c r="CY184" i="15" s="1"/>
  <c r="CV184" i="15"/>
  <c r="CW184" i="15"/>
  <c r="BJ184" i="15"/>
  <c r="BO184" i="15"/>
  <c r="CN184" i="15"/>
  <c r="CP184" i="15" s="1"/>
  <c r="BI184" i="15"/>
  <c r="BK184" i="15"/>
  <c r="BM184" i="15"/>
  <c r="BV184" i="15"/>
  <c r="BL184" i="15"/>
  <c r="CI184" i="15"/>
  <c r="CT184" i="15" s="1"/>
  <c r="BW184" i="15"/>
  <c r="BL97" i="15"/>
  <c r="BJ97" i="15"/>
  <c r="BM97" i="15"/>
  <c r="BW97" i="15"/>
  <c r="CX97" i="15"/>
  <c r="CY97" i="15" s="1"/>
  <c r="CN97" i="15"/>
  <c r="BN97" i="15"/>
  <c r="BK97" i="15"/>
  <c r="BI97" i="15"/>
  <c r="BO97" i="15"/>
  <c r="BX97" i="15"/>
  <c r="BV97" i="15"/>
  <c r="CS97" i="15"/>
  <c r="CU97" i="15"/>
  <c r="CV97" i="15"/>
  <c r="CT97" i="15"/>
  <c r="CW97" i="15"/>
  <c r="BL99" i="15"/>
  <c r="BJ99" i="15"/>
  <c r="BM99" i="15"/>
  <c r="BW99" i="15"/>
  <c r="CN99" i="15"/>
  <c r="CX99" i="15"/>
  <c r="CY99" i="15" s="1"/>
  <c r="BI99" i="15"/>
  <c r="BX99" i="15"/>
  <c r="BN99" i="15"/>
  <c r="BK99" i="15"/>
  <c r="BO99" i="15"/>
  <c r="CU99" i="15"/>
  <c r="CT99" i="15"/>
  <c r="CW99" i="15"/>
  <c r="CV99" i="15"/>
  <c r="CS99" i="15"/>
  <c r="BV99" i="15"/>
  <c r="CW173" i="15"/>
  <c r="CN173" i="15"/>
  <c r="CV173" i="15"/>
  <c r="CS173" i="15"/>
  <c r="BI173" i="15"/>
  <c r="BW173" i="15"/>
  <c r="BJ173" i="15"/>
  <c r="CI173" i="15"/>
  <c r="CT173" i="15" s="1"/>
  <c r="BM173" i="15"/>
  <c r="CU173" i="15"/>
  <c r="BO173" i="15"/>
  <c r="BK173" i="15"/>
  <c r="BX173" i="15"/>
  <c r="CX173" i="15"/>
  <c r="CY173" i="15" s="1"/>
  <c r="BL173" i="15"/>
  <c r="BN173" i="15"/>
  <c r="BV173" i="15"/>
  <c r="BI217" i="15"/>
  <c r="BX217" i="15"/>
  <c r="BJ217" i="15"/>
  <c r="BK217" i="15"/>
  <c r="CX217" i="15"/>
  <c r="CY217" i="15" s="1"/>
  <c r="BL217" i="15"/>
  <c r="BM217" i="15"/>
  <c r="CN217" i="15"/>
  <c r="BN217" i="15"/>
  <c r="BO217" i="15"/>
  <c r="BW217" i="15"/>
  <c r="CI217" i="15"/>
  <c r="CT217" i="15" s="1"/>
  <c r="CW217" i="15"/>
  <c r="CV217" i="15"/>
  <c r="CS217" i="15"/>
  <c r="CU217" i="15"/>
  <c r="BV217" i="15"/>
  <c r="BK131" i="15"/>
  <c r="BX131" i="15"/>
  <c r="CX131" i="15"/>
  <c r="CY131" i="15" s="1"/>
  <c r="CI131" i="15"/>
  <c r="CT131" i="15" s="1"/>
  <c r="BW131" i="15"/>
  <c r="BI131" i="15"/>
  <c r="BJ131" i="15"/>
  <c r="CN131" i="15"/>
  <c r="BL131" i="15"/>
  <c r="BM131" i="15"/>
  <c r="BN131" i="15"/>
  <c r="BO131" i="15"/>
  <c r="CV131" i="15"/>
  <c r="CW131" i="15"/>
  <c r="CS131" i="15"/>
  <c r="CU131" i="15"/>
  <c r="BV131" i="15"/>
  <c r="BK111" i="15"/>
  <c r="BL111" i="15"/>
  <c r="BM111" i="15"/>
  <c r="BO111" i="15"/>
  <c r="BW111" i="15"/>
  <c r="BX111" i="15"/>
  <c r="CN111" i="15"/>
  <c r="BJ111" i="15"/>
  <c r="CX111" i="15"/>
  <c r="CY111" i="15" s="1"/>
  <c r="BN111" i="15"/>
  <c r="BI111" i="15"/>
  <c r="CW111" i="15"/>
  <c r="CS111" i="15"/>
  <c r="CT111" i="15"/>
  <c r="CU111" i="15"/>
  <c r="CV111" i="15"/>
  <c r="BV111" i="15"/>
  <c r="CI155" i="15"/>
  <c r="CT155" i="15" s="1"/>
  <c r="CU155" i="15"/>
  <c r="CV155" i="15"/>
  <c r="BJ155" i="15"/>
  <c r="CX155" i="15"/>
  <c r="CY155" i="15" s="1"/>
  <c r="CW155" i="15"/>
  <c r="BX155" i="15"/>
  <c r="BN155" i="15"/>
  <c r="BO155" i="15"/>
  <c r="CS155" i="15"/>
  <c r="BI155" i="15"/>
  <c r="CN155" i="15"/>
  <c r="BW155" i="15"/>
  <c r="BM155" i="15"/>
  <c r="BL155" i="15"/>
  <c r="BK155" i="15"/>
  <c r="BV155" i="15"/>
  <c r="BJ202" i="15"/>
  <c r="CX202" i="15"/>
  <c r="CY202" i="15" s="1"/>
  <c r="CW202" i="15"/>
  <c r="BL202" i="15"/>
  <c r="BO202" i="15"/>
  <c r="CI202" i="15"/>
  <c r="CT202" i="15" s="1"/>
  <c r="BN202" i="15"/>
  <c r="BI202" i="15"/>
  <c r="CV202" i="15"/>
  <c r="BX202" i="15"/>
  <c r="BK202" i="15"/>
  <c r="BM202" i="15"/>
  <c r="CN202" i="15"/>
  <c r="CU202" i="15"/>
  <c r="CS202" i="15"/>
  <c r="BW202" i="15"/>
  <c r="BV202" i="15"/>
  <c r="BO135" i="15"/>
  <c r="BI135" i="15"/>
  <c r="BL135" i="15"/>
  <c r="BN135" i="15"/>
  <c r="BW135" i="15"/>
  <c r="BX135" i="15"/>
  <c r="CI135" i="15"/>
  <c r="CT135" i="15" s="1"/>
  <c r="CX135" i="15"/>
  <c r="CY135" i="15" s="1"/>
  <c r="BM135" i="15"/>
  <c r="CN135" i="15"/>
  <c r="BJ135" i="15"/>
  <c r="CW135" i="15"/>
  <c r="BK135" i="15"/>
  <c r="BV135" i="15"/>
  <c r="CV135" i="15"/>
  <c r="CU135" i="15"/>
  <c r="CS135" i="15"/>
  <c r="BM113" i="15"/>
  <c r="CN113" i="15"/>
  <c r="BK113" i="15"/>
  <c r="BN113" i="15"/>
  <c r="BO113" i="15"/>
  <c r="BW113" i="15"/>
  <c r="BI113" i="15"/>
  <c r="BX113" i="15"/>
  <c r="BJ113" i="15"/>
  <c r="CX113" i="15"/>
  <c r="CY113" i="15" s="1"/>
  <c r="BL113" i="15"/>
  <c r="CT113" i="15"/>
  <c r="CV113" i="15"/>
  <c r="CW113" i="15"/>
  <c r="CU113" i="15"/>
  <c r="CS113" i="15"/>
  <c r="BV113" i="15"/>
  <c r="CN94" i="15"/>
  <c r="CV94" i="15"/>
  <c r="CX94" i="15"/>
  <c r="CY94" i="15" s="1"/>
  <c r="BM94" i="15"/>
  <c r="BI94" i="15"/>
  <c r="BJ94" i="15"/>
  <c r="BK94" i="15"/>
  <c r="BX94" i="15"/>
  <c r="BL94" i="15"/>
  <c r="BO94" i="15"/>
  <c r="BW94" i="15"/>
  <c r="CT94" i="15"/>
  <c r="CW94" i="15"/>
  <c r="CS94" i="15"/>
  <c r="BN94" i="15"/>
  <c r="BV94" i="15"/>
  <c r="CU94" i="15"/>
  <c r="BV201" i="15"/>
  <c r="BN201" i="15"/>
  <c r="CI201" i="15"/>
  <c r="CT201" i="15" s="1"/>
  <c r="BO201" i="15"/>
  <c r="CU201" i="15"/>
  <c r="CX201" i="15"/>
  <c r="CY201" i="15" s="1"/>
  <c r="BW201" i="15"/>
  <c r="CV201" i="15"/>
  <c r="BX201" i="15"/>
  <c r="CW201" i="15"/>
  <c r="BK201" i="15"/>
  <c r="CN201" i="15"/>
  <c r="BI201" i="15"/>
  <c r="BL201" i="15"/>
  <c r="BJ201" i="15"/>
  <c r="CS201" i="15"/>
  <c r="BM201" i="15"/>
  <c r="BJ181" i="15"/>
  <c r="BL181" i="15"/>
  <c r="BK181" i="15"/>
  <c r="BW181" i="15"/>
  <c r="BM181" i="15"/>
  <c r="CW181" i="15"/>
  <c r="CS181" i="15"/>
  <c r="BN181" i="15"/>
  <c r="CU181" i="15"/>
  <c r="BV181" i="15"/>
  <c r="CI181" i="15"/>
  <c r="CT181" i="15" s="1"/>
  <c r="CX181" i="15"/>
  <c r="CY181" i="15" s="1"/>
  <c r="BX181" i="15"/>
  <c r="BI181" i="15"/>
  <c r="BO181" i="15"/>
  <c r="CN181" i="15"/>
  <c r="CV181" i="15"/>
  <c r="CN89" i="15"/>
  <c r="CX89" i="15"/>
  <c r="BM89" i="15"/>
  <c r="BJ89" i="15"/>
  <c r="BL89" i="15"/>
  <c r="BW89" i="15"/>
  <c r="BO89" i="15"/>
  <c r="BH221" i="15"/>
  <c r="BX89" i="15"/>
  <c r="BI89" i="15"/>
  <c r="BK89" i="15"/>
  <c r="BN89" i="15"/>
  <c r="CW89" i="15"/>
  <c r="CV89" i="15"/>
  <c r="CT89" i="15"/>
  <c r="CU89" i="15"/>
  <c r="BV89" i="15"/>
  <c r="CS89" i="15"/>
  <c r="CW190" i="15"/>
  <c r="BK190" i="15"/>
  <c r="BI190" i="15"/>
  <c r="BL190" i="15"/>
  <c r="BO190" i="15"/>
  <c r="BN190" i="15"/>
  <c r="CV190" i="15"/>
  <c r="CN190" i="15"/>
  <c r="CU190" i="15"/>
  <c r="BJ190" i="15"/>
  <c r="CX190" i="15"/>
  <c r="CY190" i="15" s="1"/>
  <c r="CI190" i="15"/>
  <c r="CT190" i="15" s="1"/>
  <c r="BW190" i="15"/>
  <c r="BX190" i="15"/>
  <c r="BM190" i="15"/>
  <c r="BV190" i="15"/>
  <c r="CS190" i="15"/>
  <c r="BM122" i="15"/>
  <c r="BN122" i="15"/>
  <c r="BO122" i="15"/>
  <c r="CS122" i="15"/>
  <c r="CI122" i="15"/>
  <c r="CT122" i="15" s="1"/>
  <c r="BV122" i="15"/>
  <c r="CV122" i="15"/>
  <c r="BX122" i="15"/>
  <c r="BJ122" i="15"/>
  <c r="CX122" i="15"/>
  <c r="CY122" i="15" s="1"/>
  <c r="BW122" i="15"/>
  <c r="BI122" i="15"/>
  <c r="CU122" i="15"/>
  <c r="BK122" i="15"/>
  <c r="CW122" i="15"/>
  <c r="CN122" i="15"/>
  <c r="CP122" i="15" s="1"/>
  <c r="BL122" i="15"/>
  <c r="BJ147" i="15"/>
  <c r="BI147" i="15"/>
  <c r="BL147" i="15"/>
  <c r="CI147" i="15"/>
  <c r="CT147" i="15" s="1"/>
  <c r="BN147" i="15"/>
  <c r="BK147" i="15"/>
  <c r="BX147" i="15"/>
  <c r="BM147" i="15"/>
  <c r="CX147" i="15"/>
  <c r="CY147" i="15" s="1"/>
  <c r="CN147" i="15"/>
  <c r="BV147" i="15"/>
  <c r="CS147" i="15"/>
  <c r="BW147" i="15"/>
  <c r="CU147" i="15"/>
  <c r="CV147" i="15"/>
  <c r="BO147" i="15"/>
  <c r="CW147" i="15"/>
  <c r="BM90" i="15"/>
  <c r="BO90" i="15"/>
  <c r="BW90" i="15"/>
  <c r="BX90" i="15"/>
  <c r="BK90" i="15"/>
  <c r="BN90" i="15"/>
  <c r="BI90" i="15"/>
  <c r="CX90" i="15"/>
  <c r="CY90" i="15" s="1"/>
  <c r="BJ90" i="15"/>
  <c r="CN90" i="15"/>
  <c r="BL90" i="15"/>
  <c r="CW90" i="15"/>
  <c r="CV90" i="15"/>
  <c r="CT90" i="15"/>
  <c r="CU90" i="15"/>
  <c r="CS90" i="15"/>
  <c r="BV90" i="15"/>
  <c r="BL208" i="15"/>
  <c r="BM208" i="15"/>
  <c r="CN208" i="15"/>
  <c r="BN208" i="15"/>
  <c r="BW208" i="15"/>
  <c r="CI208" i="15"/>
  <c r="CT208" i="15" s="1"/>
  <c r="BI208" i="15"/>
  <c r="BX208" i="15"/>
  <c r="BJ208" i="15"/>
  <c r="CX208" i="15"/>
  <c r="CY208" i="15" s="1"/>
  <c r="BK208" i="15"/>
  <c r="BO208" i="15"/>
  <c r="BV208" i="15"/>
  <c r="CS208" i="15"/>
  <c r="CW208" i="15"/>
  <c r="CU208" i="15"/>
  <c r="CV208" i="15"/>
  <c r="BI132" i="15"/>
  <c r="BL132" i="15"/>
  <c r="BN132" i="15"/>
  <c r="BO132" i="15"/>
  <c r="BW132" i="15"/>
  <c r="BX132" i="15"/>
  <c r="CI132" i="15"/>
  <c r="CT132" i="15" s="1"/>
  <c r="CX132" i="15"/>
  <c r="CY132" i="15" s="1"/>
  <c r="BK132" i="15"/>
  <c r="CW132" i="15"/>
  <c r="BJ132" i="15"/>
  <c r="CN132" i="15"/>
  <c r="BM132" i="15"/>
  <c r="CU132" i="15"/>
  <c r="CV132" i="15"/>
  <c r="CS132" i="15"/>
  <c r="BV132" i="15"/>
  <c r="BL191" i="15"/>
  <c r="BM191" i="15"/>
  <c r="BN191" i="15"/>
  <c r="BO191" i="15"/>
  <c r="BW191" i="15"/>
  <c r="BX191" i="15"/>
  <c r="CI191" i="15"/>
  <c r="CT191" i="15" s="1"/>
  <c r="CV191" i="15"/>
  <c r="BK191" i="15"/>
  <c r="CW191" i="15"/>
  <c r="BI191" i="15"/>
  <c r="CX191" i="15"/>
  <c r="CY191" i="15" s="1"/>
  <c r="BJ191" i="15"/>
  <c r="CU191" i="15"/>
  <c r="CN191" i="15"/>
  <c r="BV191" i="15"/>
  <c r="CS191" i="15"/>
  <c r="BM195" i="15"/>
  <c r="CX195" i="15"/>
  <c r="CY195" i="15" s="1"/>
  <c r="BI195" i="15"/>
  <c r="BV195" i="15"/>
  <c r="BJ195" i="15"/>
  <c r="BW195" i="15"/>
  <c r="CS195" i="15"/>
  <c r="BX195" i="15"/>
  <c r="BK195" i="15"/>
  <c r="CN195" i="15"/>
  <c r="CU195" i="15"/>
  <c r="BL195" i="15"/>
  <c r="CV195" i="15"/>
  <c r="BN195" i="15"/>
  <c r="CW195" i="15"/>
  <c r="BO195" i="15"/>
  <c r="CI195" i="15"/>
  <c r="CT195" i="15" s="1"/>
  <c r="BJ207" i="15"/>
  <c r="BN207" i="15"/>
  <c r="BO207" i="15"/>
  <c r="BW207" i="15"/>
  <c r="CI207" i="15"/>
  <c r="CT207" i="15" s="1"/>
  <c r="CV207" i="15"/>
  <c r="BX207" i="15"/>
  <c r="BI207" i="15"/>
  <c r="BK207" i="15"/>
  <c r="CX207" i="15"/>
  <c r="CY207" i="15" s="1"/>
  <c r="BL207" i="15"/>
  <c r="CN207" i="15"/>
  <c r="CS207" i="15"/>
  <c r="BM207" i="15"/>
  <c r="BV207" i="15"/>
  <c r="CU207" i="15"/>
  <c r="CW207" i="15"/>
  <c r="CI117" i="15"/>
  <c r="CT117" i="15" s="1"/>
  <c r="CU117" i="15"/>
  <c r="BI117" i="15"/>
  <c r="BX117" i="15"/>
  <c r="BL117" i="15"/>
  <c r="CV117" i="15"/>
  <c r="BM117" i="15"/>
  <c r="BJ117" i="15"/>
  <c r="CN117" i="15"/>
  <c r="CP117" i="15" s="1"/>
  <c r="CW117" i="15"/>
  <c r="BO117" i="15"/>
  <c r="BN117" i="15"/>
  <c r="CS117" i="15"/>
  <c r="CX117" i="15"/>
  <c r="CY117" i="15" s="1"/>
  <c r="BV117" i="15"/>
  <c r="BK117" i="15"/>
  <c r="BW117" i="15"/>
  <c r="CN138" i="15"/>
  <c r="CP138" i="15" s="1"/>
  <c r="CX138" i="15"/>
  <c r="CY138" i="15" s="1"/>
  <c r="BN138" i="15"/>
  <c r="BK138" i="15"/>
  <c r="BW138" i="15"/>
  <c r="BO138" i="15"/>
  <c r="CI138" i="15"/>
  <c r="CT138" i="15" s="1"/>
  <c r="BV138" i="15"/>
  <c r="CU138" i="15"/>
  <c r="BI138" i="15"/>
  <c r="BX138" i="15"/>
  <c r="CV138" i="15"/>
  <c r="BL138" i="15"/>
  <c r="CS138" i="15"/>
  <c r="CW138" i="15"/>
  <c r="BM138" i="15"/>
  <c r="BJ138" i="15"/>
  <c r="CN171" i="15"/>
  <c r="CS171" i="15"/>
  <c r="BX171" i="15"/>
  <c r="CV171" i="15"/>
  <c r="BN171" i="15"/>
  <c r="CX171" i="15"/>
  <c r="CY171" i="15" s="1"/>
  <c r="BV171" i="15"/>
  <c r="BI171" i="15"/>
  <c r="BW171" i="15"/>
  <c r="BK171" i="15"/>
  <c r="CI171" i="15"/>
  <c r="CT171" i="15" s="1"/>
  <c r="BL171" i="15"/>
  <c r="CU171" i="15"/>
  <c r="BO171" i="15"/>
  <c r="BJ171" i="15"/>
  <c r="CW171" i="15"/>
  <c r="BM171" i="15"/>
  <c r="BJ200" i="15"/>
  <c r="BK200" i="15"/>
  <c r="BL200" i="15"/>
  <c r="BM200" i="15"/>
  <c r="BN200" i="15"/>
  <c r="BO200" i="15"/>
  <c r="CI200" i="15"/>
  <c r="CT200" i="15" s="1"/>
  <c r="CN200" i="15"/>
  <c r="CX200" i="15"/>
  <c r="CY200" i="15" s="1"/>
  <c r="BW200" i="15"/>
  <c r="BI200" i="15"/>
  <c r="BX200" i="15"/>
  <c r="CW200" i="15"/>
  <c r="CV200" i="15"/>
  <c r="CS200" i="15"/>
  <c r="CU200" i="15"/>
  <c r="BV200" i="15"/>
  <c r="BI151" i="15"/>
  <c r="BL151" i="15"/>
  <c r="BW151" i="15"/>
  <c r="CN151" i="15"/>
  <c r="BO151" i="15"/>
  <c r="BN151" i="15"/>
  <c r="CI151" i="15"/>
  <c r="CT151" i="15" s="1"/>
  <c r="BJ151" i="15"/>
  <c r="BM151" i="15"/>
  <c r="BK151" i="15"/>
  <c r="CX151" i="15"/>
  <c r="CY151" i="15" s="1"/>
  <c r="BX151" i="15"/>
  <c r="CV151" i="15"/>
  <c r="CW151" i="15"/>
  <c r="CU151" i="15"/>
  <c r="CS151" i="15"/>
  <c r="BV151" i="15"/>
  <c r="CI196" i="15"/>
  <c r="CT196" i="15" s="1"/>
  <c r="CX196" i="15"/>
  <c r="CY196" i="15" s="1"/>
  <c r="BW196" i="15"/>
  <c r="BX196" i="15"/>
  <c r="CN196" i="15"/>
  <c r="BO196" i="15"/>
  <c r="BI196" i="15"/>
  <c r="BJ196" i="15"/>
  <c r="BK196" i="15"/>
  <c r="BL196" i="15"/>
  <c r="BM196" i="15"/>
  <c r="BN196" i="15"/>
  <c r="CU196" i="15"/>
  <c r="CW196" i="15"/>
  <c r="CS196" i="15"/>
  <c r="CV196" i="15"/>
  <c r="BV196" i="15"/>
  <c r="BO125" i="15"/>
  <c r="BW125" i="15"/>
  <c r="CI125" i="15"/>
  <c r="CT125" i="15" s="1"/>
  <c r="CX125" i="15"/>
  <c r="CY125" i="15" s="1"/>
  <c r="BL125" i="15"/>
  <c r="BM125" i="15"/>
  <c r="CN125" i="15"/>
  <c r="CS125" i="15"/>
  <c r="BN125" i="15"/>
  <c r="BI125" i="15"/>
  <c r="BX125" i="15"/>
  <c r="CU125" i="15"/>
  <c r="CV125" i="15"/>
  <c r="BJ125" i="15"/>
  <c r="CW125" i="15"/>
  <c r="BK125" i="15"/>
  <c r="BV125" i="15"/>
  <c r="CV206" i="15"/>
  <c r="BJ206" i="15"/>
  <c r="CW206" i="15"/>
  <c r="BK206" i="15"/>
  <c r="BO206" i="15"/>
  <c r="CX206" i="15"/>
  <c r="CY206" i="15" s="1"/>
  <c r="CS206" i="15"/>
  <c r="BL206" i="15"/>
  <c r="BV206" i="15"/>
  <c r="BM206" i="15"/>
  <c r="BW206" i="15"/>
  <c r="CN206" i="15"/>
  <c r="CI206" i="15"/>
  <c r="CT206" i="15" s="1"/>
  <c r="BN206" i="15"/>
  <c r="CU206" i="15"/>
  <c r="BI206" i="15"/>
  <c r="BX206" i="15"/>
  <c r="BI199" i="15"/>
  <c r="BL199" i="15"/>
  <c r="BM199" i="15"/>
  <c r="BO199" i="15"/>
  <c r="BX199" i="15"/>
  <c r="CI199" i="15"/>
  <c r="CT199" i="15" s="1"/>
  <c r="CX199" i="15"/>
  <c r="CY199" i="15" s="1"/>
  <c r="BN199" i="15"/>
  <c r="BW199" i="15"/>
  <c r="BJ199" i="15"/>
  <c r="CN199" i="15"/>
  <c r="CW199" i="15"/>
  <c r="BK199" i="15"/>
  <c r="BV199" i="15"/>
  <c r="CV199" i="15"/>
  <c r="CU199" i="15"/>
  <c r="CS199" i="15"/>
  <c r="CV119" i="15"/>
  <c r="BJ119" i="15"/>
  <c r="CW119" i="15"/>
  <c r="CI119" i="15"/>
  <c r="CT119" i="15" s="1"/>
  <c r="BL119" i="15"/>
  <c r="BN119" i="15"/>
  <c r="BM119" i="15"/>
  <c r="BW119" i="15"/>
  <c r="CN119" i="15"/>
  <c r="CU119" i="15"/>
  <c r="BO119" i="15"/>
  <c r="CX119" i="15"/>
  <c r="CY119" i="15" s="1"/>
  <c r="CS119" i="15"/>
  <c r="BK119" i="15"/>
  <c r="BI119" i="15"/>
  <c r="BX119" i="15"/>
  <c r="BV119" i="15"/>
  <c r="BJ211" i="15"/>
  <c r="BN211" i="15"/>
  <c r="BO211" i="15"/>
  <c r="BW211" i="15"/>
  <c r="CI211" i="15"/>
  <c r="CT211" i="15" s="1"/>
  <c r="CW211" i="15"/>
  <c r="BK211" i="15"/>
  <c r="CU211" i="15"/>
  <c r="CV211" i="15"/>
  <c r="BX211" i="15"/>
  <c r="CS211" i="15"/>
  <c r="BI211" i="15"/>
  <c r="CN211" i="15"/>
  <c r="BL211" i="15"/>
  <c r="BM211" i="15"/>
  <c r="CX211" i="15"/>
  <c r="CY211" i="15" s="1"/>
  <c r="BV211" i="15"/>
  <c r="BN160" i="15"/>
  <c r="BL160" i="15"/>
  <c r="BM160" i="15"/>
  <c r="BO160" i="15"/>
  <c r="BW160" i="15"/>
  <c r="CI160" i="15"/>
  <c r="CT160" i="15" s="1"/>
  <c r="CN160" i="15"/>
  <c r="CV160" i="15"/>
  <c r="BX160" i="15"/>
  <c r="CS160" i="15"/>
  <c r="CX160" i="15"/>
  <c r="CY160" i="15" s="1"/>
  <c r="BK160" i="15"/>
  <c r="BI160" i="15"/>
  <c r="CW160" i="15"/>
  <c r="BJ160" i="15"/>
  <c r="BV160" i="15"/>
  <c r="CU160" i="15"/>
  <c r="BM187" i="15"/>
  <c r="BL187" i="15"/>
  <c r="BN187" i="15"/>
  <c r="BX187" i="15"/>
  <c r="CU187" i="15"/>
  <c r="CS187" i="15"/>
  <c r="CV187" i="15"/>
  <c r="CX187" i="15"/>
  <c r="CY187" i="15" s="1"/>
  <c r="BI187" i="15"/>
  <c r="BJ187" i="15"/>
  <c r="BK187" i="15"/>
  <c r="CI187" i="15"/>
  <c r="CT187" i="15" s="1"/>
  <c r="BW187" i="15"/>
  <c r="BO187" i="15"/>
  <c r="CW187" i="15"/>
  <c r="CN187" i="15"/>
  <c r="BV187" i="15"/>
  <c r="BI107" i="15"/>
  <c r="BJ107" i="15"/>
  <c r="CN107" i="15"/>
  <c r="BK107" i="15"/>
  <c r="BM107" i="15"/>
  <c r="BL107" i="15"/>
  <c r="CS107" i="15"/>
  <c r="BO107" i="15"/>
  <c r="CU107" i="15"/>
  <c r="CT107" i="15"/>
  <c r="BN107" i="15"/>
  <c r="BW107" i="15"/>
  <c r="BV107" i="15"/>
  <c r="CV107" i="15"/>
  <c r="BX107" i="15"/>
  <c r="CW107" i="15"/>
  <c r="CX107" i="15"/>
  <c r="CY107" i="15" s="1"/>
  <c r="BK166" i="15"/>
  <c r="BI166" i="15"/>
  <c r="BJ166" i="15"/>
  <c r="BL166" i="15"/>
  <c r="BO166" i="15"/>
  <c r="BW166" i="15"/>
  <c r="BX166" i="15"/>
  <c r="CI166" i="15"/>
  <c r="CT166" i="15" s="1"/>
  <c r="CN166" i="15"/>
  <c r="CX166" i="15"/>
  <c r="CY166" i="15" s="1"/>
  <c r="BN166" i="15"/>
  <c r="BM166" i="15"/>
  <c r="CS166" i="15"/>
  <c r="CW166" i="15"/>
  <c r="CV166" i="15"/>
  <c r="CU166" i="15"/>
  <c r="BV166" i="15"/>
  <c r="BL205" i="15"/>
  <c r="BW205" i="15"/>
  <c r="CI205" i="15"/>
  <c r="CT205" i="15" s="1"/>
  <c r="CV205" i="15"/>
  <c r="BN205" i="15"/>
  <c r="CU205" i="15"/>
  <c r="CX205" i="15"/>
  <c r="CY205" i="15" s="1"/>
  <c r="CN205" i="15"/>
  <c r="BX205" i="15"/>
  <c r="BV205" i="15"/>
  <c r="BI205" i="15"/>
  <c r="BO205" i="15"/>
  <c r="BM205" i="15"/>
  <c r="CW205" i="15"/>
  <c r="BK205" i="15"/>
  <c r="BJ205" i="15"/>
  <c r="CS205" i="15"/>
  <c r="CF22" i="15"/>
  <c r="O455" i="12"/>
  <c r="BK218" i="15"/>
  <c r="BW218" i="15"/>
  <c r="CI218" i="15"/>
  <c r="CT218" i="15" s="1"/>
  <c r="BI218" i="15"/>
  <c r="CS218" i="15"/>
  <c r="CX218" i="15"/>
  <c r="CY218" i="15" s="1"/>
  <c r="CN218" i="15"/>
  <c r="BV218" i="15"/>
  <c r="BO218" i="15"/>
  <c r="BM218" i="15"/>
  <c r="BN218" i="15"/>
  <c r="CW218" i="15"/>
  <c r="BJ218" i="15"/>
  <c r="CV218" i="15"/>
  <c r="BX218" i="15"/>
  <c r="BL218" i="15"/>
  <c r="CU218" i="15"/>
  <c r="BL212" i="15"/>
  <c r="BV212" i="15"/>
  <c r="BM212" i="15"/>
  <c r="BW212" i="15"/>
  <c r="CN212" i="15"/>
  <c r="CI212" i="15"/>
  <c r="CT212" i="15" s="1"/>
  <c r="BN212" i="15"/>
  <c r="CU212" i="15"/>
  <c r="BO212" i="15"/>
  <c r="BI212" i="15"/>
  <c r="CS212" i="15"/>
  <c r="BX212" i="15"/>
  <c r="CV212" i="15"/>
  <c r="BJ212" i="15"/>
  <c r="CW212" i="15"/>
  <c r="BK212" i="15"/>
  <c r="CX212" i="15"/>
  <c r="CY212" i="15" s="1"/>
  <c r="BI215" i="15"/>
  <c r="BJ215" i="15"/>
  <c r="BK215" i="15"/>
  <c r="BN215" i="15"/>
  <c r="BW215" i="15"/>
  <c r="BX215" i="15"/>
  <c r="CI215" i="15"/>
  <c r="CT215" i="15" s="1"/>
  <c r="CV215" i="15"/>
  <c r="CX215" i="15"/>
  <c r="CY215" i="15" s="1"/>
  <c r="BO215" i="15"/>
  <c r="CN215" i="15"/>
  <c r="BL215" i="15"/>
  <c r="CS215" i="15"/>
  <c r="CU215" i="15"/>
  <c r="BM215" i="15"/>
  <c r="BV215" i="15"/>
  <c r="CW215" i="15"/>
  <c r="BM129" i="15"/>
  <c r="CI129" i="15"/>
  <c r="CT129" i="15" s="1"/>
  <c r="CN129" i="15"/>
  <c r="CU129" i="15"/>
  <c r="CX129" i="15"/>
  <c r="CY129" i="15" s="1"/>
  <c r="BW129" i="15"/>
  <c r="BI129" i="15"/>
  <c r="BX129" i="15"/>
  <c r="CV129" i="15"/>
  <c r="BL129" i="15"/>
  <c r="CW129" i="15"/>
  <c r="BN129" i="15"/>
  <c r="BJ129" i="15"/>
  <c r="BO129" i="15"/>
  <c r="BK129" i="15"/>
  <c r="CS129" i="15"/>
  <c r="BV129" i="15"/>
  <c r="CX104" i="15"/>
  <c r="CY104" i="15" s="1"/>
  <c r="BL104" i="15"/>
  <c r="BN104" i="15"/>
  <c r="CN104" i="15"/>
  <c r="BO104" i="15"/>
  <c r="CT104" i="15"/>
  <c r="CS104" i="15"/>
  <c r="BK104" i="15"/>
  <c r="CU104" i="15"/>
  <c r="BM104" i="15"/>
  <c r="BW104" i="15"/>
  <c r="CV104" i="15"/>
  <c r="BI104" i="15"/>
  <c r="BX104" i="15"/>
  <c r="CW104" i="15"/>
  <c r="BJ104" i="15"/>
  <c r="BV104" i="15"/>
  <c r="BL153" i="15"/>
  <c r="BN153" i="15"/>
  <c r="CN153" i="15"/>
  <c r="CW153" i="15"/>
  <c r="BO153" i="15"/>
  <c r="CS153" i="15"/>
  <c r="BW153" i="15"/>
  <c r="CV153" i="15"/>
  <c r="BX153" i="15"/>
  <c r="BJ153" i="15"/>
  <c r="CX153" i="15"/>
  <c r="CY153" i="15" s="1"/>
  <c r="BK153" i="15"/>
  <c r="BI153" i="15"/>
  <c r="BM153" i="15"/>
  <c r="CI153" i="15"/>
  <c r="CT153" i="15" s="1"/>
  <c r="CU153" i="15"/>
  <c r="BV153" i="15"/>
  <c r="BM162" i="15"/>
  <c r="CN162" i="15"/>
  <c r="BN162" i="15"/>
  <c r="BO162" i="15"/>
  <c r="BJ162" i="15"/>
  <c r="BX162" i="15"/>
  <c r="BW162" i="15"/>
  <c r="CI162" i="15"/>
  <c r="CT162" i="15" s="1"/>
  <c r="BK162" i="15"/>
  <c r="BL162" i="15"/>
  <c r="CX162" i="15"/>
  <c r="CY162" i="15" s="1"/>
  <c r="BI162" i="15"/>
  <c r="CV162" i="15"/>
  <c r="CS162" i="15"/>
  <c r="CW162" i="15"/>
  <c r="BV162" i="15"/>
  <c r="CU162" i="15"/>
  <c r="BK161" i="15"/>
  <c r="BL161" i="15"/>
  <c r="BO161" i="15"/>
  <c r="BW161" i="15"/>
  <c r="BX161" i="15"/>
  <c r="CI161" i="15"/>
  <c r="CT161" i="15" s="1"/>
  <c r="CS161" i="15"/>
  <c r="CV161" i="15"/>
  <c r="BJ161" i="15"/>
  <c r="CW161" i="15"/>
  <c r="BM161" i="15"/>
  <c r="CX161" i="15"/>
  <c r="CY161" i="15" s="1"/>
  <c r="BI161" i="15"/>
  <c r="BV161" i="15"/>
  <c r="CU161" i="15"/>
  <c r="CN161" i="15"/>
  <c r="BN161" i="15"/>
  <c r="BK143" i="15"/>
  <c r="CX143" i="15"/>
  <c r="CY143" i="15" s="1"/>
  <c r="CS143" i="15"/>
  <c r="CW143" i="15"/>
  <c r="BL143" i="15"/>
  <c r="BN143" i="15"/>
  <c r="BM143" i="15"/>
  <c r="BO143" i="15"/>
  <c r="CN143" i="15"/>
  <c r="BX143" i="15"/>
  <c r="BV143" i="15"/>
  <c r="CV143" i="15"/>
  <c r="BI143" i="15"/>
  <c r="BW143" i="15"/>
  <c r="BJ143" i="15"/>
  <c r="CI143" i="15"/>
  <c r="CT143" i="15" s="1"/>
  <c r="CU143" i="15"/>
  <c r="CN180" i="15"/>
  <c r="CI180" i="15"/>
  <c r="CT180" i="15" s="1"/>
  <c r="CX180" i="15"/>
  <c r="CY180" i="15" s="1"/>
  <c r="BW180" i="15"/>
  <c r="BL180" i="15"/>
  <c r="BO180" i="15"/>
  <c r="BI180" i="15"/>
  <c r="BX180" i="15"/>
  <c r="BJ180" i="15"/>
  <c r="BK180" i="15"/>
  <c r="CS180" i="15"/>
  <c r="BM180" i="15"/>
  <c r="BN180" i="15"/>
  <c r="CV180" i="15"/>
  <c r="CU180" i="15"/>
  <c r="CW180" i="15"/>
  <c r="BV180" i="15"/>
  <c r="BX140" i="15"/>
  <c r="CV140" i="15"/>
  <c r="BL140" i="15"/>
  <c r="CW140" i="15"/>
  <c r="BK140" i="15"/>
  <c r="BM140" i="15"/>
  <c r="CS140" i="15"/>
  <c r="CN140" i="15"/>
  <c r="CP140" i="15" s="1"/>
  <c r="BN140" i="15"/>
  <c r="CX140" i="15"/>
  <c r="CY140" i="15" s="1"/>
  <c r="BW140" i="15"/>
  <c r="BJ140" i="15"/>
  <c r="CI140" i="15"/>
  <c r="CT140" i="15" s="1"/>
  <c r="BO140" i="15"/>
  <c r="CU140" i="15"/>
  <c r="BV140" i="15"/>
  <c r="BI140" i="15"/>
  <c r="BW123" i="15"/>
  <c r="CI123" i="15"/>
  <c r="CT123" i="15" s="1"/>
  <c r="CV123" i="15"/>
  <c r="CU123" i="15"/>
  <c r="BX123" i="15"/>
  <c r="BM123" i="15"/>
  <c r="CW123" i="15"/>
  <c r="CX123" i="15"/>
  <c r="CY123" i="15" s="1"/>
  <c r="BJ123" i="15"/>
  <c r="BK123" i="15"/>
  <c r="CN123" i="15"/>
  <c r="CP123" i="15" s="1"/>
  <c r="BL123" i="15"/>
  <c r="CS123" i="15"/>
  <c r="BO123" i="15"/>
  <c r="BV123" i="15"/>
  <c r="BI123" i="15"/>
  <c r="BN123" i="15"/>
  <c r="CU157" i="15"/>
  <c r="BX157" i="15"/>
  <c r="CN157" i="15"/>
  <c r="BI157" i="15"/>
  <c r="CV157" i="15"/>
  <c r="BJ157" i="15"/>
  <c r="CW157" i="15"/>
  <c r="BK157" i="15"/>
  <c r="BN157" i="15"/>
  <c r="CX157" i="15"/>
  <c r="CY157" i="15" s="1"/>
  <c r="CS157" i="15"/>
  <c r="BL157" i="15"/>
  <c r="BW157" i="15"/>
  <c r="BO157" i="15"/>
  <c r="CI157" i="15"/>
  <c r="CT157" i="15" s="1"/>
  <c r="BM157" i="15"/>
  <c r="BV157" i="15"/>
  <c r="CI219" i="15"/>
  <c r="CT219" i="15" s="1"/>
  <c r="CV219" i="15"/>
  <c r="CW219" i="15"/>
  <c r="CX219" i="15"/>
  <c r="CY219" i="15" s="1"/>
  <c r="BI219" i="15"/>
  <c r="BO219" i="15"/>
  <c r="BJ219" i="15"/>
  <c r="BK219" i="15"/>
  <c r="BN219" i="15"/>
  <c r="BW219" i="15"/>
  <c r="BX219" i="15"/>
  <c r="CN219" i="15"/>
  <c r="CS219" i="15"/>
  <c r="CU219" i="15"/>
  <c r="BM219" i="15"/>
  <c r="BL219" i="15"/>
  <c r="BV219" i="15"/>
  <c r="BK175" i="15"/>
  <c r="CV175" i="15"/>
  <c r="CX175" i="15"/>
  <c r="CY175" i="15" s="1"/>
  <c r="BJ175" i="15"/>
  <c r="BV175" i="15"/>
  <c r="CW175" i="15"/>
  <c r="BL175" i="15"/>
  <c r="BX175" i="15"/>
  <c r="BN175" i="15"/>
  <c r="CN175" i="15"/>
  <c r="BW175" i="15"/>
  <c r="BI175" i="15"/>
  <c r="CU175" i="15"/>
  <c r="CS175" i="15"/>
  <c r="CI175" i="15"/>
  <c r="CT175" i="15" s="1"/>
  <c r="BM175" i="15"/>
  <c r="BO175" i="15"/>
  <c r="BN109" i="15"/>
  <c r="BO109" i="15"/>
  <c r="CS109" i="15"/>
  <c r="CW109" i="15"/>
  <c r="CT109" i="15"/>
  <c r="BI109" i="15"/>
  <c r="CV109" i="15"/>
  <c r="BX109" i="15"/>
  <c r="BJ109" i="15"/>
  <c r="CU109" i="15"/>
  <c r="CX109" i="15"/>
  <c r="CY109" i="15" s="1"/>
  <c r="BK109" i="15"/>
  <c r="BL109" i="15"/>
  <c r="BW109" i="15"/>
  <c r="CN109" i="15"/>
  <c r="BM109" i="15"/>
  <c r="BV109" i="15"/>
  <c r="BO108" i="15"/>
  <c r="BV108" i="15"/>
  <c r="CU108" i="15"/>
  <c r="BI108" i="15"/>
  <c r="CT108" i="15"/>
  <c r="BX108" i="15"/>
  <c r="CW108" i="15"/>
  <c r="BJ108" i="15"/>
  <c r="CX108" i="15"/>
  <c r="CY108" i="15" s="1"/>
  <c r="BK108" i="15"/>
  <c r="BL108" i="15"/>
  <c r="CN108" i="15"/>
  <c r="BM108" i="15"/>
  <c r="CV108" i="15"/>
  <c r="BW108" i="15"/>
  <c r="CS108" i="15"/>
  <c r="BN108" i="15"/>
  <c r="BI194" i="15"/>
  <c r="BJ194" i="15"/>
  <c r="BK194" i="15"/>
  <c r="BL194" i="15"/>
  <c r="BN194" i="15"/>
  <c r="BM194" i="15"/>
  <c r="CW194" i="15"/>
  <c r="CN194" i="15"/>
  <c r="BO194" i="15"/>
  <c r="CS194" i="15"/>
  <c r="CX194" i="15"/>
  <c r="CY194" i="15" s="1"/>
  <c r="BV194" i="15"/>
  <c r="BW194" i="15"/>
  <c r="CV194" i="15"/>
  <c r="BX194" i="15"/>
  <c r="CI194" i="15"/>
  <c r="CT194" i="15" s="1"/>
  <c r="CU194" i="15"/>
  <c r="BL165" i="15"/>
  <c r="BM165" i="15"/>
  <c r="BO165" i="15"/>
  <c r="BW165" i="15"/>
  <c r="BX165" i="15"/>
  <c r="CI165" i="15"/>
  <c r="CT165" i="15" s="1"/>
  <c r="CN165" i="15"/>
  <c r="CX165" i="15"/>
  <c r="CY165" i="15" s="1"/>
  <c r="BJ165" i="15"/>
  <c r="BI165" i="15"/>
  <c r="BN165" i="15"/>
  <c r="BK165" i="15"/>
  <c r="CU165" i="15"/>
  <c r="CV165" i="15"/>
  <c r="CW165" i="15"/>
  <c r="CS165" i="15"/>
  <c r="BV165" i="15"/>
  <c r="CN96" i="15"/>
  <c r="BM96" i="15"/>
  <c r="BJ96" i="15"/>
  <c r="CS96" i="15"/>
  <c r="CX96" i="15"/>
  <c r="CY96" i="15" s="1"/>
  <c r="BV96" i="15"/>
  <c r="BN96" i="15"/>
  <c r="CU96" i="15"/>
  <c r="BO96" i="15"/>
  <c r="BX96" i="15"/>
  <c r="CT96" i="15"/>
  <c r="CW96" i="15"/>
  <c r="BW96" i="15"/>
  <c r="CV96" i="15"/>
  <c r="BI96" i="15"/>
  <c r="BK96" i="15"/>
  <c r="BL96" i="15"/>
  <c r="CN100" i="15"/>
  <c r="CS100" i="15"/>
  <c r="CW100" i="15"/>
  <c r="CX100" i="15"/>
  <c r="CY100" i="15" s="1"/>
  <c r="BM100" i="15"/>
  <c r="BI100" i="15"/>
  <c r="BJ100" i="15"/>
  <c r="BX100" i="15"/>
  <c r="BK100" i="15"/>
  <c r="BL100" i="15"/>
  <c r="BW100" i="15"/>
  <c r="CV100" i="15"/>
  <c r="CT100" i="15"/>
  <c r="CU100" i="15"/>
  <c r="BN100" i="15"/>
  <c r="BO100" i="15"/>
  <c r="BV100" i="15"/>
  <c r="BW214" i="15"/>
  <c r="CI214" i="15"/>
  <c r="CT214" i="15" s="1"/>
  <c r="BK214" i="15"/>
  <c r="BV214" i="15"/>
  <c r="CX214" i="15"/>
  <c r="CY214" i="15" s="1"/>
  <c r="CW214" i="15"/>
  <c r="BI214" i="15"/>
  <c r="BM214" i="15"/>
  <c r="BX214" i="15"/>
  <c r="CS214" i="15"/>
  <c r="BJ214" i="15"/>
  <c r="BO214" i="15"/>
  <c r="CN214" i="15"/>
  <c r="BN214" i="15"/>
  <c r="CU214" i="15"/>
  <c r="BL214" i="15"/>
  <c r="CV214" i="15"/>
  <c r="CN148" i="15"/>
  <c r="BV148" i="15"/>
  <c r="BX148" i="15"/>
  <c r="CV148" i="15"/>
  <c r="CX148" i="15"/>
  <c r="CY148" i="15" s="1"/>
  <c r="CS148" i="15"/>
  <c r="BI148" i="15"/>
  <c r="BW148" i="15"/>
  <c r="BK148" i="15"/>
  <c r="CI148" i="15"/>
  <c r="CT148" i="15" s="1"/>
  <c r="BL148" i="15"/>
  <c r="CU148" i="15"/>
  <c r="BM148" i="15"/>
  <c r="BJ148" i="15"/>
  <c r="BO148" i="15"/>
  <c r="CW148" i="15"/>
  <c r="BN148" i="15"/>
  <c r="BI183" i="15"/>
  <c r="BJ183" i="15"/>
  <c r="BL183" i="15"/>
  <c r="BM183" i="15"/>
  <c r="BN183" i="15"/>
  <c r="BO183" i="15"/>
  <c r="BW183" i="15"/>
  <c r="BX183" i="15"/>
  <c r="CI183" i="15"/>
  <c r="CT183" i="15" s="1"/>
  <c r="CX183" i="15"/>
  <c r="CY183" i="15" s="1"/>
  <c r="BK183" i="15"/>
  <c r="CW183" i="15"/>
  <c r="CU183" i="15"/>
  <c r="CS183" i="15"/>
  <c r="CN183" i="15"/>
  <c r="BV183" i="15"/>
  <c r="CV183" i="15"/>
  <c r="BN136" i="15"/>
  <c r="BJ136" i="15"/>
  <c r="BK136" i="15"/>
  <c r="BI136" i="15"/>
  <c r="BO136" i="15"/>
  <c r="CI136" i="15"/>
  <c r="CT136" i="15" s="1"/>
  <c r="CX136" i="15"/>
  <c r="CY136" i="15" s="1"/>
  <c r="BL136" i="15"/>
  <c r="BM136" i="15"/>
  <c r="BW136" i="15"/>
  <c r="BX136" i="15"/>
  <c r="CN136" i="15"/>
  <c r="CU136" i="15"/>
  <c r="CS136" i="15"/>
  <c r="BV136" i="15"/>
  <c r="CW136" i="15"/>
  <c r="CV136" i="15"/>
  <c r="CX114" i="15"/>
  <c r="CY114" i="15" s="1"/>
  <c r="BK114" i="15"/>
  <c r="BM114" i="15"/>
  <c r="CN114" i="15"/>
  <c r="BX114" i="15"/>
  <c r="BI114" i="15"/>
  <c r="CU114" i="15"/>
  <c r="BL114" i="15"/>
  <c r="BN114" i="15"/>
  <c r="CW114" i="15"/>
  <c r="BO114" i="15"/>
  <c r="BJ114" i="15"/>
  <c r="BW114" i="15"/>
  <c r="CT114" i="15"/>
  <c r="CV114" i="15"/>
  <c r="CS114" i="15"/>
  <c r="BV114" i="15"/>
  <c r="BO145" i="15"/>
  <c r="CX145" i="15"/>
  <c r="CY145" i="15" s="1"/>
  <c r="CI145" i="15"/>
  <c r="CT145" i="15" s="1"/>
  <c r="BV145" i="15"/>
  <c r="BW145" i="15"/>
  <c r="BN145" i="15"/>
  <c r="CN145" i="15"/>
  <c r="BI145" i="15"/>
  <c r="BM145" i="15"/>
  <c r="BX145" i="15"/>
  <c r="CU145" i="15"/>
  <c r="CV145" i="15"/>
  <c r="CS145" i="15"/>
  <c r="BJ145" i="15"/>
  <c r="BK145" i="15"/>
  <c r="CW145" i="15"/>
  <c r="BL145" i="15"/>
  <c r="BW95" i="15"/>
  <c r="CN95" i="15"/>
  <c r="BL95" i="15"/>
  <c r="BK95" i="15"/>
  <c r="BI95" i="15"/>
  <c r="BX95" i="15"/>
  <c r="BJ95" i="15"/>
  <c r="CX95" i="15"/>
  <c r="CY95" i="15" s="1"/>
  <c r="BM95" i="15"/>
  <c r="BN95" i="15"/>
  <c r="BO95" i="15"/>
  <c r="CU95" i="15"/>
  <c r="BV95" i="15"/>
  <c r="CS95" i="15"/>
  <c r="CV95" i="15"/>
  <c r="CT95" i="15"/>
  <c r="CW95" i="15"/>
  <c r="CV204" i="15"/>
  <c r="BW204" i="15"/>
  <c r="BJ204" i="15"/>
  <c r="CI204" i="15"/>
  <c r="CT204" i="15" s="1"/>
  <c r="CW204" i="15"/>
  <c r="CU204" i="15"/>
  <c r="BK204" i="15"/>
  <c r="BL204" i="15"/>
  <c r="BM204" i="15"/>
  <c r="CN204" i="15"/>
  <c r="BN204" i="15"/>
  <c r="BO204" i="15"/>
  <c r="BX204" i="15"/>
  <c r="BV204" i="15"/>
  <c r="BI204" i="15"/>
  <c r="CX204" i="15"/>
  <c r="CY204" i="15" s="1"/>
  <c r="CS204" i="15"/>
  <c r="BI142" i="15"/>
  <c r="BN142" i="15"/>
  <c r="BX142" i="15"/>
  <c r="BJ142" i="15"/>
  <c r="BL142" i="15"/>
  <c r="BM142" i="15"/>
  <c r="CN142" i="15"/>
  <c r="BW142" i="15"/>
  <c r="CI142" i="15"/>
  <c r="CT142" i="15" s="1"/>
  <c r="CX142" i="15"/>
  <c r="CY142" i="15" s="1"/>
  <c r="BO142" i="15"/>
  <c r="BK142" i="15"/>
  <c r="CS142" i="15"/>
  <c r="CV142" i="15"/>
  <c r="BV142" i="15"/>
  <c r="CW142" i="15"/>
  <c r="CU142" i="15"/>
  <c r="BM115" i="15"/>
  <c r="BK115" i="15"/>
  <c r="BL115" i="15"/>
  <c r="BN115" i="15"/>
  <c r="BW115" i="15"/>
  <c r="CN115" i="15"/>
  <c r="CX115" i="15"/>
  <c r="CY115" i="15" s="1"/>
  <c r="BJ115" i="15"/>
  <c r="CU115" i="15"/>
  <c r="BO115" i="15"/>
  <c r="CW115" i="15"/>
  <c r="BX115" i="15"/>
  <c r="CS115" i="15"/>
  <c r="BI115" i="15"/>
  <c r="CT115" i="15"/>
  <c r="CV115" i="15"/>
  <c r="BV115" i="15"/>
  <c r="BL185" i="15"/>
  <c r="BM185" i="15"/>
  <c r="CI185" i="15"/>
  <c r="CT185" i="15" s="1"/>
  <c r="BN185" i="15"/>
  <c r="BI185" i="15"/>
  <c r="BO185" i="15"/>
  <c r="BJ185" i="15"/>
  <c r="BK185" i="15"/>
  <c r="CN185" i="15"/>
  <c r="BX185" i="15"/>
  <c r="BW185" i="15"/>
  <c r="CX185" i="15"/>
  <c r="CY185" i="15" s="1"/>
  <c r="CU185" i="15"/>
  <c r="CW185" i="15"/>
  <c r="CS185" i="15"/>
  <c r="CV185" i="15"/>
  <c r="BV185" i="15"/>
  <c r="BJ158" i="15"/>
  <c r="BL158" i="15"/>
  <c r="CN158" i="15"/>
  <c r="BW158" i="15"/>
  <c r="BX158" i="15"/>
  <c r="BK158" i="15"/>
  <c r="BI158" i="15"/>
  <c r="CX158" i="15"/>
  <c r="CY158" i="15" s="1"/>
  <c r="BN158" i="15"/>
  <c r="CI158" i="15"/>
  <c r="CT158" i="15" s="1"/>
  <c r="BM158" i="15"/>
  <c r="BO158" i="15"/>
  <c r="CV158" i="15"/>
  <c r="CS158" i="15"/>
  <c r="CU158" i="15"/>
  <c r="CW158" i="15"/>
  <c r="BV158" i="15"/>
  <c r="CF25" i="15"/>
  <c r="BM118" i="15"/>
  <c r="CW118" i="15"/>
  <c r="CN118" i="15"/>
  <c r="CP118" i="15" s="1"/>
  <c r="BK118" i="15"/>
  <c r="BO118" i="15"/>
  <c r="BL118" i="15"/>
  <c r="CS118" i="15"/>
  <c r="BN118" i="15"/>
  <c r="BV118" i="15"/>
  <c r="CX118" i="15"/>
  <c r="CY118" i="15" s="1"/>
  <c r="BW118" i="15"/>
  <c r="CI118" i="15"/>
  <c r="CT118" i="15" s="1"/>
  <c r="CU118" i="15"/>
  <c r="BI118" i="15"/>
  <c r="BX118" i="15"/>
  <c r="CV118" i="15"/>
  <c r="BJ118" i="15"/>
  <c r="BM179" i="15"/>
  <c r="BN179" i="15"/>
  <c r="BL179" i="15"/>
  <c r="BV179" i="15"/>
  <c r="BO179" i="15"/>
  <c r="CN179" i="15"/>
  <c r="CS179" i="15"/>
  <c r="BW179" i="15"/>
  <c r="CI179" i="15"/>
  <c r="CT179" i="15" s="1"/>
  <c r="BX179" i="15"/>
  <c r="CX179" i="15"/>
  <c r="CY179" i="15" s="1"/>
  <c r="CU179" i="15"/>
  <c r="BK179" i="15"/>
  <c r="CV179" i="15"/>
  <c r="BI179" i="15"/>
  <c r="CW179" i="15"/>
  <c r="BJ179" i="15"/>
  <c r="BX159" i="15"/>
  <c r="BN159" i="15"/>
  <c r="BW159" i="15"/>
  <c r="CN159" i="15"/>
  <c r="BI159" i="15"/>
  <c r="BJ159" i="15"/>
  <c r="CX159" i="15"/>
  <c r="CY159" i="15" s="1"/>
  <c r="BK159" i="15"/>
  <c r="BL159" i="15"/>
  <c r="BM159" i="15"/>
  <c r="BO159" i="15"/>
  <c r="CI159" i="15"/>
  <c r="CT159" i="15" s="1"/>
  <c r="CS159" i="15"/>
  <c r="BV159" i="15"/>
  <c r="CV159" i="15"/>
  <c r="CW159" i="15"/>
  <c r="CU159" i="15"/>
  <c r="BN127" i="15"/>
  <c r="BK127" i="15"/>
  <c r="CX127" i="15"/>
  <c r="CY127" i="15" s="1"/>
  <c r="BO127" i="15"/>
  <c r="BW127" i="15"/>
  <c r="CI127" i="15"/>
  <c r="CT127" i="15" s="1"/>
  <c r="BI127" i="15"/>
  <c r="BX127" i="15"/>
  <c r="BJ127" i="15"/>
  <c r="BL127" i="15"/>
  <c r="BM127" i="15"/>
  <c r="CN127" i="15"/>
  <c r="CU127" i="15"/>
  <c r="CW127" i="15"/>
  <c r="CV127" i="15"/>
  <c r="CS127" i="15"/>
  <c r="BV127" i="15"/>
  <c r="BW149" i="15"/>
  <c r="BN149" i="15"/>
  <c r="BL149" i="15"/>
  <c r="BJ149" i="15"/>
  <c r="BX149" i="15"/>
  <c r="CI149" i="15"/>
  <c r="CT149" i="15" s="1"/>
  <c r="BK149" i="15"/>
  <c r="CN149" i="15"/>
  <c r="BO149" i="15"/>
  <c r="BI149" i="15"/>
  <c r="CX149" i="15"/>
  <c r="CY149" i="15" s="1"/>
  <c r="BM149" i="15"/>
  <c r="CW149" i="15"/>
  <c r="CS149" i="15"/>
  <c r="CU149" i="15"/>
  <c r="CV149" i="15"/>
  <c r="BV149" i="15"/>
  <c r="BX112" i="15"/>
  <c r="CX112" i="15"/>
  <c r="CY112" i="15" s="1"/>
  <c r="CW112" i="15"/>
  <c r="BV112" i="15"/>
  <c r="BK112" i="15"/>
  <c r="BM112" i="15"/>
  <c r="BN112" i="15"/>
  <c r="BO112" i="15"/>
  <c r="CT112" i="15"/>
  <c r="CN112" i="15"/>
  <c r="BJ112" i="15"/>
  <c r="BW112" i="15"/>
  <c r="BL112" i="15"/>
  <c r="CV112" i="15"/>
  <c r="CS112" i="15"/>
  <c r="BI112" i="15"/>
  <c r="CU112" i="15"/>
  <c r="BO210" i="15"/>
  <c r="CX210" i="15"/>
  <c r="CY210" i="15" s="1"/>
  <c r="CS210" i="15"/>
  <c r="BL210" i="15"/>
  <c r="BV210" i="15"/>
  <c r="BM210" i="15"/>
  <c r="BW210" i="15"/>
  <c r="CN210" i="15"/>
  <c r="CU210" i="15"/>
  <c r="BI210" i="15"/>
  <c r="BX210" i="15"/>
  <c r="CV210" i="15"/>
  <c r="BJ210" i="15"/>
  <c r="BK210" i="15"/>
  <c r="CI210" i="15"/>
  <c r="CT210" i="15" s="1"/>
  <c r="CW210" i="15"/>
  <c r="BN210" i="15"/>
  <c r="CW139" i="15"/>
  <c r="BM139" i="15"/>
  <c r="BK139" i="15"/>
  <c r="CN139" i="15"/>
  <c r="CP139" i="15" s="1"/>
  <c r="BO139" i="15"/>
  <c r="BN139" i="15"/>
  <c r="CX139" i="15"/>
  <c r="CY139" i="15" s="1"/>
  <c r="BW139" i="15"/>
  <c r="BJ139" i="15"/>
  <c r="CI139" i="15"/>
  <c r="CT139" i="15" s="1"/>
  <c r="BV139" i="15"/>
  <c r="CU139" i="15"/>
  <c r="BI139" i="15"/>
  <c r="BX139" i="15"/>
  <c r="CV139" i="15"/>
  <c r="BL139" i="15"/>
  <c r="CS139" i="15"/>
  <c r="BJ154" i="15"/>
  <c r="BW154" i="15"/>
  <c r="CI154" i="15"/>
  <c r="CT154" i="15" s="1"/>
  <c r="CN154" i="15"/>
  <c r="BN154" i="15"/>
  <c r="BO154" i="15"/>
  <c r="CW154" i="15"/>
  <c r="BM154" i="15"/>
  <c r="BL154" i="15"/>
  <c r="BI154" i="15"/>
  <c r="BX154" i="15"/>
  <c r="BK154" i="15"/>
  <c r="CX154" i="15"/>
  <c r="CY154" i="15" s="1"/>
  <c r="CV154" i="15"/>
  <c r="CS154" i="15"/>
  <c r="CU154" i="15"/>
  <c r="BV154" i="15"/>
  <c r="BM121" i="15"/>
  <c r="BN121" i="15"/>
  <c r="CS121" i="15"/>
  <c r="BV121" i="15"/>
  <c r="CV121" i="15"/>
  <c r="BX121" i="15"/>
  <c r="BJ121" i="15"/>
  <c r="CI121" i="15"/>
  <c r="CT121" i="15" s="1"/>
  <c r="CW121" i="15"/>
  <c r="CU121" i="15"/>
  <c r="BW121" i="15"/>
  <c r="CX121" i="15"/>
  <c r="CY121" i="15" s="1"/>
  <c r="CN121" i="15"/>
  <c r="BO121" i="15"/>
  <c r="BI121" i="15"/>
  <c r="BK121" i="15"/>
  <c r="BL121" i="15"/>
  <c r="CN150" i="15"/>
  <c r="BJ150" i="15"/>
  <c r="BV150" i="15"/>
  <c r="CW150" i="15"/>
  <c r="BX150" i="15"/>
  <c r="BL150" i="15"/>
  <c r="CS150" i="15"/>
  <c r="BN150" i="15"/>
  <c r="BW150" i="15"/>
  <c r="CV150" i="15"/>
  <c r="CI150" i="15"/>
  <c r="CT150" i="15" s="1"/>
  <c r="BO150" i="15"/>
  <c r="CU150" i="15"/>
  <c r="CX150" i="15"/>
  <c r="CY150" i="15" s="1"/>
  <c r="BI150" i="15"/>
  <c r="BK150" i="15"/>
  <c r="BM150" i="15"/>
  <c r="BK101" i="15"/>
  <c r="BW101" i="15"/>
  <c r="BO101" i="15"/>
  <c r="CS101" i="15"/>
  <c r="CU101" i="15"/>
  <c r="BI101" i="15"/>
  <c r="CV101" i="15"/>
  <c r="CT101" i="15"/>
  <c r="BX101" i="15"/>
  <c r="CW101" i="15"/>
  <c r="BJ101" i="15"/>
  <c r="CX101" i="15"/>
  <c r="CY101" i="15" s="1"/>
  <c r="BL101" i="15"/>
  <c r="CN101" i="15"/>
  <c r="BM101" i="15"/>
  <c r="BN101" i="15"/>
  <c r="BV101" i="15"/>
  <c r="BI163" i="15"/>
  <c r="BJ163" i="15"/>
  <c r="BL163" i="15"/>
  <c r="BM163" i="15"/>
  <c r="BW163" i="15"/>
  <c r="BX163" i="15"/>
  <c r="CI163" i="15"/>
  <c r="CT163" i="15" s="1"/>
  <c r="CN163" i="15"/>
  <c r="CV163" i="15"/>
  <c r="CW163" i="15"/>
  <c r="CX163" i="15"/>
  <c r="CY163" i="15" s="1"/>
  <c r="BK163" i="15"/>
  <c r="BV163" i="15"/>
  <c r="BN163" i="15"/>
  <c r="CS163" i="15"/>
  <c r="BO163" i="15"/>
  <c r="CU163" i="15"/>
  <c r="CU169" i="15"/>
  <c r="CS169" i="15"/>
  <c r="BJ169" i="15"/>
  <c r="CV169" i="15"/>
  <c r="CW169" i="15"/>
  <c r="BM169" i="15"/>
  <c r="BN169" i="15"/>
  <c r="BO169" i="15"/>
  <c r="CX169" i="15"/>
  <c r="CY169" i="15" s="1"/>
  <c r="BX169" i="15"/>
  <c r="BI169" i="15"/>
  <c r="CI169" i="15"/>
  <c r="CT169" i="15" s="1"/>
  <c r="BL169" i="15"/>
  <c r="BW169" i="15"/>
  <c r="CN169" i="15"/>
  <c r="BK169" i="15"/>
  <c r="BV169" i="15"/>
  <c r="BJ186" i="15"/>
  <c r="BK186" i="15"/>
  <c r="BN186" i="15"/>
  <c r="BO186" i="15"/>
  <c r="CX186" i="15"/>
  <c r="CY186" i="15" s="1"/>
  <c r="BW186" i="15"/>
  <c r="BX186" i="15"/>
  <c r="CW186" i="15"/>
  <c r="BL186" i="15"/>
  <c r="BM186" i="15"/>
  <c r="CI186" i="15"/>
  <c r="CT186" i="15" s="1"/>
  <c r="CN186" i="15"/>
  <c r="BI186" i="15"/>
  <c r="CS186" i="15"/>
  <c r="CU186" i="15"/>
  <c r="CV186" i="15"/>
  <c r="BV186" i="15"/>
  <c r="BL137" i="15"/>
  <c r="BI137" i="15"/>
  <c r="BJ137" i="15"/>
  <c r="BK137" i="15"/>
  <c r="BN137" i="15"/>
  <c r="BO137" i="15"/>
  <c r="BX137" i="15"/>
  <c r="CX137" i="15"/>
  <c r="CY137" i="15" s="1"/>
  <c r="CV137" i="15"/>
  <c r="CS137" i="15"/>
  <c r="CN137" i="15"/>
  <c r="BM137" i="15"/>
  <c r="CU137" i="15"/>
  <c r="CI137" i="15"/>
  <c r="CT137" i="15" s="1"/>
  <c r="BW137" i="15"/>
  <c r="CW137" i="15"/>
  <c r="BV137" i="15"/>
  <c r="CV188" i="15"/>
  <c r="CN188" i="15"/>
  <c r="BL188" i="15"/>
  <c r="BX188" i="15"/>
  <c r="BM188" i="15"/>
  <c r="CU188" i="15"/>
  <c r="CS188" i="15"/>
  <c r="CX188" i="15"/>
  <c r="CY188" i="15" s="1"/>
  <c r="BI188" i="15"/>
  <c r="BJ188" i="15"/>
  <c r="BK188" i="15"/>
  <c r="BN188" i="15"/>
  <c r="CI188" i="15"/>
  <c r="CT188" i="15" s="1"/>
  <c r="BW188" i="15"/>
  <c r="CW188" i="15"/>
  <c r="BO188" i="15"/>
  <c r="BV188" i="15"/>
  <c r="BX105" i="15"/>
  <c r="CS105" i="15"/>
  <c r="CW105" i="15"/>
  <c r="BJ105" i="15"/>
  <c r="CX105" i="15"/>
  <c r="CY105" i="15" s="1"/>
  <c r="BK105" i="15"/>
  <c r="BM105" i="15"/>
  <c r="BL105" i="15"/>
  <c r="CU105" i="15"/>
  <c r="BO105" i="15"/>
  <c r="BN105" i="15"/>
  <c r="CT105" i="15"/>
  <c r="CV105" i="15"/>
  <c r="BW105" i="15"/>
  <c r="BV105" i="15"/>
  <c r="BI105" i="15"/>
  <c r="CN105" i="15"/>
  <c r="BN120" i="15"/>
  <c r="BK120" i="15"/>
  <c r="BL120" i="15"/>
  <c r="CI120" i="15"/>
  <c r="CT120" i="15" s="1"/>
  <c r="CX120" i="15"/>
  <c r="CY120" i="15" s="1"/>
  <c r="BM120" i="15"/>
  <c r="CN120" i="15"/>
  <c r="CP120" i="15" s="1"/>
  <c r="BW120" i="15"/>
  <c r="BI120" i="15"/>
  <c r="BX120" i="15"/>
  <c r="BJ120" i="15"/>
  <c r="BO120" i="15"/>
  <c r="BV120" i="15"/>
  <c r="CV120" i="15"/>
  <c r="CW120" i="15"/>
  <c r="CS120" i="15"/>
  <c r="CU120" i="15"/>
  <c r="BI128" i="15"/>
  <c r="BL128" i="15"/>
  <c r="BO128" i="15"/>
  <c r="BX128" i="15"/>
  <c r="BJ128" i="15"/>
  <c r="BW128" i="15"/>
  <c r="CI128" i="15"/>
  <c r="CT128" i="15" s="1"/>
  <c r="BK128" i="15"/>
  <c r="CX128" i="15"/>
  <c r="CY128" i="15" s="1"/>
  <c r="BM128" i="15"/>
  <c r="CN128" i="15"/>
  <c r="BN128" i="15"/>
  <c r="CU128" i="15"/>
  <c r="CS128" i="15"/>
  <c r="CV128" i="15"/>
  <c r="CW128" i="15"/>
  <c r="BV128" i="15"/>
  <c r="BO106" i="15"/>
  <c r="BI106" i="15"/>
  <c r="BL106" i="15"/>
  <c r="BM106" i="15"/>
  <c r="CN106" i="15"/>
  <c r="CV106" i="15"/>
  <c r="BX106" i="15"/>
  <c r="BW106" i="15"/>
  <c r="BJ106" i="15"/>
  <c r="CX106" i="15"/>
  <c r="CY106" i="15" s="1"/>
  <c r="BK106" i="15"/>
  <c r="CS106" i="15"/>
  <c r="CW106" i="15"/>
  <c r="BN106" i="15"/>
  <c r="CU106" i="15"/>
  <c r="BV106" i="15"/>
  <c r="CT106" i="15"/>
  <c r="O1608" i="12"/>
  <c r="B1675" i="12"/>
  <c r="B1531" i="12"/>
  <c r="B1577" i="12" s="1"/>
  <c r="G1571" i="12"/>
  <c r="O1571" i="12" s="1"/>
  <c r="O1562" i="12"/>
  <c r="G1470" i="12"/>
  <c r="O1470" i="12" s="1"/>
  <c r="G1516" i="12"/>
  <c r="O1516" i="12" s="1"/>
  <c r="O1782" i="12" s="1"/>
  <c r="K1782" i="12" s="1"/>
  <c r="O1582" i="12"/>
  <c r="O1531" i="12"/>
  <c r="F1163" i="12"/>
  <c r="E1124" i="12"/>
  <c r="G1485" i="12"/>
  <c r="O1485" i="12" s="1"/>
  <c r="O1751" i="12" s="1"/>
  <c r="K1751" i="12" s="1"/>
  <c r="B1552" i="12"/>
  <c r="B1598" i="12" s="1"/>
  <c r="G1439" i="12"/>
  <c r="O1439" i="12" s="1"/>
  <c r="AT6" i="15"/>
  <c r="AU6" i="15" s="1"/>
  <c r="BZ14" i="15"/>
  <c r="BY24" i="15"/>
  <c r="CO24" i="15" s="1"/>
  <c r="CS20" i="15"/>
  <c r="CZ14" i="15"/>
  <c r="M1064" i="12"/>
  <c r="N1064" i="12" s="1"/>
  <c r="O459" i="12"/>
  <c r="K492" i="12"/>
  <c r="K508" i="12" s="1"/>
  <c r="K488" i="12"/>
  <c r="K504" i="12" s="1"/>
  <c r="CF19" i="15"/>
  <c r="K476" i="12"/>
  <c r="O476" i="12" s="1"/>
  <c r="BZ27" i="15"/>
  <c r="K472" i="12"/>
  <c r="O472" i="12" s="1"/>
  <c r="N455" i="12"/>
  <c r="AT14" i="13"/>
  <c r="L14" i="13"/>
  <c r="CB14" i="13"/>
  <c r="V14" i="13"/>
  <c r="DL14" i="13"/>
  <c r="I14" i="13"/>
  <c r="DK14" i="13"/>
  <c r="DJ14" i="13"/>
  <c r="AS14" i="13"/>
  <c r="Y14" i="13"/>
  <c r="AQ14" i="13" s="1"/>
  <c r="AN12" i="16"/>
  <c r="AS24" i="13"/>
  <c r="DP24" i="13"/>
  <c r="DM24" i="13"/>
  <c r="DO24" i="13"/>
  <c r="L24" i="13"/>
  <c r="DN24" i="13"/>
  <c r="V24" i="13"/>
  <c r="CJ24" i="13"/>
  <c r="I24" i="13"/>
  <c r="Y24" i="13"/>
  <c r="Z24" i="13" s="1"/>
  <c r="AT24" i="13"/>
  <c r="BE24" i="13" s="1"/>
  <c r="AN30" i="16"/>
  <c r="AJ27" i="13"/>
  <c r="AZ15" i="13"/>
  <c r="Z22" i="13"/>
  <c r="AP18" i="13"/>
  <c r="DI20" i="13"/>
  <c r="AN29" i="16"/>
  <c r="AL22" i="13"/>
  <c r="AQ10" i="13"/>
  <c r="DG27" i="13"/>
  <c r="AO22" i="13"/>
  <c r="AP22" i="13"/>
  <c r="K582" i="12"/>
  <c r="K584" i="12" s="1"/>
  <c r="D580" i="12" s="1"/>
  <c r="AZ26" i="13"/>
  <c r="AM12" i="16"/>
  <c r="Z18" i="13"/>
  <c r="AN27" i="13"/>
  <c r="DL27" i="13"/>
  <c r="BB11" i="13"/>
  <c r="BC11" i="13" s="1"/>
  <c r="AM18" i="13"/>
  <c r="AZ9" i="13"/>
  <c r="DM27" i="13"/>
  <c r="DO20" i="13"/>
  <c r="AU20" i="13"/>
  <c r="BE20" i="13" s="1"/>
  <c r="CV15" i="13"/>
  <c r="CX15" i="13"/>
  <c r="AM29" i="16"/>
  <c r="AW7" i="13"/>
  <c r="I26" i="13"/>
  <c r="DO26" i="13"/>
  <c r="DM26" i="13"/>
  <c r="AS12" i="13"/>
  <c r="DI12" i="13"/>
  <c r="DH12" i="13"/>
  <c r="DG12" i="13"/>
  <c r="BT12" i="13"/>
  <c r="BW12" i="13" s="1"/>
  <c r="Y12" i="13"/>
  <c r="AP12" i="13" s="1"/>
  <c r="V12" i="13"/>
  <c r="I12" i="13"/>
  <c r="AT12" i="13"/>
  <c r="BE12" i="13" s="1"/>
  <c r="L12" i="13"/>
  <c r="Y20" i="13"/>
  <c r="AK20" i="13" s="1"/>
  <c r="DL20" i="13"/>
  <c r="I20" i="13"/>
  <c r="DJ20" i="13"/>
  <c r="V20" i="13"/>
  <c r="L20" i="13"/>
  <c r="AS20" i="13"/>
  <c r="CF20" i="13"/>
  <c r="AT20" i="13"/>
  <c r="DK20" i="13"/>
  <c r="CE24" i="13"/>
  <c r="CC24" i="13"/>
  <c r="V28" i="13"/>
  <c r="AS28" i="13"/>
  <c r="AP27" i="13"/>
  <c r="AX27" i="13" s="1"/>
  <c r="AQ22" i="13"/>
  <c r="AM14" i="13"/>
  <c r="BM8" i="13"/>
  <c r="CA12" i="13"/>
  <c r="BY12" i="13"/>
  <c r="CV17" i="13"/>
  <c r="CY17" i="13"/>
  <c r="CX17" i="13"/>
  <c r="CW17" i="13"/>
  <c r="CZ14" i="13"/>
  <c r="CY14" i="13"/>
  <c r="CX14" i="13"/>
  <c r="CW14" i="13"/>
  <c r="CV14" i="13"/>
  <c r="DJ19" i="13"/>
  <c r="CD24" i="13"/>
  <c r="AK18" i="13"/>
  <c r="V19" i="13"/>
  <c r="DO10" i="13"/>
  <c r="AW10" i="13"/>
  <c r="BM10" i="13" s="1"/>
  <c r="CA14" i="13"/>
  <c r="BY14" i="13"/>
  <c r="DL19" i="13"/>
  <c r="AM27" i="13"/>
  <c r="AL27" i="13"/>
  <c r="Y19" i="13"/>
  <c r="AP24" i="13"/>
  <c r="AK14" i="13"/>
  <c r="AF8" i="13"/>
  <c r="BO22" i="13"/>
  <c r="BP22" i="13"/>
  <c r="BP28" i="13"/>
  <c r="BO28" i="13"/>
  <c r="AT28" i="13"/>
  <c r="AH8" i="13"/>
  <c r="BS24" i="13"/>
  <c r="BR24" i="13"/>
  <c r="AA27" i="13"/>
  <c r="Z27" i="13"/>
  <c r="L19" i="13"/>
  <c r="N19" i="13" s="1"/>
  <c r="AJ24" i="13"/>
  <c r="CE17" i="13"/>
  <c r="CC17" i="13"/>
  <c r="DH19" i="13"/>
  <c r="DM19" i="13"/>
  <c r="DN19" i="13"/>
  <c r="CI12" i="13"/>
  <c r="CH12" i="13"/>
  <c r="I28" i="13"/>
  <c r="AQ27" i="13"/>
  <c r="DN28" i="13"/>
  <c r="AG8" i="13"/>
  <c r="AS19" i="13"/>
  <c r="AL14" i="13"/>
  <c r="BS28" i="13"/>
  <c r="BR28" i="13"/>
  <c r="AZ25" i="13"/>
  <c r="DP28" i="13"/>
  <c r="AP14" i="13"/>
  <c r="BS14" i="13"/>
  <c r="BR14" i="13"/>
  <c r="CN33" i="13"/>
  <c r="BS12" i="13"/>
  <c r="BR12" i="13"/>
  <c r="DI18" i="13"/>
  <c r="DP18" i="13"/>
  <c r="DM18" i="13"/>
  <c r="DL26" i="13"/>
  <c r="AU26" i="13"/>
  <c r="CL11" i="13"/>
  <c r="CM11" i="13"/>
  <c r="CA20" i="13"/>
  <c r="BZ20" i="13"/>
  <c r="CG10" i="13"/>
  <c r="CH10" i="13"/>
  <c r="I19" i="13"/>
  <c r="AM24" i="13"/>
  <c r="AL24" i="13"/>
  <c r="DG10" i="13"/>
  <c r="AO10" i="13"/>
  <c r="BD28" i="13"/>
  <c r="AZ28" i="13"/>
  <c r="DL28" i="13"/>
  <c r="DH28" i="13"/>
  <c r="DG28" i="13"/>
  <c r="BY18" i="13"/>
  <c r="CA18" i="13"/>
  <c r="BZ18" i="13"/>
  <c r="AO27" i="13"/>
  <c r="AZ17" i="13"/>
  <c r="AM22" i="13"/>
  <c r="AQ24" i="13"/>
  <c r="AK24" i="13"/>
  <c r="CK12" i="13"/>
  <c r="BW14" i="13"/>
  <c r="BV14" i="13"/>
  <c r="CZ20" i="13"/>
  <c r="CW20" i="13"/>
  <c r="CV20" i="13"/>
  <c r="CX20" i="13"/>
  <c r="BB28" i="13"/>
  <c r="Y28" i="13"/>
  <c r="AJ28" i="13" s="1"/>
  <c r="AN24" i="13"/>
  <c r="AN12" i="13"/>
  <c r="DL18" i="13"/>
  <c r="CD19" i="13"/>
  <c r="CC19" i="13"/>
  <c r="O1578" i="12"/>
  <c r="B1778" i="12"/>
  <c r="B1558" i="12"/>
  <c r="B1604" i="12" s="1"/>
  <c r="B1769" i="12"/>
  <c r="B1549" i="12"/>
  <c r="B1595" i="12" s="1"/>
  <c r="G1545" i="12"/>
  <c r="G1453" i="12"/>
  <c r="O1453" i="12" s="1"/>
  <c r="B1757" i="12"/>
  <c r="B1537" i="12"/>
  <c r="B1583" i="12" s="1"/>
  <c r="G1539" i="12"/>
  <c r="G1447" i="12"/>
  <c r="O1447" i="12" s="1"/>
  <c r="G1557" i="12"/>
  <c r="G1465" i="12"/>
  <c r="O1465" i="12" s="1"/>
  <c r="G1527" i="12"/>
  <c r="G1435" i="12"/>
  <c r="O1435" i="12" s="1"/>
  <c r="O1542" i="12"/>
  <c r="B1760" i="12"/>
  <c r="B1540" i="12"/>
  <c r="B1586" i="12" s="1"/>
  <c r="N453" i="12"/>
  <c r="O1524" i="12"/>
  <c r="O1270" i="12"/>
  <c r="O1619" i="12" s="1"/>
  <c r="N460" i="12"/>
  <c r="G1533" i="12"/>
  <c r="G1441" i="12"/>
  <c r="O1441" i="12" s="1"/>
  <c r="BC23" i="13"/>
  <c r="BM23" i="13"/>
  <c r="Y21" i="13"/>
  <c r="Z21" i="13" s="1"/>
  <c r="AS21" i="13"/>
  <c r="V21" i="13"/>
  <c r="L21" i="13"/>
  <c r="CJ21" i="13"/>
  <c r="L6" i="13"/>
  <c r="AS6" i="13"/>
  <c r="Z6" i="13"/>
  <c r="BT6" i="13"/>
  <c r="V6" i="13"/>
  <c r="Y6" i="13"/>
  <c r="AP6" i="13" s="1"/>
  <c r="AM6" i="13"/>
  <c r="AT6" i="13"/>
  <c r="DI6" i="13"/>
  <c r="I6" i="13"/>
  <c r="DG6" i="13"/>
  <c r="AL6" i="13"/>
  <c r="AK6" i="13"/>
  <c r="AN6" i="13"/>
  <c r="DH6" i="13"/>
  <c r="AS9" i="13"/>
  <c r="L9" i="13"/>
  <c r="Y9" i="13"/>
  <c r="Z9" i="13" s="1"/>
  <c r="BT9" i="13"/>
  <c r="BW8" i="13"/>
  <c r="BV8" i="13"/>
  <c r="BU8" i="13"/>
  <c r="AA28" i="13"/>
  <c r="N28" i="13"/>
  <c r="CA6" i="13"/>
  <c r="BY6" i="13"/>
  <c r="BZ6" i="13"/>
  <c r="BM14" i="13"/>
  <c r="BC14" i="13"/>
  <c r="Y17" i="13"/>
  <c r="Z17" i="13" s="1"/>
  <c r="V17" i="13"/>
  <c r="AS17" i="13"/>
  <c r="L17" i="13"/>
  <c r="BT10" i="13"/>
  <c r="V10" i="13"/>
  <c r="AS10" i="13"/>
  <c r="L10" i="13"/>
  <c r="AM10" i="13"/>
  <c r="I10" i="13"/>
  <c r="Y10" i="13"/>
  <c r="Z10" i="13" s="1"/>
  <c r="AT23" i="13"/>
  <c r="CE11" i="13"/>
  <c r="CD11" i="13"/>
  <c r="CC11" i="13"/>
  <c r="DM21" i="13"/>
  <c r="AM21" i="13"/>
  <c r="DK21" i="13"/>
  <c r="DI21" i="13"/>
  <c r="AU21" i="13"/>
  <c r="DG21" i="13"/>
  <c r="AO21" i="13"/>
  <c r="AN21" i="13"/>
  <c r="AL21" i="13"/>
  <c r="BB21" i="13"/>
  <c r="AJ21" i="13"/>
  <c r="DP21" i="13"/>
  <c r="DN21" i="13"/>
  <c r="DO21" i="13"/>
  <c r="DL21" i="13"/>
  <c r="I21" i="13"/>
  <c r="DJ21" i="13"/>
  <c r="AV21" i="13"/>
  <c r="AT21" i="13"/>
  <c r="DH21" i="13"/>
  <c r="M1063" i="12"/>
  <c r="N1063" i="12" s="1"/>
  <c r="K475" i="12"/>
  <c r="O475" i="12" s="1"/>
  <c r="K491" i="12"/>
  <c r="K507" i="12" s="1"/>
  <c r="B1768" i="12"/>
  <c r="B1548" i="12"/>
  <c r="B1594" i="12" s="1"/>
  <c r="BX15" i="15"/>
  <c r="BI15" i="15"/>
  <c r="CI15" i="15"/>
  <c r="CT15" i="15" s="1"/>
  <c r="BW15" i="15"/>
  <c r="CE15" i="15" s="1"/>
  <c r="BN15" i="15"/>
  <c r="CN15" i="15"/>
  <c r="BO15" i="15"/>
  <c r="BM15" i="15"/>
  <c r="BK15" i="15"/>
  <c r="BL15" i="15"/>
  <c r="BJ15" i="15"/>
  <c r="CX15" i="15"/>
  <c r="CY15" i="15" s="1"/>
  <c r="CH28" i="13"/>
  <c r="CG28" i="13"/>
  <c r="CI28" i="13"/>
  <c r="M1062" i="12"/>
  <c r="N1062" i="12" s="1"/>
  <c r="O457" i="12"/>
  <c r="K490" i="12"/>
  <c r="K506" i="12" s="1"/>
  <c r="K474" i="12"/>
  <c r="O474" i="12" s="1"/>
  <c r="Y11" i="13"/>
  <c r="AP11" i="13" s="1"/>
  <c r="V11" i="13"/>
  <c r="AS11" i="13"/>
  <c r="AM11" i="13"/>
  <c r="I11" i="13"/>
  <c r="L11" i="13"/>
  <c r="BZ23" i="13"/>
  <c r="CA23" i="13"/>
  <c r="BY23" i="13"/>
  <c r="B1759" i="12"/>
  <c r="B1539" i="12"/>
  <c r="B1585" i="12" s="1"/>
  <c r="M1123" i="12"/>
  <c r="M1142" i="12"/>
  <c r="M1184" i="12"/>
  <c r="K1184" i="12" s="1"/>
  <c r="O1103" i="12"/>
  <c r="L27" i="15"/>
  <c r="AT27" i="15" s="1"/>
  <c r="CZ27" i="15"/>
  <c r="N27" i="15"/>
  <c r="CR27" i="15"/>
  <c r="BT7" i="13"/>
  <c r="G1599" i="12"/>
  <c r="O1599" i="12" s="1"/>
  <c r="O1553" i="12"/>
  <c r="AN32" i="16"/>
  <c r="AN18" i="16"/>
  <c r="BV18" i="15"/>
  <c r="CX25" i="15"/>
  <c r="CY25" i="15" s="1"/>
  <c r="BK25" i="15"/>
  <c r="BJ25" i="15"/>
  <c r="BX25" i="15"/>
  <c r="BI25" i="15"/>
  <c r="CI25" i="15"/>
  <c r="CT25" i="15" s="1"/>
  <c r="BW25" i="15"/>
  <c r="CN25" i="15"/>
  <c r="BM25" i="15"/>
  <c r="BN25" i="15"/>
  <c r="BO25" i="15"/>
  <c r="BL25" i="15"/>
  <c r="M1059" i="12"/>
  <c r="N1059" i="12" s="1"/>
  <c r="K471" i="12"/>
  <c r="O471" i="12" s="1"/>
  <c r="K487" i="12"/>
  <c r="K503" i="12" s="1"/>
  <c r="CG27" i="13"/>
  <c r="CI27" i="13"/>
  <c r="CH27" i="13"/>
  <c r="BJ19" i="15"/>
  <c r="BX19" i="15"/>
  <c r="BI19" i="15"/>
  <c r="CI19" i="15"/>
  <c r="CT19" i="15" s="1"/>
  <c r="BW19" i="15"/>
  <c r="BN19" i="15"/>
  <c r="BM19" i="15"/>
  <c r="CX19" i="15"/>
  <c r="CY19" i="15" s="1"/>
  <c r="CN19" i="15"/>
  <c r="BO19" i="15"/>
  <c r="BL19" i="15"/>
  <c r="BK19" i="15"/>
  <c r="BW24" i="13"/>
  <c r="BU24" i="13"/>
  <c r="BV24" i="13"/>
  <c r="DM17" i="13"/>
  <c r="DL17" i="13"/>
  <c r="I17" i="13"/>
  <c r="DK17" i="13"/>
  <c r="AK17" i="13"/>
  <c r="DJ17" i="13"/>
  <c r="AV17" i="13"/>
  <c r="DI17" i="13"/>
  <c r="AU17" i="13"/>
  <c r="DH17" i="13"/>
  <c r="AT17" i="13"/>
  <c r="DG17" i="13"/>
  <c r="AO17" i="13"/>
  <c r="AN17" i="13"/>
  <c r="DP17" i="13"/>
  <c r="BD17" i="13"/>
  <c r="DO17" i="13"/>
  <c r="BB17" i="13"/>
  <c r="DN17" i="13"/>
  <c r="AP17" i="13"/>
  <c r="CV21" i="13"/>
  <c r="CZ21" i="13"/>
  <c r="CY21" i="13"/>
  <c r="CX21" i="13"/>
  <c r="CW21" i="13"/>
  <c r="BW15" i="13"/>
  <c r="BV15" i="13"/>
  <c r="BU15" i="13"/>
  <c r="Y23" i="13"/>
  <c r="V23" i="13"/>
  <c r="AS23" i="13"/>
  <c r="L23" i="13"/>
  <c r="Z23" i="13"/>
  <c r="CC21" i="13"/>
  <c r="CE21" i="13"/>
  <c r="CD21" i="13"/>
  <c r="AZ21" i="13"/>
  <c r="AJ22" i="13"/>
  <c r="AN14" i="13"/>
  <c r="BS8" i="13"/>
  <c r="BR8" i="13"/>
  <c r="CK22" i="13"/>
  <c r="CM22" i="13"/>
  <c r="CL22" i="13"/>
  <c r="CI18" i="13"/>
  <c r="CH18" i="13"/>
  <c r="CG18" i="13"/>
  <c r="AP10" i="13"/>
  <c r="DI9" i="13"/>
  <c r="AU9" i="13"/>
  <c r="DG9" i="13"/>
  <c r="BD9" i="13"/>
  <c r="AQ9" i="13"/>
  <c r="DP9" i="13"/>
  <c r="BB9" i="13"/>
  <c r="BC9" i="13" s="1"/>
  <c r="AP9" i="13"/>
  <c r="DO9" i="13"/>
  <c r="AO9" i="13"/>
  <c r="DM9" i="13"/>
  <c r="AM9" i="13"/>
  <c r="DK9" i="13"/>
  <c r="DJ9" i="13"/>
  <c r="AW9" i="13"/>
  <c r="AW29" i="13" s="1"/>
  <c r="DH9" i="13"/>
  <c r="AV9" i="13"/>
  <c r="AN9" i="13"/>
  <c r="AL9" i="13"/>
  <c r="I9" i="13"/>
  <c r="AK9" i="13"/>
  <c r="AJ9" i="13"/>
  <c r="AT9" i="13"/>
  <c r="DN9" i="13"/>
  <c r="AH9" i="13"/>
  <c r="DL9" i="13"/>
  <c r="B1780" i="12"/>
  <c r="B1560" i="12"/>
  <c r="B1606" i="12" s="1"/>
  <c r="E1148" i="12"/>
  <c r="E1168" i="12" s="1"/>
  <c r="F1128" i="12"/>
  <c r="F1167" i="12"/>
  <c r="F1148" i="12"/>
  <c r="F1168" i="12" s="1"/>
  <c r="E1128" i="12"/>
  <c r="N12" i="13"/>
  <c r="AA12" i="13"/>
  <c r="AK12" i="13"/>
  <c r="O1558" i="12"/>
  <c r="G1604" i="12"/>
  <c r="O1604" i="12" s="1"/>
  <c r="I1143" i="12"/>
  <c r="I1163" i="12" s="1"/>
  <c r="E1163" i="12"/>
  <c r="O1536" i="12"/>
  <c r="B1685" i="12"/>
  <c r="B1419" i="12"/>
  <c r="B1731" i="12" s="1"/>
  <c r="CR16" i="15"/>
  <c r="CZ16" i="15"/>
  <c r="L16" i="15"/>
  <c r="AT16" i="15" s="1"/>
  <c r="N16" i="15"/>
  <c r="BM6" i="13"/>
  <c r="BX16" i="15"/>
  <c r="BI16" i="15"/>
  <c r="CI16" i="15"/>
  <c r="CT16" i="15" s="1"/>
  <c r="BW16" i="15"/>
  <c r="CE16" i="15" s="1"/>
  <c r="BN16" i="15"/>
  <c r="CN16" i="15"/>
  <c r="BM16" i="15"/>
  <c r="BJ16" i="15"/>
  <c r="CX16" i="15"/>
  <c r="CY16" i="15" s="1"/>
  <c r="BO16" i="15"/>
  <c r="BL16" i="15"/>
  <c r="BK16" i="15"/>
  <c r="V8" i="13"/>
  <c r="L8" i="13"/>
  <c r="Y8" i="13"/>
  <c r="AP8" i="13" s="1"/>
  <c r="AS8" i="13"/>
  <c r="I8" i="13"/>
  <c r="AI10" i="13"/>
  <c r="AH10" i="13"/>
  <c r="AG10" i="13"/>
  <c r="AF10" i="13"/>
  <c r="AE10" i="13"/>
  <c r="AD10" i="13"/>
  <c r="AC10" i="13"/>
  <c r="DH11" i="13"/>
  <c r="CM6" i="13"/>
  <c r="CK6" i="13"/>
  <c r="CL6" i="13"/>
  <c r="BP9" i="13"/>
  <c r="BO9" i="13"/>
  <c r="B1756" i="12"/>
  <c r="B1536" i="12"/>
  <c r="B1582" i="12" s="1"/>
  <c r="BJ23" i="15"/>
  <c r="BX23" i="15"/>
  <c r="BI23" i="15"/>
  <c r="CI23" i="15"/>
  <c r="CT23" i="15" s="1"/>
  <c r="BW23" i="15"/>
  <c r="CN23" i="15"/>
  <c r="BM23" i="15"/>
  <c r="CX23" i="15"/>
  <c r="CY23" i="15" s="1"/>
  <c r="BO23" i="15"/>
  <c r="BN23" i="15"/>
  <c r="BL23" i="15"/>
  <c r="BK23" i="15"/>
  <c r="CW18" i="15"/>
  <c r="CV18" i="15"/>
  <c r="BX18" i="15"/>
  <c r="BI18" i="15"/>
  <c r="CI18" i="15"/>
  <c r="CT18" i="15" s="1"/>
  <c r="BW18" i="15"/>
  <c r="CE18" i="15" s="1"/>
  <c r="BN18" i="15"/>
  <c r="BM18" i="15"/>
  <c r="BJ18" i="15"/>
  <c r="CX18" i="15"/>
  <c r="CY18" i="15" s="1"/>
  <c r="CN18" i="15"/>
  <c r="BO18" i="15"/>
  <c r="BL18" i="15"/>
  <c r="BK18" i="15"/>
  <c r="CR20" i="15"/>
  <c r="N20" i="15"/>
  <c r="CZ20" i="15"/>
  <c r="L20" i="15"/>
  <c r="AT20" i="15" s="1"/>
  <c r="CR14" i="15"/>
  <c r="N14" i="15"/>
  <c r="L14" i="15"/>
  <c r="AT14" i="15" s="1"/>
  <c r="BU27" i="13"/>
  <c r="BW27" i="13"/>
  <c r="BV27" i="13"/>
  <c r="CI24" i="13"/>
  <c r="CG24" i="13"/>
  <c r="CH24" i="13"/>
  <c r="CI15" i="13"/>
  <c r="CH15" i="13"/>
  <c r="CG15" i="13"/>
  <c r="AN6" i="15"/>
  <c r="AM6" i="15"/>
  <c r="AO11" i="13"/>
  <c r="AJ14" i="13"/>
  <c r="CD7" i="13"/>
  <c r="CE7" i="13"/>
  <c r="CC7" i="13"/>
  <c r="BC6" i="13"/>
  <c r="O1559" i="12"/>
  <c r="G1605" i="12"/>
  <c r="O1605" i="12" s="1"/>
  <c r="G1598" i="12"/>
  <c r="O1598" i="12" s="1"/>
  <c r="O1552" i="12"/>
  <c r="B1765" i="12"/>
  <c r="B1545" i="12"/>
  <c r="B1591" i="12" s="1"/>
  <c r="G1560" i="12"/>
  <c r="G1514" i="12"/>
  <c r="O1514" i="12" s="1"/>
  <c r="O1780" i="12" s="1"/>
  <c r="K1780" i="12" s="1"/>
  <c r="G1468" i="12"/>
  <c r="O1468" i="12" s="1"/>
  <c r="I1147" i="12"/>
  <c r="I1167" i="12" s="1"/>
  <c r="E1167" i="12"/>
  <c r="AO28" i="13"/>
  <c r="BL20" i="15"/>
  <c r="CW20" i="15"/>
  <c r="BJ20" i="15"/>
  <c r="CV20" i="15"/>
  <c r="BX20" i="15"/>
  <c r="BI20" i="15"/>
  <c r="CI20" i="15"/>
  <c r="CT20" i="15" s="1"/>
  <c r="BW20" i="15"/>
  <c r="BN20" i="15"/>
  <c r="CX20" i="15"/>
  <c r="CY20" i="15" s="1"/>
  <c r="BM20" i="15"/>
  <c r="BK20" i="15"/>
  <c r="CN20" i="15"/>
  <c r="BO20" i="15"/>
  <c r="CF18" i="15"/>
  <c r="CM18" i="15"/>
  <c r="K489" i="12"/>
  <c r="K505" i="12" s="1"/>
  <c r="N456" i="12"/>
  <c r="K473" i="12"/>
  <c r="O473" i="12" s="1"/>
  <c r="M1061" i="12"/>
  <c r="N1061" i="12" s="1"/>
  <c r="K452" i="12"/>
  <c r="BO11" i="15"/>
  <c r="BM11" i="15"/>
  <c r="BL11" i="15"/>
  <c r="BK11" i="15"/>
  <c r="BJ11" i="15"/>
  <c r="BI11" i="15"/>
  <c r="BX11" i="15"/>
  <c r="BN11" i="15"/>
  <c r="BW11" i="15"/>
  <c r="BX14" i="15"/>
  <c r="BI14" i="15"/>
  <c r="CI14" i="15"/>
  <c r="CT14" i="15" s="1"/>
  <c r="BW14" i="15"/>
  <c r="BN14" i="15"/>
  <c r="CX14" i="15"/>
  <c r="CY14" i="15" s="1"/>
  <c r="BK14" i="15"/>
  <c r="BJ14" i="15"/>
  <c r="BO14" i="15"/>
  <c r="BM14" i="15"/>
  <c r="BL14" i="15"/>
  <c r="CN14" i="15"/>
  <c r="CU16" i="15"/>
  <c r="CH25" i="13"/>
  <c r="CG25" i="13"/>
  <c r="CI25" i="13"/>
  <c r="CA15" i="13"/>
  <c r="BZ15" i="13"/>
  <c r="BY15" i="13"/>
  <c r="Y15" i="13"/>
  <c r="AJ15" i="13" s="1"/>
  <c r="V15" i="13"/>
  <c r="AS15" i="13"/>
  <c r="CB15" i="13"/>
  <c r="L15" i="13"/>
  <c r="BD21" i="13"/>
  <c r="CA21" i="13"/>
  <c r="BZ21" i="13"/>
  <c r="BY21" i="13"/>
  <c r="AK22" i="13"/>
  <c r="BX7" i="15"/>
  <c r="BI7" i="15"/>
  <c r="BO7" i="15"/>
  <c r="BW7" i="15"/>
  <c r="BN7" i="15"/>
  <c r="BM7" i="15"/>
  <c r="BL7" i="15"/>
  <c r="BK7" i="15"/>
  <c r="BJ7" i="15"/>
  <c r="AQ11" i="13"/>
  <c r="Z14" i="13"/>
  <c r="CI9" i="13"/>
  <c r="CH9" i="13"/>
  <c r="CG9" i="13"/>
  <c r="BE14" i="13"/>
  <c r="B1554" i="12"/>
  <c r="B1600" i="12" s="1"/>
  <c r="B1774" i="12"/>
  <c r="BM12" i="13"/>
  <c r="O1548" i="12"/>
  <c r="B1557" i="12"/>
  <c r="B1603" i="12" s="1"/>
  <c r="B1777" i="12"/>
  <c r="E1157" i="12"/>
  <c r="E1138" i="12"/>
  <c r="O456" i="12"/>
  <c r="CR15" i="15"/>
  <c r="L15" i="15"/>
  <c r="AT15" i="15" s="1"/>
  <c r="CZ15" i="15"/>
  <c r="N15" i="15"/>
  <c r="CX23" i="13"/>
  <c r="CV23" i="13"/>
  <c r="CW23" i="13"/>
  <c r="CZ23" i="13"/>
  <c r="CY23" i="13"/>
  <c r="DO23" i="13"/>
  <c r="DM23" i="13"/>
  <c r="AM23" i="13"/>
  <c r="DK23" i="13"/>
  <c r="AK23" i="13"/>
  <c r="DH23" i="13"/>
  <c r="DG23" i="13"/>
  <c r="AN23" i="13"/>
  <c r="BD23" i="13"/>
  <c r="AL23" i="13"/>
  <c r="AJ23" i="13"/>
  <c r="DP23" i="13"/>
  <c r="I23" i="13"/>
  <c r="DN23" i="13"/>
  <c r="DL23" i="13"/>
  <c r="DI23" i="13"/>
  <c r="AU23" i="13"/>
  <c r="AQ23" i="13"/>
  <c r="AP23" i="13"/>
  <c r="DJ23" i="13"/>
  <c r="AV23" i="13"/>
  <c r="CA9" i="13"/>
  <c r="BZ9" i="13"/>
  <c r="BY9" i="13"/>
  <c r="B1661" i="12"/>
  <c r="B1395" i="12"/>
  <c r="B1707" i="12" s="1"/>
  <c r="E1140" i="12"/>
  <c r="E1159" i="12"/>
  <c r="O1102" i="12"/>
  <c r="M1183" i="12"/>
  <c r="K1183" i="12" s="1"/>
  <c r="M1111" i="12"/>
  <c r="CF14" i="15"/>
  <c r="CM14" i="15"/>
  <c r="N23" i="15"/>
  <c r="CR23" i="15"/>
  <c r="L23" i="15"/>
  <c r="AT23" i="15" s="1"/>
  <c r="Y25" i="13"/>
  <c r="Z25" i="13" s="1"/>
  <c r="V25" i="13"/>
  <c r="AS25" i="13"/>
  <c r="L25" i="13"/>
  <c r="DM15" i="13"/>
  <c r="DL15" i="13"/>
  <c r="I15" i="13"/>
  <c r="DK15" i="13"/>
  <c r="DJ15" i="13"/>
  <c r="AV15" i="13"/>
  <c r="DI15" i="13"/>
  <c r="AU15" i="13"/>
  <c r="DH15" i="13"/>
  <c r="AT15" i="13"/>
  <c r="DG15" i="13"/>
  <c r="BD15" i="13"/>
  <c r="DO15" i="13"/>
  <c r="DP15" i="13"/>
  <c r="DN15" i="13"/>
  <c r="BB15" i="13"/>
  <c r="AZ23" i="13"/>
  <c r="BS21" i="13"/>
  <c r="BR21" i="13"/>
  <c r="AN19" i="13"/>
  <c r="AJ19" i="13"/>
  <c r="E1195" i="12"/>
  <c r="E1197" i="12" s="1"/>
  <c r="D1194" i="12" s="1"/>
  <c r="E328" i="12"/>
  <c r="N7" i="15"/>
  <c r="L7" i="15"/>
  <c r="AR7" i="15" s="1"/>
  <c r="AT11" i="13"/>
  <c r="BE11" i="13" s="1"/>
  <c r="CM9" i="13"/>
  <c r="CL9" i="13"/>
  <c r="CK9" i="13"/>
  <c r="B1542" i="12"/>
  <c r="B1588" i="12" s="1"/>
  <c r="B1762" i="12"/>
  <c r="BM19" i="13"/>
  <c r="BC19" i="13"/>
  <c r="G1592" i="12"/>
  <c r="O1592" i="12" s="1"/>
  <c r="O1546" i="12"/>
  <c r="B1533" i="12"/>
  <c r="B1579" i="12" s="1"/>
  <c r="B1753" i="12"/>
  <c r="B1667" i="12"/>
  <c r="B1401" i="12"/>
  <c r="B1713" i="12" s="1"/>
  <c r="CC28" i="13"/>
  <c r="CE28" i="13"/>
  <c r="CD28" i="13"/>
  <c r="BN27" i="15"/>
  <c r="CN27" i="15"/>
  <c r="BM27" i="15"/>
  <c r="BL27" i="15"/>
  <c r="CX27" i="15"/>
  <c r="CY27" i="15" s="1"/>
  <c r="BK27" i="15"/>
  <c r="CW27" i="15"/>
  <c r="BJ27" i="15"/>
  <c r="CV27" i="15"/>
  <c r="BX27" i="15"/>
  <c r="BI27" i="15"/>
  <c r="CI27" i="15"/>
  <c r="CT27" i="15" s="1"/>
  <c r="BW27" i="15"/>
  <c r="BO27" i="15"/>
  <c r="CR21" i="15"/>
  <c r="N21" i="15"/>
  <c r="CZ21" i="15"/>
  <c r="L21" i="15"/>
  <c r="L24" i="15"/>
  <c r="N24" i="15"/>
  <c r="AR24" i="15"/>
  <c r="CR24" i="15"/>
  <c r="M1058" i="12"/>
  <c r="N1058" i="12" s="1"/>
  <c r="K486" i="12"/>
  <c r="K502" i="12" s="1"/>
  <c r="K470" i="12"/>
  <c r="O470" i="12" s="1"/>
  <c r="CJ25" i="13"/>
  <c r="CZ22" i="15"/>
  <c r="CR22" i="15"/>
  <c r="AR22" i="15"/>
  <c r="N22" i="15"/>
  <c r="L22" i="15"/>
  <c r="AV22" i="15" s="1"/>
  <c r="G69" i="15"/>
  <c r="AO6" i="15"/>
  <c r="AO19" i="13"/>
  <c r="CL18" i="13"/>
  <c r="CK18" i="13"/>
  <c r="CM18" i="13"/>
  <c r="AT19" i="13"/>
  <c r="BE19" i="13" s="1"/>
  <c r="BO23" i="13"/>
  <c r="BP23" i="13"/>
  <c r="AV6" i="15"/>
  <c r="BV21" i="13"/>
  <c r="BW21" i="13"/>
  <c r="BU21" i="13"/>
  <c r="CI7" i="13"/>
  <c r="CH7" i="13"/>
  <c r="CG7" i="13"/>
  <c r="CU29" i="13"/>
  <c r="CY6" i="13"/>
  <c r="CW6" i="13"/>
  <c r="CZ6" i="13"/>
  <c r="CX6" i="13"/>
  <c r="CV6" i="13"/>
  <c r="CI20" i="13"/>
  <c r="CG20" i="13"/>
  <c r="CH20" i="13"/>
  <c r="DI10" i="13"/>
  <c r="DI11" i="13"/>
  <c r="AI12" i="13"/>
  <c r="AH12" i="13"/>
  <c r="AG12" i="13"/>
  <c r="AF12" i="13"/>
  <c r="AD12" i="13"/>
  <c r="AE12" i="13"/>
  <c r="AC12" i="13"/>
  <c r="DG7" i="13"/>
  <c r="DP7" i="13"/>
  <c r="DO7" i="13"/>
  <c r="DM7" i="13"/>
  <c r="I7" i="13"/>
  <c r="DN7" i="13"/>
  <c r="DL7" i="13"/>
  <c r="DJ7" i="13"/>
  <c r="AU7" i="13"/>
  <c r="DK7" i="13"/>
  <c r="DI7" i="13"/>
  <c r="AV7" i="13"/>
  <c r="DH7" i="13"/>
  <c r="B1744" i="12"/>
  <c r="B1524" i="12"/>
  <c r="B1570" i="12" s="1"/>
  <c r="AF7" i="13"/>
  <c r="B1655" i="12"/>
  <c r="B1389" i="12"/>
  <c r="B1701" i="12" s="1"/>
  <c r="B1679" i="12"/>
  <c r="B1413" i="12"/>
  <c r="B1725" i="12" s="1"/>
  <c r="G1587" i="12"/>
  <c r="O1587" i="12" s="1"/>
  <c r="O1541" i="12"/>
  <c r="BD7" i="13"/>
  <c r="O426" i="12"/>
  <c r="M426" i="12" s="1"/>
  <c r="M428" i="12" s="1"/>
  <c r="D425" i="12" s="1"/>
  <c r="M422" i="12"/>
  <c r="M424" i="12" s="1"/>
  <c r="D420" i="12" s="1"/>
  <c r="N458" i="12"/>
  <c r="B1563" i="12"/>
  <c r="B1609" i="12" s="1"/>
  <c r="B1783" i="12"/>
  <c r="O1743" i="12"/>
  <c r="K1743" i="12" s="1"/>
  <c r="N1330" i="12"/>
  <c r="O1330" i="12" s="1"/>
  <c r="O1333" i="12" s="1"/>
  <c r="N1225" i="12"/>
  <c r="O1576" i="12"/>
  <c r="AR26" i="15"/>
  <c r="N26" i="15"/>
  <c r="L26" i="15"/>
  <c r="N11" i="15"/>
  <c r="Y11" i="15" s="1"/>
  <c r="L11" i="15"/>
  <c r="BC26" i="13"/>
  <c r="BX9" i="15"/>
  <c r="BI9" i="15"/>
  <c r="BO9" i="15"/>
  <c r="BW9" i="15"/>
  <c r="BN9" i="15"/>
  <c r="BM9" i="15"/>
  <c r="BL9" i="15"/>
  <c r="BK9" i="15"/>
  <c r="BJ9" i="15"/>
  <c r="BV25" i="13"/>
  <c r="BU25" i="13"/>
  <c r="BW25" i="13"/>
  <c r="BC20" i="13"/>
  <c r="BM20" i="13"/>
  <c r="BS11" i="13"/>
  <c r="BR11" i="13"/>
  <c r="CZ9" i="13"/>
  <c r="CY9" i="13"/>
  <c r="CX9" i="13"/>
  <c r="CV9" i="13"/>
  <c r="CW9" i="13"/>
  <c r="AS7" i="13"/>
  <c r="V7" i="13"/>
  <c r="L7" i="13"/>
  <c r="Y7" i="13"/>
  <c r="AE7" i="13" s="1"/>
  <c r="CX26" i="15"/>
  <c r="CY26" i="15" s="1"/>
  <c r="BK26" i="15"/>
  <c r="BJ26" i="15"/>
  <c r="BX26" i="15"/>
  <c r="BI26" i="15"/>
  <c r="CI26" i="15"/>
  <c r="CT26" i="15" s="1"/>
  <c r="BW26" i="15"/>
  <c r="BO26" i="15"/>
  <c r="CN26" i="15"/>
  <c r="BM26" i="15"/>
  <c r="BN26" i="15"/>
  <c r="BL26" i="15"/>
  <c r="CS23" i="15"/>
  <c r="BP25" i="13"/>
  <c r="BO25" i="13"/>
  <c r="N9" i="15"/>
  <c r="Y9" i="15" s="1"/>
  <c r="L9" i="15"/>
  <c r="CE20" i="13"/>
  <c r="CC20" i="13"/>
  <c r="CD20" i="13"/>
  <c r="BC22" i="13"/>
  <c r="BE22" i="13" s="1"/>
  <c r="BF22" i="13"/>
  <c r="O1540" i="12"/>
  <c r="G1586" i="12"/>
  <c r="O1586" i="12" s="1"/>
  <c r="BV28" i="13"/>
  <c r="BU28" i="13"/>
  <c r="BW28" i="13"/>
  <c r="CE23" i="13"/>
  <c r="CD23" i="13"/>
  <c r="CC23" i="13"/>
  <c r="CL23" i="13"/>
  <c r="CM23" i="13"/>
  <c r="CK23" i="13"/>
  <c r="CI8" i="13"/>
  <c r="CG8" i="13"/>
  <c r="CH8" i="13"/>
  <c r="AA18" i="13"/>
  <c r="CD9" i="13"/>
  <c r="CC9" i="13"/>
  <c r="CE9" i="13"/>
  <c r="BA22" i="13"/>
  <c r="B1530" i="12"/>
  <c r="B1576" i="12" s="1"/>
  <c r="B1750" i="12"/>
  <c r="O1529" i="12"/>
  <c r="G1575" i="12"/>
  <c r="O1575" i="12" s="1"/>
  <c r="CA25" i="13"/>
  <c r="BZ25" i="13"/>
  <c r="BY25" i="13"/>
  <c r="CH11" i="13"/>
  <c r="CG11" i="13"/>
  <c r="CI11" i="13"/>
  <c r="N14" i="13"/>
  <c r="AA14" i="13"/>
  <c r="B1527" i="12"/>
  <c r="B1573" i="12" s="1"/>
  <c r="B1747" i="12"/>
  <c r="B1551" i="12"/>
  <c r="B1597" i="12" s="1"/>
  <c r="B1771" i="12"/>
  <c r="B1691" i="12"/>
  <c r="B1425" i="12"/>
  <c r="B1737" i="12" s="1"/>
  <c r="BL21" i="15"/>
  <c r="BJ21" i="15"/>
  <c r="BX21" i="15"/>
  <c r="BI21" i="15"/>
  <c r="CI21" i="15"/>
  <c r="CT21" i="15" s="1"/>
  <c r="BW21" i="15"/>
  <c r="BN21" i="15"/>
  <c r="CX21" i="15"/>
  <c r="CY21" i="15" s="1"/>
  <c r="BM21" i="15"/>
  <c r="BK21" i="15"/>
  <c r="CN21" i="15"/>
  <c r="BO21" i="15"/>
  <c r="BS26" i="13"/>
  <c r="BR26" i="13"/>
  <c r="CU15" i="15"/>
  <c r="N8" i="15"/>
  <c r="L8" i="15"/>
  <c r="BR22" i="13"/>
  <c r="BS22" i="13"/>
  <c r="BM27" i="13"/>
  <c r="BT11" i="13"/>
  <c r="BP11" i="13"/>
  <c r="BO11" i="13"/>
  <c r="BP8" i="13"/>
  <c r="BO8" i="13"/>
  <c r="BS6" i="13"/>
  <c r="BR6" i="13"/>
  <c r="N20" i="13"/>
  <c r="AA20" i="13"/>
  <c r="AQ18" i="13"/>
  <c r="AL10" i="13"/>
  <c r="BR9" i="13"/>
  <c r="BS9" i="13"/>
  <c r="CA7" i="13"/>
  <c r="BZ7" i="13"/>
  <c r="BY7" i="13"/>
  <c r="DG8" i="13"/>
  <c r="DH8" i="13"/>
  <c r="AI7" i="13"/>
  <c r="AK19" i="13"/>
  <c r="AN19" i="16"/>
  <c r="AN23" i="16"/>
  <c r="L25" i="15"/>
  <c r="CR25" i="15"/>
  <c r="N25" i="15"/>
  <c r="CR18" i="15"/>
  <c r="AR18" i="15"/>
  <c r="L18" i="15"/>
  <c r="CZ18" i="15"/>
  <c r="N18" i="15"/>
  <c r="CX24" i="15"/>
  <c r="CY24" i="15" s="1"/>
  <c r="BK24" i="15"/>
  <c r="CW24" i="15"/>
  <c r="BJ24" i="15"/>
  <c r="CV24" i="15"/>
  <c r="BX24" i="15"/>
  <c r="BI24" i="15"/>
  <c r="CI24" i="15"/>
  <c r="CT24" i="15" s="1"/>
  <c r="BW24" i="15"/>
  <c r="CN24" i="15"/>
  <c r="BM24" i="15"/>
  <c r="BN24" i="15"/>
  <c r="BO24" i="15"/>
  <c r="BL24" i="15"/>
  <c r="BX8" i="15"/>
  <c r="BI8" i="15"/>
  <c r="BO8" i="15"/>
  <c r="BW8" i="15"/>
  <c r="BN8" i="15"/>
  <c r="BM8" i="15"/>
  <c r="BL8" i="15"/>
  <c r="BK8" i="15"/>
  <c r="BJ8" i="15"/>
  <c r="DP25" i="13"/>
  <c r="BB25" i="13"/>
  <c r="DO25" i="13"/>
  <c r="DM25" i="13"/>
  <c r="DK25" i="13"/>
  <c r="DJ25" i="13"/>
  <c r="AV25" i="13"/>
  <c r="DI25" i="13"/>
  <c r="AU25" i="13"/>
  <c r="DG25" i="13"/>
  <c r="AT25" i="13"/>
  <c r="I25" i="13"/>
  <c r="DN25" i="13"/>
  <c r="DL25" i="13"/>
  <c r="DH25" i="13"/>
  <c r="BD25" i="13"/>
  <c r="K493" i="12"/>
  <c r="K509" i="12" s="1"/>
  <c r="M1065" i="12"/>
  <c r="N1065" i="12" s="1"/>
  <c r="K477" i="12"/>
  <c r="O477" i="12" s="1"/>
  <c r="CU19" i="15"/>
  <c r="AN18" i="13"/>
  <c r="BW19" i="13"/>
  <c r="BV19" i="13"/>
  <c r="BU19" i="13"/>
  <c r="BW17" i="13"/>
  <c r="BV17" i="13"/>
  <c r="BU17" i="13"/>
  <c r="BV23" i="13"/>
  <c r="BW23" i="13"/>
  <c r="BU23" i="13"/>
  <c r="CL28" i="13"/>
  <c r="CM28" i="13"/>
  <c r="CK28" i="13"/>
  <c r="BC18" i="13"/>
  <c r="CE8" i="13"/>
  <c r="CC8" i="13"/>
  <c r="CD8" i="13"/>
  <c r="AT10" i="13"/>
  <c r="BE10" i="13" s="1"/>
  <c r="CM7" i="13"/>
  <c r="CL7" i="13"/>
  <c r="CK7" i="13"/>
  <c r="AL8" i="13"/>
  <c r="G1569" i="12"/>
  <c r="O1569" i="12" s="1"/>
  <c r="O1523" i="12"/>
  <c r="AN24" i="16"/>
  <c r="O454" i="12"/>
  <c r="CF15" i="15"/>
  <c r="CM15" i="15"/>
  <c r="CM27" i="13"/>
  <c r="CK27" i="13"/>
  <c r="CL27" i="13"/>
  <c r="BH69" i="15"/>
  <c r="BO6" i="15"/>
  <c r="BN6" i="15"/>
  <c r="BM6" i="15"/>
  <c r="BL6" i="15"/>
  <c r="BK6" i="15"/>
  <c r="BJ6" i="15"/>
  <c r="BX6" i="15"/>
  <c r="BI6" i="15"/>
  <c r="BW6" i="15"/>
  <c r="CX26" i="13"/>
  <c r="CV26" i="13"/>
  <c r="CZ26" i="13"/>
  <c r="CY26" i="13"/>
  <c r="CW26" i="13"/>
  <c r="BO19" i="13"/>
  <c r="BP19" i="13"/>
  <c r="L26" i="13"/>
  <c r="AO26" i="13" s="1"/>
  <c r="CJ26" i="13"/>
  <c r="Y26" i="13"/>
  <c r="AJ26" i="13" s="1"/>
  <c r="AS26" i="13"/>
  <c r="DP26" i="13"/>
  <c r="DN26" i="13"/>
  <c r="V26" i="13"/>
  <c r="CH21" i="13"/>
  <c r="CG21" i="13"/>
  <c r="CI21" i="13"/>
  <c r="CZ8" i="13"/>
  <c r="CY8" i="13"/>
  <c r="CX8" i="13"/>
  <c r="CW8" i="13"/>
  <c r="CV8" i="13"/>
  <c r="AJ11" i="13"/>
  <c r="AL11" i="13"/>
  <c r="O1535" i="12"/>
  <c r="G1581" i="12"/>
  <c r="O1581" i="12" s="1"/>
  <c r="BB7" i="13"/>
  <c r="BC7" i="13" s="1"/>
  <c r="CZ24" i="15"/>
  <c r="CZ23" i="15"/>
  <c r="AL33" i="16"/>
  <c r="M1066" i="12"/>
  <c r="N1066" i="12" s="1"/>
  <c r="O461" i="12"/>
  <c r="K494" i="12"/>
  <c r="K510" i="12" s="1"/>
  <c r="K478" i="12"/>
  <c r="O478" i="12" s="1"/>
  <c r="CW22" i="15"/>
  <c r="BL22" i="15"/>
  <c r="CX22" i="15"/>
  <c r="CY22" i="15" s="1"/>
  <c r="BJ22" i="15"/>
  <c r="CV22" i="15"/>
  <c r="BX22" i="15"/>
  <c r="BI22" i="15"/>
  <c r="CI22" i="15"/>
  <c r="CT22" i="15" s="1"/>
  <c r="BW22" i="15"/>
  <c r="BN22" i="15"/>
  <c r="BM22" i="15"/>
  <c r="BO22" i="15"/>
  <c r="BK22" i="15"/>
  <c r="CN22" i="15"/>
  <c r="BM22" i="13"/>
  <c r="AP19" i="13"/>
  <c r="AL18" i="13"/>
  <c r="CF17" i="13"/>
  <c r="AQ19" i="13"/>
  <c r="AM31" i="16"/>
  <c r="AM33" i="16" s="1"/>
  <c r="O1104" i="12"/>
  <c r="M1185" i="12"/>
  <c r="K1185" i="12" s="1"/>
  <c r="M1127" i="12"/>
  <c r="CZ26" i="15"/>
  <c r="CS25" i="15"/>
  <c r="CC25" i="13"/>
  <c r="CE25" i="13"/>
  <c r="CD25" i="13"/>
  <c r="CY24" i="13"/>
  <c r="CX24" i="13"/>
  <c r="CW24" i="13"/>
  <c r="CZ24" i="13"/>
  <c r="CV24" i="13"/>
  <c r="BE27" i="13"/>
  <c r="CR19" i="15"/>
  <c r="L19" i="15"/>
  <c r="AR19" i="15" s="1"/>
  <c r="CZ19" i="15"/>
  <c r="N19" i="15"/>
  <c r="BY17" i="13"/>
  <c r="CA17" i="13"/>
  <c r="BZ17" i="13"/>
  <c r="CH19" i="13"/>
  <c r="CI19" i="13"/>
  <c r="CG19" i="13"/>
  <c r="BS10" i="13"/>
  <c r="BR10" i="13"/>
  <c r="BE18" i="13"/>
  <c r="AT26" i="13"/>
  <c r="DA29" i="13"/>
  <c r="E1190" i="12" s="1"/>
  <c r="E1192" i="12" s="1"/>
  <c r="D1189" i="12" s="1"/>
  <c r="AR22" i="13"/>
  <c r="W22" i="13" s="1"/>
  <c r="AN10" i="13"/>
  <c r="AT8" i="13"/>
  <c r="BE8" i="13" s="1"/>
  <c r="CM24" i="13"/>
  <c r="CL24" i="13"/>
  <c r="CK24" i="13"/>
  <c r="AK11" i="13"/>
  <c r="CF16" i="15"/>
  <c r="CM16" i="15"/>
  <c r="AK10" i="13"/>
  <c r="BP7" i="13"/>
  <c r="BO7" i="13"/>
  <c r="BO6" i="13"/>
  <c r="BP6" i="13"/>
  <c r="AB29" i="13"/>
  <c r="DI8" i="13"/>
  <c r="B1673" i="12"/>
  <c r="B1407" i="12"/>
  <c r="B1719" i="12" s="1"/>
  <c r="O1554" i="12"/>
  <c r="G1323" i="12"/>
  <c r="D1279" i="12" s="1"/>
  <c r="BM26" i="13"/>
  <c r="G1574" i="12"/>
  <c r="O1574" i="12" s="1"/>
  <c r="O1528" i="12"/>
  <c r="G1593" i="12"/>
  <c r="O1593" i="12" s="1"/>
  <c r="O1547" i="12"/>
  <c r="O458" i="12"/>
  <c r="O1110" i="12" l="1"/>
  <c r="M1116" i="12"/>
  <c r="N1116" i="12" s="1"/>
  <c r="H77" i="4"/>
  <c r="H360" i="4"/>
  <c r="H361" i="4"/>
  <c r="H341" i="4"/>
  <c r="H78" i="4"/>
  <c r="H268" i="4"/>
  <c r="O445" i="12"/>
  <c r="M445" i="12" s="1"/>
  <c r="M447" i="12" s="1"/>
  <c r="D444" i="12" s="1"/>
  <c r="D434" i="12"/>
  <c r="L141" i="4"/>
  <c r="L253" i="4"/>
  <c r="L151" i="4"/>
  <c r="L86" i="4"/>
  <c r="L130" i="4"/>
  <c r="L194" i="4"/>
  <c r="L54" i="4"/>
  <c r="L384" i="4"/>
  <c r="L92" i="4"/>
  <c r="L140" i="4"/>
  <c r="L72" i="4"/>
  <c r="L383" i="4"/>
  <c r="L46" i="4"/>
  <c r="L290" i="4"/>
  <c r="L396" i="4"/>
  <c r="L121" i="4"/>
  <c r="L31" i="4"/>
  <c r="L277" i="4"/>
  <c r="L216" i="4"/>
  <c r="L44" i="4"/>
  <c r="L258" i="4"/>
  <c r="L32" i="4"/>
  <c r="L374" i="4"/>
  <c r="L182" i="4"/>
  <c r="L70" i="4"/>
  <c r="L56" i="4"/>
  <c r="L379" i="4"/>
  <c r="L339" i="4"/>
  <c r="L20" i="4"/>
  <c r="L152" i="4"/>
  <c r="L9" i="4"/>
  <c r="L336" i="4"/>
  <c r="L133" i="4"/>
  <c r="L372" i="4"/>
  <c r="L126" i="4"/>
  <c r="L388" i="4"/>
  <c r="L243" i="4"/>
  <c r="L326" i="4"/>
  <c r="L319" i="4"/>
  <c r="L352" i="4"/>
  <c r="L79" i="4"/>
  <c r="L286" i="4"/>
  <c r="L150" i="4"/>
  <c r="L177" i="4"/>
  <c r="L172" i="4"/>
  <c r="L298" i="4"/>
  <c r="L100" i="4"/>
  <c r="L212" i="4"/>
  <c r="L11" i="4"/>
  <c r="L117" i="4"/>
  <c r="L23" i="4"/>
  <c r="L57" i="4"/>
  <c r="L143" i="4"/>
  <c r="L158" i="4"/>
  <c r="L245" i="4"/>
  <c r="L282" i="4"/>
  <c r="L390" i="4"/>
  <c r="L15" i="4"/>
  <c r="L353" i="4"/>
  <c r="L273" i="4"/>
  <c r="L328" i="4"/>
  <c r="L173" i="4"/>
  <c r="L294" i="4"/>
  <c r="L104" i="4"/>
  <c r="L338" i="4"/>
  <c r="L322" i="4"/>
  <c r="L291" i="4"/>
  <c r="L94" i="4"/>
  <c r="L147" i="4"/>
  <c r="L242" i="4"/>
  <c r="L55" i="4"/>
  <c r="L278" i="4"/>
  <c r="L19" i="4"/>
  <c r="L333" i="4"/>
  <c r="L169" i="4"/>
  <c r="L63" i="4"/>
  <c r="L8" i="4"/>
  <c r="L316" i="4"/>
  <c r="L228" i="4"/>
  <c r="L120" i="4"/>
  <c r="L199" i="4"/>
  <c r="L259" i="4"/>
  <c r="L296" i="4"/>
  <c r="L68" i="4"/>
  <c r="L109" i="4"/>
  <c r="L87" i="4"/>
  <c r="L301" i="4"/>
  <c r="L321" i="4"/>
  <c r="L188" i="4"/>
  <c r="L7" i="4"/>
  <c r="L85" i="4"/>
  <c r="L93" i="4"/>
  <c r="L34" i="4"/>
  <c r="L218" i="4"/>
  <c r="L317" i="4"/>
  <c r="L163" i="4"/>
  <c r="L327" i="4"/>
  <c r="L220" i="4"/>
  <c r="L35" i="4"/>
  <c r="L4" i="4"/>
  <c r="L13" i="4"/>
  <c r="L284" i="4"/>
  <c r="L399" i="4"/>
  <c r="L36" i="4"/>
  <c r="L26" i="4"/>
  <c r="L247" i="4"/>
  <c r="L332" i="4"/>
  <c r="L354" i="4"/>
  <c r="L406" i="4"/>
  <c r="L300" i="4"/>
  <c r="L371" i="4"/>
  <c r="L386" i="4"/>
  <c r="L209" i="4"/>
  <c r="L405" i="4"/>
  <c r="L324" i="4"/>
  <c r="L292" i="4"/>
  <c r="L254" i="4"/>
  <c r="L144" i="4"/>
  <c r="L260" i="4"/>
  <c r="L400" i="4"/>
  <c r="L375" i="4"/>
  <c r="L302" i="4"/>
  <c r="L394" i="4"/>
  <c r="L378" i="4"/>
  <c r="L392" i="4"/>
  <c r="L266" i="4"/>
  <c r="L357" i="4"/>
  <c r="L64" i="4"/>
  <c r="L271" i="4"/>
  <c r="L270" i="4"/>
  <c r="L135" i="4"/>
  <c r="L281" i="4"/>
  <c r="L156" i="4"/>
  <c r="L145" i="4"/>
  <c r="L331" i="4"/>
  <c r="L113" i="4"/>
  <c r="L287" i="4"/>
  <c r="L142" i="4"/>
  <c r="L10" i="4"/>
  <c r="L231" i="4"/>
  <c r="L358" i="4"/>
  <c r="L125" i="4"/>
  <c r="L134" i="4"/>
  <c r="L25" i="4"/>
  <c r="L164" i="4"/>
  <c r="L297" i="4"/>
  <c r="L89" i="4"/>
  <c r="L73" i="4"/>
  <c r="L80" i="4"/>
  <c r="L43" i="4"/>
  <c r="L202" i="4"/>
  <c r="L233" i="4"/>
  <c r="L111" i="4"/>
  <c r="L215" i="4"/>
  <c r="L66" i="4"/>
  <c r="L167" i="4"/>
  <c r="L274" i="4"/>
  <c r="L312" i="4"/>
  <c r="L305" i="4"/>
  <c r="L33" i="4"/>
  <c r="L265" i="4"/>
  <c r="L176" i="4"/>
  <c r="L41" i="4"/>
  <c r="L267" i="4"/>
  <c r="L103" i="4"/>
  <c r="L137" i="4"/>
  <c r="L58" i="4"/>
  <c r="L337" i="4"/>
  <c r="L184" i="4"/>
  <c r="L110" i="4"/>
  <c r="L350" i="4"/>
  <c r="L303" i="4"/>
  <c r="L370" i="4"/>
  <c r="L385" i="4"/>
  <c r="L76" i="4"/>
  <c r="L381" i="4"/>
  <c r="L373" i="4"/>
  <c r="L244" i="4"/>
  <c r="L205" i="4"/>
  <c r="L187" i="4"/>
  <c r="L24" i="4"/>
  <c r="L351" i="4"/>
  <c r="L53" i="4"/>
  <c r="L206" i="4"/>
  <c r="L191" i="4"/>
  <c r="L293" i="4"/>
  <c r="L223" i="4"/>
  <c r="L224" i="4"/>
  <c r="L22" i="4"/>
  <c r="L251" i="4"/>
  <c r="L116" i="4"/>
  <c r="L90" i="4"/>
  <c r="L190" i="4"/>
  <c r="L136" i="4"/>
  <c r="L261" i="4"/>
  <c r="L196" i="4"/>
  <c r="L309" i="4"/>
  <c r="L257" i="4"/>
  <c r="L295" i="4"/>
  <c r="L308" i="4"/>
  <c r="L98" i="4"/>
  <c r="L234" i="4"/>
  <c r="L75" i="4"/>
  <c r="L17" i="4"/>
  <c r="L192" i="4"/>
  <c r="L252" i="4"/>
  <c r="L99" i="4"/>
  <c r="L236" i="4"/>
  <c r="L397" i="4"/>
  <c r="L407" i="4"/>
  <c r="L119" i="4"/>
  <c r="L377" i="4"/>
  <c r="L356" i="4"/>
  <c r="L27" i="4"/>
  <c r="L272" i="4"/>
  <c r="L166" i="4"/>
  <c r="AU57" i="15"/>
  <c r="BD57" i="15"/>
  <c r="AU42" i="15"/>
  <c r="BD42" i="15"/>
  <c r="AU56" i="15"/>
  <c r="BD56" i="15"/>
  <c r="AU58" i="15"/>
  <c r="BD58" i="15"/>
  <c r="AN65" i="15"/>
  <c r="AM65" i="15"/>
  <c r="V65" i="15"/>
  <c r="CE41" i="15"/>
  <c r="CJ41" i="15"/>
  <c r="CD47" i="15"/>
  <c r="CC47" i="15"/>
  <c r="AM66" i="15"/>
  <c r="V66" i="15"/>
  <c r="AN66" i="15"/>
  <c r="BS66" i="15"/>
  <c r="J66" i="15"/>
  <c r="BQ66" i="15"/>
  <c r="BR66" i="15"/>
  <c r="BD29" i="15"/>
  <c r="AU29" i="15"/>
  <c r="I48" i="15"/>
  <c r="BY48" i="15"/>
  <c r="CO48" i="15" s="1"/>
  <c r="BZ48" i="15"/>
  <c r="CB48" i="15"/>
  <c r="I10" i="15"/>
  <c r="BY10" i="15"/>
  <c r="CB10" i="15"/>
  <c r="CV42" i="15"/>
  <c r="AU40" i="15"/>
  <c r="BD40" i="15"/>
  <c r="CV40" i="15"/>
  <c r="BD39" i="15"/>
  <c r="AU39" i="15"/>
  <c r="CE37" i="15"/>
  <c r="CJ37" i="15"/>
  <c r="Z33" i="15"/>
  <c r="AA33" i="15" s="1"/>
  <c r="AI33" i="15"/>
  <c r="AK33" i="15"/>
  <c r="BE33" i="15"/>
  <c r="M33" i="15"/>
  <c r="O33" i="15" s="1"/>
  <c r="CQ38" i="15"/>
  <c r="CP38" i="15"/>
  <c r="V53" i="15"/>
  <c r="AM53" i="15"/>
  <c r="AN53" i="15"/>
  <c r="AI35" i="15"/>
  <c r="AK35" i="15"/>
  <c r="M35" i="15"/>
  <c r="O35" i="15" s="1"/>
  <c r="Z35" i="15"/>
  <c r="AA35" i="15" s="1"/>
  <c r="BE35" i="15"/>
  <c r="CV55" i="15"/>
  <c r="BZ60" i="15"/>
  <c r="I60" i="15"/>
  <c r="CB60" i="15"/>
  <c r="BY60" i="15"/>
  <c r="CO60" i="15" s="1"/>
  <c r="AV61" i="15"/>
  <c r="CE38" i="15"/>
  <c r="CJ38" i="15"/>
  <c r="CW56" i="15"/>
  <c r="I56" i="15"/>
  <c r="CB56" i="15"/>
  <c r="BY56" i="15"/>
  <c r="CO56" i="15" s="1"/>
  <c r="BZ56" i="15"/>
  <c r="CU63" i="15"/>
  <c r="AN41" i="15"/>
  <c r="V41" i="15"/>
  <c r="AM41" i="15"/>
  <c r="AL41" i="15"/>
  <c r="J41" i="15"/>
  <c r="BS41" i="15"/>
  <c r="BR41" i="15"/>
  <c r="AG41" i="15"/>
  <c r="BQ41" i="15"/>
  <c r="CE65" i="15"/>
  <c r="CQ47" i="15"/>
  <c r="CP47" i="15"/>
  <c r="BZ29" i="15"/>
  <c r="I29" i="15"/>
  <c r="CB29" i="15"/>
  <c r="BY29" i="15"/>
  <c r="CO29" i="15" s="1"/>
  <c r="AT32" i="15"/>
  <c r="BV42" i="15"/>
  <c r="CE35" i="15"/>
  <c r="CJ35" i="15"/>
  <c r="AK41" i="15"/>
  <c r="AI41" i="15"/>
  <c r="BE41" i="15"/>
  <c r="M41" i="15"/>
  <c r="O41" i="15" s="1"/>
  <c r="Z41" i="15"/>
  <c r="AH41" i="15" s="1"/>
  <c r="AA41" i="15"/>
  <c r="V37" i="15"/>
  <c r="CD38" i="15"/>
  <c r="CC38" i="15"/>
  <c r="CG38" i="15" s="1"/>
  <c r="CH38" i="15" s="1"/>
  <c r="AR56" i="15"/>
  <c r="CW10" i="15"/>
  <c r="AO43" i="15"/>
  <c r="BV53" i="15"/>
  <c r="AT45" i="15"/>
  <c r="CE47" i="15"/>
  <c r="CJ47" i="15"/>
  <c r="CE32" i="15"/>
  <c r="CJ32" i="15"/>
  <c r="CE60" i="15"/>
  <c r="CJ60" i="15"/>
  <c r="CU48" i="15"/>
  <c r="CE64" i="15"/>
  <c r="L127" i="4"/>
  <c r="AU54" i="15"/>
  <c r="BD54" i="15"/>
  <c r="AR32" i="15"/>
  <c r="CE68" i="15"/>
  <c r="CJ68" i="15"/>
  <c r="CW42" i="15"/>
  <c r="I40" i="15"/>
  <c r="CB40" i="15"/>
  <c r="BZ40" i="15"/>
  <c r="BY40" i="15"/>
  <c r="CO40" i="15" s="1"/>
  <c r="BE43" i="15"/>
  <c r="M43" i="15"/>
  <c r="O43" i="15" s="1"/>
  <c r="AK43" i="15"/>
  <c r="AI43" i="15"/>
  <c r="AT36" i="15"/>
  <c r="AN36" i="15"/>
  <c r="AM36" i="15"/>
  <c r="V36" i="15"/>
  <c r="CE31" i="15"/>
  <c r="AT35" i="15"/>
  <c r="AU63" i="15"/>
  <c r="BD63" i="15"/>
  <c r="CD41" i="15"/>
  <c r="CC41" i="15"/>
  <c r="AT37" i="15"/>
  <c r="AM37" i="15"/>
  <c r="AN37" i="15"/>
  <c r="J37" i="15"/>
  <c r="BR37" i="15"/>
  <c r="AL37" i="15"/>
  <c r="BS37" i="15"/>
  <c r="CD68" i="15"/>
  <c r="CC68" i="15"/>
  <c r="V56" i="15"/>
  <c r="AM56" i="15"/>
  <c r="AN56" i="15"/>
  <c r="AL56" i="15"/>
  <c r="J56" i="15"/>
  <c r="BR56" i="15"/>
  <c r="BQ56" i="15"/>
  <c r="BS56" i="15"/>
  <c r="CE29" i="15"/>
  <c r="CJ29" i="15"/>
  <c r="AT43" i="15"/>
  <c r="AU43" i="15" s="1"/>
  <c r="CS53" i="15"/>
  <c r="AV67" i="15"/>
  <c r="V45" i="15"/>
  <c r="AM45" i="15"/>
  <c r="AN45" i="15"/>
  <c r="V61" i="15"/>
  <c r="AM61" i="15"/>
  <c r="AN61" i="15"/>
  <c r="CE56" i="15"/>
  <c r="CJ56" i="15"/>
  <c r="AM63" i="15"/>
  <c r="V63" i="15"/>
  <c r="AN63" i="15"/>
  <c r="V62" i="15"/>
  <c r="AM62" i="15"/>
  <c r="AN62" i="15"/>
  <c r="AV56" i="15"/>
  <c r="CV48" i="15"/>
  <c r="AK47" i="15"/>
  <c r="M47" i="15"/>
  <c r="O47" i="15" s="1"/>
  <c r="Z47" i="15"/>
  <c r="AA47" i="15" s="1"/>
  <c r="AI47" i="15"/>
  <c r="BE47" i="15"/>
  <c r="AM49" i="15"/>
  <c r="V49" i="15"/>
  <c r="AN49" i="15"/>
  <c r="BS49" i="15"/>
  <c r="AL49" i="15"/>
  <c r="BR49" i="15"/>
  <c r="BQ49" i="15"/>
  <c r="J49" i="15"/>
  <c r="AU68" i="15"/>
  <c r="BD68" i="15"/>
  <c r="AV35" i="15"/>
  <c r="BZ63" i="15"/>
  <c r="I63" i="15"/>
  <c r="CB63" i="15"/>
  <c r="BY63" i="15"/>
  <c r="CO63" i="15" s="1"/>
  <c r="CQ41" i="15"/>
  <c r="CP41" i="15"/>
  <c r="CQ68" i="15"/>
  <c r="CP68" i="15"/>
  <c r="AV37" i="15"/>
  <c r="CS29" i="15"/>
  <c r="CE54" i="15"/>
  <c r="CJ54" i="15"/>
  <c r="AV43" i="15"/>
  <c r="CU53" i="15"/>
  <c r="AT67" i="15"/>
  <c r="AU52" i="15"/>
  <c r="BD52" i="15"/>
  <c r="CD30" i="15"/>
  <c r="CC30" i="15"/>
  <c r="CW48" i="15"/>
  <c r="CW63" i="15"/>
  <c r="AM47" i="15"/>
  <c r="V47" i="15"/>
  <c r="AN47" i="15"/>
  <c r="AH47" i="15"/>
  <c r="AG47" i="15"/>
  <c r="J47" i="15"/>
  <c r="AL47" i="15"/>
  <c r="BQ47" i="15"/>
  <c r="BS47" i="15"/>
  <c r="BR47" i="15"/>
  <c r="AF47" i="15"/>
  <c r="AN48" i="15"/>
  <c r="V48" i="15"/>
  <c r="AM48" i="15"/>
  <c r="J48" i="15"/>
  <c r="BR48" i="15"/>
  <c r="BS48" i="15"/>
  <c r="BQ48" i="15"/>
  <c r="AL48" i="15"/>
  <c r="CU64" i="15"/>
  <c r="AN28" i="15"/>
  <c r="AL28" i="15"/>
  <c r="J28" i="15"/>
  <c r="V28" i="15"/>
  <c r="AM28" i="15"/>
  <c r="L246" i="4"/>
  <c r="CS42" i="15"/>
  <c r="I42" i="15"/>
  <c r="BY42" i="15"/>
  <c r="CO42" i="15" s="1"/>
  <c r="CB42" i="15"/>
  <c r="BZ42" i="15"/>
  <c r="AU53" i="15"/>
  <c r="BD53" i="15"/>
  <c r="AN32" i="15"/>
  <c r="V32" i="15"/>
  <c r="AM32" i="15"/>
  <c r="J32" i="15"/>
  <c r="AL32" i="15"/>
  <c r="BS32" i="15"/>
  <c r="BR32" i="15"/>
  <c r="BQ32" i="15"/>
  <c r="AM46" i="15"/>
  <c r="V46" i="15"/>
  <c r="AN46" i="15"/>
  <c r="AL46" i="15"/>
  <c r="BS46" i="15"/>
  <c r="BR46" i="15"/>
  <c r="BQ46" i="15"/>
  <c r="J46" i="15"/>
  <c r="AR42" i="15"/>
  <c r="AN57" i="15"/>
  <c r="V57" i="15"/>
  <c r="AR58" i="15"/>
  <c r="AT60" i="15"/>
  <c r="BE59" i="15"/>
  <c r="M59" i="15"/>
  <c r="O59" i="15" s="1"/>
  <c r="Z59" i="15"/>
  <c r="AA59" i="15" s="1"/>
  <c r="AI59" i="15"/>
  <c r="AK59" i="15"/>
  <c r="AV42" i="15"/>
  <c r="CE53" i="15"/>
  <c r="CC54" i="15"/>
  <c r="CD54" i="15"/>
  <c r="CG54" i="15" s="1"/>
  <c r="CH54" i="15" s="1"/>
  <c r="BZ52" i="15"/>
  <c r="I52" i="15"/>
  <c r="BY52" i="15"/>
  <c r="CO52" i="15" s="1"/>
  <c r="CB52" i="15"/>
  <c r="CQ30" i="15"/>
  <c r="CP30" i="15"/>
  <c r="E6" i="15"/>
  <c r="AT51" i="15"/>
  <c r="AT66" i="15"/>
  <c r="AU66" i="15" s="1"/>
  <c r="AV57" i="15"/>
  <c r="AV47" i="15"/>
  <c r="BR38" i="15"/>
  <c r="AL38" i="15"/>
  <c r="BQ38" i="15"/>
  <c r="AM38" i="15"/>
  <c r="AN38" i="15"/>
  <c r="J38" i="15"/>
  <c r="V38" i="15"/>
  <c r="BS38" i="15"/>
  <c r="CE58" i="15"/>
  <c r="CJ58" i="15"/>
  <c r="AU48" i="15"/>
  <c r="BD48" i="15"/>
  <c r="AM35" i="15"/>
  <c r="AN35" i="15"/>
  <c r="V35" i="15"/>
  <c r="BS35" i="15"/>
  <c r="J35" i="15"/>
  <c r="BR35" i="15"/>
  <c r="BQ35" i="15"/>
  <c r="AL35" i="15"/>
  <c r="AG35" i="15"/>
  <c r="AH35" i="15"/>
  <c r="AF35" i="15"/>
  <c r="AS35" i="15" s="1"/>
  <c r="CE61" i="15"/>
  <c r="BZ62" i="15"/>
  <c r="I62" i="15"/>
  <c r="CB62" i="15"/>
  <c r="BY62" i="15"/>
  <c r="CO62" i="15" s="1"/>
  <c r="AR51" i="15"/>
  <c r="AI49" i="15"/>
  <c r="BE49" i="15"/>
  <c r="M49" i="15"/>
  <c r="O49" i="15" s="1"/>
  <c r="Z49" i="15"/>
  <c r="AF49" i="15" s="1"/>
  <c r="AK49" i="15"/>
  <c r="AA49" i="15"/>
  <c r="CE39" i="15"/>
  <c r="CJ39" i="15"/>
  <c r="AM58" i="15"/>
  <c r="V58" i="15"/>
  <c r="AN58" i="15"/>
  <c r="BS58" i="15"/>
  <c r="BR58" i="15"/>
  <c r="BQ58" i="15"/>
  <c r="J58" i="15"/>
  <c r="AM55" i="15"/>
  <c r="AN55" i="15"/>
  <c r="V55" i="15"/>
  <c r="M68" i="15"/>
  <c r="O68" i="15" s="1"/>
  <c r="AK68" i="15"/>
  <c r="AI68" i="15"/>
  <c r="BE68" i="15"/>
  <c r="Z68" i="15"/>
  <c r="AA68" i="15"/>
  <c r="CU29" i="15"/>
  <c r="CW53" i="15"/>
  <c r="CP54" i="15"/>
  <c r="CQ54" i="15"/>
  <c r="M66" i="15"/>
  <c r="O66" i="15" s="1"/>
  <c r="AK66" i="15"/>
  <c r="AI66" i="15"/>
  <c r="BE66" i="15"/>
  <c r="CD58" i="15"/>
  <c r="CC58" i="15"/>
  <c r="BS52" i="15"/>
  <c r="BQ52" i="15"/>
  <c r="J52" i="15"/>
  <c r="BR52" i="15"/>
  <c r="V52" i="15"/>
  <c r="AM52" i="15"/>
  <c r="AN52" i="15"/>
  <c r="AL52" i="15"/>
  <c r="CS57" i="15"/>
  <c r="AO66" i="15"/>
  <c r="AL66" i="15" s="1"/>
  <c r="AW66" i="15" s="1"/>
  <c r="AV58" i="15"/>
  <c r="AM57" i="15"/>
  <c r="BY61" i="15"/>
  <c r="CO61" i="15" s="1"/>
  <c r="I61" i="15"/>
  <c r="BZ61" i="15"/>
  <c r="CB61" i="15"/>
  <c r="AT47" i="15"/>
  <c r="L227" i="4"/>
  <c r="BZ53" i="15"/>
  <c r="I53" i="15"/>
  <c r="CB53" i="15"/>
  <c r="BY53" i="15"/>
  <c r="CO53" i="15" s="1"/>
  <c r="CE67" i="15"/>
  <c r="CD46" i="15"/>
  <c r="CC46" i="15"/>
  <c r="CG46" i="15" s="1"/>
  <c r="CH46" i="15" s="1"/>
  <c r="V42" i="15"/>
  <c r="AM42" i="15"/>
  <c r="AN42" i="15"/>
  <c r="BS42" i="15"/>
  <c r="BR42" i="15"/>
  <c r="BQ42" i="15"/>
  <c r="AL42" i="15"/>
  <c r="AW42" i="15" s="1"/>
  <c r="J42" i="15"/>
  <c r="BQ51" i="15"/>
  <c r="AN51" i="15"/>
  <c r="AM51" i="15"/>
  <c r="V51" i="15"/>
  <c r="AL51" i="15"/>
  <c r="BZ45" i="15"/>
  <c r="I45" i="15"/>
  <c r="J45" i="15" s="1"/>
  <c r="CB45" i="15"/>
  <c r="BY45" i="15"/>
  <c r="CO45" i="15" s="1"/>
  <c r="AM68" i="15"/>
  <c r="AN68" i="15"/>
  <c r="V68" i="15"/>
  <c r="AG68" i="15" s="1"/>
  <c r="J68" i="15"/>
  <c r="AL68" i="15"/>
  <c r="AW68" i="15" s="1"/>
  <c r="BQ68" i="15"/>
  <c r="AH68" i="15"/>
  <c r="BS68" i="15"/>
  <c r="BR68" i="15"/>
  <c r="CP49" i="15"/>
  <c r="CQ49" i="15"/>
  <c r="AN43" i="15"/>
  <c r="V43" i="15"/>
  <c r="AM43" i="15"/>
  <c r="J43" i="15"/>
  <c r="BR43" i="15"/>
  <c r="BQ43" i="15"/>
  <c r="AL43" i="15"/>
  <c r="BS43" i="15"/>
  <c r="CP59" i="15"/>
  <c r="CQ59" i="15"/>
  <c r="CJ52" i="15"/>
  <c r="CE52" i="15"/>
  <c r="CV29" i="15"/>
  <c r="AT38" i="15"/>
  <c r="CQ58" i="15"/>
  <c r="CP58" i="15"/>
  <c r="V29" i="15"/>
  <c r="AM29" i="15"/>
  <c r="AN29" i="15"/>
  <c r="J29" i="15"/>
  <c r="BR29" i="15"/>
  <c r="BQ29" i="15"/>
  <c r="AL29" i="15"/>
  <c r="AW29" i="15" s="1"/>
  <c r="AI30" i="15"/>
  <c r="Z30" i="15"/>
  <c r="AA30" i="15"/>
  <c r="BE30" i="15"/>
  <c r="M30" i="15"/>
  <c r="O30" i="15" s="1"/>
  <c r="W30" i="15" s="1"/>
  <c r="AK30" i="15"/>
  <c r="CI6" i="15"/>
  <c r="CT6" i="15"/>
  <c r="CX6" i="15"/>
  <c r="CY6" i="15" s="1"/>
  <c r="CW6" i="15"/>
  <c r="CV6" i="15"/>
  <c r="CU6" i="15"/>
  <c r="CS6" i="15"/>
  <c r="CN6" i="15"/>
  <c r="BV57" i="15"/>
  <c r="BZ51" i="15"/>
  <c r="CD51" i="15" s="1"/>
  <c r="I51" i="15"/>
  <c r="J51" i="15" s="1"/>
  <c r="CB51" i="15"/>
  <c r="BY51" i="15"/>
  <c r="CO51" i="15" s="1"/>
  <c r="AV66" i="15"/>
  <c r="Z32" i="15"/>
  <c r="AA32" i="15" s="1"/>
  <c r="AI32" i="15"/>
  <c r="AK32" i="15"/>
  <c r="M32" i="15"/>
  <c r="O32" i="15" s="1"/>
  <c r="BE32" i="15"/>
  <c r="CS62" i="15"/>
  <c r="CV31" i="15"/>
  <c r="I31" i="15"/>
  <c r="CB31" i="15"/>
  <c r="BY31" i="15"/>
  <c r="CO31" i="15" s="1"/>
  <c r="BZ31" i="15"/>
  <c r="AT30" i="15"/>
  <c r="CQ39" i="15"/>
  <c r="CP39" i="15"/>
  <c r="CV64" i="15"/>
  <c r="L128" i="4"/>
  <c r="L37" i="4"/>
  <c r="CQ46" i="15"/>
  <c r="CP46" i="15"/>
  <c r="CE44" i="15"/>
  <c r="CJ44" i="15"/>
  <c r="CS44" i="15"/>
  <c r="I44" i="15"/>
  <c r="CB44" i="15"/>
  <c r="BY44" i="15"/>
  <c r="CO44" i="15" s="1"/>
  <c r="BZ44" i="15"/>
  <c r="CS40" i="15"/>
  <c r="CC49" i="15"/>
  <c r="CD49" i="15"/>
  <c r="AM64" i="15"/>
  <c r="AN64" i="15"/>
  <c r="V64" i="15"/>
  <c r="Y43" i="15"/>
  <c r="CD59" i="15"/>
  <c r="CC59" i="15"/>
  <c r="Z54" i="15"/>
  <c r="AA54" i="15" s="1"/>
  <c r="BE54" i="15"/>
  <c r="AK54" i="15"/>
  <c r="M54" i="15"/>
  <c r="O54" i="15" s="1"/>
  <c r="AI54" i="15"/>
  <c r="AV38" i="15"/>
  <c r="AT49" i="15"/>
  <c r="CR6" i="15"/>
  <c r="N6" i="15"/>
  <c r="V6" i="15" s="1"/>
  <c r="CV60" i="15"/>
  <c r="CU60" i="15"/>
  <c r="CU57" i="15"/>
  <c r="AT62" i="15"/>
  <c r="CD32" i="15"/>
  <c r="CC32" i="15"/>
  <c r="BV62" i="15"/>
  <c r="BV48" i="15"/>
  <c r="CW64" i="15"/>
  <c r="L269" i="4"/>
  <c r="CG41" i="15"/>
  <c r="CH41" i="15" s="1"/>
  <c r="AN44" i="15"/>
  <c r="V44" i="15"/>
  <c r="AM44" i="15"/>
  <c r="J44" i="15"/>
  <c r="BR44" i="15"/>
  <c r="BQ44" i="15"/>
  <c r="AL44" i="15"/>
  <c r="BS44" i="15"/>
  <c r="CC51" i="15"/>
  <c r="CG51" i="15" s="1"/>
  <c r="CH51" i="15" s="1"/>
  <c r="CJ51" i="15"/>
  <c r="CE51" i="15"/>
  <c r="CE33" i="15"/>
  <c r="CJ33" i="15"/>
  <c r="BD55" i="15"/>
  <c r="AU50" i="15"/>
  <c r="BD50" i="15"/>
  <c r="CE36" i="15"/>
  <c r="CJ36" i="15"/>
  <c r="CJ40" i="15"/>
  <c r="CE40" i="15"/>
  <c r="BZ13" i="15"/>
  <c r="I13" i="15"/>
  <c r="CB13" i="15"/>
  <c r="BY13" i="15"/>
  <c r="CO13" i="15" s="1"/>
  <c r="AV41" i="15"/>
  <c r="AU31" i="15"/>
  <c r="BD31" i="15"/>
  <c r="V67" i="15"/>
  <c r="AN67" i="15"/>
  <c r="AM67" i="15"/>
  <c r="CW29" i="15"/>
  <c r="CS8" i="15"/>
  <c r="CU45" i="15"/>
  <c r="CP37" i="15"/>
  <c r="CQ37" i="15"/>
  <c r="AL58" i="15"/>
  <c r="AW58" i="15" s="1"/>
  <c r="BE58" i="15"/>
  <c r="Z58" i="15"/>
  <c r="AH58" i="15" s="1"/>
  <c r="AI58" i="15"/>
  <c r="M58" i="15"/>
  <c r="O58" i="15" s="1"/>
  <c r="AK58" i="15"/>
  <c r="AV49" i="15"/>
  <c r="I55" i="15"/>
  <c r="J55" i="15" s="1"/>
  <c r="CB55" i="15"/>
  <c r="BY55" i="15"/>
  <c r="AV62" i="15"/>
  <c r="CQ32" i="15"/>
  <c r="CP32" i="15"/>
  <c r="CU62" i="15"/>
  <c r="AL39" i="15"/>
  <c r="BS39" i="15"/>
  <c r="BR39" i="15"/>
  <c r="AM39" i="15"/>
  <c r="BQ39" i="15"/>
  <c r="AN39" i="15"/>
  <c r="J39" i="15"/>
  <c r="V39" i="15"/>
  <c r="AG39" i="15" s="1"/>
  <c r="CC39" i="15"/>
  <c r="CG39" i="15" s="1"/>
  <c r="CD39" i="15"/>
  <c r="CQ50" i="15"/>
  <c r="CP50" i="15"/>
  <c r="AR33" i="15"/>
  <c r="Z46" i="15"/>
  <c r="AA46" i="15" s="1"/>
  <c r="AI46" i="15"/>
  <c r="BE46" i="15"/>
  <c r="AK46" i="15"/>
  <c r="M46" i="15"/>
  <c r="O46" i="15" s="1"/>
  <c r="CE13" i="15"/>
  <c r="CE28" i="15"/>
  <c r="CE42" i="15"/>
  <c r="CJ42" i="15"/>
  <c r="I36" i="15"/>
  <c r="AL36" i="15" s="1"/>
  <c r="BY36" i="15"/>
  <c r="CO36" i="15" s="1"/>
  <c r="CB36" i="15"/>
  <c r="BZ36" i="15"/>
  <c r="AU59" i="15"/>
  <c r="BD59" i="15"/>
  <c r="CU40" i="15"/>
  <c r="J13" i="15"/>
  <c r="AN13" i="15"/>
  <c r="BR13" i="15"/>
  <c r="V13" i="15"/>
  <c r="AL13" i="15"/>
  <c r="AM13" i="15"/>
  <c r="BQ13" i="15"/>
  <c r="V60" i="15"/>
  <c r="CD33" i="15"/>
  <c r="CC33" i="15"/>
  <c r="CG33" i="15" s="1"/>
  <c r="CH33" i="15" s="1"/>
  <c r="AT41" i="15"/>
  <c r="BZ65" i="15"/>
  <c r="BY65" i="15"/>
  <c r="CO65" i="15" s="1"/>
  <c r="CB65" i="15"/>
  <c r="I65" i="15"/>
  <c r="CS10" i="15"/>
  <c r="CU8" i="15"/>
  <c r="BV45" i="15"/>
  <c r="AM54" i="15"/>
  <c r="V54" i="15"/>
  <c r="AN54" i="15"/>
  <c r="AL54" i="15"/>
  <c r="BS54" i="15"/>
  <c r="BR54" i="15"/>
  <c r="BQ54" i="15"/>
  <c r="J54" i="15"/>
  <c r="AG54" i="15"/>
  <c r="AF54" i="15"/>
  <c r="AH54" i="15"/>
  <c r="BD28" i="15"/>
  <c r="AU28" i="15"/>
  <c r="CD35" i="15"/>
  <c r="CC35" i="15"/>
  <c r="I57" i="15"/>
  <c r="BS57" i="15" s="1"/>
  <c r="CB57" i="15"/>
  <c r="BY57" i="15"/>
  <c r="CO57" i="15" s="1"/>
  <c r="BZ57" i="15"/>
  <c r="CW57" i="15"/>
  <c r="CE57" i="15"/>
  <c r="CJ57" i="15"/>
  <c r="V30" i="15"/>
  <c r="AN30" i="15"/>
  <c r="AM30" i="15"/>
  <c r="AL30" i="15"/>
  <c r="J30" i="15"/>
  <c r="AG30" i="15"/>
  <c r="AH30" i="15"/>
  <c r="BS30" i="15"/>
  <c r="AF30" i="15"/>
  <c r="BR30" i="15"/>
  <c r="BQ30" i="15"/>
  <c r="CV62" i="15"/>
  <c r="J10" i="15"/>
  <c r="AN10" i="15"/>
  <c r="BS10" i="15"/>
  <c r="AM10" i="15"/>
  <c r="BR10" i="15"/>
  <c r="BQ10" i="15"/>
  <c r="V10" i="15"/>
  <c r="CE48" i="15"/>
  <c r="CJ48" i="15"/>
  <c r="BV63" i="15"/>
  <c r="AK39" i="15"/>
  <c r="BE39" i="15"/>
  <c r="Z39" i="15"/>
  <c r="AA39" i="15" s="1"/>
  <c r="AI39" i="15"/>
  <c r="M39" i="15"/>
  <c r="O39" i="15" s="1"/>
  <c r="CE30" i="15"/>
  <c r="CG30" i="15" s="1"/>
  <c r="CH30" i="15" s="1"/>
  <c r="CJ30" i="15"/>
  <c r="CG68" i="15"/>
  <c r="CH68" i="15" s="1"/>
  <c r="V33" i="15"/>
  <c r="AG33" i="15" s="1"/>
  <c r="AN33" i="15"/>
  <c r="AM33" i="15"/>
  <c r="AL33" i="15"/>
  <c r="J33" i="15"/>
  <c r="BS33" i="15"/>
  <c r="AF33" i="15"/>
  <c r="BR33" i="15"/>
  <c r="BQ33" i="15"/>
  <c r="AH33" i="15"/>
  <c r="BD64" i="15"/>
  <c r="AU64" i="15"/>
  <c r="AT44" i="15"/>
  <c r="AT46" i="15"/>
  <c r="BV40" i="15"/>
  <c r="CG35" i="15"/>
  <c r="CH35" i="15" s="1"/>
  <c r="AV60" i="15"/>
  <c r="AM60" i="15"/>
  <c r="AN60" i="15"/>
  <c r="J60" i="15"/>
  <c r="BR60" i="15"/>
  <c r="AL60" i="15"/>
  <c r="BQ60" i="15"/>
  <c r="BS60" i="15"/>
  <c r="CQ33" i="15"/>
  <c r="CP33" i="15"/>
  <c r="AT65" i="15"/>
  <c r="CU10" i="15"/>
  <c r="J50" i="15"/>
  <c r="BS50" i="15"/>
  <c r="AM50" i="15"/>
  <c r="BR50" i="15"/>
  <c r="V50" i="15"/>
  <c r="BQ50" i="15"/>
  <c r="AL50" i="15"/>
  <c r="AN50" i="15"/>
  <c r="CV45" i="15"/>
  <c r="CE45" i="15"/>
  <c r="CJ45" i="15"/>
  <c r="BQ37" i="15"/>
  <c r="BE37" i="15"/>
  <c r="Z37" i="15"/>
  <c r="AH37" i="15" s="1"/>
  <c r="M37" i="15"/>
  <c r="O37" i="15" s="1"/>
  <c r="AI37" i="15"/>
  <c r="AK37" i="15"/>
  <c r="AA37" i="15"/>
  <c r="CQ35" i="15"/>
  <c r="CP35" i="15"/>
  <c r="V31" i="15"/>
  <c r="AM31" i="15"/>
  <c r="AN31" i="15"/>
  <c r="BS31" i="15"/>
  <c r="J31" i="15"/>
  <c r="BR31" i="15"/>
  <c r="BQ31" i="15"/>
  <c r="AL31" i="15"/>
  <c r="CG32" i="15"/>
  <c r="CH32" i="15" s="1"/>
  <c r="AS30" i="15"/>
  <c r="AT33" i="15"/>
  <c r="CE62" i="15"/>
  <c r="CJ62" i="15"/>
  <c r="Y10" i="15"/>
  <c r="CS63" i="15"/>
  <c r="Z50" i="15"/>
  <c r="AA50" i="15" s="1"/>
  <c r="AI50" i="15"/>
  <c r="AK50" i="15"/>
  <c r="BE50" i="15"/>
  <c r="M50" i="15"/>
  <c r="O50" i="15" s="1"/>
  <c r="CA66" i="15"/>
  <c r="AC66" i="15"/>
  <c r="AE66" i="15"/>
  <c r="Z66" i="15"/>
  <c r="AH66" i="15" s="1"/>
  <c r="AD66" i="15"/>
  <c r="BZ66" i="15"/>
  <c r="AU13" i="15"/>
  <c r="BD13" i="15"/>
  <c r="AL10" i="15"/>
  <c r="AW10" i="15" s="1"/>
  <c r="BD10" i="15"/>
  <c r="I64" i="15"/>
  <c r="BY64" i="15"/>
  <c r="CO64" i="15" s="1"/>
  <c r="BZ64" i="15"/>
  <c r="CB64" i="15"/>
  <c r="CE59" i="15"/>
  <c r="CJ59" i="15"/>
  <c r="AV44" i="15"/>
  <c r="CJ66" i="15"/>
  <c r="AV46" i="15"/>
  <c r="BY8" i="15"/>
  <c r="CB8" i="15"/>
  <c r="I8" i="15"/>
  <c r="Y8" i="15" s="1"/>
  <c r="BZ8" i="15" s="1"/>
  <c r="AN59" i="15"/>
  <c r="AM59" i="15"/>
  <c r="V59" i="15"/>
  <c r="J59" i="15"/>
  <c r="AL59" i="15"/>
  <c r="BS59" i="15"/>
  <c r="BQ59" i="15"/>
  <c r="BR59" i="15"/>
  <c r="AH59" i="15"/>
  <c r="AG59" i="15"/>
  <c r="AS59" i="15" s="1"/>
  <c r="AF59" i="15"/>
  <c r="AV65" i="15"/>
  <c r="Z38" i="15"/>
  <c r="AA38" i="15" s="1"/>
  <c r="BE38" i="15"/>
  <c r="AK38" i="15"/>
  <c r="M38" i="15"/>
  <c r="O38" i="15" s="1"/>
  <c r="AI38" i="15"/>
  <c r="CW67" i="15"/>
  <c r="I67" i="15"/>
  <c r="CB67" i="15"/>
  <c r="BY67" i="15"/>
  <c r="CO67" i="15" s="1"/>
  <c r="BZ67" i="15"/>
  <c r="CV10" i="15"/>
  <c r="CE50" i="15"/>
  <c r="CJ50" i="15"/>
  <c r="BV29" i="15"/>
  <c r="CW8" i="15"/>
  <c r="CW45" i="15"/>
  <c r="AR54" i="15"/>
  <c r="AS54" i="15" s="1"/>
  <c r="CD37" i="15"/>
  <c r="CG37" i="15" s="1"/>
  <c r="CH37" i="15" s="1"/>
  <c r="CC37" i="15"/>
  <c r="BZ28" i="15"/>
  <c r="CD28" i="15" s="1"/>
  <c r="I28" i="15"/>
  <c r="BQ28" i="15" s="1"/>
  <c r="CB28" i="15"/>
  <c r="BY28" i="15"/>
  <c r="CO28" i="15" s="1"/>
  <c r="CW55" i="15"/>
  <c r="BV60" i="15"/>
  <c r="CE49" i="15"/>
  <c r="CG49" i="15" s="1"/>
  <c r="CH49" i="15" s="1"/>
  <c r="CJ49" i="15"/>
  <c r="AT61" i="15"/>
  <c r="CW62" i="15"/>
  <c r="CE46" i="15"/>
  <c r="CJ46" i="15"/>
  <c r="AL40" i="15"/>
  <c r="AM40" i="15"/>
  <c r="V40" i="15"/>
  <c r="J40" i="15"/>
  <c r="AN40" i="15"/>
  <c r="BS40" i="15"/>
  <c r="BQ40" i="15"/>
  <c r="BR40" i="15"/>
  <c r="CS48" i="15"/>
  <c r="CJ63" i="15"/>
  <c r="CE63" i="15"/>
  <c r="CS64" i="15"/>
  <c r="CD50" i="15"/>
  <c r="CC50" i="15"/>
  <c r="I1164" i="12"/>
  <c r="M1131" i="12"/>
  <c r="O1131" i="12" s="1"/>
  <c r="M1170" i="12"/>
  <c r="N1170" i="12" s="1"/>
  <c r="M1151" i="12"/>
  <c r="M1171" i="12" s="1"/>
  <c r="N1171" i="12" s="1"/>
  <c r="G1580" i="12"/>
  <c r="O1580" i="12" s="1"/>
  <c r="K495" i="12"/>
  <c r="K511" i="12" s="1"/>
  <c r="K479" i="12"/>
  <c r="O479" i="12" s="1"/>
  <c r="N462" i="12"/>
  <c r="O1519" i="12"/>
  <c r="D1474" i="12" s="1"/>
  <c r="M1067" i="12"/>
  <c r="N1067" i="12" s="1"/>
  <c r="K1785" i="12"/>
  <c r="D1740" i="12" s="1"/>
  <c r="AR11" i="15"/>
  <c r="AO11" i="15"/>
  <c r="AR9" i="15"/>
  <c r="AO9" i="15"/>
  <c r="CA11" i="15"/>
  <c r="CJ11" i="15" s="1"/>
  <c r="BZ11" i="15"/>
  <c r="AT8" i="15"/>
  <c r="AO8" i="15"/>
  <c r="AR27" i="15"/>
  <c r="CW14" i="15"/>
  <c r="AR14" i="15"/>
  <c r="CV14" i="15"/>
  <c r="AR20" i="15"/>
  <c r="CV16" i="15"/>
  <c r="CW16" i="15"/>
  <c r="AR16" i="15"/>
  <c r="CU24" i="15"/>
  <c r="Z24" i="15"/>
  <c r="CS24" i="15"/>
  <c r="BV24" i="15"/>
  <c r="BY14" i="15"/>
  <c r="CO14" i="15" s="1"/>
  <c r="CP14" i="15" s="1"/>
  <c r="BZ21" i="15"/>
  <c r="CC21" i="15" s="1"/>
  <c r="AV7" i="15"/>
  <c r="AK20" i="15"/>
  <c r="BY20" i="15"/>
  <c r="CO20" i="15" s="1"/>
  <c r="CP20" i="15" s="1"/>
  <c r="CU20" i="15"/>
  <c r="CB20" i="15"/>
  <c r="BZ20" i="15"/>
  <c r="CC20" i="15" s="1"/>
  <c r="CS21" i="15"/>
  <c r="CW26" i="15"/>
  <c r="BY26" i="15"/>
  <c r="CO26" i="15" s="1"/>
  <c r="CP26" i="15" s="1"/>
  <c r="CU21" i="15"/>
  <c r="CS26" i="15"/>
  <c r="BV26" i="15"/>
  <c r="CV21" i="15"/>
  <c r="CB21" i="15"/>
  <c r="CU26" i="15"/>
  <c r="BY21" i="15"/>
  <c r="CO21" i="15" s="1"/>
  <c r="CQ21" i="15" s="1"/>
  <c r="CW21" i="15"/>
  <c r="CR26" i="15"/>
  <c r="BV21" i="15"/>
  <c r="CB26" i="15"/>
  <c r="CV26" i="15"/>
  <c r="BZ26" i="15"/>
  <c r="CD26" i="15" s="1"/>
  <c r="AR8" i="15"/>
  <c r="BV20" i="15"/>
  <c r="AO7" i="15"/>
  <c r="AV27" i="15"/>
  <c r="CS27" i="15"/>
  <c r="BV27" i="15"/>
  <c r="CC27" i="15"/>
  <c r="CU27" i="15"/>
  <c r="BS14" i="15"/>
  <c r="BY22" i="15"/>
  <c r="CO22" i="15" s="1"/>
  <c r="CQ22" i="15" s="1"/>
  <c r="BV22" i="15"/>
  <c r="CS14" i="15"/>
  <c r="AK27" i="15"/>
  <c r="CS22" i="15"/>
  <c r="CJ218" i="15"/>
  <c r="CU22" i="15"/>
  <c r="CD14" i="15"/>
  <c r="BV14" i="15"/>
  <c r="CB22" i="15"/>
  <c r="CU14" i="15"/>
  <c r="CB14" i="15"/>
  <c r="CP186" i="15"/>
  <c r="CQ186" i="15"/>
  <c r="CD210" i="15"/>
  <c r="CC210" i="15"/>
  <c r="CJ210" i="15"/>
  <c r="CE210" i="15"/>
  <c r="CJ112" i="15"/>
  <c r="CF112" i="15"/>
  <c r="CE112" i="15"/>
  <c r="CM112" i="15"/>
  <c r="CC112" i="15"/>
  <c r="CP159" i="15"/>
  <c r="CQ159" i="15"/>
  <c r="CD194" i="15"/>
  <c r="CE194" i="15"/>
  <c r="CJ194" i="15"/>
  <c r="CC194" i="15"/>
  <c r="CP129" i="15"/>
  <c r="CQ129" i="15"/>
  <c r="CQ166" i="15"/>
  <c r="CP166" i="15"/>
  <c r="CE151" i="15"/>
  <c r="CD151" i="15"/>
  <c r="CC151" i="15"/>
  <c r="CJ151" i="15"/>
  <c r="CP200" i="15"/>
  <c r="CQ200" i="15"/>
  <c r="CQ171" i="15"/>
  <c r="CP171" i="15"/>
  <c r="CQ208" i="15"/>
  <c r="CP208" i="15"/>
  <c r="CD147" i="15"/>
  <c r="CC147" i="15"/>
  <c r="CJ147" i="15"/>
  <c r="CE147" i="15"/>
  <c r="CP113" i="15"/>
  <c r="CQ113" i="15"/>
  <c r="CP203" i="15"/>
  <c r="CQ203" i="15"/>
  <c r="CE213" i="15"/>
  <c r="CC213" i="15"/>
  <c r="CD213" i="15"/>
  <c r="CJ213" i="15"/>
  <c r="CQ102" i="15"/>
  <c r="CP102" i="15"/>
  <c r="CQ130" i="15"/>
  <c r="CP130" i="15"/>
  <c r="CP92" i="15"/>
  <c r="CQ92" i="15"/>
  <c r="CE176" i="15"/>
  <c r="CJ176" i="15"/>
  <c r="CC176" i="15"/>
  <c r="CD176" i="15"/>
  <c r="CP168" i="15"/>
  <c r="CQ168" i="15"/>
  <c r="CP101" i="15"/>
  <c r="CQ101" i="15"/>
  <c r="CF101" i="15"/>
  <c r="CM101" i="15"/>
  <c r="CJ101" i="15"/>
  <c r="CC101" i="15"/>
  <c r="CE101" i="15"/>
  <c r="CP121" i="15"/>
  <c r="CQ121" i="15"/>
  <c r="CE159" i="15"/>
  <c r="CJ159" i="15"/>
  <c r="CC159" i="15"/>
  <c r="CD159" i="15"/>
  <c r="CP115" i="15"/>
  <c r="CQ115" i="15"/>
  <c r="CQ136" i="15"/>
  <c r="CP136" i="15"/>
  <c r="CQ165" i="15"/>
  <c r="CP165" i="15"/>
  <c r="CE219" i="15"/>
  <c r="CC219" i="15"/>
  <c r="CD219" i="15"/>
  <c r="CJ219" i="15"/>
  <c r="CQ157" i="15"/>
  <c r="CP157" i="15"/>
  <c r="CQ218" i="15"/>
  <c r="CP218" i="15"/>
  <c r="CJ125" i="15"/>
  <c r="CM125" i="15"/>
  <c r="CE125" i="15"/>
  <c r="CC125" i="15"/>
  <c r="CF125" i="15"/>
  <c r="CC138" i="15"/>
  <c r="CJ138" i="15"/>
  <c r="CE138" i="15"/>
  <c r="CQ195" i="15"/>
  <c r="CP195" i="15"/>
  <c r="CQ191" i="15"/>
  <c r="CP191" i="15"/>
  <c r="CU221" i="15"/>
  <c r="N2617" i="12" s="1"/>
  <c r="N2619" i="12" s="1"/>
  <c r="D2616" i="12" s="1"/>
  <c r="CQ173" i="15"/>
  <c r="CP173" i="15"/>
  <c r="CE184" i="15"/>
  <c r="CJ184" i="15"/>
  <c r="CC184" i="15"/>
  <c r="CJ164" i="15"/>
  <c r="CM164" i="15"/>
  <c r="CE164" i="15"/>
  <c r="CC164" i="15"/>
  <c r="CF164" i="15"/>
  <c r="CE130" i="15"/>
  <c r="CF130" i="15"/>
  <c r="CM130" i="15"/>
  <c r="CJ130" i="15"/>
  <c r="CC130" i="15"/>
  <c r="CJ189" i="15"/>
  <c r="CC189" i="15"/>
  <c r="CF189" i="15"/>
  <c r="CE189" i="15"/>
  <c r="CM189" i="15"/>
  <c r="BJ221" i="15"/>
  <c r="CP169" i="15"/>
  <c r="CQ169" i="15"/>
  <c r="CP163" i="15"/>
  <c r="CQ163" i="15"/>
  <c r="CP112" i="15"/>
  <c r="CQ112" i="15"/>
  <c r="CE179" i="15"/>
  <c r="CJ179" i="15"/>
  <c r="CD179" i="15"/>
  <c r="CC179" i="15"/>
  <c r="CJ115" i="15"/>
  <c r="CM115" i="15"/>
  <c r="CF115" i="15"/>
  <c r="CC115" i="15"/>
  <c r="CE115" i="15"/>
  <c r="CC96" i="15"/>
  <c r="CD96" i="15"/>
  <c r="CJ96" i="15"/>
  <c r="CE96" i="15"/>
  <c r="CP96" i="15"/>
  <c r="CQ96" i="15"/>
  <c r="CQ153" i="15"/>
  <c r="CP153" i="15"/>
  <c r="CE205" i="15"/>
  <c r="CC205" i="15"/>
  <c r="CD205" i="15"/>
  <c r="CD107" i="15"/>
  <c r="CC107" i="15"/>
  <c r="CJ107" i="15"/>
  <c r="CE107" i="15"/>
  <c r="CE211" i="15"/>
  <c r="CC211" i="15"/>
  <c r="CD211" i="15"/>
  <c r="CP119" i="15"/>
  <c r="CQ119" i="15"/>
  <c r="CD207" i="15"/>
  <c r="CE207" i="15"/>
  <c r="CC207" i="15"/>
  <c r="CJ207" i="15"/>
  <c r="CT221" i="15"/>
  <c r="O2597" i="12" s="1"/>
  <c r="O2599" i="12" s="1"/>
  <c r="BM221" i="15"/>
  <c r="CE135" i="15"/>
  <c r="CD135" i="15"/>
  <c r="CJ135" i="15"/>
  <c r="CC135" i="15"/>
  <c r="CP217" i="15"/>
  <c r="CQ217" i="15"/>
  <c r="CE172" i="15"/>
  <c r="CJ172" i="15"/>
  <c r="CC172" i="15"/>
  <c r="CD172" i="15"/>
  <c r="CP164" i="15"/>
  <c r="CQ164" i="15"/>
  <c r="CE134" i="15"/>
  <c r="CC134" i="15"/>
  <c r="CD134" i="15"/>
  <c r="CJ134" i="15"/>
  <c r="CP93" i="15"/>
  <c r="CQ93" i="15"/>
  <c r="CM128" i="15"/>
  <c r="CJ128" i="15"/>
  <c r="CE128" i="15"/>
  <c r="CF128" i="15"/>
  <c r="CC128" i="15"/>
  <c r="CP105" i="15"/>
  <c r="CQ105" i="15"/>
  <c r="CD137" i="15"/>
  <c r="CJ137" i="15"/>
  <c r="CE137" i="15"/>
  <c r="CC137" i="15"/>
  <c r="CJ169" i="15"/>
  <c r="CE169" i="15"/>
  <c r="CF169" i="15"/>
  <c r="CM169" i="15"/>
  <c r="CC169" i="15"/>
  <c r="CJ121" i="15"/>
  <c r="CE121" i="15"/>
  <c r="CC121" i="15"/>
  <c r="CD121" i="15"/>
  <c r="CC185" i="15"/>
  <c r="CJ185" i="15"/>
  <c r="CM185" i="15"/>
  <c r="CE185" i="15"/>
  <c r="CF185" i="15"/>
  <c r="CJ204" i="15"/>
  <c r="CE204" i="15"/>
  <c r="CC204" i="15"/>
  <c r="CD204" i="15"/>
  <c r="CJ136" i="15"/>
  <c r="CE136" i="15"/>
  <c r="CC136" i="15"/>
  <c r="CD136" i="15"/>
  <c r="CQ183" i="15"/>
  <c r="CP183" i="15"/>
  <c r="CC148" i="15"/>
  <c r="CJ148" i="15"/>
  <c r="CD148" i="15"/>
  <c r="CE148" i="15"/>
  <c r="CP214" i="15"/>
  <c r="CQ214" i="15"/>
  <c r="CE108" i="15"/>
  <c r="CJ108" i="15"/>
  <c r="CC108" i="15"/>
  <c r="CD108" i="15"/>
  <c r="CE157" i="15"/>
  <c r="CJ157" i="15"/>
  <c r="CF157" i="15"/>
  <c r="CM157" i="15"/>
  <c r="CC157" i="15"/>
  <c r="CE140" i="15"/>
  <c r="CC140" i="15"/>
  <c r="CJ140" i="15"/>
  <c r="CP161" i="15"/>
  <c r="CQ161" i="15"/>
  <c r="CC161" i="15"/>
  <c r="CD161" i="15"/>
  <c r="CJ161" i="15"/>
  <c r="CE161" i="15"/>
  <c r="CE166" i="15"/>
  <c r="CJ166" i="15"/>
  <c r="CC166" i="15"/>
  <c r="CD166" i="15"/>
  <c r="CQ187" i="15"/>
  <c r="CP187" i="15"/>
  <c r="CM119" i="15"/>
  <c r="CE119" i="15"/>
  <c r="CC119" i="15"/>
  <c r="CJ119" i="15"/>
  <c r="CF119" i="15"/>
  <c r="CP147" i="15"/>
  <c r="CQ147" i="15"/>
  <c r="CQ190" i="15"/>
  <c r="CP190" i="15"/>
  <c r="CV221" i="15"/>
  <c r="O2624" i="12" s="1"/>
  <c r="O2625" i="12" s="1"/>
  <c r="CY89" i="15"/>
  <c r="CY221" i="15" s="1"/>
  <c r="N1871" i="12" s="1"/>
  <c r="N1874" i="12" s="1"/>
  <c r="CX221" i="15"/>
  <c r="E2593" i="12" s="1"/>
  <c r="E2595" i="12" s="1"/>
  <c r="D2592" i="12" s="1"/>
  <c r="CQ99" i="15"/>
  <c r="CP99" i="15"/>
  <c r="CQ133" i="15"/>
  <c r="CP133" i="15"/>
  <c r="CQ170" i="15"/>
  <c r="CP170" i="15"/>
  <c r="CD209" i="15"/>
  <c r="CE209" i="15"/>
  <c r="CJ209" i="15"/>
  <c r="CC209" i="15"/>
  <c r="CP177" i="15"/>
  <c r="CQ177" i="15"/>
  <c r="BI221" i="15"/>
  <c r="CC167" i="15"/>
  <c r="CM167" i="15"/>
  <c r="CJ167" i="15"/>
  <c r="CE167" i="15"/>
  <c r="CF167" i="15"/>
  <c r="CP179" i="15"/>
  <c r="CQ179" i="15"/>
  <c r="CC118" i="15"/>
  <c r="CE118" i="15"/>
  <c r="CJ118" i="15"/>
  <c r="CE142" i="15"/>
  <c r="CD142" i="15"/>
  <c r="CC142" i="15"/>
  <c r="CJ142" i="15"/>
  <c r="CQ114" i="15"/>
  <c r="CP114" i="15"/>
  <c r="CE214" i="15"/>
  <c r="CC214" i="15"/>
  <c r="CD214" i="15"/>
  <c r="CE165" i="15"/>
  <c r="CC165" i="15"/>
  <c r="CJ165" i="15"/>
  <c r="CD165" i="15"/>
  <c r="CE180" i="15"/>
  <c r="CD180" i="15"/>
  <c r="CC180" i="15"/>
  <c r="CJ180" i="15"/>
  <c r="CD215" i="15"/>
  <c r="CJ215" i="15"/>
  <c r="CC215" i="15"/>
  <c r="CE215" i="15"/>
  <c r="CP211" i="15"/>
  <c r="CQ211" i="15"/>
  <c r="CQ196" i="15"/>
  <c r="CP196" i="15"/>
  <c r="CE171" i="15"/>
  <c r="CC171" i="15"/>
  <c r="CD171" i="15"/>
  <c r="CJ171" i="15"/>
  <c r="CQ89" i="15"/>
  <c r="CP89" i="15"/>
  <c r="CP201" i="15"/>
  <c r="CQ201" i="15"/>
  <c r="CJ155" i="15"/>
  <c r="CM155" i="15"/>
  <c r="CF155" i="15"/>
  <c r="CE155" i="15"/>
  <c r="CC155" i="15"/>
  <c r="CQ111" i="15"/>
  <c r="CP111" i="15"/>
  <c r="CM99" i="15"/>
  <c r="CE99" i="15"/>
  <c r="CF99" i="15"/>
  <c r="CC99" i="15"/>
  <c r="CJ99" i="15"/>
  <c r="CQ192" i="15"/>
  <c r="CP192" i="15"/>
  <c r="CE133" i="15"/>
  <c r="CD133" i="15"/>
  <c r="CC133" i="15"/>
  <c r="CJ133" i="15"/>
  <c r="CJ156" i="15"/>
  <c r="CE156" i="15"/>
  <c r="CC156" i="15"/>
  <c r="CF156" i="15"/>
  <c r="CM156" i="15"/>
  <c r="CE146" i="15"/>
  <c r="CJ146" i="15"/>
  <c r="CD146" i="15"/>
  <c r="CC146" i="15"/>
  <c r="CP220" i="15"/>
  <c r="CQ220" i="15"/>
  <c r="CP152" i="15"/>
  <c r="CQ152" i="15"/>
  <c r="CE91" i="15"/>
  <c r="CF91" i="15"/>
  <c r="CM91" i="15"/>
  <c r="CJ91" i="15"/>
  <c r="CC91" i="15"/>
  <c r="CC103" i="15"/>
  <c r="CM103" i="15"/>
  <c r="CE103" i="15"/>
  <c r="CF103" i="15"/>
  <c r="CJ103" i="15"/>
  <c r="CB27" i="15"/>
  <c r="CE163" i="15"/>
  <c r="CC163" i="15"/>
  <c r="CD163" i="15"/>
  <c r="CJ163" i="15"/>
  <c r="CP154" i="15"/>
  <c r="CQ154" i="15"/>
  <c r="CE149" i="15"/>
  <c r="CJ149" i="15"/>
  <c r="CC149" i="15"/>
  <c r="CD149" i="15"/>
  <c r="CJ158" i="15"/>
  <c r="CM158" i="15"/>
  <c r="CC158" i="15"/>
  <c r="CE158" i="15"/>
  <c r="CF158" i="15"/>
  <c r="CP185" i="15"/>
  <c r="CQ185" i="15"/>
  <c r="CQ142" i="15"/>
  <c r="CP142" i="15"/>
  <c r="CP194" i="15"/>
  <c r="CQ194" i="15"/>
  <c r="CD175" i="15"/>
  <c r="CE175" i="15"/>
  <c r="CC175" i="15"/>
  <c r="CJ175" i="15"/>
  <c r="CQ143" i="15"/>
  <c r="CP143" i="15"/>
  <c r="CE162" i="15"/>
  <c r="CJ162" i="15"/>
  <c r="CC162" i="15"/>
  <c r="CD162" i="15"/>
  <c r="CQ160" i="15"/>
  <c r="CP160" i="15"/>
  <c r="CQ199" i="15"/>
  <c r="CP199" i="15"/>
  <c r="CP207" i="15"/>
  <c r="CQ207" i="15"/>
  <c r="CJ195" i="15"/>
  <c r="CE195" i="15"/>
  <c r="CC195" i="15"/>
  <c r="CD195" i="15"/>
  <c r="CE132" i="15"/>
  <c r="CC132" i="15"/>
  <c r="CD132" i="15"/>
  <c r="CJ132" i="15"/>
  <c r="CF90" i="15"/>
  <c r="CM90" i="15"/>
  <c r="CJ90" i="15"/>
  <c r="CC90" i="15"/>
  <c r="CE90" i="15"/>
  <c r="CQ155" i="15"/>
  <c r="CP155" i="15"/>
  <c r="CQ172" i="15"/>
  <c r="CP172" i="15"/>
  <c r="CC203" i="15"/>
  <c r="CE203" i="15"/>
  <c r="CJ203" i="15"/>
  <c r="CD203" i="15"/>
  <c r="CP213" i="15"/>
  <c r="CQ213" i="15"/>
  <c r="CD220" i="15"/>
  <c r="CC220" i="15"/>
  <c r="CE220" i="15"/>
  <c r="CJ220" i="15"/>
  <c r="CE178" i="15"/>
  <c r="CJ178" i="15"/>
  <c r="CD178" i="15"/>
  <c r="CC178" i="15"/>
  <c r="CD177" i="15"/>
  <c r="CE177" i="15"/>
  <c r="CJ177" i="15"/>
  <c r="CC177" i="15"/>
  <c r="CP176" i="15"/>
  <c r="CQ176" i="15"/>
  <c r="CQ198" i="15"/>
  <c r="CP198" i="15"/>
  <c r="CJ168" i="15"/>
  <c r="CC105" i="15"/>
  <c r="CJ105" i="15"/>
  <c r="CE105" i="15"/>
  <c r="CD105" i="15"/>
  <c r="CC186" i="15"/>
  <c r="CJ186" i="15"/>
  <c r="CF186" i="15"/>
  <c r="CE186" i="15"/>
  <c r="CM186" i="15"/>
  <c r="CC139" i="15"/>
  <c r="CE139" i="15"/>
  <c r="CJ139" i="15"/>
  <c r="CF127" i="15"/>
  <c r="CC127" i="15"/>
  <c r="CJ127" i="15"/>
  <c r="CM127" i="15"/>
  <c r="CE127" i="15"/>
  <c r="CQ158" i="15"/>
  <c r="CP158" i="15"/>
  <c r="CP108" i="15"/>
  <c r="CQ108" i="15"/>
  <c r="CP175" i="15"/>
  <c r="CQ175" i="15"/>
  <c r="CP104" i="15"/>
  <c r="CQ104" i="15"/>
  <c r="CE218" i="15"/>
  <c r="CC218" i="15"/>
  <c r="CD218" i="15"/>
  <c r="CJ205" i="15"/>
  <c r="CJ187" i="15"/>
  <c r="CE187" i="15"/>
  <c r="CF187" i="15"/>
  <c r="CM187" i="15"/>
  <c r="CC187" i="15"/>
  <c r="CE196" i="15"/>
  <c r="CC196" i="15"/>
  <c r="CD196" i="15"/>
  <c r="CJ196" i="15"/>
  <c r="CC117" i="15"/>
  <c r="CJ117" i="15"/>
  <c r="CE117" i="15"/>
  <c r="CP181" i="15"/>
  <c r="CQ181" i="15"/>
  <c r="CF111" i="15"/>
  <c r="CM111" i="15"/>
  <c r="CE111" i="15"/>
  <c r="CJ111" i="15"/>
  <c r="CC111" i="15"/>
  <c r="CJ152" i="15"/>
  <c r="CE152" i="15"/>
  <c r="CC152" i="15"/>
  <c r="CF152" i="15"/>
  <c r="CM152" i="15"/>
  <c r="BN221" i="15"/>
  <c r="CE182" i="15"/>
  <c r="CC182" i="15"/>
  <c r="CD182" i="15"/>
  <c r="CJ182" i="15"/>
  <c r="CE120" i="15"/>
  <c r="CJ120" i="15"/>
  <c r="CC120" i="15"/>
  <c r="CQ137" i="15"/>
  <c r="CP137" i="15"/>
  <c r="CC154" i="15"/>
  <c r="CM154" i="15"/>
  <c r="CJ154" i="15"/>
  <c r="CE154" i="15"/>
  <c r="CF154" i="15"/>
  <c r="CP204" i="15"/>
  <c r="CQ204" i="15"/>
  <c r="CC114" i="15"/>
  <c r="CE114" i="15"/>
  <c r="CF114" i="15"/>
  <c r="CJ114" i="15"/>
  <c r="CM114" i="15"/>
  <c r="CJ214" i="15"/>
  <c r="CP180" i="15"/>
  <c r="CQ180" i="15"/>
  <c r="CE160" i="15"/>
  <c r="CJ160" i="15"/>
  <c r="CC160" i="15"/>
  <c r="CD160" i="15"/>
  <c r="CJ211" i="15"/>
  <c r="CC199" i="15"/>
  <c r="CE199" i="15"/>
  <c r="CJ199" i="15"/>
  <c r="CD199" i="15"/>
  <c r="CJ122" i="15"/>
  <c r="CC122" i="15"/>
  <c r="CE122" i="15"/>
  <c r="CC181" i="15"/>
  <c r="CD181" i="15"/>
  <c r="CE181" i="15"/>
  <c r="CJ181" i="15"/>
  <c r="CP97" i="15"/>
  <c r="CQ97" i="15"/>
  <c r="CC124" i="15"/>
  <c r="CM124" i="15"/>
  <c r="CJ124" i="15"/>
  <c r="CF124" i="15"/>
  <c r="CE124" i="15"/>
  <c r="CQ134" i="15"/>
  <c r="CP134" i="15"/>
  <c r="CP209" i="15"/>
  <c r="CQ209" i="15"/>
  <c r="CP178" i="15"/>
  <c r="CQ178" i="15"/>
  <c r="CP174" i="15"/>
  <c r="CQ174" i="15"/>
  <c r="CP189" i="15"/>
  <c r="CQ189" i="15"/>
  <c r="CE168" i="15"/>
  <c r="CC168" i="15"/>
  <c r="CD168" i="15"/>
  <c r="CM126" i="15"/>
  <c r="CE126" i="15"/>
  <c r="CF126" i="15"/>
  <c r="CJ126" i="15"/>
  <c r="CC126" i="15"/>
  <c r="CJ106" i="15"/>
  <c r="CE106" i="15"/>
  <c r="CC106" i="15"/>
  <c r="CD106" i="15"/>
  <c r="CQ150" i="15"/>
  <c r="CP150" i="15"/>
  <c r="CP95" i="15"/>
  <c r="CQ95" i="15"/>
  <c r="CP145" i="15"/>
  <c r="CQ145" i="15"/>
  <c r="CP109" i="15"/>
  <c r="CQ109" i="15"/>
  <c r="CC123" i="15"/>
  <c r="CE123" i="15"/>
  <c r="CJ123" i="15"/>
  <c r="CP205" i="15"/>
  <c r="CQ205" i="15"/>
  <c r="CQ125" i="15"/>
  <c r="CP125" i="15"/>
  <c r="CP94" i="15"/>
  <c r="CQ94" i="15"/>
  <c r="CC113" i="15"/>
  <c r="CJ113" i="15"/>
  <c r="CM113" i="15"/>
  <c r="CF113" i="15"/>
  <c r="CE113" i="15"/>
  <c r="CE202" i="15"/>
  <c r="CJ202" i="15"/>
  <c r="CC202" i="15"/>
  <c r="CD202" i="15"/>
  <c r="CQ131" i="15"/>
  <c r="CP131" i="15"/>
  <c r="CJ98" i="15"/>
  <c r="CC98" i="15"/>
  <c r="CF98" i="15"/>
  <c r="CM98" i="15"/>
  <c r="CE98" i="15"/>
  <c r="CW221" i="15"/>
  <c r="N2621" i="12" s="1"/>
  <c r="N2622" i="12" s="1"/>
  <c r="D2620" i="12" s="1"/>
  <c r="CQ146" i="15"/>
  <c r="CP146" i="15"/>
  <c r="CP193" i="15"/>
  <c r="CQ193" i="15"/>
  <c r="CP110" i="15"/>
  <c r="CQ110" i="15"/>
  <c r="CE93" i="15"/>
  <c r="CC93" i="15"/>
  <c r="CM93" i="15"/>
  <c r="CJ93" i="15"/>
  <c r="CF93" i="15"/>
  <c r="CQ91" i="15"/>
  <c r="CP91" i="15"/>
  <c r="CQ182" i="15"/>
  <c r="CP182" i="15"/>
  <c r="CE95" i="15"/>
  <c r="CC95" i="15"/>
  <c r="CD95" i="15"/>
  <c r="CJ95" i="15"/>
  <c r="CP100" i="15"/>
  <c r="CQ100" i="15"/>
  <c r="CJ109" i="15"/>
  <c r="CE109" i="15"/>
  <c r="CC109" i="15"/>
  <c r="CD109" i="15"/>
  <c r="CJ129" i="15"/>
  <c r="CC129" i="15"/>
  <c r="CE129" i="15"/>
  <c r="CF129" i="15"/>
  <c r="CM129" i="15"/>
  <c r="CQ212" i="15"/>
  <c r="CP212" i="15"/>
  <c r="CP206" i="15"/>
  <c r="CQ206" i="15"/>
  <c r="CP132" i="15"/>
  <c r="CQ132" i="15"/>
  <c r="CE201" i="15"/>
  <c r="CJ201" i="15"/>
  <c r="CC201" i="15"/>
  <c r="CD201" i="15"/>
  <c r="CQ135" i="15"/>
  <c r="CP135" i="15"/>
  <c r="CE173" i="15"/>
  <c r="CC173" i="15"/>
  <c r="CJ173" i="15"/>
  <c r="CD173" i="15"/>
  <c r="CE97" i="15"/>
  <c r="CC97" i="15"/>
  <c r="CD97" i="15"/>
  <c r="CJ97" i="15"/>
  <c r="CE170" i="15"/>
  <c r="CF170" i="15"/>
  <c r="CJ170" i="15"/>
  <c r="CM170" i="15"/>
  <c r="CC170" i="15"/>
  <c r="CC102" i="15"/>
  <c r="CJ102" i="15"/>
  <c r="CM102" i="15"/>
  <c r="CE102" i="15"/>
  <c r="CF102" i="15"/>
  <c r="CP197" i="15"/>
  <c r="CQ197" i="15"/>
  <c r="CJ92" i="15"/>
  <c r="CF92" i="15"/>
  <c r="CM92" i="15"/>
  <c r="CE92" i="15"/>
  <c r="CC92" i="15"/>
  <c r="CP126" i="15"/>
  <c r="CQ126" i="15"/>
  <c r="CP128" i="15"/>
  <c r="CQ128" i="15"/>
  <c r="CP149" i="15"/>
  <c r="CQ149" i="15"/>
  <c r="CC145" i="15"/>
  <c r="CD145" i="15"/>
  <c r="CJ145" i="15"/>
  <c r="CE145" i="15"/>
  <c r="CQ148" i="15"/>
  <c r="CP148" i="15"/>
  <c r="CP162" i="15"/>
  <c r="CQ162" i="15"/>
  <c r="CE153" i="15"/>
  <c r="CM153" i="15"/>
  <c r="CF153" i="15"/>
  <c r="CC153" i="15"/>
  <c r="CJ153" i="15"/>
  <c r="CP215" i="15"/>
  <c r="CQ215" i="15"/>
  <c r="CJ212" i="15"/>
  <c r="CE212" i="15"/>
  <c r="CC212" i="15"/>
  <c r="CD212" i="15"/>
  <c r="CD206" i="15"/>
  <c r="CC206" i="15"/>
  <c r="CJ206" i="15"/>
  <c r="CE206" i="15"/>
  <c r="CE200" i="15"/>
  <c r="CC200" i="15"/>
  <c r="CJ200" i="15"/>
  <c r="CD200" i="15"/>
  <c r="CJ208" i="15"/>
  <c r="CE208" i="15"/>
  <c r="CC208" i="15"/>
  <c r="CD208" i="15"/>
  <c r="CP90" i="15"/>
  <c r="CQ90" i="15"/>
  <c r="CE190" i="15"/>
  <c r="CJ190" i="15"/>
  <c r="CC190" i="15"/>
  <c r="CD190" i="15"/>
  <c r="BO221" i="15"/>
  <c r="CJ94" i="15"/>
  <c r="CE94" i="15"/>
  <c r="CC94" i="15"/>
  <c r="CD94" i="15"/>
  <c r="CP98" i="15"/>
  <c r="CQ98" i="15"/>
  <c r="CQ124" i="15"/>
  <c r="CP124" i="15"/>
  <c r="CP156" i="15"/>
  <c r="CQ156" i="15"/>
  <c r="CC197" i="15"/>
  <c r="CE197" i="15"/>
  <c r="CD197" i="15"/>
  <c r="CJ197" i="15"/>
  <c r="CP216" i="15"/>
  <c r="CQ216" i="15"/>
  <c r="CE174" i="15"/>
  <c r="CC174" i="15"/>
  <c r="CD174" i="15"/>
  <c r="CJ174" i="15"/>
  <c r="BL221" i="15"/>
  <c r="CM198" i="15"/>
  <c r="CE198" i="15"/>
  <c r="CF198" i="15"/>
  <c r="CJ198" i="15"/>
  <c r="CC198" i="15"/>
  <c r="CQ103" i="15"/>
  <c r="CP103" i="15"/>
  <c r="CP106" i="15"/>
  <c r="CQ106" i="15"/>
  <c r="CM188" i="15"/>
  <c r="CC188" i="15"/>
  <c r="CF188" i="15"/>
  <c r="CJ188" i="15"/>
  <c r="CE188" i="15"/>
  <c r="CP188" i="15"/>
  <c r="CQ188" i="15"/>
  <c r="CD150" i="15"/>
  <c r="CJ150" i="15"/>
  <c r="CC150" i="15"/>
  <c r="CE150" i="15"/>
  <c r="CP210" i="15"/>
  <c r="CQ210" i="15"/>
  <c r="CQ127" i="15"/>
  <c r="CP127" i="15"/>
  <c r="CJ183" i="15"/>
  <c r="CE183" i="15"/>
  <c r="CD183" i="15"/>
  <c r="CC183" i="15"/>
  <c r="CJ100" i="15"/>
  <c r="CM100" i="15"/>
  <c r="CE100" i="15"/>
  <c r="CC100" i="15"/>
  <c r="CF100" i="15"/>
  <c r="CQ219" i="15"/>
  <c r="CP219" i="15"/>
  <c r="CD143" i="15"/>
  <c r="CE143" i="15"/>
  <c r="CC143" i="15"/>
  <c r="CJ143" i="15"/>
  <c r="CJ104" i="15"/>
  <c r="CC104" i="15"/>
  <c r="CF104" i="15"/>
  <c r="CE104" i="15"/>
  <c r="CM104" i="15"/>
  <c r="CQ107" i="15"/>
  <c r="CP107" i="15"/>
  <c r="CP151" i="15"/>
  <c r="CQ151" i="15"/>
  <c r="CE191" i="15"/>
  <c r="CJ191" i="15"/>
  <c r="CD191" i="15"/>
  <c r="CC191" i="15"/>
  <c r="CS221" i="15"/>
  <c r="O2013" i="12" s="1"/>
  <c r="CE89" i="15"/>
  <c r="CJ89" i="15"/>
  <c r="CC89" i="15"/>
  <c r="CD89" i="15"/>
  <c r="CQ202" i="15"/>
  <c r="CP202" i="15"/>
  <c r="CC131" i="15"/>
  <c r="CJ131" i="15"/>
  <c r="CM131" i="15"/>
  <c r="CF131" i="15"/>
  <c r="CE131" i="15"/>
  <c r="CJ217" i="15"/>
  <c r="CE217" i="15"/>
  <c r="CC217" i="15"/>
  <c r="CD217" i="15"/>
  <c r="CE192" i="15"/>
  <c r="CC192" i="15"/>
  <c r="CD192" i="15"/>
  <c r="CJ192" i="15"/>
  <c r="CC193" i="15"/>
  <c r="CD193" i="15"/>
  <c r="CJ193" i="15"/>
  <c r="CE193" i="15"/>
  <c r="CC216" i="15"/>
  <c r="CD216" i="15"/>
  <c r="CJ216" i="15"/>
  <c r="CE216" i="15"/>
  <c r="CM110" i="15"/>
  <c r="CE110" i="15"/>
  <c r="CJ110" i="15"/>
  <c r="CF110" i="15"/>
  <c r="CC110" i="15"/>
  <c r="BK221" i="15"/>
  <c r="CQ167" i="15"/>
  <c r="CP167" i="15"/>
  <c r="O1473" i="12"/>
  <c r="D1428" i="12" s="1"/>
  <c r="BZ24" i="15"/>
  <c r="CD24" i="15" s="1"/>
  <c r="CB24" i="15"/>
  <c r="BY27" i="15"/>
  <c r="CO27" i="15" s="1"/>
  <c r="CQ27" i="15" s="1"/>
  <c r="CS18" i="15"/>
  <c r="CD27" i="15"/>
  <c r="CU18" i="15"/>
  <c r="BM69" i="15"/>
  <c r="AT22" i="15"/>
  <c r="AU22" i="15" s="1"/>
  <c r="CZ69" i="15"/>
  <c r="O561" i="12" s="1"/>
  <c r="O566" i="12" s="1"/>
  <c r="O568" i="12" s="1"/>
  <c r="AQ8" i="13"/>
  <c r="BA27" i="13"/>
  <c r="AK8" i="13"/>
  <c r="AR27" i="13"/>
  <c r="W27" i="13" s="1"/>
  <c r="DP29" i="13"/>
  <c r="AN8" i="13"/>
  <c r="Z20" i="13"/>
  <c r="BF18" i="13"/>
  <c r="DK29" i="13"/>
  <c r="N676" i="12" s="1"/>
  <c r="N678" i="12" s="1"/>
  <c r="D675" i="12" s="1"/>
  <c r="AJ17" i="13"/>
  <c r="AK26" i="13"/>
  <c r="Z26" i="13"/>
  <c r="AO8" i="13"/>
  <c r="AN35" i="13"/>
  <c r="BF27" i="13"/>
  <c r="AP20" i="13"/>
  <c r="AM8" i="13"/>
  <c r="BA9" i="13"/>
  <c r="N24" i="13"/>
  <c r="AA24" i="13"/>
  <c r="AO20" i="13"/>
  <c r="CE14" i="13"/>
  <c r="CD14" i="13"/>
  <c r="CC14" i="13"/>
  <c r="Z8" i="13"/>
  <c r="AJ6" i="13"/>
  <c r="BU12" i="13"/>
  <c r="BV12" i="13"/>
  <c r="AQ17" i="13"/>
  <c r="AK21" i="13"/>
  <c r="AQ6" i="13"/>
  <c r="AO24" i="13"/>
  <c r="BM11" i="13"/>
  <c r="AO14" i="13"/>
  <c r="BF14" i="13" s="1"/>
  <c r="AM17" i="13"/>
  <c r="AJ12" i="13"/>
  <c r="AL19" i="13"/>
  <c r="DJ29" i="13"/>
  <c r="N672" i="12" s="1"/>
  <c r="N674" i="12" s="1"/>
  <c r="D671" i="12" s="1"/>
  <c r="AQ26" i="13"/>
  <c r="AI29" i="13"/>
  <c r="DL29" i="13"/>
  <c r="N680" i="12" s="1"/>
  <c r="N682" i="12" s="1"/>
  <c r="D679" i="12" s="1"/>
  <c r="DN29" i="13"/>
  <c r="N688" i="12" s="1"/>
  <c r="N690" i="12" s="1"/>
  <c r="D687" i="12" s="1"/>
  <c r="DO29" i="13"/>
  <c r="N692" i="12" s="1"/>
  <c r="N694" i="12" s="1"/>
  <c r="D691" i="12" s="1"/>
  <c r="AM19" i="13"/>
  <c r="AN20" i="13"/>
  <c r="AL20" i="13"/>
  <c r="AM20" i="13"/>
  <c r="AU29" i="13"/>
  <c r="O702" i="12" s="1"/>
  <c r="O704" i="12" s="1"/>
  <c r="D701" i="12" s="1"/>
  <c r="AQ20" i="13"/>
  <c r="Z12" i="13"/>
  <c r="AM12" i="13"/>
  <c r="BA18" i="13"/>
  <c r="AF29" i="13"/>
  <c r="DM29" i="13"/>
  <c r="N684" i="12" s="1"/>
  <c r="N686" i="12" s="1"/>
  <c r="D683" i="12" s="1"/>
  <c r="V9" i="13"/>
  <c r="Z28" i="13"/>
  <c r="AQ28" i="13"/>
  <c r="AM28" i="13"/>
  <c r="BF28" i="13" s="1"/>
  <c r="AP28" i="13"/>
  <c r="AN28" i="13"/>
  <c r="BC28" i="13"/>
  <c r="BE28" i="13" s="1"/>
  <c r="BM28" i="13"/>
  <c r="Z19" i="13"/>
  <c r="AQ12" i="13"/>
  <c r="AO12" i="13"/>
  <c r="AJ20" i="13"/>
  <c r="AG29" i="13"/>
  <c r="AK28" i="13"/>
  <c r="AV29" i="13"/>
  <c r="O706" i="12" s="1"/>
  <c r="O708" i="12" s="1"/>
  <c r="O771" i="12" s="1"/>
  <c r="O779" i="12" s="1"/>
  <c r="M779" i="12" s="1"/>
  <c r="AO6" i="13"/>
  <c r="BA6" i="13" s="1"/>
  <c r="AL28" i="13"/>
  <c r="AL12" i="13"/>
  <c r="BD29" i="13"/>
  <c r="AA19" i="13"/>
  <c r="AH29" i="13"/>
  <c r="AL17" i="13"/>
  <c r="G1579" i="12"/>
  <c r="O1579" i="12" s="1"/>
  <c r="O1533" i="12"/>
  <c r="G1585" i="12"/>
  <c r="O1585" i="12" s="1"/>
  <c r="O1539" i="12"/>
  <c r="I1168" i="12"/>
  <c r="D1226" i="12"/>
  <c r="G1591" i="12"/>
  <c r="O1591" i="12" s="1"/>
  <c r="O1545" i="12"/>
  <c r="O1107" i="12"/>
  <c r="D1099" i="12" s="1"/>
  <c r="K1188" i="12"/>
  <c r="D1180" i="12" s="1"/>
  <c r="G1573" i="12"/>
  <c r="O1573" i="12" s="1"/>
  <c r="O1527" i="12"/>
  <c r="G1603" i="12"/>
  <c r="O1603" i="12" s="1"/>
  <c r="O1557" i="12"/>
  <c r="AU8" i="15"/>
  <c r="BD8" i="15"/>
  <c r="AU23" i="15"/>
  <c r="BD23" i="15"/>
  <c r="BG27" i="13"/>
  <c r="BH27" i="13" s="1"/>
  <c r="V25" i="15"/>
  <c r="AN25" i="15"/>
  <c r="AM25" i="15"/>
  <c r="AV25" i="15"/>
  <c r="AT25" i="15"/>
  <c r="AM21" i="15"/>
  <c r="J21" i="15"/>
  <c r="BS21" i="15"/>
  <c r="BR21" i="15"/>
  <c r="BQ21" i="15"/>
  <c r="AN21" i="15"/>
  <c r="V21" i="15"/>
  <c r="AL21" i="15"/>
  <c r="CA31" i="13"/>
  <c r="BV19" i="15"/>
  <c r="BE26" i="13"/>
  <c r="CI17" i="13"/>
  <c r="CI31" i="13" s="1"/>
  <c r="CH17" i="13"/>
  <c r="CH31" i="13" s="1"/>
  <c r="E827" i="12" s="1"/>
  <c r="CG17" i="13"/>
  <c r="CG31" i="13" s="1"/>
  <c r="CE22" i="15"/>
  <c r="BO69" i="15"/>
  <c r="AL25" i="13"/>
  <c r="V11" i="15"/>
  <c r="AE11" i="15" s="1"/>
  <c r="BR11" i="15"/>
  <c r="BQ11" i="15"/>
  <c r="AN11" i="15"/>
  <c r="AM11" i="15"/>
  <c r="AL11" i="15"/>
  <c r="J11" i="15"/>
  <c r="BS11" i="15"/>
  <c r="AV11" i="15"/>
  <c r="AT11" i="15"/>
  <c r="AK7" i="13"/>
  <c r="CX29" i="13"/>
  <c r="V7" i="15"/>
  <c r="AN7" i="15"/>
  <c r="AM7" i="15"/>
  <c r="AO15" i="13"/>
  <c r="AR23" i="15"/>
  <c r="AK26" i="15"/>
  <c r="AI26" i="15"/>
  <c r="BE26" i="15"/>
  <c r="M26" i="15"/>
  <c r="O26" i="15" s="1"/>
  <c r="Z26" i="15"/>
  <c r="O1138" i="12"/>
  <c r="E1158" i="12"/>
  <c r="I1158" i="12" s="1"/>
  <c r="N1158" i="12" s="1"/>
  <c r="AN14" i="15"/>
  <c r="V14" i="15"/>
  <c r="AM14" i="15"/>
  <c r="AL14" i="15"/>
  <c r="J14" i="15"/>
  <c r="AV14" i="15"/>
  <c r="BE9" i="13"/>
  <c r="CU25" i="15"/>
  <c r="AD11" i="13"/>
  <c r="AN11" i="13"/>
  <c r="AC11" i="13"/>
  <c r="AE11" i="13"/>
  <c r="AP21" i="13"/>
  <c r="BE23" i="13"/>
  <c r="BQ9" i="15"/>
  <c r="BZ9" i="15"/>
  <c r="AS29" i="13"/>
  <c r="O697" i="12" s="1"/>
  <c r="O699" i="12" s="1"/>
  <c r="D696" i="12" s="1"/>
  <c r="N23" i="13"/>
  <c r="AA23" i="13"/>
  <c r="AM25" i="13"/>
  <c r="BY15" i="15"/>
  <c r="CO15" i="15" s="1"/>
  <c r="CB15" i="15"/>
  <c r="BZ15" i="15"/>
  <c r="V9" i="15"/>
  <c r="AE9" i="15" s="1"/>
  <c r="AN9" i="15"/>
  <c r="AM9" i="15"/>
  <c r="Z15" i="13"/>
  <c r="CE23" i="15"/>
  <c r="CC14" i="15"/>
  <c r="BV15" i="15"/>
  <c r="BI69" i="15"/>
  <c r="AN25" i="13"/>
  <c r="AO25" i="13"/>
  <c r="AT9" i="15"/>
  <c r="CE21" i="15"/>
  <c r="CC22" i="15"/>
  <c r="CD22" i="15"/>
  <c r="AL7" i="13"/>
  <c r="CZ29" i="13"/>
  <c r="AR21" i="15"/>
  <c r="BF19" i="13"/>
  <c r="AP15" i="13"/>
  <c r="V23" i="15"/>
  <c r="AN23" i="15"/>
  <c r="AM23" i="15"/>
  <c r="E1160" i="12"/>
  <c r="BB29" i="13"/>
  <c r="O711" i="12" s="1"/>
  <c r="O712" i="12" s="1"/>
  <c r="D709" i="12" s="1"/>
  <c r="CU23" i="15"/>
  <c r="CS16" i="15"/>
  <c r="AR19" i="13"/>
  <c r="W19" i="13" s="1"/>
  <c r="CV15" i="15"/>
  <c r="AJ10" i="13"/>
  <c r="BW9" i="13"/>
  <c r="BU9" i="13"/>
  <c r="BV9" i="13"/>
  <c r="N6" i="13"/>
  <c r="AA6" i="13"/>
  <c r="K485" i="12"/>
  <c r="M1057" i="12"/>
  <c r="N1057" i="12" s="1"/>
  <c r="K469" i="12"/>
  <c r="O469" i="12" s="1"/>
  <c r="N452" i="12"/>
  <c r="O452" i="12"/>
  <c r="O468" i="12" s="1"/>
  <c r="O759" i="12"/>
  <c r="O761" i="12" s="1"/>
  <c r="D758" i="12" s="1"/>
  <c r="O766" i="12"/>
  <c r="CW19" i="15"/>
  <c r="AU20" i="15"/>
  <c r="BD20" i="15"/>
  <c r="BG18" i="13"/>
  <c r="BI18" i="13" s="1"/>
  <c r="M22" i="15"/>
  <c r="O22" i="15" s="1"/>
  <c r="AK22" i="15"/>
  <c r="AI22" i="15"/>
  <c r="BE22" i="15"/>
  <c r="Z22" i="15"/>
  <c r="AN7" i="13"/>
  <c r="CW29" i="13"/>
  <c r="AQ15" i="13"/>
  <c r="AL15" i="13"/>
  <c r="G1606" i="12"/>
  <c r="O1606" i="12" s="1"/>
  <c r="O1560" i="12"/>
  <c r="BC17" i="13"/>
  <c r="BE17" i="13" s="1"/>
  <c r="BM17" i="13"/>
  <c r="AQ21" i="13"/>
  <c r="CM21" i="13"/>
  <c r="CK21" i="13"/>
  <c r="CL21" i="13"/>
  <c r="AV9" i="15"/>
  <c r="CE26" i="15"/>
  <c r="AV21" i="15"/>
  <c r="AU15" i="15"/>
  <c r="BD15" i="15"/>
  <c r="CJ24" i="15"/>
  <c r="CE24" i="15"/>
  <c r="CV29" i="13"/>
  <c r="AK15" i="13"/>
  <c r="M21" i="15"/>
  <c r="O21" i="15" s="1"/>
  <c r="AK21" i="15"/>
  <c r="AI21" i="15"/>
  <c r="BE21" i="15"/>
  <c r="Z21" i="15"/>
  <c r="AN19" i="15"/>
  <c r="AM19" i="15"/>
  <c r="V19" i="15"/>
  <c r="BA11" i="13"/>
  <c r="AC7" i="13"/>
  <c r="AP25" i="13"/>
  <c r="AT19" i="15"/>
  <c r="AM7" i="13"/>
  <c r="CY29" i="13"/>
  <c r="CE14" i="15"/>
  <c r="AO23" i="13"/>
  <c r="BA23" i="13" s="1"/>
  <c r="AR14" i="13"/>
  <c r="W14" i="13" s="1"/>
  <c r="CS19" i="15"/>
  <c r="CV25" i="15"/>
  <c r="BW7" i="13"/>
  <c r="BV7" i="13"/>
  <c r="BU7" i="13"/>
  <c r="AD9" i="13"/>
  <c r="AC9" i="13"/>
  <c r="AE9" i="13"/>
  <c r="DG29" i="13"/>
  <c r="N660" i="12" s="1"/>
  <c r="N662" i="12" s="1"/>
  <c r="D659" i="12" s="1"/>
  <c r="AT21" i="15"/>
  <c r="BN69" i="15"/>
  <c r="BY23" i="15"/>
  <c r="CO23" i="15" s="1"/>
  <c r="BR23" i="15"/>
  <c r="CB23" i="15"/>
  <c r="BZ23" i="15"/>
  <c r="AD7" i="13"/>
  <c r="AU27" i="15"/>
  <c r="BD27" i="15"/>
  <c r="BJ69" i="15"/>
  <c r="BC25" i="13"/>
  <c r="BE25" i="13" s="1"/>
  <c r="BM25" i="13"/>
  <c r="V18" i="15"/>
  <c r="AM18" i="15"/>
  <c r="AL18" i="15"/>
  <c r="J18" i="15"/>
  <c r="AN18" i="15"/>
  <c r="AV18" i="15"/>
  <c r="AT18" i="15"/>
  <c r="CQ24" i="15"/>
  <c r="CP24" i="15"/>
  <c r="AL26" i="15"/>
  <c r="J26" i="15"/>
  <c r="V26" i="15"/>
  <c r="BS26" i="15"/>
  <c r="BR26" i="15"/>
  <c r="BQ26" i="15"/>
  <c r="AN26" i="15"/>
  <c r="AM26" i="15"/>
  <c r="BD6" i="15"/>
  <c r="E330" i="12"/>
  <c r="D326" i="12" s="1"/>
  <c r="E333" i="12"/>
  <c r="AM15" i="13"/>
  <c r="BE11" i="15"/>
  <c r="AK11" i="15"/>
  <c r="AI11" i="15"/>
  <c r="M11" i="15"/>
  <c r="O11" i="15" s="1"/>
  <c r="Z11" i="15"/>
  <c r="AM20" i="15"/>
  <c r="J20" i="15"/>
  <c r="AN20" i="15"/>
  <c r="V20" i="15"/>
  <c r="AL20" i="15"/>
  <c r="AV20" i="15"/>
  <c r="CV23" i="15"/>
  <c r="CE19" i="15"/>
  <c r="AN27" i="15"/>
  <c r="J27" i="15"/>
  <c r="AM27" i="15"/>
  <c r="AL27" i="15"/>
  <c r="V27" i="15"/>
  <c r="BQ27" i="15"/>
  <c r="N9" i="13"/>
  <c r="AA9" i="13"/>
  <c r="I29" i="13"/>
  <c r="AA21" i="13"/>
  <c r="N21" i="13"/>
  <c r="BE7" i="13"/>
  <c r="N7" i="13"/>
  <c r="AA7" i="13"/>
  <c r="BR31" i="13"/>
  <c r="CM25" i="13"/>
  <c r="CL25" i="13"/>
  <c r="CK25" i="13"/>
  <c r="AN15" i="15"/>
  <c r="AM15" i="15"/>
  <c r="V15" i="15"/>
  <c r="BA14" i="13"/>
  <c r="AX14" i="13"/>
  <c r="BM7" i="13"/>
  <c r="AU14" i="15"/>
  <c r="BD14" i="15"/>
  <c r="CW25" i="15"/>
  <c r="N11" i="13"/>
  <c r="AA11" i="13"/>
  <c r="CW15" i="15"/>
  <c r="N10" i="13"/>
  <c r="AA10" i="13"/>
  <c r="DI29" i="13"/>
  <c r="N668" i="12" s="1"/>
  <c r="N670" i="12" s="1"/>
  <c r="D667" i="12" s="1"/>
  <c r="AT7" i="15"/>
  <c r="BG22" i="13"/>
  <c r="BI22" i="13" s="1"/>
  <c r="BP31" i="13"/>
  <c r="AL26" i="13"/>
  <c r="AN26" i="13"/>
  <c r="AP26" i="13"/>
  <c r="BK69" i="15"/>
  <c r="AJ25" i="13"/>
  <c r="AQ25" i="13"/>
  <c r="BS31" i="13"/>
  <c r="O1335" i="12"/>
  <c r="D1328" i="12" s="1"/>
  <c r="O1640" i="12"/>
  <c r="K1640" i="12" s="1"/>
  <c r="AJ7" i="13"/>
  <c r="AM22" i="15"/>
  <c r="J22" i="15"/>
  <c r="BS22" i="15"/>
  <c r="BR22" i="15"/>
  <c r="BQ22" i="15"/>
  <c r="V22" i="15"/>
  <c r="AN22" i="15"/>
  <c r="AL22" i="15"/>
  <c r="AN15" i="13"/>
  <c r="N25" i="13"/>
  <c r="AA25" i="13"/>
  <c r="AR15" i="15"/>
  <c r="N15" i="13"/>
  <c r="AA15" i="13"/>
  <c r="BR16" i="15"/>
  <c r="CB16" i="15"/>
  <c r="BY16" i="15"/>
  <c r="CO16" i="15" s="1"/>
  <c r="BZ16" i="15"/>
  <c r="CW23" i="15"/>
  <c r="AJ8" i="13"/>
  <c r="BV16" i="15"/>
  <c r="V16" i="15"/>
  <c r="AM16" i="15"/>
  <c r="AN16" i="15"/>
  <c r="Z11" i="13"/>
  <c r="AV16" i="15"/>
  <c r="AT29" i="13"/>
  <c r="BE6" i="13"/>
  <c r="N8" i="13"/>
  <c r="AA8" i="13"/>
  <c r="CE25" i="15"/>
  <c r="BW6" i="13"/>
  <c r="BU6" i="13"/>
  <c r="BV6" i="13"/>
  <c r="BH22" i="13"/>
  <c r="AO7" i="13"/>
  <c r="V8" i="15"/>
  <c r="AN8" i="15"/>
  <c r="AM8" i="15"/>
  <c r="BQ7" i="15"/>
  <c r="AP7" i="13"/>
  <c r="AP29" i="13" s="1"/>
  <c r="O634" i="12" s="1"/>
  <c r="O636" i="12" s="1"/>
  <c r="D632" i="12" s="1"/>
  <c r="AL24" i="15"/>
  <c r="J24" i="15"/>
  <c r="V24" i="15"/>
  <c r="AN24" i="15"/>
  <c r="AM24" i="15"/>
  <c r="AV24" i="15"/>
  <c r="AT24" i="15"/>
  <c r="CE27" i="15"/>
  <c r="AX19" i="13"/>
  <c r="BC15" i="13"/>
  <c r="BM15" i="13"/>
  <c r="O1111" i="12"/>
  <c r="O1113" i="12" s="1"/>
  <c r="D1108" i="12" s="1"/>
  <c r="M1117" i="12"/>
  <c r="N1117" i="12" s="1"/>
  <c r="N1119" i="12" s="1"/>
  <c r="D1114" i="12" s="1"/>
  <c r="M1140" i="12"/>
  <c r="M1160" i="12" s="1"/>
  <c r="CE15" i="13"/>
  <c r="CE31" i="13" s="1"/>
  <c r="CD15" i="13"/>
  <c r="CD31" i="13" s="1"/>
  <c r="E819" i="12" s="1"/>
  <c r="CC15" i="13"/>
  <c r="CE20" i="15"/>
  <c r="AR18" i="13"/>
  <c r="W18" i="13" s="1"/>
  <c r="AT26" i="15"/>
  <c r="M1143" i="12"/>
  <c r="M1162" i="12"/>
  <c r="N1162" i="12" s="1"/>
  <c r="O1142" i="12"/>
  <c r="CS15" i="15"/>
  <c r="AZ29" i="13"/>
  <c r="AX21" i="13"/>
  <c r="AV23" i="15"/>
  <c r="BV11" i="13"/>
  <c r="BU11" i="13"/>
  <c r="BW11" i="13"/>
  <c r="BY25" i="15"/>
  <c r="CO25" i="15" s="1"/>
  <c r="AL25" i="15"/>
  <c r="CB25" i="15"/>
  <c r="BZ25" i="15"/>
  <c r="N1613" i="12"/>
  <c r="O1614" i="12" s="1"/>
  <c r="O1616" i="12" s="1"/>
  <c r="D1221" i="12"/>
  <c r="BO31" i="13"/>
  <c r="M1146" i="12"/>
  <c r="M1128" i="12"/>
  <c r="O1128" i="12" s="1"/>
  <c r="O1127" i="12"/>
  <c r="CX69" i="15"/>
  <c r="E1048" i="12" s="1"/>
  <c r="E1050" i="12" s="1"/>
  <c r="D1047" i="12" s="1"/>
  <c r="CY69" i="15"/>
  <c r="N392" i="12" s="1"/>
  <c r="AL8" i="15"/>
  <c r="CM26" i="13"/>
  <c r="CK26" i="13"/>
  <c r="CK31" i="13" s="1"/>
  <c r="CL26" i="13"/>
  <c r="BL69" i="15"/>
  <c r="AR25" i="15"/>
  <c r="AM26" i="13"/>
  <c r="AV26" i="15"/>
  <c r="AX6" i="13"/>
  <c r="AX9" i="13"/>
  <c r="BM9" i="13"/>
  <c r="BF9" i="13"/>
  <c r="BV25" i="15"/>
  <c r="AV15" i="15"/>
  <c r="M1124" i="12"/>
  <c r="O1124" i="12" s="1"/>
  <c r="O1123" i="12"/>
  <c r="BC21" i="13"/>
  <c r="BE21" i="13" s="1"/>
  <c r="BM21" i="13"/>
  <c r="BF21" i="13"/>
  <c r="BU10" i="13"/>
  <c r="BW10" i="13"/>
  <c r="BV10" i="13"/>
  <c r="BZ31" i="13"/>
  <c r="DH29" i="13"/>
  <c r="N664" i="12" s="1"/>
  <c r="N666" i="12" s="1"/>
  <c r="D663" i="12" s="1"/>
  <c r="AE6" i="13"/>
  <c r="AD6" i="13"/>
  <c r="AC6" i="13"/>
  <c r="AX18" i="13"/>
  <c r="AV8" i="15"/>
  <c r="N26" i="13"/>
  <c r="AA26" i="13"/>
  <c r="CT69" i="15"/>
  <c r="O1052" i="12" s="1"/>
  <c r="O1054" i="12" s="1"/>
  <c r="BY19" i="15"/>
  <c r="CO19" i="15" s="1"/>
  <c r="AL19" i="15"/>
  <c r="CB19" i="15"/>
  <c r="BZ19" i="15"/>
  <c r="AK25" i="13"/>
  <c r="Z7" i="13"/>
  <c r="AQ7" i="13"/>
  <c r="AQ29" i="13" s="1"/>
  <c r="AN31" i="16"/>
  <c r="AN33" i="16" s="1"/>
  <c r="BV23" i="15"/>
  <c r="AD8" i="13"/>
  <c r="AE8" i="13"/>
  <c r="AC8" i="13"/>
  <c r="BF6" i="13"/>
  <c r="AX22" i="13"/>
  <c r="CV19" i="15"/>
  <c r="BR18" i="15"/>
  <c r="CB18" i="15"/>
  <c r="BY18" i="15"/>
  <c r="CO18" i="15" s="1"/>
  <c r="BZ18" i="15"/>
  <c r="AU16" i="15"/>
  <c r="BD16" i="15"/>
  <c r="N17" i="13"/>
  <c r="AA17" i="13"/>
  <c r="BY31" i="13"/>
  <c r="BY33" i="13" s="1"/>
  <c r="V29" i="13"/>
  <c r="AV19" i="15"/>
  <c r="N465" i="12" l="1"/>
  <c r="D449" i="12" s="1"/>
  <c r="L342" i="4"/>
  <c r="L47" i="4"/>
  <c r="H219" i="4"/>
  <c r="H201" i="4"/>
  <c r="H211" i="4"/>
  <c r="H217" i="4"/>
  <c r="H213" i="4"/>
  <c r="H221" i="4"/>
  <c r="H275" i="4"/>
  <c r="H237" i="4"/>
  <c r="H107" i="4"/>
  <c r="H30" i="4"/>
  <c r="H225" i="4"/>
  <c r="H6" i="4"/>
  <c r="H197" i="4"/>
  <c r="H238" i="4"/>
  <c r="H325" i="4"/>
  <c r="H3" i="4"/>
  <c r="H314" i="4"/>
  <c r="H306" i="4"/>
  <c r="H40" i="4"/>
  <c r="H2" i="4"/>
  <c r="H285" i="4"/>
  <c r="H195" i="4"/>
  <c r="H155" i="4"/>
  <c r="H249" i="4"/>
  <c r="H241" i="4"/>
  <c r="H203" i="4"/>
  <c r="H207" i="4"/>
  <c r="H47" i="4"/>
  <c r="H123" i="4"/>
  <c r="H239" i="4"/>
  <c r="H342" i="4"/>
  <c r="L360" i="4"/>
  <c r="L78" i="4"/>
  <c r="L77" i="4"/>
  <c r="L341" i="4"/>
  <c r="L361" i="4"/>
  <c r="CD8" i="15"/>
  <c r="CC8" i="15"/>
  <c r="CQ64" i="15"/>
  <c r="CP64" i="15"/>
  <c r="W46" i="15"/>
  <c r="AB46" i="15"/>
  <c r="M61" i="15"/>
  <c r="O61" i="15" s="1"/>
  <c r="BE61" i="15"/>
  <c r="AI61" i="15"/>
  <c r="Z61" i="15"/>
  <c r="AG61" i="15" s="1"/>
  <c r="AK61" i="15"/>
  <c r="AA61" i="15"/>
  <c r="BS55" i="15"/>
  <c r="AG58" i="15"/>
  <c r="BG49" i="15"/>
  <c r="BF49" i="15"/>
  <c r="BR28" i="15"/>
  <c r="AU67" i="15"/>
  <c r="BD67" i="15"/>
  <c r="AW56" i="15"/>
  <c r="AU36" i="15"/>
  <c r="AW36" i="15" s="1"/>
  <c r="BD36" i="15"/>
  <c r="CQ56" i="15"/>
  <c r="CP56" i="15"/>
  <c r="BF35" i="15"/>
  <c r="BG35" i="15"/>
  <c r="CQ28" i="15"/>
  <c r="CP28" i="15"/>
  <c r="BE64" i="15"/>
  <c r="Z64" i="15"/>
  <c r="AA64" i="15"/>
  <c r="M64" i="15"/>
  <c r="O64" i="15" s="1"/>
  <c r="AI64" i="15"/>
  <c r="AK64" i="15"/>
  <c r="AU33" i="15"/>
  <c r="BD33" i="15"/>
  <c r="AX33" i="15"/>
  <c r="CD36" i="15"/>
  <c r="CC36" i="15"/>
  <c r="CG36" i="15" s="1"/>
  <c r="CH36" i="15" s="1"/>
  <c r="CG59" i="15"/>
  <c r="CH59" i="15" s="1"/>
  <c r="AU30" i="15"/>
  <c r="BD30" i="15"/>
  <c r="AX30" i="15"/>
  <c r="CP61" i="15"/>
  <c r="CQ61" i="15"/>
  <c r="AL55" i="15"/>
  <c r="AW55" i="15" s="1"/>
  <c r="AF32" i="15"/>
  <c r="Z63" i="15"/>
  <c r="AA63" i="15" s="1"/>
  <c r="AK63" i="15"/>
  <c r="AI63" i="15"/>
  <c r="BE63" i="15"/>
  <c r="M63" i="15"/>
  <c r="O63" i="15" s="1"/>
  <c r="J62" i="15"/>
  <c r="BD32" i="15"/>
  <c r="AU32" i="15"/>
  <c r="M10" i="15"/>
  <c r="O10" i="15" s="1"/>
  <c r="AK10" i="15"/>
  <c r="AI10" i="15"/>
  <c r="BE10" i="15"/>
  <c r="CG50" i="15"/>
  <c r="CH50" i="15" s="1"/>
  <c r="CD67" i="15"/>
  <c r="CC67" i="15"/>
  <c r="CG67" i="15" s="1"/>
  <c r="CH67" i="15" s="1"/>
  <c r="AP59" i="15"/>
  <c r="CO66" i="15"/>
  <c r="CM66" i="15"/>
  <c r="CE66" i="15"/>
  <c r="CF66" i="15"/>
  <c r="BV66" i="15"/>
  <c r="AG50" i="15"/>
  <c r="AP54" i="15"/>
  <c r="BG46" i="15"/>
  <c r="BF46" i="15"/>
  <c r="BQ64" i="15"/>
  <c r="CC31" i="15"/>
  <c r="CD31" i="15"/>
  <c r="CQ53" i="15"/>
  <c r="CP53" i="15"/>
  <c r="AF38" i="15"/>
  <c r="AG32" i="15"/>
  <c r="AS32" i="15" s="1"/>
  <c r="CC63" i="15"/>
  <c r="CG63" i="15" s="1"/>
  <c r="CH63" i="15" s="1"/>
  <c r="CD63" i="15"/>
  <c r="AH61" i="15"/>
  <c r="CQ29" i="15"/>
  <c r="CP29" i="15"/>
  <c r="M56" i="15"/>
  <c r="O56" i="15" s="1"/>
  <c r="AK56" i="15"/>
  <c r="AI56" i="15"/>
  <c r="BE56" i="15"/>
  <c r="Z56" i="15"/>
  <c r="AA56" i="15" s="1"/>
  <c r="W35" i="15"/>
  <c r="AJ35" i="15" s="1"/>
  <c r="X35" i="15" s="1"/>
  <c r="AB35" i="15"/>
  <c r="BS28" i="15"/>
  <c r="M28" i="15"/>
  <c r="O28" i="15" s="1"/>
  <c r="W28" i="15" s="1"/>
  <c r="AI28" i="15"/>
  <c r="Z28" i="15"/>
  <c r="AH28" i="15" s="1"/>
  <c r="AK28" i="15"/>
  <c r="BE28" i="15"/>
  <c r="AA28" i="15"/>
  <c r="CQ67" i="15"/>
  <c r="CP67" i="15"/>
  <c r="W50" i="15"/>
  <c r="AB50" i="15"/>
  <c r="AI65" i="15"/>
  <c r="BE65" i="15"/>
  <c r="M65" i="15"/>
  <c r="O65" i="15" s="1"/>
  <c r="AK65" i="15"/>
  <c r="Z65" i="15"/>
  <c r="AG65" i="15" s="1"/>
  <c r="CQ36" i="15"/>
  <c r="CP36" i="15"/>
  <c r="AI55" i="15"/>
  <c r="AK55" i="15"/>
  <c r="BE55" i="15"/>
  <c r="M55" i="15"/>
  <c r="O55" i="15" s="1"/>
  <c r="AE43" i="15"/>
  <c r="CA43" i="15"/>
  <c r="BZ43" i="15"/>
  <c r="AD43" i="15"/>
  <c r="AC43" i="15"/>
  <c r="Z43" i="15"/>
  <c r="CQ31" i="15"/>
  <c r="CP31" i="15"/>
  <c r="CP51" i="15"/>
  <c r="CQ51" i="15"/>
  <c r="BQ55" i="15"/>
  <c r="CQ62" i="15"/>
  <c r="CP62" i="15"/>
  <c r="AU51" i="15"/>
  <c r="AW51" i="15" s="1"/>
  <c r="BD51" i="15"/>
  <c r="CJ53" i="15"/>
  <c r="AG46" i="15"/>
  <c r="AH32" i="15"/>
  <c r="CC42" i="15"/>
  <c r="CD42" i="15"/>
  <c r="AL63" i="15"/>
  <c r="BR45" i="15"/>
  <c r="BD37" i="15"/>
  <c r="AU37" i="15"/>
  <c r="AX54" i="15"/>
  <c r="CD48" i="15"/>
  <c r="CC48" i="15"/>
  <c r="AH65" i="15"/>
  <c r="BG50" i="15"/>
  <c r="BF50" i="15"/>
  <c r="AP30" i="15"/>
  <c r="CD57" i="15"/>
  <c r="CC57" i="15"/>
  <c r="AW13" i="15"/>
  <c r="AI36" i="15"/>
  <c r="BE36" i="15"/>
  <c r="AK36" i="15"/>
  <c r="Z36" i="15"/>
  <c r="AG36" i="15" s="1"/>
  <c r="M36" i="15"/>
  <c r="O36" i="15" s="1"/>
  <c r="AW50" i="15"/>
  <c r="Y55" i="15"/>
  <c r="BQ53" i="15"/>
  <c r="BE53" i="15"/>
  <c r="AI53" i="15"/>
  <c r="AK53" i="15"/>
  <c r="M53" i="15"/>
  <c r="O53" i="15" s="1"/>
  <c r="Z53" i="15"/>
  <c r="AA53" i="15" s="1"/>
  <c r="BD66" i="15"/>
  <c r="CG58" i="15"/>
  <c r="CH58" i="15" s="1"/>
  <c r="BR55" i="15"/>
  <c r="AG38" i="15"/>
  <c r="BY6" i="15"/>
  <c r="CB6" i="15"/>
  <c r="I6" i="15"/>
  <c r="BR57" i="15"/>
  <c r="AF46" i="15"/>
  <c r="J63" i="15"/>
  <c r="AL61" i="15"/>
  <c r="BQ45" i="15"/>
  <c r="W43" i="15"/>
  <c r="AB43" i="15"/>
  <c r="BS29" i="15"/>
  <c r="Z29" i="15"/>
  <c r="M29" i="15"/>
  <c r="O29" i="15" s="1"/>
  <c r="AI29" i="15"/>
  <c r="BE29" i="15"/>
  <c r="AK29" i="15"/>
  <c r="AA29" i="15"/>
  <c r="AW39" i="15"/>
  <c r="CQ48" i="15"/>
  <c r="CP48" i="15"/>
  <c r="AL65" i="15"/>
  <c r="CD11" i="15"/>
  <c r="CC11" i="15"/>
  <c r="L268" i="4"/>
  <c r="AL67" i="15"/>
  <c r="AW67" i="15" s="1"/>
  <c r="M67" i="15"/>
  <c r="O67" i="15" s="1"/>
  <c r="Z67" i="15"/>
  <c r="AA67" i="15" s="1"/>
  <c r="BE67" i="15"/>
  <c r="AK67" i="15"/>
  <c r="AI67" i="15"/>
  <c r="AF50" i="15"/>
  <c r="BD65" i="15"/>
  <c r="AU65" i="15"/>
  <c r="CP57" i="15"/>
  <c r="CQ57" i="15"/>
  <c r="CQ65" i="15"/>
  <c r="CP65" i="15"/>
  <c r="AS33" i="15"/>
  <c r="BQ67" i="15"/>
  <c r="AU49" i="15"/>
  <c r="AW49" i="15" s="1"/>
  <c r="BD49" i="15"/>
  <c r="AF64" i="15"/>
  <c r="AI31" i="15"/>
  <c r="AK31" i="15"/>
  <c r="M31" i="15"/>
  <c r="O31" i="15" s="1"/>
  <c r="BE31" i="15"/>
  <c r="Z31" i="15"/>
  <c r="BE51" i="15"/>
  <c r="AA51" i="15"/>
  <c r="Z51" i="15"/>
  <c r="AH51" i="15" s="1"/>
  <c r="M51" i="15"/>
  <c r="O51" i="15" s="1"/>
  <c r="AK51" i="15"/>
  <c r="AI51" i="15"/>
  <c r="AJ30" i="15"/>
  <c r="X30" i="15" s="1"/>
  <c r="CD53" i="15"/>
  <c r="CC53" i="15"/>
  <c r="BG68" i="15"/>
  <c r="BF68" i="15"/>
  <c r="Z62" i="15"/>
  <c r="AF62" i="15" s="1"/>
  <c r="AI62" i="15"/>
  <c r="AK62" i="15"/>
  <c r="BE62" i="15"/>
  <c r="M62" i="15"/>
  <c r="O62" i="15" s="1"/>
  <c r="AL57" i="15"/>
  <c r="AW57" i="15" s="1"/>
  <c r="AH46" i="15"/>
  <c r="CP42" i="15"/>
  <c r="CQ42" i="15"/>
  <c r="AW28" i="15"/>
  <c r="J61" i="15"/>
  <c r="AL45" i="15"/>
  <c r="J36" i="15"/>
  <c r="BG43" i="15"/>
  <c r="BF43" i="15"/>
  <c r="CC29" i="15"/>
  <c r="CD29" i="15"/>
  <c r="AF53" i="15"/>
  <c r="CH39" i="15"/>
  <c r="M48" i="15"/>
  <c r="O48" i="15" s="1"/>
  <c r="AI48" i="15"/>
  <c r="Z48" i="15"/>
  <c r="BE48" i="15"/>
  <c r="AK48" i="15"/>
  <c r="AA48" i="15"/>
  <c r="J65" i="15"/>
  <c r="AE8" i="15"/>
  <c r="CO11" i="15"/>
  <c r="CM11" i="15"/>
  <c r="CF11" i="15"/>
  <c r="CE11" i="15"/>
  <c r="CD65" i="15"/>
  <c r="CC65" i="15"/>
  <c r="W58" i="15"/>
  <c r="AB58" i="15"/>
  <c r="BR67" i="15"/>
  <c r="CQ13" i="15"/>
  <c r="CP13" i="15"/>
  <c r="BR64" i="15"/>
  <c r="BG30" i="15"/>
  <c r="BF30" i="15"/>
  <c r="CQ45" i="15"/>
  <c r="CP45" i="15"/>
  <c r="AA66" i="15"/>
  <c r="CC62" i="15"/>
  <c r="CD62" i="15"/>
  <c r="AH38" i="15"/>
  <c r="AK42" i="15"/>
  <c r="M42" i="15"/>
  <c r="O42" i="15" s="1"/>
  <c r="BE42" i="15"/>
  <c r="Z42" i="15"/>
  <c r="AI42" i="15"/>
  <c r="AA42" i="15"/>
  <c r="AP47" i="15"/>
  <c r="BQ62" i="15"/>
  <c r="AG63" i="15"/>
  <c r="BQ61" i="15"/>
  <c r="BS45" i="15"/>
  <c r="AG37" i="15"/>
  <c r="CQ40" i="15"/>
  <c r="CP40" i="15"/>
  <c r="W41" i="15"/>
  <c r="AB41" i="15"/>
  <c r="J53" i="15"/>
  <c r="BQ65" i="15"/>
  <c r="AP33" i="15"/>
  <c r="W39" i="15"/>
  <c r="AB39" i="15"/>
  <c r="M57" i="15"/>
  <c r="O57" i="15" s="1"/>
  <c r="AI57" i="15"/>
  <c r="Z57" i="15"/>
  <c r="AA57" i="15" s="1"/>
  <c r="BE57" i="15"/>
  <c r="AK57" i="15"/>
  <c r="BD41" i="15"/>
  <c r="AU41" i="15"/>
  <c r="AW41" i="15" s="1"/>
  <c r="CJ28" i="15"/>
  <c r="BS67" i="15"/>
  <c r="CG48" i="15"/>
  <c r="CH48" i="15" s="1"/>
  <c r="BS64" i="15"/>
  <c r="CD44" i="15"/>
  <c r="CC44" i="15"/>
  <c r="CG57" i="15"/>
  <c r="CH57" i="15" s="1"/>
  <c r="BR51" i="15"/>
  <c r="BG66" i="15"/>
  <c r="BF66" i="15"/>
  <c r="J57" i="15"/>
  <c r="AW32" i="15"/>
  <c r="AH49" i="15"/>
  <c r="AF61" i="15"/>
  <c r="AS61" i="15" s="1"/>
  <c r="AF37" i="15"/>
  <c r="BS36" i="15"/>
  <c r="CC40" i="15"/>
  <c r="CD40" i="15"/>
  <c r="AU45" i="15"/>
  <c r="BD45" i="15"/>
  <c r="BG41" i="15"/>
  <c r="BF41" i="15"/>
  <c r="CQ60" i="15"/>
  <c r="CP60" i="15"/>
  <c r="BS53" i="15"/>
  <c r="BS65" i="15"/>
  <c r="AU61" i="15"/>
  <c r="BD61" i="15"/>
  <c r="AX61" i="15"/>
  <c r="W38" i="15"/>
  <c r="AJ38" i="15" s="1"/>
  <c r="X38" i="15" s="1"/>
  <c r="AB38" i="15"/>
  <c r="AW59" i="15"/>
  <c r="AW31" i="15"/>
  <c r="AW54" i="15"/>
  <c r="AF67" i="15"/>
  <c r="AX67" i="15" s="1"/>
  <c r="AY67" i="15" s="1"/>
  <c r="AZ67" i="15" s="1"/>
  <c r="BB67" i="15" s="1"/>
  <c r="BS13" i="15"/>
  <c r="M13" i="15"/>
  <c r="O13" i="15" s="1"/>
  <c r="W13" i="15" s="1"/>
  <c r="AK13" i="15"/>
  <c r="AI13" i="15"/>
  <c r="BE13" i="15"/>
  <c r="Z13" i="15"/>
  <c r="CG62" i="15"/>
  <c r="CH62" i="15" s="1"/>
  <c r="AH64" i="15"/>
  <c r="CQ44" i="15"/>
  <c r="CP44" i="15"/>
  <c r="AW43" i="15"/>
  <c r="AI45" i="15"/>
  <c r="AK45" i="15"/>
  <c r="M45" i="15"/>
  <c r="O45" i="15" s="1"/>
  <c r="BE45" i="15"/>
  <c r="Z45" i="15"/>
  <c r="AF45" i="15" s="1"/>
  <c r="AA45" i="15"/>
  <c r="W68" i="15"/>
  <c r="AB68" i="15"/>
  <c r="CJ61" i="15"/>
  <c r="BQ57" i="15"/>
  <c r="AG49" i="15"/>
  <c r="AX49" i="15" s="1"/>
  <c r="AY49" i="15" s="1"/>
  <c r="AZ49" i="15" s="1"/>
  <c r="BB49" i="15" s="1"/>
  <c r="BG47" i="15"/>
  <c r="BF47" i="15"/>
  <c r="BR62" i="15"/>
  <c r="BQ63" i="15"/>
  <c r="BR61" i="15"/>
  <c r="AW63" i="15"/>
  <c r="CJ64" i="15"/>
  <c r="CG53" i="15"/>
  <c r="CH53" i="15" s="1"/>
  <c r="AL53" i="15"/>
  <c r="AW53" i="15" s="1"/>
  <c r="W33" i="15"/>
  <c r="AJ33" i="15" s="1"/>
  <c r="X33" i="15" s="1"/>
  <c r="AB33" i="15"/>
  <c r="CG47" i="15"/>
  <c r="CH47" i="15" s="1"/>
  <c r="BR65" i="15"/>
  <c r="CC66" i="15"/>
  <c r="CD66" i="15"/>
  <c r="W37" i="15"/>
  <c r="AJ37" i="15" s="1"/>
  <c r="X37" i="15" s="1"/>
  <c r="AB37" i="15"/>
  <c r="AH50" i="15"/>
  <c r="CG40" i="15"/>
  <c r="CH40" i="15" s="1"/>
  <c r="AW30" i="15"/>
  <c r="CC28" i="15"/>
  <c r="CG28" i="15" s="1"/>
  <c r="CH28" i="15" s="1"/>
  <c r="AA58" i="15"/>
  <c r="J67" i="15"/>
  <c r="CD13" i="15"/>
  <c r="CC13" i="15"/>
  <c r="W54" i="15"/>
  <c r="AJ54" i="15" s="1"/>
  <c r="X54" i="15" s="1"/>
  <c r="AB54" i="15"/>
  <c r="AL64" i="15"/>
  <c r="AW64" i="15" s="1"/>
  <c r="BF32" i="15"/>
  <c r="BG32" i="15"/>
  <c r="CD45" i="15"/>
  <c r="CC45" i="15"/>
  <c r="CG45" i="15" s="1"/>
  <c r="CH45" i="15" s="1"/>
  <c r="AU47" i="15"/>
  <c r="BD47" i="15"/>
  <c r="AX47" i="15"/>
  <c r="CQ52" i="15"/>
  <c r="CP52" i="15"/>
  <c r="AB59" i="15"/>
  <c r="W59" i="15"/>
  <c r="AJ59" i="15" s="1"/>
  <c r="X59" i="15" s="1"/>
  <c r="BS62" i="15"/>
  <c r="BR63" i="15"/>
  <c r="BS61" i="15"/>
  <c r="AW37" i="15"/>
  <c r="BQ36" i="15"/>
  <c r="Z40" i="15"/>
  <c r="AK40" i="15"/>
  <c r="AI40" i="15"/>
  <c r="BE40" i="15"/>
  <c r="M40" i="15"/>
  <c r="BD43" i="15"/>
  <c r="CJ65" i="15"/>
  <c r="AK60" i="15"/>
  <c r="AI60" i="15"/>
  <c r="BE60" i="15"/>
  <c r="M60" i="15"/>
  <c r="O60" i="15" s="1"/>
  <c r="Z60" i="15"/>
  <c r="AA60" i="15" s="1"/>
  <c r="AG53" i="15"/>
  <c r="BG33" i="15"/>
  <c r="BF33" i="15"/>
  <c r="AW40" i="15"/>
  <c r="AF66" i="15"/>
  <c r="AP66" i="15" s="1"/>
  <c r="CG29" i="15"/>
  <c r="CH29" i="15" s="1"/>
  <c r="CA10" i="15"/>
  <c r="BZ10" i="15"/>
  <c r="Z10" i="15"/>
  <c r="AE10" i="15"/>
  <c r="AC10" i="15"/>
  <c r="AD10" i="15"/>
  <c r="AU46" i="15"/>
  <c r="AW46" i="15" s="1"/>
  <c r="BD46" i="15"/>
  <c r="AX46" i="15"/>
  <c r="AW33" i="15"/>
  <c r="BF39" i="15"/>
  <c r="BG39" i="15"/>
  <c r="AX59" i="15"/>
  <c r="AY59" i="15" s="1"/>
  <c r="AZ59" i="15" s="1"/>
  <c r="BB59" i="15" s="1"/>
  <c r="CJ13" i="15"/>
  <c r="AF39" i="15"/>
  <c r="BG58" i="15"/>
  <c r="BF58" i="15"/>
  <c r="AH67" i="15"/>
  <c r="J64" i="15"/>
  <c r="Z44" i="15"/>
  <c r="BE44" i="15"/>
  <c r="AI44" i="15"/>
  <c r="AK44" i="15"/>
  <c r="M44" i="15"/>
  <c r="O44" i="15" s="1"/>
  <c r="AA44" i="15"/>
  <c r="W32" i="15"/>
  <c r="AJ32" i="15" s="1"/>
  <c r="X32" i="15" s="1"/>
  <c r="AB32" i="15"/>
  <c r="AU38" i="15"/>
  <c r="BD38" i="15"/>
  <c r="AX38" i="15"/>
  <c r="AF68" i="15"/>
  <c r="AF51" i="15"/>
  <c r="AG52" i="15"/>
  <c r="W66" i="15"/>
  <c r="AB66" i="15"/>
  <c r="AF58" i="15"/>
  <c r="AP58" i="15" s="1"/>
  <c r="AP35" i="15"/>
  <c r="AW38" i="15"/>
  <c r="AI52" i="15"/>
  <c r="AK52" i="15"/>
  <c r="Z52" i="15"/>
  <c r="BE52" i="15"/>
  <c r="M52" i="15"/>
  <c r="O52" i="15" s="1"/>
  <c r="BF59" i="15"/>
  <c r="BG59" i="15"/>
  <c r="AG28" i="15"/>
  <c r="AW48" i="15"/>
  <c r="AW47" i="15"/>
  <c r="AH62" i="15"/>
  <c r="AH63" i="15"/>
  <c r="AU35" i="15"/>
  <c r="AW35" i="15" s="1"/>
  <c r="BD35" i="15"/>
  <c r="AX35" i="15"/>
  <c r="BR36" i="15"/>
  <c r="AF41" i="15"/>
  <c r="CD60" i="15"/>
  <c r="CC60" i="15"/>
  <c r="AH53" i="15"/>
  <c r="AG66" i="15"/>
  <c r="CC9" i="15"/>
  <c r="CD9" i="15"/>
  <c r="BG38" i="15"/>
  <c r="BF38" i="15"/>
  <c r="CD64" i="15"/>
  <c r="CG64" i="15" s="1"/>
  <c r="CH64" i="15" s="1"/>
  <c r="CC64" i="15"/>
  <c r="BF37" i="15"/>
  <c r="BG37" i="15"/>
  <c r="AU44" i="15"/>
  <c r="AW44" i="15" s="1"/>
  <c r="BD44" i="15"/>
  <c r="AH39" i="15"/>
  <c r="AG67" i="15"/>
  <c r="AU62" i="15"/>
  <c r="BD62" i="15"/>
  <c r="BG54" i="15"/>
  <c r="BF54" i="15"/>
  <c r="AG64" i="15"/>
  <c r="BS51" i="15"/>
  <c r="CJ67" i="15"/>
  <c r="CD61" i="15"/>
  <c r="CC61" i="15"/>
  <c r="CG61" i="15" s="1"/>
  <c r="CH61" i="15" s="1"/>
  <c r="W49" i="15"/>
  <c r="AJ49" i="15" s="1"/>
  <c r="X49" i="15" s="1"/>
  <c r="AB49" i="15"/>
  <c r="CD52" i="15"/>
  <c r="CC52" i="15"/>
  <c r="AU60" i="15"/>
  <c r="AW60" i="15" s="1"/>
  <c r="BD60" i="15"/>
  <c r="AF28" i="15"/>
  <c r="AW52" i="15"/>
  <c r="CQ63" i="15"/>
  <c r="CP63" i="15"/>
  <c r="W47" i="15"/>
  <c r="AJ47" i="15" s="1"/>
  <c r="X47" i="15" s="1"/>
  <c r="AB47" i="15"/>
  <c r="AL62" i="15"/>
  <c r="AW62" i="15" s="1"/>
  <c r="BS63" i="15"/>
  <c r="CJ31" i="15"/>
  <c r="CD56" i="15"/>
  <c r="CC56" i="15"/>
  <c r="BR53" i="15"/>
  <c r="AS47" i="15"/>
  <c r="O1151" i="12"/>
  <c r="M1132" i="12"/>
  <c r="O1132" i="12" s="1"/>
  <c r="M1152" i="12"/>
  <c r="M1172" i="12" s="1"/>
  <c r="N1172" i="12" s="1"/>
  <c r="N1070" i="12"/>
  <c r="D1055" i="12" s="1"/>
  <c r="O482" i="12"/>
  <c r="D466" i="12" s="1"/>
  <c r="N1160" i="12"/>
  <c r="CJ14" i="15"/>
  <c r="CQ14" i="15"/>
  <c r="BV11" i="15"/>
  <c r="CA9" i="15"/>
  <c r="AD9" i="15"/>
  <c r="AD11" i="15"/>
  <c r="AC11" i="15"/>
  <c r="CC26" i="15"/>
  <c r="CG26" i="15" s="1"/>
  <c r="CH26" i="15" s="1"/>
  <c r="CR69" i="15"/>
  <c r="O539" i="12" s="1"/>
  <c r="O541" i="12" s="1"/>
  <c r="D537" i="12" s="1"/>
  <c r="AD8" i="15"/>
  <c r="CA8" i="15"/>
  <c r="W22" i="15"/>
  <c r="AB22" i="15"/>
  <c r="W11" i="15"/>
  <c r="AB11" i="15"/>
  <c r="M24" i="15"/>
  <c r="O24" i="15" s="1"/>
  <c r="BQ24" i="15"/>
  <c r="BE24" i="15"/>
  <c r="BG24" i="15" s="1"/>
  <c r="AI24" i="15"/>
  <c r="BS24" i="15"/>
  <c r="AK24" i="15"/>
  <c r="BR24" i="15"/>
  <c r="Z27" i="15"/>
  <c r="BR27" i="15"/>
  <c r="BS27" i="15"/>
  <c r="CD20" i="15"/>
  <c r="M27" i="15"/>
  <c r="O27" i="15" s="1"/>
  <c r="BE27" i="15"/>
  <c r="BF27" i="15" s="1"/>
  <c r="AI27" i="15"/>
  <c r="CQ20" i="15"/>
  <c r="CJ20" i="15"/>
  <c r="BQ20" i="15"/>
  <c r="BR20" i="15"/>
  <c r="Z20" i="15"/>
  <c r="AA20" i="15" s="1"/>
  <c r="BS20" i="15"/>
  <c r="BE20" i="15"/>
  <c r="BF20" i="15" s="1"/>
  <c r="AI20" i="15"/>
  <c r="M20" i="15"/>
  <c r="O20" i="15" s="1"/>
  <c r="J16" i="15"/>
  <c r="AL16" i="15"/>
  <c r="AW16" i="15" s="1"/>
  <c r="CJ26" i="15"/>
  <c r="CJ22" i="15"/>
  <c r="CD21" i="15"/>
  <c r="CG21" i="15" s="1"/>
  <c r="CH21" i="15" s="1"/>
  <c r="CP22" i="15"/>
  <c r="CQ26" i="15"/>
  <c r="CJ27" i="15"/>
  <c r="CJ21" i="15"/>
  <c r="CP21" i="15"/>
  <c r="BD7" i="15"/>
  <c r="AO69" i="15"/>
  <c r="O1013" i="12" s="1"/>
  <c r="BD22" i="15"/>
  <c r="CG157" i="15"/>
  <c r="CH157" i="15" s="1"/>
  <c r="AL9" i="15"/>
  <c r="CG140" i="15"/>
  <c r="CH140" i="15" s="1"/>
  <c r="J9" i="15"/>
  <c r="CG148" i="15"/>
  <c r="CH148" i="15" s="1"/>
  <c r="CP27" i="15"/>
  <c r="J8" i="15"/>
  <c r="CC24" i="15"/>
  <c r="CG24" i="15" s="1"/>
  <c r="CH24" i="15" s="1"/>
  <c r="CG151" i="15"/>
  <c r="CH151" i="15" s="1"/>
  <c r="CG27" i="15"/>
  <c r="CH27" i="15" s="1"/>
  <c r="CG118" i="15"/>
  <c r="CH118" i="15" s="1"/>
  <c r="CG172" i="15"/>
  <c r="CH172" i="15" s="1"/>
  <c r="J7" i="15"/>
  <c r="AL7" i="15"/>
  <c r="Y7" i="15"/>
  <c r="Z7" i="15" s="1"/>
  <c r="CG167" i="15"/>
  <c r="CH167" i="15" s="1"/>
  <c r="O563" i="12"/>
  <c r="D559" i="12" s="1"/>
  <c r="CG96" i="15"/>
  <c r="CH96" i="15" s="1"/>
  <c r="M14" i="15"/>
  <c r="O14" i="15" s="1"/>
  <c r="CJ15" i="15"/>
  <c r="CG175" i="15"/>
  <c r="CH175" i="15" s="1"/>
  <c r="AK14" i="15"/>
  <c r="BE14" i="15"/>
  <c r="BF14" i="15" s="1"/>
  <c r="AI14" i="15"/>
  <c r="BR14" i="15"/>
  <c r="CG166" i="15"/>
  <c r="CH166" i="15" s="1"/>
  <c r="BQ14" i="15"/>
  <c r="Z14" i="15"/>
  <c r="CG156" i="15"/>
  <c r="CH156" i="15" s="1"/>
  <c r="CG189" i="15"/>
  <c r="CH189" i="15" s="1"/>
  <c r="CG213" i="15"/>
  <c r="CH213" i="15" s="1"/>
  <c r="CG219" i="15"/>
  <c r="CH219" i="15" s="1"/>
  <c r="CG176" i="15"/>
  <c r="CH176" i="15" s="1"/>
  <c r="CG210" i="15"/>
  <c r="CH210" i="15" s="1"/>
  <c r="CG121" i="15"/>
  <c r="CH121" i="15" s="1"/>
  <c r="CG135" i="15"/>
  <c r="CH135" i="15" s="1"/>
  <c r="CG128" i="15"/>
  <c r="CH128" i="15" s="1"/>
  <c r="CG165" i="15"/>
  <c r="CH165" i="15" s="1"/>
  <c r="CG164" i="15"/>
  <c r="CH164" i="15" s="1"/>
  <c r="CG152" i="15"/>
  <c r="CH152" i="15" s="1"/>
  <c r="CG159" i="15"/>
  <c r="CH159" i="15" s="1"/>
  <c r="CG147" i="15"/>
  <c r="CH147" i="15" s="1"/>
  <c r="CG112" i="15"/>
  <c r="CH112" i="15" s="1"/>
  <c r="CG108" i="15"/>
  <c r="CH108" i="15" s="1"/>
  <c r="CG134" i="15"/>
  <c r="CH134" i="15" s="1"/>
  <c r="CG138" i="15"/>
  <c r="CH138" i="15" s="1"/>
  <c r="CG184" i="15"/>
  <c r="CH184" i="15" s="1"/>
  <c r="CG117" i="15"/>
  <c r="CH117" i="15" s="1"/>
  <c r="CG125" i="15"/>
  <c r="CH125" i="15" s="1"/>
  <c r="CG113" i="15"/>
  <c r="CH113" i="15" s="1"/>
  <c r="CG101" i="15"/>
  <c r="CH101" i="15" s="1"/>
  <c r="CG162" i="15"/>
  <c r="CH162" i="15" s="1"/>
  <c r="CG174" i="15"/>
  <c r="CH174" i="15" s="1"/>
  <c r="CG181" i="15"/>
  <c r="CH181" i="15" s="1"/>
  <c r="CG179" i="15"/>
  <c r="CH179" i="15" s="1"/>
  <c r="CG173" i="15"/>
  <c r="CH173" i="15" s="1"/>
  <c r="CG124" i="15"/>
  <c r="CH124" i="15" s="1"/>
  <c r="CG146" i="15"/>
  <c r="CH146" i="15" s="1"/>
  <c r="CG142" i="15"/>
  <c r="CH142" i="15" s="1"/>
  <c r="CG119" i="15"/>
  <c r="CH119" i="15" s="1"/>
  <c r="CG129" i="15"/>
  <c r="CH129" i="15" s="1"/>
  <c r="CG139" i="15"/>
  <c r="CH139" i="15" s="1"/>
  <c r="CG99" i="15"/>
  <c r="CH99" i="15" s="1"/>
  <c r="CG204" i="15"/>
  <c r="CH204" i="15" s="1"/>
  <c r="CG97" i="15"/>
  <c r="CH97" i="15" s="1"/>
  <c r="CG168" i="15"/>
  <c r="CH168" i="15" s="1"/>
  <c r="CG206" i="15"/>
  <c r="CH206" i="15" s="1"/>
  <c r="CG143" i="15"/>
  <c r="CH143" i="15" s="1"/>
  <c r="CG193" i="15"/>
  <c r="CH193" i="15" s="1"/>
  <c r="CG208" i="15"/>
  <c r="CH208" i="15" s="1"/>
  <c r="CG109" i="15"/>
  <c r="CH109" i="15" s="1"/>
  <c r="CG187" i="15"/>
  <c r="CH187" i="15" s="1"/>
  <c r="CG102" i="15"/>
  <c r="CH102" i="15" s="1"/>
  <c r="CG202" i="15"/>
  <c r="CH202" i="15" s="1"/>
  <c r="CG220" i="15"/>
  <c r="CH220" i="15" s="1"/>
  <c r="CG195" i="15"/>
  <c r="CH195" i="15" s="1"/>
  <c r="CG177" i="15"/>
  <c r="CH177" i="15" s="1"/>
  <c r="CG130" i="15"/>
  <c r="CH130" i="15" s="1"/>
  <c r="CG209" i="15"/>
  <c r="CH209" i="15" s="1"/>
  <c r="CG217" i="15"/>
  <c r="CH217" i="15" s="1"/>
  <c r="CG190" i="15"/>
  <c r="CH190" i="15" s="1"/>
  <c r="CG200" i="15"/>
  <c r="CH200" i="15" s="1"/>
  <c r="CG123" i="15"/>
  <c r="CH123" i="15" s="1"/>
  <c r="CG106" i="15"/>
  <c r="CH106" i="15" s="1"/>
  <c r="CG158" i="15"/>
  <c r="CH158" i="15" s="1"/>
  <c r="CG216" i="15"/>
  <c r="CH216" i="15" s="1"/>
  <c r="CG104" i="15"/>
  <c r="CH104" i="15" s="1"/>
  <c r="CG145" i="15"/>
  <c r="CH145" i="15" s="1"/>
  <c r="CG201" i="15"/>
  <c r="CH201" i="15" s="1"/>
  <c r="CG155" i="15"/>
  <c r="CH155" i="15" s="1"/>
  <c r="CG171" i="15"/>
  <c r="CH171" i="15" s="1"/>
  <c r="CG137" i="15"/>
  <c r="CH137" i="15" s="1"/>
  <c r="CG114" i="15"/>
  <c r="CH114" i="15" s="1"/>
  <c r="CG161" i="15"/>
  <c r="CH161" i="15" s="1"/>
  <c r="CG111" i="15"/>
  <c r="CH111" i="15" s="1"/>
  <c r="CG115" i="15"/>
  <c r="CH115" i="15" s="1"/>
  <c r="BR9" i="15"/>
  <c r="CG110" i="15"/>
  <c r="CH110" i="15" s="1"/>
  <c r="CG150" i="15"/>
  <c r="CH150" i="15" s="1"/>
  <c r="CG153" i="15"/>
  <c r="CH153" i="15" s="1"/>
  <c r="CG178" i="15"/>
  <c r="CH178" i="15" s="1"/>
  <c r="CG133" i="15"/>
  <c r="CH133" i="15" s="1"/>
  <c r="CG180" i="15"/>
  <c r="CH180" i="15" s="1"/>
  <c r="CG205" i="15"/>
  <c r="CH205" i="15" s="1"/>
  <c r="CG105" i="15"/>
  <c r="CH105" i="15" s="1"/>
  <c r="CG203" i="15"/>
  <c r="CH203" i="15" s="1"/>
  <c r="CG207" i="15"/>
  <c r="CH207" i="15" s="1"/>
  <c r="CG198" i="15"/>
  <c r="CH198" i="15" s="1"/>
  <c r="CG182" i="15"/>
  <c r="CH182" i="15" s="1"/>
  <c r="CG132" i="15"/>
  <c r="CH132" i="15" s="1"/>
  <c r="CG149" i="15"/>
  <c r="CH149" i="15" s="1"/>
  <c r="CG192" i="15"/>
  <c r="CH192" i="15" s="1"/>
  <c r="CG170" i="15"/>
  <c r="CH170" i="15" s="1"/>
  <c r="CG93" i="15"/>
  <c r="CH93" i="15" s="1"/>
  <c r="CG122" i="15"/>
  <c r="CH122" i="15" s="1"/>
  <c r="CG218" i="15"/>
  <c r="CH218" i="15" s="1"/>
  <c r="CG94" i="15"/>
  <c r="CH94" i="15" s="1"/>
  <c r="CG212" i="15"/>
  <c r="CH212" i="15" s="1"/>
  <c r="CG154" i="15"/>
  <c r="CH154" i="15" s="1"/>
  <c r="CG91" i="15"/>
  <c r="CH91" i="15" s="1"/>
  <c r="CG211" i="15"/>
  <c r="CH211" i="15" s="1"/>
  <c r="CG197" i="15"/>
  <c r="CH197" i="15" s="1"/>
  <c r="CG95" i="15"/>
  <c r="CH95" i="15" s="1"/>
  <c r="CG194" i="15"/>
  <c r="CH194" i="15" s="1"/>
  <c r="CG188" i="15"/>
  <c r="CH188" i="15" s="1"/>
  <c r="CG98" i="15"/>
  <c r="CH98" i="15" s="1"/>
  <c r="CG120" i="15"/>
  <c r="CH120" i="15" s="1"/>
  <c r="CG163" i="15"/>
  <c r="CH163" i="15" s="1"/>
  <c r="CG215" i="15"/>
  <c r="CH215" i="15" s="1"/>
  <c r="CG169" i="15"/>
  <c r="CH169" i="15" s="1"/>
  <c r="CG131" i="15"/>
  <c r="CH131" i="15" s="1"/>
  <c r="CG191" i="15"/>
  <c r="CH191" i="15" s="1"/>
  <c r="CG100" i="15"/>
  <c r="CH100" i="15" s="1"/>
  <c r="CG92" i="15"/>
  <c r="CH92" i="15" s="1"/>
  <c r="CG126" i="15"/>
  <c r="CH126" i="15" s="1"/>
  <c r="CG199" i="15"/>
  <c r="CH199" i="15" s="1"/>
  <c r="CG127" i="15"/>
  <c r="CH127" i="15" s="1"/>
  <c r="CG186" i="15"/>
  <c r="CH186" i="15" s="1"/>
  <c r="CG214" i="15"/>
  <c r="CH214" i="15" s="1"/>
  <c r="CE221" i="15"/>
  <c r="CF221" i="15"/>
  <c r="O2429" i="12" s="1"/>
  <c r="O2431" i="12" s="1"/>
  <c r="D2427" i="12" s="1"/>
  <c r="D2623" i="12"/>
  <c r="O2628" i="12"/>
  <c r="CG183" i="15"/>
  <c r="CH183" i="15" s="1"/>
  <c r="O2023" i="12"/>
  <c r="O2026" i="12" s="1"/>
  <c r="O2015" i="12"/>
  <c r="D2011" i="12" s="1"/>
  <c r="CG185" i="15"/>
  <c r="CH185" i="15" s="1"/>
  <c r="CG136" i="15"/>
  <c r="CH136" i="15" s="1"/>
  <c r="O2627" i="12"/>
  <c r="D2596" i="12"/>
  <c r="CJ221" i="15"/>
  <c r="CP221" i="15"/>
  <c r="N2483" i="12" s="1"/>
  <c r="N2485" i="12" s="1"/>
  <c r="D2481" i="12" s="1"/>
  <c r="CG90" i="15"/>
  <c r="CH90" i="15" s="1"/>
  <c r="CG160" i="15"/>
  <c r="CH160" i="15" s="1"/>
  <c r="CG196" i="15"/>
  <c r="CH196" i="15" s="1"/>
  <c r="CG107" i="15"/>
  <c r="CH107" i="15" s="1"/>
  <c r="CG89" i="15"/>
  <c r="CD221" i="15"/>
  <c r="CG103" i="15"/>
  <c r="CH103" i="15" s="1"/>
  <c r="AF24" i="15"/>
  <c r="CC221" i="15"/>
  <c r="CM221" i="15"/>
  <c r="O2547" i="12" s="1"/>
  <c r="K2548" i="12" s="1"/>
  <c r="K2549" i="12" s="1"/>
  <c r="D2545" i="12" s="1"/>
  <c r="CQ221" i="15"/>
  <c r="N2488" i="12" s="1"/>
  <c r="N2490" i="12" s="1"/>
  <c r="D2486" i="12" s="1"/>
  <c r="N1876" i="12"/>
  <c r="D1868" i="12"/>
  <c r="D705" i="12"/>
  <c r="O1611" i="12"/>
  <c r="O1620" i="12" s="1"/>
  <c r="O1622" i="12" s="1"/>
  <c r="O1624" i="12" s="1"/>
  <c r="CS69" i="15"/>
  <c r="O534" i="12" s="1"/>
  <c r="O536" i="12" s="1"/>
  <c r="D532" i="12" s="1"/>
  <c r="BQ23" i="15"/>
  <c r="BS16" i="15"/>
  <c r="BQ16" i="15"/>
  <c r="CW69" i="15"/>
  <c r="N1076" i="12" s="1"/>
  <c r="N1077" i="12" s="1"/>
  <c r="D1075" i="12" s="1"/>
  <c r="CU69" i="15"/>
  <c r="N1072" i="12" s="1"/>
  <c r="N1074" i="12" s="1"/>
  <c r="D1071" i="12" s="1"/>
  <c r="CV69" i="15"/>
  <c r="O1079" i="12" s="1"/>
  <c r="O1080" i="12" s="1"/>
  <c r="D1078" i="12" s="1"/>
  <c r="CJ18" i="15"/>
  <c r="AF21" i="15"/>
  <c r="AG22" i="15"/>
  <c r="AL23" i="15"/>
  <c r="AW23" i="15" s="1"/>
  <c r="AH26" i="15"/>
  <c r="BS25" i="15"/>
  <c r="AN69" i="15"/>
  <c r="AR69" i="15"/>
  <c r="O1007" i="12" s="1"/>
  <c r="O1008" i="12" s="1"/>
  <c r="D1005" i="12" s="1"/>
  <c r="AM69" i="15"/>
  <c r="O952" i="12" s="1"/>
  <c r="O954" i="12" s="1"/>
  <c r="O1030" i="12" s="1"/>
  <c r="O1038" i="12" s="1"/>
  <c r="M1038" i="12" s="1"/>
  <c r="AF11" i="15"/>
  <c r="BG14" i="13"/>
  <c r="BI14" i="13" s="1"/>
  <c r="BF26" i="13"/>
  <c r="AR8" i="13"/>
  <c r="AR9" i="13"/>
  <c r="W9" i="13" s="1"/>
  <c r="BI27" i="13"/>
  <c r="BA24" i="13"/>
  <c r="AR24" i="13"/>
  <c r="W24" i="13" s="1"/>
  <c r="CL31" i="13"/>
  <c r="E835" i="12" s="1"/>
  <c r="E831" i="12" s="1"/>
  <c r="K831" i="12" s="1"/>
  <c r="K833" i="12" s="1"/>
  <c r="D830" i="12" s="1"/>
  <c r="BA21" i="13"/>
  <c r="AX20" i="13"/>
  <c r="AM29" i="13"/>
  <c r="O619" i="12" s="1"/>
  <c r="O621" i="12" s="1"/>
  <c r="D617" i="12" s="1"/>
  <c r="AX24" i="13"/>
  <c r="AR12" i="13"/>
  <c r="W12" i="13" s="1"/>
  <c r="BF24" i="13"/>
  <c r="BG24" i="13" s="1"/>
  <c r="BH24" i="13" s="1"/>
  <c r="BF17" i="13"/>
  <c r="BC29" i="13"/>
  <c r="O715" i="12" s="1"/>
  <c r="O716" i="12" s="1"/>
  <c r="D713" i="12" s="1"/>
  <c r="BA28" i="13"/>
  <c r="BH18" i="13"/>
  <c r="AV69" i="15"/>
  <c r="O956" i="12" s="1"/>
  <c r="O958" i="12" s="1"/>
  <c r="O982" i="12" s="1"/>
  <c r="K982" i="12" s="1"/>
  <c r="AX12" i="13"/>
  <c r="BA19" i="13"/>
  <c r="AR6" i="13"/>
  <c r="W6" i="13" s="1"/>
  <c r="CC31" i="13"/>
  <c r="CM31" i="13"/>
  <c r="AH11" i="15"/>
  <c r="AN29" i="13"/>
  <c r="O624" i="12" s="1"/>
  <c r="O626" i="12" s="1"/>
  <c r="D622" i="12" s="1"/>
  <c r="BF12" i="13"/>
  <c r="BG12" i="13" s="1"/>
  <c r="BI12" i="13" s="1"/>
  <c r="AJ29" i="13"/>
  <c r="AK29" i="13"/>
  <c r="O609" i="12" s="1"/>
  <c r="O611" i="12" s="1"/>
  <c r="D607" i="12" s="1"/>
  <c r="AR17" i="13"/>
  <c r="BA12" i="13"/>
  <c r="BM29" i="13"/>
  <c r="O738" i="12" s="1"/>
  <c r="K739" i="12" s="1"/>
  <c r="K740" i="12" s="1"/>
  <c r="D737" i="12" s="1"/>
  <c r="W17" i="13"/>
  <c r="AR7" i="13"/>
  <c r="AA21" i="15"/>
  <c r="BA17" i="13"/>
  <c r="AX17" i="13"/>
  <c r="CG33" i="13"/>
  <c r="E790" i="12" s="1"/>
  <c r="E792" i="12" s="1"/>
  <c r="D789" i="12" s="1"/>
  <c r="AG21" i="15"/>
  <c r="BA26" i="13"/>
  <c r="AR10" i="13"/>
  <c r="W10" i="13" s="1"/>
  <c r="CG20" i="15"/>
  <c r="CH20" i="15" s="1"/>
  <c r="AX15" i="13"/>
  <c r="O770" i="12"/>
  <c r="O778" i="12" s="1"/>
  <c r="M778" i="12" s="1"/>
  <c r="AE29" i="13"/>
  <c r="O599" i="12" s="1"/>
  <c r="O601" i="12" s="1"/>
  <c r="D597" i="12" s="1"/>
  <c r="AO29" i="13"/>
  <c r="O629" i="12" s="1"/>
  <c r="O631" i="12" s="1"/>
  <c r="D627" i="12" s="1"/>
  <c r="BF25" i="13"/>
  <c r="AR21" i="13"/>
  <c r="W21" i="13" s="1"/>
  <c r="BF7" i="13"/>
  <c r="BI24" i="13"/>
  <c r="AX28" i="13"/>
  <c r="AR28" i="13"/>
  <c r="W28" i="13" s="1"/>
  <c r="AR26" i="13"/>
  <c r="AR20" i="13"/>
  <c r="W20" i="13" s="1"/>
  <c r="BA20" i="13"/>
  <c r="BF20" i="13"/>
  <c r="BG20" i="13" s="1"/>
  <c r="BH20" i="13" s="1"/>
  <c r="O1565" i="12"/>
  <c r="D1520" i="12" s="1"/>
  <c r="E815" i="12"/>
  <c r="K815" i="12" s="1"/>
  <c r="K817" i="12" s="1"/>
  <c r="D814" i="12" s="1"/>
  <c r="E821" i="12"/>
  <c r="D818" i="12" s="1"/>
  <c r="BG21" i="13"/>
  <c r="BH21" i="13" s="1"/>
  <c r="O604" i="12"/>
  <c r="O606" i="12" s="1"/>
  <c r="D602" i="12" s="1"/>
  <c r="BK18" i="13"/>
  <c r="BG25" i="13"/>
  <c r="BH25" i="13" s="1"/>
  <c r="BG17" i="13"/>
  <c r="BH17" i="13" s="1"/>
  <c r="E829" i="12"/>
  <c r="D826" i="12" s="1"/>
  <c r="E823" i="12"/>
  <c r="K823" i="12" s="1"/>
  <c r="K825" i="12" s="1"/>
  <c r="D822" i="12" s="1"/>
  <c r="BK22" i="13"/>
  <c r="BW31" i="13"/>
  <c r="CQ23" i="15"/>
  <c r="CP23" i="15"/>
  <c r="AI15" i="15"/>
  <c r="BE15" i="15"/>
  <c r="AK15" i="15"/>
  <c r="M15" i="15"/>
  <c r="O15" i="15" s="1"/>
  <c r="Z15" i="15"/>
  <c r="AA15" i="15" s="1"/>
  <c r="CC33" i="13"/>
  <c r="E786" i="12" s="1"/>
  <c r="E788" i="12" s="1"/>
  <c r="D785" i="12" s="1"/>
  <c r="AG24" i="15"/>
  <c r="O517" i="12"/>
  <c r="AR23" i="13"/>
  <c r="W23" i="13" s="1"/>
  <c r="AU11" i="15"/>
  <c r="AW11" i="15" s="1"/>
  <c r="BD11" i="15"/>
  <c r="BK27" i="13"/>
  <c r="AX26" i="13"/>
  <c r="AC29" i="13"/>
  <c r="BH9" i="13"/>
  <c r="BO33" i="13"/>
  <c r="BF15" i="13"/>
  <c r="CJ25" i="15"/>
  <c r="CQ16" i="15"/>
  <c r="CP16" i="15"/>
  <c r="CG22" i="15"/>
  <c r="CH22" i="15" s="1"/>
  <c r="BS15" i="15"/>
  <c r="AW20" i="15"/>
  <c r="BG11" i="15"/>
  <c r="BF11" i="15"/>
  <c r="AF26" i="15"/>
  <c r="AA24" i="15"/>
  <c r="W8" i="13"/>
  <c r="BG9" i="13"/>
  <c r="BI9" i="13"/>
  <c r="AW14" i="15"/>
  <c r="AA26" i="15"/>
  <c r="W7" i="13"/>
  <c r="BG26" i="13"/>
  <c r="BH26" i="13" s="1"/>
  <c r="BR8" i="15"/>
  <c r="BF22" i="15"/>
  <c r="BG22" i="15"/>
  <c r="CC19" i="15"/>
  <c r="CD19" i="15"/>
  <c r="AD29" i="13"/>
  <c r="O594" i="12" s="1"/>
  <c r="O596" i="12" s="1"/>
  <c r="D592" i="12" s="1"/>
  <c r="AR25" i="13"/>
  <c r="W25" i="13" s="1"/>
  <c r="BE7" i="15"/>
  <c r="AK7" i="15"/>
  <c r="AI7" i="15"/>
  <c r="M7" i="15"/>
  <c r="O7" i="15" s="1"/>
  <c r="AW22" i="15"/>
  <c r="AU7" i="15"/>
  <c r="AT69" i="15"/>
  <c r="O991" i="12" s="1"/>
  <c r="O994" i="12" s="1"/>
  <c r="D990" i="12" s="1"/>
  <c r="AU18" i="15"/>
  <c r="AW18" i="15" s="1"/>
  <c r="BD18" i="15"/>
  <c r="BS18" i="15"/>
  <c r="BF24" i="15"/>
  <c r="BF21" i="15"/>
  <c r="BG21" i="15"/>
  <c r="O1140" i="12"/>
  <c r="AU9" i="15"/>
  <c r="BD9" i="15"/>
  <c r="BE9" i="15"/>
  <c r="AK9" i="15"/>
  <c r="M9" i="15"/>
  <c r="AI9" i="15"/>
  <c r="Z9" i="15"/>
  <c r="W26" i="15"/>
  <c r="AB26" i="15"/>
  <c r="BS7" i="15"/>
  <c r="AH21" i="15"/>
  <c r="BS19" i="15"/>
  <c r="AU25" i="15"/>
  <c r="AW25" i="15" s="1"/>
  <c r="BD25" i="15"/>
  <c r="CC16" i="15"/>
  <c r="CD16" i="15"/>
  <c r="BR15" i="15"/>
  <c r="J19" i="15"/>
  <c r="AL29" i="13"/>
  <c r="O614" i="12" s="1"/>
  <c r="O616" i="12" s="1"/>
  <c r="D612" i="12" s="1"/>
  <c r="AH24" i="15"/>
  <c r="AI16" i="15"/>
  <c r="BE16" i="15"/>
  <c r="M16" i="15"/>
  <c r="O16" i="15" s="1"/>
  <c r="AK16" i="15"/>
  <c r="Z16" i="15"/>
  <c r="AH22" i="15"/>
  <c r="AX23" i="13"/>
  <c r="AW27" i="15"/>
  <c r="BE15" i="13"/>
  <c r="AG26" i="15"/>
  <c r="J23" i="15"/>
  <c r="BG26" i="15"/>
  <c r="BF26" i="15"/>
  <c r="BQ25" i="15"/>
  <c r="D564" i="12"/>
  <c r="O571" i="12"/>
  <c r="M1144" i="12"/>
  <c r="O1143" i="12"/>
  <c r="M1163" i="12"/>
  <c r="N1163" i="12" s="1"/>
  <c r="M334" i="12"/>
  <c r="N336" i="12" s="1"/>
  <c r="N338" i="12" s="1"/>
  <c r="D331" i="12" s="1"/>
  <c r="E341" i="12"/>
  <c r="CG14" i="15"/>
  <c r="CH14" i="15" s="1"/>
  <c r="AA22" i="15"/>
  <c r="E498" i="12"/>
  <c r="K501" i="12"/>
  <c r="E514" i="12" s="1"/>
  <c r="D499" i="12" s="1"/>
  <c r="CJ23" i="15"/>
  <c r="BK24" i="13"/>
  <c r="AG11" i="15"/>
  <c r="BF23" i="13"/>
  <c r="BG23" i="13" s="1"/>
  <c r="BI23" i="13" s="1"/>
  <c r="AK19" i="15"/>
  <c r="AI19" i="15"/>
  <c r="BE19" i="15"/>
  <c r="M19" i="15"/>
  <c r="O19" i="15" s="1"/>
  <c r="Z19" i="15"/>
  <c r="AA19" i="15" s="1"/>
  <c r="CQ19" i="15"/>
  <c r="CP19" i="15"/>
  <c r="AX7" i="13"/>
  <c r="BA7" i="13"/>
  <c r="AL15" i="15"/>
  <c r="AU19" i="15"/>
  <c r="AW19" i="15" s="1"/>
  <c r="BD19" i="15"/>
  <c r="W21" i="15"/>
  <c r="AB21" i="15"/>
  <c r="BS9" i="15"/>
  <c r="BI20" i="13"/>
  <c r="BR7" i="15"/>
  <c r="BR25" i="15"/>
  <c r="BA15" i="13"/>
  <c r="AX25" i="13"/>
  <c r="BA25" i="13"/>
  <c r="AU24" i="15"/>
  <c r="AW24" i="15" s="1"/>
  <c r="BD24" i="15"/>
  <c r="CC18" i="15"/>
  <c r="CD18" i="15"/>
  <c r="CK33" i="13"/>
  <c r="E794" i="12" s="1"/>
  <c r="E796" i="12" s="1"/>
  <c r="D793" i="12" s="1"/>
  <c r="BE29" i="13"/>
  <c r="BG6" i="13"/>
  <c r="BH6" i="13" s="1"/>
  <c r="K1642" i="12"/>
  <c r="D1637" i="12" s="1"/>
  <c r="K1644" i="12"/>
  <c r="K1647" i="12" s="1"/>
  <c r="D1643" i="12" s="1"/>
  <c r="AU21" i="15"/>
  <c r="AW21" i="15" s="1"/>
  <c r="BD21" i="15"/>
  <c r="BG19" i="13"/>
  <c r="BI19" i="13" s="1"/>
  <c r="W26" i="13"/>
  <c r="CQ18" i="15"/>
  <c r="CP18" i="15"/>
  <c r="BF8" i="13"/>
  <c r="AX8" i="13"/>
  <c r="BA8" i="13"/>
  <c r="BE8" i="15"/>
  <c r="AK8" i="15"/>
  <c r="AI8" i="15"/>
  <c r="M8" i="15"/>
  <c r="Z8" i="15"/>
  <c r="AG8" i="15" s="1"/>
  <c r="CD25" i="15"/>
  <c r="CC25" i="15"/>
  <c r="AU26" i="15"/>
  <c r="AW26" i="15" s="1"/>
  <c r="BD26" i="15"/>
  <c r="AF22" i="15"/>
  <c r="J15" i="15"/>
  <c r="BR33" i="13"/>
  <c r="CJ19" i="15"/>
  <c r="CC23" i="15"/>
  <c r="CD23" i="15"/>
  <c r="BG28" i="13"/>
  <c r="BI28" i="13" s="1"/>
  <c r="CC15" i="15"/>
  <c r="CD15" i="15"/>
  <c r="BQ8" i="15"/>
  <c r="BK14" i="13"/>
  <c r="BQ19" i="15"/>
  <c r="O1082" i="12"/>
  <c r="D1051" i="12"/>
  <c r="AI18" i="15"/>
  <c r="BE18" i="15"/>
  <c r="M18" i="15"/>
  <c r="O18" i="15" s="1"/>
  <c r="AK18" i="15"/>
  <c r="Z18" i="15"/>
  <c r="AR15" i="13"/>
  <c r="O1134" i="12"/>
  <c r="AK25" i="15"/>
  <c r="AI25" i="15"/>
  <c r="BE25" i="15"/>
  <c r="M25" i="15"/>
  <c r="O25" i="15" s="1"/>
  <c r="Z25" i="15"/>
  <c r="BS8" i="15"/>
  <c r="BV31" i="13"/>
  <c r="E811" i="12" s="1"/>
  <c r="E813" i="12" s="1"/>
  <c r="D810" i="12" s="1"/>
  <c r="BQ15" i="15"/>
  <c r="AA11" i="15"/>
  <c r="AX11" i="13"/>
  <c r="BR19" i="15"/>
  <c r="AR11" i="13"/>
  <c r="W11" i="13" s="1"/>
  <c r="O1628" i="12"/>
  <c r="D1612" i="12"/>
  <c r="M1166" i="12"/>
  <c r="N1166" i="12" s="1"/>
  <c r="M1147" i="12"/>
  <c r="O1146" i="12"/>
  <c r="CQ25" i="15"/>
  <c r="CP25" i="15"/>
  <c r="AW8" i="15"/>
  <c r="BU31" i="13"/>
  <c r="BG7" i="13"/>
  <c r="BI7" i="13" s="1"/>
  <c r="BQ18" i="15"/>
  <c r="AK23" i="15"/>
  <c r="AI23" i="15"/>
  <c r="M23" i="15"/>
  <c r="O23" i="15" s="1"/>
  <c r="BE23" i="15"/>
  <c r="Z23" i="15"/>
  <c r="BF11" i="13"/>
  <c r="CJ16" i="15"/>
  <c r="AA29" i="13"/>
  <c r="AX10" i="13"/>
  <c r="BA10" i="13"/>
  <c r="BF10" i="13"/>
  <c r="BS23" i="15"/>
  <c r="CQ15" i="15"/>
  <c r="CP15" i="15"/>
  <c r="J25" i="15"/>
  <c r="H112" i="4" l="1"/>
  <c r="L112" i="4"/>
  <c r="H180" i="4"/>
  <c r="H387" i="4"/>
  <c r="H240" i="4"/>
  <c r="H67" i="4"/>
  <c r="H193" i="4"/>
  <c r="H315" i="4"/>
  <c r="H283" i="4"/>
  <c r="H318" i="4"/>
  <c r="H185" i="4"/>
  <c r="H16" i="4"/>
  <c r="H38" i="4"/>
  <c r="H71" i="4"/>
  <c r="H118" i="4"/>
  <c r="H101" i="4"/>
  <c r="H235" i="4"/>
  <c r="H393" i="4"/>
  <c r="H69" i="4"/>
  <c r="H304" i="4"/>
  <c r="H97" i="4"/>
  <c r="H403" i="4"/>
  <c r="H389" i="4"/>
  <c r="H170" i="4"/>
  <c r="H124" i="4"/>
  <c r="H179" i="4"/>
  <c r="H50" i="4"/>
  <c r="H12" i="4"/>
  <c r="H28" i="4"/>
  <c r="H200" i="4"/>
  <c r="H51" i="4"/>
  <c r="H210" i="4"/>
  <c r="H174" i="4"/>
  <c r="H14" i="4"/>
  <c r="H168" i="4"/>
  <c r="H95" i="4"/>
  <c r="H42" i="4"/>
  <c r="H102" i="4"/>
  <c r="H114" i="4"/>
  <c r="H320" i="4"/>
  <c r="H161" i="4"/>
  <c r="H1" i="4"/>
  <c r="H115" i="4"/>
  <c r="H83" i="4"/>
  <c r="H153" i="4"/>
  <c r="H248" i="4"/>
  <c r="O1152" i="12"/>
  <c r="L219" i="4"/>
  <c r="L203" i="4"/>
  <c r="L2" i="4"/>
  <c r="L213" i="4"/>
  <c r="L314" i="4"/>
  <c r="L207" i="4"/>
  <c r="L30" i="4"/>
  <c r="L217" i="4"/>
  <c r="L239" i="4"/>
  <c r="L197" i="4"/>
  <c r="L285" i="4"/>
  <c r="L123" i="4"/>
  <c r="L155" i="4"/>
  <c r="L221" i="4"/>
  <c r="L6" i="4"/>
  <c r="L40" i="4"/>
  <c r="L211" i="4"/>
  <c r="L107" i="4"/>
  <c r="L201" i="4"/>
  <c r="L237" i="4"/>
  <c r="L241" i="4"/>
  <c r="L306" i="4"/>
  <c r="L249" i="4"/>
  <c r="L195" i="4"/>
  <c r="L3" i="4"/>
  <c r="L275" i="4"/>
  <c r="L325" i="4"/>
  <c r="L238" i="4"/>
  <c r="CF10" i="15"/>
  <c r="CE10" i="15"/>
  <c r="CO10" i="15"/>
  <c r="CM10" i="15"/>
  <c r="CJ10" i="15"/>
  <c r="BV10" i="15"/>
  <c r="AJ68" i="15"/>
  <c r="X68" i="15" s="1"/>
  <c r="AA13" i="15"/>
  <c r="AH13" i="15"/>
  <c r="AF13" i="15"/>
  <c r="AG13" i="15"/>
  <c r="AY61" i="15"/>
  <c r="AZ61" i="15" s="1"/>
  <c r="BB61" i="15" s="1"/>
  <c r="W42" i="15"/>
  <c r="AB42" i="15"/>
  <c r="BG10" i="15"/>
  <c r="BF10" i="15"/>
  <c r="BF63" i="15"/>
  <c r="BG63" i="15"/>
  <c r="W64" i="15"/>
  <c r="AJ64" i="15" s="1"/>
  <c r="X64" i="15" s="1"/>
  <c r="AB64" i="15"/>
  <c r="H5" i="4"/>
  <c r="W44" i="15"/>
  <c r="AB44" i="15"/>
  <c r="BG13" i="15"/>
  <c r="BF13" i="15"/>
  <c r="BF57" i="15"/>
  <c r="BG57" i="15"/>
  <c r="BG67" i="15"/>
  <c r="BF67" i="15"/>
  <c r="AW61" i="15"/>
  <c r="AH57" i="15"/>
  <c r="AH43" i="15"/>
  <c r="AF43" i="15"/>
  <c r="AG43" i="15"/>
  <c r="AA43" i="15"/>
  <c r="BG28" i="15"/>
  <c r="BF28" i="15"/>
  <c r="AF57" i="15"/>
  <c r="CG66" i="15"/>
  <c r="CH66" i="15" s="1"/>
  <c r="AS66" i="15"/>
  <c r="CG44" i="15"/>
  <c r="CH44" i="15" s="1"/>
  <c r="AA62" i="15"/>
  <c r="BG51" i="15"/>
  <c r="BF51" i="15"/>
  <c r="BF36" i="15"/>
  <c r="BG36" i="15"/>
  <c r="AA65" i="15"/>
  <c r="W56" i="15"/>
  <c r="AB56" i="15"/>
  <c r="AP38" i="15"/>
  <c r="AS38" i="15"/>
  <c r="BV8" i="15"/>
  <c r="CF8" i="15"/>
  <c r="CE8" i="15"/>
  <c r="CM8" i="15"/>
  <c r="CO8" i="15"/>
  <c r="CG60" i="15"/>
  <c r="CH60" i="15" s="1"/>
  <c r="AJ66" i="15"/>
  <c r="X66" i="15" s="1"/>
  <c r="BG45" i="15"/>
  <c r="BF45" i="15"/>
  <c r="AX58" i="15"/>
  <c r="AY58" i="15" s="1"/>
  <c r="AZ58" i="15" s="1"/>
  <c r="BB58" i="15" s="1"/>
  <c r="BG48" i="15"/>
  <c r="BF48" i="15"/>
  <c r="AW45" i="15"/>
  <c r="AA31" i="15"/>
  <c r="AF31" i="15"/>
  <c r="AG31" i="15"/>
  <c r="AH31" i="15"/>
  <c r="W67" i="15"/>
  <c r="AJ67" i="15" s="1"/>
  <c r="X67" i="15" s="1"/>
  <c r="AB67" i="15"/>
  <c r="AP46" i="15"/>
  <c r="AS46" i="15"/>
  <c r="W53" i="15"/>
  <c r="AJ53" i="15" s="1"/>
  <c r="X53" i="15" s="1"/>
  <c r="AB53" i="15"/>
  <c r="AY54" i="15"/>
  <c r="AZ54" i="15" s="1"/>
  <c r="W10" i="15"/>
  <c r="AB10" i="15"/>
  <c r="BG64" i="15"/>
  <c r="BF64" i="15"/>
  <c r="AG45" i="15"/>
  <c r="AP45" i="15" s="1"/>
  <c r="AS49" i="15"/>
  <c r="BG44" i="15"/>
  <c r="BF44" i="15"/>
  <c r="AY46" i="15"/>
  <c r="AZ46" i="15" s="1"/>
  <c r="W45" i="15"/>
  <c r="AB45" i="15"/>
  <c r="AJ13" i="15"/>
  <c r="X13" i="15" s="1"/>
  <c r="AP37" i="15"/>
  <c r="AS37" i="15"/>
  <c r="W57" i="15"/>
  <c r="AB57" i="15"/>
  <c r="AJ58" i="15"/>
  <c r="X58" i="15" s="1"/>
  <c r="AH48" i="15"/>
  <c r="AG48" i="15"/>
  <c r="AF48" i="15"/>
  <c r="BG31" i="15"/>
  <c r="BF31" i="15"/>
  <c r="BG29" i="15"/>
  <c r="BF29" i="15"/>
  <c r="AX37" i="15"/>
  <c r="AY37" i="15" s="1"/>
  <c r="AZ37" i="15" s="1"/>
  <c r="BB37" i="15" s="1"/>
  <c r="CD43" i="15"/>
  <c r="CC43" i="15"/>
  <c r="AX32" i="15"/>
  <c r="AY32" i="15" s="1"/>
  <c r="AZ32" i="15" s="1"/>
  <c r="BB32" i="15" s="1"/>
  <c r="AP32" i="15"/>
  <c r="AG62" i="15"/>
  <c r="AP62" i="15" s="1"/>
  <c r="AP49" i="15"/>
  <c r="AP28" i="15"/>
  <c r="AX28" i="15"/>
  <c r="AY28" i="15" s="1"/>
  <c r="AZ28" i="15" s="1"/>
  <c r="BB28" i="15" s="1"/>
  <c r="AS28" i="15"/>
  <c r="AP41" i="15"/>
  <c r="AS41" i="15"/>
  <c r="W52" i="15"/>
  <c r="AB52" i="15"/>
  <c r="AH44" i="15"/>
  <c r="AF44" i="15"/>
  <c r="AG44" i="15"/>
  <c r="AG40" i="15"/>
  <c r="O40" i="15"/>
  <c r="CG65" i="15"/>
  <c r="CH65" i="15" s="1"/>
  <c r="W31" i="15"/>
  <c r="AB31" i="15"/>
  <c r="BS6" i="15"/>
  <c r="BE6" i="15"/>
  <c r="J6" i="15"/>
  <c r="BR6" i="15"/>
  <c r="Y6" i="15"/>
  <c r="BQ6" i="15"/>
  <c r="M6" i="15"/>
  <c r="O6" i="15" s="1"/>
  <c r="AL6" i="15"/>
  <c r="AW6" i="15" s="1"/>
  <c r="AK6" i="15"/>
  <c r="AI6" i="15"/>
  <c r="CF43" i="15"/>
  <c r="CE43" i="15"/>
  <c r="CO43" i="15"/>
  <c r="CM43" i="15"/>
  <c r="BV43" i="15"/>
  <c r="CG43" i="15" s="1"/>
  <c r="CH43" i="15" s="1"/>
  <c r="CJ43" i="15"/>
  <c r="W65" i="15"/>
  <c r="AB65" i="15"/>
  <c r="AJ28" i="15"/>
  <c r="X28" i="15" s="1"/>
  <c r="CP66" i="15"/>
  <c r="CQ66" i="15"/>
  <c r="AG57" i="15"/>
  <c r="CJ8" i="15"/>
  <c r="BF52" i="15"/>
  <c r="BG52" i="15"/>
  <c r="AP68" i="15"/>
  <c r="AX68" i="15"/>
  <c r="AY68" i="15" s="1"/>
  <c r="AZ68" i="15" s="1"/>
  <c r="BB68" i="15" s="1"/>
  <c r="AS68" i="15"/>
  <c r="BG40" i="15"/>
  <c r="BF40" i="15"/>
  <c r="AP67" i="15"/>
  <c r="AS67" i="15"/>
  <c r="AJ39" i="15"/>
  <c r="X39" i="15" s="1"/>
  <c r="W48" i="15"/>
  <c r="AJ48" i="15" s="1"/>
  <c r="X48" i="15" s="1"/>
  <c r="AB48" i="15"/>
  <c r="AB29" i="15"/>
  <c r="W29" i="15"/>
  <c r="BF53" i="15"/>
  <c r="BG53" i="15"/>
  <c r="BG65" i="15"/>
  <c r="BF65" i="15"/>
  <c r="AH36" i="15"/>
  <c r="CG31" i="15"/>
  <c r="CG56" i="15"/>
  <c r="CH56" i="15" s="1"/>
  <c r="AY35" i="15"/>
  <c r="AZ35" i="15" s="1"/>
  <c r="BB35" i="15" s="1"/>
  <c r="AA52" i="15"/>
  <c r="AH52" i="15"/>
  <c r="AF52" i="15"/>
  <c r="CG13" i="15"/>
  <c r="CH13" i="15" s="1"/>
  <c r="AH29" i="15"/>
  <c r="AG29" i="15"/>
  <c r="AF29" i="15"/>
  <c r="AH45" i="15"/>
  <c r="CH31" i="15"/>
  <c r="AF36" i="15"/>
  <c r="AY33" i="15"/>
  <c r="AZ33" i="15" s="1"/>
  <c r="BB33" i="15" s="1"/>
  <c r="BG61" i="15"/>
  <c r="BF61" i="15"/>
  <c r="AF65" i="15"/>
  <c r="AH60" i="15"/>
  <c r="AG60" i="15"/>
  <c r="AF60" i="15"/>
  <c r="AX41" i="15"/>
  <c r="AY41" i="15" s="1"/>
  <c r="AZ41" i="15" s="1"/>
  <c r="BB41" i="15" s="1"/>
  <c r="AP53" i="15"/>
  <c r="AS53" i="15"/>
  <c r="AX53" i="15"/>
  <c r="AY53" i="15" s="1"/>
  <c r="AZ53" i="15" s="1"/>
  <c r="AP64" i="15"/>
  <c r="AS64" i="15"/>
  <c r="AX64" i="15"/>
  <c r="AY64" i="15" s="1"/>
  <c r="AZ64" i="15" s="1"/>
  <c r="BB64" i="15" s="1"/>
  <c r="CA55" i="15"/>
  <c r="AC55" i="15"/>
  <c r="AE55" i="15"/>
  <c r="AD55" i="15"/>
  <c r="Z55" i="15"/>
  <c r="BZ55" i="15"/>
  <c r="W55" i="15"/>
  <c r="AB55" i="15"/>
  <c r="AP61" i="15"/>
  <c r="W61" i="15"/>
  <c r="AJ61" i="15" s="1"/>
  <c r="X61" i="15" s="1"/>
  <c r="AB61" i="15"/>
  <c r="L225" i="4"/>
  <c r="CG52" i="15"/>
  <c r="CH52" i="15" s="1"/>
  <c r="AB60" i="15"/>
  <c r="W60" i="15"/>
  <c r="AA40" i="15"/>
  <c r="AF40" i="15"/>
  <c r="AY47" i="15"/>
  <c r="AZ47" i="15" s="1"/>
  <c r="BB47" i="15" s="1"/>
  <c r="AP50" i="15"/>
  <c r="AX50" i="15"/>
  <c r="AY50" i="15" s="1"/>
  <c r="AZ50" i="15" s="1"/>
  <c r="BB50" i="15" s="1"/>
  <c r="AS50" i="15"/>
  <c r="CG42" i="15"/>
  <c r="CH42" i="15" s="1"/>
  <c r="BF55" i="15"/>
  <c r="BG55" i="15"/>
  <c r="AJ50" i="15"/>
  <c r="X50" i="15" s="1"/>
  <c r="AF63" i="15"/>
  <c r="AH40" i="15"/>
  <c r="BV9" i="15"/>
  <c r="CG9" i="15" s="1"/>
  <c r="CH9" i="15" s="1"/>
  <c r="CO9" i="15"/>
  <c r="CM9" i="15"/>
  <c r="CF9" i="15"/>
  <c r="CE9" i="15"/>
  <c r="CJ9" i="15"/>
  <c r="AY38" i="15"/>
  <c r="AZ38" i="15" s="1"/>
  <c r="BB38" i="15" s="1"/>
  <c r="AP39" i="15"/>
  <c r="AX39" i="15"/>
  <c r="AY39" i="15" s="1"/>
  <c r="AZ39" i="15" s="1"/>
  <c r="BB39" i="15" s="1"/>
  <c r="AS39" i="15"/>
  <c r="AA10" i="15"/>
  <c r="AG10" i="15"/>
  <c r="AH10" i="15"/>
  <c r="AF10" i="15"/>
  <c r="BG60" i="15"/>
  <c r="BF60" i="15"/>
  <c r="AF42" i="15"/>
  <c r="AH42" i="15"/>
  <c r="AG42" i="15"/>
  <c r="CQ11" i="15"/>
  <c r="CP11" i="15"/>
  <c r="W62" i="15"/>
  <c r="AJ62" i="15" s="1"/>
  <c r="X62" i="15" s="1"/>
  <c r="AB62" i="15"/>
  <c r="AW65" i="15"/>
  <c r="AJ43" i="15"/>
  <c r="X43" i="15" s="1"/>
  <c r="AA36" i="15"/>
  <c r="AF56" i="15"/>
  <c r="AH56" i="15"/>
  <c r="AG56" i="15"/>
  <c r="W63" i="15"/>
  <c r="AJ63" i="15" s="1"/>
  <c r="X63" i="15" s="1"/>
  <c r="AB63" i="15"/>
  <c r="AG51" i="15"/>
  <c r="AS51" i="15" s="1"/>
  <c r="AS58" i="15"/>
  <c r="AJ46" i="15"/>
  <c r="X46" i="15" s="1"/>
  <c r="CG11" i="15"/>
  <c r="CH11" i="15"/>
  <c r="CD10" i="15"/>
  <c r="CC10" i="15"/>
  <c r="AJ41" i="15"/>
  <c r="X41" i="15" s="1"/>
  <c r="BG42" i="15"/>
  <c r="BF42" i="15"/>
  <c r="BG62" i="15"/>
  <c r="BF62" i="15"/>
  <c r="W51" i="15"/>
  <c r="AJ51" i="15" s="1"/>
  <c r="X51" i="15" s="1"/>
  <c r="AB51" i="15"/>
  <c r="AX66" i="15"/>
  <c r="AY66" i="15" s="1"/>
  <c r="AZ66" i="15" s="1"/>
  <c r="BB66" i="15" s="1"/>
  <c r="AB36" i="15"/>
  <c r="W36" i="15"/>
  <c r="AJ36" i="15" s="1"/>
  <c r="X36" i="15" s="1"/>
  <c r="BG56" i="15"/>
  <c r="BF56" i="15"/>
  <c r="AY30" i="15"/>
  <c r="AZ30" i="15" s="1"/>
  <c r="BB30" i="15" s="1"/>
  <c r="E837" i="12"/>
  <c r="D834" i="12" s="1"/>
  <c r="D1566" i="12"/>
  <c r="O545" i="12"/>
  <c r="O9" i="15"/>
  <c r="W9" i="15" s="1"/>
  <c r="AC9" i="15"/>
  <c r="O8" i="15"/>
  <c r="W8" i="15" s="1"/>
  <c r="AC8" i="15"/>
  <c r="AG27" i="15"/>
  <c r="BG20" i="15"/>
  <c r="W18" i="15"/>
  <c r="AB18" i="15"/>
  <c r="W24" i="15"/>
  <c r="AJ24" i="15" s="1"/>
  <c r="X24" i="15" s="1"/>
  <c r="AB24" i="15"/>
  <c r="W27" i="15"/>
  <c r="AB27" i="15"/>
  <c r="W14" i="15"/>
  <c r="AB14" i="15"/>
  <c r="AH27" i="15"/>
  <c r="AF27" i="15"/>
  <c r="AA27" i="15"/>
  <c r="AF20" i="15"/>
  <c r="BG27" i="15"/>
  <c r="AH20" i="15"/>
  <c r="W20" i="15"/>
  <c r="AB20" i="15"/>
  <c r="AG20" i="15"/>
  <c r="W16" i="15"/>
  <c r="AB16" i="15"/>
  <c r="BG14" i="15"/>
  <c r="AG14" i="15"/>
  <c r="AH14" i="15"/>
  <c r="AF14" i="15"/>
  <c r="AW9" i="15"/>
  <c r="AA14" i="15"/>
  <c r="AB9" i="15"/>
  <c r="BZ7" i="15"/>
  <c r="CA7" i="15"/>
  <c r="AD7" i="15"/>
  <c r="AE7" i="15"/>
  <c r="CG19" i="15"/>
  <c r="CH19" i="15" s="1"/>
  <c r="AA7" i="15"/>
  <c r="AC7" i="15"/>
  <c r="AG7" i="15"/>
  <c r="AH15" i="15"/>
  <c r="AG25" i="15"/>
  <c r="O2630" i="12"/>
  <c r="D2626" i="12" s="1"/>
  <c r="O1083" i="12"/>
  <c r="O1085" i="12" s="1"/>
  <c r="D1081" i="12" s="1"/>
  <c r="D955" i="12"/>
  <c r="AJ11" i="15"/>
  <c r="X11" i="15" s="1"/>
  <c r="D951" i="12"/>
  <c r="AH7" i="15"/>
  <c r="O2452" i="12"/>
  <c r="O2454" i="12" s="1"/>
  <c r="D2450" i="12" s="1"/>
  <c r="O2424" i="12"/>
  <c r="O2426" i="12" s="1"/>
  <c r="D2422" i="12" s="1"/>
  <c r="AF7" i="15"/>
  <c r="CK223" i="15"/>
  <c r="O2457" i="12"/>
  <c r="O2459" i="12" s="1"/>
  <c r="D2455" i="12" s="1"/>
  <c r="O544" i="12"/>
  <c r="AX24" i="15"/>
  <c r="AY24" i="15" s="1"/>
  <c r="AZ24" i="15" s="1"/>
  <c r="CG221" i="15"/>
  <c r="CH89" i="15"/>
  <c r="O1877" i="12"/>
  <c r="O1879" i="12" s="1"/>
  <c r="N2246" i="12"/>
  <c r="D2021" i="12"/>
  <c r="O2029" i="12"/>
  <c r="AF18" i="15"/>
  <c r="CG16" i="15"/>
  <c r="CH16" i="15" s="1"/>
  <c r="AG15" i="15"/>
  <c r="BQ69" i="15"/>
  <c r="N923" i="12" s="1"/>
  <c r="N925" i="12" s="1"/>
  <c r="D921" i="12" s="1"/>
  <c r="CG15" i="15"/>
  <c r="CH15" i="15" s="1"/>
  <c r="AS21" i="15"/>
  <c r="J69" i="15"/>
  <c r="BS69" i="15"/>
  <c r="N933" i="12" s="1"/>
  <c r="N935" i="12" s="1"/>
  <c r="D931" i="12" s="1"/>
  <c r="AG19" i="15"/>
  <c r="AF23" i="15"/>
  <c r="AF8" i="15"/>
  <c r="BI21" i="13"/>
  <c r="BA29" i="13"/>
  <c r="O777" i="12" s="1"/>
  <c r="M777" i="12" s="1"/>
  <c r="BH7" i="13"/>
  <c r="BD69" i="15"/>
  <c r="O1001" i="12" s="1"/>
  <c r="BH28" i="13"/>
  <c r="BH14" i="13"/>
  <c r="AX29" i="13"/>
  <c r="O776" i="12" s="1"/>
  <c r="M776" i="12" s="1"/>
  <c r="AP24" i="15"/>
  <c r="BJ30" i="13"/>
  <c r="AK69" i="15"/>
  <c r="O948" i="12" s="1"/>
  <c r="O950" i="12" s="1"/>
  <c r="D946" i="12" s="1"/>
  <c r="BH12" i="13"/>
  <c r="AF19" i="15"/>
  <c r="AX26" i="15"/>
  <c r="AY26" i="15" s="1"/>
  <c r="AZ26" i="15" s="1"/>
  <c r="AH8" i="15"/>
  <c r="BI25" i="13"/>
  <c r="AR29" i="13"/>
  <c r="BL30" i="13" s="1"/>
  <c r="O649" i="12" s="1"/>
  <c r="BK23" i="13"/>
  <c r="AW15" i="15"/>
  <c r="AL69" i="15"/>
  <c r="BG8" i="15"/>
  <c r="BF8" i="15"/>
  <c r="BG8" i="13"/>
  <c r="BI8" i="13" s="1"/>
  <c r="M1164" i="12"/>
  <c r="N1164" i="12" s="1"/>
  <c r="O1144" i="12"/>
  <c r="BG15" i="13"/>
  <c r="BI15" i="13" s="1"/>
  <c r="AH9" i="15"/>
  <c r="AG9" i="15"/>
  <c r="AF9" i="15"/>
  <c r="CG25" i="15"/>
  <c r="CH25" i="15" s="1"/>
  <c r="BI17" i="13"/>
  <c r="AP21" i="15"/>
  <c r="AU69" i="15"/>
  <c r="O996" i="12" s="1"/>
  <c r="O999" i="12" s="1"/>
  <c r="D995" i="12" s="1"/>
  <c r="E349" i="12"/>
  <c r="M342" i="12"/>
  <c r="N344" i="12" s="1"/>
  <c r="N346" i="12" s="1"/>
  <c r="D339" i="12" s="1"/>
  <c r="M571" i="12"/>
  <c r="M573" i="12" s="1"/>
  <c r="D569" i="12" s="1"/>
  <c r="O576" i="12"/>
  <c r="M576" i="12" s="1"/>
  <c r="M578" i="12" s="1"/>
  <c r="D574" i="12" s="1"/>
  <c r="AS24" i="15"/>
  <c r="BG23" i="15"/>
  <c r="BF23" i="15"/>
  <c r="BG10" i="13"/>
  <c r="BI10" i="13" s="1"/>
  <c r="AA23" i="15"/>
  <c r="AX21" i="15"/>
  <c r="AY21" i="15" s="1"/>
  <c r="AZ21" i="15" s="1"/>
  <c r="CG23" i="15"/>
  <c r="CH23" i="15" s="1"/>
  <c r="AG23" i="15"/>
  <c r="AF15" i="15"/>
  <c r="W15" i="13"/>
  <c r="K986" i="12"/>
  <c r="K988" i="12" s="1"/>
  <c r="K989" i="12" s="1"/>
  <c r="D985" i="12" s="1"/>
  <c r="K984" i="12"/>
  <c r="D979" i="12" s="1"/>
  <c r="W23" i="15"/>
  <c r="AB23" i="15"/>
  <c r="BH23" i="13"/>
  <c r="BF29" i="13"/>
  <c r="BK9" i="13"/>
  <c r="O1627" i="12"/>
  <c r="D1617" i="12"/>
  <c r="AJ26" i="15"/>
  <c r="X26" i="15" s="1"/>
  <c r="AA18" i="15"/>
  <c r="O1634" i="12"/>
  <c r="J1634" i="12" s="1"/>
  <c r="J1628" i="12"/>
  <c r="BK19" i="13"/>
  <c r="BU33" i="13"/>
  <c r="E782" i="12" s="1"/>
  <c r="E784" i="12" s="1"/>
  <c r="D781" i="12" s="1"/>
  <c r="E807" i="12"/>
  <c r="BF18" i="15"/>
  <c r="BG18" i="15"/>
  <c r="AH25" i="15"/>
  <c r="AA25" i="15"/>
  <c r="AF25" i="15"/>
  <c r="BK12" i="13"/>
  <c r="AA9" i="15"/>
  <c r="W7" i="15"/>
  <c r="AB7" i="15"/>
  <c r="W15" i="15"/>
  <c r="AB15" i="15"/>
  <c r="N718" i="12"/>
  <c r="N390" i="12"/>
  <c r="BG9" i="15"/>
  <c r="BF9" i="15"/>
  <c r="AG18" i="15"/>
  <c r="BK25" i="13"/>
  <c r="AH18" i="15"/>
  <c r="BG11" i="13"/>
  <c r="BI11" i="13" s="1"/>
  <c r="W25" i="15"/>
  <c r="AB25" i="15"/>
  <c r="CG18" i="15"/>
  <c r="CH18" i="15" s="1"/>
  <c r="BR69" i="15"/>
  <c r="N928" i="12" s="1"/>
  <c r="N930" i="12" s="1"/>
  <c r="D926" i="12" s="1"/>
  <c r="AJ21" i="15"/>
  <c r="X21" i="15" s="1"/>
  <c r="AH16" i="15"/>
  <c r="AF16" i="15"/>
  <c r="BG25" i="15"/>
  <c r="BF25" i="15"/>
  <c r="BK28" i="13"/>
  <c r="AP22" i="15"/>
  <c r="AS22" i="15"/>
  <c r="AX22" i="15"/>
  <c r="AY22" i="15" s="1"/>
  <c r="AZ22" i="15" s="1"/>
  <c r="BI6" i="13"/>
  <c r="AH19" i="15"/>
  <c r="E518" i="12"/>
  <c r="O518" i="12" s="1"/>
  <c r="O520" i="12" s="1"/>
  <c r="D483" i="12"/>
  <c r="AA16" i="15"/>
  <c r="BI26" i="13"/>
  <c r="AP26" i="15"/>
  <c r="AS26" i="15"/>
  <c r="AX11" i="15"/>
  <c r="AY11" i="15" s="1"/>
  <c r="AZ11" i="15" s="1"/>
  <c r="BF15" i="15"/>
  <c r="BG15" i="15"/>
  <c r="AS11" i="15"/>
  <c r="BK20" i="13"/>
  <c r="AW7" i="15"/>
  <c r="BG7" i="15"/>
  <c r="BF7" i="15"/>
  <c r="BK21" i="13"/>
  <c r="AP11" i="15"/>
  <c r="BF19" i="15"/>
  <c r="BG19" i="15"/>
  <c r="M1167" i="12"/>
  <c r="N1167" i="12" s="1"/>
  <c r="M1148" i="12"/>
  <c r="O1147" i="12"/>
  <c r="AA8" i="15"/>
  <c r="AJ22" i="15"/>
  <c r="X22" i="15" s="1"/>
  <c r="BH19" i="13"/>
  <c r="BK7" i="13"/>
  <c r="O1176" i="12"/>
  <c r="D1120" i="12"/>
  <c r="W19" i="15"/>
  <c r="AB19" i="15"/>
  <c r="BF16" i="15"/>
  <c r="BG16" i="15"/>
  <c r="AH23" i="15"/>
  <c r="AG16" i="15"/>
  <c r="H264" i="4" l="1"/>
  <c r="H323" i="4"/>
  <c r="H214" i="4"/>
  <c r="H21" i="4"/>
  <c r="H402" i="4"/>
  <c r="H345" i="4"/>
  <c r="H82" i="4"/>
  <c r="H364" i="4"/>
  <c r="H204" i="4"/>
  <c r="H279" i="4"/>
  <c r="H160" i="4"/>
  <c r="H183" i="4"/>
  <c r="H226" i="4"/>
  <c r="H157" i="4"/>
  <c r="H62" i="4"/>
  <c r="H129" i="4"/>
  <c r="H29" i="4"/>
  <c r="H222" i="4"/>
  <c r="H307" i="4"/>
  <c r="H91" i="4"/>
  <c r="H106" i="4"/>
  <c r="H146" i="4"/>
  <c r="H262" i="4"/>
  <c r="L387" i="4"/>
  <c r="L161" i="4"/>
  <c r="L101" i="4"/>
  <c r="L304" i="4"/>
  <c r="L50" i="4"/>
  <c r="L185" i="4"/>
  <c r="L95" i="4"/>
  <c r="L170" i="4"/>
  <c r="L393" i="4"/>
  <c r="L51" i="4"/>
  <c r="L69" i="4"/>
  <c r="L168" i="4"/>
  <c r="L248" i="4"/>
  <c r="L102" i="4"/>
  <c r="L315" i="4"/>
  <c r="L403" i="4"/>
  <c r="L14" i="4"/>
  <c r="L153" i="4"/>
  <c r="L42" i="4"/>
  <c r="L115" i="4"/>
  <c r="L71" i="4"/>
  <c r="L16" i="4"/>
  <c r="L210" i="4"/>
  <c r="L180" i="4"/>
  <c r="L320" i="4"/>
  <c r="L174" i="4"/>
  <c r="L200" i="4"/>
  <c r="L193" i="4"/>
  <c r="L318" i="4"/>
  <c r="L179" i="4"/>
  <c r="L83" i="4"/>
  <c r="L28" i="4"/>
  <c r="L118" i="4"/>
  <c r="L124" i="4"/>
  <c r="L235" i="4"/>
  <c r="L240" i="4"/>
  <c r="L12" i="4"/>
  <c r="L97" i="4"/>
  <c r="L5" i="4"/>
  <c r="L114" i="4"/>
  <c r="L283" i="4"/>
  <c r="L38" i="4"/>
  <c r="L1" i="4"/>
  <c r="L67" i="4"/>
  <c r="L389" i="4"/>
  <c r="W40" i="15"/>
  <c r="AJ40" i="15" s="1"/>
  <c r="X40" i="15" s="1"/>
  <c r="AB40" i="15"/>
  <c r="AJ45" i="15"/>
  <c r="X45" i="15" s="1"/>
  <c r="AP57" i="15"/>
  <c r="AX57" i="15"/>
  <c r="AY57" i="15" s="1"/>
  <c r="AZ57" i="15" s="1"/>
  <c r="BB57" i="15" s="1"/>
  <c r="AS57" i="15"/>
  <c r="CQ10" i="15"/>
  <c r="CP10" i="15"/>
  <c r="H88" i="4"/>
  <c r="AP42" i="15"/>
  <c r="AS42" i="15"/>
  <c r="AX42" i="15"/>
  <c r="AY42" i="15" s="1"/>
  <c r="AZ42" i="15" s="1"/>
  <c r="BB42" i="15" s="1"/>
  <c r="BB53" i="15"/>
  <c r="AP36" i="15"/>
  <c r="AS36" i="15"/>
  <c r="AX36" i="15"/>
  <c r="AY36" i="15" s="1"/>
  <c r="AZ36" i="15" s="1"/>
  <c r="BB36" i="15" s="1"/>
  <c r="BB46" i="15"/>
  <c r="AJ56" i="15"/>
  <c r="X56" i="15" s="1"/>
  <c r="H391" i="4"/>
  <c r="W6" i="15"/>
  <c r="AB6" i="15"/>
  <c r="AP48" i="15"/>
  <c r="AX48" i="15"/>
  <c r="AY48" i="15" s="1"/>
  <c r="AZ48" i="15" s="1"/>
  <c r="AS48" i="15"/>
  <c r="AJ42" i="15"/>
  <c r="X42" i="15" s="1"/>
  <c r="AP56" i="15"/>
  <c r="AX56" i="15"/>
  <c r="AY56" i="15" s="1"/>
  <c r="AZ56" i="15" s="1"/>
  <c r="BB56" i="15" s="1"/>
  <c r="AS56" i="15"/>
  <c r="AP44" i="15"/>
  <c r="AS44" i="15"/>
  <c r="AX44" i="15"/>
  <c r="AY44" i="15" s="1"/>
  <c r="AZ44" i="15" s="1"/>
  <c r="BB44" i="15" s="1"/>
  <c r="AX45" i="15"/>
  <c r="AY45" i="15" s="1"/>
  <c r="AZ45" i="15" s="1"/>
  <c r="BB45" i="15" s="1"/>
  <c r="AS10" i="15"/>
  <c r="AX10" i="15"/>
  <c r="AY10" i="15" s="1"/>
  <c r="AZ10" i="15" s="1"/>
  <c r="BB10" i="15" s="1"/>
  <c r="AP10" i="15"/>
  <c r="CQ9" i="15"/>
  <c r="CP9" i="15"/>
  <c r="AP40" i="15"/>
  <c r="AS40" i="15"/>
  <c r="AX40" i="15"/>
  <c r="AY40" i="15" s="1"/>
  <c r="AZ40" i="15" s="1"/>
  <c r="BB40" i="15" s="1"/>
  <c r="CD55" i="15"/>
  <c r="CC55" i="15"/>
  <c r="AP29" i="15"/>
  <c r="AS29" i="15"/>
  <c r="AX29" i="15"/>
  <c r="AY29" i="15" s="1"/>
  <c r="AZ29" i="15" s="1"/>
  <c r="BB29" i="15" s="1"/>
  <c r="AJ65" i="15"/>
  <c r="X65" i="15" s="1"/>
  <c r="Z6" i="15"/>
  <c r="AD6" i="15"/>
  <c r="AE6" i="15"/>
  <c r="AC6" i="15"/>
  <c r="CA6" i="15"/>
  <c r="BZ6" i="15"/>
  <c r="AJ44" i="15"/>
  <c r="X44" i="15" s="1"/>
  <c r="AS45" i="15"/>
  <c r="CC7" i="15"/>
  <c r="CD7" i="15"/>
  <c r="AG55" i="15"/>
  <c r="AA55" i="15"/>
  <c r="AF55" i="15"/>
  <c r="AH55" i="15"/>
  <c r="AJ55" i="15" s="1"/>
  <c r="X55" i="15" s="1"/>
  <c r="AP60" i="15"/>
  <c r="AS60" i="15"/>
  <c r="AX60" i="15"/>
  <c r="AY60" i="15" s="1"/>
  <c r="AZ60" i="15" s="1"/>
  <c r="BB60" i="15" s="1"/>
  <c r="AP51" i="15"/>
  <c r="CP8" i="15"/>
  <c r="CQ8" i="15"/>
  <c r="AS43" i="15"/>
  <c r="AX43" i="15"/>
  <c r="AY43" i="15" s="1"/>
  <c r="AZ43" i="15" s="1"/>
  <c r="BB43" i="15" s="1"/>
  <c r="AP43" i="15"/>
  <c r="AP13" i="15"/>
  <c r="AS13" i="15"/>
  <c r="AX13" i="15"/>
  <c r="AY13" i="15" s="1"/>
  <c r="AZ13" i="15" s="1"/>
  <c r="BB13" i="15" s="1"/>
  <c r="AJ60" i="15"/>
  <c r="X60" i="15" s="1"/>
  <c r="AX51" i="15"/>
  <c r="AY51" i="15" s="1"/>
  <c r="AZ51" i="15" s="1"/>
  <c r="BB51" i="15" s="1"/>
  <c r="AP63" i="15"/>
  <c r="AS63" i="15"/>
  <c r="AX63" i="15"/>
  <c r="AY63" i="15" s="1"/>
  <c r="AZ63" i="15" s="1"/>
  <c r="BB63" i="15" s="1"/>
  <c r="BG6" i="15"/>
  <c r="BF6" i="15"/>
  <c r="AJ57" i="15"/>
  <c r="X57" i="15" s="1"/>
  <c r="AX31" i="15"/>
  <c r="AY31" i="15" s="1"/>
  <c r="AZ31" i="15" s="1"/>
  <c r="BB31" i="15" s="1"/>
  <c r="AP31" i="15"/>
  <c r="AS31" i="15"/>
  <c r="CH8" i="15"/>
  <c r="AX62" i="15"/>
  <c r="AY62" i="15" s="1"/>
  <c r="AZ62" i="15" s="1"/>
  <c r="BB62" i="15" s="1"/>
  <c r="AJ10" i="15"/>
  <c r="X10" i="15" s="1"/>
  <c r="AS52" i="15"/>
  <c r="AP52" i="15"/>
  <c r="AX52" i="15"/>
  <c r="AY52" i="15" s="1"/>
  <c r="AZ52" i="15" s="1"/>
  <c r="BB52" i="15" s="1"/>
  <c r="AJ29" i="15"/>
  <c r="X29" i="15" s="1"/>
  <c r="CP43" i="15"/>
  <c r="CQ43" i="15"/>
  <c r="AJ52" i="15"/>
  <c r="X52" i="15" s="1"/>
  <c r="CG8" i="15"/>
  <c r="AS62" i="15"/>
  <c r="CF55" i="15"/>
  <c r="CE55" i="15"/>
  <c r="CO55" i="15"/>
  <c r="CM55" i="15"/>
  <c r="BV55" i="15"/>
  <c r="CG55" i="15" s="1"/>
  <c r="CH55" i="15" s="1"/>
  <c r="CJ55" i="15"/>
  <c r="AP65" i="15"/>
  <c r="AS65" i="15"/>
  <c r="AX65" i="15"/>
  <c r="AY65" i="15" s="1"/>
  <c r="AZ65" i="15" s="1"/>
  <c r="BB65" i="15" s="1"/>
  <c r="CG10" i="15"/>
  <c r="CH10" i="15" s="1"/>
  <c r="BV7" i="15"/>
  <c r="CO7" i="15"/>
  <c r="CM7" i="15"/>
  <c r="CF7" i="15"/>
  <c r="CE7" i="15"/>
  <c r="CJ7" i="15"/>
  <c r="AJ31" i="15"/>
  <c r="X31" i="15" s="1"/>
  <c r="BB54" i="15"/>
  <c r="O547" i="12"/>
  <c r="D542" i="12" s="1"/>
  <c r="AB8" i="15"/>
  <c r="AP27" i="15"/>
  <c r="AJ27" i="15"/>
  <c r="X27" i="15" s="1"/>
  <c r="AS27" i="15"/>
  <c r="AX27" i="15"/>
  <c r="AY27" i="15" s="1"/>
  <c r="AZ27" i="15" s="1"/>
  <c r="BB27" i="15" s="1"/>
  <c r="AS20" i="15"/>
  <c r="AX20" i="15"/>
  <c r="AY20" i="15" s="1"/>
  <c r="AZ20" i="15" s="1"/>
  <c r="BB20" i="15" s="1"/>
  <c r="AP20" i="15"/>
  <c r="AJ20" i="15"/>
  <c r="X20" i="15" s="1"/>
  <c r="AE69" i="15"/>
  <c r="O873" i="12" s="1"/>
  <c r="O876" i="12" s="1"/>
  <c r="D871" i="12" s="1"/>
  <c r="AJ14" i="15"/>
  <c r="X14" i="15" s="1"/>
  <c r="AS14" i="15"/>
  <c r="AX14" i="15"/>
  <c r="AY14" i="15" s="1"/>
  <c r="AZ14" i="15" s="1"/>
  <c r="BB14" i="15" s="1"/>
  <c r="AP14" i="15"/>
  <c r="AC69" i="15"/>
  <c r="O861" i="12" s="1"/>
  <c r="O864" i="12" s="1"/>
  <c r="D859" i="12" s="1"/>
  <c r="AD69" i="15"/>
  <c r="O867" i="12" s="1"/>
  <c r="O870" i="12" s="1"/>
  <c r="D865" i="12" s="1"/>
  <c r="AP7" i="15"/>
  <c r="AP8" i="15"/>
  <c r="AJ8" i="15"/>
  <c r="X8" i="15" s="1"/>
  <c r="AS7" i="15"/>
  <c r="AX7" i="15"/>
  <c r="AY7" i="15" s="1"/>
  <c r="AZ7" i="15" s="1"/>
  <c r="AX8" i="15"/>
  <c r="AY8" i="15" s="1"/>
  <c r="AZ8" i="15" s="1"/>
  <c r="BB8" i="15" s="1"/>
  <c r="AS8" i="15"/>
  <c r="AS18" i="15"/>
  <c r="AJ16" i="15"/>
  <c r="X16" i="15" s="1"/>
  <c r="AX18" i="15"/>
  <c r="AY18" i="15" s="1"/>
  <c r="AZ18" i="15" s="1"/>
  <c r="BB18" i="15" s="1"/>
  <c r="CM223" i="15"/>
  <c r="O2569" i="12" s="1"/>
  <c r="O2580" i="12" s="1"/>
  <c r="O2463" i="12"/>
  <c r="CK198" i="15"/>
  <c r="CL198" i="15" s="1"/>
  <c r="CK94" i="15"/>
  <c r="CL94" i="15" s="1"/>
  <c r="CK117" i="15"/>
  <c r="CL117" i="15" s="1"/>
  <c r="CK173" i="15"/>
  <c r="CL173" i="15" s="1"/>
  <c r="CK100" i="15"/>
  <c r="CL100" i="15" s="1"/>
  <c r="CK156" i="15"/>
  <c r="CL156" i="15" s="1"/>
  <c r="CK165" i="15"/>
  <c r="CL165" i="15" s="1"/>
  <c r="CK190" i="15"/>
  <c r="CL190" i="15" s="1"/>
  <c r="CK153" i="15"/>
  <c r="CL153" i="15" s="1"/>
  <c r="CK216" i="15"/>
  <c r="CL216" i="15" s="1"/>
  <c r="CK155" i="15"/>
  <c r="CL155" i="15" s="1"/>
  <c r="CK134" i="15"/>
  <c r="CL134" i="15" s="1"/>
  <c r="CK131" i="15"/>
  <c r="CL131" i="15" s="1"/>
  <c r="CK157" i="15"/>
  <c r="CL157" i="15" s="1"/>
  <c r="CK129" i="15"/>
  <c r="CL129" i="15" s="1"/>
  <c r="CK147" i="15"/>
  <c r="CL147" i="15" s="1"/>
  <c r="CK115" i="15"/>
  <c r="CL115" i="15" s="1"/>
  <c r="CK188" i="15"/>
  <c r="CL188" i="15" s="1"/>
  <c r="CK101" i="15"/>
  <c r="CL101" i="15" s="1"/>
  <c r="CK208" i="15"/>
  <c r="CL208" i="15" s="1"/>
  <c r="CK109" i="15"/>
  <c r="CL109" i="15" s="1"/>
  <c r="CK118" i="15"/>
  <c r="CL118" i="15" s="1"/>
  <c r="CK159" i="15"/>
  <c r="CL159" i="15" s="1"/>
  <c r="CK166" i="15"/>
  <c r="CL166" i="15" s="1"/>
  <c r="CK211" i="15"/>
  <c r="CL211" i="15" s="1"/>
  <c r="CK193" i="15"/>
  <c r="CL193" i="15" s="1"/>
  <c r="CK178" i="15"/>
  <c r="CL178" i="15" s="1"/>
  <c r="CK103" i="15"/>
  <c r="CL103" i="15" s="1"/>
  <c r="CK111" i="15"/>
  <c r="CL111" i="15" s="1"/>
  <c r="CK137" i="15"/>
  <c r="CL137" i="15" s="1"/>
  <c r="CK106" i="15"/>
  <c r="CL106" i="15" s="1"/>
  <c r="CK172" i="15"/>
  <c r="CL172" i="15" s="1"/>
  <c r="CK168" i="15"/>
  <c r="CL168" i="15" s="1"/>
  <c r="CK174" i="15"/>
  <c r="CL174" i="15" s="1"/>
  <c r="CK105" i="15"/>
  <c r="CL105" i="15" s="1"/>
  <c r="CK113" i="15"/>
  <c r="CL113" i="15" s="1"/>
  <c r="CK214" i="15"/>
  <c r="CL214" i="15" s="1"/>
  <c r="CK93" i="15"/>
  <c r="CL93" i="15" s="1"/>
  <c r="CK149" i="15"/>
  <c r="CL149" i="15" s="1"/>
  <c r="CK171" i="15"/>
  <c r="CL171" i="15" s="1"/>
  <c r="CK201" i="15"/>
  <c r="CL201" i="15" s="1"/>
  <c r="CK160" i="15"/>
  <c r="CL160" i="15" s="1"/>
  <c r="CK215" i="15"/>
  <c r="CL215" i="15" s="1"/>
  <c r="CK210" i="15"/>
  <c r="CL210" i="15" s="1"/>
  <c r="CK158" i="15"/>
  <c r="CL158" i="15" s="1"/>
  <c r="CK122" i="15"/>
  <c r="CL122" i="15" s="1"/>
  <c r="CK140" i="15"/>
  <c r="CL140" i="15" s="1"/>
  <c r="CK121" i="15"/>
  <c r="CL121" i="15" s="1"/>
  <c r="CK128" i="15"/>
  <c r="CL128" i="15" s="1"/>
  <c r="CK192" i="15"/>
  <c r="CL192" i="15" s="1"/>
  <c r="CK219" i="15"/>
  <c r="CL219" i="15" s="1"/>
  <c r="CK104" i="15"/>
  <c r="CL104" i="15" s="1"/>
  <c r="CK203" i="15"/>
  <c r="CL203" i="15" s="1"/>
  <c r="CK126" i="15"/>
  <c r="CL126" i="15" s="1"/>
  <c r="CK124" i="15"/>
  <c r="CL124" i="15" s="1"/>
  <c r="CK183" i="15"/>
  <c r="CL183" i="15" s="1"/>
  <c r="CK135" i="15"/>
  <c r="CL135" i="15" s="1"/>
  <c r="CK196" i="15"/>
  <c r="CL196" i="15" s="1"/>
  <c r="CK169" i="15"/>
  <c r="CL169" i="15" s="1"/>
  <c r="CK179" i="15"/>
  <c r="CL179" i="15" s="1"/>
  <c r="CK114" i="15"/>
  <c r="CL114" i="15" s="1"/>
  <c r="CK127" i="15"/>
  <c r="CL127" i="15" s="1"/>
  <c r="CK143" i="15"/>
  <c r="CL143" i="15" s="1"/>
  <c r="CK119" i="15"/>
  <c r="CL119" i="15" s="1"/>
  <c r="CK185" i="15"/>
  <c r="CL185" i="15" s="1"/>
  <c r="CK154" i="15"/>
  <c r="CL154" i="15" s="1"/>
  <c r="CK125" i="15"/>
  <c r="CL125" i="15" s="1"/>
  <c r="CK177" i="15"/>
  <c r="CL177" i="15" s="1"/>
  <c r="CK89" i="15"/>
  <c r="CK139" i="15"/>
  <c r="CL139" i="15" s="1"/>
  <c r="CK136" i="15"/>
  <c r="CL136" i="15" s="1"/>
  <c r="CK167" i="15"/>
  <c r="CL167" i="15" s="1"/>
  <c r="CK191" i="15"/>
  <c r="CL191" i="15" s="1"/>
  <c r="CK164" i="15"/>
  <c r="CL164" i="15" s="1"/>
  <c r="CK189" i="15"/>
  <c r="CL189" i="15" s="1"/>
  <c r="CK175" i="15"/>
  <c r="CL175" i="15" s="1"/>
  <c r="CK163" i="15"/>
  <c r="CL163" i="15" s="1"/>
  <c r="CK209" i="15"/>
  <c r="CL209" i="15" s="1"/>
  <c r="CK150" i="15"/>
  <c r="CL150" i="15" s="1"/>
  <c r="CK184" i="15"/>
  <c r="CL184" i="15" s="1"/>
  <c r="CK220" i="15"/>
  <c r="CL220" i="15" s="1"/>
  <c r="CK205" i="15"/>
  <c r="CL205" i="15" s="1"/>
  <c r="CK152" i="15"/>
  <c r="CL152" i="15" s="1"/>
  <c r="CK195" i="15"/>
  <c r="CL195" i="15" s="1"/>
  <c r="CK212" i="15"/>
  <c r="CL212" i="15" s="1"/>
  <c r="CK162" i="15"/>
  <c r="CL162" i="15" s="1"/>
  <c r="CK99" i="15"/>
  <c r="CL99" i="15" s="1"/>
  <c r="CK207" i="15"/>
  <c r="CL207" i="15" s="1"/>
  <c r="CK187" i="15"/>
  <c r="CL187" i="15" s="1"/>
  <c r="CK95" i="15"/>
  <c r="CL95" i="15" s="1"/>
  <c r="CK186" i="15"/>
  <c r="CL186" i="15" s="1"/>
  <c r="CK133" i="15"/>
  <c r="CL133" i="15" s="1"/>
  <c r="CK182" i="15"/>
  <c r="CL182" i="15" s="1"/>
  <c r="CK197" i="15"/>
  <c r="CL197" i="15" s="1"/>
  <c r="CK132" i="15"/>
  <c r="CL132" i="15" s="1"/>
  <c r="CK180" i="15"/>
  <c r="CL180" i="15" s="1"/>
  <c r="CK181" i="15"/>
  <c r="CL181" i="15" s="1"/>
  <c r="CK112" i="15"/>
  <c r="CL112" i="15" s="1"/>
  <c r="CK97" i="15"/>
  <c r="CL97" i="15" s="1"/>
  <c r="CK202" i="15"/>
  <c r="CL202" i="15" s="1"/>
  <c r="CK120" i="15"/>
  <c r="CL120" i="15" s="1"/>
  <c r="CK92" i="15"/>
  <c r="CL92" i="15" s="1"/>
  <c r="CK108" i="15"/>
  <c r="CL108" i="15" s="1"/>
  <c r="CK213" i="15"/>
  <c r="CL213" i="15" s="1"/>
  <c r="CK176" i="15"/>
  <c r="CL176" i="15" s="1"/>
  <c r="CK98" i="15"/>
  <c r="CL98" i="15" s="1"/>
  <c r="CK107" i="15"/>
  <c r="CL107" i="15" s="1"/>
  <c r="CK206" i="15"/>
  <c r="CL206" i="15" s="1"/>
  <c r="CK90" i="15"/>
  <c r="CL90" i="15" s="1"/>
  <c r="CK200" i="15"/>
  <c r="CL200" i="15" s="1"/>
  <c r="CK146" i="15"/>
  <c r="CL146" i="15" s="1"/>
  <c r="CK102" i="15"/>
  <c r="CL102" i="15" s="1"/>
  <c r="CK218" i="15"/>
  <c r="CL218" i="15" s="1"/>
  <c r="CK138" i="15"/>
  <c r="CL138" i="15" s="1"/>
  <c r="CK161" i="15"/>
  <c r="CL161" i="15" s="1"/>
  <c r="CK123" i="15"/>
  <c r="CL123" i="15" s="1"/>
  <c r="CK148" i="15"/>
  <c r="CL148" i="15" s="1"/>
  <c r="CK96" i="15"/>
  <c r="CL96" i="15" s="1"/>
  <c r="CK91" i="15"/>
  <c r="CL91" i="15" s="1"/>
  <c r="CK130" i="15"/>
  <c r="CL130" i="15" s="1"/>
  <c r="CK194" i="15"/>
  <c r="CL194" i="15" s="1"/>
  <c r="CK217" i="15"/>
  <c r="CL217" i="15" s="1"/>
  <c r="CK170" i="15"/>
  <c r="CL170" i="15" s="1"/>
  <c r="CK199" i="15"/>
  <c r="CL199" i="15" s="1"/>
  <c r="CK151" i="15"/>
  <c r="CL151" i="15" s="1"/>
  <c r="CK142" i="15"/>
  <c r="CL142" i="15" s="1"/>
  <c r="CK145" i="15"/>
  <c r="CL145" i="15" s="1"/>
  <c r="CK110" i="15"/>
  <c r="CL110" i="15" s="1"/>
  <c r="CK204" i="15"/>
  <c r="CL204" i="15" s="1"/>
  <c r="O2034" i="12"/>
  <c r="M2034" i="12" s="1"/>
  <c r="M2036" i="12" s="1"/>
  <c r="D2032" i="12" s="1"/>
  <c r="M2029" i="12"/>
  <c r="M2031" i="12" s="1"/>
  <c r="D2027" i="12" s="1"/>
  <c r="O2246" i="12"/>
  <c r="N2252" i="12"/>
  <c r="D1875" i="12"/>
  <c r="O1882" i="12"/>
  <c r="BG71" i="15"/>
  <c r="E1091" i="12" s="1"/>
  <c r="E1093" i="12" s="1"/>
  <c r="D1090" i="12" s="1"/>
  <c r="AX23" i="15"/>
  <c r="AY23" i="15" s="1"/>
  <c r="AZ23" i="15" s="1"/>
  <c r="BB23" i="15" s="1"/>
  <c r="AP19" i="15"/>
  <c r="BF71" i="15"/>
  <c r="E1087" i="12" s="1"/>
  <c r="E1089" i="12" s="1"/>
  <c r="D1086" i="12" s="1"/>
  <c r="BH11" i="13"/>
  <c r="AP18" i="15"/>
  <c r="AS23" i="15"/>
  <c r="BH15" i="13"/>
  <c r="O639" i="12"/>
  <c r="O641" i="12" s="1"/>
  <c r="D637" i="12" s="1"/>
  <c r="AP23" i="15"/>
  <c r="AJ18" i="15"/>
  <c r="X18" i="15" s="1"/>
  <c r="BH10" i="13"/>
  <c r="BB26" i="15"/>
  <c r="BB11" i="15"/>
  <c r="BK15" i="13"/>
  <c r="BB22" i="15"/>
  <c r="BB21" i="15"/>
  <c r="BG29" i="13"/>
  <c r="AJ23" i="15"/>
  <c r="X23" i="15" s="1"/>
  <c r="BH8" i="13"/>
  <c r="M649" i="12"/>
  <c r="O653" i="12"/>
  <c r="M653" i="12" s="1"/>
  <c r="AP9" i="15"/>
  <c r="AS9" i="15"/>
  <c r="AX9" i="15"/>
  <c r="AY9" i="15" s="1"/>
  <c r="AZ9" i="15" s="1"/>
  <c r="BI29" i="13"/>
  <c r="BK6" i="13"/>
  <c r="D515" i="12"/>
  <c r="O523" i="12"/>
  <c r="BK26" i="13"/>
  <c r="AJ9" i="15"/>
  <c r="X9" i="15" s="1"/>
  <c r="E350" i="12"/>
  <c r="E352" i="12" s="1"/>
  <c r="D347" i="12" s="1"/>
  <c r="E355" i="12"/>
  <c r="M356" i="12" s="1"/>
  <c r="M358" i="12" s="1"/>
  <c r="D353" i="12" s="1"/>
  <c r="AP16" i="15"/>
  <c r="AS16" i="15"/>
  <c r="AX16" i="15"/>
  <c r="AY16" i="15" s="1"/>
  <c r="AZ16" i="15" s="1"/>
  <c r="AJ15" i="15"/>
  <c r="X15" i="15" s="1"/>
  <c r="AX19" i="15"/>
  <c r="AY19" i="15" s="1"/>
  <c r="AZ19" i="15" s="1"/>
  <c r="N728" i="12"/>
  <c r="N720" i="12"/>
  <c r="D717" i="12" s="1"/>
  <c r="N722" i="12"/>
  <c r="K724" i="12" s="1"/>
  <c r="K726" i="12" s="1"/>
  <c r="D721" i="12" s="1"/>
  <c r="BK8" i="13"/>
  <c r="AJ19" i="15"/>
  <c r="X19" i="15" s="1"/>
  <c r="O1148" i="12"/>
  <c r="O1154" i="12" s="1"/>
  <c r="M1168" i="12"/>
  <c r="N1168" i="12" s="1"/>
  <c r="N1174" i="12" s="1"/>
  <c r="D1155" i="12" s="1"/>
  <c r="AJ25" i="15"/>
  <c r="X25" i="15" s="1"/>
  <c r="AS19" i="15"/>
  <c r="AP25" i="15"/>
  <c r="AX25" i="15"/>
  <c r="AY25" i="15" s="1"/>
  <c r="AZ25" i="15" s="1"/>
  <c r="AS25" i="15"/>
  <c r="E803" i="12"/>
  <c r="K803" i="12" s="1"/>
  <c r="K805" i="12" s="1"/>
  <c r="E809" i="12"/>
  <c r="D806" i="12" s="1"/>
  <c r="AP15" i="15"/>
  <c r="AX15" i="15"/>
  <c r="AY15" i="15" s="1"/>
  <c r="AZ15" i="15" s="1"/>
  <c r="AS15" i="15"/>
  <c r="BK11" i="13"/>
  <c r="BK17" i="13"/>
  <c r="AW69" i="15"/>
  <c r="AB69" i="15"/>
  <c r="O69" i="15"/>
  <c r="AJ7" i="15"/>
  <c r="X7" i="15" s="1"/>
  <c r="J1627" i="12"/>
  <c r="J1630" i="12" s="1"/>
  <c r="D1625" i="12" s="1"/>
  <c r="O1633" i="12"/>
  <c r="J1633" i="12" s="1"/>
  <c r="J1636" i="12" s="1"/>
  <c r="D1631" i="12" s="1"/>
  <c r="BK10" i="13"/>
  <c r="BB24" i="15"/>
  <c r="H52" i="4" l="1"/>
  <c r="H329" i="4"/>
  <c r="H148" i="4"/>
  <c r="H250" i="4"/>
  <c r="H334" i="4"/>
  <c r="H165" i="4"/>
  <c r="H175" i="4"/>
  <c r="H131" i="4"/>
  <c r="H48" i="4"/>
  <c r="H395" i="4"/>
  <c r="H368" i="4"/>
  <c r="H288" i="4"/>
  <c r="H186" i="4"/>
  <c r="H382" i="4"/>
  <c r="H398" i="4"/>
  <c r="H348" i="4"/>
  <c r="L62" i="4"/>
  <c r="L279" i="4"/>
  <c r="L91" i="4"/>
  <c r="L129" i="4"/>
  <c r="L364" i="4"/>
  <c r="L264" i="4"/>
  <c r="L82" i="4"/>
  <c r="L183" i="4"/>
  <c r="L204" i="4"/>
  <c r="L157" i="4"/>
  <c r="L345" i="4"/>
  <c r="L160" i="4"/>
  <c r="L391" i="4"/>
  <c r="L222" i="4"/>
  <c r="L402" i="4"/>
  <c r="L88" i="4"/>
  <c r="L323" i="4"/>
  <c r="L262" i="4"/>
  <c r="L29" i="4"/>
  <c r="L106" i="4"/>
  <c r="L307" i="4"/>
  <c r="L226" i="4"/>
  <c r="L21" i="4"/>
  <c r="L146" i="4"/>
  <c r="L214" i="4"/>
  <c r="CC6" i="15"/>
  <c r="CC69" i="15" s="1"/>
  <c r="O907" i="12" s="1"/>
  <c r="O909" i="12" s="1"/>
  <c r="D905" i="12" s="1"/>
  <c r="CD6" i="15"/>
  <c r="CD69" i="15" s="1"/>
  <c r="O912" i="12" s="1"/>
  <c r="O914" i="12" s="1"/>
  <c r="D910" i="12" s="1"/>
  <c r="BV6" i="15"/>
  <c r="CM6" i="15"/>
  <c r="CM69" i="15" s="1"/>
  <c r="O1002" i="12" s="1"/>
  <c r="K1003" i="12" s="1"/>
  <c r="K1004" i="12" s="1"/>
  <c r="D1000" i="12" s="1"/>
  <c r="CF6" i="15"/>
  <c r="CF69" i="15" s="1"/>
  <c r="O884" i="12" s="1"/>
  <c r="O886" i="12" s="1"/>
  <c r="D882" i="12" s="1"/>
  <c r="CE6" i="15"/>
  <c r="CE69" i="15" s="1"/>
  <c r="CO6" i="15"/>
  <c r="CJ6" i="15"/>
  <c r="CJ69" i="15" s="1"/>
  <c r="CQ55" i="15"/>
  <c r="CP55" i="15"/>
  <c r="H49" i="4"/>
  <c r="CQ7" i="15"/>
  <c r="CP7" i="15"/>
  <c r="AX55" i="15"/>
  <c r="AY55" i="15" s="1"/>
  <c r="AZ55" i="15" s="1"/>
  <c r="BB55" i="15" s="1"/>
  <c r="AP55" i="15"/>
  <c r="AS55" i="15"/>
  <c r="AA6" i="15"/>
  <c r="AG6" i="15"/>
  <c r="AG69" i="15" s="1"/>
  <c r="O895" i="12" s="1"/>
  <c r="O898" i="12" s="1"/>
  <c r="D893" i="12" s="1"/>
  <c r="AH6" i="15"/>
  <c r="AH69" i="15" s="1"/>
  <c r="O901" i="12" s="1"/>
  <c r="O904" i="12" s="1"/>
  <c r="D899" i="12" s="1"/>
  <c r="AF6" i="15"/>
  <c r="CG7" i="15"/>
  <c r="CH7" i="15" s="1"/>
  <c r="BB48" i="15"/>
  <c r="AJ6" i="15"/>
  <c r="X6" i="15" s="1"/>
  <c r="O550" i="12"/>
  <c r="O555" i="12" s="1"/>
  <c r="M555" i="12" s="1"/>
  <c r="M557" i="12" s="1"/>
  <c r="D553" i="12" s="1"/>
  <c r="O879" i="12"/>
  <c r="O881" i="12" s="1"/>
  <c r="D877" i="12" s="1"/>
  <c r="CK71" i="15"/>
  <c r="BF73" i="15"/>
  <c r="CK221" i="15"/>
  <c r="CL89" i="15"/>
  <c r="CL221" i="15" s="1"/>
  <c r="CK224" i="15" s="1"/>
  <c r="O1886" i="12"/>
  <c r="M1886" i="12" s="1"/>
  <c r="M1888" i="12" s="1"/>
  <c r="D1885" i="12" s="1"/>
  <c r="M1882" i="12"/>
  <c r="M1884" i="12" s="1"/>
  <c r="D1880" i="12" s="1"/>
  <c r="O2252" i="12"/>
  <c r="K2252" i="12" s="1"/>
  <c r="O2248" i="12"/>
  <c r="D2244" i="12" s="1"/>
  <c r="O2587" i="12"/>
  <c r="M2587" i="12" s="1"/>
  <c r="M2580" i="12"/>
  <c r="BH29" i="13"/>
  <c r="BB15" i="15"/>
  <c r="D1135" i="12"/>
  <c r="O1177" i="12"/>
  <c r="O1179" i="12" s="1"/>
  <c r="D1175" i="12" s="1"/>
  <c r="O528" i="12"/>
  <c r="M528" i="12" s="1"/>
  <c r="M530" i="12" s="1"/>
  <c r="D526" i="12" s="1"/>
  <c r="M523" i="12"/>
  <c r="M525" i="12" s="1"/>
  <c r="D521" i="12" s="1"/>
  <c r="N956" i="12"/>
  <c r="N960" i="12" s="1"/>
  <c r="N391" i="12"/>
  <c r="N395" i="12" s="1"/>
  <c r="E840" i="12"/>
  <c r="E842" i="12" s="1"/>
  <c r="N732" i="12"/>
  <c r="K734" i="12" s="1"/>
  <c r="K736" i="12" s="1"/>
  <c r="D731" i="12" s="1"/>
  <c r="N730" i="12"/>
  <c r="D727" i="12" s="1"/>
  <c r="BJ29" i="13"/>
  <c r="O764" i="12" s="1"/>
  <c r="O775" i="12" s="1"/>
  <c r="O763" i="12"/>
  <c r="BJ31" i="13"/>
  <c r="BK29" i="13"/>
  <c r="AJ69" i="15"/>
  <c r="BB19" i="15"/>
  <c r="BB9" i="15"/>
  <c r="K799" i="12"/>
  <c r="M799" i="12" s="1"/>
  <c r="M801" i="12" s="1"/>
  <c r="D798" i="12" s="1"/>
  <c r="D802" i="12"/>
  <c r="BB7" i="15"/>
  <c r="E1095" i="12"/>
  <c r="E1097" i="12" s="1"/>
  <c r="D1094" i="12" s="1"/>
  <c r="BB25" i="15"/>
  <c r="BB16" i="15"/>
  <c r="H181" i="4" l="1"/>
  <c r="H362" i="4"/>
  <c r="H154" i="4"/>
  <c r="H343" i="4"/>
  <c r="H96" i="4"/>
  <c r="H255" i="4"/>
  <c r="H18" i="4"/>
  <c r="H138" i="4"/>
  <c r="H189" i="4"/>
  <c r="H74" i="4"/>
  <c r="H108" i="4"/>
  <c r="H171" i="4"/>
  <c r="H380" i="4"/>
  <c r="H369" i="4"/>
  <c r="H178" i="4"/>
  <c r="H159" i="4"/>
  <c r="H349" i="4"/>
  <c r="H39" i="4"/>
  <c r="H263" i="4"/>
  <c r="L181" i="4"/>
  <c r="L48" i="4"/>
  <c r="L186" i="4"/>
  <c r="L288" i="4"/>
  <c r="L165" i="4"/>
  <c r="L148" i="4"/>
  <c r="L175" i="4"/>
  <c r="L250" i="4"/>
  <c r="L395" i="4"/>
  <c r="L398" i="4"/>
  <c r="L131" i="4"/>
  <c r="L368" i="4"/>
  <c r="L329" i="4"/>
  <c r="L382" i="4"/>
  <c r="L49" i="4"/>
  <c r="L52" i="4"/>
  <c r="L348" i="4"/>
  <c r="L334" i="4"/>
  <c r="AS6" i="15"/>
  <c r="AS69" i="15" s="1"/>
  <c r="O1028" i="12" s="1"/>
  <c r="AX6" i="15"/>
  <c r="AP6" i="15"/>
  <c r="AP69" i="15" s="1"/>
  <c r="O1027" i="12" s="1"/>
  <c r="AF69" i="15"/>
  <c r="CQ6" i="15"/>
  <c r="CQ69" i="15" s="1"/>
  <c r="N943" i="12" s="1"/>
  <c r="N945" i="12" s="1"/>
  <c r="D941" i="12" s="1"/>
  <c r="CP6" i="15"/>
  <c r="CP69" i="15" s="1"/>
  <c r="N938" i="12" s="1"/>
  <c r="N940" i="12" s="1"/>
  <c r="D936" i="12" s="1"/>
  <c r="CG6" i="15"/>
  <c r="CH6" i="15"/>
  <c r="H344" i="4"/>
  <c r="M550" i="12"/>
  <c r="M552" i="12" s="1"/>
  <c r="D548" i="12" s="1"/>
  <c r="CK11" i="15"/>
  <c r="CL11" i="15" s="1"/>
  <c r="CK8" i="15"/>
  <c r="CL8" i="15" s="1"/>
  <c r="CK10" i="15"/>
  <c r="CL10" i="15" s="1"/>
  <c r="CK9" i="15"/>
  <c r="CL9" i="15" s="1"/>
  <c r="CK7" i="15"/>
  <c r="CL7" i="15" s="1"/>
  <c r="CK6" i="15"/>
  <c r="CL6" i="15" s="1"/>
  <c r="CK65" i="15"/>
  <c r="CL65" i="15" s="1"/>
  <c r="CK53" i="15"/>
  <c r="CL53" i="15" s="1"/>
  <c r="CK41" i="15"/>
  <c r="CL41" i="15" s="1"/>
  <c r="CK58" i="15"/>
  <c r="CL58" i="15" s="1"/>
  <c r="CK46" i="15"/>
  <c r="CL46" i="15" s="1"/>
  <c r="CK39" i="15"/>
  <c r="CL39" i="15" s="1"/>
  <c r="CK63" i="15"/>
  <c r="CL63" i="15" s="1"/>
  <c r="CK51" i="15"/>
  <c r="CL51" i="15" s="1"/>
  <c r="CK68" i="15"/>
  <c r="CL68" i="15" s="1"/>
  <c r="CK56" i="15"/>
  <c r="CL56" i="15" s="1"/>
  <c r="CK44" i="15"/>
  <c r="CL44" i="15" s="1"/>
  <c r="CK61" i="15"/>
  <c r="CL61" i="15" s="1"/>
  <c r="CK49" i="15"/>
  <c r="CL49" i="15" s="1"/>
  <c r="CK37" i="15"/>
  <c r="CL37" i="15" s="1"/>
  <c r="CK40" i="15"/>
  <c r="CL40" i="15" s="1"/>
  <c r="CK36" i="15"/>
  <c r="CL36" i="15" s="1"/>
  <c r="CK66" i="15"/>
  <c r="CL66" i="15" s="1"/>
  <c r="CK54" i="15"/>
  <c r="CL54" i="15" s="1"/>
  <c r="CK42" i="15"/>
  <c r="CL42" i="15" s="1"/>
  <c r="CK59" i="15"/>
  <c r="CL59" i="15" s="1"/>
  <c r="CK47" i="15"/>
  <c r="CL47" i="15" s="1"/>
  <c r="CK35" i="15"/>
  <c r="CL35" i="15" s="1"/>
  <c r="CK64" i="15"/>
  <c r="CL64" i="15" s="1"/>
  <c r="CK52" i="15"/>
  <c r="CL52" i="15" s="1"/>
  <c r="CK57" i="15"/>
  <c r="CL57" i="15" s="1"/>
  <c r="CK45" i="15"/>
  <c r="CL45" i="15" s="1"/>
  <c r="CK62" i="15"/>
  <c r="CL62" i="15" s="1"/>
  <c r="CK50" i="15"/>
  <c r="CL50" i="15" s="1"/>
  <c r="CK38" i="15"/>
  <c r="CL38" i="15" s="1"/>
  <c r="CK48" i="15"/>
  <c r="CL48" i="15" s="1"/>
  <c r="CK67" i="15"/>
  <c r="CL67" i="15" s="1"/>
  <c r="CK55" i="15"/>
  <c r="CL55" i="15" s="1"/>
  <c r="CK43" i="15"/>
  <c r="CL43" i="15" s="1"/>
  <c r="CK60" i="15"/>
  <c r="CL60" i="15" s="1"/>
  <c r="CK13" i="15"/>
  <c r="CL13" i="15" s="1"/>
  <c r="CK30" i="15"/>
  <c r="CL30" i="15" s="1"/>
  <c r="CK28" i="15"/>
  <c r="CL28" i="15" s="1"/>
  <c r="CK33" i="15"/>
  <c r="CL33" i="15" s="1"/>
  <c r="CK31" i="15"/>
  <c r="CL31" i="15" s="1"/>
  <c r="CK29" i="15"/>
  <c r="CL29" i="15" s="1"/>
  <c r="CK32" i="15"/>
  <c r="CL32" i="15" s="1"/>
  <c r="CG69" i="15"/>
  <c r="CM71" i="15" s="1"/>
  <c r="O1024" i="12" s="1"/>
  <c r="CK16" i="15"/>
  <c r="CL16" i="15" s="1"/>
  <c r="CK19" i="15"/>
  <c r="CL19" i="15" s="1"/>
  <c r="CK23" i="15"/>
  <c r="CL23" i="15" s="1"/>
  <c r="CK18" i="15"/>
  <c r="CL18" i="15" s="1"/>
  <c r="CK25" i="15"/>
  <c r="CL25" i="15" s="1"/>
  <c r="CK22" i="15"/>
  <c r="CL22" i="15" s="1"/>
  <c r="CK21" i="15"/>
  <c r="CL21" i="15" s="1"/>
  <c r="CK27" i="15"/>
  <c r="CL27" i="15" s="1"/>
  <c r="CK15" i="15"/>
  <c r="CL15" i="15" s="1"/>
  <c r="CK14" i="15"/>
  <c r="CL14" i="15" s="1"/>
  <c r="CK26" i="15"/>
  <c r="CL26" i="15" s="1"/>
  <c r="CK24" i="15"/>
  <c r="CL24" i="15" s="1"/>
  <c r="CK20" i="15"/>
  <c r="CL20" i="15" s="1"/>
  <c r="K2254" i="12"/>
  <c r="D2249" i="12" s="1"/>
  <c r="K2256" i="12"/>
  <c r="K2258" i="12" s="1"/>
  <c r="K2260" i="12" s="1"/>
  <c r="D2255" i="12" s="1"/>
  <c r="CK225" i="15"/>
  <c r="O2560" i="12"/>
  <c r="O2561" i="12" s="1"/>
  <c r="D2554" i="12" s="1"/>
  <c r="N962" i="12"/>
  <c r="D959" i="12" s="1"/>
  <c r="N964" i="12"/>
  <c r="K966" i="12" s="1"/>
  <c r="K968" i="12" s="1"/>
  <c r="D963" i="12" s="1"/>
  <c r="N970" i="12"/>
  <c r="D839" i="12"/>
  <c r="E844" i="12"/>
  <c r="D389" i="12"/>
  <c r="N397" i="12"/>
  <c r="BC70" i="15"/>
  <c r="O1021" i="12" s="1"/>
  <c r="O917" i="12"/>
  <c r="BJ33" i="13"/>
  <c r="BJ32" i="13"/>
  <c r="O765" i="12"/>
  <c r="O767" i="12" s="1"/>
  <c r="D762" i="12" s="1"/>
  <c r="O769" i="12"/>
  <c r="O773" i="12" s="1"/>
  <c r="D768" i="12" s="1"/>
  <c r="M775" i="12"/>
  <c r="M780" i="12" s="1"/>
  <c r="D774" i="12" s="1"/>
  <c r="H60" i="4" l="1"/>
  <c r="H313" i="4"/>
  <c r="H366" i="4"/>
  <c r="H289" i="4"/>
  <c r="H198" i="4"/>
  <c r="H208" i="4"/>
  <c r="H84" i="4"/>
  <c r="H404" i="4"/>
  <c r="H310" i="4"/>
  <c r="H122" i="4"/>
  <c r="H132" i="4"/>
  <c r="H276" i="4"/>
  <c r="L154" i="4"/>
  <c r="L159" i="4"/>
  <c r="L138" i="4"/>
  <c r="L349" i="4"/>
  <c r="L369" i="4"/>
  <c r="L255" i="4"/>
  <c r="L108" i="4"/>
  <c r="L263" i="4"/>
  <c r="L189" i="4"/>
  <c r="L343" i="4"/>
  <c r="L171" i="4"/>
  <c r="L380" i="4"/>
  <c r="L344" i="4"/>
  <c r="L39" i="4"/>
  <c r="L18" i="4"/>
  <c r="L74" i="4"/>
  <c r="L178" i="4"/>
  <c r="L96" i="4"/>
  <c r="L362" i="4"/>
  <c r="O889" i="12"/>
  <c r="O892" i="12" s="1"/>
  <c r="D887" i="12" s="1"/>
  <c r="BA70" i="15"/>
  <c r="AY6" i="15"/>
  <c r="AX69" i="15"/>
  <c r="H363" i="4"/>
  <c r="CL69" i="15"/>
  <c r="CK72" i="15" s="1"/>
  <c r="O1035" i="12"/>
  <c r="O1042" i="12" s="1"/>
  <c r="M1042" i="12" s="1"/>
  <c r="O918" i="12"/>
  <c r="O920" i="12" s="1"/>
  <c r="D915" i="12" s="1"/>
  <c r="CK69" i="15"/>
  <c r="O1015" i="12" s="1"/>
  <c r="CM224" i="15"/>
  <c r="O2568" i="12" s="1"/>
  <c r="N743" i="12"/>
  <c r="O743" i="12" s="1"/>
  <c r="O398" i="12"/>
  <c r="O400" i="12" s="1"/>
  <c r="BL31" i="13"/>
  <c r="O648" i="12" s="1"/>
  <c r="BL29" i="13"/>
  <c r="E848" i="12"/>
  <c r="E856" i="12"/>
  <c r="M856" i="12" s="1"/>
  <c r="M858" i="12" s="1"/>
  <c r="D855" i="12" s="1"/>
  <c r="M844" i="12"/>
  <c r="N844" i="12" s="1"/>
  <c r="N846" i="12" s="1"/>
  <c r="D843" i="12" s="1"/>
  <c r="N974" i="12"/>
  <c r="K976" i="12" s="1"/>
  <c r="K978" i="12" s="1"/>
  <c r="D973" i="12" s="1"/>
  <c r="N972" i="12"/>
  <c r="D969" i="12" s="1"/>
  <c r="H149" i="4" l="1"/>
  <c r="H139" i="4"/>
  <c r="H330" i="4"/>
  <c r="H256" i="4"/>
  <c r="H280" i="4"/>
  <c r="L60" i="4"/>
  <c r="L276" i="4"/>
  <c r="L122" i="4"/>
  <c r="L366" i="4"/>
  <c r="L132" i="4"/>
  <c r="L289" i="4"/>
  <c r="L198" i="4"/>
  <c r="L208" i="4"/>
  <c r="L313" i="4"/>
  <c r="L404" i="4"/>
  <c r="L310" i="4"/>
  <c r="L84" i="4"/>
  <c r="L363" i="4"/>
  <c r="AZ6" i="15"/>
  <c r="AY69" i="15"/>
  <c r="O1011" i="12" s="1"/>
  <c r="H162" i="4"/>
  <c r="M1035" i="12"/>
  <c r="CK73" i="15"/>
  <c r="CM72" i="15" s="1"/>
  <c r="O1023" i="12" s="1"/>
  <c r="O2579" i="12"/>
  <c r="O2577" i="12"/>
  <c r="D2562" i="12" s="1"/>
  <c r="E852" i="12"/>
  <c r="M852" i="12" s="1"/>
  <c r="M854" i="12" s="1"/>
  <c r="D851" i="12" s="1"/>
  <c r="E850" i="12"/>
  <c r="D847" i="12" s="1"/>
  <c r="O656" i="12"/>
  <c r="O657" i="12" s="1"/>
  <c r="D655" i="12" s="1"/>
  <c r="O644" i="12"/>
  <c r="O645" i="12" s="1"/>
  <c r="D642" i="12" s="1"/>
  <c r="O652" i="12"/>
  <c r="M652" i="12" s="1"/>
  <c r="M654" i="12" s="1"/>
  <c r="D651" i="12" s="1"/>
  <c r="M648" i="12"/>
  <c r="O403" i="12"/>
  <c r="D396" i="12"/>
  <c r="O745" i="12"/>
  <c r="D741" i="12" s="1"/>
  <c r="O749" i="12"/>
  <c r="K749" i="12" s="1"/>
  <c r="H229" i="4" l="1"/>
  <c r="H346" i="4"/>
  <c r="H65" i="4"/>
  <c r="H335" i="4"/>
  <c r="H59" i="4"/>
  <c r="H299" i="4"/>
  <c r="H45" i="4"/>
  <c r="H105" i="4"/>
  <c r="M650" i="12"/>
  <c r="D646" i="12" s="1"/>
  <c r="L162" i="4"/>
  <c r="L256" i="4"/>
  <c r="L139" i="4"/>
  <c r="L149" i="4"/>
  <c r="L330" i="4"/>
  <c r="L280" i="4"/>
  <c r="BA71" i="15"/>
  <c r="BA69" i="15"/>
  <c r="AZ69" i="15"/>
  <c r="O2586" i="12"/>
  <c r="M2579" i="12"/>
  <c r="M2584" i="12" s="1"/>
  <c r="D2578" i="12" s="1"/>
  <c r="K753" i="12"/>
  <c r="K755" i="12" s="1"/>
  <c r="K757" i="12" s="1"/>
  <c r="D752" i="12" s="1"/>
  <c r="K751" i="12"/>
  <c r="D746" i="12" s="1"/>
  <c r="M403" i="12"/>
  <c r="M405" i="12" s="1"/>
  <c r="D401" i="12" s="1"/>
  <c r="O407" i="12"/>
  <c r="M407" i="12" s="1"/>
  <c r="M409" i="12" s="1"/>
  <c r="D406" i="12" s="1"/>
  <c r="H340" i="4" l="1"/>
  <c r="H401" i="4"/>
  <c r="H359" i="4"/>
  <c r="H81" i="4"/>
  <c r="H376" i="4"/>
  <c r="H365" i="4"/>
  <c r="L105" i="4"/>
  <c r="L229" i="4"/>
  <c r="L65" i="4"/>
  <c r="L59" i="4"/>
  <c r="L335" i="4"/>
  <c r="L299" i="4"/>
  <c r="L346" i="4"/>
  <c r="L45" i="4"/>
  <c r="BB6" i="15"/>
  <c r="BA72" i="15" s="1"/>
  <c r="O1029" i="12"/>
  <c r="O1037" i="12" s="1"/>
  <c r="M1037" i="12" s="1"/>
  <c r="O1012" i="12"/>
  <c r="O1016" i="12" s="1"/>
  <c r="D1009" i="12" s="1"/>
  <c r="BA73" i="15"/>
  <c r="O2590" i="12"/>
  <c r="O2591" i="12" s="1"/>
  <c r="D2589" i="12" s="1"/>
  <c r="M2586" i="12"/>
  <c r="M2588" i="12" s="1"/>
  <c r="D2585" i="12" s="1"/>
  <c r="L365" i="4" l="1"/>
  <c r="H355" i="4"/>
  <c r="H232" i="4"/>
  <c r="L340" i="4"/>
  <c r="L81" i="4"/>
  <c r="L376" i="4"/>
  <c r="L401" i="4"/>
  <c r="L359" i="4"/>
  <c r="BC71" i="15"/>
  <c r="O1020" i="12" s="1"/>
  <c r="BC69" i="15"/>
  <c r="H311" i="4"/>
  <c r="L311" i="4" l="1"/>
  <c r="L232" i="4"/>
  <c r="L355" i="4"/>
  <c r="O1034" i="12"/>
  <c r="O1032" i="12"/>
  <c r="D1017" i="12" s="1"/>
  <c r="H61" i="4" l="1"/>
  <c r="M1034" i="12"/>
  <c r="M1039" i="12" s="1"/>
  <c r="D1033" i="12" s="1"/>
  <c r="O1041" i="12"/>
  <c r="L61" i="4" l="1"/>
  <c r="H367" i="4"/>
  <c r="O1045" i="12"/>
  <c r="O1046" i="12" s="1"/>
  <c r="D1044" i="12" s="1"/>
  <c r="M1041" i="12"/>
  <c r="M1043" i="12" s="1"/>
  <c r="D1040" i="12" s="1"/>
  <c r="L367" i="4" l="1"/>
  <c r="H347" i="4"/>
  <c r="H230" i="4"/>
  <c r="L230" i="4" l="1"/>
  <c r="L347" i="4"/>
  <c r="K240" i="12" l="1"/>
  <c r="K242" i="12" s="1"/>
  <c r="D238" i="12" s="1"/>
  <c r="C1806" i="12" l="1"/>
  <c r="C2125" i="12"/>
  <c r="C2135" i="12"/>
  <c r="C2171" i="12"/>
  <c r="C2187" i="12"/>
  <c r="C2249" i="12"/>
  <c r="C2384" i="12"/>
  <c r="C2400" i="12"/>
  <c r="C2476" i="12"/>
  <c r="C2500" i="12"/>
  <c r="C2644" i="12"/>
  <c r="C2764" i="12"/>
  <c r="C2820" i="12"/>
  <c r="C2847" i="12"/>
  <c r="C3189" i="12"/>
  <c r="C3652" i="12" l="1"/>
  <c r="C3193" i="12"/>
  <c r="C3033" i="12"/>
  <c r="C2973" i="12"/>
  <c r="C2961" i="12"/>
  <c r="C2843" i="12"/>
  <c r="C2838" i="12"/>
  <c r="C2831" i="12"/>
  <c r="C2813" i="12"/>
  <c r="C2807" i="12"/>
  <c r="C2783" i="12"/>
  <c r="C2739" i="12"/>
  <c r="C2725" i="12"/>
  <c r="C2700" i="12"/>
  <c r="C2600" i="12"/>
  <c r="C2554" i="12"/>
  <c r="C2524" i="12"/>
  <c r="C2491" i="12"/>
  <c r="C2486" i="12"/>
  <c r="C2481" i="12"/>
  <c r="C2471" i="12"/>
  <c r="C2466" i="12"/>
  <c r="C2460" i="12"/>
  <c r="C2396" i="12"/>
  <c r="C2392" i="12"/>
  <c r="C2388" i="12"/>
  <c r="C2379" i="12"/>
  <c r="C2366" i="12"/>
  <c r="C2265" i="12"/>
  <c r="C2244" i="12"/>
  <c r="C2195" i="12"/>
  <c r="C2191" i="12"/>
  <c r="C2183" i="12"/>
  <c r="C2179" i="12"/>
  <c r="C2175" i="12"/>
  <c r="C2162" i="12"/>
  <c r="C2140" i="12"/>
  <c r="C1908" i="12"/>
  <c r="C1798" i="12"/>
  <c r="C1821" i="12"/>
  <c r="C1793" i="12"/>
  <c r="C2167" i="12"/>
  <c r="C2130" i="12"/>
  <c r="C1814" i="12"/>
  <c r="C580" i="12" l="1"/>
  <c r="C326" i="12"/>
  <c r="C331" i="12"/>
  <c r="C339" i="12"/>
  <c r="C347" i="12"/>
  <c r="C353" i="12"/>
  <c r="C429" i="12"/>
  <c r="C627" i="12"/>
  <c r="C632" i="12"/>
  <c r="C637" i="12"/>
  <c r="C659" i="12"/>
  <c r="C663" i="12"/>
  <c r="C671" i="12"/>
  <c r="C675" i="12"/>
  <c r="C679" i="12"/>
  <c r="C683" i="12"/>
  <c r="C687" i="12"/>
  <c r="C691" i="12"/>
  <c r="C696" i="12"/>
  <c r="C741" i="12"/>
  <c r="C746" i="12"/>
  <c r="C762" i="12"/>
  <c r="C830" i="12"/>
  <c r="C839" i="12"/>
  <c r="C847" i="12"/>
  <c r="C851" i="12"/>
  <c r="C855" i="12"/>
  <c r="C915" i="12"/>
  <c r="C921" i="12"/>
  <c r="C926" i="12"/>
  <c r="C931" i="12"/>
  <c r="C936" i="12"/>
  <c r="C941" i="12"/>
  <c r="C946" i="12"/>
  <c r="C955" i="12"/>
  <c r="C979" i="12"/>
  <c r="C1009" i="12"/>
  <c r="C1055" i="12"/>
  <c r="C1099" i="12"/>
  <c r="C1155" i="12"/>
  <c r="C1180" i="12"/>
  <c r="C1194" i="12"/>
  <c r="C1200" i="12"/>
  <c r="C1214" i="12"/>
  <c r="C1324" i="12"/>
  <c r="C1328" i="12"/>
  <c r="C1637" i="12"/>
  <c r="B2" i="4" l="1"/>
  <c r="B3" i="4" s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tc={E2229603-3854-46B0-ACBB-E0747CB3BF7B}</author>
  </authors>
  <commentList>
    <comment ref="G104" authorId="0" shapeId="0" xr:uid="{E2229603-3854-46B0-ACBB-E0747CB3BF7B}">
      <text>
        <r>
          <rPr>
            <sz val="11"/>
            <rFont val="Arial"/>
            <family val="1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TL1600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tc={8433DFEC-752B-4D50-B936-13AD01298950}</author>
  </authors>
  <commentList>
    <comment ref="N113" authorId="0" shapeId="0" xr:uid="{8433DFEC-752B-4D50-B936-13AD01298950}">
      <text>
        <r>
          <rPr>
            <sz val="11"/>
            <rFont val="Arial"/>
            <family val="1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TL1600</t>
        </r>
      </text>
    </comment>
  </commentList>
</comments>
</file>

<file path=xl/sharedStrings.xml><?xml version="1.0" encoding="utf-8"?>
<sst xmlns="http://schemas.openxmlformats.org/spreadsheetml/2006/main" count="38853" uniqueCount="4004">
  <si>
    <t>Obra</t>
  </si>
  <si>
    <t>Bancos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</si>
  <si>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</si>
  <si>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</si>
  <si>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</si>
  <si>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</si>
  <si>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</si>
  <si>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</si>
  <si>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</si>
  <si>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</si>
  <si>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</si>
  <si>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</si>
  <si>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ADMINISTRAÇÃO</t>
  </si>
  <si>
    <t xml:space="preserve"> 1.1 </t>
  </si>
  <si>
    <t>EQUIPE TÉCNICA GERENCIAL</t>
  </si>
  <si>
    <t xml:space="preserve"> 1.1.1 </t>
  </si>
  <si>
    <t>MÃO DE OBRA EQUIPE TÉCNICA GERENCIAL</t>
  </si>
  <si>
    <t xml:space="preserve"> 1.1.1.1 </t>
  </si>
  <si>
    <t xml:space="preserve"> 93568 </t>
  </si>
  <si>
    <t>SINAPI</t>
  </si>
  <si>
    <t>ENGENHEIRO CIVIL DE OBRA SENIOR COM ENCARGOS COMPLEMENTARES</t>
  </si>
  <si>
    <t>MES</t>
  </si>
  <si>
    <t xml:space="preserve"> 93567 </t>
  </si>
  <si>
    <t>ENGENHEIRO CIVIL DE OBRA PLENO COM ENCARGOS COMPLEMENTARES</t>
  </si>
  <si>
    <t xml:space="preserve"> 100534 </t>
  </si>
  <si>
    <t>TECNICO DE EDIFICACOES COM ENCARGOS COMPLEMENTARES</t>
  </si>
  <si>
    <t>Próprio</t>
  </si>
  <si>
    <t>MÊS</t>
  </si>
  <si>
    <t xml:space="preserve"> 1.1.2 </t>
  </si>
  <si>
    <t>VEICULOS EQUIPE TÉCNICA</t>
  </si>
  <si>
    <t xml:space="preserve"> 1.1.2.1 </t>
  </si>
  <si>
    <t xml:space="preserve"> E9093 MÊS </t>
  </si>
  <si>
    <t>VEICULO LEVE - 53 KW  (SEM MOTORISTA)</t>
  </si>
  <si>
    <t xml:space="preserve"> 1.2 </t>
  </si>
  <si>
    <t>EQUIPE GERENCIAL ADMINISTRATIVA</t>
  </si>
  <si>
    <t xml:space="preserve"> 1.2.1 </t>
  </si>
  <si>
    <t xml:space="preserve"> 93566 </t>
  </si>
  <si>
    <t>AUXILIAR DE ESCRITORIO COM ENCARGOS COMPLEMENTARES</t>
  </si>
  <si>
    <t xml:space="preserve"> 1.2.2 </t>
  </si>
  <si>
    <t xml:space="preserve"> VIGIA ADM </t>
  </si>
  <si>
    <t>VIGIA NOTURNO COM ENCARGOS COMPLEMENTARES (MENSALISTA) COM ADICIONAL DE PERICULOSIDADE</t>
  </si>
  <si>
    <t xml:space="preserve"> 1.2.3 </t>
  </si>
  <si>
    <t xml:space="preserve"> 101460 </t>
  </si>
  <si>
    <t>VIGIA DIURNO COM ENCARGOS COMPLEMENTARES</t>
  </si>
  <si>
    <t xml:space="preserve"> 1.3 </t>
  </si>
  <si>
    <t>EQUIPE DE PRODUÇÃO</t>
  </si>
  <si>
    <t xml:space="preserve"> 1.3.1 </t>
  </si>
  <si>
    <t xml:space="preserve"> 93572 </t>
  </si>
  <si>
    <t>ENCARREGADO GERAL DE OBRAS COM ENCARGOS COMPLEMENTARES</t>
  </si>
  <si>
    <t xml:space="preserve"> 1.3.2 </t>
  </si>
  <si>
    <t xml:space="preserve"> 93564 </t>
  </si>
  <si>
    <t>APONTADOR OU APROPRIADOR COM ENCARGOS COMPLEMENTARES</t>
  </si>
  <si>
    <t xml:space="preserve"> 1.3.3 </t>
  </si>
  <si>
    <t xml:space="preserve"> 93563 </t>
  </si>
  <si>
    <t>ALMOXARIFE COM ENCARGOS COMPLEMENTARES</t>
  </si>
  <si>
    <t xml:space="preserve"> 1.3.4 </t>
  </si>
  <si>
    <t xml:space="preserve"> 100316 </t>
  </si>
  <si>
    <t>AUXILIAR DE ALMOXARIFE COM ENCARGOS COMPLEMENTARES</t>
  </si>
  <si>
    <t xml:space="preserve"> 1.4 </t>
  </si>
  <si>
    <t>EQUIPE DE TOPOGRAFIA</t>
  </si>
  <si>
    <t xml:space="preserve"> 1.4.1 </t>
  </si>
  <si>
    <t>MÃO DE OBRA EQUIPE DE TOPOGRAFIA</t>
  </si>
  <si>
    <t xml:space="preserve"> 1.4.1.1 </t>
  </si>
  <si>
    <t xml:space="preserve"> 94296 </t>
  </si>
  <si>
    <t>TOPOGRAFO COM ENCARGOS COMPLEMENTARES</t>
  </si>
  <si>
    <t xml:space="preserve"> 1.4.1.2 </t>
  </si>
  <si>
    <t xml:space="preserve"> 101389 </t>
  </si>
  <si>
    <t>AUXILIAR DE TOPÓGRAFO COM ENCARGOS COMPLEMENTARES</t>
  </si>
  <si>
    <t xml:space="preserve"> 1.4.2 </t>
  </si>
  <si>
    <t>VEICULOS EQUIPE TOPOGRAFIA</t>
  </si>
  <si>
    <t xml:space="preserve"> 1.4.2.1 </t>
  </si>
  <si>
    <t>VAN FURGÃO - 93KW</t>
  </si>
  <si>
    <t xml:space="preserve"> 1.5 </t>
  </si>
  <si>
    <t>DETALHAMENTO PROJETO DRENAGEM</t>
  </si>
  <si>
    <t xml:space="preserve"> 1.5.1 </t>
  </si>
  <si>
    <t xml:space="preserve"> 1.5.2 </t>
  </si>
  <si>
    <t xml:space="preserve"> 93559 </t>
  </si>
  <si>
    <t>DESENHISTA DETALHISTA COM ENCARGOS COMPLEMENTARES</t>
  </si>
  <si>
    <t xml:space="preserve"> 1.5.3 </t>
  </si>
  <si>
    <t xml:space="preserve"> ART-DF </t>
  </si>
  <si>
    <t>RELATORIO E ART DOS SERVIÇOS</t>
  </si>
  <si>
    <t>UN</t>
  </si>
  <si>
    <t xml:space="preserve"> 1.6 </t>
  </si>
  <si>
    <t>CONSUMOS MENSAIS ESTIMADOS</t>
  </si>
  <si>
    <t xml:space="preserve"> 1.6.1 </t>
  </si>
  <si>
    <t xml:space="preserve"> CPU-01 </t>
  </si>
  <si>
    <t>CONSUMO MENSAL DE ENERGIA ELÉTRICA- ESTIMADO</t>
  </si>
  <si>
    <t xml:space="preserve"> 1.6.2 </t>
  </si>
  <si>
    <t xml:space="preserve"> CPU-02 </t>
  </si>
  <si>
    <t>CONSUMO MENSAL DE ÁGUA E ESGOTO - ESTIMADO</t>
  </si>
  <si>
    <t xml:space="preserve"> 1.7 </t>
  </si>
  <si>
    <t>DIVERSOS EQUIPAMENTOS</t>
  </si>
  <si>
    <t xml:space="preserve"> 1.7.1 </t>
  </si>
  <si>
    <t xml:space="preserve"> 6259 </t>
  </si>
  <si>
    <t>CAMINHÃO PIPA 6.000 L, PESO BRUTO TOTAL 13.000 KG, DISTÂNCIA ENTRE EIXOS 4,80 M, POTÊNCIA 189 CV INCLUSIVE TANQUE DE AÇO PARA TRANSPORTE DE ÁGUA, CAPACIDADE 6 M3 - CHP DIURNO. AF_06/2014</t>
  </si>
  <si>
    <t>CHP</t>
  </si>
  <si>
    <t xml:space="preserve"> 1.7.2 </t>
  </si>
  <si>
    <t xml:space="preserve"> 73417 </t>
  </si>
  <si>
    <t>GRUPO GERADOR ESTACIONÁRIO, MOTOR DIESEL POTÊNCIA 170 KVA - CHP DIURNO. AF_02/2016</t>
  </si>
  <si>
    <t xml:space="preserve"> 1.7.3 </t>
  </si>
  <si>
    <t xml:space="preserve"> 93428 </t>
  </si>
  <si>
    <t>GRUPO GERADOR ESTACIONÁRIO, POTÊNCIA 150 KVA, MOTOR A DIESEL- CHI DIURNO. AF_03/2016</t>
  </si>
  <si>
    <t>CHI</t>
  </si>
  <si>
    <t xml:space="preserve"> 1.8 </t>
  </si>
  <si>
    <t>RECUPERAÇÃO DA ÁREA DE CANTEIRO DE OBRAS - PRINCIPAL</t>
  </si>
  <si>
    <t xml:space="preserve"> 1.8.1 </t>
  </si>
  <si>
    <t xml:space="preserve"> 97637 </t>
  </si>
  <si>
    <t xml:space="preserve"> 100983 </t>
  </si>
  <si>
    <t>CARGA, MANOBRA E DESCARGA DE ENTULHO EM CAMINHÃO BASCULANTE 14 M³ - CARGA COM ESCAVADEIRA HIDRÁULICA  (CAÇAMBA DE 0,80 M³ / 111 HP) E DESCARGA LIVRE (UNIDADE: M3). AF_07/2020</t>
  </si>
  <si>
    <t xml:space="preserve"> 95876 </t>
  </si>
  <si>
    <t>TRANSPORTE COM CAMINHÃO BASCULANTE DE 14 M³, EM VIA URBANA PAVIMENTADA, DMT ATÉ 30 KM (UNIDADE: M3XKM). AF_07/2020</t>
  </si>
  <si>
    <t>M3XKM</t>
  </si>
  <si>
    <t xml:space="preserve"> 93593 </t>
  </si>
  <si>
    <t>TRANSPORTE COM CAMINHÃO BASCULANTE DE 14 M³, EM VIA URBANA PAVIMENTADA, ADICIONAL PARA DMT EXCEDENTE A 30 KM (UNIDADE: M3XKM). AF_07/2020</t>
  </si>
  <si>
    <t xml:space="preserve"> 4915669 </t>
  </si>
  <si>
    <t>SICRO3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</si>
  <si>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</si>
  <si>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</si>
  <si>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 xml:space="preserve"> 4413942 </t>
  </si>
  <si>
    <t xml:space="preserve"> 98519 </t>
  </si>
  <si>
    <t xml:space="preserve"> 98520 </t>
  </si>
  <si>
    <t xml:space="preserve"> 98521 </t>
  </si>
  <si>
    <t xml:space="preserve"> 98504 </t>
  </si>
  <si>
    <t>MOBILIZAÇÃO E DESMOBILIZAÇÃO</t>
  </si>
  <si>
    <t xml:space="preserve"> 2.1 </t>
  </si>
  <si>
    <t xml:space="preserve"> E9665 </t>
  </si>
  <si>
    <t xml:space="preserve"> 2.2 </t>
  </si>
  <si>
    <t xml:space="preserve"> E9686 </t>
  </si>
  <si>
    <t>CANTEIRO DE OBRAS</t>
  </si>
  <si>
    <t xml:space="preserve"> 3.1 </t>
  </si>
  <si>
    <t>INSTALAÇÕES DA OBRA CANTEIRO CENTRAL</t>
  </si>
  <si>
    <t xml:space="preserve"> 3.1.1 </t>
  </si>
  <si>
    <t xml:space="preserve"> 98525 </t>
  </si>
  <si>
    <t>PLACA DE OBRA EM CHAPA DE ACO GALVANIZADO</t>
  </si>
  <si>
    <t xml:space="preserve"> 98459 </t>
  </si>
  <si>
    <t>PORTAO EM TUBO DE ACO GALVANIZADO DIN 2440/NBR 5580, PAINEL UNICO, DIMENSOES 1,0X1,6M, INCLUSIVE CADEADO</t>
  </si>
  <si>
    <t>PORTAO EM TUBO DE ACO GALVANIZADO DIN 2440/NBR 5580, PAINEL UNICO, DIMENSOES 4,0X1,2M, INCLUSIVE CADEADO</t>
  </si>
  <si>
    <t xml:space="preserve"> 93585 </t>
  </si>
  <si>
    <t>EXECUÇÃO DE GUARITA EM CANTEIRO DE OBRA EM CHAPA DE MADEIRA COMPENSADA, NÃO INCLUSO MOBILIÁRIO. AF_04/2016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</si>
  <si>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</si>
  <si>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</si>
  <si>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00010778 </t>
  </si>
  <si>
    <t>LOCACAO DE CONTAINER 2,30 X 6,00 M, ALT. 2,50 M, PARA SANITARIO, COM 4 BACIAS, 8 CHUVEIROS,1 LAVATORIO E 1 MICTORIO (NAO INCLUI MOBILIZACAO/DESMOBILIZACAO)</t>
  </si>
  <si>
    <t xml:space="preserve"> 00010776 </t>
  </si>
  <si>
    <t>LOCACAO DE CONTAINER 2,30 X 6,00 M, ALT. 2,50 M, PARA ESCRITORIO, SEM DIVISORIAS INTERNAS E SEM SANITARIO (NAO INCLUI MOBILIZACAO/DESMOBILIZACAO)</t>
  </si>
  <si>
    <t xml:space="preserve"> 93584 </t>
  </si>
  <si>
    <t>EXECUÇÃO DE DEPÓSITO EM CANTEIRO DE OBRA EM CHAPA DE MADEIRA COMPENSADA, NÃO INCLUSO MOBILIÁRIO. AF_04/2016</t>
  </si>
  <si>
    <t xml:space="preserve"> 93583 </t>
  </si>
  <si>
    <t>EXECUÇÃO DE CENTRAL DE FÔRMAS, PRODUÇÃO DE ARGAMASSA OU CONCRETO EM CANTEIRO DE OBRA, NÃO INCLUSO MOBILIÁRIO E EQUIPAMENTOS. AF_04/2016</t>
  </si>
  <si>
    <t xml:space="preserve"> 93582 </t>
  </si>
  <si>
    <t>EXECUÇÃO DE CENTRAL DE ARMADURA EM CANTEIRO DE OBRA, NÃO INCLUSO MOBILIÁRIO E EQUIPAMENTOS. AF_04/2016</t>
  </si>
  <si>
    <t xml:space="preserve"> 93214 </t>
  </si>
  <si>
    <t xml:space="preserve"> 93243 </t>
  </si>
  <si>
    <t xml:space="preserve"> 98461 </t>
  </si>
  <si>
    <t xml:space="preserve"> 98462 </t>
  </si>
  <si>
    <t xml:space="preserve"> 98054 </t>
  </si>
  <si>
    <t>INSTAL/LIGACAO PROVISORIA ELETRICA BAIXA TENSAO P/CANT OBRA           OBRA,M3-CHAVE 100A CARGA 3KWH,20CV EXCL FORN MEDIDOR</t>
  </si>
  <si>
    <t xml:space="preserve"> NOVACAP 5702 M </t>
  </si>
  <si>
    <t>LIGAÇÃO PROVISORIA PARA ÁGUA EM OBRA, INCLUSIVE PEQUENAS OBRAS, INSTALAÇÃO SANITÁRIA, (INSTALAÇÃO MÍNIMA)</t>
  </si>
  <si>
    <t xml:space="preserve"> 2003850 </t>
  </si>
  <si>
    <t xml:space="preserve"> 94968 </t>
  </si>
  <si>
    <t>CONCRETO MAGRO PARA LASTRO, TRAÇO 1:4,5:4,5 (EM MASSA SECA DE CIMENTO/ AREIA MÉDIA/ BRITA 1) - PREPARO MECÂNICO COM BETONEIRA 600 L. AF_05/2021</t>
  </si>
  <si>
    <t xml:space="preserve"> 94971 </t>
  </si>
  <si>
    <t>CONCRETO FCK = 25MPA, TRAÇO 1:2,3:2,7 (EM MASSA SECA DE CIMENTO/ AREIA MÉDIA/ BRITA 1) - PREPARO MECÂNICO COM BETONEIRA 600 L. AF_05/2021</t>
  </si>
  <si>
    <t xml:space="preserve"> 3107997 </t>
  </si>
  <si>
    <t xml:space="preserve"> 103670 </t>
  </si>
  <si>
    <t>LANÇAMENTO COM USO DE BALDES, ADENSAMENTO E ACABAMENTO DE CONCRETO EM ESTRUTURAS. AF_02/2022</t>
  </si>
  <si>
    <t>OBRAS DE DRENAGEM DE ÁGUAS PLUVIAIS</t>
  </si>
  <si>
    <t>SERVIÇOS PRELIMINARES</t>
  </si>
  <si>
    <t>LOCAÇÃO DE REDES</t>
  </si>
  <si>
    <t xml:space="preserve"> 74209/1 M </t>
  </si>
  <si>
    <t xml:space="preserve"> 99063 </t>
  </si>
  <si>
    <t>LOCAÇÃO DE REDE DE DRENAGEM</t>
  </si>
  <si>
    <t>M</t>
  </si>
  <si>
    <t xml:space="preserve"> 01.04.01U </t>
  </si>
  <si>
    <t>COMPESA</t>
  </si>
  <si>
    <t>PASSARELA, EM MADEIRA, PARA COBERTA DE VALAS PARA PASSAGEM DE VEÍCULOS.</t>
  </si>
  <si>
    <t xml:space="preserve"> 01.04.02U </t>
  </si>
  <si>
    <t>PASSARELA, EM MADEIRA, PARA COBERTA DE VALAS PARA PASSAGEM DE PEDESTRES.</t>
  </si>
  <si>
    <t xml:space="preserve"> 01.03.12U </t>
  </si>
  <si>
    <t>TELA TAPUME, COR LARANJA, COM SUPORTE A CADA 2M (FORNECIMENTO E INSTALAÇÃO)</t>
  </si>
  <si>
    <t xml:space="preserve"> 01.03.16U </t>
  </si>
  <si>
    <t>SINALIZADOR ELETRÔNICO</t>
  </si>
  <si>
    <t xml:space="preserve"> 5212556 </t>
  </si>
  <si>
    <t xml:space="preserve"> 5212560 </t>
  </si>
  <si>
    <t xml:space="preserve"> 5213346 </t>
  </si>
  <si>
    <t xml:space="preserve"> 5213835 </t>
  </si>
  <si>
    <t xml:space="preserve"> 5213836 </t>
  </si>
  <si>
    <t>ORSE</t>
  </si>
  <si>
    <t>DEMOLIÇÕES E RETIRADAS DE PAVIMENTAÇÃO ASFÁLTICA</t>
  </si>
  <si>
    <t xml:space="preserve"> 97636 </t>
  </si>
  <si>
    <t xml:space="preserve"> 1600438 </t>
  </si>
  <si>
    <t xml:space="preserve"> 97622 </t>
  </si>
  <si>
    <t>DEMOLIÇÃO DE ALVENARIA DE BLOCO FURADO, DE FORMA MANUAL, SEM REAPROVEITAMENTO. AF_12/2017</t>
  </si>
  <si>
    <t>DEMOLIÇÃO DE TUBOS DE CONCRETO</t>
  </si>
  <si>
    <t xml:space="preserve"> 02.01.67 </t>
  </si>
  <si>
    <t>EMBASA</t>
  </si>
  <si>
    <t>DEMOLIÇÕES DE PASSEIOS E MEIO-FIO</t>
  </si>
  <si>
    <t xml:space="preserve"> 05.002.0014-0 </t>
  </si>
  <si>
    <t>EMOP</t>
  </si>
  <si>
    <t>M2</t>
  </si>
  <si>
    <t xml:space="preserve"> 94990 </t>
  </si>
  <si>
    <t xml:space="preserve"> 022520 </t>
  </si>
  <si>
    <t>SBC</t>
  </si>
  <si>
    <t>RETIRADA MEIO-FIO EM CONCRETO</t>
  </si>
  <si>
    <t xml:space="preserve"> 020214 </t>
  </si>
  <si>
    <t>DEMOLIÇÕES DE PAREDES PARA AMPLIAÇÃO DE BOCA DE LOBO</t>
  </si>
  <si>
    <t>ENSAIOS</t>
  </si>
  <si>
    <t>DETERMINAÇÃO DA DENSIDADE IN SITU DAS MISTURAS ASFÁLTICAS COMPACTADAS (DNIT 431/2020-ME)</t>
  </si>
  <si>
    <t xml:space="preserve"> 01.001.0275-0 </t>
  </si>
  <si>
    <t>ENSAIO QUIMICO COMPLETO DE CAL</t>
  </si>
  <si>
    <t>REDES DE DRENAGEM DE ÁGUAS PLUVIAIS</t>
  </si>
  <si>
    <t>ESCAVAÇÕES PARA SISTEMAS DESTRUTIVOS, COM DEPOSIÇÃO LATERAL PARA POSTERIOR REAPROVEITAMENTO</t>
  </si>
  <si>
    <t xml:space="preserve"> 102284 </t>
  </si>
  <si>
    <t xml:space="preserve"> 102283 </t>
  </si>
  <si>
    <t xml:space="preserve"> 102287 </t>
  </si>
  <si>
    <t>ESCAVAÇÃO MECANIZADA DE VALA COM PROF. MAIOR QUE 1,5 M ATÉ 3,0 M (MÉDIA MONTANTE E JUSANTE/UMA COMPOSIÇÃO POR TRECHO),COM ESCAVADEIRA (1,2 M3),LARG. DE 1,5 M A 2,5 M, EM SOLO MOLE, EM LOCAIS COM ALTO NÍVEL DE INTERFERÊNCIA. AF_02/2021</t>
  </si>
  <si>
    <t xml:space="preserve"> 102288 </t>
  </si>
  <si>
    <t xml:space="preserve"> 102289 </t>
  </si>
  <si>
    <t xml:space="preserve"> 102276 </t>
  </si>
  <si>
    <t xml:space="preserve"> 90084 </t>
  </si>
  <si>
    <t xml:space="preserve"> 90082 </t>
  </si>
  <si>
    <t xml:space="preserve"> 102278 </t>
  </si>
  <si>
    <t>ESCAVAÇÃO MECANIZADA DE VALA COM PROF. MAIOR QUE 1,50 M ATÉ 3,0 M (MÉDIA MONTANTE E JUSANTE/UMA COMPOSIÇÃO POR TRECHO), ESCAVADEIRA (1,2 M3), LARG. DE 1,5 M A 2,5 M, EM SOLO DE 1A CATEGORIA, EM LOCAIS COM ALTO NÍVEL DE INTERFERÊNCIA. AF_02/2021</t>
  </si>
  <si>
    <t xml:space="preserve"> 90087 </t>
  </si>
  <si>
    <t xml:space="preserve"> 00000003 </t>
  </si>
  <si>
    <t>ESCAVAÇÃO MECANIZADA DE VALAS EM MATERIAL DE 1ª E/OU 2ª CATEGORIAS, LARGURA MAIOR QUE 2,5M E ATÉ 2,00 M DE PROFUNDIDADE</t>
  </si>
  <si>
    <t>M³</t>
  </si>
  <si>
    <t xml:space="preserve"> 00000004 </t>
  </si>
  <si>
    <t>ESCAVAÇÃO MECANIZADA DE VALAS EM MATERIAL DE 1ª E/OU 2ª CATEGORIAS, LARGURA MAIOR QUE 2,5M EACIMA DE 2,00 M  E ATÉ 4,00 M DE PROFUNDIDADE.</t>
  </si>
  <si>
    <t xml:space="preserve"> 00000005 </t>
  </si>
  <si>
    <t>ESCAVAÇÃO MECANIZADA DE VALAS EM MATERIAL DE 1ª E/OU 2ª CATEGORIAS, LARGURA MAIOR QUE 2,5M E ACIMA DE 4,00 M E ATÉ 6,00 M DE PROFUNDIDADE.</t>
  </si>
  <si>
    <t xml:space="preserve"> 100574 </t>
  </si>
  <si>
    <t>ESGOTAMENTO DE VALAS</t>
  </si>
  <si>
    <t xml:space="preserve"> 2003864 </t>
  </si>
  <si>
    <t>ESGOTAMENTO DE ÁGUA COM BOMBA SUBMERSA</t>
  </si>
  <si>
    <t>ESCORAMENTOS DE VALAS PARA REDE DE DRENAGEM</t>
  </si>
  <si>
    <t xml:space="preserve"> 07.93.30 </t>
  </si>
  <si>
    <t>ESCORAMENTO DE VALA, TIPO BLINDAGEM, COM PROFUNDIDADE DE 0 A 1,5 M, LARGURA MENOR QUE 1,5 M - EXECUÇÃO E FORNECIMENTO, INCLUI MATERIAL (ESCAVAÇÃO EXTERNA AO BLINDADO)</t>
  </si>
  <si>
    <t xml:space="preserve"> 07.93.35 </t>
  </si>
  <si>
    <t>ESCORAMENTO DE VALA, TIPO BLINDAGEM, COM PROFUNDIDADE DE 1,5 A 3,0 M, LARGURA MENOR QUE 1,5 M - EXECUÇÃO E FORNECIMENTO, INCLUI MATERIAL (ESCAVAÇÃO INTERNA AO BLINDADO)</t>
  </si>
  <si>
    <t xml:space="preserve"> 07.93.32 </t>
  </si>
  <si>
    <t xml:space="preserve"> 07.93.37 </t>
  </si>
  <si>
    <t xml:space="preserve"> 07.93.40 </t>
  </si>
  <si>
    <t xml:space="preserve"> 07.93.42 </t>
  </si>
  <si>
    <t xml:space="preserve"> 07.93.45 </t>
  </si>
  <si>
    <t xml:space="preserve"> 07.93.46 </t>
  </si>
  <si>
    <t xml:space="preserve"> 07.93.52 </t>
  </si>
  <si>
    <t>PREENCHIMENTO DE VALAS E ASSENTAMENTO DE TUBOS</t>
  </si>
  <si>
    <t xml:space="preserve"> 101623 </t>
  </si>
  <si>
    <t>PREPARO DE FUNDO DE VALA COM LARGURA MENOR QUE 1,5 M, COM CAMADA DE BRITA, LANÇAMENTO MECANIZADO. AF_08/2020</t>
  </si>
  <si>
    <t xml:space="preserve"> 101624 </t>
  </si>
  <si>
    <t>PREPARO DE FUNDO DE VALA COM LARGURA MAIOR OU IGUAL A 1,5 M E MENOR QUE 2,5 M, COM CAMADA DE BRITA, LANÇAMENTO MECANIZADO. AF_08/2020</t>
  </si>
  <si>
    <t xml:space="preserve"> 96390 M </t>
  </si>
  <si>
    <t>EXECUÇÃO E COMPACTAÇÃO DE BASE E OU SUB BASE PARA PAVIMENTAÇÃO DE SOLO (PREDOMINANTEMENTE ARENOSO) COM CAL (TEOR DE 4%) - EXCLUSIVE SOLO, ESCAVAÇÃO, CARGA E TRANSPORTE.</t>
  </si>
  <si>
    <t xml:space="preserve"> 4011276 </t>
  </si>
  <si>
    <t xml:space="preserve"> 4011353 M </t>
  </si>
  <si>
    <t>PINTURA DE LIGAÇÃO (SEM MATERIAL)</t>
  </si>
  <si>
    <t>EMULSÃO ASFÁLTICA - RR-1C - FORNECIMENTO E TRANSPORTE</t>
  </si>
  <si>
    <t xml:space="preserve"> 4011352 M </t>
  </si>
  <si>
    <t>IMPRIMAÇÃO COM EMULSÃO ASFÁLTICA (SEM MATERIAL)</t>
  </si>
  <si>
    <t>EMULSÃO ASFÁLTICA PARA IMPRIMAÇÃO - FORNECIMENTO E TRANSPORTE</t>
  </si>
  <si>
    <t>T</t>
  </si>
  <si>
    <t xml:space="preserve"> M0344 </t>
  </si>
  <si>
    <t xml:space="preserve"> 95995 M </t>
  </si>
  <si>
    <t>CONSTRUÇÃO DE PAVIMENTO COM APLICAÇÃO CONCRETO BETUMINOSO USINADO A QUENTE (CBUQ), CAMADA DE ROLAMENTO - EXCLUSIVE TRANSPORTE E CARGA  AF_03/2017 (SEM MATERIAL)</t>
  </si>
  <si>
    <t xml:space="preserve"> 101023 M </t>
  </si>
  <si>
    <t>USINAGEM DE CBUQ SEM  CAP 50/70, PARA CAPA DE ROLAMENTO (SEM MATERIAL  E TRANSPORTE)</t>
  </si>
  <si>
    <t>CIMENTO ASFÁLTICO DE PETRÓLEO - CAP 50/70 FORNECIMENTO E TRANSPORTE</t>
  </si>
  <si>
    <t xml:space="preserve"> 02.05.04U </t>
  </si>
  <si>
    <t>REATERRO COMPACTADO MECANICAMENTE EM CAMADAS DE 0,20 M COM APROVEITAMENTO DO MATERIAL ESCAVADO.</t>
  </si>
  <si>
    <t xml:space="preserve"> 92824 </t>
  </si>
  <si>
    <t xml:space="preserve"> 92826 </t>
  </si>
  <si>
    <t xml:space="preserve"> 92828 </t>
  </si>
  <si>
    <t xml:space="preserve"> 92830 </t>
  </si>
  <si>
    <t xml:space="preserve"> 92832 </t>
  </si>
  <si>
    <t>FORNECIMENTO DE TUBOS</t>
  </si>
  <si>
    <t xml:space="preserve"> 100952 </t>
  </si>
  <si>
    <t>TRANSPORTE COM CAMINHÃO CARROCERIA COM GUINDAUTO (MUNCK),  MOMENTO MÁXIMO DE CARGA 11,7 TM, EM VIA URBANA PAVIMENTADA, DMT ATÉ 30KM (UNIDADE: TXKM). AF_07/2020</t>
  </si>
  <si>
    <t>TXKM</t>
  </si>
  <si>
    <t xml:space="preserve"> 101463 </t>
  </si>
  <si>
    <t>CARGA, MANOBRA E DESCARGA DE TUBOS DE CONCRETO, DN 600 MM, EM CAMINHÃO CARROCERIA COM GUINDAUTO (MUNCK) 11,7 TM. AF_07/2020</t>
  </si>
  <si>
    <t>TUBO DE CONCRETO ARMADO PARA AGUAS PLUVIAIS, CLASSE PA-1, COM ENCAIXE PONTA E BOLSA, DIAMETRO NOMINAL DE = 600 MM</t>
  </si>
  <si>
    <t xml:space="preserve"> 101465 </t>
  </si>
  <si>
    <t>CARGA, MANOBRA E DESCARGA DE TUBOS DE CONCRETO, DN 800 MM, EM CAMINHÃO CARROCERIA COM GUINDAUTO (MUNCK) 11,7 TM. AF_07/2020</t>
  </si>
  <si>
    <t>TUBO DE CONCRETO ARMADO PARA AGUAS PLUVIAIS, CLASSE PA-2, COM ENCAIXE PONTA E BOLSA, DIAMETRO NOMINAL DE 800 MM</t>
  </si>
  <si>
    <t xml:space="preserve"> 101467 </t>
  </si>
  <si>
    <t>CARGA, MANOBRA E DESCARGA DE TUBOS DE CONCRETO, DN 1000 MM, EM CAMINHÃO CARROCERIA COM GUINDAUTO (MUNCK) 11,7 TM. AF_07/2020</t>
  </si>
  <si>
    <t>TUBO DE CONCRETO ARMADO PARA AGUAS PLUVIAIS, CLASSE PA-1, COM ENCAIXE PONTA E BOLSA, DIAMETRO NOMINAL DE 1000 MM</t>
  </si>
  <si>
    <t>TUBO DE CONCRETO ARMADO PARA AGUAS PLUVIAIS, CLASSE PA-2, COM ENCAIXE PONTA E BOLSA, DIAMETRO NOMINAL DE 1000 MM</t>
  </si>
  <si>
    <t xml:space="preserve"> 101468 </t>
  </si>
  <si>
    <t>CARGA, MANOBRA E DESCARGA DE TUBOS DE CONCRETO, DN 1200 MM, EM CAMINHÃO CARROCERIA COM GUINDAUTO (MUNCK) 11,7 TM. AF_07/2020</t>
  </si>
  <si>
    <t xml:space="preserve"> C0703 </t>
  </si>
  <si>
    <t>SEINFRA</t>
  </si>
  <si>
    <t>TUBO DE CONCRETO ARMADO PARA AGUAS PLUVIAIS, CLASSE PA-2, COM ENCAIXE PONTA E BOLSA, DIAMETRO NOMINAL DE 1500 MM</t>
  </si>
  <si>
    <t>BOCAS DE LOBO</t>
  </si>
  <si>
    <t xml:space="preserve"> 01.03.09U </t>
  </si>
  <si>
    <t>PLACA DE SINALIZAÇÃO E ADVERTÊNCIA EM CHAPA DE AÇO GALVANIZADA Nº 16 (FORNECIMENTO E FIXAÇÃO)</t>
  </si>
  <si>
    <t xml:space="preserve"> 102282 </t>
  </si>
  <si>
    <t>ESCAVAÇÃO MECANIZADA DE VALA COM PROF. ATÉ 1,5 M (MÉDIA MONTANTE E JUSANTE/UMA COMPOSIÇÃO POR TRECHO), ESCAVADEIRA (0,8 M3),LARG. MENOR QUE 1,5 M, EM SOLO DE MOLE, EM LOCAIS COM ALTO NÍVEL DE INTERFERÊNCIA. AF_02/2021</t>
  </si>
  <si>
    <t xml:space="preserve"> 102285 </t>
  </si>
  <si>
    <t xml:space="preserve"> 90086 </t>
  </si>
  <si>
    <t xml:space="preserve"> 07.93.38 </t>
  </si>
  <si>
    <t xml:space="preserve"> 94285 </t>
  </si>
  <si>
    <t xml:space="preserve"> 0407819 </t>
  </si>
  <si>
    <t xml:space="preserve"> 103320 </t>
  </si>
  <si>
    <t>ALVENARIA DE VEDAÇÃO DE BLOCOS VAZADOS DE CONCRETO DE 19X19X39 CM (ESPESSURA 19 CM) E ARGAMASSA DE ASSENTAMENTO COM PREPARO EM BETONEIRA. AF_12/2021</t>
  </si>
  <si>
    <t xml:space="preserve"> 3108000 </t>
  </si>
  <si>
    <t>TUBO DE CONCRETO SIMPLES PARA AGUAS PLUVIAIS, CLASSE PS2, COM ENCAIXE PONTA E BOLSA, DIAMETRO NOMINAL DE 400 MM</t>
  </si>
  <si>
    <t xml:space="preserve"> 92821 </t>
  </si>
  <si>
    <t>POÇOS DE VISITA</t>
  </si>
  <si>
    <t xml:space="preserve"> 18.95.04 </t>
  </si>
  <si>
    <t>REVEST. PRIMARIO C CASCALHO OU SAIBRO C\ COMPACTACAO</t>
  </si>
  <si>
    <t xml:space="preserve"> 97733 </t>
  </si>
  <si>
    <t xml:space="preserve"> 94969 </t>
  </si>
  <si>
    <t>CONCRETO FCK = 15MPA, TRAÇO 1:3,4:3,5 (EM MASSA SECA DE CIMENTO/ AREIA MÉDIA/ BRITA 1) - PREPARO MECÂNICO COM BETONEIRA 600 L. AF_05/2021</t>
  </si>
  <si>
    <t xml:space="preserve"> 3103302 </t>
  </si>
  <si>
    <t>ARMAÇÃO EM AÇO CA-50 - FORNECIMENTO, PREPARO E COLOCAÇÃO</t>
  </si>
  <si>
    <t xml:space="preserve"> 99318 </t>
  </si>
  <si>
    <t>CHAMINÉ CIRCULAR PARA POÇO DE VISITA PARA DRENAGEM, EM CONCRETO PRÉ-MOLDADO, DIÂMETRO INTERNO = 0,6 M. AF_12/2020</t>
  </si>
  <si>
    <t>SERVIÇOS FINAIS PARA DRENAGEM</t>
  </si>
  <si>
    <t xml:space="preserve"> 27.01.06U </t>
  </si>
  <si>
    <t>LIMPEZA E TESTE DE REDES DE DRENAGEM</t>
  </si>
  <si>
    <t>TERRAPLENAGEM (MOVIMENTOS DE TERRA EXCETO OS JÁ INDICADOS NAS DEMAIS PLANILHAS)</t>
  </si>
  <si>
    <t>PREPARAÇÃO DO TERRENO (RASPAGEM E LIMPEZA)</t>
  </si>
  <si>
    <t>CORTE COM TRANSPORTE LOCAL PARA ATERRO DE COMPENSAÇÃO</t>
  </si>
  <si>
    <t xml:space="preserve"> 101146 </t>
  </si>
  <si>
    <t>ESCAVAÇÃO HORIZONTAL, INCLUINDO CARGA, DESCARGA E TRANSPORTE EM SOLO DE 1A CATEGORIA COM TRATOR DE ESTEIRAS (170HP/LÂMINA: 5,20M3) E CAMINHÃO BASCULANTE DE 14M3, DMT ATÉ 200M. AF_07/2020</t>
  </si>
  <si>
    <t>ATERROS (CONSIDERANDO-SE O APROVEITAMENTO DO MATERIAL DO CORTE)</t>
  </si>
  <si>
    <t xml:space="preserve"> 96385 </t>
  </si>
  <si>
    <t>PAVIMENTAÇÃO</t>
  </si>
  <si>
    <t xml:space="preserve"> 4011209 </t>
  </si>
  <si>
    <t xml:space="preserve"> 5503041 </t>
  </si>
  <si>
    <t xml:space="preserve"> 4413996 </t>
  </si>
  <si>
    <t xml:space="preserve"> 94273 </t>
  </si>
  <si>
    <t>SINALIZAÇÃO</t>
  </si>
  <si>
    <t xml:space="preserve"> 5213571 </t>
  </si>
  <si>
    <t xml:space="preserve"> 5213865 </t>
  </si>
  <si>
    <t xml:space="preserve"> 5213408 </t>
  </si>
  <si>
    <t>MANUTENÇÃO DE DISPOSITIVOS EXISTENTES</t>
  </si>
  <si>
    <t>LIMPEZA E DESOBSTRUÇÃO DE BOCA DE LOBO</t>
  </si>
  <si>
    <t xml:space="preserve"> 9068 </t>
  </si>
  <si>
    <t>DESOBSTRUÇÃO E LIMPEZA DE BOCA-DE-LOBO</t>
  </si>
  <si>
    <t>LIMPEZA E DESOBSTRUÇÃO DE POÇOS DE VISITA</t>
  </si>
  <si>
    <t xml:space="preserve"> 25.14.01 </t>
  </si>
  <si>
    <t>BOMBEAMENTO DE POCO DE VISITA</t>
  </si>
  <si>
    <t xml:space="preserve"> 25.14.10 </t>
  </si>
  <si>
    <t>LIMPEZA PV</t>
  </si>
  <si>
    <t>REVITALIZAÇÃO DE POÇO DE VISITA SOB ASFALTO</t>
  </si>
  <si>
    <t xml:space="preserve"> 6380 </t>
  </si>
  <si>
    <t>FORNECIMENTO E ASSENTAMENTO DE TAMPÃO CIRCULAR PARA DRENAGEM, EM FERRO FUNDIDO, DIÂMETRO = 0,6 M</t>
  </si>
  <si>
    <t xml:space="preserve"> 07.93.39 </t>
  </si>
  <si>
    <t>ESCORAMENTO DE VALA, TIPO BLINDAGEM, COM PROFUNDIDADE DE 3,0 A 4,5 M, LARGURA MENOR QUE 1,5 M - EXECUÇÃO E FORNECIMENTO, INCLUI MATERIAL (ESCAVAÇÃO INTERNA AO BLINDADO)</t>
  </si>
  <si>
    <t>TUBO DE CONCRETO ARMADO PARA AGUAS PLUVIAIS, CLASSE PA-2, COM ENCAIXE PONTA E BOLSA, DIAMETRO NOMINAL DE 600 MM</t>
  </si>
  <si>
    <t>TUBO DE CONCRETO ARMADO PARA AGUAS PLUVIAIS, CLASSE PA-1, COM ENCAIXE PONTA E BOLSA, DIAMETRO NOMINAL DE 800 MM</t>
  </si>
  <si>
    <t>TUBO DE CONCRETO ARMADO PARA AGUAS PLUVIAIS, CLASSE PA-2, COM ENCAIXE PONTA E BOLSA, DIAMETRO NOMINAL DE 1200 MM</t>
  </si>
  <si>
    <t>CARGA, MANOBRA E DESCARGA DE TUBOS DE CONCRETO, DN 1500 MM, EM CAMINHÃO CARROCERIA COM GUINDAUTO (MUNCK) 11,7 TM.</t>
  </si>
  <si>
    <t>TUBO DE CONCRETO SIMPLES PARA AGUAS PLUVIAIS, CLASSE PS1, COM ENCAIXE PONTA E BOLSA, DIAMETRO NOMINAL DE 400 MM</t>
  </si>
  <si>
    <t>MANUTENÇÃO E LIMPEZA DO DISSIPADOR DE ENERGIA EXISTENTE</t>
  </si>
  <si>
    <t xml:space="preserve"> 98524 </t>
  </si>
  <si>
    <t xml:space="preserve"> 072200 </t>
  </si>
  <si>
    <t>SIURB INFRA</t>
  </si>
  <si>
    <t>DESASSOREAMENTO, LIMPEZA E REMOÇÃO DE MATERIAL DE GALERIA MOLDADA</t>
  </si>
  <si>
    <t>DEMOLIÇÃO DE DISPOSITIVOS DE CONCRETO</t>
  </si>
  <si>
    <t>TUBO DE CONCRETO ARMADO PARA AGUAS PLUVIAIS, CLASSE PA-1, COM ENCAIXE PONTA E BOLSA, DIAMETRO NOMINAL DE 1500 MM</t>
  </si>
  <si>
    <t>LIGAÇÃO DE BOCA DE LOBOS A PV EXISTENTES</t>
  </si>
  <si>
    <t>GALERIAS</t>
  </si>
  <si>
    <t xml:space="preserve"> 102727 </t>
  </si>
  <si>
    <t>FABRICAÇÃO, MONTAGEM E DESMONTAGEM DE FÔRMA PARA BOCA PARA BUEIRO, EM CHAPA DE MADEIRA COMPENSADA RESINADA, E = 17 MM, 2 UTILIZAÇÕES. AF_07/2021</t>
  </si>
  <si>
    <t>ENLEIVAMENTO</t>
  </si>
  <si>
    <t>DISSIPADOR DE ENERGIA</t>
  </si>
  <si>
    <t>Total sem BDI</t>
  </si>
  <si>
    <t>Total do BDI</t>
  </si>
  <si>
    <t>Total Geral</t>
  </si>
  <si>
    <t>PLANILHA ORÇAMENTÁRIA RESUMIDA</t>
  </si>
  <si>
    <t>ITEM</t>
  </si>
  <si>
    <t>DESCRIÇÃO</t>
  </si>
  <si>
    <t>TOTAL</t>
  </si>
  <si>
    <t>REMOÇÃO MECANIZADA DE CAMADA GRANULAR DO PAVIMENTO</t>
  </si>
  <si>
    <t>ESPALHAMENTO DE MATERIAL EM BOTA-FORA</t>
  </si>
  <si>
    <t>CAVALO MECÂNICO COM SEMIRREBOQUE COM CAPACIDADE DE 22 T - 240 KW</t>
  </si>
  <si>
    <t>CAMINHÃO CARROCERIA COM GUINDAUTO COM CAPACIDADE DE 20 T.M - 136 KW</t>
  </si>
  <si>
    <t>LASTRO DE BRITA COMERCIAL COMPACTADO COM SOQUETE VIBRATÓRIO - ESPALHAMENTO MANUAL</t>
  </si>
  <si>
    <t>FÔRMAS DE COMPENSADO RESINADO 10 MM - USO GERAL - UTILIZAÇÃO DE 3 VEZES - CONFECÇÃO, INSTALAÇÃO E RETIRADA</t>
  </si>
  <si>
    <t>PLACA PARA SINALIZAÇÃO DE OBRAS MONTADA EM CAVALETE METÁLICO - 1,00 X 1,00 M - UTILIZAÇÃO DE 600 CICLOS - FORNECIMENTO, 01IMPLANTAÇÃO E 01 RETIRADA DIÁRIA</t>
  </si>
  <si>
    <t>CONE PLÁSTICO PARA CANALIZAÇÃO DE TRÂNSITO - UTILIZAÇÃO DE 150 CICLOS - FORNECIMENTO, 01 IMPLANTAÇÃO E 01 RETIRADA DIÁRIA</t>
  </si>
  <si>
    <t>DEMOLIÇÃO DE CONCRETO ARMADO</t>
  </si>
  <si>
    <t>BASE OU SUB-BASE DE BRITA GRADUADA COM BRITA COMERCIAL</t>
  </si>
  <si>
    <t>CAL HIDRATADA - A GRANEL</t>
  </si>
  <si>
    <t>REGULARIZAÇÃO DO SUBLEITO</t>
  </si>
  <si>
    <t>COMPACTAÇÃO DE ATERROS A 100% DO PROCTOR INTERMEDIÁRIO</t>
  </si>
  <si>
    <t>PLACA EM AÇO - PELÍCULA I + III - FORNECIMENTO E IMPLANTAÇÃO</t>
  </si>
  <si>
    <t>PINTURA DE FAIXA COM TERMOPLÁSTICO POR ASPERSÃO - ESPESSURA DE 1,5 MM</t>
  </si>
  <si>
    <t>(%)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</si>
  <si>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</si>
  <si>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</si>
  <si>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</si>
  <si>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</si>
  <si>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</si>
  <si>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</si>
  <si>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</si>
  <si>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</si>
  <si>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/>
  </si>
  <si>
    <t>Porcentagem</t>
  </si>
  <si>
    <t>Custo</t>
  </si>
  <si>
    <t>Porcentagem Acumulado</t>
  </si>
  <si>
    <t>Custo Acumulado</t>
  </si>
  <si>
    <t>CLASSIFICAÇÃO DA CURVA ABC</t>
  </si>
  <si>
    <t>A</t>
  </si>
  <si>
    <t>B</t>
  </si>
  <si>
    <t>C</t>
  </si>
  <si>
    <t>CÓD.
 ABC</t>
  </si>
  <si>
    <t>UNID.</t>
  </si>
  <si>
    <t>QUANT.</t>
  </si>
  <si>
    <t>UNIT. S/ BDI 
(R$)</t>
  </si>
  <si>
    <t>UNIT. C/ BDI (R$)</t>
  </si>
  <si>
    <t>BDI</t>
  </si>
  <si>
    <t>TOTAL C/ BDI                             (R$)</t>
  </si>
  <si>
    <t>%         PARCIAL</t>
  </si>
  <si>
    <t>% 
ACUM.</t>
  </si>
  <si>
    <t>CLASSIF.</t>
  </si>
  <si>
    <t>M²</t>
  </si>
  <si>
    <t>UN.DIA</t>
  </si>
  <si>
    <t>H</t>
  </si>
  <si>
    <t>KG</t>
  </si>
  <si>
    <t>Composições Analíticas com Preço Unitário</t>
  </si>
  <si>
    <t>Composições Principais</t>
  </si>
  <si>
    <t>Tipo</t>
  </si>
  <si>
    <t>Composição</t>
  </si>
  <si>
    <t>SEDI - SERVIÇOS DIVERSOS</t>
  </si>
  <si>
    <t>Composição Auxiliar</t>
  </si>
  <si>
    <t xml:space="preserve"> 95418 </t>
  </si>
  <si>
    <t>CURSO DE CAPACITAÇÃO PARA ENGENHEIRO CIVIL DE OBRA SÊNIOR (ENCARGOS COMPLEMENTARES) - MENSALISTA</t>
  </si>
  <si>
    <t>Insumo</t>
  </si>
  <si>
    <t xml:space="preserve"> 00040814 </t>
  </si>
  <si>
    <t>ENGENHEIRO CIVIL DE OBRA SENIOR (MENSALISTA)</t>
  </si>
  <si>
    <t>Mão de Obra</t>
  </si>
  <si>
    <t xml:space="preserve"> 00040863 </t>
  </si>
  <si>
    <t>Material</t>
  </si>
  <si>
    <t xml:space="preserve"> 00040864 </t>
  </si>
  <si>
    <t xml:space="preserve"> 00043474 </t>
  </si>
  <si>
    <t>FERRAMENTAS - FAMILIA ENGENHEIRO CIVIL - MENSALISTA (ENCARGOS COMPLEMENTARES - COLETADO CAIXA)</t>
  </si>
  <si>
    <t>Equipamento</t>
  </si>
  <si>
    <t xml:space="preserve"> 00043498 </t>
  </si>
  <si>
    <t>EPI - FAMILIA ENGENHEIRO CIVIL - MENSALISTA (ENCARGOS COMPLEMENTARES - COLETADO CAIXA)</t>
  </si>
  <si>
    <t xml:space="preserve"> 95417 </t>
  </si>
  <si>
    <t>CURSO DE CAPACITAÇÃO PARA ENGENHEIRO CIVIL DE OBRA PLENO (ENCARGOS COMPLEMENTARES) - MENSALISTA</t>
  </si>
  <si>
    <t xml:space="preserve"> 00040813 </t>
  </si>
  <si>
    <t>ENGENHEIRO CIVIL DE OBRA PLENO (MENSALISTA)</t>
  </si>
  <si>
    <t xml:space="preserve"> 100536 </t>
  </si>
  <si>
    <t>CURSO DE CAPACITAÇÃO PARA TECNICO DE EDIFICACOES (ENCARGOS COMPLEMENTARES) - MENSALISTA</t>
  </si>
  <si>
    <t xml:space="preserve"> 00040946 </t>
  </si>
  <si>
    <t>TECNICO DE EDIFICACOES (MENSALISTA)</t>
  </si>
  <si>
    <t xml:space="preserve"> 00043470 </t>
  </si>
  <si>
    <t>FERRAMENTAS - FAMILIA ALMOXARIFE - MENSALISTA (ENCARGOS COMPLEMENTARES - COLETADO CAIXA)</t>
  </si>
  <si>
    <t xml:space="preserve"> 00043494 </t>
  </si>
  <si>
    <t>EPI - FAMILIA ALMOXARIFE - MENSALISTA (ENCARGOS COMPLEMENTARES - COLETADO CAIXA)</t>
  </si>
  <si>
    <t xml:space="preserve"> 00043481 </t>
  </si>
  <si>
    <t>FERRAMENTAS - FAMILIA TOPOGRAFO - MENSALISTA (ENCARGOS COMPLEMENTARES - COLETADO CAIXA)</t>
  </si>
  <si>
    <t xml:space="preserve"> 00043505 </t>
  </si>
  <si>
    <t>EPI - FAMILIA TOPOGRAFO - MENSALISTA (ENCARGOS COMPLEMENTARES - COLETADO CAIXA)</t>
  </si>
  <si>
    <t>CHOR - CUSTOS HORÁRIOS DE MÁQUINAS E EQUIPAMENTOS</t>
  </si>
  <si>
    <t>Equipamentos</t>
  </si>
  <si>
    <t>Quantidade</t>
  </si>
  <si>
    <t>Utilização</t>
  </si>
  <si>
    <t>Custo Operacional</t>
  </si>
  <si>
    <t>Custo Horário</t>
  </si>
  <si>
    <t>Operativa</t>
  </si>
  <si>
    <t>Improdutiva</t>
  </si>
  <si>
    <t>E9093</t>
  </si>
  <si>
    <t>Veículo leve - 53 kW (sem motorista)</t>
  </si>
  <si>
    <t>Custo Horário de Equipamentos =&gt;</t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</si>
  <si>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</si>
  <si>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</si>
  <si>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</si>
  <si>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</si>
  <si>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</si>
  <si>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 xml:space="preserve"> 95416 </t>
  </si>
  <si>
    <t>CURSO DE CAPACITAÇÃO PARA AUXILIAR DE ESCRITÓRIO (ENCARGOS COMPLEMENTARES) - MENSALISTA</t>
  </si>
  <si>
    <t xml:space="preserve"> 00040812 </t>
  </si>
  <si>
    <t>AUXILIAR DE ESCRITORIO (MENSALISTA)</t>
  </si>
  <si>
    <t>CANT - CANTEIRO DE OBRAS</t>
  </si>
  <si>
    <t xml:space="preserve"> VIGIA ADM AUX 2 </t>
  </si>
  <si>
    <t>JORNADA NOTURNA</t>
  </si>
  <si>
    <t xml:space="preserve"> VIGIA ADM AUX 3 </t>
  </si>
  <si>
    <t>ADICIONAL NOTURNO</t>
  </si>
  <si>
    <t xml:space="preserve"> 101372 </t>
  </si>
  <si>
    <t>CURSO DE CAPACITAÇÃO PARA VIGIA DIURNO (ENCARGOS COMPLEMENTARES) - MENSALISTA</t>
  </si>
  <si>
    <t xml:space="preserve"> 00040861 </t>
  </si>
  <si>
    <t xml:space="preserve"> 00040862 </t>
  </si>
  <si>
    <t xml:space="preserve"> 00041096 </t>
  </si>
  <si>
    <t>VIGIA DIURNO (MENSALISTA)</t>
  </si>
  <si>
    <t xml:space="preserve"> 00043479 </t>
  </si>
  <si>
    <t>FERRAMENTAS - FAMILIA SERVENTE - MENSALISTA (ENCARGOS COMPLEMENTARES - COLETADO CAIXA)</t>
  </si>
  <si>
    <t xml:space="preserve"> 00043503 </t>
  </si>
  <si>
    <t>EPI - FAMILIA SERVENTE - MENSALISTA (ENCARGOS COMPLEMENTARES - COLETADO CAIXA)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</si>
  <si>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</si>
  <si>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</si>
  <si>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</si>
  <si>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</si>
  <si>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</si>
  <si>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</si>
  <si>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</si>
  <si>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</si>
  <si>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 xml:space="preserve"> 95414 </t>
  </si>
  <si>
    <t>CURSO DE CAPACITAÇÃO PARA APONTADOR OU APROPRIADOR (ENCARGOS COMPLEMENTARES) - MENSALISTA</t>
  </si>
  <si>
    <t xml:space="preserve"> 00040810 </t>
  </si>
  <si>
    <t>APONTADOR OU APROPRIADOR DE MAO DE OBRA (MENSALISTA)</t>
  </si>
  <si>
    <t xml:space="preserve"> 95413 </t>
  </si>
  <si>
    <t>CURSO DE CAPACITAÇÃO PARA ALMOXARIFE (ENCARGOS COMPLEMENTARES) - MENSALISTA</t>
  </si>
  <si>
    <t xml:space="preserve"> 00040809 </t>
  </si>
  <si>
    <t>ALMOXARIFE (MENSALISTA)</t>
  </si>
  <si>
    <t xml:space="preserve"> 100310 </t>
  </si>
  <si>
    <t>CURSO DE CAPACITAÇÃO PARA AUXILIAR DE ALMOXARIFE (ENCARGOS COMPLEMENTARES) - MENSALISTA</t>
  </si>
  <si>
    <t xml:space="preserve"> 95424 </t>
  </si>
  <si>
    <t>CURSO DE CAPACITAÇÃO PARA TOPÓGRAFO (ENCARGOS COMPLEMENTARES) - MENSALISTA</t>
  </si>
  <si>
    <t xml:space="preserve"> 00040820 </t>
  </si>
  <si>
    <t>TOPOGRAFO (MENSALISTA)</t>
  </si>
  <si>
    <t xml:space="preserve"> 101301 </t>
  </si>
  <si>
    <t>CURSO DE CAPACITAÇÃO PARA AUXILIAR DE TOPÓGRAFO (ENCARGOS COMPLEMENTARES) - MENSALISTA</t>
  </si>
  <si>
    <t xml:space="preserve"> 00041093 </t>
  </si>
  <si>
    <t>AUXILIAR DE TOPOGRAFO (MENSALISTA)</t>
  </si>
  <si>
    <t>E9125</t>
  </si>
  <si>
    <t>Veículo tipo van furgão com capacidade de 1,54 t - 93 kW</t>
  </si>
  <si>
    <t xml:space="preserve"> 95409 </t>
  </si>
  <si>
    <t>CURSO DE CAPACITAÇÃO PARA DESENHISTA DETALHISTA (ENCARGOS COMPLEMENTARES) - MENSALISTA</t>
  </si>
  <si>
    <t xml:space="preserve"> 00014250 </t>
  </si>
  <si>
    <t>ENERGIA ELETRICA COMERCIAL, BAIXA TENSAO, RELATIVA AO CONSUMO DE ATE 100 KWH, INCLUINDO ICMS, PIS/PASEP E COFINS</t>
  </si>
  <si>
    <t>KWH</t>
  </si>
  <si>
    <t xml:space="preserve"> 00044480 </t>
  </si>
  <si>
    <t>TARIFA "A" ENTRE  0 E 20M3 FORNECIMENTO  D'AGUA</t>
  </si>
  <si>
    <t>Taxas</t>
  </si>
  <si>
    <t>m³</t>
  </si>
  <si>
    <t xml:space="preserve"> 53882 </t>
  </si>
  <si>
    <t>CAMINHÃO PIPA 6.000 L, PESO BRUTO TOTAL 13.000 KG, DISTÂNCIA ENTRE EIXOS 4,80 M, POTÊNCIA 189 CV INCLUSIVE TANQUE DE AÇO PARA TRANSPORTE DE ÁGUA, CAPACIDADE 6 M3 - MANUTENÇÃO. AF_06/2014</t>
  </si>
  <si>
    <t xml:space="preserve"> 5747 </t>
  </si>
  <si>
    <t>CAMINHÃO PIPA 6.000 L, PESO BRUTO TOTAL 13.000 KG, DISTÂNCIA ENTRE EIXOS 4,80 M, POTÊNCIA 189 CV INCLUSIVE TANQUE DE AÇO PARA TRANSPORTE DE ÁGUA, CAPACIDADE 6 M3 - MATERIAIS NA OPERAÇÃO. AF_06/2014</t>
  </si>
  <si>
    <t xml:space="preserve"> 88282 </t>
  </si>
  <si>
    <t>MOTORISTA DE CAMINHÃO COM ENCARGOS COMPLEMENTARES</t>
  </si>
  <si>
    <t xml:space="preserve"> 91359 </t>
  </si>
  <si>
    <t>CAMINHÃO PIPA 6.000 L, PESO BRUTO TOTAL 13.000 KG, DISTÂNCIA ENTRE EIXOS 4,80 M, POTÊNCIA 189 CV INCLUSIVE TANQUE DE AÇO PARA TRANSPORTE DE ÁGUA, CAPACIDADE 6 M3 - DEPRECIAÇÃO. AF_06/2014</t>
  </si>
  <si>
    <t xml:space="preserve"> 91360 </t>
  </si>
  <si>
    <t>CAMINHÃO PIPA 6.000 L, PESO BRUTO TOTAL 13.000 KG, DISTÂNCIA ENTRE EIXOS 4,80 M, POTÊNCIA 189 CV INCLUSIVE TANQUE DE AÇO PARA TRANSPORTE DE ÁGUA, CAPACIDADE 6 M3 - JUROS. AF_06/2014</t>
  </si>
  <si>
    <t xml:space="preserve"> 91361 </t>
  </si>
  <si>
    <t>CAMINHÃO PIPA 6.000 L, PESO BRUTO TOTAL 13.000 KG, DISTÂNCIA ENTRE EIXOS 4,80 M, POTÊNCIA 189 CV INCLUSIVE TANQUE DE AÇO PARA TRANSPORTE DE ÁGUA, CAPACIDADE 6 M3 - IMPOSTOS E SEGUROS. AF_06/2014</t>
  </si>
  <si>
    <t xml:space="preserve"> 73303 </t>
  </si>
  <si>
    <t>GRUPO GERADOR ESTACIONÁRIO, MOTOR DIESEL POTÊNCIA 170 KVA - DEPRECIAÇÃO. AF_02/2016</t>
  </si>
  <si>
    <t xml:space="preserve"> 73307 </t>
  </si>
  <si>
    <t>GRUPO GERADOR ESTACIONÁRIO, MOTOR DIESEL POTÊNCIA 170 KVA - MANUTENÇÃO. AF_02/2016</t>
  </si>
  <si>
    <t xml:space="preserve"> 73311 </t>
  </si>
  <si>
    <t>GRUPO GERADOR ESTACIONÁRIO, MOTOR DIESEL POTÊNCIA 170 KVA - MATERIAIS NA OPERAÇÃO. AF_02/2016</t>
  </si>
  <si>
    <t xml:space="preserve"> 93423 </t>
  </si>
  <si>
    <t>GRUPO GERADOR ESTACIONÁRIO, POTÊNCIA 150 KVA, MOTOR A DIESEL- DEPRECIAÇÃO. AF_03/2016</t>
  </si>
  <si>
    <t xml:space="preserve"> 93424 </t>
  </si>
  <si>
    <t>GRUPO GERADOR ESTACIONÁRIO, POTÊNCIA 150 KVA, MOTOR A DIESEL- JUROS. AF_03/2016</t>
  </si>
  <si>
    <t>SERP - SERVIÇOS PRELIMINARES</t>
  </si>
  <si>
    <t>m²</t>
  </si>
  <si>
    <t xml:space="preserve"> 88278 </t>
  </si>
  <si>
    <t>MONTADOR DE ESTRUTURA METÁLICA COM ENCARGOS COMPLEMENTARES</t>
  </si>
  <si>
    <t xml:space="preserve"> 88316 </t>
  </si>
  <si>
    <t>SERVENTE COM ENCARGOS COMPLEMENTARES</t>
  </si>
  <si>
    <t>TRAN - TRANSPORTES, CARGAS E DESCARGAS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</si>
  <si>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</si>
  <si>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</si>
  <si>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</si>
  <si>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</si>
  <si>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</si>
  <si>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</si>
  <si>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</si>
  <si>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</si>
  <si>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>Remoção mecanizada de camada granular do pavimento</t>
  </si>
  <si>
    <t>E9524</t>
  </si>
  <si>
    <t>Motoniveladora - 93 kW</t>
  </si>
  <si>
    <t>D</t>
  </si>
  <si>
    <t>Atividades Auxiliares</t>
  </si>
  <si>
    <t>Unidade</t>
  </si>
  <si>
    <t>Preço Unitário</t>
  </si>
  <si>
    <t>Atividade Auxiliar</t>
  </si>
  <si>
    <t>Custo Total das Atividades =&gt;</t>
  </si>
  <si>
    <t>E</t>
  </si>
  <si>
    <t>Tempos Fixos</t>
  </si>
  <si>
    <t>Tempo Fixo</t>
  </si>
  <si>
    <t>M3508</t>
  </si>
  <si>
    <t>Carga, manobra e descarga de agregados ou solos em caminhão basculante de 6 m³ - carga com carregadeira de 1,72 m³ edescarga livre</t>
  </si>
  <si>
    <t>t</t>
  </si>
  <si>
    <t>Custo Total dos Tempos Fixos =&gt;</t>
  </si>
  <si>
    <t>F</t>
  </si>
  <si>
    <t>Momento de Transporte</t>
  </si>
  <si>
    <t>Distância Média de Transporte (DMT)</t>
  </si>
  <si>
    <t>LN</t>
  </si>
  <si>
    <t>RP</t>
  </si>
  <si>
    <t>P</t>
  </si>
  <si>
    <t>Camada granular (base ou sub-base) - Caminhão basculante com capacidade de 6 m³ - 136 kW</t>
  </si>
  <si>
    <t>tkm</t>
  </si>
  <si>
    <t>Custo total dos Momentos de Transportes =&gt;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</si>
  <si>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</si>
  <si>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</si>
  <si>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</si>
  <si>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</si>
  <si>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>Espalhamento de material em bota-fora</t>
  </si>
  <si>
    <t>E9540</t>
  </si>
  <si>
    <t>Trator sobre esteiras com lâmina - 127 kW</t>
  </si>
  <si>
    <t>URBA - URBANIZAÇÃO</t>
  </si>
  <si>
    <t xml:space="preserve"> 88441 </t>
  </si>
  <si>
    <t>JARDINEIRO COM ENCARGOS COMPLEMENTARES</t>
  </si>
  <si>
    <t xml:space="preserve"> 00003123 </t>
  </si>
  <si>
    <t>FERTILIZANTE NPK - 4: 14: 8</t>
  </si>
  <si>
    <t xml:space="preserve"> 00038125 </t>
  </si>
  <si>
    <t>FERTILIZANTE ORGANICO COMPOSTO, CLASSE A</t>
  </si>
  <si>
    <t xml:space="preserve"> 00044479 </t>
  </si>
  <si>
    <t>CALCARIO DOLOMITICO A (POSTO PEDREIRA/FORNECEDOR,  SEM FRETE)</t>
  </si>
  <si>
    <t xml:space="preserve"> 00003324 </t>
  </si>
  <si>
    <t>GRAMA BATATAIS EM PLACAS, SEM PLANTIO</t>
  </si>
  <si>
    <t xml:space="preserve"> 89031 </t>
  </si>
  <si>
    <t>TRATOR DE ESTEIRAS, POTÊNCIA 100 HP, PESO OPERACIONAL 9,4 T, COM LÂMINA 2,19 M3 - CHI DIURNO. AF_06/2014</t>
  </si>
  <si>
    <t xml:space="preserve"> 89032 </t>
  </si>
  <si>
    <t>TRATOR DE ESTEIRAS, POTÊNCIA 100 HP, PESO OPERACIONAL 9,4 T, COM LÂMINA 2,19 M3 - CHP DIURNO. AF_06/2014</t>
  </si>
  <si>
    <t xml:space="preserve"> 94962 </t>
  </si>
  <si>
    <t>CONCRETO MAGRO PARA LASTRO, TRAÇO 1:4,5:4,5 (EM MASSA SECA DE CIMENTO/ AREIA MÉDIA/ BRITA 1) - PREPARO MECÂNICO COM BETONEIRA 400 L. AF_05/2021</t>
  </si>
  <si>
    <t>FUES - FUNDAÇÕES E ESTRUTURAS</t>
  </si>
  <si>
    <t xml:space="preserve"> 88262 </t>
  </si>
  <si>
    <t>CARPINTEIRO DE FORMAS COM ENCARGOS COMPLEMENTARES</t>
  </si>
  <si>
    <t xml:space="preserve"> 00004813 </t>
  </si>
  <si>
    <t>PLACA DE OBRA (PARA CONSTRUCAO CIVIL) EM CHAPA GALVANIZADA *N. 22*, ADESIVADA, DE *2,4 X 1,2* M (SEM POSTES PARA FIXACAO)</t>
  </si>
  <si>
    <t xml:space="preserve"> 00004491 </t>
  </si>
  <si>
    <t>PONTALETE *7,5 X 7,5* CM EM PINUS, MISTA OU EQUIVALENTE DA REGIAO - BRUTA</t>
  </si>
  <si>
    <t xml:space="preserve"> 00005075 </t>
  </si>
  <si>
    <t>PREGO DE ACO POLIDO COM CABECA 18 X 30 (2 3/4 X 10)</t>
  </si>
  <si>
    <t xml:space="preserve"> 00004417 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</si>
  <si>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</si>
  <si>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</si>
  <si>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</si>
  <si>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</si>
  <si>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</si>
  <si>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</si>
  <si>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94974 </t>
  </si>
  <si>
    <t>CONCRETO MAGRO PARA LASTRO, TRAÇO 1:4,5:4,5 (EM MASSA SECA DE CIMENTO/ AREIA MÉDIA/ BRITA 1) - PREPARO MANUAL. AF_05/2021</t>
  </si>
  <si>
    <t xml:space="preserve"> 00003992 </t>
  </si>
  <si>
    <t xml:space="preserve"> 00004433 </t>
  </si>
  <si>
    <t xml:space="preserve"> 00005061 </t>
  </si>
  <si>
    <t>PREGO DE ACO POLIDO COM CABECA 18 X 27 (2 1/2 X 10)</t>
  </si>
  <si>
    <t xml:space="preserve"> 00007243 </t>
  </si>
  <si>
    <t>TELHA TRAPEZOIDAL EM ACO ZINCADO, SEM PINTURA, ALTURA DE APROXIMADAMENTE 40 MM, ESPESSURA DE 0,50 MM E LARGURA UTIL DE 980 MM</t>
  </si>
  <si>
    <t>ESQV - ESQUADRIAS/FERRAGENS/VIDROS</t>
  </si>
  <si>
    <t xml:space="preserve"> 88317 </t>
  </si>
  <si>
    <t>SOLDADOR COM ENCARGOS COMPLEMENTARES</t>
  </si>
  <si>
    <t xml:space="preserve"> 00000555 </t>
  </si>
  <si>
    <t xml:space="preserve"> 00010998 </t>
  </si>
  <si>
    <t>ELETRODO REVESTIDO AWS - E-6010, DIAMETRO IGUAL A 4,00 MM</t>
  </si>
  <si>
    <t xml:space="preserve"> 00021010 </t>
  </si>
  <si>
    <t>TUBO ACO GALVANIZADO COM COSTURA, CLASSE LEVE, DN 25 MM ( 1"),  E = 2,65 MM,  *2,11* KG/M (NBR 5580)</t>
  </si>
  <si>
    <t xml:space="preserve"> 00007691 </t>
  </si>
  <si>
    <t>TUBO ACO GALVANIZADO COM COSTURA, CLASSE MEDIA, DN 1/2", E = *2,65* MM, PESO *1,22* KG/M (NBR 5580)</t>
  </si>
  <si>
    <t xml:space="preserve"> M0004 </t>
  </si>
  <si>
    <t>Aço CA 50</t>
  </si>
  <si>
    <t>kg</t>
  </si>
  <si>
    <t xml:space="preserve"> 00043603 </t>
  </si>
  <si>
    <t>CADEADO SIMPLES, CORPO EM LATAO MACICO, COM LARGURA DE 50 MM E ALTURA DE APROX 40 MM, HASTE CEMENTADA EM ACO TEMPERADO COM DIAMETRO DE APROX 8,0 MM, INCLUINDO 2 CHAVES</t>
  </si>
  <si>
    <t xml:space="preserve"> 00007698 </t>
  </si>
  <si>
    <t>TUBO ACO GALVANIZADO COM COSTURA, CLASSE MEDIA, DN 1.1/4", E = *3,25* MM, PESO *3,14* KG/M (NBR 5580)</t>
  </si>
  <si>
    <t xml:space="preserve"> 100665 </t>
  </si>
  <si>
    <t>JANELA DE MADEIRA - CEDRINHO/ANGELIM OU EQUIVALENTE DA REGIÃO - DE ABRIR COM 4 FOLHAS (2 VENEZIANAS E 2 GUILHOTINAS PARA VIDRO), COM BATENTE, ALIZAR E FERRAGENS. EXCLUSIVE VIDROS, ACABAMENTO E CONTRAMARCO. FORNECIMENTO E INSTALAÇÃO. AF_12/2019</t>
  </si>
  <si>
    <t xml:space="preserve"> 100919 </t>
  </si>
  <si>
    <t>LÂMPADA FLUORESCENTE ESPIRAL BRANCA 45 W, BASE E27 - FORNECIMENTO E INSTALAÇÃO. AF_02/2020</t>
  </si>
  <si>
    <t>INEL - INSTALAÇÃO ELÉTRICA/ELETRIFICAÇÃO E ILUMINAÇÃO EXTERNA</t>
  </si>
  <si>
    <t xml:space="preserve"> 88489 </t>
  </si>
  <si>
    <t>PINT - PINTURAS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</si>
  <si>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</si>
  <si>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</si>
  <si>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91170 </t>
  </si>
  <si>
    <t>INHI - INSTALAÇÕES HIDROS SANITÁRIAS</t>
  </si>
  <si>
    <t xml:space="preserve"> 91173 </t>
  </si>
  <si>
    <t xml:space="preserve"> 91852 </t>
  </si>
  <si>
    <t xml:space="preserve"> 91862 </t>
  </si>
  <si>
    <t xml:space="preserve"> 91870 </t>
  </si>
  <si>
    <t xml:space="preserve"> 91926 </t>
  </si>
  <si>
    <t xml:space="preserve"> 92027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</si>
  <si>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</si>
  <si>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</si>
  <si>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>COBE - COBERTURA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</si>
  <si>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</si>
  <si>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</si>
  <si>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95240 </t>
  </si>
  <si>
    <t>LASTRO DE CONCRETO MAGRO, APLICADO EM PISOS, LAJES SOBRE SOLO OU RADIERS, ESPESSURA DE 3 CM. AF_07/2016</t>
  </si>
  <si>
    <t xml:space="preserve"> 95811 </t>
  </si>
  <si>
    <t xml:space="preserve"> 97593 </t>
  </si>
  <si>
    <t>LUMINÁRIA TIPO SPOT, DE SOBREPOR, COM 1 LÂMPADA FLUORESCENTE DE 15 W, SEM REATOR - FORNECIMENTO E INSTALAÇÃO. AF_02/2020</t>
  </si>
  <si>
    <t xml:space="preserve"> 98308 </t>
  </si>
  <si>
    <t>TOMADA PARA TELEFONE RJ11 - FORNECIMENTO E INSTALAÇÃO. AF_11/2019</t>
  </si>
  <si>
    <t>INES - INSTALAÇÕES ESPECIAIS</t>
  </si>
  <si>
    <t xml:space="preserve"> 98441 </t>
  </si>
  <si>
    <t>PAREDE DE MADEIRA COMPENSADA PARA CONSTRUÇÃO TEMPORÁRIA EM CHAPA SIMPLES, EXTERNA, COM ÁREA LÍQUIDA MAIOR OU IGUAL A 6 M², SEM VÃO. AF_05/2018</t>
  </si>
  <si>
    <t xml:space="preserve"> 98442 </t>
  </si>
  <si>
    <t>PAREDE DE MADEIRA COMPENSADA PARA CONSTRUÇÃO TEMPORÁRIA EM CHAPA SIMPLES, EXTERNA, COM ÁREA LÍQUIDA MENOR QUE 6 M², SEM VÃO. AF_05/2018</t>
  </si>
  <si>
    <t xml:space="preserve"> 98445 </t>
  </si>
  <si>
    <t>PAREDE DE MADEIRA COMPENSADA PARA CONSTRUÇÃO TEMPORÁRIA EM CHAPA SIMPLES, EXTERNA, COM ÁREA LÍQUIDA MAIOR OU IGUAL A 6 M², COM VÃO. AF_05/2018</t>
  </si>
  <si>
    <t xml:space="preserve"> 98446 </t>
  </si>
  <si>
    <t>PAREDE DE MADEIRA COMPENSADA PARA CONSTRUÇÃO TEMPORÁRIA EM CHAPA SIMPLES, EXTERNA, COM ÁREA LÍQUIDA MENOR QUE 6 M², COM VÃO. AF_05/2018</t>
  </si>
  <si>
    <t xml:space="preserve"> 00003080 </t>
  </si>
  <si>
    <t>FECHADURA ESPELHO PARA PORTA EXTERNA, EM ACO INOX (MAQUINA, TESTA E CONTRA-TESTA) E EM ZAMAC (MACANETA, LINGUETA E TRINCOS) COM ACABAMENTO CROMADO, MAQUINA DE 40 MM, INCLUINDO CHAVE TIPO CILINDRO</t>
  </si>
  <si>
    <t>CJ</t>
  </si>
  <si>
    <t xml:space="preserve"> 101165 </t>
  </si>
  <si>
    <t>ALVENARIA DE EMBASAMENTO COM BLOCO ESTRUTURAL DE CONCRETO, DE 14X19X29CM E ARGAMASSA DE ASSENTAMENTO COM PREPARO EM BETONEIRA. AF_05/2020</t>
  </si>
  <si>
    <t xml:space="preserve"> 91341 </t>
  </si>
  <si>
    <t>PORTA EM ALUMÍNIO DE ABRIR TIPO VENEZIANA COM GUARNIÇÃO, FIXAÇÃO COM PARAFUSOS - FORNECIMENTO E INSTALAÇÃO. AF_12/2019</t>
  </si>
  <si>
    <t xml:space="preserve"> 91924 </t>
  </si>
  <si>
    <t xml:space="preserve"> 92023 </t>
  </si>
  <si>
    <t xml:space="preserve"> 93358 </t>
  </si>
  <si>
    <t>ESCAVAÇÃO MANUAL DE VALA COM PROFUNDIDADE MENOR OU IGUAL A 1,30 M. AF_02/2021</t>
  </si>
  <si>
    <t>MOVT - MOVIMENTO DE TERRA</t>
  </si>
  <si>
    <t xml:space="preserve"> 93382 </t>
  </si>
  <si>
    <t>REATERRO MANUAL DE VALAS, COM COMPACTADOR DE SOLOS DE PERCUSSÃO. AF_08/2023</t>
  </si>
  <si>
    <t xml:space="preserve"> 94559 </t>
  </si>
  <si>
    <t>JANELA DE AÇO TIPO BASCULANTE PARA VIDROS, COM BATENTE, FERRAGENS E PINTURA ANTICORROSIVA. EXCLUSIVE VIDROS, ACABAMENTO, ALIZAR E CONTRAMARCO. FORNECIMENTO E INSTALAÇÃO. AF_12/2019</t>
  </si>
  <si>
    <t xml:space="preserve"> 95241 </t>
  </si>
  <si>
    <t>LASTRO DE CONCRETO MAGRO, APLICADO EM PISOS, LAJES SOBRE SOLO OU RADIERS, ESPESSURA DE 5 CM. AF_07/2016</t>
  </si>
  <si>
    <t xml:space="preserve"> 95805 </t>
  </si>
  <si>
    <t xml:space="preserve"> 97586 </t>
  </si>
  <si>
    <t>LUMINÁRIA TIPO CALHA, DE SOBREPOR, COM 2 LÂMPADAS TUBULARES FLUORESCENTES DE 36 W, COM REATOR DE PARTIDA RÁPIDA - FORNECIMENTO E INSTALAÇÃO. AF_02/2020</t>
  </si>
  <si>
    <t xml:space="preserve"> 00011455 </t>
  </si>
  <si>
    <t>FERROLHO COM FECHO / TRINCO REDONDO, EM ACO GALVANIZADO / ZINCADO, DE SOBREPOR, COM COMPRIMENTO DE 8" E ESPESSURA MINIMA DA CHAPA DE 1,50 MM</t>
  </si>
  <si>
    <t xml:space="preserve"> 101876 </t>
  </si>
  <si>
    <t>QUADRO DE DISTRIBUIÇÃO DE ENERGIA EM PVC, DE EMBUTIR, SEM BARRAMENTO, PARA 6 DISJUNTORES - FORNECIMENTO E INSTALAÇÃO. AF_10/2020</t>
  </si>
  <si>
    <t xml:space="preserve"> 101891 </t>
  </si>
  <si>
    <t>DISJUNTOR MONOPOLAR TIPO NEMA, CORRENTE NOMINAL DE 35 ATÉ 50A - FORNECIMENTO E INSTALAÇÃO. AF_10/2020</t>
  </si>
  <si>
    <t xml:space="preserve"> 92008 </t>
  </si>
  <si>
    <t xml:space="preserve"> 92981 </t>
  </si>
  <si>
    <t>CABO DE COBRE FLEXÍVEL ISOLADO, 16 MM², ANTI-CHAMA 450/750 V, PARA DISTRIBUIÇÃO - FORNECIMENTO E INSTALAÇÃO. AF_12/2015</t>
  </si>
  <si>
    <t xml:space="preserve"> 96985 </t>
  </si>
  <si>
    <t xml:space="preserve"> 97886 </t>
  </si>
  <si>
    <t>CAIXA ENTERRADA ELÉTRICA RETANGULAR, EM ALVENARIA COM TIJOLOS CERÂMICOS MACIÇOS, FUNDO COM BRITA, DIMENSÕES INTERNAS: 0,3X0,3X0,3 M. AF_12/2020</t>
  </si>
  <si>
    <t xml:space="preserve"> 00010886 </t>
  </si>
  <si>
    <t>EXTINTOR DE INCENDIO PORTATIL COM CARGA DE AGUA PRESSURIZADA DE 10 L, CLASSE A</t>
  </si>
  <si>
    <t xml:space="preserve"> 00010891 </t>
  </si>
  <si>
    <t>EXTINTOR DE INCENDIO PORTATIL COM CARGA DE PO QUIMICO SECO (PQS) DE 4 KG, CLASSE BC</t>
  </si>
  <si>
    <t xml:space="preserve"> 91959 </t>
  </si>
  <si>
    <t xml:space="preserve"> 92000 </t>
  </si>
  <si>
    <t xml:space="preserve"> 92001 </t>
  </si>
  <si>
    <t xml:space="preserve"> 89408 </t>
  </si>
  <si>
    <t>JOELHO 90 GRAUS, PVC, SOLDÁVEL, DN 25MM, INSTALADO EM RAMAL DE DISTRIBUIÇÃO DE ÁGUA - FORNECIMENTO E INSTALAÇÃO. AF_06/2022</t>
  </si>
  <si>
    <t xml:space="preserve"> 89972 </t>
  </si>
  <si>
    <t>KIT DE REGISTRO DE GAVETA BRUTO DE LATÃO ¾", INCLUSIVE CONEXÕES, ROSCÁVEL, INSTALADO EM RAMAL DE ÁGUA FRIA - FORNECIMENTO E INSTALAÇÃO. AF_12/2014</t>
  </si>
  <si>
    <t xml:space="preserve"> 94648 </t>
  </si>
  <si>
    <t>TUBO, PVC, SOLDÁVEL, DN  25 MM, INSTALADO EM RESERVAÇÃO DE ÁGUA DE EDIFICAÇÃO QUE POSSUA RESERVATÓRIO DE FIBRA/FIBROCIMENTO   FORNECIMENTO E INSTALAÇÃO. AF_06/2016</t>
  </si>
  <si>
    <t xml:space="preserve"> 94688 </t>
  </si>
  <si>
    <t>TÊ, PVC, SOLDÁVEL, DN  25 MM INSTALADO EM RESERVAÇÃO DE ÁGUA DE EDIFICAÇÃO QUE POSSUA RESERVATÓRIO DE FIBRA/FIBROCIMENTO   FORNECIMENTO E INSTALAÇÃO. AF_06/2016</t>
  </si>
  <si>
    <t xml:space="preserve"> 94703 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</si>
  <si>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</si>
  <si>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94796 </t>
  </si>
  <si>
    <t>TORNEIRA DE BOIA PARA CAIXA D'ÁGUA, ROSCÁVEL, 3/4" - FORNECIMENTO E INSTALAÇÃO. AF_08/2021</t>
  </si>
  <si>
    <t xml:space="preserve"> 00034636 </t>
  </si>
  <si>
    <t xml:space="preserve"> 00034640 </t>
  </si>
  <si>
    <t xml:space="preserve"> 00034492 </t>
  </si>
  <si>
    <t>CONCRETO USINADO BOMBEAVEL, CLASSE DE RESISTENCIA C20, COM BRITA 0 E 1, SLUMP = 100 +/- 20 MM, EXCLUI SERVICO DE BOMBEAMENTO (NBR 8953)</t>
  </si>
  <si>
    <t xml:space="preserve"> 00043681 </t>
  </si>
  <si>
    <t>CHAPA/PAINEL DE MADEIRA COMPENSADA RESINADA (MADEIRITE RESINADO ROSA) PARA FORMA DE CONCRETO, DE 2200 x 1100 MM, E = 8 A 12 MM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</si>
  <si>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</si>
  <si>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</si>
  <si>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</si>
  <si>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</si>
  <si>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88309 </t>
  </si>
  <si>
    <t>PEDREIRO COM ENCARGOS COMPLEMENTARES</t>
  </si>
  <si>
    <t xml:space="preserve"> 88628 </t>
  </si>
  <si>
    <t>ARGAMASSA TRAÇO 1:3 (EM VOLUME DE CIMENTO E AREIA MÉDIA ÚMIDA), PREPARO MECÂNICO COM BETONEIRA 400 L. AF_08/2019</t>
  </si>
  <si>
    <t xml:space="preserve"> 97738 </t>
  </si>
  <si>
    <t xml:space="preserve"> 97740 </t>
  </si>
  <si>
    <t>PEÇA CIRCULAR PRÉ-MOLDADA, VOLUME DE CONCRETO ACIMA DE 100 LITROS, TAXA DE AÇO APROXIMADA DE 30KG/M³. AF_01/2018</t>
  </si>
  <si>
    <t xml:space="preserve"> 00012565 </t>
  </si>
  <si>
    <t>ANEL EM CONCRETO ARMADO, LISO, PARA FOSSAS SEPTICAS E SUMIDOUROS, SEM FUNDO, DIAMETRO INTERNO DE 2,00 M E ALTURA DE 0,50 M</t>
  </si>
  <si>
    <t xml:space="preserve"> 88264 </t>
  </si>
  <si>
    <t>ELETRICISTA COM ENCARGOS COMPLEMENTARES</t>
  </si>
  <si>
    <t xml:space="preserve"> 00000392 </t>
  </si>
  <si>
    <t>ABRACADEIRA EM ACO PARA AMARRACAO DE ELETRODUTOS, TIPO D, COM 1/2" E PARAFUSO DE FIXACAO</t>
  </si>
  <si>
    <t xml:space="preserve"> 00000979 </t>
  </si>
  <si>
    <t>CABO DE COBRE, FLEXIVEL, CLASSE 4 OU 5, ISOLACAO EM PVC/A, ANTICHAMA BWF-B, 1 CONDUTOR, 450/750 V, SECAO NOMINAL 16 MM2</t>
  </si>
  <si>
    <t xml:space="preserve"> 00002673 </t>
  </si>
  <si>
    <t>ELETRODUTO DE PVC RIGIDO ROSCAVEL DE 1/2 ", SEM LUVA</t>
  </si>
  <si>
    <t xml:space="preserve"> 00001875 </t>
  </si>
  <si>
    <t>CURVA 90 GRAUS, LONGA, DE PVC RIGIDO ROSCAVEL, DE 1 1/2", PARA ELETRODUTO</t>
  </si>
  <si>
    <t xml:space="preserve"> 00012056 </t>
  </si>
  <si>
    <t>ELETRODUTO FLEXIVEL, EM ACO, TIPO CONDUITE, DIAMETRO DE 1 1/2"</t>
  </si>
  <si>
    <t xml:space="preserve"> 00012344 </t>
  </si>
  <si>
    <t>FUSIVEL DIAZED 20 A TAMANHO DII, CAPACIDADE DE INTERRUPCAO DE 50 KA EM VCA E 8 KA EM VCC, TENSAO NOMIMNAL DE 500 V</t>
  </si>
  <si>
    <t xml:space="preserve"> 00003406 </t>
  </si>
  <si>
    <t>ISOLADOR DE PORCELANA, TIPO PINO MONOCORPO, PARA TENSAO DE *15* KV</t>
  </si>
  <si>
    <t xml:space="preserve"> 00007701 </t>
  </si>
  <si>
    <t>TUBO ACO GALVANIZADO COM COSTURA, CLASSE MEDIA, DN 2.1/2", E = *3,65* MM, PESO *6,51* KG/M (NBR 5580)</t>
  </si>
  <si>
    <t xml:space="preserve"> 00004481 </t>
  </si>
  <si>
    <t>Equipamento para Aquisição Permanente</t>
  </si>
  <si>
    <t xml:space="preserve"> 88267 </t>
  </si>
  <si>
    <t>ENCANADOR OU BOMBEIRO HIDRÁULICO COM ENCARGOS COMPLEMENTARES</t>
  </si>
  <si>
    <t xml:space="preserve"> 88252 </t>
  </si>
  <si>
    <t>AUXILIAR DE SERVIÇOS GERAIS COM ENCARGOS COMPLEMENTARES</t>
  </si>
  <si>
    <t xml:space="preserve"> 88241 </t>
  </si>
  <si>
    <t>AJUDANTE DE OPERAÇÃO EM GERAL COM ENCARGOS COMPLEMENTARES</t>
  </si>
  <si>
    <t xml:space="preserve"> M0081 </t>
  </si>
  <si>
    <t>Areia grossa</t>
  </si>
  <si>
    <t xml:space="preserve"> 00020247 </t>
  </si>
  <si>
    <t>PREGO DE ACO POLIDO COM CABECA 15 X 15 (1 1/4 X 13)</t>
  </si>
  <si>
    <t xml:space="preserve"> 00036365 </t>
  </si>
  <si>
    <t>TUBO COLETOR DE ESGOTO PVC, JEI, DN 100 MM (NBR  7362)</t>
  </si>
  <si>
    <t xml:space="preserve"> 00034401 </t>
  </si>
  <si>
    <t>TIJOLO CERAMICO LAMINADO 5,5 X 11 X 23 CM (L X A X C)</t>
  </si>
  <si>
    <t xml:space="preserve"> 00011686 </t>
  </si>
  <si>
    <t xml:space="preserve"> 00010422 </t>
  </si>
  <si>
    <t>BACIA SANITARIA (VASO) COM CAIXA ACOPLADA, SIFAO APARENTE, DE LOUCA BRANCA (SEM ASSENTO)</t>
  </si>
  <si>
    <t xml:space="preserve"> 00012774 </t>
  </si>
  <si>
    <t>HIDROMETRO UNIJATO / MEDIDOR DE AGUA, DN 3/4", VAZAO MAXIMA DE 5 M3/H, PARA AGUA POTAVEL FRIA, RELOJOARIA PLANA, CLASSE B, HORIZONTAL (SEM CONEXOES)0,</t>
  </si>
  <si>
    <t>Lastro de brita comercial compactado com soquete vibratório - espalhamento manual</t>
  </si>
  <si>
    <t>E9647</t>
  </si>
  <si>
    <t>Compactador manual com soquete vibratório - 4,10 kW</t>
  </si>
  <si>
    <t>M0192</t>
  </si>
  <si>
    <t>Brita 2</t>
  </si>
  <si>
    <t>Custo Total do Material =&gt;</t>
  </si>
  <si>
    <t>Carga, manobra e descarga de agregados ou solos em caminhão basculante de 10 m³ - carga com carregadeira de 3,40 m³(exclusa) e descarga livre</t>
  </si>
  <si>
    <t>Brita 2 - Caminhão basculante com capacidade de 10 m³ - 188 kW</t>
  </si>
  <si>
    <t xml:space="preserve"> 88377 </t>
  </si>
  <si>
    <t>OPERADOR DE BETONEIRA ESTACIONÁRIA/MISTURADOR COM ENCARGOS COMPLEMENTARES</t>
  </si>
  <si>
    <t xml:space="preserve"> 89225 </t>
  </si>
  <si>
    <t xml:space="preserve"> 89226 </t>
  </si>
  <si>
    <t xml:space="preserve"> M0028 </t>
  </si>
  <si>
    <t>Areia média</t>
  </si>
  <si>
    <t xml:space="preserve"> M0191 </t>
  </si>
  <si>
    <t>Brita 1</t>
  </si>
  <si>
    <t>Fôrmas de compensado resinado 10 mm - uso geral - utilização de 3 vezes - confecção, instalação e retirada</t>
  </si>
  <si>
    <t>E9066</t>
  </si>
  <si>
    <t>E9535</t>
  </si>
  <si>
    <t>Serra circular com bancada - D = 30 cm - 4 kW</t>
  </si>
  <si>
    <t>M0284</t>
  </si>
  <si>
    <t>Caibro de pinho - L = 7,5 cm e E = 7,5 cm</t>
  </si>
  <si>
    <t>m</t>
  </si>
  <si>
    <t>M0446</t>
  </si>
  <si>
    <t>Compensado resinado - E = 10 mm</t>
  </si>
  <si>
    <t>M0560</t>
  </si>
  <si>
    <t>Desmoldante para fôrmas de madeira</t>
  </si>
  <si>
    <t>l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</si>
  <si>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</si>
  <si>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</si>
  <si>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</si>
  <si>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</si>
  <si>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</si>
  <si>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</si>
  <si>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</si>
  <si>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</si>
  <si>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Carga, manobra e descarga de materiais diversos em caminhão carroceria de 15 t - carga e descarga manuais</t>
  </si>
  <si>
    <t>Caibro de pinho - L = 7,5 cm e E = 7,5 cm - Caminhão carroceria com capacidade de 15 t - 188 kW</t>
  </si>
  <si>
    <t>Compensado resinado - E = 10 mm - Caminhão carroceria com capacidade de 15 t - 188 kW</t>
  </si>
  <si>
    <t>Desmoldante para fôrmas de madeira - Caminhão carroceria com capacidade de 15 t - 188 kW</t>
  </si>
  <si>
    <t>Peça de madeira - L = 7,5 cm e E = 2,5 cm - Caminhão carroceria com capacidade de 15 t - 188 kW</t>
  </si>
  <si>
    <t>Prego de ferro - Caminhão carroceria com capacidade de 15 t - 188 kW</t>
  </si>
  <si>
    <t>Tábua - E = 2,5 cm e L = 10 cm - Caminhão carroceria com capacidade de 15 t - 188 kW</t>
  </si>
  <si>
    <t>Tábua - E = 2,5 cm e L = 30 cm - Caminhão carroceria com capacidade de 15 t - 188 kW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</si>
  <si>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</si>
  <si>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</si>
  <si>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</si>
  <si>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</si>
  <si>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>SERT - SERVIÇOS TÉCNICOS</t>
  </si>
  <si>
    <t xml:space="preserve"> 00004006 </t>
  </si>
  <si>
    <t>MADEIRA SERRADA EM PINUS, MISTA OU EQUIVALENTE DA REGIAO - BRUTA</t>
  </si>
  <si>
    <t xml:space="preserve"> 00037524 </t>
  </si>
  <si>
    <t>TELA PLASTICA LARANJA, TIPO TAPUME PARA SINALIZACAO, MALHA RETANGULAR, ROLO 1.20 X 50 M (L X C)</t>
  </si>
  <si>
    <t>BALIZADOR MOVEL CONFORME NTC-108</t>
  </si>
  <si>
    <t>Outros</t>
  </si>
  <si>
    <t xml:space="preserve"> 88247 </t>
  </si>
  <si>
    <t>AUXILIAR DE ELETRICISTA COM ENCARGOS COMPLEMENTARES</t>
  </si>
  <si>
    <t>SINALIZADOR ELETRONICO</t>
  </si>
  <si>
    <t>un.dia</t>
  </si>
  <si>
    <t>M1079</t>
  </si>
  <si>
    <t>Parafuso de cabeça sextavada em aço galvanizado tipo autoatarrachante com arruela de vedação - D = 6,3</t>
  </si>
  <si>
    <t>un</t>
  </si>
  <si>
    <t>Placa em aço nº 16 galvanizado com película retrorrefletiva tipo I + I - confecção</t>
  </si>
  <si>
    <t>Cavalete em perfil metálico para placa de sinalização - 1,00 m x 1,00 m - confecção</t>
  </si>
  <si>
    <t>Cavalete em perfil metálico para placa de sinalização - 1,00 m x 1,00 m - confecção - Caminhão carroceria com capacidade de 15 t - 188 kW</t>
  </si>
  <si>
    <t>Placa em aço nº 16 galvanizado com película retrorrefletiva tipo I + I - confecção - Caminhão carroceria com capacidade de 15 t - 188 kW</t>
  </si>
  <si>
    <t>Parafuso de cabeça sextavada em aço galvanizado tipo autoatarrachante com arruela de vedação - D = 6,3 - Caminhão carroceria com capacidade de 15 t - 188 kW</t>
  </si>
  <si>
    <t>M0789</t>
  </si>
  <si>
    <t>Conjunto para fixação de placas em aço galvanizado composto por barra chata, abraçadeira, parafusos,</t>
  </si>
  <si>
    <t>Suporte metálico móvel para placa de sinalização - confecção</t>
  </si>
  <si>
    <t>Suporte metálico móvel para placa de sinalização - confecção - Caminhão carroceria com capacidade de 15 t - 188 kW</t>
  </si>
  <si>
    <t>Conjunto para fixação de placas em aço galvanizado composto por barra chata, abraçadeira, parafusos, - Caminhão carroceria com capacidade de 15 t - 188 kW</t>
  </si>
  <si>
    <t>Barreira de sinalização tipo III de direcionamento ou bloqueio - confecção</t>
  </si>
  <si>
    <t>Barreira de sinalização tipo III de direcionamento ou bloqueio - confecção - Caminhão carroceria com capacidade de 15 t - 188 kW</t>
  </si>
  <si>
    <t>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</si>
  <si>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</si>
  <si>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</si>
  <si>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Cone de sinalização em polietileno - H = 75 cm e base quadrada de 40 x 40 cm - Caminhão carroceria com capacidade de 15 t - 188 kW</t>
  </si>
  <si>
    <t>M0048</t>
  </si>
  <si>
    <t>Balizador cônico refletivo em polietileno semiflexível - H = 114 cm e base octogonal de D = 40 cm</t>
  </si>
  <si>
    <t>Balizador cônico refletivo em polietileno semiflexível - H = 114 cm e base octogonal de D = 40 cm - Caminhão carroceria com capacidade de 15 t - 188 kW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</si>
  <si>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</si>
  <si>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</si>
  <si>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</si>
  <si>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</si>
  <si>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>E9071</t>
  </si>
  <si>
    <t>Transportador manual carrinho de mão com capacidade de 80 l</t>
  </si>
  <si>
    <t>M3512</t>
  </si>
  <si>
    <t>Carga, manobra e descarga de material demolido em caminhão basculante de 6 m³ - carga manual e descarga livre</t>
  </si>
  <si>
    <t>Material demolido - concreto armado - Caminhão basculante com capacidade de 6 m³ - 136 kW</t>
  </si>
  <si>
    <t xml:space="preserve"> 06.01.10 </t>
  </si>
  <si>
    <t>CARGA E TRANSP. MANUAL HORIZONTAL EM CARRO DE MAO, DE MATERIAIS A GRANEL, P/ DISTANCIAS ATE 30m</t>
  </si>
  <si>
    <t xml:space="preserve"> 88298 </t>
  </si>
  <si>
    <t>OPERADOR DE MARTELETE OU MARTELETEIRO COM ENCARGOS COMPLEMENTARES</t>
  </si>
  <si>
    <t xml:space="preserve"> 90972 </t>
  </si>
  <si>
    <t>COMPRESSOR DE AR REBOCAVEL, VAZÃO 250 PCM, PRESSAO DE TRABALHO 102 PSI, MOTOR A DIESEL POTÊNCIA 81 CV - CHP DIURNO. AF_06/2015</t>
  </si>
  <si>
    <t xml:space="preserve"> 5795 </t>
  </si>
  <si>
    <t>MARTELETE OU ROMPEDOR PNEUMÁTICO MANUAL, 28 KG, COM SILENCIADOR - CHP DIURNO. AF_07/2016</t>
  </si>
  <si>
    <t>L</t>
  </si>
  <si>
    <t xml:space="preserve"> 88297 </t>
  </si>
  <si>
    <t>OPERADOR DE MÁQUINAS E EQUIPAMENTOS COM ENCARGOS COMPLEMENTARES</t>
  </si>
  <si>
    <t>PISO - PISOS</t>
  </si>
  <si>
    <t xml:space="preserve"> 94964 </t>
  </si>
  <si>
    <t>CONCRETO FCK = 20MPA, TRAÇO 1:2,7:3 (EM MASSA SECA DE CIMENTO/ AREIA MÉDIA/ BRITA 1) - PREPARO MECÂNICO COM BETONEIRA 400 L. AF_05/2021</t>
  </si>
  <si>
    <t xml:space="preserve"> 00002692 </t>
  </si>
  <si>
    <t>DESMOLDANTE PROTETOR PARA FORMAS DE MADEIRA, DE BASE OLEOSA EMULSIONADA EM AGUA</t>
  </si>
  <si>
    <t xml:space="preserve"> 00004509 </t>
  </si>
  <si>
    <t>SARRAFO *2,5 X 10* CM EM PINUS, MISTA OU EQUIVALENTE DA REGIAO - BRUTA</t>
  </si>
  <si>
    <t xml:space="preserve"> 00004517 </t>
  </si>
  <si>
    <t>SARRAFO *2,5 X 7,5* CM EM PINUS, MISTA OU EQUIVALENTE DA REGIAO - BRUTA</t>
  </si>
  <si>
    <t xml:space="preserve"> 00005068 </t>
  </si>
  <si>
    <t>PREGO DE ACO POLIDO COM CABECA 17 X 21 (2 X 11)</t>
  </si>
  <si>
    <t>DEMOLICOES</t>
  </si>
  <si>
    <t>RECONSTRUCAO DE MEIO-FIO EM CONCRETO 10cm MOLDADO NO LOCAL</t>
  </si>
  <si>
    <t>PREPARACAO DO TERRENO</t>
  </si>
  <si>
    <t xml:space="preserve"> M1382 </t>
  </si>
  <si>
    <t>Areia grossa lavada</t>
  </si>
  <si>
    <t xml:space="preserve"> 00006193 </t>
  </si>
  <si>
    <t xml:space="preserve"> 5952 </t>
  </si>
  <si>
    <t>MARTELETE OU ROMPEDOR PNEUMÁTICO MANUAL, 28 KG, COM SILENCIADOR - CHI DIURNO. AF_07/2016</t>
  </si>
  <si>
    <t>PAVI - PAVIMENTAÇÃO</t>
  </si>
  <si>
    <t xml:space="preserve"> 5851 </t>
  </si>
  <si>
    <t>TRATOR DE ESTEIRAS, POTÊNCIA 150 HP, PESO OPERACIONAL 16,7 T, COM RODA MOTRIZ ELEVADA E LÂMINA 3,18 M3 - CHP DIURNO. AF_06/2014</t>
  </si>
  <si>
    <t xml:space="preserve"> 5853 </t>
  </si>
  <si>
    <t>TRATOR DE ESTEIRAS, POTÊNCIA 150 HP, PESO OPERACIONAL 16,7 T, COM RODA MOTRIZ ELEVADA E LÂMINA 3,18 M3 - CHI DIURNO. AF_06/2014</t>
  </si>
  <si>
    <t>h</t>
  </si>
  <si>
    <t>E9630</t>
  </si>
  <si>
    <t>Bomba submersível com capacidade de 75 m³/h - 3,6 kW</t>
  </si>
  <si>
    <t>E9764</t>
  </si>
  <si>
    <t>Grupo gerador - 7,2 kVA</t>
  </si>
  <si>
    <t xml:space="preserve"> 09.90.30 </t>
  </si>
  <si>
    <t xml:space="preserve"> 09.90.31 </t>
  </si>
  <si>
    <t xml:space="preserve"> 09.90.32 </t>
  </si>
  <si>
    <t xml:space="preserve"> 09.90.33 </t>
  </si>
  <si>
    <t xml:space="preserve"> 09.90.35 </t>
  </si>
  <si>
    <t xml:space="preserve"> 91533 </t>
  </si>
  <si>
    <t>COMPACTADOR DE SOLOS DE PERCUSSÃO (SOQUETE) COM MOTOR A GASOLINA 4 TEMPOS, POTÊNCIA 4 CV - CHP DIURNO. AF_08/2015</t>
  </si>
  <si>
    <t xml:space="preserve"> 91534 </t>
  </si>
  <si>
    <t>COMPACTADOR DE SOLOS DE PERCUSSÃO (SOQUETE) COM MOTOR A GASOLINA 4 TEMPOS, POTÊNCIA 4 CV - CHI DIURNO. AF_08/2015</t>
  </si>
  <si>
    <t xml:space="preserve"> M0005 </t>
  </si>
  <si>
    <t>Brita 0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</si>
  <si>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</si>
  <si>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</si>
  <si>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</si>
  <si>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</si>
  <si>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</si>
  <si>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</si>
  <si>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</si>
  <si>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</si>
  <si>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5921 </t>
  </si>
  <si>
    <t>GRADE DE DISCO REBOCÁVEL COM 20 DISCOS 24" X 6 MM COM PNEUS PARA TRANSPORTE - CHP DIURNO. AF_06/2014</t>
  </si>
  <si>
    <t xml:space="preserve"> 5923 </t>
  </si>
  <si>
    <t>GRADE DE DISCO REBOCÁVEL COM 20 DISCOS 24" X 6 MM COM PNEUS PARA TRANSPORTE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</si>
  <si>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</si>
  <si>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</si>
  <si>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</si>
  <si>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</si>
  <si>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</si>
  <si>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</si>
  <si>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</si>
  <si>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</si>
  <si>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 xml:space="preserve"> 96463 </t>
  </si>
  <si>
    <t>ROLO COMPACTADOR DE PNEUS, ESTATICO, PRESSAO VARIAVEL, POTENCIA 110 HP, PESO SEM/COM LASTRO 10,8/27 T, LARGURA DE ROLAGEM 2,30 M - CHP DIURNO. AF_06/2017</t>
  </si>
  <si>
    <t xml:space="preserve"> 96464 </t>
  </si>
  <si>
    <t>ROLO COMPACTADOR DE PNEUS, ESTATICO, PRESSAO VARIAVEL, POTENCIA 110 HP, PESO SEM/COM LASTRO 10,8/27 T, LARGURA DE ROLAGEM 2,30 M - CHI DIURNO. AF_06/2017</t>
  </si>
  <si>
    <t>Base ou sub-base de brita graduada com brita comercial</t>
  </si>
  <si>
    <t>E9571</t>
  </si>
  <si>
    <t>Caminhão tanque com capacidade de 10.000 l - 188 kW</t>
  </si>
  <si>
    <t>E9514</t>
  </si>
  <si>
    <t>Distribuidor de agregados sobre pneus autopropelido - 130 kW</t>
  </si>
  <si>
    <t>E9762</t>
  </si>
  <si>
    <t>Rolo compactador de pneus autopropelido de 27 t - 85 kW</t>
  </si>
  <si>
    <t>E9530</t>
  </si>
  <si>
    <t>Rolo compactador liso vibratório autopropelido por pneus de 11 t - 97 kW</t>
  </si>
  <si>
    <t>Usinagem de brita graduada com brita comercial em usina de 300 t/h</t>
  </si>
  <si>
    <t>Carga, manobra e descarga de agregados ou solos em caminhão basculante de 10 m³ - carga em usina de solos de 300 t/h e</t>
  </si>
  <si>
    <t>Usinagem de brita graduada com brita comercial em usina de 300 t/h - Caminhão basculante com capacidade de 10 m³ - 188 kW</t>
  </si>
  <si>
    <t>E9509</t>
  </si>
  <si>
    <t>Caminhão tanque distribuidor de asfalto com capacidade de 6.000 l - 7 kW/136 kW</t>
  </si>
  <si>
    <t>E9558</t>
  </si>
  <si>
    <t>Tanque de estocagem de asfalto com capacidade de 30.000 l</t>
  </si>
  <si>
    <t xml:space="preserve"> 95995 </t>
  </si>
  <si>
    <t>EXECUÇÃO DE PAVIMENTO COM APLICAÇÃO DE CONCRETO ASFÁLTICO, CAMADA DE ROLAMENTO - EXCLUSIVE CARGA E TRANSPORTE. AF_11/2019</t>
  </si>
  <si>
    <t xml:space="preserve"> 00001518 </t>
  </si>
  <si>
    <t>CONCRETO BETUMINOSO USINADO A QUENTE (CBUQ) PARA PAVIMENTACAO ASFALTICA, PADRAO DNIT, FAIXA C, COM CAP 50/70 - AQUISICAO POSTO USINA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</si>
  <si>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</si>
  <si>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</si>
  <si>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</si>
  <si>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</si>
  <si>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7030 </t>
  </si>
  <si>
    <t xml:space="preserve"> 90776 </t>
  </si>
  <si>
    <t>ENCARREGADO GERAL COM ENCARGOS COMPLEMENTARES</t>
  </si>
  <si>
    <t xml:space="preserve"> 95872 </t>
  </si>
  <si>
    <t>GRUPO GERADOR COM CARENAGEM, MOTOR DIESEL POTÊNCIA STANDART ENTRE 250 E 260 KVA - CHP DIURNO. AF_12/2016</t>
  </si>
  <si>
    <t xml:space="preserve"> 95873 </t>
  </si>
  <si>
    <t>GRUPO GERADOR COM CARENAGEM, MOTOR DIESEL POTÊNCIA STANDART ENTRE 250 E 260 KVA - CHI DIURNO. AF_12/2016</t>
  </si>
  <si>
    <t xml:space="preserve"> 100641 </t>
  </si>
  <si>
    <t>USINA DE MISTURA ASFÁLTICA À QUENTE, TIPO CONTRA FLUXO, PROD 100 A 140 TON/HORA - CHP DIURNO. AF_12/2019</t>
  </si>
  <si>
    <t xml:space="preserve"> 100642 </t>
  </si>
  <si>
    <t>USINA DE MISTURA ASFÁLTICA À QUENTE, TIPO CONTRA FLUXO, PROD 100 A 140 TON/HORA - CHI DIURNO. AF_12/2019</t>
  </si>
  <si>
    <t xml:space="preserve"> 91277 </t>
  </si>
  <si>
    <t>PLACA VIBRATÓRIA REVERSÍVEL COM MOTOR 4 TEMPOS A GASOLINA, FORÇA CENTRÍFUGA DE 25 KN (2500 KGF), POTÊNCIA 5,5 CV - CHP DIURNO. AF_08/2015</t>
  </si>
  <si>
    <t>ASTU - ASSENTAMENTO DE TUBOS E PECAS</t>
  </si>
  <si>
    <t xml:space="preserve"> 88246 </t>
  </si>
  <si>
    <t>ASSENTADOR DE TUBOS COM ENCARGOS COMPLEMENTARES</t>
  </si>
  <si>
    <t xml:space="preserve"> 88629 </t>
  </si>
  <si>
    <t>ARGAMASSA TRAÇO 1:3 (EM VOLUME DE CIMENTO E AREIA MÉDIA ÚMIDA), PREPARO MANUAL. AF_08/2019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</si>
  <si>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</si>
  <si>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</si>
  <si>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</si>
  <si>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</si>
  <si>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>CARGA, TRANSPORTE E DESCARGA DE TUBOS E CONEXÕES</t>
  </si>
  <si>
    <t xml:space="preserve"> 89272 </t>
  </si>
  <si>
    <t>GUINDASTE HIDRÁULICO AUTOPROPELIDO, COM LANÇA TELESCÓPICA 28,80 M, CAPACIDADE MÁXIMA 30 T, POTÊNCIA 97 KW, TRAÇÃO 4 X 4 - CHP DIURNO. AF_11/2014</t>
  </si>
  <si>
    <t xml:space="preserve"> 88261 </t>
  </si>
  <si>
    <t>CARPINTEIRO DE ESQUADRIA COM ENCARGOS COMPLEMENTARES</t>
  </si>
  <si>
    <t xml:space="preserve"> 88310 </t>
  </si>
  <si>
    <t>PINTOR COM ENCARGOS COMPLEMENTARES</t>
  </si>
  <si>
    <t xml:space="preserve"> 102486 </t>
  </si>
  <si>
    <t>CONCRETO FCK = 15MPA, TRAÇO 1:3,4:3,4 (EM MASSA SECA DE CIMENTO/ AREIA MÉDIA/ SEIXO ROLADO) - PREPARO MANUAL. AF_05/2021</t>
  </si>
  <si>
    <t xml:space="preserve"> 00004343 </t>
  </si>
  <si>
    <t>PARAFUSO FRANCES ZINCADO, DIAMETRO 1/2", COMPRIMENTO 4", COM PORCA E ARRUELA</t>
  </si>
  <si>
    <t xml:space="preserve"> 00007311 </t>
  </si>
  <si>
    <t>TINTA ESMALTE SINTETICO PREMIUM ACETINADO</t>
  </si>
  <si>
    <t xml:space="preserve"> 09.90.34 </t>
  </si>
  <si>
    <t>DROP - DRENAGEM/OBRAS DE CONTENÇÃO / POÇOS DE VISITA E CAIXAS</t>
  </si>
  <si>
    <t>Armação em aço CA-50 - fornecimento, preparo e colocação</t>
  </si>
  <si>
    <t>M0004</t>
  </si>
  <si>
    <t>M0075</t>
  </si>
  <si>
    <t>Arame liso recozido em aço-carbono - D = 1,24 mm (18 BWG)</t>
  </si>
  <si>
    <t>ARMADOR COM ENCARGOS COMPLEMENTARES</t>
  </si>
  <si>
    <t>Aço CA 50 - Caminhão carroceria com capacidade de 15 t - 188 kW</t>
  </si>
  <si>
    <t>Arame liso recozido em aço-carbono - D = 1,24 mm (18 BWG) - Caminhão carroceria com capacidade de 15 t - 188 kW</t>
  </si>
  <si>
    <t>PARE - PAREDES/PAINEIS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</si>
  <si>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</si>
  <si>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</si>
  <si>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00000654 </t>
  </si>
  <si>
    <t>BLOCO DE VEDACAO DE CONCRETO 19 X 19 X 39 CM (CLASSE C - NBR 6136)</t>
  </si>
  <si>
    <t xml:space="preserve"> 00034548 </t>
  </si>
  <si>
    <t>TELA DE ACO SOLDADA GALVANIZADA/ZINCADA PARA ALVENARIA, FIO  D = *1,20 A 1,70* MM, MALHA 15 X 15 MM, (C X L) *50 X 17,5* CM</t>
  </si>
  <si>
    <t xml:space="preserve"> 00037395 </t>
  </si>
  <si>
    <t>PINO DE ACO COM FURO, HASTE = 27 MM (ACAO DIRETA)</t>
  </si>
  <si>
    <t>CENTO</t>
  </si>
  <si>
    <t>Fôrmas de compensado resinado 12 mm - uso geral - utilização de 2 vezes - confecção, instalação e retirada</t>
  </si>
  <si>
    <t>M0447</t>
  </si>
  <si>
    <t>Compensado resinado - E = 12 mm</t>
  </si>
  <si>
    <t>Compensado resinado - E = 12 mm - Caminhão carroceria com capacidade de 15 t - 188 kW</t>
  </si>
  <si>
    <t xml:space="preserve"> 5863 </t>
  </si>
  <si>
    <t>ROLO COMPACTADOR VIBRATÓRIO REBOCÁVEL, CILINDRO DE AÇO LISO, POTÊNCIA DE TRAÇÃO DE 65 CV, PESO 4,7 T, IMPACTO DINÂMICO 18,3 T, LARGURA DE TRABALHO 1,67 M - CHP DIURNO. AF_02/2016</t>
  </si>
  <si>
    <t xml:space="preserve"> E9685 </t>
  </si>
  <si>
    <t>Rolo compactador pé de carneiro vibratório autopropelido por pneus de 11,6 t - 82 kW</t>
  </si>
  <si>
    <t xml:space="preserve"> E9577 </t>
  </si>
  <si>
    <t>Trator agrícola sobre pneus - 77 kW</t>
  </si>
  <si>
    <t xml:space="preserve"> E9669 </t>
  </si>
  <si>
    <t>Caminhão tanque com capacidade de 8.000 l - 136 kW</t>
  </si>
  <si>
    <t xml:space="preserve"> E9518 </t>
  </si>
  <si>
    <t>Grade de 24 discos rebocável de D = 60 cm (24”)</t>
  </si>
  <si>
    <t xml:space="preserve"> 92767 </t>
  </si>
  <si>
    <t>ARMAÇÃO DE LAJE DE ESTRUTURA CONVENCIONAL DE CONCRETO ARMADO UTILIZANDO AÇO CA-60 DE 4,2 MM - MONTAGEM. AF_06/2022</t>
  </si>
  <si>
    <t xml:space="preserve"> 00001358 </t>
  </si>
  <si>
    <t>CHAPA/PAINEL DE MADEIRA COMPENSADA RESINADA (MADEIRITE RESINADO ROSA) PARA FORMA DE CONCRETO, DE 2200 x 1100 MM, E = 17 MM</t>
  </si>
  <si>
    <t>Fôrmas de tábuas de pinho para dispositivos de drenagem - utilização de 3 vezes - confecção, instalação e retirada</t>
  </si>
  <si>
    <t>M1429</t>
  </si>
  <si>
    <t>Tábua de pinho de terceira - E = 2,5 cm</t>
  </si>
  <si>
    <t>Tábua de pinho de terceira - E = 2,5 cm - Caminhão carroceria com capacidade de 15 t - 188 kW</t>
  </si>
  <si>
    <t xml:space="preserve"> 00012532 </t>
  </si>
  <si>
    <t>ANEL EM CONCRETO ARMADO, LISO, PARA POCOS DE INSPECAO, SEM FUNDO, DIAMETRO INTERNO DE 0,60 M E ALTURA DE 0,50 M</t>
  </si>
  <si>
    <t xml:space="preserve"> 00040304 </t>
  </si>
  <si>
    <t>PREGO DE ACO POLIDO COM CABECA DUPLA 17 X 27 (2 1/2 X 11)</t>
  </si>
  <si>
    <t xml:space="preserve"> 92106 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</si>
  <si>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</si>
  <si>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</si>
  <si>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5847 </t>
  </si>
  <si>
    <t>TRATOR DE ESTEIRAS, POTÊNCIA 170 HP, PESO OPERACIONAL 19 T, CAÇAMBA 5,2 M3 - CHP DIURNO. AF_06/2014</t>
  </si>
  <si>
    <t xml:space="preserve"> 5849 </t>
  </si>
  <si>
    <t>TRATOR DE ESTEIRAS, POTÊNCIA 170 HP, PESO OPERACIONAL 19 T, CAÇAMBA 5,2 M3 - CHI DIURNO. AF_06/2014</t>
  </si>
  <si>
    <t xml:space="preserve"> 93592 </t>
  </si>
  <si>
    <t>TRANSPORTE COM CAMINHÃO BASCULANTE DE 14 M³, EM VIA URBANA EM REVESTIMENTO PRIMÁRIO (UNIDADE: M3XKM). AF_07/2020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</si>
  <si>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</si>
  <si>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</si>
  <si>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</si>
  <si>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</si>
  <si>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>Regularização do subleito</t>
  </si>
  <si>
    <t>E9518</t>
  </si>
  <si>
    <t>E9685</t>
  </si>
  <si>
    <t>E9577</t>
  </si>
  <si>
    <t>Compactação de aterros a 100% do Proctor intermediário</t>
  </si>
  <si>
    <t>Enleivamento</t>
  </si>
  <si>
    <t>M0220</t>
  </si>
  <si>
    <t>Adubo à base de nitrogênio, fósforo e potássio (NPK)</t>
  </si>
  <si>
    <t>M0225</t>
  </si>
  <si>
    <t>Adubo orgânico composto</t>
  </si>
  <si>
    <t>M0217</t>
  </si>
  <si>
    <t>Enxofre</t>
  </si>
  <si>
    <t>M1755</t>
  </si>
  <si>
    <t>Pó calcário dolomítico</t>
  </si>
  <si>
    <t>M1358</t>
  </si>
  <si>
    <t>Sarrafo em madeira de terceira - E = 2,5 cm e L = 5 cm</t>
  </si>
  <si>
    <t>Obtenção de grama para replantio</t>
  </si>
  <si>
    <t>Obtenção de grama para replantio - Caminhão carroceria com capacidade de 15 t - 188 kW</t>
  </si>
  <si>
    <t>Adubo à base de nitrogênio, fósforo e potássio (NPK) - Caminhão carroceria com capacidade de 15 t - 188 kW</t>
  </si>
  <si>
    <t>Adubo orgânico composto - Caminhão carroceria com capacidade de 15 t - 188 kW</t>
  </si>
  <si>
    <t>Pó calcário dolomítico - Caminhão carroceria com capacidade de 15 t - 188 kW</t>
  </si>
  <si>
    <t>Sarrafo em madeira de terceira - E = 2,5 cm e L = 5 cm - Caminhão carroceria com capacidade de 15 t - 188 kW</t>
  </si>
  <si>
    <t xml:space="preserve"> 00004059 </t>
  </si>
  <si>
    <t>MEIO-FIO OU GUIA DE CONCRETO, PRE-MOLDADO, COMP 1 M, *30 X 12/15* CM (H X L1/L2)</t>
  </si>
  <si>
    <t>Placa em aço - película I + III - fornecimento e implantação</t>
  </si>
  <si>
    <t>E9687</t>
  </si>
  <si>
    <t>Caminhão carroceria com capacidade de 5 t - 115 kW</t>
  </si>
  <si>
    <t>Placa em aço nº 16 galvanizado com película retrorrefletiva tipo I + III - confecção</t>
  </si>
  <si>
    <t>M0787</t>
  </si>
  <si>
    <t>Suporte em aço-carbono galvanizado tipo perfil C para placa de sinalização</t>
  </si>
  <si>
    <t>Concreto fck = 20 MPa - confecção em betoneira e lançamento manual - areia e brita comerciais</t>
  </si>
  <si>
    <t>Escavação manual em material de 1ª categoria na profundidade de até 1 m</t>
  </si>
  <si>
    <t>Suporte em aço-carbono galvanizado tipo perfil C para placa de sinalização - Caminhão carroceria com capacidade de 15 t - 188 kW</t>
  </si>
  <si>
    <t>Pintura de faixa com termoplástico por aspersão - espessura de 1,5 mm</t>
  </si>
  <si>
    <t>E9645</t>
  </si>
  <si>
    <t>Caminhão demarcador de faixas com sistema de pintura a quente - 5 kW/30,10 kW/136 kW</t>
  </si>
  <si>
    <t>M2040</t>
  </si>
  <si>
    <t>Massa termoplástica para aspersão</t>
  </si>
  <si>
    <t>M2038</t>
  </si>
  <si>
    <t>Microesferas refletivas de vidro tipo II-A</t>
  </si>
  <si>
    <t>M2044</t>
  </si>
  <si>
    <t>Tinta à base de resina acrílica emulsionada em água para pré-marcação viária</t>
  </si>
  <si>
    <t>Massa termoplástica para aspersão - Caminhão carroceria com capacidade de 15 t - 188 kW</t>
  </si>
  <si>
    <t>Microesferas refletivas de vidro tipo II-A - Caminhão carroceria com capacidade de 15 t - 188 kW</t>
  </si>
  <si>
    <t>Caixas de Inspeção</t>
  </si>
  <si>
    <t xml:space="preserve"> 81.01.10 </t>
  </si>
  <si>
    <t>EQUIPE DE 2 ELEMENTOS COM - SAVEIRO (M)*</t>
  </si>
  <si>
    <t>hora</t>
  </si>
  <si>
    <t>Conversão InfoWOrca</t>
  </si>
  <si>
    <t xml:space="preserve"> 155 </t>
  </si>
  <si>
    <t>Alvenaria tijolo cerâmico maciço (5x9x19), esp = 0,09m (singela), com argamassa traço t5 - 1:2:8 (cimento / cal / areia) c/ junta de 2,0cm - R1</t>
  </si>
  <si>
    <t>Alvenarias de Vedação</t>
  </si>
  <si>
    <t xml:space="preserve"> 1903 </t>
  </si>
  <si>
    <t>Argamassa cimento e areia traço t-1 (1:3) - 1 saco cimento 50kg / 3 padiolas areia dim. 0.35 x 0.45 x 0.23 m - Confecção mecânica e transporte</t>
  </si>
  <si>
    <t>Argamassas</t>
  </si>
  <si>
    <t xml:space="preserve"> 00006240 </t>
  </si>
  <si>
    <t>Infraestrutura</t>
  </si>
  <si>
    <t xml:space="preserve"> 00040271 </t>
  </si>
  <si>
    <t>LOCACAO DE APRUMADOR METALICO DE PILAR, COM ALTURA E ANGULO REGULAVEIS, EXTENSAO DE *1,50* A *2,80* M</t>
  </si>
  <si>
    <t xml:space="preserve"> 00040275 </t>
  </si>
  <si>
    <t>LOCACAO DE VIGA SANDUICHE METALICA VAZADA PARA TRAVAMENTO DE PILARES, ALTURA DE *8* CM, LARGURA DE *6* CM E EXTENSAO DE 2 M</t>
  </si>
  <si>
    <t xml:space="preserve"> 00040287 </t>
  </si>
  <si>
    <t>LOCACAO DE BARRA DE ANCORAGEM DE 0,80 A 1,20 M DE EXTENSAO, COM ROSCA DE 5/8", INCLUINDO PORCA E FLANGE</t>
  </si>
  <si>
    <t>E9519</t>
  </si>
  <si>
    <t>Betoneira com motor a gasolina com capacidade de 600 l - 10 kW</t>
  </si>
  <si>
    <t>E9064</t>
  </si>
  <si>
    <t>Transportador manual gerica com capacidade de 180 l</t>
  </si>
  <si>
    <t>M0082</t>
  </si>
  <si>
    <t>Areia média lavada</t>
  </si>
  <si>
    <t>M0424</t>
  </si>
  <si>
    <t>Cimento Portland CP II - 32 - saco</t>
  </si>
  <si>
    <t>Areia média lavada - Caminhão basculante com capacidade de 10 m³ - 188 kW</t>
  </si>
  <si>
    <t>Cimento Portland CP II - 32 - saco - Caminhão carroceria com capacidade de 15 t - 188 kW</t>
  </si>
  <si>
    <t xml:space="preserve"> 88830 </t>
  </si>
  <si>
    <t xml:space="preserve"> 88831 </t>
  </si>
  <si>
    <t xml:space="preserve"> 88315 </t>
  </si>
  <si>
    <t>SERRALHEIRO COM ENCARGOS COMPLEMENTARES</t>
  </si>
  <si>
    <t xml:space="preserve"> 88238 </t>
  </si>
  <si>
    <t>AJUDANTE DE ARMADOR COM ENCARGOS COMPLEMENTARES</t>
  </si>
  <si>
    <t xml:space="preserve"> 88245 </t>
  </si>
  <si>
    <t>Composições Auxiliares</t>
  </si>
  <si>
    <t xml:space="preserve"> 5914647 </t>
  </si>
  <si>
    <t>E9579</t>
  </si>
  <si>
    <t>Caminhão basculante com capacidade de 10 m³ - 188 kW</t>
  </si>
  <si>
    <t xml:space="preserve"> 5915399 </t>
  </si>
  <si>
    <t>E9506</t>
  </si>
  <si>
    <t>Caminhão basculante com capacidade de 6 m³ - 136 kW</t>
  </si>
  <si>
    <t>E9584</t>
  </si>
  <si>
    <t>Carregadeira de pneus com capacidade de 1,72 m³ - 113 kW</t>
  </si>
  <si>
    <t xml:space="preserve"> 5914333 </t>
  </si>
  <si>
    <t>Carga, manobra e descarga de materiais diversos em caminhão carroceria de 15 t - carga e descarga com caminhãoguindauto de 20 t.m</t>
  </si>
  <si>
    <t>E9592</t>
  </si>
  <si>
    <t>Caminhão carroceria com capacidade de 15 t - 188 kW</t>
  </si>
  <si>
    <t>E9686</t>
  </si>
  <si>
    <t>Caminhão carroceria com guindauto com capacidade de 20 t.m - 136 kW</t>
  </si>
  <si>
    <t xml:space="preserve"> 71.01.10 </t>
  </si>
  <si>
    <t xml:space="preserve"> 30.90.15 </t>
  </si>
  <si>
    <t xml:space="preserve"> 57.02.58 </t>
  </si>
  <si>
    <t xml:space="preserve"> 57.02.67 </t>
  </si>
  <si>
    <t xml:space="preserve"> 59.04.01 </t>
  </si>
  <si>
    <t>CONSUMO COMBUSTIVEL - SAVEIRO (10km/litro)</t>
  </si>
  <si>
    <t xml:space="preserve"> 59.05.01 </t>
  </si>
  <si>
    <t xml:space="preserve"> 101445 </t>
  </si>
  <si>
    <t xml:space="preserve"> 101452 </t>
  </si>
  <si>
    <t>SERVENTE DE OBRAS COM ENCARGOS COMPLEMENTARES</t>
  </si>
  <si>
    <t xml:space="preserve"> 88248 </t>
  </si>
  <si>
    <t>AUXILIAR DE ENCANADOR OU BOMBEIRO HIDRÁULICO COM ENCARGOS COMPLEMENTARES</t>
  </si>
  <si>
    <t xml:space="preserve"> 00000096 </t>
  </si>
  <si>
    <t>ADAPTADOR PVC SOLDAVEL, COM FLANGE E ANEL DE VEDACAO, 25 MM X 3/4", PARA CAIXA D'AGUA</t>
  </si>
  <si>
    <t xml:space="preserve"> 00020083 </t>
  </si>
  <si>
    <t>SOLUCAO PREPARADORA / LIMPADORA PARA PVC, FRASCO COM 1000 CM3</t>
  </si>
  <si>
    <t xml:space="preserve"> 00038383 </t>
  </si>
  <si>
    <t>LIXA D'AGUA EM FOLHA, GRAO 100</t>
  </si>
  <si>
    <t xml:space="preserve"> 89383 </t>
  </si>
  <si>
    <t>ADAPTADOR CURTO COM BOLSA E ROSCA PARA REGISTRO, PVC, SOLDÁVEL, DN 25MM X 3/4 , INSTALADO EM RAMAL OU SUB-RAMAL DE ÁGUA - FORNECIMENTO E INSTALAÇÃO. AF_06/2022</t>
  </si>
  <si>
    <t xml:space="preserve"> 00000065 </t>
  </si>
  <si>
    <t>ADAPTADOR PVC SOLDAVEL CURTO COM BOLSA E ROSCA, 25 MM X 3/4", PARA AGUA FRIA</t>
  </si>
  <si>
    <t xml:space="preserve"> 00000122 </t>
  </si>
  <si>
    <t>ADESIVO PLASTICO PARA PVC, FRASCO COM *850* GR</t>
  </si>
  <si>
    <t xml:space="preserve"> 95308 </t>
  </si>
  <si>
    <t>CURSO DE CAPACITAÇÃO PARA AJUDANTE DE ARMADOR (ENCARGOS COMPLEMENTARES) - HORISTA</t>
  </si>
  <si>
    <t xml:space="preserve"> 00006114 </t>
  </si>
  <si>
    <t>AJUDANTE DE ARMADOR (HORISTA)</t>
  </si>
  <si>
    <t xml:space="preserve"> 00037370 </t>
  </si>
  <si>
    <t xml:space="preserve"> 00037371 </t>
  </si>
  <si>
    <t>Serviços</t>
  </si>
  <si>
    <t xml:space="preserve"> 00037372 </t>
  </si>
  <si>
    <t xml:space="preserve"> 00037373 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</si>
  <si>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</si>
  <si>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</si>
  <si>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</si>
  <si>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</si>
  <si>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95309 </t>
  </si>
  <si>
    <t>CURSO DE CAPACITAÇÃO PARA AJUDANTE DE CARPINTEIRO (ENCARGOS COMPLEMENTARES) - HORISTA</t>
  </si>
  <si>
    <t xml:space="preserve"> 00006117 </t>
  </si>
  <si>
    <t>CARPINTEIRO AUXILIAR (HORISTA)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</si>
  <si>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</si>
  <si>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</si>
  <si>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</si>
  <si>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</si>
  <si>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95311 </t>
  </si>
  <si>
    <t>CURSO DE CAPACITAÇÃO PARA AJUDANTE DE OPERAÇÃO EM GERAL (ENCARGOS COMPLEMENTARES) - HORISTA</t>
  </si>
  <si>
    <t xml:space="preserve"> 00000248 </t>
  </si>
  <si>
    <t>AJUDANTE DE OPERACAO EM GERAL (HORISTA)</t>
  </si>
  <si>
    <t xml:space="preserve"> 00034566 </t>
  </si>
  <si>
    <t>BLOCO DE CONCRETO ESTRUTURAL 14 X 19 X 29 CM, FBK 6 MPA (NBR 6136)</t>
  </si>
  <si>
    <t xml:space="preserve"> 00007356 </t>
  </si>
  <si>
    <t>TINTA LATEX ACRILICA PREMIUM, COR BRANCO FOSCO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</si>
  <si>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</si>
  <si>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</si>
  <si>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</si>
  <si>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</si>
  <si>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00000123 </t>
  </si>
  <si>
    <t>ADITIVO IMPERMEABILIZANTE DE PEGA NORMAL PARA ARGAMASSAS E CONCRETOS SEM ARMACAO, LIQUIDO E ISENTO DE CLORETOS</t>
  </si>
  <si>
    <t xml:space="preserve"> 87316 </t>
  </si>
  <si>
    <t>ARGAMASSA TRAÇO 1:4 (EM VOLUME DE CIMENTO E AREIA GROSSA ÚMIDA) PARA CHAPISCO CONVENCIONAL, PREPARO MECÂNICO COM BETONEIRA 400 L. AF_08/2019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</si>
  <si>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</si>
  <si>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</si>
  <si>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</si>
  <si>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</si>
  <si>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92799 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</si>
  <si>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</si>
  <si>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</si>
  <si>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</si>
  <si>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</si>
  <si>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92768 </t>
  </si>
  <si>
    <t>ARMAÇÃO DE LAJE DE ESTRUTURA CONVENCIONAL DE CONCRETO ARMADO UTILIZANDO AÇO CA-60 DE 5,0 MM - MONTAGEM. AF_06/2022</t>
  </si>
  <si>
    <t xml:space="preserve"> 92800 </t>
  </si>
  <si>
    <t>CORTE E DOBRA DE AÇO CA-60, DIÂMETRO DE 5,0 MM. AF_06/2022</t>
  </si>
  <si>
    <t xml:space="preserve"> 95315 </t>
  </si>
  <si>
    <t>CURSO DE CAPACITAÇÃO PARA ASSENTADOR DE TUBOS (ENCARGOS COMPLEMENTARES) - HORISTA</t>
  </si>
  <si>
    <t xml:space="preserve"> 00040331 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</si>
  <si>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</si>
  <si>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</si>
  <si>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</si>
  <si>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</si>
  <si>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95316 </t>
  </si>
  <si>
    <t>CURSO DE CAPACITAÇÃO PARA AUXILIAR DE ELETRICISTA (ENCARGOS COMPLEMENTARES) - HORISTA</t>
  </si>
  <si>
    <t xml:space="preserve"> 00000247 </t>
  </si>
  <si>
    <t>AJUDANTE DE ELETRICISTA (HORISTA)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</si>
  <si>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</si>
  <si>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</si>
  <si>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</si>
  <si>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</si>
  <si>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95317 </t>
  </si>
  <si>
    <t>CURSO DE CAPACITAÇÃO PARA AUXILIAR DE ENCANADOR OU BOMBEIRO HIDRÁULICO (ENCARGOS COMPLEMENTARES) - HORISTA</t>
  </si>
  <si>
    <t xml:space="preserve"> 00000246 </t>
  </si>
  <si>
    <t>AUXILIAR DE ENCANADOR OU BOMBEIRO HIDRAULICO (HORISTA)</t>
  </si>
  <si>
    <t xml:space="preserve"> 00043461 </t>
  </si>
  <si>
    <t>FERRAMENTAS - FAMILIA ENCANADOR - HORISTA (ENCARGOS COMPLEMENTARES - COLETADO CAIXA)</t>
  </si>
  <si>
    <t xml:space="preserve"> 00043485 </t>
  </si>
  <si>
    <t>EPI - FAMILIA ENCANADOR - HORISTA (ENCARGOS COMPLEMENTARES - COLETADO CAIXA)</t>
  </si>
  <si>
    <t xml:space="preserve"> 95321 </t>
  </si>
  <si>
    <t>CURSO DE CAPACITAÇÃO PARA AUXILIAR DE SERVIÇOS GERAIS (ENCARGOS COMPLEMENTARES) - HORISTA</t>
  </si>
  <si>
    <t xml:space="preserve"> 00006121 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</si>
  <si>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</si>
  <si>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</si>
  <si>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</si>
  <si>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</si>
  <si>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 xml:space="preserve"> 3308 </t>
  </si>
  <si>
    <t>Argamassa em volume - cimento, cal e areia traço t-5 (1:2:8) - 1 saco cimento 50 kg / 2 sacos cal 20 kg / 8 padiolas de areia dim 0.35 x 0.45 x 0.13 m - Confecção mecânica e transporte</t>
  </si>
  <si>
    <t xml:space="preserve"> 2212 </t>
  </si>
  <si>
    <t>Tijolo cerâmico maciço 5 x 9 x 19cm</t>
  </si>
  <si>
    <t>BARRA CHATA DE ACO CARBONO, P/USOS GERAIS, PADRAO AMERICANO, FABRICACAO USUAL, PRECO DE USINA, DE 5" X 1/2". FORN.</t>
  </si>
  <si>
    <t xml:space="preserve"> 00036 </t>
  </si>
  <si>
    <t xml:space="preserve"> 88826 </t>
  </si>
  <si>
    <t xml:space="preserve"> 88827 </t>
  </si>
  <si>
    <t xml:space="preserve"> 88828 </t>
  </si>
  <si>
    <t xml:space="preserve"> 88829 </t>
  </si>
  <si>
    <t xml:space="preserve"> 00010535 </t>
  </si>
  <si>
    <t>BETONEIRA CAPACIDADE NOMINAL 400 L, CAPACIDADE DE MISTURA  280 L, MOTOR ELETRICO TRIFASICO 220/380 V POTENCIA 2 CV, SEM CARREGADOR</t>
  </si>
  <si>
    <t xml:space="preserve"> 00002705 </t>
  </si>
  <si>
    <t>ENERGIA ELETRICA ATE 2000 KWH INDUSTRIAL, SEM DEMANDA</t>
  </si>
  <si>
    <t xml:space="preserve"> 89221 </t>
  </si>
  <si>
    <t xml:space="preserve"> 89222 </t>
  </si>
  <si>
    <t xml:space="preserve"> 89223 </t>
  </si>
  <si>
    <t xml:space="preserve"> 89224 </t>
  </si>
  <si>
    <t xml:space="preserve"> 00036397 </t>
  </si>
  <si>
    <t>BETONEIRA, CAPACIDADE NOMINAL 600 L, CAPACIDADE DE MISTURA  360L, MOTOR ELETRICO TRIFASICO 220/380V, POTENCIA 4CV, EXCLUSO CARREGADOR</t>
  </si>
  <si>
    <t xml:space="preserve"> 5213387 </t>
  </si>
  <si>
    <t>M3236</t>
  </si>
  <si>
    <t>Película retrorrefletiva tipo III + SI</t>
  </si>
  <si>
    <t>M2034</t>
  </si>
  <si>
    <t>Solvente para tinta à base de resina acrílica</t>
  </si>
  <si>
    <t>M2128</t>
  </si>
  <si>
    <t>Tinta esmalte sintético acetinado</t>
  </si>
  <si>
    <t>Película retrorrefletiva tipo III + SI - Caminhão carroceria com capacidade de 15 t - 188 kW</t>
  </si>
  <si>
    <t>Solvente para tinta à base de resina acrílica - Caminhão carroceria com capacidade de 15 t - 188 kW</t>
  </si>
  <si>
    <t>Tinta esmalte sintético acetinado - Caminhão carroceria com capacidade de 15 t - 188 kW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</si>
  <si>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</si>
  <si>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</si>
  <si>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</si>
  <si>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</si>
  <si>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 xml:space="preserve"> 00001014 </t>
  </si>
  <si>
    <t>CABO DE COBRE, FLEXIVEL, CLASSE 4 OU 5, ISOLACAO EM PVC/A, ANTICHAMA BWF-B, 1 CONDUTOR, 450/750 V, SECAO NOMINAL 2,5 MM2</t>
  </si>
  <si>
    <t xml:space="preserve"> 101619 </t>
  </si>
  <si>
    <t>PREPARO DE FUNDO DE VALA COM LARGURA MENOR QUE 1,5 M, COM CAMADA DE BRITA, LANÇAMENTO MANUAL. AF_08/2020</t>
  </si>
  <si>
    <t xml:space="preserve"> 97734 </t>
  </si>
  <si>
    <t>PEÇA RETANGULAR PRÉ-MOLDADA, VOLUME DE CONCRETO DE 10 A 30 LITROS, TAXA DE AÇO APROXIMADA DE 30KG/M³. AF_01/2018</t>
  </si>
  <si>
    <t xml:space="preserve"> 00007258 </t>
  </si>
  <si>
    <t>TIJOLO CERAMICO MACICO COMUM *5 X 10 X 20* CM (L X A X C)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</si>
  <si>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</si>
  <si>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</si>
  <si>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88281 </t>
  </si>
  <si>
    <t>MOTORISTA DE BASCULANTE COM ENCARGOS COMPLEMENTARES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</si>
  <si>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</si>
  <si>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</si>
  <si>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</si>
  <si>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</si>
  <si>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</si>
  <si>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</si>
  <si>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</si>
  <si>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</si>
  <si>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</si>
  <si>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</si>
  <si>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00037734 </t>
  </si>
  <si>
    <t>CACAMBA METALICA BASCULANTE COM CAPACIDADE DE 10 M3 (INCLUI MONTAGEM, NAO INCLUI CAMINHAO)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</si>
  <si>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</si>
  <si>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</si>
  <si>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</si>
  <si>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</si>
  <si>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</si>
  <si>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</si>
  <si>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</si>
  <si>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</si>
  <si>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</si>
  <si>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</si>
  <si>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</si>
  <si>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</si>
  <si>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</si>
  <si>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 (INCLUI MONTAGEM, NAO INCLUI CAVALO MECANICO)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</si>
  <si>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</si>
  <si>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</si>
  <si>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92105 </t>
  </si>
  <si>
    <t xml:space="preserve"> 92101 </t>
  </si>
  <si>
    <t xml:space="preserve"> 00037768 </t>
  </si>
  <si>
    <t>LIMPADORA A SUCCAO, TANQUE 12000 L, BASCULAMENTO HIDRAULICO, BOMBA 12 M3/MIN 95% VACUO (INCLUI MONTAGEM, NAO INCLUI CAMINHAO)</t>
  </si>
  <si>
    <t xml:space="preserve"> 00044060 </t>
  </si>
  <si>
    <t>CAMINHAO TRUCADO, PESO BRUTO TOTAL 23000 KG, CARGA UTIL MAXIMA 15460 KG, DISTANCIA ENTRE EIXOS 4,80 M, POTENCIA 286 CV (INCLUI CABINE E CHASSI, NAO INCLUI CARROCERIA)</t>
  </si>
  <si>
    <t xml:space="preserve"> 92103 </t>
  </si>
  <si>
    <t xml:space="preserve"> 92102 </t>
  </si>
  <si>
    <t xml:space="preserve"> 92104 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</si>
  <si>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</si>
  <si>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</si>
  <si>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</si>
  <si>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</si>
  <si>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</si>
  <si>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</si>
  <si>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</si>
  <si>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</si>
  <si>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</si>
  <si>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</si>
  <si>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</si>
  <si>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</si>
  <si>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00037738 </t>
  </si>
  <si>
    <t>TANQUE DE ACO PARA TRANSPORTE DE AGUA COM CAPACIDADE DE 6 M3 (INCLUI MONTAGEM, NAO INCLUI CAMINHAO)</t>
  </si>
  <si>
    <t xml:space="preserve"> 00044057 </t>
  </si>
  <si>
    <t>CAMINHAO TOCO, PESO BRUTO TOTAL 13200 KG, CARGA UTIL MAXIMA 9200 KG, DISTANCIA ENTRE EIXOS 3,31 M, POTENCIA 175 CV (INCLUI CABINE E CHASSI, NAO INCLUI CARROCERIA)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</si>
  <si>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</si>
  <si>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</si>
  <si>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</si>
  <si>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</si>
  <si>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95330 </t>
  </si>
  <si>
    <t>CURSO DE CAPACITAÇÃO PARA CARPINTEIRO DE FÔRMAS (ENCARGOS COMPLEMENTARES) - HORISTA</t>
  </si>
  <si>
    <t xml:space="preserve"> 00001213 </t>
  </si>
  <si>
    <t>CARPINTEIRO DE FORMAS (HORISTA)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</si>
  <si>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</si>
  <si>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</si>
  <si>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</si>
  <si>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</si>
  <si>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</si>
  <si>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</si>
  <si>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</si>
  <si>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</si>
  <si>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</si>
  <si>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</si>
  <si>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>VALOR P/CUSTO DE MATERIA PRIMA NACIONAL</t>
  </si>
  <si>
    <t xml:space="preserve"> 88321 </t>
  </si>
  <si>
    <t>TÉCNICO DE LABORATÓRIO COM ENCARGOS COMPLEMENTARES</t>
  </si>
  <si>
    <t xml:space="preserve"> 90968 </t>
  </si>
  <si>
    <t>COMPRESSOR DE AR REBOCAVEL, VAZÃO 250 PCM, PRESSAO DE TRABALHO 102 PSI, MOTOR A DIESEL POTÊNCIA 81 CV - DEPRECIAÇÃO. AF_06/2015</t>
  </si>
  <si>
    <t xml:space="preserve"> 90969 </t>
  </si>
  <si>
    <t>COMPRESSOR DE AR REBOCAVEL, VAZÃO 250 PCM, PRESSAO DE TRABALHO 102 PSI, MOTOR A DIESEL POTÊNCIA 81 CV - JUROS. AF_06/2015</t>
  </si>
  <si>
    <t xml:space="preserve"> 90970 </t>
  </si>
  <si>
    <t>COMPRESSOR DE AR REBOCAVEL, VAZÃO 250 PCM, PRESSAO DE TRABALHO 102 PSI, MOTOR A DIESEL POTÊNCIA 81 CV - MANUTENÇÃO. AF_06/2015</t>
  </si>
  <si>
    <t xml:space="preserve"> 90971 </t>
  </si>
  <si>
    <t>COMPRESSOR DE AR REBOCAVEL, VAZÃO 250 PCM, PRESSAO DE TRABALHO 102 PSI, MOTOR A DIESEL POTÊNCIA 81 CV - MATERIAIS NA OPERAÇÃO. AF_06/2015</t>
  </si>
  <si>
    <t xml:space="preserve"> 00036525 </t>
  </si>
  <si>
    <t>COMPRESSOR DE AR REBOCAVEL, VAZAO 250 PCM, PRESSAO EFETIVA DE TRABALHO 102 PSI, MOTOR DIESEL, POTENCIA 81 CV</t>
  </si>
  <si>
    <t xml:space="preserve"> 00004734 </t>
  </si>
  <si>
    <t>SEIXO ROLADO PARA APLICACAO EM CONCRETO (POSTO PEDREIRA/FORNECEDOR, SEM FRETE)</t>
  </si>
  <si>
    <t xml:space="preserve"> 94972 </t>
  </si>
  <si>
    <t>CONCRETO FCK = 30MPA, TRAÇO 1:2,1:2,5 (EM MASSA SECA DE CIMENTO/ AREIA MÉDIA/ BRITA 1) - PREPARO MECÂNICO COM BETONEIRA 600 L. AF_05/2021</t>
  </si>
  <si>
    <t xml:space="preserve"> 00011950 </t>
  </si>
  <si>
    <t>BUCHA DE NYLON SEM ABA S6, COM PARAFUSO DE 4,20 X 40 MM EM ACO ZINCADO COM ROSCA SOBERBA, CABECA CHATA E FENDA PHILLIPS</t>
  </si>
  <si>
    <t xml:space="preserve"> 00012010 </t>
  </si>
  <si>
    <t>CONDULETE EM PVC, TIPO "B", SEM TAMPA, DE 1/2" OU 3/4"</t>
  </si>
  <si>
    <t xml:space="preserve"> 00012016 </t>
  </si>
  <si>
    <t>CONDULETE EM PVC, TIPO "LB", SEM TAMPA, DE 1/2" OU 3/4"</t>
  </si>
  <si>
    <t xml:space="preserve"> 91279 </t>
  </si>
  <si>
    <t>CORTADORA DE PISO COM MOTOR 4 TEMPOS A GASOLINA, POTÊNCIA DE 13 HP, COM DISCO DE CORTE DIAMANTADO SEGMENTADO PARA CONCRETO, DIÂMETRO DE 350 MM, FURO DE 1" (14 X 1") - DEPRECIAÇÃO. AF_08/2015</t>
  </si>
  <si>
    <t xml:space="preserve"> 91280 </t>
  </si>
  <si>
    <t>CORTADORA DE PISO COM MOTOR 4 TEMPOS A GASOLINA, POTÊNCIA DE 13 HP, COM DISCO DE CORTE DIAMANTADO SEGMENTADO PARA CONCRETO, DIÂMETRO DE 350 MM, FURO DE 1" (14 X 1") - JUROS. AF_08/2015</t>
  </si>
  <si>
    <t xml:space="preserve"> 91281 </t>
  </si>
  <si>
    <t>CORTADORA DE PISO COM MOTOR 4 TEMPOS A GASOLINA, POTÊNCIA DE 13 HP, COM DISCO DE CORTE DIAMANTADO SEGMENTADO PARA CONCRETO, DIÂMETRO DE 350 MM, FURO DE 1" (14 X 1") - MANUTENÇÃO. AF_08/2015</t>
  </si>
  <si>
    <t xml:space="preserve"> 91282 </t>
  </si>
  <si>
    <t>CORTADORA DE PISO COM MOTOR 4 TEMPOS A GASOLINA, POTÊNCIA DE 13 HP, COM DISCO DE CORTE DIAMANTADO SEGMENTADO PARA CONCRETO, DIÂMETRO DE 350 MM, FURO DE 1" (14 X 1") - MATERIAIS NA OPERAÇÃO. AF_08/2015</t>
  </si>
  <si>
    <t xml:space="preserve"> 00011280 </t>
  </si>
  <si>
    <t>CORTADEIRA DE PISO DE CONCRETO E ASFALTO, PARA DISCO PADRAO DE DIAMETRO 350 MM (14") OU 450 MM (18") , MOTOR A GASOLINA, POTENCIA 13 HP, SEM DISCO</t>
  </si>
  <si>
    <t xml:space="preserve"> 00013887 </t>
  </si>
  <si>
    <t>DISCO DE CORTE DIAMANTADO SEGMENTADO PARA CONCRETO, DIAMETRO DE 350 MM, FURO DE 1 " (14 X 1 ")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</si>
  <si>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</si>
  <si>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</si>
  <si>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</si>
  <si>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</si>
  <si>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</si>
  <si>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</si>
  <si>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</si>
  <si>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</si>
  <si>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95401 </t>
  </si>
  <si>
    <t>CURSO DE CAPACITAÇÃO PARA ENCARREGADO GERAL (ENCARGOS COMPLEMENTARES) - HORISTA</t>
  </si>
  <si>
    <t xml:space="preserve"> 00004083 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</si>
  <si>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</si>
  <si>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</si>
  <si>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</si>
  <si>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</si>
  <si>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</si>
  <si>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</si>
  <si>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</si>
  <si>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</si>
  <si>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95346 </t>
  </si>
  <si>
    <t>CURSO DE CAPACITAÇÃO PARA MOTORISTA DE BASCULANTE (ENCARGOS COMPLEMENTARES) - HORISTA</t>
  </si>
  <si>
    <t xml:space="preserve"> 00020020 </t>
  </si>
  <si>
    <t xml:space="preserve"> 95347 </t>
  </si>
  <si>
    <t>CURSO DE CAPACITAÇÃO PARA MOTORISTA DE CAMINHÃO (ENCARGOS COMPLEMENTARES) - HORISTA</t>
  </si>
  <si>
    <t xml:space="preserve"> 00004093 </t>
  </si>
  <si>
    <t xml:space="preserve"> 95351 </t>
  </si>
  <si>
    <t>CURSO DE CAPACITAÇÃO PARA MOTORISTA OPERADOR DE MUNCK (ENCARGOS COMPLEMENTARES) - HORISTA</t>
  </si>
  <si>
    <t xml:space="preserve"> 00004096 </t>
  </si>
  <si>
    <t xml:space="preserve"> 95389 </t>
  </si>
  <si>
    <t>CURSO DE CAPACITAÇÃO PARA OPERADOR DE BETONEIRA ESTACIONÁRIA/MISTURADOR (ENCARGOS COMPLEMENTARES) - HORISTA</t>
  </si>
  <si>
    <t xml:space="preserve"> 00037666 </t>
  </si>
  <si>
    <t xml:space="preserve"> 95357 </t>
  </si>
  <si>
    <t>CURSO DE CAPACITAÇÃO PARA OPERADOR DE ESCAVADEIRA (ENCARGOS COMPLEMENTARES) - HORISTA</t>
  </si>
  <si>
    <t xml:space="preserve"> 00004234 </t>
  </si>
  <si>
    <t xml:space="preserve"> 95358 </t>
  </si>
  <si>
    <t>CURSO DE CAPACITAÇÃO PARA OPERADOR DE GUINCHO (ENCARGOS COMPLEMENTARES) - HORISTA</t>
  </si>
  <si>
    <t xml:space="preserve"> 00004253 </t>
  </si>
  <si>
    <t xml:space="preserve"> 95359 </t>
  </si>
  <si>
    <t>CURSO DE CAPACITAÇÃO PARA OPERADOR DE GUINDASTE (ENCARGOS COMPLEMENTARES) - HORISTA</t>
  </si>
  <si>
    <t xml:space="preserve"> 00004254 </t>
  </si>
  <si>
    <t>OPERADOR DE GUINDASTE (HORISTA)</t>
  </si>
  <si>
    <t xml:space="preserve"> 95361 </t>
  </si>
  <si>
    <t>CURSO DE CAPACITAÇÃO PARA OPERADOR DE MARTELETE OU MARTELETEIRO (ENCARGOS COMPLEMENTARES) - HORISTA</t>
  </si>
  <si>
    <t xml:space="preserve"> 00004257 </t>
  </si>
  <si>
    <t xml:space="preserve"> 95363 </t>
  </si>
  <si>
    <t>CURSO DE CAPACITAÇÃO PARA OPERADOR DE MOTONIVELADORA (ENCARGOS COMPLEMENTARES) - HORISTA</t>
  </si>
  <si>
    <t xml:space="preserve"> 00004239 </t>
  </si>
  <si>
    <t xml:space="preserve"> 95360 </t>
  </si>
  <si>
    <t>CURSO DE CAPACITAÇÃO PARA OPERADOR DE MÁQUINAS E EQUIPAMENTOS (ENCARGOS COMPLEMENTARES) - HORISTA</t>
  </si>
  <si>
    <t xml:space="preserve"> 00004230 </t>
  </si>
  <si>
    <t xml:space="preserve"> 95365 </t>
  </si>
  <si>
    <t>CURSO DE CAPACITAÇÃO PARA OPERADOR DE PAVIMENTADORA (ENCARGOS COMPLEMENTARES) - HORISTA</t>
  </si>
  <si>
    <t xml:space="preserve"> 00044500 </t>
  </si>
  <si>
    <t xml:space="preserve"> 95364 </t>
  </si>
  <si>
    <t>CURSO DE CAPACITAÇÃO PARA OPERADOR DE PÁ CARREGADEIRA (ENCARGOS COMPLEMENTARES) - HORISTA</t>
  </si>
  <si>
    <t xml:space="preserve"> 00004248 </t>
  </si>
  <si>
    <t xml:space="preserve"> 95366 </t>
  </si>
  <si>
    <t>CURSO DE CAPACITAÇÃO PARA OPERADOR DE ROLO COMPACTADOR (ENCARGOS COMPLEMENTARES) - HORISTA</t>
  </si>
  <si>
    <t xml:space="preserve"> 00004238 </t>
  </si>
  <si>
    <t xml:space="preserve"> 95367 </t>
  </si>
  <si>
    <t>CURSO DE CAPACITAÇÃO PARA OPERADOR DE USINA DE ASFALTO, DE SOLOS OU DE CONCRETO (ENCARGOS COMPLEMENTARES) - HORISTA</t>
  </si>
  <si>
    <t xml:space="preserve"> 00004233 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</si>
  <si>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</si>
  <si>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</si>
  <si>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</si>
  <si>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</si>
  <si>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101357 </t>
  </si>
  <si>
    <t>CURSO DE CAPACITAÇÃO PARA PEDREIRO (ENCARGOS COMPLEMENTARES) - MENSALISTA</t>
  </si>
  <si>
    <t xml:space="preserve"> 00041065 </t>
  </si>
  <si>
    <t>PEDREIRO (MENSALISTA)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</si>
  <si>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</si>
  <si>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</si>
  <si>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</si>
  <si>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</si>
  <si>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</si>
  <si>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</si>
  <si>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</si>
  <si>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</si>
  <si>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95377 </t>
  </si>
  <si>
    <t>CURSO DE CAPACITAÇÃO PARA SERRALHEIRO (ENCARGOS COMPLEMENTARES) - HORISTA</t>
  </si>
  <si>
    <t xml:space="preserve"> 00006110 </t>
  </si>
  <si>
    <t>SERRALHEIRO (HORISTA)</t>
  </si>
  <si>
    <t xml:space="preserve"> 95378 </t>
  </si>
  <si>
    <t>CURSO DE CAPACITAÇÃO PARA SERVENTE (ENCARGOS COMPLEMENTARES) - HORISTA</t>
  </si>
  <si>
    <t xml:space="preserve"> 00006111 </t>
  </si>
  <si>
    <t xml:space="preserve"> 101364 </t>
  </si>
  <si>
    <t>CURSO DE CAPACITAÇÃO PARA SERVENTE DE OBRAS (ENCARGOS COMPLEMENTARES) - MENSALISTA</t>
  </si>
  <si>
    <t xml:space="preserve"> 00041084 </t>
  </si>
  <si>
    <t>SERVENTE DE OBRAS (MENSALISTA)</t>
  </si>
  <si>
    <t xml:space="preserve"> 95379 </t>
  </si>
  <si>
    <t>CURSO DE CAPACITAÇÃO PARA SOLDADOR (ENCARGOS COMPLEMENTARES) - HORISTA</t>
  </si>
  <si>
    <t xml:space="preserve"> 00006160 </t>
  </si>
  <si>
    <t>SOLDADOR (HORISTA)</t>
  </si>
  <si>
    <t xml:space="preserve"> 95385 </t>
  </si>
  <si>
    <t>CURSO DE CAPACITAÇÃO PARA TELHADISTA (ENCARGOS COMPLEMENTARES) - HORISTA</t>
  </si>
  <si>
    <t xml:space="preserve"> 00012869 </t>
  </si>
  <si>
    <t>TELHADOR (HORISTA)</t>
  </si>
  <si>
    <t xml:space="preserve"> 95386 </t>
  </si>
  <si>
    <t>CURSO DE CAPACITAÇÃO PARA TRATORISTA (ENCARGOS COMPLEMENTARES) - HORISTA</t>
  </si>
  <si>
    <t xml:space="preserve"> 5914652 </t>
  </si>
  <si>
    <t xml:space="preserve"> 5914655 </t>
  </si>
  <si>
    <t xml:space="preserve"> 5915433 </t>
  </si>
  <si>
    <t xml:space="preserve"> 5219544 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</si>
  <si>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</si>
  <si>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</si>
  <si>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</si>
  <si>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</si>
  <si>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</si>
  <si>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</si>
  <si>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</si>
  <si>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</si>
  <si>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Corte de perfil metálico com máquina policorte com espessura de até 1/8”</t>
  </si>
  <si>
    <t>Pintura de acabamento com esmalte epóxi com pistola a ar comprimido, uma demão, espessura de até 40 µm</t>
  </si>
  <si>
    <t>Pintura de fundo com tinta epóxi com pistola a ar comprimido, uma demão, espessura de até 120 µm</t>
  </si>
  <si>
    <t>Solda elétrica de perfis metálicos e chapas de aço com eletrodo E60XX</t>
  </si>
  <si>
    <t>Cantoneira em aço ASTM A36 galvanizado - Caminhão carroceria com capacidade de 15 t - 188 kW</t>
  </si>
  <si>
    <t>Corrente de elo soldado em aço galvanizado com acabamento polido - D = 3,18 mm (1/8”) - Caminhão carroceria com capacidade de 15 t - 188 kW</t>
  </si>
  <si>
    <t>Gonzo com aba em aço galvanizado - D = 12,7 mm (1/2”) - Caminhão carroceria com capacidade de 15 t - 188 kW</t>
  </si>
  <si>
    <t xml:space="preserve"> 1107892 </t>
  </si>
  <si>
    <t>E9010</t>
  </si>
  <si>
    <t>M0030</t>
  </si>
  <si>
    <t>Aditivo plastificante e retardador de pega para concreto e argamassa</t>
  </si>
  <si>
    <t>M0191</t>
  </si>
  <si>
    <t>Aditivo plastificante e retardador de pega para concreto e argamassa - Caminhão carroceria com capacidade de 15 t - 188 kW</t>
  </si>
  <si>
    <t>Brita 1 - Caminhão basculante com capacidade de 10 m³ - 188 kW</t>
  </si>
  <si>
    <t xml:space="preserve"> 1419543 </t>
  </si>
  <si>
    <t>E9717</t>
  </si>
  <si>
    <t>Máquina policorte - 2,20 kW</t>
  </si>
  <si>
    <t>M0076</t>
  </si>
  <si>
    <t>Disco de corte abrasivo para policorte - D = 300 mm</t>
  </si>
  <si>
    <t xml:space="preserve"> 00001574 </t>
  </si>
  <si>
    <t>TERMINAL A COMPRESSAO EM COBRE ESTANHADO PARA CABO 10 MM2, 1 FURO E 1 COMPRESSAO, PARA PARAFUSO DE FIXACAO M6</t>
  </si>
  <si>
    <t xml:space="preserve"> 00002386 </t>
  </si>
  <si>
    <t>DISJUNTOR TIPO NEMA, MONOPOLAR 35  ATE  50 A, TENSAO MAXIMA DE 240 V</t>
  </si>
  <si>
    <t xml:space="preserve"> 00002689 </t>
  </si>
  <si>
    <t>ELETRODUTO PVC FLEXIVEL CORRUGADO, COR AMARELA, DE 20 MM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</si>
  <si>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</si>
  <si>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</si>
  <si>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</si>
  <si>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</si>
  <si>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5627 </t>
  </si>
  <si>
    <t>ESCAVADEIRA HIDRÁULICA SOBRE ESTEIRAS, CAÇAMBA 0,80 M3, PESO OPERACIONAL 17 T, POTENCIA BRUTA 111 HP - DEPRECIAÇÃO. AF_06/2014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</si>
  <si>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</si>
  <si>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</si>
  <si>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</si>
  <si>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</si>
  <si>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5629 </t>
  </si>
  <si>
    <t>ESCAVADEIRA HIDRÁULICA SOBRE ESTEIRAS, CAÇAMBA 0,80 M3, PESO OPERACIONAL 17 T, POTENCIA BRUTA 111 HP - MANUTENÇÃO.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</si>
  <si>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</si>
  <si>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</si>
  <si>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00010685 </t>
  </si>
  <si>
    <t>ESCAVADEIRA HIDRAULICA SOBRE ESTEIRAS, CACAMBA 0,80M3, PESO OPERACIONAL 17T, POTENCIA BRUTA 111HP</t>
  </si>
  <si>
    <t xml:space="preserve"> 88900 </t>
  </si>
  <si>
    <t>ESCAVADEIRA HIDRÁULICA SOBRE ESTEIRAS, CAÇAMBA 1,20 M3, PESO OPERACIONAL 21 T, POTÊNCIA BRUTA 155 HP - DEPRECIAÇÃO. AF_06/2014</t>
  </si>
  <si>
    <t xml:space="preserve"> 88902 </t>
  </si>
  <si>
    <t>ESCAVADEIRA HIDRÁULICA SOBRE ESTEIRAS, CAÇAMBA 1,20 M3, PESO OPERACIONAL 21 T, POTÊNCIA BRUTA 155 HP - JUROS. AF_06/2014</t>
  </si>
  <si>
    <t xml:space="preserve"> 88903 </t>
  </si>
  <si>
    <t>ESCAVADEIRA HIDRÁULICA SOBRE ESTEIRAS, CAÇAMBA 1,20 M3, PESO OPERACIONAL 21 T, POTÊNCIA BRUTA 155 HP - MANUTENÇÃO. AF_06/2014</t>
  </si>
  <si>
    <t xml:space="preserve"> 88904 </t>
  </si>
  <si>
    <t>ESCAVADEIRA HIDRÁULICA SOBRE ESTEIRAS, CAÇAMBA 1,20 M3, PESO OPERACIONAL 21 T, POTÊNCIA BRUTA 155 HP - MATERIAIS NA OPERAÇÃO. AF_06/2014</t>
  </si>
  <si>
    <t xml:space="preserve"> 00014525 </t>
  </si>
  <si>
    <t>ESCAVADEIRA HIDRAULICA SOBRE ESTEIRAS COM CACAMBA DE 1,20 M3, PESO OPERACIONAL 21 T, POTENCIA BRUTA 155 HP</t>
  </si>
  <si>
    <t xml:space="preserve"> 5835 </t>
  </si>
  <si>
    <t>VIBROACABADORA DE ASFALTO SOBRE ESTEIRAS, LARGURA DE PAVIMENTAÇÃO 1,90 M A 5,30 M, POTÊNCIA 105 HP CAPACIDADE 450 T/H - CHP DIURNO. AF_11/2014</t>
  </si>
  <si>
    <t xml:space="preserve"> 5837 </t>
  </si>
  <si>
    <t>VIBROACABADORA DE ASFALTO SOBRE ESTEIRAS, LARGURA DE PAVIMENTAÇÃO 1,90 M A 5,30 M, POTÊNCIA 105 HP CAPACIDADE 450 T/H - CHI DIURNO. AF_11/2014</t>
  </si>
  <si>
    <t xml:space="preserve"> 88314 </t>
  </si>
  <si>
    <t>RASTELEIRO COM ENCARGOS COMPLEMENTARES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</si>
  <si>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</si>
  <si>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</si>
  <si>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</si>
  <si>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</si>
  <si>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96155 </t>
  </si>
  <si>
    <t>TRATOR DE PNEUS COM POTÊNCIA DE 85 CV, TRAÇÃO 4X4, COM VASSOURA MECÂNICA ACOPLADA - CHI DIURNO. AF_02/2017</t>
  </si>
  <si>
    <t xml:space="preserve"> 96157 </t>
  </si>
  <si>
    <t>TRATOR DE PNEUS COM POTÊNCIA DE 85 CV, TRAÇÃO 4X4, COM VASSOURA MECÂNICA ACOPLADA - CHP DIURNO. AF_03/2017</t>
  </si>
  <si>
    <t xml:space="preserve"> 4805750 </t>
  </si>
  <si>
    <t xml:space="preserve"> 102891 </t>
  </si>
  <si>
    <t>PÓRTICO ROLANTE MONOVIGA, PERFIL I, 4 PERNAS, CAPACIDADE 5 T  - MATERIAIS NA OPERAÇÃO. AF_04/2019</t>
  </si>
  <si>
    <t xml:space="preserve"> 102933 </t>
  </si>
  <si>
    <t>FURADEIRA ELETROMAGNÉTICA, VELOCIDADE (SEM CARGA/ COM CARGA) 450/ 270 RPM, ESPESSURA MÁXIMA DA CHAPA A SER FURADA 50 MM, PORÇA DE ADESÃO MAGNÉTICA 17000 N, POTÊNCIA 1100 W, ALIMENTÇÃO 220 - 60 HZ, MONOFÁSICA - MATERIAIS NA OPERAÇÃO. AF_08/2019</t>
  </si>
  <si>
    <t xml:space="preserve"> 102945 </t>
  </si>
  <si>
    <t>TARTARUGA DE OXICORTE CG1, MONOFÁSICA, 220 V, FREQUÊNCIA 50 HZ, VELOCIDADE DE CORTE (MM/MIN) 50 A 750, DIÂMETRO MÍNIMO DO COMPASSO MM 200 - MATERIAIS NA OPERAÇÃO. AF_05/2023</t>
  </si>
  <si>
    <t xml:space="preserve"> 00000445 </t>
  </si>
  <si>
    <t>PINO ROSCA EXTERNA, EM ACO GALVANIZADO, PARA ISOLADOR DE 25KV, DIAMETRO 35MM, COMPRIMENTO *320* MM</t>
  </si>
  <si>
    <t xml:space="preserve"> 00001330 </t>
  </si>
  <si>
    <t xml:space="preserve"> 00010999 </t>
  </si>
  <si>
    <t>ELETRODO REVESTIDO AWS - E6013, DIAMETRO IGUAL A 4,00 MM</t>
  </si>
  <si>
    <t xml:space="preserve"> 00038412 </t>
  </si>
  <si>
    <t>INVERSOR DE SOLDA MONOFASICO DE 160 A, POTENCIA DE 5400 W, TENSAO DE 220 V, TURBO VENTILADO, PROTECAO POR FUSIVEL TERMICO, PARA ELETRODOS DE 2,0 A 4,0 MM</t>
  </si>
  <si>
    <t xml:space="preserve"> 00020995 </t>
  </si>
  <si>
    <t>TUBO ACO CARBONO SEM COSTURA 8", E= *12,70 MM, SCHEDULE 80, *64,64 KG/M</t>
  </si>
  <si>
    <t xml:space="preserve"> 00007672 </t>
  </si>
  <si>
    <t xml:space="preserve"> 3106121 </t>
  </si>
  <si>
    <t>Fôrmas de tábuas de pinho - utilização de 3 vezes - confecção, instalação e retirada</t>
  </si>
  <si>
    <t xml:space="preserve"> 53840 </t>
  </si>
  <si>
    <t>GRADE DE DISCO REBOCÁVEL COM 20 DISCOS 24" X 6 MM COM PNEUS PARA TRANSPORTE - DEPRECIAÇÃO. AF_06/2014</t>
  </si>
  <si>
    <t xml:space="preserve"> 87026 </t>
  </si>
  <si>
    <t>GRADE DE DISCO REBOCÁVEL COM 20 DISCOS 24" X 6 MM COM PNEUS PARA TRANSPORTE - JUROS. AF_06/2014</t>
  </si>
  <si>
    <t xml:space="preserve"> 53841 </t>
  </si>
  <si>
    <t>GRADE DE DISCO REBOCÁVEL COM 20 DISCOS 24" X 6 MM COM PNEUS PARA TRANSPORTE - MANUTENÇÃO. AF_06/2014</t>
  </si>
  <si>
    <t xml:space="preserve"> 00003318 </t>
  </si>
  <si>
    <t>GRADE DE DISCOS MECANICA 20X24" COM 20 DISCOS 24" X 6MM  COM PNEUS PARA TRANSPORTE</t>
  </si>
  <si>
    <t xml:space="preserve"> 95869 </t>
  </si>
  <si>
    <t>GRUPO GERADOR COM CARENAGEM, MOTOR DIESEL POTÊNCIA STANDART ENTRE 250 E 260 KVA - JUROS. AF_12/2016</t>
  </si>
  <si>
    <t xml:space="preserve"> 95874 </t>
  </si>
  <si>
    <t>GRUPO GERADOR COM CARENAGEM, MOTOR DIESEL POTÊNCIA STANDART ENTRE 250 E 260 KVA - DEPRECIAÇÃO. AF_12/2016</t>
  </si>
  <si>
    <t xml:space="preserve"> 95870 </t>
  </si>
  <si>
    <t>GRUPO GERADOR COM CARENAGEM, MOTOR DIESEL POTÊNCIA STANDART ENTRE 250 E 260 KVA - MANUTENÇÃO. AF_12/2016</t>
  </si>
  <si>
    <t xml:space="preserve"> 95871 </t>
  </si>
  <si>
    <t>GRUPO GERADOR COM CARENAGEM, MOTOR DIESEL POTÊNCIA STANDART ENTRE 250 E 260 KVA - MATERIAIS NA OPERAÇÃO. AF_12/2016</t>
  </si>
  <si>
    <t xml:space="preserve"> 00039588 </t>
  </si>
  <si>
    <t>GRUPO GERADOR DIESEL, COM CARENAGEM, POTENCIA STANDART ENTRE 250 E 260 KVA, VELOCIDADE DE 1800 RPM, FREQUENCIA DE 60 HZ</t>
  </si>
  <si>
    <t xml:space="preserve"> 00025019 </t>
  </si>
  <si>
    <t>GRUPO GERADOR ESTACIONARIO, MOTOR DIESEL POTENCIA 170 KVA</t>
  </si>
  <si>
    <t xml:space="preserve"> 00036501 </t>
  </si>
  <si>
    <t>GRUPO GERADOR ESTACIONARIO, POTENCIA 150 KVA, MOTOR DIESEL</t>
  </si>
  <si>
    <t xml:space="preserve"> 93282 </t>
  </si>
  <si>
    <t>GUINCHO ELÉTRICO DE COLUNA, CAPACIDADE 400 KG, COM MOTO FREIO, MOTOR TRIFÁSICO DE 1,25 CV - CHI DIURNO. AF_03/2016</t>
  </si>
  <si>
    <t xml:space="preserve"> 88295 </t>
  </si>
  <si>
    <t>OPERADOR DE GUINCHO COM ENCARGOS COMPLEMENTARES</t>
  </si>
  <si>
    <t xml:space="preserve"> 93277 </t>
  </si>
  <si>
    <t>GUINCHO ELÉTRICO DE COLUNA, CAPACIDADE 400 KG, COM MOTO FREIO, MOTOR TRIFÁSICO DE 1,25 CV - DEPRECIAÇÃO. AF_03/2016</t>
  </si>
  <si>
    <t xml:space="preserve"> 93278 </t>
  </si>
  <si>
    <t>GUINCHO ELÉTRICO DE COLUNA, CAPACIDADE 400 KG, COM MOTO FREIO, MOTOR TRIFÁSICO DE 1,25 CV - JUROS. AF_03/2016</t>
  </si>
  <si>
    <t xml:space="preserve"> 93281 </t>
  </si>
  <si>
    <t>GUINCHO ELÉTRICO DE COLUNA, CAPACIDADE 400 KG, COM MOTO FREIO, MOTOR TRIFÁSICO DE 1,25 CV - CHP DIURNO.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</si>
  <si>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</si>
  <si>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</si>
  <si>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</si>
  <si>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</si>
  <si>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00036487 </t>
  </si>
  <si>
    <t>GUINCHO ELETRICO DE COLUNA, CAPACIDADE 400 KG, COM MOTO FREIO, MOTOR TRIFASICO DE 1,25 CV</t>
  </si>
  <si>
    <t xml:space="preserve"> 88296 </t>
  </si>
  <si>
    <t>OPERADOR DE GUINDASTE COM ENCARGOS COMPLEMENTARES</t>
  </si>
  <si>
    <t xml:space="preserve"> 89267 </t>
  </si>
  <si>
    <t>GUINDASTE HIDRÁULICO AUTOPROPELIDO, COM LANÇA TELESCÓPICA 28,80 M, CAPACIDADE MÁXIMA 30 T, POTÊNCIA 97 KW, TRAÇÃO 4 X 4 - DEPRECIAÇÃO. AF_11/2014</t>
  </si>
  <si>
    <t xml:space="preserve"> 89268 </t>
  </si>
  <si>
    <t>GUINDASTE HIDRÁULICO AUTOPROPELIDO, COM LANÇA TELESCÓPICA 28,80 M, CAPACIDADE MÁXIMA 30 T, POTÊNCIA 97 KW, TRAÇÃO 4 X 4 - JUROS. AF_11/2014</t>
  </si>
  <si>
    <t xml:space="preserve"> 89269 </t>
  </si>
  <si>
    <t>GUINDASTE HIDRÁULICO AUTOPROPELIDO, COM LANÇA TELESCÓPICA 28,80 M, CAPACIDADE MÁXIMA 30 T, POTÊNCIA 97 KW, TRAÇÃO 4 X 4 - IMPOSTOS E SEGUROS. AF_11/2014</t>
  </si>
  <si>
    <t xml:space="preserve"> 89270 </t>
  </si>
  <si>
    <t>GUINDASTE HIDRÁULICO AUTOPROPELIDO, COM LANÇA TELESCÓPICA 28,80 M, CAPACIDADE MÁXIMA 30 T, POTÊNCIA 97 KW, TRAÇÃO 4 X 4 - MANUTENÇÃO. AF_11/2014</t>
  </si>
  <si>
    <t xml:space="preserve"> 89271 </t>
  </si>
  <si>
    <t>GUINDASTE HIDRÁULICO AUTOPROPELIDO, COM LANÇA TELESCÓPICA 28,80 M, CAPACIDADE MÁXIMA 30 T, POTÊNCIA 97 KW, TRAÇÃO 4 X 4 - MATERIAIS NA OPERAÇÃO. AF_11/2014</t>
  </si>
  <si>
    <t xml:space="preserve"> 00044475 </t>
  </si>
  <si>
    <t>GUINDASTE HIDRAULICO AUTOPROPELIDO, COM LANCA TELESCOPICA 28,80 M, CAPACIDADE MAXIMA 30 T, POTENCIA 97 KW, TRACAO  4 X 4</t>
  </si>
  <si>
    <t xml:space="preserve"> 88286 </t>
  </si>
  <si>
    <t>MOTORISTA OPERADOR DE MUNCK COM ENCARGOS COMPLEMENTARES</t>
  </si>
  <si>
    <t xml:space="preserve"> 89259 </t>
  </si>
  <si>
    <t>GUINDAUTO HIDRÁULICO, CAPACIDADE MÁXIMA DE CARGA 6200 KG, MOMENTO MÁXIMO DE CARGA 11,7 TM, ALCANCE MÁXIMO HORIZONTAL 9,70 M, INCLUSIVE CAMINHÃO TOCO PBT 16.000 KG, POTÊNCIA DE 189 CV - DEPRECIAÇÃO. AF_06/2014</t>
  </si>
  <si>
    <t xml:space="preserve"> 89260 </t>
  </si>
  <si>
    <t>GUINDAUTO HIDRÁULICO, CAPACIDADE MÁXIMA DE CARGA 6200 KG, MOMENTO MÁXIMO DE CARGA 11,7 TM, ALCANCE MÁXIMO HORIZONTAL 9,70 M, INCLUSIVE CAMINHÃO TOCO PBT 16.000 KG, POTÊNCIA DE 189 CV - JUROS. AF_06/2014</t>
  </si>
  <si>
    <t xml:space="preserve"> 91466 </t>
  </si>
  <si>
    <t>GUINDAUTO HIDRÁULICO, CAPACIDADE MÁXIMA DE CARGA 6200 KG, MOMENTO MÁXIMO DE CARGA 11,7 TM, ALCANCE MÁXIMO HORIZONTAL 9,70 M, INCLUSIVE CAMINHÃO TOCO PBT 16.000 KG, POTÊNCIA DE 189 CV - IMPOSTOS E SEGUROS. AF_08/2015</t>
  </si>
  <si>
    <t xml:space="preserve"> 89262 </t>
  </si>
  <si>
    <t>GUINDAUTO HIDRÁULICO, CAPACIDADE MÁXIMA DE CARGA 6200 KG, MOMENTO MÁXIMO DE CARGA 11,7 TM, ALCANCE MÁXIMO HORIZONTAL 9,70 M, INCLUSIVE CAMINHÃO TOCO PBT 16.000 KG, POTÊNCIA DE 189 CV - MANUTENÇÃO. AF_06/2014</t>
  </si>
  <si>
    <t xml:space="preserve"> 91467 </t>
  </si>
  <si>
    <t>GUINDAUTO HIDRÁULICO, CAPACIDADE MÁXIMA DE CARGA 6200 KG, MOMENTO MÁXIMO DE CARGA 11,7 TM, ALCANCE MÁXIMO HORIZONTAL 9,70 M, INCLUSIVE CAMINHÃO TOCO PBT 16.000 KG, POTÊNCIA DE 189 CV - MATERIAIS NA OPERAÇÃO. AF_08/2015</t>
  </si>
  <si>
    <t xml:space="preserve"> 00003363 </t>
  </si>
  <si>
    <t>GUINDAUTO HIDRAULICO, CAPACIDADE MAXIMA DE CARGA 6200 KG, MOMENTO MAXIMO DE CARGA 11,7 TM , ALCANCE MAXIMO HORIZONTAL  9,70 M, PARA MONTAGEM SOBRE CHASSI DE CAMINHAO PBT MINIMO 13000 KG (INCLUI MONTAGEM, NAO INCLUI CAMINHAO)</t>
  </si>
  <si>
    <t xml:space="preserve"> 00037752 </t>
  </si>
  <si>
    <t>CAMINHAO TOCO, PESO BRUTO TOTAL 16000 KG, CARGA UTIL MAXIMA 11030 KG, DISTANCIA ENTRE EIXOS 5,41 M, POTENCIA 185 CV (INCLUI CABINE E CHASSI, NAO INCLUI CARROCERIA)</t>
  </si>
  <si>
    <t xml:space="preserve"> 00003379 </t>
  </si>
  <si>
    <t xml:space="preserve"> 91946 </t>
  </si>
  <si>
    <t xml:space="preserve"> 92022 </t>
  </si>
  <si>
    <t xml:space="preserve"> 00038101 </t>
  </si>
  <si>
    <t>TOMADA 2P+T 10A, 250V  (APENAS MODULO)</t>
  </si>
  <si>
    <t xml:space="preserve"> 00038112 </t>
  </si>
  <si>
    <t>INTERRUPTOR SIMPLES 10A, 250V (APENAS MODULO)</t>
  </si>
  <si>
    <t xml:space="preserve"> 92026 </t>
  </si>
  <si>
    <t xml:space="preserve"> 91958 </t>
  </si>
  <si>
    <t xml:space="preserve"> 00011190 </t>
  </si>
  <si>
    <t>JANELA BASCULANTE, ACO, COM BATENTE/REQUADRO, 60 X 60 CM (SEM VIDROS)</t>
  </si>
  <si>
    <t xml:space="preserve"> 00000142 </t>
  </si>
  <si>
    <t>SELANTE ELASTICO MONOCOMPONENTE A BASE DE POLIURETANO (PU) PARA JUNTAS DIVERSAS</t>
  </si>
  <si>
    <t>310ML</t>
  </si>
  <si>
    <t xml:space="preserve"> 00003421 </t>
  </si>
  <si>
    <t>JANELA EM MADEIRA CEDRINHO/ ANGELIM COMERCIAL/ CURUPIXA/ CUMARU OU EQUIVALENTE DA REGIAO, CAIXA DO BATENTE/MARCO *10* CM, 2 FOLHAS DE ABRIR TIPO VENEZIANA E 2 FOLHAS GUILHOTINA PARA VIDRO, COM GUARNICAO/ALIZAR, COM FERRAGENS (SEM VIDRO E SEM ACABAMENTO)</t>
  </si>
  <si>
    <t xml:space="preserve"> 00004430 </t>
  </si>
  <si>
    <t xml:space="preserve"> 00003529 </t>
  </si>
  <si>
    <t xml:space="preserve"> 89353 </t>
  </si>
  <si>
    <t>REGISTRO DE GAVETA BRUTO, LATÃO, ROSCÁVEL, 3/4" - FORNECIMENTO E INSTALAÇÃO. AF_08/2021</t>
  </si>
  <si>
    <t xml:space="preserve"> 00012266 </t>
  </si>
  <si>
    <t>LUMINARIA SPOT DE SOBREPOR EM ALUMINIO COM ALETA PLASTICA PARA 1 LAMPADA, BASE E27, POTENCIA MAXIMA 40/60 W (NAO INCLUI LAMPADA)</t>
  </si>
  <si>
    <t xml:space="preserve"> 00012295 </t>
  </si>
  <si>
    <t>SOQUETE DE BAQUELITE BASE E27, PARA LAMPADAS</t>
  </si>
  <si>
    <t xml:space="preserve"> 95114 </t>
  </si>
  <si>
    <t>MARTELETE OU ROMPEDOR PNEUMÁTICO MANUAL, 28 KG, COM SILENCIADOR - DEPRECIAÇÃO. AF_07/2016</t>
  </si>
  <si>
    <t xml:space="preserve"> 95115 </t>
  </si>
  <si>
    <t>MARTELETE OU ROMPEDOR PNEUMÁTICO MANUAL, 28 KG, COM SILENCIADOR - JUROS.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</si>
  <si>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</si>
  <si>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</si>
  <si>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</si>
  <si>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 DE 28 KG, COM SILENCIADOR</t>
  </si>
  <si>
    <t xml:space="preserve"> 88300 </t>
  </si>
  <si>
    <t>OPERADOR DE MOTONIVELADORA COM ENCARGOS COMPLEMENTARES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</si>
  <si>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</si>
  <si>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</si>
  <si>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</si>
  <si>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</si>
  <si>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</si>
  <si>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</si>
  <si>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</si>
  <si>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</si>
  <si>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</si>
  <si>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 , PESO BRUTO 13843 KG, LARGURA DA LAMINA DE 3,7 M</t>
  </si>
  <si>
    <t xml:space="preserve"> 88302 </t>
  </si>
  <si>
    <t>OPERADOR DE PAVIMENTADORA COM ENCARGOS COMPLEMENTARES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</si>
  <si>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</si>
  <si>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</si>
  <si>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</si>
  <si>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</si>
  <si>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88304 </t>
  </si>
  <si>
    <t>OPERADOR DE USINA DE ASFALTO, DE SOLOS OU DE CONCRETO COM ENCARGOS COMPLEMENTARES</t>
  </si>
  <si>
    <t xml:space="preserve"> 4413995 </t>
  </si>
  <si>
    <t xml:space="preserve"> 00043477 </t>
  </si>
  <si>
    <t>FERRAMENTAS - FAMILIA PEDREIRO - MENSALISTA (ENCARGOS COMPLEMENTARES - COLETADO CAIXA)</t>
  </si>
  <si>
    <t xml:space="preserve"> 00043501 </t>
  </si>
  <si>
    <t>EPI - FAMILIA PEDREIRO - MENSALISTA (ENCARGOS COMPLEMENTARES - COLETADO CAIXA)</t>
  </si>
  <si>
    <t xml:space="preserve"> 00005073 </t>
  </si>
  <si>
    <t>PREGO DE ACO POLIDO COM CABECA 17 X 24 (2 1/4 X 11)</t>
  </si>
  <si>
    <t xml:space="preserve"> 00039995 </t>
  </si>
  <si>
    <t>POLIESTIRENO EXPANDIDO/EPS (ISOPOR), TIPO 2F, BLOCO</t>
  </si>
  <si>
    <t xml:space="preserve"> 00043682 </t>
  </si>
  <si>
    <t>CHAPA/PAINEL DE MADEIRA COMPENSADA RESINADA (MADEIRITE RESINADO ROSA) PARA FORMA DE CONCRETO, DE 2200 X 1100 MM, E = 6 MM</t>
  </si>
  <si>
    <t xml:space="preserve"> 00039014 </t>
  </si>
  <si>
    <t>FIBRA DE ACO PARA REFORCO DO CONCRETO, SOLTA, TIPO A-I, FATOR DE FORMA *50* L / D, COMPRIMENTO DE *30* MM E RESISTENCIA A TRACAO DO ACO MAIOR 1000 MPA</t>
  </si>
  <si>
    <t xml:space="preserve"> 00043677 </t>
  </si>
  <si>
    <t>CHAPA/PAINEL DE MADEIRA COMPENSADA RESINADA (MADEIRITE RESINADO ROSA) PARA FORMA DE CONCRETO, DE 2200 X 1100 MM, E = 20 MM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</si>
  <si>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</si>
  <si>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</si>
  <si>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</si>
  <si>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</si>
  <si>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</si>
  <si>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</si>
  <si>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91274 </t>
  </si>
  <si>
    <t>PLACA VIBRATÓRIA REVERSÍVEL COM MOTOR 4 TEMPOS A GASOLINA, FORÇA CENTRÍFUGA DE 25 KN (2500 KGF), POTÊNCIA 5,5 CV - JUROS.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</si>
  <si>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</si>
  <si>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</si>
  <si>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</si>
  <si>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</si>
  <si>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</si>
  <si>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 xml:space="preserve"> 00002432 </t>
  </si>
  <si>
    <t>DOBRADICA EM ACO/FERRO, 3 1/2" X  3", E= 1,9  A 2 MM, COM ANEL,  CROMADO OU ZINCADO, TAMPA BOLA, COM PARAFUSOS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</si>
  <si>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</si>
  <si>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</si>
  <si>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00011055 </t>
  </si>
  <si>
    <t>PARAFUSO ROSCA SOBERBA ZINCADO CABECA CHATA FENDA SIMPLES 3,5 X 25 MM (1 ")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</si>
  <si>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</si>
  <si>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</si>
  <si>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</si>
  <si>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</si>
  <si>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 xml:space="preserve"> 00039025 </t>
  </si>
  <si>
    <t>PORTA DE ABRIR EM ALUMINIO TIPO VENEZIANA, ACABAMENTO ANODIZADO NATURAL, SEM GUARNICAO/ALIZAR/VISTA, 87 X 210 CM</t>
  </si>
  <si>
    <t xml:space="preserve"> 2408080 </t>
  </si>
  <si>
    <t>E9643</t>
  </si>
  <si>
    <t>Equipamento para pintura a ar comprimido de pistola com caneca com capacidade de 1.000</t>
  </si>
  <si>
    <t>E9521</t>
  </si>
  <si>
    <t>M3920</t>
  </si>
  <si>
    <t>Diluente para tinta epóxi bicomponente ou tricomponente</t>
  </si>
  <si>
    <t>M0718</t>
  </si>
  <si>
    <t>Tinta esmalte à base de resina epóxi bicomponente</t>
  </si>
  <si>
    <t xml:space="preserve"> 2408079 </t>
  </si>
  <si>
    <t>M0717</t>
  </si>
  <si>
    <t>Tinta à base de resina epóxi bicomponente para fundo preparador de pintura</t>
  </si>
  <si>
    <t xml:space="preserve"> 5212552 </t>
  </si>
  <si>
    <t>Pintura eletrostática a pó com tinta poliéster em chapa de aço</t>
  </si>
  <si>
    <t>E9076</t>
  </si>
  <si>
    <t>Equipamento para pintura eletrostática com cabine dupla de 7,00 kW e estufa de 80.000 kCal</t>
  </si>
  <si>
    <t>E9753</t>
  </si>
  <si>
    <t>Grupo gerador - 23 kVA</t>
  </si>
  <si>
    <t>M3153</t>
  </si>
  <si>
    <t>Tinta em pó à base de resina poliéster</t>
  </si>
  <si>
    <t>Tinta em pó à base de resina poliéster - Caminhão carroceria com capacidade de 15 t - 188 kW</t>
  </si>
  <si>
    <t xml:space="preserve"> 5213416 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</si>
  <si>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</si>
  <si>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</si>
  <si>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</si>
  <si>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</si>
  <si>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</si>
  <si>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</si>
  <si>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</si>
  <si>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</si>
  <si>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M1367</t>
  </si>
  <si>
    <t>Chapa fina em aço galvanizado</t>
  </si>
  <si>
    <t>M3235</t>
  </si>
  <si>
    <t>Película retrorrefletiva tipo I</t>
  </si>
  <si>
    <t>Chapa fina em aço galvanizado - Caminhão carroceria com capacidade de 15 t - 188 kW</t>
  </si>
  <si>
    <t>Película retrorrefletiva tipo I - Caminhão carroceria com capacidade de 15 t - 188 kW</t>
  </si>
  <si>
    <t xml:space="preserve"> 5213417 </t>
  </si>
  <si>
    <t>M3237</t>
  </si>
  <si>
    <t>Película retrorrefletiva tipo III</t>
  </si>
  <si>
    <t>Película retrorrefletiva tipo III - Caminhão carroceria com capacidade de 15 t - 188 kW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</si>
  <si>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</si>
  <si>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</si>
  <si>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</si>
  <si>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</si>
  <si>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</si>
  <si>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</si>
  <si>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</si>
  <si>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</si>
  <si>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00004262 </t>
  </si>
  <si>
    <t>PA CARREGADEIRA SOBRE RODAS, POTENCIA LIQUIDA 128 HP, CAPACIDADE DA CACAMBA DE 1,7 A 2,8 M3, PESO OPERACIONAL MAXIMO DE 11632 KG</t>
  </si>
  <si>
    <t xml:space="preserve"> 00039795 </t>
  </si>
  <si>
    <t>QUADRO DE DISTRIBUICAO, SEM BARRAMENTO, EM PVC, DE EMBUTIR, PARA 6 DISJUNTORES NEMA OU 8 DISJUNTORES DIN</t>
  </si>
  <si>
    <t xml:space="preserve"> 00003148 </t>
  </si>
  <si>
    <t>FITA VEDA ROSCA EM ROLOS DE 18 MM X 50 M (L X C)</t>
  </si>
  <si>
    <t xml:space="preserve"> 00006016 </t>
  </si>
  <si>
    <t>REGISTRO GAVETA BRUTO EM LATAO FORJADO, BITOLA 3/4 " (REF 1509)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</si>
  <si>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</si>
  <si>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</si>
  <si>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</si>
  <si>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</si>
  <si>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</si>
  <si>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</si>
  <si>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</si>
  <si>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</si>
  <si>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00036531 </t>
  </si>
  <si>
    <t>RETROESCAVADEIRA SOBRE RODAS COM CARREGADEIRA, TRACAO 4 X 4, POTENCIA LIQUIDA 88 HP, PESO OPERACIONAL MINIMO DE 6674 KG, CAPACIDADE DA CARREGADEIRA DE 1,00 M3 E DA  RETROESCAVADEIRA MINIMA DE 0,26 M3, PROFUNDIDADE DE ESCAVACAO MAXIMA DE 4,37 M</t>
  </si>
  <si>
    <t xml:space="preserve"> 96459 </t>
  </si>
  <si>
    <t>ROLO COMPACTADOR DE PNEUS, ESTATICO, PRESSAO VARIAVEL, POTENCIA 110 HP, PESO SEM/COM LASTRO 10,8/27 T, LARGURA DE ROLAGEM 2,30 M - JUROS. AF_06/2017</t>
  </si>
  <si>
    <t xml:space="preserve"> 96460 </t>
  </si>
  <si>
    <t>ROLO COMPACTADOR DE PNEUS, ESTATICO, PRESSAO VARIAVEL, POTENCIA 110 HP, PESO SEM/COM LASTRO 10,8/27 T, LARGURA DE ROLAGEM 2,30 M - DEPRECIAÇÃO. AF_06/2017</t>
  </si>
  <si>
    <t xml:space="preserve"> 96457 </t>
  </si>
  <si>
    <t>ROLO COMPACTADOR DE PNEUS, ESTATICO, PRESSAO VARIAVEL, POTENCIA 110 HP, PESO SEM/COM LASTRO 10,8/27 T, LARGURA DE ROLAGEM 2,30 M - MATERIAIS NA OPERACAO. AF_06/2017</t>
  </si>
  <si>
    <t xml:space="preserve"> 96458 </t>
  </si>
  <si>
    <t>ROLO COMPACTADOR DE PNEUS, ESTATICO, PRESSAO VARIAVEL, POTENCIA 110 HP, PESO SEM/COM LASTRO 10,8/27 T, LARGURA DE ROLAGEM 2,30 M - MANUTENCAO. AF_06/2017</t>
  </si>
  <si>
    <t xml:space="preserve"> 00014511 </t>
  </si>
  <si>
    <t>ROLO COMPACTADOR DE PNEUS, ESTATICO, PRESSAO VARIAVEL, POTENCIA 110 HP, PESO SEM/COM LASTRO 10,8/27 T, LARGURA DE ROLAGEM 2,30 M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</si>
  <si>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</si>
  <si>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</si>
  <si>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95628 </t>
  </si>
  <si>
    <t>ROLO COMPACTADOR VIBRATORIO TANDEM, ACO LISO, POTENCIA 125 HP, PESO SEM/COM LASTRO 10,20/11,65 T, LARGURA DE TRABALHO 1,73 M - JUROS.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</si>
  <si>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</si>
  <si>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</si>
  <si>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</si>
  <si>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</si>
  <si>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00014626 </t>
  </si>
  <si>
    <t>ROLO COMPACTADOR VIBRATORIO TANDEM, ACO LISO, POTENCIA 125 HP, PESO SEM/COM LASTRO 10,20/11,65 T, LARGURA DE TRABALHO 1,73 M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</si>
  <si>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</si>
  <si>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</si>
  <si>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</si>
  <si>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</si>
  <si>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</si>
  <si>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</si>
  <si>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</si>
  <si>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</si>
  <si>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00010646 </t>
  </si>
  <si>
    <t>ROLO COMPACTADOR VIBRATORIO DE UM CILINDRO, ACO LISO, POTENCIA 80 HP, PESO OPERACIONAL MAXIMO 8,1 T, IMPACTO DINAMICO 16,15/9,5 T, LARGURA TRABALHO 1,68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</si>
  <si>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</si>
  <si>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</si>
  <si>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</si>
  <si>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</si>
  <si>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5089 </t>
  </si>
  <si>
    <t>ROLO COMPACTADOR VIBRATÓRIO PÉ DE CARNEIRO PARA SOLOS, POTÊNCIA 80 HP, PESO OPERACIONAL SEM/COM LASTRO 7,4 / 8,8 T, LARGURA DE TRABALHO 1,68 M - MANUTENÇÃO. AF_02/2016</t>
  </si>
  <si>
    <t xml:space="preserve"> 73315 </t>
  </si>
  <si>
    <t>ROLO COMPACTADOR VIBRATÓRIO PÉ DE CARNEIRO PARA SOLOS, POTÊNCIA 80 HP, PESO OPERACIONAL SEM/COM LASTRO 7,4 / 8,8 T, LARGURA DE TRABALHO 1,68 M - MATERIAIS NA OPERAÇÃO. AF_02/2016</t>
  </si>
  <si>
    <t xml:space="preserve"> 00014513 </t>
  </si>
  <si>
    <t>ROLO COMPACTADOR PE DE CARNEIRO VIBRATORIO, POTENCIA 80 HP, PESO OPERACIONAL SEM/COM LASTRO 7,4/8,8 T, LARGURA DE TRABALHO 1,68 M</t>
  </si>
  <si>
    <t xml:space="preserve"> 53818 </t>
  </si>
  <si>
    <t>ROLO COMPACTADOR VIBRATÓRIO REBOCÁVEL, CILINDRO DE AÇO LISO, POTÊNCIA DE TRAÇÃO DE 65 CV, PESO 4,7 T, IMPACTO DINÂMICO 18,3 T, LARGURA DE TRABALHO 1,67 M - DEPRECIAÇÃO. AF_02/2016</t>
  </si>
  <si>
    <t xml:space="preserve"> 5727 </t>
  </si>
  <si>
    <t>ROLO COMPACTADOR VIBRATÓRIO REBOCÁVEL, CILINDRO DE AÇO LISO, POTÊNCIA DE TRAÇÃO DE 65 CV, PESO 4,7 T, IMPACTO DINÂMICO 18,3 T, LARGURA DE TRABALHO 1,67 M - MANUTENÇÃO. AF_02/2016</t>
  </si>
  <si>
    <t xml:space="preserve"> 93238 </t>
  </si>
  <si>
    <t>ROLO COMPACTADOR VIBRATÓRIO REBOCÁVEL, CILINDRO DE AÇO LISO, POTÊNCIA DE TRAÇÃO DE 65 CV, PESO 4,7 T, IMPACTO DINÂMICO 18,3 T, LARGURA DE TRABALHO 1,67 M - JUROS. AF_02/2016</t>
  </si>
  <si>
    <t xml:space="preserve"> 00006069 </t>
  </si>
  <si>
    <t>ROLO COMPACTADOR VIBRATORIO REBOCAVEL, CILINDRO DE ACO LISO, POTENCIA DE TRACAO DE 65 CV, PESO DE 4,7 T, IMPACTO DINAMICO TOTAL DE 18,3 T, LARGURA DO ROLO 1,67 M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</si>
  <si>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</si>
  <si>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</si>
  <si>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</si>
  <si>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</si>
  <si>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</si>
  <si>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</si>
  <si>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</si>
  <si>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</si>
  <si>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</si>
  <si>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</si>
  <si>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00043468 </t>
  </si>
  <si>
    <t>FERRAMENTAS - FAMILIA SOLDADOR - HORISTA (ENCARGOS COMPLEMENTARES - COLETADO CAIXA)</t>
  </si>
  <si>
    <t xml:space="preserve"> 00043492 </t>
  </si>
  <si>
    <t>EPI - FAMILIA SOLDADOR - HORISTA (ENCARGOS COMPLEMENTARES - COLETADO CAIXA)</t>
  </si>
  <si>
    <t xml:space="preserve"> 00038094 </t>
  </si>
  <si>
    <t>ESPELHO / PLACA DE 3 POSTOS 4" X 2", PARA INSTALACAO DE TOMADAS E INTERRUPTORES</t>
  </si>
  <si>
    <t xml:space="preserve"> 00038099 </t>
  </si>
  <si>
    <t>SUPORTE DE FIXACAO PARA ESPELHO / PLACA 4" X 2", PARA 3 MODULOS, PARA INSTALACAO DE TOMADAS E INTERRUPTORES (SOMENTE SUPORTE)</t>
  </si>
  <si>
    <t xml:space="preserve"> 2408057 </t>
  </si>
  <si>
    <t>E9547</t>
  </si>
  <si>
    <t>Máquina de solda elétrica transformadora 250 A - 9,20 kW</t>
  </si>
  <si>
    <t>M1397</t>
  </si>
  <si>
    <t>Eletrodo revestido E60XX</t>
  </si>
  <si>
    <t>Eletrodo revestido E60XX - Caminhão carroceria com capacidade de 15 t - 188 kW</t>
  </si>
  <si>
    <t xml:space="preserve"> 5219546 </t>
  </si>
  <si>
    <t xml:space="preserve"> 7032 </t>
  </si>
  <si>
    <t xml:space="preserve"> 7033 </t>
  </si>
  <si>
    <t xml:space="preserve"> 7034 </t>
  </si>
  <si>
    <t xml:space="preserve"> 7035 </t>
  </si>
  <si>
    <t xml:space="preserve"> 00014405 </t>
  </si>
  <si>
    <t>TANQUE DE ASFALTO ESTACIONARIO COM SERPENTINA, CAPACIDADE 30.000 L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</si>
  <si>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</si>
  <si>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</si>
  <si>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</si>
  <si>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</si>
  <si>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 xml:space="preserve"> 00004302 </t>
  </si>
  <si>
    <t>PARAFUSO ZINCADO ROSCA SOBERBA, CABECA SEXTAVADA, 5/16 " X 250 MM, PARA FIXACAO DE TELHA EM MADEIRA</t>
  </si>
  <si>
    <t xml:space="preserve"> 00007194 </t>
  </si>
  <si>
    <t>TELHA DE FIBROCIMENTO ONDULADA E = 6 MM, DE 2,44 X 1,10 M (SEM AMIANTO)</t>
  </si>
  <si>
    <t xml:space="preserve"> 91998 </t>
  </si>
  <si>
    <t xml:space="preserve"> 91999 </t>
  </si>
  <si>
    <t xml:space="preserve"> 00038102 </t>
  </si>
  <si>
    <t>TOMADA 2P+T 20A, 250V  (APENAS MODULO)</t>
  </si>
  <si>
    <t xml:space="preserve"> 92006 </t>
  </si>
  <si>
    <t xml:space="preserve"> 00038082 </t>
  </si>
  <si>
    <t>TOMADA RJ11, 2 FIOS, CONJUNTO MONTADO PARA EMBUTIR 4" X 2" (PLACA + SUPORTE + MODULO)</t>
  </si>
  <si>
    <t xml:space="preserve"> 00011830 </t>
  </si>
  <si>
    <t>TORNEIRA DE BOIA CONVENCIONAL PARA CAIXA D'AGUA, AGUA FRIA, 3/4", COM HASTE E TORNEIRA METALICOS E BALAO PLASTICO</t>
  </si>
  <si>
    <t xml:space="preserve"> 00004425 </t>
  </si>
  <si>
    <t xml:space="preserve"> 00040568 </t>
  </si>
  <si>
    <t>PREGO DE ACO POLIDO COM CABECA 22 X 48 (4 1/4 X 5)</t>
  </si>
  <si>
    <t xml:space="preserve"> 88324 </t>
  </si>
  <si>
    <t>TRATORISTA COM ENCARGOS COMPLEMENTARES</t>
  </si>
  <si>
    <t xml:space="preserve"> 89029 </t>
  </si>
  <si>
    <t>TRATOR DE ESTEIRAS, POTÊNCIA 100 HP, PESO OPERACIONAL 9,4 T, COM LÂMINA 2,19 M3 - DEPRECIAÇÃO. AF_06/2014</t>
  </si>
  <si>
    <t xml:space="preserve"> 89030 </t>
  </si>
  <si>
    <t>TRATOR DE ESTEIRAS, POTÊNCIA 100 HP, PESO OPERACIONAL 9,4 T, COM LÂMINA 2,19 M3 - JUROS. AF_06/2014</t>
  </si>
  <si>
    <t xml:space="preserve"> 53817 </t>
  </si>
  <si>
    <t>TRATOR DE ESTEIRAS, POTÊNCIA 100 HP, PESO OPERACIONAL 9,4 T, COM LÂMINA 2,19 M3 - MATERIAIS NA OPERAÇÃO. AF_06/2014</t>
  </si>
  <si>
    <t xml:space="preserve"> 5724 </t>
  </si>
  <si>
    <t>TRATOR DE ESTEIRAS, POTÊNCIA 100 HP, PESO OPERACIONAL 9,4 T, COM LÂMINA 2,19 M3 - MANUTENÇÃO. AF_06/2014</t>
  </si>
  <si>
    <t xml:space="preserve"> 00007622 </t>
  </si>
  <si>
    <t>TRATOR DE ESTEIRAS, POTENCIA DE 100 HP, PESO OPERACIONAL DE 9,4 T, COM LAMINA COM CAPACIDADE DE 2,19 M3</t>
  </si>
  <si>
    <t xml:space="preserve"> 89009 </t>
  </si>
  <si>
    <t>TRATOR DE ESTEIRAS, POTÊNCIA 150 HP, PESO OPERACIONAL 16,7 T, COM RODA MOTRIZ ELEVADA E LÂMINA 3,18 M3 - DEPRECIAÇÃO. AF_06/2014</t>
  </si>
  <si>
    <t xml:space="preserve"> 89010 </t>
  </si>
  <si>
    <t>TRATOR DE ESTEIRAS, POTÊNCIA 150 HP, PESO OPERACIONAL 16,7 T, COM RODA MOTRIZ ELEVADA E LÂMINA 3,18 M3 - JUROS. AF_06/2014</t>
  </si>
  <si>
    <t xml:space="preserve"> 53810 </t>
  </si>
  <si>
    <t>TRATOR DE ESTEIRAS, POTÊNCIA 150 HP, PESO OPERACIONAL 16,7 T, COM RODA MOTRIZ ELEVADA E LÂMINA 3,18 M3 - MANUTENÇÃO. AF_06/2014</t>
  </si>
  <si>
    <t xml:space="preserve"> 5721 </t>
  </si>
  <si>
    <t>TRATOR DE ESTEIRAS, POTÊNCIA 150 HP, PESO OPERACIONAL 16,7 T, COM RODA MOTRIZ ELEVADA E LÂMINA 3,18 M3 - MATERIAIS NA OPERAÇÃO. AF_06/2014</t>
  </si>
  <si>
    <t xml:space="preserve"> 00007624 </t>
  </si>
  <si>
    <t>TRATOR DE ESTEIRAS, POTENCIA DE 150 HP, PESO OPERACIONAL DE 16,7 T, COM RODA MOTRIZ ELEVADA E LAMINA COM CONTATO DE 3,18M3</t>
  </si>
  <si>
    <t xml:space="preserve"> 89017 </t>
  </si>
  <si>
    <t>TRATOR DE ESTEIRAS, POTÊNCIA 170 HP, PESO OPERACIONAL 19 T, CAÇAMBA 5,2 M3 - DEPRECIAÇÃO. AF_06/2014</t>
  </si>
  <si>
    <t xml:space="preserve"> 89018 </t>
  </si>
  <si>
    <t>TRATOR DE ESTEIRAS, POTÊNCIA 170 HP, PESO OPERACIONAL 19 T, CAÇAMBA 5,2 M3 - JUROS. AF_06/2014</t>
  </si>
  <si>
    <t xml:space="preserve"> 53806 </t>
  </si>
  <si>
    <t>TRATOR DE ESTEIRAS, POTÊNCIA 170 HP, PESO OPERACIONAL 19 T, CAÇAMBA 5,2 M3 - MANUTENÇÃO. AF_06/2014</t>
  </si>
  <si>
    <t xml:space="preserve"> 5718 </t>
  </si>
  <si>
    <t>TRATOR DE ESTEIRAS, POTÊNCIA 170 HP, PESO OPERACIONAL 19 T, CAÇAMBA 5,2 M3 - MATERIAIS NA OPERAÇÃO. AF_06/2014</t>
  </si>
  <si>
    <t xml:space="preserve"> 00007625 </t>
  </si>
  <si>
    <t>TRATOR DE ESTEIRAS, POTENCIA DE 170 HP, PESO OPERACIONAL DE 19 T, COM LAMINA COM CAPACIDADE DE 5,2 M3</t>
  </si>
  <si>
    <t xml:space="preserve"> 96053 </t>
  </si>
  <si>
    <t>TRATOR DE PNEUS COM POTÊNCIA DE 85 CV, TRAÇÃO 4X4, COM VASSOURA MECÂNICA ACOPLADA - DEPRECIAÇÃO. AF_03/2017</t>
  </si>
  <si>
    <t xml:space="preserve"> 96055 </t>
  </si>
  <si>
    <t>TRATOR DE PNEUS COM POTÊNCIA DE 85 CV, TRAÇÃO 4X4, COM VASSOURA MECÂNICA ACOPLADA - JUROS. AF_03/2017</t>
  </si>
  <si>
    <t xml:space="preserve"> 96056 </t>
  </si>
  <si>
    <t>TRATOR DE PNEUS COM POTÊNCIA DE 85 CV, TRAÇÃO 4X4, COM VASSOURA MECÂNICA ACOPLADA - MANUTENÇÃO. AF_03/2017</t>
  </si>
  <si>
    <t xml:space="preserve"> 96057 </t>
  </si>
  <si>
    <t>TRATOR DE PNEUS COM POTÊNCIA DE 85 CV, TRAÇÃO 4X4, COM VASSOURA MECÂNICA ACOPLADA - MATERIAIS NA OPERAÇÃO. AF_03/2017</t>
  </si>
  <si>
    <t xml:space="preserve"> 00007640 </t>
  </si>
  <si>
    <t>TRATOR DE PNEUS COM POTENCIA DE 85 CV, TRACAO 4 X 4, PESO COM LASTRO DE 4675 KG</t>
  </si>
  <si>
    <t xml:space="preserve"> 00013726 </t>
  </si>
  <si>
    <t>VASSOURA MECANICA REBOCAVEL COM ESCOVA CILINDRICA LARGURA UTIL DE VARRIMENTO = 2,44M</t>
  </si>
  <si>
    <t xml:space="preserve"> 89033 </t>
  </si>
  <si>
    <t>TRATOR DE PNEUS, POTÊNCIA 85 CV, TRAÇÃO 4X4, PESO COM LASTRO DE 4.675 KG - DEPRECIAÇÃO. AF_06/2014</t>
  </si>
  <si>
    <t xml:space="preserve"> 89034 </t>
  </si>
  <si>
    <t>TRATOR DE PNEUS, POTÊNCIA 85 CV, TRAÇÃO 4X4, PESO COM LASTRO DE 4.675 KG - JUROS. AF_06/2014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</si>
  <si>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</si>
  <si>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</si>
  <si>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</si>
  <si>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</si>
  <si>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00009868 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</si>
  <si>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</si>
  <si>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</si>
  <si>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</si>
  <si>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</si>
  <si>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</si>
  <si>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</si>
  <si>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 xml:space="preserve"> 5914314 </t>
  </si>
  <si>
    <t>Transporte com caminhão basculante de 6 m³ - rodovia em leito natural</t>
  </si>
  <si>
    <t xml:space="preserve"> 5914329 </t>
  </si>
  <si>
    <t>Transporte com caminhão basculante de 6 m³ - rodovia em revestimento primário</t>
  </si>
  <si>
    <t xml:space="preserve"> 5914344 </t>
  </si>
  <si>
    <t>Transporte com caminhão basculante de 6 m³ - rodovia pavimentada</t>
  </si>
  <si>
    <t xml:space="preserve"> 5914449 </t>
  </si>
  <si>
    <t>Transporte com caminhão carroceria de 15 t - rodovia em leito natural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</si>
  <si>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</si>
  <si>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</si>
  <si>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</si>
  <si>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</si>
  <si>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00007139 </t>
  </si>
  <si>
    <t>TE SOLDAVEL, PVC, 90 GRAUS, 25 MM, PARA AGUA FRIA PREDIAL (NBR 5648)</t>
  </si>
  <si>
    <t xml:space="preserve"> 100637 </t>
  </si>
  <si>
    <t>USINA DE MISTURA ASFÁLTICA À QUENTE, TIPO CONTRA FLUXO, PROD 100 A 140 TON/HORA - DEPRECIAÇÃO. AF_12/2019</t>
  </si>
  <si>
    <t xml:space="preserve"> 100638 </t>
  </si>
  <si>
    <t>USINA DE MISTURA ASFÁLTICA À QUENTE, TIPO CONTRA FLUXO, PROD 100 A 140 TON/HORA - JUROS. AF_12/2019</t>
  </si>
  <si>
    <t xml:space="preserve"> 100639 </t>
  </si>
  <si>
    <t>USINA DE MISTURA ASFÁLTICA À QUENTE, TIPO CONTRA FLUXO, PROD 100 A 140 TON/HORA - MANUTENÇÃO. AF_12/2019</t>
  </si>
  <si>
    <t xml:space="preserve"> 100640 </t>
  </si>
  <si>
    <t>USINA DE MISTURA ASFÁLTICA À QUENTE, TIPO CONTRA FLUXO, PROD 100 A 140 TON/HORA - MATERIAIS NA OPERAÇÃO. AF_12/2019</t>
  </si>
  <si>
    <t xml:space="preserve"> 00010601 </t>
  </si>
  <si>
    <t>USINA DE ASFALTO A QUENTE, FIXA, TIPO CONTRA FLUXO, CAPACIDADE DE 100 A 140 T/H, POTENCIA DE 280 KW, COM MISTURADOR EXTERNO ROTATIVO</t>
  </si>
  <si>
    <t xml:space="preserve"> 6416040 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</si>
  <si>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</si>
  <si>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</si>
  <si>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</si>
  <si>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</si>
  <si>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</si>
  <si>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</si>
  <si>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M0005</t>
  </si>
  <si>
    <t>M1135</t>
  </si>
  <si>
    <t>Pó de pedra</t>
  </si>
  <si>
    <t>Brita 0 - Caminhão basculante com capacidade de 10 m³ - 188 kW</t>
  </si>
  <si>
    <t>Pó de pedra - Caminhão basculante com capacidade de 10 m³ - 188 kW</t>
  </si>
  <si>
    <t xml:space="preserve"> 00087 </t>
  </si>
  <si>
    <t xml:space="preserve"> 00088 </t>
  </si>
  <si>
    <t>CHUMBO VIRGEM EM LINGOTE</t>
  </si>
  <si>
    <t xml:space="preserve"> 00089 </t>
  </si>
  <si>
    <t>COBRE ELETROLITICO, TIPO PRENSADO-BARRA</t>
  </si>
  <si>
    <t xml:space="preserve"> 00090 </t>
  </si>
  <si>
    <t>COBRE ELETROLITICO, TIPO LAMINADO-CHAPA</t>
  </si>
  <si>
    <t xml:space="preserve"> 00091 </t>
  </si>
  <si>
    <t xml:space="preserve"> 00096 </t>
  </si>
  <si>
    <t>LATAO EM BARRA, PRENSADO, RETANGULAR</t>
  </si>
  <si>
    <t xml:space="preserve"> 00097 </t>
  </si>
  <si>
    <t xml:space="preserve"> 00098 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</si>
  <si>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</si>
  <si>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</si>
  <si>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</si>
  <si>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</si>
  <si>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</si>
  <si>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</si>
  <si>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</si>
  <si>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</si>
  <si>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</si>
  <si>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</si>
  <si>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 xml:space="preserve"> 89240 </t>
  </si>
  <si>
    <t>VIBROACABADORA DE ASFALTO SOBRE ESTEIRAS, LARGURA DE PAVIMENTAÇÃO 1,90 M A 5,30 M, POTÊNCIA 105 HP CAPACIDADE 450 T/H - DEPRECIAÇÃO. AF_11/2014</t>
  </si>
  <si>
    <t xml:space="preserve"> 89241 </t>
  </si>
  <si>
    <t>VIBROACABADORA DE ASFALTO SOBRE ESTEIRAS, LARGURA DE PAVIMENTAÇÃO 1,90 M A 5,30 M, POTÊNCIA 105 HP CAPACIDADE 450 T/H - JUROS.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</si>
  <si>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</si>
  <si>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</si>
  <si>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</si>
  <si>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</si>
  <si>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00010488 </t>
  </si>
  <si>
    <t>VIBROACABADORA DE ASFALTO SOBRE ESTEIRAS, LARG. PAVIMENT. 1,90 A 5,3 M, POT. 78 KW/105 HP, CAP. 450 T/H</t>
  </si>
  <si>
    <t>REDE DE DRENAGEM ÁREA 5 - 0,75 KM</t>
  </si>
  <si>
    <t>REDE DE DRENAGEM ÁREA 6 - 2,66 KM</t>
  </si>
  <si>
    <t>DEMOLIÇÕES E RECOMPOSIÇÕES DE PAVIMENTAÇÃO FLEXIVEL</t>
  </si>
  <si>
    <t>CARGA, MANOBRA E DESCARGA DE TUBOS DE CONCRETO, DN 400 MM, EM CAMINHÃO CARROCERIA COM GUINDAUTO (MUNCK) 11,7 TM. AF_07/2020</t>
  </si>
  <si>
    <t>DRENAGEM POR SISTEMA NÃO DESTRUTIVO</t>
  </si>
  <si>
    <t>BUEIRO METÁLICO SEM INTERRUPÇÃO DE TRÁFEGO COM D = 1,80 M - CHAPA GALVANIZADA - ESCAVADO EM MATERIAL DE 1ª CATEGORIA - ATERRO RODOVIÁRIO MÁXIMO = 6 M, COM REVESTIMENTO INTERNO DE 360º COM COCNRETO, ESP. 10 CM - DIÂMETRO ACABADO = 1,60 M.</t>
  </si>
  <si>
    <t>MEMÓRIA DE CÁLCULO</t>
  </si>
  <si>
    <t>OBSERVAÇÕES</t>
  </si>
  <si>
    <t>Dimensionamento de Canteiro de Obras CONF. NR-18 E NR-24</t>
  </si>
  <si>
    <t xml:space="preserve">Conforme Quantitativo Validado pelos projetistas. </t>
  </si>
  <si>
    <t>Volume (Área Limpeza x e= 20 cm) x empolamento vegetação 1,25</t>
  </si>
  <si>
    <t>Carga x Bota-fora URE</t>
  </si>
  <si>
    <t>Conforme Quantitativo Validado pelos projetistas</t>
  </si>
  <si>
    <t>Dimensionamento de Canteiro de Obras CONF. NR-18 E NR-24 - 2 unid ESCRITORIO CENTRAL E ALMOXARIFADO</t>
  </si>
  <si>
    <t>Dimensionamento de Canteiro de Obras CONF. NR-18 E NR-24 - 3 unid- VESTIARIO E BANHEIROS 3 Unid</t>
  </si>
  <si>
    <t>Modificada seguindo  Dimensionamento de Canteiro de Obras CONF. NR-18 E NR-24 REFEITÓRIO E AREA DE LAZER</t>
  </si>
  <si>
    <t>Modificada seguindo  Dimensionamento de Canteiro de Obras CONF. NR-18 E NR-24</t>
  </si>
  <si>
    <t>Dimensionamento de Canteiro de Obras CONF. NR-18 E NR-24 Área Canteiro 800 m2 e=5 cm</t>
  </si>
  <si>
    <t>BASE CONTAINERS</t>
  </si>
  <si>
    <t>ESTIMADO (canteiro 30 pessoas) uso de 2 meses de gerador</t>
  </si>
  <si>
    <t>ESTIMADO (canteiro 30 pessoas)</t>
  </si>
  <si>
    <t>Caminhão pipa, considerado 22 dias x 2hs x 6meses Canteiro</t>
  </si>
  <si>
    <t>Estimativo 44 hs /Mês (Produtivo)x 2 mês</t>
  </si>
  <si>
    <t>Estimativo 176 hs /Mês (Improdutivo)x 2 mês</t>
  </si>
  <si>
    <t>Àrea  de demolição *0,05* Empolamento 1,30</t>
  </si>
  <si>
    <t>Carga x Bota-fora NOVACAP</t>
  </si>
  <si>
    <t>Área Canteiro de Recuperação  800 m2 - e= 5 cm</t>
  </si>
  <si>
    <t>Volume  x empolamento Brita 1,50</t>
  </si>
  <si>
    <t>Conforme Quantitativo Validado pelos projetistas E= 15 cm</t>
  </si>
  <si>
    <t>Permanência 1 Profissional 1/3 PERIODO</t>
  </si>
  <si>
    <t>Permanência 1 Profissional  periodo integral</t>
  </si>
  <si>
    <t>Permanência 1 Profissional Meio  Periodo</t>
  </si>
  <si>
    <t>Consideramos 1 profissionais</t>
  </si>
  <si>
    <t xml:space="preserve">Permanência 2 Profissionais por Periodo </t>
  </si>
  <si>
    <t>Permanência 2 Profissional  Periodo Integral - 1 p/a cada frente de trabalho</t>
  </si>
  <si>
    <t>Consideramos 1 profissional</t>
  </si>
  <si>
    <t>Permanência 1 Profissional  Período integral</t>
  </si>
  <si>
    <t>Permanência 1 Profissionais  Período integral</t>
  </si>
  <si>
    <t>REDE DE DRENAGEM</t>
  </si>
  <si>
    <t xml:space="preserve">Previsão de 1 mês engenheiro SENIOR para elaboração de projeto </t>
  </si>
  <si>
    <t xml:space="preserve">Previsão de 1  mês de desenhista para elaboração de projeto </t>
  </si>
  <si>
    <t>ÁREA 5</t>
  </si>
  <si>
    <t>LOCALIDADE:</t>
  </si>
  <si>
    <t>PASSARELA, EM MADEIRA, PARA COBERTA DE VALAS PARA PASSAGEM DE PEDESTRES</t>
  </si>
  <si>
    <t>LOCAL</t>
  </si>
  <si>
    <t>ESCAVAÇÃO</t>
  </si>
  <si>
    <t>BOTA FORA</t>
  </si>
  <si>
    <t>1 CAT</t>
  </si>
  <si>
    <t>SOLO MOLE</t>
  </si>
  <si>
    <t>ROCHA</t>
  </si>
  <si>
    <t>REAPROVEITAMENTO</t>
  </si>
  <si>
    <t>EMPRESTIMO</t>
  </si>
  <si>
    <t>SOLO REMANESCENTE P/
REAPROVEITAMENTO</t>
  </si>
  <si>
    <t>BOTA FORA ATERRO SAMAMBAIA</t>
  </si>
  <si>
    <t>BOTA FORA ATERRO ESTRUTURAL</t>
  </si>
  <si>
    <t>REDE ÁREA 5</t>
  </si>
  <si>
    <t>LIGAÇÕES PV-BL</t>
  </si>
  <si>
    <t>BOCA DE LOBO</t>
  </si>
  <si>
    <t>SALDO</t>
  </si>
  <si>
    <t>SERVIÇO:</t>
  </si>
  <si>
    <t>DISCRIMINAÇÃO</t>
  </si>
  <si>
    <t>UN.</t>
  </si>
  <si>
    <t>COMP. 
(M)</t>
  </si>
  <si>
    <t>LARG. 
(M)</t>
  </si>
  <si>
    <t>ALTURA
(M)</t>
  </si>
  <si>
    <t>ESPES.
(M)</t>
  </si>
  <si>
    <t>PERÍM. 
(M)</t>
  </si>
  <si>
    <t>DIÂM.
(M)</t>
  </si>
  <si>
    <t>PESO (KG)</t>
  </si>
  <si>
    <t>%</t>
  </si>
  <si>
    <t>ÁREA
(M²)</t>
  </si>
  <si>
    <t>VOLUME (M³)</t>
  </si>
  <si>
    <t>Considerada 2 placas por área, a ser instalada conforme recomendações da SODF</t>
  </si>
  <si>
    <t>MOMENTO DE TRANSP. (TXKM)</t>
  </si>
  <si>
    <t>CONFORME PLANILHA DE QUANTITATIVOS</t>
  </si>
  <si>
    <t>UM PLATAFORMA A CADA 500M</t>
  </si>
  <si>
    <t>UM PLATAFORMA C=4 X L=1</t>
  </si>
  <si>
    <t>UM PLATAFORMA A CADA 200M</t>
  </si>
  <si>
    <t>UM PLATAFORMA C=2 X L=1</t>
  </si>
  <si>
    <t>EM AMBOS OS LADOS DA VALA</t>
  </si>
  <si>
    <t>CONSIDEROU-SE QUE 20% DOS SERVIÇOS RERÃO EXECUTADOS A NOITE - UM PONTO A CADA 10 M</t>
  </si>
  <si>
    <t>ÁREA DE DEMOLIÇÃO ASFÁLTICA NA REDE</t>
  </si>
  <si>
    <t>ÁREA DA DEMOLIÇÃO ASÁLFTICA NA LIGAÇÃO PV-REDE</t>
  </si>
  <si>
    <t>DEMOLIÇÃO DO PAVIMENTO NA AMPLIAÇÃO/ CONSTRUÇÃO DA BL</t>
  </si>
  <si>
    <t>TIPO DE TRÁFEGO - LEVE</t>
  </si>
  <si>
    <t>PESO (T)</t>
  </si>
  <si>
    <t>PESO ESP. (T/M²)</t>
  </si>
  <si>
    <t>COMP. 
(KM)</t>
  </si>
  <si>
    <t>MOMENTO DE TRANSP. (M³XKM)</t>
  </si>
  <si>
    <t>TRANSPORTE ATÉ ATERRO SAMAMBAIA</t>
  </si>
  <si>
    <t>DIST.
(KM)</t>
  </si>
  <si>
    <t>PESO ESP.</t>
  </si>
  <si>
    <t>CONFORME PLANILHA DE QUANTITATIVOS DEMOLIÇÃO DE POÇOS</t>
  </si>
  <si>
    <t>PESO ESP. (T/M³)</t>
  </si>
  <si>
    <t>QUANT. (UN)</t>
  </si>
  <si>
    <t>DEMOLIÇÃO DE PASSEIO PARA COLOCAÇÃO DAS BOCAS DE LOBO  (ESTIMADO COM BASE NA ESPESSURA DA TAMPA 7 CM)</t>
  </si>
  <si>
    <t>FOLGA DE 50CM</t>
  </si>
  <si>
    <t>BOCA DE LOBO SIMPLES EXISTENTE COM BOCA DE LOBO DUPLA PROJETADA</t>
  </si>
  <si>
    <t>BOCA DE LOBO SIMPLES EXISTENTE COM BOCA DE LOBO SIMPLES PROJETADA</t>
  </si>
  <si>
    <t>BOCA DE LOBO SIMPLES EXISTENTE COM BOCA DE LOBO TRIPLA PROJETADA</t>
  </si>
  <si>
    <t>BOCA DE LOBO DUPLA EXISTENTE COM BOCA DE LOBO SIMPLES PROJETADA</t>
  </si>
  <si>
    <t>BOCA DE LOBO DUPLA EXISTENTE COM BOCA DE LOBO DUPLA PROJETADA</t>
  </si>
  <si>
    <t>BOCA DE LOBO DUPLA EXISTENTE COM BOCA DE LOBO TRIPLA PROJETADA</t>
  </si>
  <si>
    <t>BOCA DE LOBO TRIPLA EXISTENTE COM BOCA DE LOBO SIMPLES PROJETADA</t>
  </si>
  <si>
    <t>BOCA DE LOBO TRIPLA EXISTENTE COM BOCA DE LOBO DUPLA PROJETADA</t>
  </si>
  <si>
    <t>BOCA DE LOBO TRIPLA EXISTENTE COM BOCA DE LOBO TRIPLA PROJETADA</t>
  </si>
  <si>
    <t>BOCA DE LOBO PROJETADA SIMPLES</t>
  </si>
  <si>
    <t>BOCA DE LOBO PROJETADA DUPLA</t>
  </si>
  <si>
    <t>BOCA DE LOBO PROJETADA TRIPLA</t>
  </si>
  <si>
    <t>PASSEIO DEMOLIDO DESCONTANDO BOCA DE LOBO</t>
  </si>
  <si>
    <t>DEMOLIÇÃO DE PASSEIO</t>
  </si>
  <si>
    <t>DEMOLIÇÃO DE MEIO FIO</t>
  </si>
  <si>
    <t>AMPLIAÇÃO DE BOCAS DE LOBO - DEMOLIÇÃO DE CINTAS</t>
  </si>
  <si>
    <t>AMPLIAÇÃO DE BOCAS DE LOBO - DEMOLIÇÃO DA ALVENARIA</t>
  </si>
  <si>
    <t>DEMOLIÇÃO DE CINTAS</t>
  </si>
  <si>
    <t>DEMOLIÇÃO DA ALVENARIA</t>
  </si>
  <si>
    <t>LIGAÇÃO BL NOVAS COM PV EXISTENTES</t>
  </si>
  <si>
    <t>PROPORÇÃO M³/M</t>
  </si>
  <si>
    <t>1 ENSAIO A CADA 100M</t>
  </si>
  <si>
    <t>EXTENSÃO REDE ASFALTADA</t>
  </si>
  <si>
    <t>PROPORÇÃO ROCHA/BRITA</t>
  </si>
  <si>
    <t>CARGA PARA BOTA FORA</t>
  </si>
  <si>
    <t>TRANSPORTE ATÉ ATERRO ESTRUTURAL - BOTA FORA - MATERIAL NÃO APROVEITADO</t>
  </si>
  <si>
    <t>TRANSPORTE ATÉ ATERRO SAMAMBIA - BOTA FORA - ROCHA</t>
  </si>
  <si>
    <t>ESPALHAMENTO DO MATERIAL NO DESTINO</t>
  </si>
  <si>
    <t>SUB-BASE COM ADIÇÃO DE CAL E REAPROVEITAMENTO DO MATERIAL DA VALA</t>
  </si>
  <si>
    <t>TAXA</t>
  </si>
  <si>
    <t>Área (m²)</t>
  </si>
  <si>
    <t>EMULSÃO ASFÁLTICA - RR-1C PARA PINTURA DE LIGAÇÃO</t>
  </si>
  <si>
    <t>CONFORME COMPOSIÇÃO 4011353 SICRO  - PARA CADA 1M² DE PINTURA DE LIGAÇÃO USARIA 0,00045 T DE EMULSÃO ASFÁLTICA RR-1C</t>
  </si>
  <si>
    <t>EMULSÃO ASFÁLTICA PARA IMPRIMAÇÃO</t>
  </si>
  <si>
    <t>CONFORME COMPOSIÇÃO 4011352 SICRO  - PARA CADA 1M² DE EMULSÃO ASFÁLTICA PARA IMPRIMAÇÃOUSARIA 0,0013 T DE EMULSÃO ASFÁLTICA PARA IMPRIMAÇÃO</t>
  </si>
  <si>
    <t>CONFORME COMPOSIÇÃO 4011304 SICRO PARA CADA 1M³ DE MELHORAMENTO USARIA 4% DE CAL QUE CORRESPONDE A 82,52KG</t>
  </si>
  <si>
    <t>QUANTIDADE</t>
  </si>
  <si>
    <t>CONCRETO BETUMINOSO USINADO A QUENTE</t>
  </si>
  <si>
    <t>PESO ESPEC. MATERIAL BETUMINOSOS (T/M³)</t>
  </si>
  <si>
    <t>TAXA T/T</t>
  </si>
  <si>
    <t>REATERRO COM MATERIAL DA PRÓPRIA VALA</t>
  </si>
  <si>
    <t>REATERRO COM APROVEITAMENTO DO MATERIAL DE VALAS PRÓXIMAS</t>
  </si>
  <si>
    <t>REATERRO ORIGINARIO DE OUTRO TRECHO DA ÁREA</t>
  </si>
  <si>
    <t>REATERRO DO REFORÇO</t>
  </si>
  <si>
    <t>CARGA DO MATERIAL PARA ATERRO RETIRADO DE VALAS PRÓXIMAS (DMT ESTIMADO EM ATÉ 200M)</t>
  </si>
  <si>
    <t>CARGA DA BRITA PARA PREPARO DE FUNDO DE VALA COM LARGURA MENOR QUE 1,5 M.</t>
  </si>
  <si>
    <t>CARGA DA BRITA PARA PREPARO DE FUNDO DE VALA COM LARGURA MAIOR OU IGUAL A 1,5 M E MENOR QUE 2,5 M.</t>
  </si>
  <si>
    <t>TRANSPORTE DO MATERIAL PARA ATERRO RETIRADO DE VALAS PRÓXIMAS (DMT ESTIMADO EM ATÉ 200M)</t>
  </si>
  <si>
    <t>TRANSPORTE DO MATERIAL PARA ATERRO REFORÇO RETIRADO DE VALAS PROXIMAS (DMT ESTIMADO EM ATÉ 200M)</t>
  </si>
  <si>
    <t>TRANSPORTE DO MATERIAL PARA ATERRO APILOADO RETIRADO DE VALAS PROXIMAS (DMT ESTIMADO EM ATÉ 200M)</t>
  </si>
  <si>
    <t>TRANSPORTE DA BRITA PARA PREPARO DE FUNDO DE VALA COM LARGURA MENOR QUE 1,5 M. (DMT ESTIMADO DE 25,60 KM)</t>
  </si>
  <si>
    <t>TRANSPORTE DA BRITA PARA PREPARO DE FUNDO DE VALA COM LARGURA MAIOR OU IGUAL A 1,5 M E MENOR QUE 2,5 M. (DMT ESTIMADO DE 25,60 KM)</t>
  </si>
  <si>
    <t>PESO POR M (T)</t>
  </si>
  <si>
    <t>TRANSPORTE MÉDIO NOVACAP ATÉ MESTRE D'ARMS</t>
  </si>
  <si>
    <t>PESO CONFORME http://www.guaranitubos.com.br/tubo-concreto-armado-agua-pluvial.php</t>
  </si>
  <si>
    <t>VAZÃO (M³/H)</t>
  </si>
  <si>
    <t>N BOCAS (UN)</t>
  </si>
  <si>
    <t>TOTAL DOS TUBOS DE LIGAÇÃO</t>
  </si>
  <si>
    <t>A CADA 100M DE TELAS TAPUMES</t>
  </si>
  <si>
    <t>ESCAVAÇÃO TUBO DE LIGAÇÃO BOCA DE LOBO - POÇO DE VISITA</t>
  </si>
  <si>
    <t>TEMPO (H)</t>
  </si>
  <si>
    <t>ESCAVAÇÃO BOCA DE LOBO</t>
  </si>
  <si>
    <t>TUBO DE LIGAÇÃO BOCA DE LOBO - POÇO DE VISITA</t>
  </si>
  <si>
    <t>VALAS DO TUBO DE LIGAÇÃO DN 400MM</t>
  </si>
  <si>
    <t>LIGAÇÃO BOCA - PV</t>
  </si>
  <si>
    <t>REATERRO ORIGINARIO DA TERRAPLENAGEM DA VIA</t>
  </si>
  <si>
    <t>CARGA PARA OUTROS TRECHOS</t>
  </si>
  <si>
    <t>REFORÇO EM OUTROS TRECHOS</t>
  </si>
  <si>
    <t>REATERRO APILOADO</t>
  </si>
  <si>
    <t>REATERRO MECANIZADO</t>
  </si>
  <si>
    <t>FUNDO</t>
  </si>
  <si>
    <t>PESO TOTAL (KG)</t>
  </si>
  <si>
    <t>PESO TOTAL CONFORME DESENHO MODELO</t>
  </si>
  <si>
    <t>ÁREA (M²)</t>
  </si>
  <si>
    <t>ESTIMADO CONFORME DESENHO TIPO</t>
  </si>
  <si>
    <t>ESTIMADO CONFORME DESENHO TIPO p</t>
  </si>
  <si>
    <t>TUBO DE LIGAÇÃO ENTRE PV E BOCA ATÉ 1,75 PROF</t>
  </si>
  <si>
    <t>TUBO DE LIGAÇÃO ENTRE PV E BOCA ACIMA DE  1,75 PROF</t>
  </si>
  <si>
    <t>TUBO DE LIGAÇÃO ENTRE PV E BOCA</t>
  </si>
  <si>
    <t>CONFORME DESENHO TIPO</t>
  </si>
  <si>
    <t>PV DN 600</t>
  </si>
  <si>
    <t>PV DN 800</t>
  </si>
  <si>
    <t>PV DN 1000</t>
  </si>
  <si>
    <t>PV DN 1200</t>
  </si>
  <si>
    <t>PV DN 1500</t>
  </si>
  <si>
    <t xml:space="preserve">CONCRETO MAGRO </t>
  </si>
  <si>
    <t>ENCHIMENTO</t>
  </si>
  <si>
    <t>TAMPA</t>
  </si>
  <si>
    <t>PAREDES</t>
  </si>
  <si>
    <t>COMPRIMENTO TOTAL DE  ADUELAS -  CONFORME PLANILHA DE QUANTITATIVOS DE PROJETO</t>
  </si>
  <si>
    <t>EXTENSÃO TOTAL DA REDE</t>
  </si>
  <si>
    <t>BOCAS DE LOBO EXISTENTE</t>
  </si>
  <si>
    <t>POÇOS DE VISITA EXISTENTE</t>
  </si>
  <si>
    <t>POÇOS DE VISITA EXISTENTE - REVITALIZAÇÃO DE POÇOS DE VISITA SOB O ASFALTO</t>
  </si>
  <si>
    <t>PERÍMETRO  SINALIZADO</t>
  </si>
  <si>
    <t>ÁREA DE DEMOLIÇÃO ASFÁLTICA</t>
  </si>
  <si>
    <t>ALTURA TOTAL
(M)</t>
  </si>
  <si>
    <t>PV1-87</t>
  </si>
  <si>
    <t>PV2-87</t>
  </si>
  <si>
    <t>PV3-87</t>
  </si>
  <si>
    <t>PV4-87</t>
  </si>
  <si>
    <t>PV5-87</t>
  </si>
  <si>
    <t>PV10-87</t>
  </si>
  <si>
    <t>PV15-87</t>
  </si>
  <si>
    <t>PV1-88</t>
  </si>
  <si>
    <t>PV2-88</t>
  </si>
  <si>
    <t>PV3-88</t>
  </si>
  <si>
    <t>PV4-88</t>
  </si>
  <si>
    <t>PV5-88</t>
  </si>
  <si>
    <t>PV6-88</t>
  </si>
  <si>
    <t>PV7-88</t>
  </si>
  <si>
    <t>PV1-90</t>
  </si>
  <si>
    <t>PV2-90</t>
  </si>
  <si>
    <t>PV3-90</t>
  </si>
  <si>
    <t>PV2-91</t>
  </si>
  <si>
    <t>PV3-91</t>
  </si>
  <si>
    <t>PV1-92</t>
  </si>
  <si>
    <t>PV2-92</t>
  </si>
  <si>
    <t>PV3-92</t>
  </si>
  <si>
    <t>PV1-93</t>
  </si>
  <si>
    <t>PV2-93</t>
  </si>
  <si>
    <t>PV3-93</t>
  </si>
  <si>
    <t>PV1-94</t>
  </si>
  <si>
    <t>PV2-94</t>
  </si>
  <si>
    <t>PV3-94</t>
  </si>
  <si>
    <t>PV1-95</t>
  </si>
  <si>
    <t>PV2-95</t>
  </si>
  <si>
    <t>PV3-95</t>
  </si>
  <si>
    <t>PV1-96</t>
  </si>
  <si>
    <t>PV2-96</t>
  </si>
  <si>
    <t>PV1-97</t>
  </si>
  <si>
    <t>PV2-97</t>
  </si>
  <si>
    <t>PV3-97</t>
  </si>
  <si>
    <t>PV1-98</t>
  </si>
  <si>
    <t>PV2-98</t>
  </si>
  <si>
    <t>PV1-99</t>
  </si>
  <si>
    <t>PV2-99</t>
  </si>
  <si>
    <t>PV1-100</t>
  </si>
  <si>
    <t>DEMOLIÇÃO ASFÁLTICA</t>
  </si>
  <si>
    <t>TAMPA POÇOS DE VISITA</t>
  </si>
  <si>
    <t>ÁREA = ÁREA DEMOLIDA - ÁREA DO PV</t>
  </si>
  <si>
    <t>BASE = 15CM</t>
  </si>
  <si>
    <t>VOLUME = VOLUME DEMOLIDO - VOLUME DO PV</t>
  </si>
  <si>
    <t>SUB-BASE = 15CM</t>
  </si>
  <si>
    <t>VOLUME DE DEMOLIÇÃO ASFÁLTICA</t>
  </si>
  <si>
    <t>VOLUME ESCAVADO</t>
  </si>
  <si>
    <t>VOLUME REAPROVEITADO PARA ATERRO E SUB-BASE</t>
  </si>
  <si>
    <t>BOTA FORA = VOLUME ESCAVADO - VOLUME REAPROVEITADO</t>
  </si>
  <si>
    <t>CAL PARA SUB-BASE</t>
  </si>
  <si>
    <t>TAXA KG/M³</t>
  </si>
  <si>
    <t>TUBO</t>
  </si>
  <si>
    <t>CAIXA DE PASSAGEM</t>
  </si>
  <si>
    <t>PV´s</t>
  </si>
  <si>
    <t>ESCORAMENTO</t>
  </si>
  <si>
    <t>LOGRADOURO</t>
  </si>
  <si>
    <t>REDE</t>
  </si>
  <si>
    <t>TRECHO</t>
  </si>
  <si>
    <t>PROF. MONT.</t>
  </si>
  <si>
    <t>PROF. JUS.</t>
  </si>
  <si>
    <t>COMP</t>
  </si>
  <si>
    <t>DIAM</t>
  </si>
  <si>
    <t>PROF MED</t>
  </si>
  <si>
    <t>ESCADA DE ACESSO A VALA</t>
  </si>
  <si>
    <t>TALUDE</t>
  </si>
  <si>
    <t>LARGURA DO FUNDO DA VALA</t>
  </si>
  <si>
    <t>BOCA</t>
  </si>
  <si>
    <t>TUBO EXISTENTE (MM)</t>
  </si>
  <si>
    <t>ÁREA PAV</t>
  </si>
  <si>
    <t>TIPO DE PAV</t>
  </si>
  <si>
    <t>FURO REPRESENTATIVO</t>
  </si>
  <si>
    <t>1 = SOLO MOLE</t>
  </si>
  <si>
    <t>PROFUNDIDADE DO IMPENETRÁVEL</t>
  </si>
  <si>
    <t>NÍVEL DE ÁGUA</t>
  </si>
  <si>
    <t>LASTRO</t>
  </si>
  <si>
    <t>VOLUME DO TUBO EXISTENTE</t>
  </si>
  <si>
    <t>ESCAVAÇÃO TOTAL</t>
  </si>
  <si>
    <t>VERIFICAÇÃO</t>
  </si>
  <si>
    <t>PROF SOLO MOLE</t>
  </si>
  <si>
    <t>PROF 1  E 2 CATEGORIA</t>
  </si>
  <si>
    <t>3 CATEGORIA</t>
  </si>
  <si>
    <t>DEMOLIÇÃO DE PAVIMENTO ASFALT.</t>
  </si>
  <si>
    <t>DEMOLIÇÃO DE PAVIMENTO CONCRETO</t>
  </si>
  <si>
    <t>ESCAVAÇÃO SOLO MOLE
H&lt;1,5
L&lt;1,5</t>
  </si>
  <si>
    <t>ESCAVAÇÃO SOLO MOLE
1,5&lt;H&lt;3
L&lt;1,5</t>
  </si>
  <si>
    <t>ESCAVAÇÃO SOLO MOLE
3&lt;H&lt;4,5
L&lt;1,5</t>
  </si>
  <si>
    <t>ESCAVAÇÃO SOLO MOLe
H&lt;1,5
1,5&lt;L&lt;2,5</t>
  </si>
  <si>
    <t>ESCAVAÇÃO SOLO MOLE
1,5&lt;H&lt;3
1,5&lt;L&lt;2,5</t>
  </si>
  <si>
    <t>ESCAVAÇÃO SOLO MOLE
3&lt;H&lt;4,5
1,5&lt;L&lt;2,5</t>
  </si>
  <si>
    <t>ESCAVAÇÃO SOLO MOLE
4,5&lt;H&lt;6
1,5&lt;L&lt;2,5</t>
  </si>
  <si>
    <t>ESCAVAÇÃO 1ª E 2ª CAT.
H&lt;1,5
L&lt;1,5</t>
  </si>
  <si>
    <t>ESCAVAÇÃO 1ª E 2ª CAT.
1,5&lt;H&lt;3
L&lt;1,5</t>
  </si>
  <si>
    <t>ESCAVAÇÃO 1ª E 2ª CAT.
H&lt;1,5
1,5&lt;L&lt;2,5</t>
  </si>
  <si>
    <t>ESCAVAÇÃO 1ª E 2ª CAT.
1,5&lt;H&lt;3
1,5&lt;L&lt;2,5</t>
  </si>
  <si>
    <t>ESCAVAÇÃO 1ª E 2ª CAT.
3&lt;H&lt;4,5
1,5&lt;L&lt;2,5</t>
  </si>
  <si>
    <t>ESCAVAÇÃO 1ª E 2ª CAT.
H&lt;2
L&gt;2,5</t>
  </si>
  <si>
    <t>ESCAVAÇÃO 1ª E 2ª CAT.
2&lt;H&lt;4
L&gt;2,5</t>
  </si>
  <si>
    <t>ESCAVAÇÃO 1ª E 2ª CAT.
4&lt;H&lt;6
L&gt;2,5</t>
  </si>
  <si>
    <t>ESGOTAMENTO</t>
  </si>
  <si>
    <t>REATERRO TOTAL</t>
  </si>
  <si>
    <t>FUNDO DE VALA
L&lt;1,5</t>
  </si>
  <si>
    <t>FUNDO DE VALA
L&gt;=1,5</t>
  </si>
  <si>
    <t>REATERRO REFORÇO</t>
  </si>
  <si>
    <t>REFORÇO C/ MATERIAL DE OUTRO TRECHO</t>
  </si>
  <si>
    <t>H APILOAMENTO MANUAL</t>
  </si>
  <si>
    <t>REATERRO MANUAL SEM EMPRÉSTIMO</t>
  </si>
  <si>
    <t>REATERRO COM MATERIAL DE OUTRO TRECHO DA ÁREA</t>
  </si>
  <si>
    <t>SUB-BASE (COM MATERIAL DA VALA)</t>
  </si>
  <si>
    <t>BASE DE BRITA</t>
  </si>
  <si>
    <t>ASFALTO</t>
  </si>
  <si>
    <t>REATERRO MEC TOTAL</t>
  </si>
  <si>
    <t>SOBRA PARA MECANIZADO NO TRECHO</t>
  </si>
  <si>
    <t>REATERRO MEC SEM EMPREST</t>
  </si>
  <si>
    <t>SOBRA PARA OUTRO TRECHO DA ÁREA</t>
  </si>
  <si>
    <t>REATERRO MEC COM EMPRESTIMO TOTAL</t>
  </si>
  <si>
    <t>REATERRO MEC
MATERIAL ENTRE TRECHO</t>
  </si>
  <si>
    <t>REATERRO MEC COM EMPRÉSTIMO DE OUTRA ÁREA</t>
  </si>
  <si>
    <t>CAL</t>
  </si>
  <si>
    <t>ADUELAS</t>
  </si>
  <si>
    <t>H&lt;1,5
L&lt;1,5</t>
  </si>
  <si>
    <t>3,0&lt;H&lt;1,5
L&lt;1,5</t>
  </si>
  <si>
    <t>4,5&lt;H&lt;3,0
L&lt;1,5</t>
  </si>
  <si>
    <t>H&lt;1,5
2,5&lt;L&lt;1,5</t>
  </si>
  <si>
    <t>3,0&lt;H&lt;1,5
2,5&lt;L&lt;1,5</t>
  </si>
  <si>
    <t>4,5&lt;H&lt;3,0
2,5&lt;L&lt;1,5</t>
  </si>
  <si>
    <t>H&lt;1,5
3,5&lt;L&lt;2,5</t>
  </si>
  <si>
    <t>3,0&lt;H&lt;1,5
3,5&lt;L&lt;2,5</t>
  </si>
  <si>
    <t>4,5&lt;H&lt;3,0
3,5&lt;L&lt;2,5</t>
  </si>
  <si>
    <t>6&lt;H&lt;4,5
3,5&lt;L&lt;2,5</t>
  </si>
  <si>
    <t>(M³)</t>
  </si>
  <si>
    <t>(M²)</t>
  </si>
  <si>
    <t>Condomínio Estância Mte. D'armas I Q 2 Rua E</t>
  </si>
  <si>
    <t>ST-106</t>
  </si>
  <si>
    <t>Condomínio Estância Mte. D'armas IV Mod U Mod 2</t>
  </si>
  <si>
    <t>ST-123</t>
  </si>
  <si>
    <t>Condomínio Estância Mte. D'armas IV Mod U Mod 5</t>
  </si>
  <si>
    <t>ST-124</t>
  </si>
  <si>
    <t>Condomínio Estância Mte. D'armas IV Mod 8</t>
  </si>
  <si>
    <t>ST-126</t>
  </si>
  <si>
    <t>ST-127</t>
  </si>
  <si>
    <t>ST-128</t>
  </si>
  <si>
    <t>VOLUME REAPROVEITÁVEL=</t>
  </si>
  <si>
    <t>ATERRO SAMAMBAIA</t>
  </si>
  <si>
    <t>Extensão</t>
  </si>
  <si>
    <t>C1</t>
  </si>
  <si>
    <t>C2</t>
  </si>
  <si>
    <t>CA1</t>
  </si>
  <si>
    <t>CA2</t>
  </si>
  <si>
    <t>CA3</t>
  </si>
  <si>
    <t>VOLUME DISPONÍVEL PARA REATERRO COM MATERIAL DO PRÓPRIO TRECHO</t>
  </si>
  <si>
    <t>ATERRO ESTRUTURAL</t>
  </si>
  <si>
    <t>EMPRÉSTIMO TOTAL DE OUTRAS ÁREAS</t>
  </si>
  <si>
    <t>SOBRA</t>
  </si>
  <si>
    <t>TUBO CONC.</t>
  </si>
  <si>
    <t>PV</t>
  </si>
  <si>
    <t>LIGAÇÕES</t>
  </si>
  <si>
    <t>PROF DO PV</t>
  </si>
  <si>
    <t>TIPO DE PV</t>
  </si>
  <si>
    <t>EXTENSÃO DO TUBO DE LIGAÇÃO (APENAS LIGADOS A PVS PROJETADOS)</t>
  </si>
  <si>
    <t>BOCA DE LOBO EXISTENTE</t>
  </si>
  <si>
    <t>BOCA DE LOBO PROJETADA</t>
  </si>
  <si>
    <t>TIPO</t>
  </si>
  <si>
    <t>TOTAL TRECHOS EXISTENTES</t>
  </si>
  <si>
    <t>DIÂMETRO DOS PVS EXISTENTES</t>
  </si>
  <si>
    <t>TIPO DE BOCA DE LOBO</t>
  </si>
  <si>
    <t>RESUMO</t>
  </si>
  <si>
    <t>RD-1</t>
  </si>
  <si>
    <t>PV1.1</t>
  </si>
  <si>
    <t>BL1</t>
  </si>
  <si>
    <t>PROJETADO</t>
  </si>
  <si>
    <t>SIMPLES</t>
  </si>
  <si>
    <t>VERIFICAR NECESSIDADE DE CORRIGIR POSIÇÃO DA BL NO MEIO FIO</t>
  </si>
  <si>
    <t>PV2.1</t>
  </si>
  <si>
    <t>BL2</t>
  </si>
  <si>
    <t>PV3.1</t>
  </si>
  <si>
    <t>BL3</t>
  </si>
  <si>
    <t>BL4</t>
  </si>
  <si>
    <t>PV4.1</t>
  </si>
  <si>
    <t>BL5</t>
  </si>
  <si>
    <t>DUPLA</t>
  </si>
  <si>
    <t>BL6</t>
  </si>
  <si>
    <t>RD-2</t>
  </si>
  <si>
    <t>BL7</t>
  </si>
  <si>
    <t>BL8</t>
  </si>
  <si>
    <t>RD-3</t>
  </si>
  <si>
    <t>BL9</t>
  </si>
  <si>
    <t>BL10</t>
  </si>
  <si>
    <t>BL11</t>
  </si>
  <si>
    <t>ABERTURA EM BOCAS DE LOBO EXISTENTE</t>
  </si>
  <si>
    <t>BL12</t>
  </si>
  <si>
    <t>BL13</t>
  </si>
  <si>
    <t>BL14</t>
  </si>
  <si>
    <t>BL15</t>
  </si>
  <si>
    <t>TRIPLA</t>
  </si>
  <si>
    <t>BL16</t>
  </si>
  <si>
    <t>PV5.1</t>
  </si>
  <si>
    <t>BL17</t>
  </si>
  <si>
    <t>BL18</t>
  </si>
  <si>
    <t>PV6.1</t>
  </si>
  <si>
    <t>BL19</t>
  </si>
  <si>
    <t>BL20</t>
  </si>
  <si>
    <t>PV7.1</t>
  </si>
  <si>
    <t>BL21</t>
  </si>
  <si>
    <t>BL22</t>
  </si>
  <si>
    <t>EXISTENTE</t>
  </si>
  <si>
    <t>BL23</t>
  </si>
  <si>
    <t>BL24</t>
  </si>
  <si>
    <t>PV23-87</t>
  </si>
  <si>
    <t>BL25</t>
  </si>
  <si>
    <t>BL26</t>
  </si>
  <si>
    <t>*SE NEGATIVO APLICAR DESCONTO MANUALMENTE NA ULTIMA CAMADA</t>
  </si>
  <si>
    <t>ATERRO ESTÁ NO REATERRO SEM EMPREST</t>
  </si>
  <si>
    <t>DEMOLIÇÃO DE 
PAREDES AMPLIAÇÃO</t>
  </si>
  <si>
    <t>DEMOLIÇÃO DE 
CINTAS PARA AMPLIAÇÃO</t>
  </si>
  <si>
    <t>CONCRETO MAGRO</t>
  </si>
  <si>
    <t>CONSTRUÇÃO DAS PAREDES DA BOCA DE LOBO (M²)</t>
  </si>
  <si>
    <t>CONSTRUÇÃO DO CONCRETO (CINTAS E PILARES, TAMPAS E FUNDO) (M³)</t>
  </si>
  <si>
    <t>FORMA DO CONCRETO (CINTAS E PILARES, TAMPAS E FUNDO) (M³)</t>
  </si>
  <si>
    <t>EXTENSÃO DA SARJETA</t>
  </si>
  <si>
    <t>DEMOLIÇÃO DO PAVIMENTO</t>
  </si>
  <si>
    <t>DEMOLIÇÃO DA PAREDE DO POÇO EXISTENTE PARA CONEXÃO A BL NOVO</t>
  </si>
  <si>
    <t>TIPO DE BOCA</t>
  </si>
  <si>
    <t>COMP. DA LIGAÇÃO</t>
  </si>
  <si>
    <t>DIAM DO TUBO DE LIGAÇÃO</t>
  </si>
  <si>
    <t>LARGURA DO FUNDO DA VALA ESCAVADO</t>
  </si>
  <si>
    <t>TUBO EXISTENTE (MM) DE LIGAÇÃO</t>
  </si>
  <si>
    <t>ÁREA PAV. DEMOLIDA</t>
  </si>
  <si>
    <t>VOLUME DO TUBO EXISTENTE
NA ESCAVAÇÃO</t>
  </si>
  <si>
    <t>ESCAVAÇÃO 1ª E 2ª CAT.
3&lt;H&lt;4,5
L&lt;1,5</t>
  </si>
  <si>
    <t>TEM ROCHA?</t>
  </si>
  <si>
    <t>REATERRO MEC
COM EMPRESTIMO DE OUTRO TRECHO DA ÁREA</t>
  </si>
  <si>
    <t>1,5&lt;H&lt;3
L&lt;1,5</t>
  </si>
  <si>
    <t>3&lt;H&lt;4,5
L&lt;1,5</t>
  </si>
  <si>
    <t>ESCAVAÇÃO TOTAL (M³)</t>
  </si>
  <si>
    <t>ÁREA DE ESCAVAÇÃO (M²)</t>
  </si>
  <si>
    <t>ÁREA OCUPADA PELAS BOCAS CONSTRUIDAS (M²)</t>
  </si>
  <si>
    <t>PROF DA BOCA (M)</t>
  </si>
  <si>
    <t>PROF 1  E 2 CATEGORIA (M)</t>
  </si>
  <si>
    <t>PROF SOLO MOLE (M)</t>
  </si>
  <si>
    <t>PROF DA ROCHA (M)</t>
  </si>
  <si>
    <t>ESCAVAÇÃO 1ª E 2ª CAT.
H&lt;1,5
1,5&lt;L&lt;2,5
 (M³)</t>
  </si>
  <si>
    <t>ESCAVAÇÃO 1ª E 2ª CAT.
1,5&lt;H&lt;3
1,5&lt;L&lt;2,5
 (M³)</t>
  </si>
  <si>
    <t>ESCAVAÇÃO SOLO MOLE
H&lt;1,5
1,5&lt;L&lt;2,5
 (M³)</t>
  </si>
  <si>
    <t>ESCAVAÇÃO SOLO MOLE
1,5&lt;H&lt;3
1,5&lt;L&lt;2,5
 (M³)</t>
  </si>
  <si>
    <t>ESCAVAÇÃO EM ROCHA (M³)</t>
  </si>
  <si>
    <t>VOLUME DO CONCRETO DA SARJETA</t>
  </si>
  <si>
    <t>ATERRO TOTAL (M³)</t>
  </si>
  <si>
    <t>ATERRO SEM EMPRESTIMO (M³)</t>
  </si>
  <si>
    <t>ATERRO COM EMPRESTIMO (M³)</t>
  </si>
  <si>
    <t>COMPRIMENTO PARA ESCORAR (M)</t>
  </si>
  <si>
    <t>PROF. PARA ESCORAR (M)</t>
  </si>
  <si>
    <t>H&lt;1,5
1,5&lt;L&lt;2,5</t>
  </si>
  <si>
    <t>3,0&lt;H&lt;1,5
1,5&lt;L&lt;2,5</t>
  </si>
  <si>
    <t>ST-132</t>
  </si>
  <si>
    <t>SE NEGATIVO EDITAR MANUALMENTE A ESCAVAÇÃO MAIS PROFUNDA POR CONTA DO TUBO EXISTENTE</t>
  </si>
  <si>
    <t>MATERIAL DISPONIVEL PARA REAPROVEITAMENTO</t>
  </si>
  <si>
    <t xml:space="preserve">EMPRÉSTIMO TOTAL </t>
  </si>
  <si>
    <t>MATERIAL DE EMPRESTIMO</t>
  </si>
  <si>
    <t>Planilha de Cálculo de Rede de Drenagem Pluvial</t>
  </si>
  <si>
    <t>Local:</t>
  </si>
  <si>
    <t>Setor Habitacional Mestre D'Armas - Área 05</t>
  </si>
  <si>
    <t xml:space="preserve"> </t>
  </si>
  <si>
    <t>TR=</t>
  </si>
  <si>
    <t>anos</t>
  </si>
  <si>
    <t>Tc=</t>
  </si>
  <si>
    <t>min</t>
  </si>
  <si>
    <t>Descrição dos PV's</t>
  </si>
  <si>
    <t>Cota Terreno</t>
  </si>
  <si>
    <t>Área de Contribuição (ha)</t>
  </si>
  <si>
    <t>Coef.</t>
  </si>
  <si>
    <t>Tempo</t>
  </si>
  <si>
    <t>Intensidade</t>
  </si>
  <si>
    <t>Comprim. (m)</t>
  </si>
  <si>
    <t>Vazão</t>
  </si>
  <si>
    <t>Seção</t>
  </si>
  <si>
    <t>Declividade</t>
  </si>
  <si>
    <t>Velocidade</t>
  </si>
  <si>
    <t>Y/D</t>
  </si>
  <si>
    <t>Profundidade do PV</t>
  </si>
  <si>
    <t>Cota Geratriz Inf. Tubo</t>
  </si>
  <si>
    <t>Degrau</t>
  </si>
  <si>
    <t>PAVIMENTO</t>
  </si>
  <si>
    <t>REDE EXISTENTE</t>
  </si>
  <si>
    <t>VOLUME DO POÇO EXISTENTE</t>
  </si>
  <si>
    <t>VOLUME DO TUBO E</t>
  </si>
  <si>
    <t>PV ANTERIOR</t>
  </si>
  <si>
    <t>PROF. PV ANTERIOR</t>
  </si>
  <si>
    <t>BOCA DE LOBO PROJETADO</t>
  </si>
  <si>
    <t>PV 600</t>
  </si>
  <si>
    <t>PV 800</t>
  </si>
  <si>
    <t>PV 1000</t>
  </si>
  <si>
    <t>PV 1200</t>
  </si>
  <si>
    <t>PV 1500</t>
  </si>
  <si>
    <t>GALERIA 1650</t>
  </si>
  <si>
    <t>GALERIA 1650
RECOBRIMENTO ATÉ 2M</t>
  </si>
  <si>
    <t>GALERIA 1650
RECOBRIMENTO 2 ATÉ 3M</t>
  </si>
  <si>
    <t>GALERIA 1650
RECOBRIMENTO 3 ATÉ 4M</t>
  </si>
  <si>
    <t>Mont. (m)</t>
  </si>
  <si>
    <t>Jus. (m)</t>
  </si>
  <si>
    <t>Trecho</t>
  </si>
  <si>
    <t>Escoam. C</t>
  </si>
  <si>
    <t>Manning</t>
  </si>
  <si>
    <t>Concent. (min)</t>
  </si>
  <si>
    <t>Chuva (mm/h)</t>
  </si>
  <si>
    <t>Entre PV</t>
  </si>
  <si>
    <t>Calculada (l/s)</t>
  </si>
  <si>
    <t>D1</t>
  </si>
  <si>
    <t>D2</t>
  </si>
  <si>
    <t>Adotada (%)</t>
  </si>
  <si>
    <t>(m/s)</t>
  </si>
  <si>
    <t>(m)</t>
  </si>
  <si>
    <t>(mm)</t>
  </si>
  <si>
    <t>(m³)</t>
  </si>
  <si>
    <t>(un)</t>
  </si>
  <si>
    <t>PV1.1-&gt;PV2.1</t>
  </si>
  <si>
    <t>PV6-87</t>
  </si>
  <si>
    <t>PV2.1-&gt;PV3.1</t>
  </si>
  <si>
    <t>PV3.1-&gt;PV4.1</t>
  </si>
  <si>
    <t>PV7-87</t>
  </si>
  <si>
    <t>PV4.1-&gt;PV5.1</t>
  </si>
  <si>
    <t>PV8-87</t>
  </si>
  <si>
    <t>PV5.1-&gt;PV6.1</t>
  </si>
  <si>
    <t>PV6.1-&gt;PV7.1</t>
  </si>
  <si>
    <t>PV9-87</t>
  </si>
  <si>
    <t>PV7.1-&gt;PV8.1</t>
  </si>
  <si>
    <t>P13-87</t>
  </si>
  <si>
    <t>PV16-87</t>
  </si>
  <si>
    <t>PV17-87</t>
  </si>
  <si>
    <t>PV18-87</t>
  </si>
  <si>
    <t>PV19-87</t>
  </si>
  <si>
    <t>PV20-87</t>
  </si>
  <si>
    <t>PV8.1-&gt;PV9.1</t>
  </si>
  <si>
    <t>PV9.1-&gt;PV10.1</t>
  </si>
  <si>
    <t>PV21-87</t>
  </si>
  <si>
    <t>PV10.1-&gt;PV11.1</t>
  </si>
  <si>
    <t>PV11.1-&gt;PV12.1</t>
  </si>
  <si>
    <t>PV22-87</t>
  </si>
  <si>
    <t>PV12.1-&gt;PV13.1</t>
  </si>
  <si>
    <t>PV6-111</t>
  </si>
  <si>
    <t>PV8-102</t>
  </si>
  <si>
    <t>PV7-102</t>
  </si>
  <si>
    <t>PV6-102</t>
  </si>
  <si>
    <t>PV19-121</t>
  </si>
  <si>
    <t>PV3-119</t>
  </si>
  <si>
    <t>PV2-119</t>
  </si>
  <si>
    <t>PV1-119</t>
  </si>
  <si>
    <t>PV3-117</t>
  </si>
  <si>
    <t>PV2-117</t>
  </si>
  <si>
    <t>PV1-117</t>
  </si>
  <si>
    <t>PV3-116</t>
  </si>
  <si>
    <t>PV2-116</t>
  </si>
  <si>
    <t>PV1-116</t>
  </si>
  <si>
    <t>PV5-115</t>
  </si>
  <si>
    <t>PV4-115</t>
  </si>
  <si>
    <t>PV3-115</t>
  </si>
  <si>
    <t>PV2-115</t>
  </si>
  <si>
    <t>PV1-115</t>
  </si>
  <si>
    <t>PV3-114</t>
  </si>
  <si>
    <t>PV2-114</t>
  </si>
  <si>
    <t>PV1-114</t>
  </si>
  <si>
    <t>PV3-113</t>
  </si>
  <si>
    <t>PV2-113</t>
  </si>
  <si>
    <t>PV1-113</t>
  </si>
  <si>
    <t>PV3-112</t>
  </si>
  <si>
    <t>PV2-112</t>
  </si>
  <si>
    <t>PV1-112</t>
  </si>
  <si>
    <t>PV10-111</t>
  </si>
  <si>
    <t>PV9-111</t>
  </si>
  <si>
    <t>PV8-111</t>
  </si>
  <si>
    <t>PV7-111</t>
  </si>
  <si>
    <t>PV5-111</t>
  </si>
  <si>
    <t>PV4-111</t>
  </si>
  <si>
    <t>PV3-111</t>
  </si>
  <si>
    <t>PV2-111</t>
  </si>
  <si>
    <t>PV1-111</t>
  </si>
  <si>
    <t>PV3-110</t>
  </si>
  <si>
    <t>PV2-110</t>
  </si>
  <si>
    <t>PV1-110</t>
  </si>
  <si>
    <t>PV3-109</t>
  </si>
  <si>
    <t>PV2-109</t>
  </si>
  <si>
    <t>PV1-109</t>
  </si>
  <si>
    <t>PV3-108</t>
  </si>
  <si>
    <t>PV2-108</t>
  </si>
  <si>
    <t>PV1-108</t>
  </si>
  <si>
    <t>PV3-107</t>
  </si>
  <si>
    <t>PV2-107</t>
  </si>
  <si>
    <t>PV1-107</t>
  </si>
  <si>
    <t>PV3-106</t>
  </si>
  <si>
    <t>PV2-106</t>
  </si>
  <si>
    <t>PV1-106</t>
  </si>
  <si>
    <t>PV3-105</t>
  </si>
  <si>
    <t>PV2-105</t>
  </si>
  <si>
    <t>PV1-105</t>
  </si>
  <si>
    <t>PV3-104</t>
  </si>
  <si>
    <t>PV2-104</t>
  </si>
  <si>
    <t>PV1-104</t>
  </si>
  <si>
    <t>PV3-103</t>
  </si>
  <si>
    <t>PV2-103</t>
  </si>
  <si>
    <t>PV1-103</t>
  </si>
  <si>
    <t>PV9-102</t>
  </si>
  <si>
    <t>PV5-102</t>
  </si>
  <si>
    <t>PV4-102</t>
  </si>
  <si>
    <t>PV3-102</t>
  </si>
  <si>
    <t>PV2-102</t>
  </si>
  <si>
    <t>VIAS</t>
  </si>
  <si>
    <t>CONFORME CUBAÇÃO</t>
  </si>
  <si>
    <t>BASE</t>
  </si>
  <si>
    <t>SUB-BASE</t>
  </si>
  <si>
    <t>SUBLEITO</t>
  </si>
  <si>
    <t>TRANSPORTE ATÉ ATERRO ESTRUTURAL - D = 44KM</t>
  </si>
  <si>
    <t>TRANSPORTE ATÉ LOCAL DO EMPRESTIMO DA LIGAÇÃO PV-BL - D = 1KM</t>
  </si>
  <si>
    <t>MATERIAL PARA BOTA FORA</t>
  </si>
  <si>
    <t>MATERIAL UTILIZADO PARA ATERRO DA VIA</t>
  </si>
  <si>
    <t>MATERIAL UTILIZADO PARA ATERRO DA LIGAÇÃO PV-BL  (FHV = 15%)</t>
  </si>
  <si>
    <t>MATERIAL ESCAVADO (FHV = 15%)</t>
  </si>
  <si>
    <t>TRANSPORTE ATÉ ATERRO SAMAMBAIA - D=75KM</t>
  </si>
  <si>
    <t>ESPASSAMENTO (M)</t>
  </si>
  <si>
    <t>COMP.
(M)
TOTAL</t>
  </si>
  <si>
    <t>COMP. 
(M)
CHUMBADOR</t>
  </si>
  <si>
    <t>VIA 11 - ESTACA 1+17,69 A 33+11,57</t>
  </si>
  <si>
    <t>VIA 9 - ESTACA 0+0,00 A 33+9,92</t>
  </si>
  <si>
    <t>COMP. 
TOTAL</t>
  </si>
  <si>
    <t>DISSIPADOR DE ENERGIA EXISTENTE</t>
  </si>
  <si>
    <t>DISSIPADOR A4</t>
  </si>
  <si>
    <t>TAXA (KG/M)</t>
  </si>
  <si>
    <t>GALERIA MOLDADA 1,65 x 1,65</t>
  </si>
  <si>
    <t>HORA (H)</t>
  </si>
  <si>
    <t>M³XKM</t>
  </si>
  <si>
    <t>TRAVESSIA</t>
  </si>
  <si>
    <t>SOLO MOLE USADO=</t>
  </si>
  <si>
    <t>ST-155</t>
  </si>
  <si>
    <t>ST-154</t>
  </si>
  <si>
    <t>ST-152</t>
  </si>
  <si>
    <t>Condomínio Estância Mte. D'Armas I Mod B</t>
  </si>
  <si>
    <t>ST-151</t>
  </si>
  <si>
    <t>ST-148</t>
  </si>
  <si>
    <t>Condomínio Estância Mte. D'Armas I Mod C</t>
  </si>
  <si>
    <t>ST-139</t>
  </si>
  <si>
    <t>Condomínio Estância Mte. D'Armas I Mod G</t>
  </si>
  <si>
    <t>Condomínio Estância Mte. D'Armas I Mod I</t>
  </si>
  <si>
    <t>Condomínio Estância Mte. D'Armas I Mod K</t>
  </si>
  <si>
    <t>Condomínio Estância Mte. D'Armas I Mod M</t>
  </si>
  <si>
    <t>Condomínio Estância Mte. D'Armas I Mod O</t>
  </si>
  <si>
    <t>Condomínio Estância Mte. D'Armas I Mod Q</t>
  </si>
  <si>
    <t>Condomínio Estância Mte. D'Armas I Mod S</t>
  </si>
  <si>
    <t>Condomínio Estância Mte. D'Armas I</t>
  </si>
  <si>
    <t>ST-138</t>
  </si>
  <si>
    <t>CONDOMÍNIO MTE. D'ARMAS Q1 RUA A</t>
  </si>
  <si>
    <t>CONDOMÍNIO ESTÂNCIA MTE. D'ARMAS Q1 RUA A</t>
  </si>
  <si>
    <t>CONDOMÍNIO MTE. D'ARMAS Q1 RUA B</t>
  </si>
  <si>
    <t>R. E</t>
  </si>
  <si>
    <t>SPT-21</t>
  </si>
  <si>
    <t>CONDOMÍNIO MTE. D'ARMAS Q3 RUA G</t>
  </si>
  <si>
    <t>ST-122</t>
  </si>
  <si>
    <t>SPT-33</t>
  </si>
  <si>
    <t>Condomínio Estância Mte. D'Armas I Mod 11</t>
  </si>
  <si>
    <t>ST-133</t>
  </si>
  <si>
    <t>Condomínio Estância Mte. D'Armas I Mod L</t>
  </si>
  <si>
    <t>Condomínio Estância Mte. D'Armas I Mod J</t>
  </si>
  <si>
    <t>Condomínio Estância Mte. D'Armas I Mod H</t>
  </si>
  <si>
    <t>ST-153</t>
  </si>
  <si>
    <t>Condomínio Estância Mte. D'Armas I Mod P</t>
  </si>
  <si>
    <t>Condomínio Estância Mte. D'Armas IV Mod 11</t>
  </si>
  <si>
    <t>ST-142</t>
  </si>
  <si>
    <t>Condomínio Estância Mte. D'Armas IV Mod P</t>
  </si>
  <si>
    <t>Condomínio Estância Mte. D'Armas IV Mod R</t>
  </si>
  <si>
    <t>Condomínio Estância Mte. D'Armas I Mod T</t>
  </si>
  <si>
    <t>ÁREA 6</t>
  </si>
  <si>
    <t>TERRENO NATURAL</t>
  </si>
  <si>
    <t>PV30-121</t>
  </si>
  <si>
    <t>PV29-121</t>
  </si>
  <si>
    <t>PV28-121</t>
  </si>
  <si>
    <t>PV27-121</t>
  </si>
  <si>
    <t>PV26-121</t>
  </si>
  <si>
    <t>PV25-121</t>
  </si>
  <si>
    <t>PV4-118</t>
  </si>
  <si>
    <t>PV1.2-&gt;PV5.1</t>
  </si>
  <si>
    <t>PV24-121</t>
  </si>
  <si>
    <t>PV23-121</t>
  </si>
  <si>
    <t>PV22-121</t>
  </si>
  <si>
    <t>PV14-121</t>
  </si>
  <si>
    <t>PV16.1-&gt;PV17.1</t>
  </si>
  <si>
    <t>PV13-121</t>
  </si>
  <si>
    <t>PV15.1-&gt;PV16.1</t>
  </si>
  <si>
    <t>PV12-121</t>
  </si>
  <si>
    <t>PV14.1-&gt;PV15.1</t>
  </si>
  <si>
    <t>PV11-121</t>
  </si>
  <si>
    <t>PV13.1-&gt;PV14.1</t>
  </si>
  <si>
    <t>PV10-121</t>
  </si>
  <si>
    <t>PV4-124</t>
  </si>
  <si>
    <t>PV4.4-&gt;PV12.1</t>
  </si>
  <si>
    <t>PV3-124</t>
  </si>
  <si>
    <t>PV3.4-&gt;PV4.4</t>
  </si>
  <si>
    <t>PV2-124</t>
  </si>
  <si>
    <t>PV2.4-&gt;PV3.4</t>
  </si>
  <si>
    <t>PV1-124</t>
  </si>
  <si>
    <t>PV1.4-&gt;PV2.4</t>
  </si>
  <si>
    <t>PV9-121</t>
  </si>
  <si>
    <t>PV8-121</t>
  </si>
  <si>
    <t>PV2-123</t>
  </si>
  <si>
    <t>PV2.3-&gt;PV10.1</t>
  </si>
  <si>
    <t>PV1-123</t>
  </si>
  <si>
    <t>PV1.3-&gt;PV2.3</t>
  </si>
  <si>
    <t>PV7-121</t>
  </si>
  <si>
    <t>PV6-121</t>
  </si>
  <si>
    <t>PV5-121</t>
  </si>
  <si>
    <t>PV4-121</t>
  </si>
  <si>
    <t>PV3-121</t>
  </si>
  <si>
    <t>PV1-122</t>
  </si>
  <si>
    <t>PV1.2-&gt;PV4.1</t>
  </si>
  <si>
    <t>PV2-121</t>
  </si>
  <si>
    <t>PV1-121</t>
  </si>
  <si>
    <t>PV17-111</t>
  </si>
  <si>
    <t>PV16-111</t>
  </si>
  <si>
    <t>PV15-111</t>
  </si>
  <si>
    <t>PV3-120</t>
  </si>
  <si>
    <t>PV3.4-&gt;PV8.1</t>
  </si>
  <si>
    <t>PV2-120</t>
  </si>
  <si>
    <t>PV1-120</t>
  </si>
  <si>
    <t>PV14-111</t>
  </si>
  <si>
    <t>PV13-111</t>
  </si>
  <si>
    <t>PV4.3-&gt;PV6.1</t>
  </si>
  <si>
    <t>PV12-111</t>
  </si>
  <si>
    <t>PV3.3-&gt;PV4.3</t>
  </si>
  <si>
    <t>PV11-111</t>
  </si>
  <si>
    <t>PV2.3-&gt;PV3.3</t>
  </si>
  <si>
    <t>PV4-119</t>
  </si>
  <si>
    <t>PV8-107</t>
  </si>
  <si>
    <t>PV12-102</t>
  </si>
  <si>
    <t>PV4.2-&gt;PV5.1</t>
  </si>
  <si>
    <t>PV11-102</t>
  </si>
  <si>
    <t>PV3.2-&gt;PV4.2</t>
  </si>
  <si>
    <t>PV10-102</t>
  </si>
  <si>
    <t>PV2.2-&gt;PV3.2</t>
  </si>
  <si>
    <t>PV1.2-&gt;PV2.2</t>
  </si>
  <si>
    <t>PV7-107</t>
  </si>
  <si>
    <t>PV6-107</t>
  </si>
  <si>
    <t>PV5-107</t>
  </si>
  <si>
    <t>PV4-107</t>
  </si>
  <si>
    <t>(adimensional)</t>
  </si>
  <si>
    <t>Altura de Y</t>
  </si>
  <si>
    <t>A x C</t>
  </si>
  <si>
    <t>Rede 1</t>
  </si>
  <si>
    <t>Setor Habitacional Mestre D'Armas - Área 06</t>
  </si>
  <si>
    <t>OBS: UTLIZADO VOLUME DA VIA 9 PARA EMPRESTIMO DA REDE E DAS LIGAÇÕES, CONSIDERANDO FHV DE 1,15M³</t>
  </si>
  <si>
    <t>VIA 11</t>
  </si>
  <si>
    <t>VIA 9</t>
  </si>
  <si>
    <t>REDE ÁREA 6</t>
  </si>
  <si>
    <t>BL129</t>
  </si>
  <si>
    <t>400-500</t>
  </si>
  <si>
    <t>BL128</t>
  </si>
  <si>
    <t>BL127</t>
  </si>
  <si>
    <t>BL126</t>
  </si>
  <si>
    <t>BL125</t>
  </si>
  <si>
    <t>BL124</t>
  </si>
  <si>
    <t>BL123</t>
  </si>
  <si>
    <t>BL122</t>
  </si>
  <si>
    <t>BL121</t>
  </si>
  <si>
    <t>600-800</t>
  </si>
  <si>
    <t>BL120</t>
  </si>
  <si>
    <t>BL119</t>
  </si>
  <si>
    <t>400-600</t>
  </si>
  <si>
    <t>BL118</t>
  </si>
  <si>
    <t>BL117</t>
  </si>
  <si>
    <t>BL116</t>
  </si>
  <si>
    <t>BL115</t>
  </si>
  <si>
    <t>BL114</t>
  </si>
  <si>
    <t>BL113</t>
  </si>
  <si>
    <t>BL112</t>
  </si>
  <si>
    <t>BL111</t>
  </si>
  <si>
    <t>BL110</t>
  </si>
  <si>
    <t>BL109</t>
  </si>
  <si>
    <t>BL108</t>
  </si>
  <si>
    <t>BL107</t>
  </si>
  <si>
    <t>BL106</t>
  </si>
  <si>
    <t>BL105</t>
  </si>
  <si>
    <t>BL104</t>
  </si>
  <si>
    <t>BL103</t>
  </si>
  <si>
    <t>BL102</t>
  </si>
  <si>
    <t>BL101</t>
  </si>
  <si>
    <t>BL100</t>
  </si>
  <si>
    <t>BL99</t>
  </si>
  <si>
    <t>500-600</t>
  </si>
  <si>
    <t>BL98</t>
  </si>
  <si>
    <t>BL97</t>
  </si>
  <si>
    <t>BL96</t>
  </si>
  <si>
    <t>BL95</t>
  </si>
  <si>
    <t>BL94</t>
  </si>
  <si>
    <t>BL93</t>
  </si>
  <si>
    <t>BL92</t>
  </si>
  <si>
    <t>BL91</t>
  </si>
  <si>
    <t>BL90</t>
  </si>
  <si>
    <t>BL89</t>
  </si>
  <si>
    <t>BL88</t>
  </si>
  <si>
    <t>BL87</t>
  </si>
  <si>
    <t>BL86</t>
  </si>
  <si>
    <t>BL85</t>
  </si>
  <si>
    <t>BL84</t>
  </si>
  <si>
    <t>BL83</t>
  </si>
  <si>
    <t>BL82</t>
  </si>
  <si>
    <t>BL81</t>
  </si>
  <si>
    <t>BL80</t>
  </si>
  <si>
    <t>BL79</t>
  </si>
  <si>
    <t>BL78</t>
  </si>
  <si>
    <t>BL77</t>
  </si>
  <si>
    <t>BL76</t>
  </si>
  <si>
    <t>BL75</t>
  </si>
  <si>
    <t>BL74</t>
  </si>
  <si>
    <t>BL73</t>
  </si>
  <si>
    <t>BL72</t>
  </si>
  <si>
    <t>BL71</t>
  </si>
  <si>
    <t>BL70</t>
  </si>
  <si>
    <t>BL69</t>
  </si>
  <si>
    <t>BL68</t>
  </si>
  <si>
    <t>BL67</t>
  </si>
  <si>
    <t>BL66</t>
  </si>
  <si>
    <t>BL65</t>
  </si>
  <si>
    <t>800-1000</t>
  </si>
  <si>
    <t>BL64</t>
  </si>
  <si>
    <t>BL63</t>
  </si>
  <si>
    <t>BL62</t>
  </si>
  <si>
    <t>BL61</t>
  </si>
  <si>
    <t>BL60</t>
  </si>
  <si>
    <t>BL59</t>
  </si>
  <si>
    <t>BL58</t>
  </si>
  <si>
    <t>BL57</t>
  </si>
  <si>
    <t>BL56</t>
  </si>
  <si>
    <t>BL55</t>
  </si>
  <si>
    <t>BL54</t>
  </si>
  <si>
    <t>PV1-102</t>
  </si>
  <si>
    <t>BL53</t>
  </si>
  <si>
    <t>PV1.2</t>
  </si>
  <si>
    <t>BL52</t>
  </si>
  <si>
    <t>BL51</t>
  </si>
  <si>
    <t>PV2.3</t>
  </si>
  <si>
    <t>BL50</t>
  </si>
  <si>
    <t>PV1.3</t>
  </si>
  <si>
    <t>BL49</t>
  </si>
  <si>
    <t>BL48</t>
  </si>
  <si>
    <t>PV17.1</t>
  </si>
  <si>
    <t>BL47</t>
  </si>
  <si>
    <t>PV16.1</t>
  </si>
  <si>
    <t>BL46</t>
  </si>
  <si>
    <t>PV15.1</t>
  </si>
  <si>
    <t>BL45</t>
  </si>
  <si>
    <t>PV14.1</t>
  </si>
  <si>
    <t>BL44</t>
  </si>
  <si>
    <t>PV13.1</t>
  </si>
  <si>
    <t>BL43</t>
  </si>
  <si>
    <t>PV12.1</t>
  </si>
  <si>
    <t>BL42</t>
  </si>
  <si>
    <t>PV11.1</t>
  </si>
  <si>
    <t>BL41</t>
  </si>
  <si>
    <t>PV10.1</t>
  </si>
  <si>
    <t>BL40</t>
  </si>
  <si>
    <t>PV9.1</t>
  </si>
  <si>
    <t>BL39</t>
  </si>
  <si>
    <t>PV8.1</t>
  </si>
  <si>
    <t>BL38</t>
  </si>
  <si>
    <t>BL37</t>
  </si>
  <si>
    <t>BL36</t>
  </si>
  <si>
    <t>BL35</t>
  </si>
  <si>
    <t>BL34</t>
  </si>
  <si>
    <t>BL33</t>
  </si>
  <si>
    <t>BL32</t>
  </si>
  <si>
    <t>BL31</t>
  </si>
  <si>
    <t>PV4.4</t>
  </si>
  <si>
    <t>BL30</t>
  </si>
  <si>
    <t>PV3.4</t>
  </si>
  <si>
    <t>BL29</t>
  </si>
  <si>
    <t>PV2.4</t>
  </si>
  <si>
    <t>BL28</t>
  </si>
  <si>
    <t>PV1.4</t>
  </si>
  <si>
    <t>BL27</t>
  </si>
  <si>
    <t>PV4.3</t>
  </si>
  <si>
    <t>PV3.3</t>
  </si>
  <si>
    <t>PV3.2</t>
  </si>
  <si>
    <t>PV2.2</t>
  </si>
  <si>
    <t>TUBULAÇÃO DE LIGAÇÃO A DEMOLIR</t>
  </si>
  <si>
    <t>EMPRÉSTIMO TOTAL</t>
  </si>
  <si>
    <t>ST-147</t>
  </si>
  <si>
    <t>ST-143</t>
  </si>
  <si>
    <t>ST-145</t>
  </si>
  <si>
    <t>ST-150</t>
  </si>
  <si>
    <t>ST-149</t>
  </si>
  <si>
    <t>ST-146</t>
  </si>
  <si>
    <t>ST-141</t>
  </si>
  <si>
    <t>ST-144</t>
  </si>
  <si>
    <t>ST-140</t>
  </si>
  <si>
    <t>ST-137</t>
  </si>
  <si>
    <t>ST-136</t>
  </si>
  <si>
    <t>ST-131</t>
  </si>
  <si>
    <t>ST-135</t>
  </si>
  <si>
    <t>ST-134</t>
  </si>
  <si>
    <t>ST-130</t>
  </si>
  <si>
    <t>ST-125</t>
  </si>
  <si>
    <t>DEMOLIÇÃO DE PAREDES AMPLIAÇÃO</t>
  </si>
  <si>
    <t>X</t>
  </si>
  <si>
    <t>Área 6</t>
  </si>
  <si>
    <t>Área 5</t>
  </si>
  <si>
    <t>PV1-89</t>
  </si>
  <si>
    <t>PV2-89</t>
  </si>
  <si>
    <t>PV11-87</t>
  </si>
  <si>
    <t>PV1-91</t>
  </si>
  <si>
    <t>PV24-87</t>
  </si>
  <si>
    <t>PV1-101</t>
  </si>
  <si>
    <t>PV2-101</t>
  </si>
  <si>
    <t>ST-105</t>
  </si>
  <si>
    <t>BOCA DE LOBO PROJETADA QUADRUPLA</t>
  </si>
  <si>
    <t>SPT-32</t>
  </si>
  <si>
    <t>ST-107</t>
  </si>
  <si>
    <t>ST-108</t>
  </si>
  <si>
    <t>ST-109</t>
  </si>
  <si>
    <t>ST-110</t>
  </si>
  <si>
    <t>ST-111</t>
  </si>
  <si>
    <t>ST-112</t>
  </si>
  <si>
    <t>ST-114</t>
  </si>
  <si>
    <t>ST-115</t>
  </si>
  <si>
    <t>ST-116</t>
  </si>
  <si>
    <t>ST-120</t>
  </si>
  <si>
    <t>ST-121</t>
  </si>
  <si>
    <t>ST-129</t>
  </si>
  <si>
    <t>4.1</t>
  </si>
  <si>
    <t>4.1.1</t>
  </si>
  <si>
    <t>4.1.1.1</t>
  </si>
  <si>
    <t>4.1.1.1.1</t>
  </si>
  <si>
    <t>4.1.1.1.2</t>
  </si>
  <si>
    <t>4.1.1.1.3</t>
  </si>
  <si>
    <t>4.1.1.1.4</t>
  </si>
  <si>
    <t>4.1.1.1.5</t>
  </si>
  <si>
    <t>4.1.1.1.6</t>
  </si>
  <si>
    <t>4.1.1.1.7</t>
  </si>
  <si>
    <t>4.1.1.1.8</t>
  </si>
  <si>
    <t>4.1.1.1.9</t>
  </si>
  <si>
    <t>4.1.1.1.10</t>
  </si>
  <si>
    <t>4.1.1.1.11</t>
  </si>
  <si>
    <t>4.1.1.2</t>
  </si>
  <si>
    <t>4.1.1.2.1</t>
  </si>
  <si>
    <t>4.1.1.2.2</t>
  </si>
  <si>
    <t>4.1.1.2.3</t>
  </si>
  <si>
    <t>4.1.1.2.4</t>
  </si>
  <si>
    <t>4.1.1.3</t>
  </si>
  <si>
    <t>4.1.1.3.1</t>
  </si>
  <si>
    <t>4.1.1.3.2</t>
  </si>
  <si>
    <t>4.1.1.3.3</t>
  </si>
  <si>
    <t>4.1.1.3.4</t>
  </si>
  <si>
    <t>4.1.1.4</t>
  </si>
  <si>
    <t>4.1.1.4.1</t>
  </si>
  <si>
    <t>4.1.1.4.2</t>
  </si>
  <si>
    <t>4.1.1.4.3</t>
  </si>
  <si>
    <t>4.1.1.4.4</t>
  </si>
  <si>
    <t>4.1.1.5</t>
  </si>
  <si>
    <t>4.1.1.5.1</t>
  </si>
  <si>
    <t>4.1.1.5.2</t>
  </si>
  <si>
    <t>4.1.1.5.3</t>
  </si>
  <si>
    <t>4.1.1.5.4</t>
  </si>
  <si>
    <t>4.1.1.5.5</t>
  </si>
  <si>
    <t>4.1.1.5.6</t>
  </si>
  <si>
    <t>4.1.1.5.7</t>
  </si>
  <si>
    <t>4.1.1.6</t>
  </si>
  <si>
    <t>4.1.1.6.1</t>
  </si>
  <si>
    <t>4.1.1.6.2</t>
  </si>
  <si>
    <t>4.1.1.6.3</t>
  </si>
  <si>
    <t>4.1.1.6.4</t>
  </si>
  <si>
    <t>4.1.1.6.5</t>
  </si>
  <si>
    <t>4.1.1.7</t>
  </si>
  <si>
    <t>4.1.1.7.1</t>
  </si>
  <si>
    <t>4.1.1.7.2</t>
  </si>
  <si>
    <t>4.1.1.7.3</t>
  </si>
  <si>
    <t>4.1.1.7.4</t>
  </si>
  <si>
    <t>4.1.1.8</t>
  </si>
  <si>
    <t>4.1.2</t>
  </si>
  <si>
    <t>4.1.2.1</t>
  </si>
  <si>
    <t>4.1.2.1.1</t>
  </si>
  <si>
    <t>4.1.2.1.2</t>
  </si>
  <si>
    <t>4.1.2.1.3</t>
  </si>
  <si>
    <t>4.1.2.1.4</t>
  </si>
  <si>
    <t>4.1.2.1.5</t>
  </si>
  <si>
    <t>4.1.2.1.6</t>
  </si>
  <si>
    <t>4.1.2.1.7</t>
  </si>
  <si>
    <t>4.1.2.1.8</t>
  </si>
  <si>
    <t>4.1.2.1.9</t>
  </si>
  <si>
    <t>4.1.2.1.10</t>
  </si>
  <si>
    <t>4.1.2.1.11</t>
  </si>
  <si>
    <t>4.1.2.1.12</t>
  </si>
  <si>
    <t>4.1.2.1.13</t>
  </si>
  <si>
    <t>4.1.2.1.14</t>
  </si>
  <si>
    <t>4.1.2.2</t>
  </si>
  <si>
    <t>4.1.2.2.1</t>
  </si>
  <si>
    <t>4.1.2.3</t>
  </si>
  <si>
    <t>4.1.2.3.1</t>
  </si>
  <si>
    <t>4.1.2.3.2</t>
  </si>
  <si>
    <t>4.1.2.3.3</t>
  </si>
  <si>
    <t>4.1.2.3.4</t>
  </si>
  <si>
    <t>4.1.2.3.5</t>
  </si>
  <si>
    <t>4.1.2.3.6</t>
  </si>
  <si>
    <t>4.1.2.3.7</t>
  </si>
  <si>
    <t>4.1.2.3.8</t>
  </si>
  <si>
    <t>4.1.2.3.9</t>
  </si>
  <si>
    <t>4.1.2.4</t>
  </si>
  <si>
    <t>4.1.2.4.1</t>
  </si>
  <si>
    <t>4.1.2.4.2</t>
  </si>
  <si>
    <t>4.1.2.4.3</t>
  </si>
  <si>
    <t>4.1.2.4.4</t>
  </si>
  <si>
    <t>4.1.2.4.5</t>
  </si>
  <si>
    <t>4.1.2.4.6</t>
  </si>
  <si>
    <t>4.1.2.4.7</t>
  </si>
  <si>
    <t>4.1.2.4.8</t>
  </si>
  <si>
    <t>4.1.2.4.9</t>
  </si>
  <si>
    <t>4.1.2.4.10</t>
  </si>
  <si>
    <t>4.1.2.4.11</t>
  </si>
  <si>
    <t>4.1.2.4.12</t>
  </si>
  <si>
    <t>4.1.2.4.13</t>
  </si>
  <si>
    <t>4.1.2.4.14</t>
  </si>
  <si>
    <t>4.1.2.4.15</t>
  </si>
  <si>
    <t>4.1.2.4.16</t>
  </si>
  <si>
    <t>4.1.2.4.17</t>
  </si>
  <si>
    <t>4.1.2.4.18</t>
  </si>
  <si>
    <t>4.1.2.4.19</t>
  </si>
  <si>
    <t>4.1.2.4.20</t>
  </si>
  <si>
    <t>4.1.2.5</t>
  </si>
  <si>
    <t>4.1.2.5.1</t>
  </si>
  <si>
    <t>4.1.2.5.2</t>
  </si>
  <si>
    <t>4.1.2.5.3</t>
  </si>
  <si>
    <t>4.1.2.5.4</t>
  </si>
  <si>
    <t>4.1.2.5.5</t>
  </si>
  <si>
    <t>4.1.2.5.6</t>
  </si>
  <si>
    <t>4.1.2.5.7</t>
  </si>
  <si>
    <t>4.1.2.5.8</t>
  </si>
  <si>
    <t>4.1.2.5.9</t>
  </si>
  <si>
    <t>4.1.2.5.10</t>
  </si>
  <si>
    <t>4.1.2.6</t>
  </si>
  <si>
    <t>4.1.2.6.1</t>
  </si>
  <si>
    <t>4.1.2.6.2</t>
  </si>
  <si>
    <t>4.1.2.6.3</t>
  </si>
  <si>
    <t>4.1.2.6.4</t>
  </si>
  <si>
    <t>4.1.2.6.5</t>
  </si>
  <si>
    <t>4.1.2.6.7</t>
  </si>
  <si>
    <t>4.1.2.6.8</t>
  </si>
  <si>
    <t>4.1.2.6.9</t>
  </si>
  <si>
    <t>4.1.2.6.10</t>
  </si>
  <si>
    <t>4.1.2.6.11</t>
  </si>
  <si>
    <t>4.1.2.6.12</t>
  </si>
  <si>
    <t>4.1.2.6.13</t>
  </si>
  <si>
    <t>4.1.2.6.14</t>
  </si>
  <si>
    <t>4.1.2.6.15</t>
  </si>
  <si>
    <t>4.1.2.6.16</t>
  </si>
  <si>
    <t>4.1.2.6.17</t>
  </si>
  <si>
    <t>4.1.2.6.18</t>
  </si>
  <si>
    <t>4.1.2.6.19</t>
  </si>
  <si>
    <t>4.1.2.6.20</t>
  </si>
  <si>
    <t>4.1.2.6.21</t>
  </si>
  <si>
    <t>4.1.2.6.22</t>
  </si>
  <si>
    <t>4.1.2.6.23</t>
  </si>
  <si>
    <t>4.1.2.6.24</t>
  </si>
  <si>
    <t>4.1.2.6.25</t>
  </si>
  <si>
    <t>4.1.2.6.26</t>
  </si>
  <si>
    <t>4.1.2.6.27</t>
  </si>
  <si>
    <t>4.1.2.6.28</t>
  </si>
  <si>
    <t>4.1.2.6.29</t>
  </si>
  <si>
    <t>4.1.2.6.30</t>
  </si>
  <si>
    <t>4.1.2.6.31</t>
  </si>
  <si>
    <t>4.1.2.6.32</t>
  </si>
  <si>
    <t>4.1.2.6.33</t>
  </si>
  <si>
    <t>4.1.2.6.34</t>
  </si>
  <si>
    <t>4.1.2.6.35</t>
  </si>
  <si>
    <t>4.1.2.6.36</t>
  </si>
  <si>
    <t>4.1.2.6.37</t>
  </si>
  <si>
    <t>4.1.2.6.38</t>
  </si>
  <si>
    <t>4.1.2.6.39</t>
  </si>
  <si>
    <t>4.1.2.6.40</t>
  </si>
  <si>
    <t>4.1.2.6.41</t>
  </si>
  <si>
    <t>4.1.2.6.42</t>
  </si>
  <si>
    <t>4.1.2.6.43</t>
  </si>
  <si>
    <t>4.1.2.6.44</t>
  </si>
  <si>
    <t>4.1.2.7</t>
  </si>
  <si>
    <t>4.1.2.7.1</t>
  </si>
  <si>
    <t>4.1.2.7.2</t>
  </si>
  <si>
    <t>4.1.2.7.3</t>
  </si>
  <si>
    <t>4.1.2.7.4</t>
  </si>
  <si>
    <t>4.1.2.7.5</t>
  </si>
  <si>
    <t>4.1.2.7.6</t>
  </si>
  <si>
    <t>4.1.2.7.7</t>
  </si>
  <si>
    <t>4.1.2.7.8</t>
  </si>
  <si>
    <t>4.1.2.7.9</t>
  </si>
  <si>
    <t>4.1.2.8</t>
  </si>
  <si>
    <t>4.2</t>
  </si>
  <si>
    <t>4.2.1</t>
  </si>
  <si>
    <t>4.2.1.1</t>
  </si>
  <si>
    <t>4.2.2</t>
  </si>
  <si>
    <t>4.2.2.1</t>
  </si>
  <si>
    <t>4.2.2.2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</si>
  <si>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</si>
  <si>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</si>
  <si>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</si>
  <si>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</si>
  <si>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</si>
  <si>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</si>
  <si>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</si>
  <si>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</si>
  <si>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</si>
  <si>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</si>
  <si>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</si>
  <si>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</si>
  <si>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</si>
  <si>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</si>
  <si>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</si>
  <si>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</si>
  <si>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</si>
  <si>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</si>
  <si>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</si>
  <si>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</si>
  <si>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4.3.20</t>
  </si>
  <si>
    <t>4.3.21</t>
  </si>
  <si>
    <t>4.1.1.8.1</t>
  </si>
  <si>
    <t>4.1.1.8.2</t>
  </si>
  <si>
    <t>4.1.2.8.1</t>
  </si>
  <si>
    <t>5.1</t>
  </si>
  <si>
    <t>5.1.1</t>
  </si>
  <si>
    <t>5.1.1.1</t>
  </si>
  <si>
    <t>5.1.1.1.1</t>
  </si>
  <si>
    <t>5.1.1.1.2</t>
  </si>
  <si>
    <t>5.1.1.1.3</t>
  </si>
  <si>
    <t>5.1.1.1.4</t>
  </si>
  <si>
    <t>5.1.1.1.5</t>
  </si>
  <si>
    <t>5.1.1.1.6</t>
  </si>
  <si>
    <t>5.1.1.1.7</t>
  </si>
  <si>
    <t>5.1.1.1.8</t>
  </si>
  <si>
    <t>5.1.1.1.9</t>
  </si>
  <si>
    <t>5.1.1.1.10</t>
  </si>
  <si>
    <t>5.1.1.1.11</t>
  </si>
  <si>
    <t>5.1.1.2</t>
  </si>
  <si>
    <t>5.1.1.2.1</t>
  </si>
  <si>
    <t>5.1.1.2.2</t>
  </si>
  <si>
    <t>5.1.1.2.3</t>
  </si>
  <si>
    <t>5.1.1.2.4</t>
  </si>
  <si>
    <t>5.1.1.3</t>
  </si>
  <si>
    <t>5.1.1.3.1</t>
  </si>
  <si>
    <t>5.1.1.3.2</t>
  </si>
  <si>
    <t>5.1.1.3.3</t>
  </si>
  <si>
    <t>5.1.1.3.4</t>
  </si>
  <si>
    <t>5.1.1.4</t>
  </si>
  <si>
    <t>5.1.1.4.1</t>
  </si>
  <si>
    <t>5.1.1.4.2</t>
  </si>
  <si>
    <t>5.1.1.4.3</t>
  </si>
  <si>
    <t>5.1.1.4.4</t>
  </si>
  <si>
    <t>5.1.1.5</t>
  </si>
  <si>
    <t>5.1.1.5.1</t>
  </si>
  <si>
    <t>5.1.1.5.2</t>
  </si>
  <si>
    <t>5.1.1.5.3</t>
  </si>
  <si>
    <t>5.1.1.5.4</t>
  </si>
  <si>
    <t>5.1.1.5.5</t>
  </si>
  <si>
    <t>5.1.1.5.6</t>
  </si>
  <si>
    <t>5.1.1.5.7</t>
  </si>
  <si>
    <t>5.1.1.6</t>
  </si>
  <si>
    <t>5.1.1.6.1</t>
  </si>
  <si>
    <t>5.1.1.6.2</t>
  </si>
  <si>
    <t>5.1.1.6.3</t>
  </si>
  <si>
    <t>5.1.1.6.4</t>
  </si>
  <si>
    <t>5.1.1.7</t>
  </si>
  <si>
    <t>5.1.1.7.1</t>
  </si>
  <si>
    <t>5.1.1.7.2</t>
  </si>
  <si>
    <t>5.1.2</t>
  </si>
  <si>
    <t>5.1.2.1</t>
  </si>
  <si>
    <t>5.1.2.1.1</t>
  </si>
  <si>
    <t>5.1.2.1.2</t>
  </si>
  <si>
    <t>5.1.2.1.3</t>
  </si>
  <si>
    <t>5.1.2.1.4</t>
  </si>
  <si>
    <t>5.1.2.1.5</t>
  </si>
  <si>
    <t>5.1.2.1.6</t>
  </si>
  <si>
    <t>5.1.2.1.7</t>
  </si>
  <si>
    <t>5.1.2.1.8</t>
  </si>
  <si>
    <t>5.1.2.1.9</t>
  </si>
  <si>
    <t>5.1.2.1.10</t>
  </si>
  <si>
    <t>5.1.2.1.11</t>
  </si>
  <si>
    <t>5.1.2.1.12</t>
  </si>
  <si>
    <t>5.1.2.1.13</t>
  </si>
  <si>
    <t>5.1.2.1.14</t>
  </si>
  <si>
    <t>5.1.2.1.15</t>
  </si>
  <si>
    <t>5.1.2.1.16</t>
  </si>
  <si>
    <t>5.1.2.1.17</t>
  </si>
  <si>
    <t>5.1.2.2</t>
  </si>
  <si>
    <t>5.1.2.2.1</t>
  </si>
  <si>
    <t>5.1.2.3</t>
  </si>
  <si>
    <t>5.1.2.3.1</t>
  </si>
  <si>
    <t>5.1.2.3.2</t>
  </si>
  <si>
    <t>5.1.2.3.3</t>
  </si>
  <si>
    <t>5.1.2.3.4</t>
  </si>
  <si>
    <t>5.1.2.3.5</t>
  </si>
  <si>
    <t>5.1.2.3.6</t>
  </si>
  <si>
    <t>5.1.2.3.7</t>
  </si>
  <si>
    <t>5.1.2.3.8</t>
  </si>
  <si>
    <t>5.1.2.3.9</t>
  </si>
  <si>
    <t>5.1.2.4</t>
  </si>
  <si>
    <t>5.1.2.4.1</t>
  </si>
  <si>
    <t>5.1.2.4.2</t>
  </si>
  <si>
    <t>5.1.2.4.3</t>
  </si>
  <si>
    <t>5.1.2.4.4</t>
  </si>
  <si>
    <t>5.1.2.4.5</t>
  </si>
  <si>
    <t>5.1.2.4.6</t>
  </si>
  <si>
    <t>5.1.2.4.7</t>
  </si>
  <si>
    <t>5.1.2.4.8</t>
  </si>
  <si>
    <t>5.1.2.4.9</t>
  </si>
  <si>
    <t>5.1.2.4.10</t>
  </si>
  <si>
    <t>5.1.2.4.11</t>
  </si>
  <si>
    <t>5.1.2.4.12</t>
  </si>
  <si>
    <t>5.1.2.4.13</t>
  </si>
  <si>
    <t>5.1.2.4.14</t>
  </si>
  <si>
    <t>5.1.2.4.15</t>
  </si>
  <si>
    <t>5.1.2.4.16</t>
  </si>
  <si>
    <t>5.1.2.4.17</t>
  </si>
  <si>
    <t>5.1.2.4.18</t>
  </si>
  <si>
    <t>5.1.2.4.19</t>
  </si>
  <si>
    <t>5.1.2.4.20</t>
  </si>
  <si>
    <t>5.1.2.4.21</t>
  </si>
  <si>
    <t>5.1.2.4.22</t>
  </si>
  <si>
    <t>5.1.2.5</t>
  </si>
  <si>
    <t>5.1.2.5.1</t>
  </si>
  <si>
    <t>5.1.2.5.2</t>
  </si>
  <si>
    <t>5.1.2.5.3</t>
  </si>
  <si>
    <t>5.1.2.5.4</t>
  </si>
  <si>
    <t>5.1.2.5.5</t>
  </si>
  <si>
    <t>5.1.2.5.6</t>
  </si>
  <si>
    <t>5.1.2.5.7</t>
  </si>
  <si>
    <t>5.1.2.5.8</t>
  </si>
  <si>
    <t>5.1.2.5.9</t>
  </si>
  <si>
    <t>5.1.2.5.10</t>
  </si>
  <si>
    <t>5.1.2.5.11</t>
  </si>
  <si>
    <t>5.1.2.5.12</t>
  </si>
  <si>
    <t>5.1.2.5.13</t>
  </si>
  <si>
    <t>5.1.2.5.14</t>
  </si>
  <si>
    <t>5.1.2.5.15</t>
  </si>
  <si>
    <t>5.1.2.5.16</t>
  </si>
  <si>
    <t>5.1.2.5.17</t>
  </si>
  <si>
    <t>5.1.2.6</t>
  </si>
  <si>
    <t>5.1.2.6.1</t>
  </si>
  <si>
    <t>5.1.2.7</t>
  </si>
  <si>
    <t>5.1.2.7.1</t>
  </si>
  <si>
    <t>5.1.2.7.2</t>
  </si>
  <si>
    <t>5.1.2.7.3</t>
  </si>
  <si>
    <t>5.1.2.7.4</t>
  </si>
  <si>
    <t>5.1.2.7.5</t>
  </si>
  <si>
    <t>5.1.2.7.7</t>
  </si>
  <si>
    <t>5.1.2.7.8</t>
  </si>
  <si>
    <t>5.1.2.7.9</t>
  </si>
  <si>
    <t>5.1.2.7.10</t>
  </si>
  <si>
    <t>5.1.2.7.11</t>
  </si>
  <si>
    <t>5.1.2.7.12</t>
  </si>
  <si>
    <t>5.1.2.7.13</t>
  </si>
  <si>
    <t>5.1.2.7.14</t>
  </si>
  <si>
    <t>5.1.2.7.15</t>
  </si>
  <si>
    <t>5.1.2.7.16</t>
  </si>
  <si>
    <t>5.1.2.7.17</t>
  </si>
  <si>
    <t>5.1.2.7.18</t>
  </si>
  <si>
    <t>5.1.2.7.19</t>
  </si>
  <si>
    <t>5.1.2.7.20</t>
  </si>
  <si>
    <t>5.1.2.7.21</t>
  </si>
  <si>
    <t>5.1.2.7.22</t>
  </si>
  <si>
    <t>5.1.2.7.23</t>
  </si>
  <si>
    <t>5.1.2.7.24</t>
  </si>
  <si>
    <t>5.1.2.7.25</t>
  </si>
  <si>
    <t>5.1.2.7.26</t>
  </si>
  <si>
    <t>5.1.2.7.27</t>
  </si>
  <si>
    <t>5.1.2.7.28</t>
  </si>
  <si>
    <t>5.1.2.7.29</t>
  </si>
  <si>
    <t>5.1.2.7.30</t>
  </si>
  <si>
    <t>5.1.2.7.31</t>
  </si>
  <si>
    <t>5.1.2.7.32</t>
  </si>
  <si>
    <t>5.1.2.7.33</t>
  </si>
  <si>
    <t>5.1.2.7.34</t>
  </si>
  <si>
    <t>5.1.2.7.35</t>
  </si>
  <si>
    <t>5.1.2.7.36</t>
  </si>
  <si>
    <t>5.1.2.7.37</t>
  </si>
  <si>
    <t>5.1.2.7.38</t>
  </si>
  <si>
    <t>5.1.2.7.39</t>
  </si>
  <si>
    <t>5.1.2.7.40</t>
  </si>
  <si>
    <t>5.1.2.7.41</t>
  </si>
  <si>
    <t>5.1.2.7.42</t>
  </si>
  <si>
    <t>5.1.2.7.43</t>
  </si>
  <si>
    <t>5.1.2.7.44</t>
  </si>
  <si>
    <t>5.1.2.7.45</t>
  </si>
  <si>
    <t>5.1.2.7.46</t>
  </si>
  <si>
    <t>5.1.2.7.47</t>
  </si>
  <si>
    <t>5.1.2.7.48</t>
  </si>
  <si>
    <t>5.1.2.7.49</t>
  </si>
  <si>
    <t>5.1.2.8</t>
  </si>
  <si>
    <t>5.1.2.8.1</t>
  </si>
  <si>
    <t>5.1.2.8.2</t>
  </si>
  <si>
    <t>5.1.2.8.3</t>
  </si>
  <si>
    <t>5.1.2.8.4</t>
  </si>
  <si>
    <t>5.1.2.8.5</t>
  </si>
  <si>
    <t>5.1.2.8.6</t>
  </si>
  <si>
    <t>5.1.2.8.7</t>
  </si>
  <si>
    <t>5.1.2.8.8</t>
  </si>
  <si>
    <t>5.1.2.8.9</t>
  </si>
  <si>
    <t>5.1.2.9</t>
  </si>
  <si>
    <t>5.1.2.9.1</t>
  </si>
  <si>
    <t>5.1.2.9.2</t>
  </si>
  <si>
    <t>5.1.2.9.3</t>
  </si>
  <si>
    <t>5.1.2.9.4</t>
  </si>
  <si>
    <t>5.1.2.9.5</t>
  </si>
  <si>
    <t>5.1.2.9.6</t>
  </si>
  <si>
    <t>5.1.2.10</t>
  </si>
  <si>
    <t>5.1.2.11</t>
  </si>
  <si>
    <t>5.1.2.11.1</t>
  </si>
  <si>
    <t>5.2</t>
  </si>
  <si>
    <t>5.2.1</t>
  </si>
  <si>
    <t>5.2.2</t>
  </si>
  <si>
    <t>5.3</t>
  </si>
  <si>
    <t>5.3.1</t>
  </si>
  <si>
    <t>5.3.1.1</t>
  </si>
  <si>
    <t>5.3.2</t>
  </si>
  <si>
    <t>5.3.2.1</t>
  </si>
  <si>
    <t>5.3.2.2</t>
  </si>
  <si>
    <t>5.4</t>
  </si>
  <si>
    <t>5.4.1</t>
  </si>
  <si>
    <t>5.4.1.1</t>
  </si>
  <si>
    <t>5.4.1.2</t>
  </si>
  <si>
    <t>5.4.1.3</t>
  </si>
  <si>
    <t>5.4.1.4</t>
  </si>
  <si>
    <t>5.4.1.5</t>
  </si>
  <si>
    <t>5.4.2</t>
  </si>
  <si>
    <t>5.4.2.1</t>
  </si>
  <si>
    <t>5.4.2.2</t>
  </si>
  <si>
    <t>5.4.2.3</t>
  </si>
  <si>
    <t>5.4.2.4</t>
  </si>
  <si>
    <t>5.4.3</t>
  </si>
  <si>
    <t>5.4.3.1</t>
  </si>
  <si>
    <t>5.4.4</t>
  </si>
  <si>
    <t>5.4.4.1</t>
  </si>
  <si>
    <t>5.4.4.2</t>
  </si>
  <si>
    <t>5.4.4.3</t>
  </si>
  <si>
    <t>5.4.4.4</t>
  </si>
  <si>
    <t>5.4.4.5</t>
  </si>
  <si>
    <t>5.4.4.6</t>
  </si>
  <si>
    <t>5.4.4.7</t>
  </si>
  <si>
    <t>5.4.4.8</t>
  </si>
  <si>
    <t>5.4.4.9</t>
  </si>
  <si>
    <t>5.4.4.10</t>
  </si>
  <si>
    <t>5.4.4.11</t>
  </si>
  <si>
    <t>5.4.4.12</t>
  </si>
  <si>
    <t>5.4.4.13</t>
  </si>
  <si>
    <t>5.4.4.14</t>
  </si>
  <si>
    <t>5.4.5</t>
  </si>
  <si>
    <t>5.4.5.1</t>
  </si>
  <si>
    <t>5.4.5.2</t>
  </si>
  <si>
    <t>5.4.5.3</t>
  </si>
  <si>
    <t>5.5</t>
  </si>
  <si>
    <t>5.5.1</t>
  </si>
  <si>
    <t>5.5.2</t>
  </si>
  <si>
    <t>5.5.3</t>
  </si>
  <si>
    <t>5.5.4</t>
  </si>
  <si>
    <t>5.5.5</t>
  </si>
  <si>
    <t>5.5.6</t>
  </si>
  <si>
    <t>5.5.7</t>
  </si>
  <si>
    <t>5.5.8</t>
  </si>
  <si>
    <t>5.5.9</t>
  </si>
  <si>
    <t>5.5.10</t>
  </si>
  <si>
    <t>5.5.11</t>
  </si>
  <si>
    <t>5.5.12</t>
  </si>
  <si>
    <t>5.5.13</t>
  </si>
  <si>
    <t>5.5.14</t>
  </si>
  <si>
    <t>5.5.15</t>
  </si>
  <si>
    <t>5.5.16</t>
  </si>
  <si>
    <t>5.5.17</t>
  </si>
  <si>
    <t>5.5.18</t>
  </si>
  <si>
    <t>5.5.19</t>
  </si>
  <si>
    <t>5.5.20</t>
  </si>
  <si>
    <t>5.5.21</t>
  </si>
  <si>
    <t>5.5.22</t>
  </si>
  <si>
    <t>5.1.2.10.1</t>
  </si>
  <si>
    <t>5.1.2.10.2</t>
  </si>
  <si>
    <t>5.1.2.10.3</t>
  </si>
  <si>
    <t>5.1.2.10.4</t>
  </si>
  <si>
    <t>5.1.2.10.5</t>
  </si>
  <si>
    <t>5.1.2.10.6</t>
  </si>
  <si>
    <t>5.1.2.10.7</t>
  </si>
  <si>
    <t>4.1.2.6.45</t>
  </si>
  <si>
    <t>4.1.2.6.46</t>
  </si>
  <si>
    <t>4.1.2.6.47</t>
  </si>
  <si>
    <t>4.1.2.6.48</t>
  </si>
  <si>
    <t>4.1.2.6.49</t>
  </si>
  <si>
    <t>BRASÍLIA-DF</t>
  </si>
  <si>
    <t>EMPOLAMENTO</t>
  </si>
  <si>
    <t>Carga x Bota-fora URE (30 km, restante pago no excedente)</t>
  </si>
  <si>
    <t>DIST. (KM)</t>
  </si>
  <si>
    <t>MOM. DE TRANSP. (M³KM)</t>
  </si>
  <si>
    <t>Seguindo Padrão GDF - Canteiro Tamanho lote (20x40) m  H=2,2 M  264 m2</t>
  </si>
  <si>
    <t xml:space="preserve"> - 1 Portões (4x1,2) e (1x1,60) = 257,60</t>
  </si>
  <si>
    <t>DURAÇÃO OBRA (MÊS)</t>
  </si>
  <si>
    <t>TEMPO TOTAL (MÊS)</t>
  </si>
  <si>
    <t>DURAÇÃO DA OBRA (MÊS):</t>
  </si>
  <si>
    <t>PERÍODO INTEGRAL</t>
  </si>
  <si>
    <t>Período Integral</t>
  </si>
  <si>
    <t>DIAS</t>
  </si>
  <si>
    <t>HORAS</t>
  </si>
  <si>
    <t>Dimensionamento de Canteiro de Obras CONF. NR-18 E NR-24.</t>
  </si>
  <si>
    <t>Inclusive Tapume (264 m2)</t>
  </si>
  <si>
    <t>Guarita (4 m2)</t>
  </si>
  <si>
    <t>Central de Formas (50 m2)</t>
  </si>
  <si>
    <t>Armação (50 m2)</t>
  </si>
  <si>
    <t>Depósito (20 m2)</t>
  </si>
  <si>
    <t>VOLUME EMPOLADO (M³)</t>
  </si>
  <si>
    <t>QUANT. (H)</t>
  </si>
  <si>
    <t xml:space="preserve"> ANP-RR-1C </t>
  </si>
  <si>
    <t xml:space="preserve"> ANP-EMU </t>
  </si>
  <si>
    <t xml:space="preserve"> ANP-CAP 50/70 </t>
  </si>
  <si>
    <t xml:space="preserve"> 00007725 </t>
  </si>
  <si>
    <t xml:space="preserve"> 00007762 </t>
  </si>
  <si>
    <t xml:space="preserve"> 00007765 </t>
  </si>
  <si>
    <t xml:space="preserve"> 00007766 </t>
  </si>
  <si>
    <t xml:space="preserve"> 00007767 </t>
  </si>
  <si>
    <t>FÔRMAS DE COMPENSADO RESINADO 12 MM - USO GERAL - UTILIZAÇÃO DE 2 VEZES - CONFECÇÃO, INSTALAÇÃO E RETIRADA</t>
  </si>
  <si>
    <t xml:space="preserve"> 00007781 </t>
  </si>
  <si>
    <t xml:space="preserve"> 00007785 </t>
  </si>
  <si>
    <t>FÔRMAS DE TÁBUAS DE PINHO PARA DISPOSITIVOS DE DRENAGEM - UTILIZAÇÃO DE 3 VEZES - CONFECÇÃO, INSTALAÇÃO E RETIRADA</t>
  </si>
  <si>
    <t xml:space="preserve"> 101014 </t>
  </si>
  <si>
    <t xml:space="preserve"> 00007750 </t>
  </si>
  <si>
    <t xml:space="preserve"> 00007763 </t>
  </si>
  <si>
    <t xml:space="preserve"> 00007753 </t>
  </si>
  <si>
    <t xml:space="preserve"> 00007758 </t>
  </si>
  <si>
    <t xml:space="preserve"> 0605507-M </t>
  </si>
  <si>
    <t>EXAMES - MENSALISTA (COLETADO CAIXA - ENCARGOS COMPLEMENTARES)</t>
  </si>
  <si>
    <t>SEGURO - MENSALISTA (COLETADO CAIXA - ENCARGOS COMPLEMENTARES)</t>
  </si>
  <si>
    <t xml:space="preserve"> COMP-TEC-020 </t>
  </si>
  <si>
    <t>TÉCNICO DE MEIO AMBIENTE COM ENCARGOS COMPLEMENTARES E ENCARGOS SOCIAIS E.S 70,04%</t>
  </si>
  <si>
    <t>TÉCNICO DE MEIO AMBIENTE SEM ENCARGOS</t>
  </si>
  <si>
    <t>TRANSPORTE - MENSALISTA (COLETADO CAIXA - ENCARGOS COMPLEMENTARES)</t>
  </si>
  <si>
    <t>ALIMENTACAO - MENSALISTA (COLETADO CAIXA - ENCARGOS COMPLEMENTARES)</t>
  </si>
  <si>
    <t xml:space="preserve"> E9125-MÊS </t>
  </si>
  <si>
    <t>REMOÇÃO DE TAPUME/ CHAPAS METÁLICAS E DE MADEIRA, DE FORMA MANUAL, SEM REAPROVEITAMENTO. AF_09/2023</t>
  </si>
  <si>
    <t>SARRAFO NAO APARELHADO *2,5 X 7* CM, EM MACARANDUBA/MASSARANDUBA, ANGELIM, PEROBA-ROSA OU EQUIVALENTE DA REGIAO - BRUTA</t>
  </si>
  <si>
    <t>TABUA APARELHADA *2,5 X 30* CM, EM MACARANDUBA/MASSARANDUBA, ANGELIM OU EQUIVALENTE DA REGIAO</t>
  </si>
  <si>
    <t>CAIBRO NAO APARELHADO *6 X 6* CM, EM MACARANDUBA/MASSARANDUBA, ANGELIM OU EQUIVALENTE DA REGIAO - BRUTA</t>
  </si>
  <si>
    <t xml:space="preserve"> 85188 M </t>
  </si>
  <si>
    <t>BARRA DE ACO CHATO, RETANGULAR, 25,4 MM X 6,35 MM (L X E), 1,2265 KG/M</t>
  </si>
  <si>
    <t xml:space="preserve"> 85189 M </t>
  </si>
  <si>
    <t>PINTURA LÁTEX ACRÍLICA PREMIUM, APLICAÇÃO MANUAL EM PAREDES, DUAS DEMÃOS. AF_04/2023</t>
  </si>
  <si>
    <t>FIXAÇÃO DE TUBOS HORIZONTAIS DE PVC ÁGUA, PVC ESGOTO, PVC ÁGUA PLUVIAL, CPVC, PPR, COBRE OU AÇO, DIÂMETROS MENORES OU IGUAIS A 40 MM, COM ABRAÇADEIRA METÁLICA RÍGIDA TIPO U PERFIL 1 1/4, FIXADA EM PERFILADO EM LAJE. AF_09/2023_PS</t>
  </si>
  <si>
    <t>FIXAÇÃO DE TUBOS VERTICAIS DE PVC ÁGUA, PVC ESGOTO, PVC ÁGUA PLUVIAL, CPVC, PPR, COBRE OU AÇO, DIÂMETROS MENORES OU IGUAIS A 40 MM, COM ABRAÇADEIRA METÁLICA RÍGIDA TIPO U PERFIL 1 1/4, FIXADA EM PERFILADO EM PAREDE. AF_09/2023_PS</t>
  </si>
  <si>
    <t>ELETRODUTO FLEXÍVEL CORRUGADO, PVC, DN 20 MM (1/2"), PARA CIRCUITOS TERMINAIS, INSTALADO EM PAREDE - FORNECIMENTO E INSTALAÇÃO. AF_03/2023</t>
  </si>
  <si>
    <t>ELETRODUTO RÍGIDO ROSCÁVEL, PVC, DN 20 MM (1/2"), PARA CIRCUITOS TERMINAIS, INSTALADO EM FORRO - FORNECIMENTO E INSTALAÇÃO. AF_03/2023</t>
  </si>
  <si>
    <t>ELETRODUTO RÍGIDO ROSCÁVEL, PVC, DN 20 MM (1/2"), PARA CIRCUITOS TERMINAIS, INSTALADO EM PAREDE - FORNECIMENTO E INSTALAÇÃO. AF_03/2023</t>
  </si>
  <si>
    <t>CABO DE COBRE FLEXÍVEL ISOLADO, 2,5 MM², ANTI-CHAMA 450/750 V, PARA CIRCUITOS TERMINAIS - FORNECIMENTO E INSTALAÇÃO. AF_03/2023</t>
  </si>
  <si>
    <t>INTERRUPTOR SIMPLES (2 MÓDULOS) COM 1 TOMADA DE EMBUTIR 2P+T 10 A, INCLUINDO SUPORTE E PLACA - FORNECIMENTO E INSTALAÇÃO. AF_03/2023</t>
  </si>
  <si>
    <t>CONDULETE DE PVC, TIPO LB, PARA ELETRODUTO DE PVC SOLDÁVEL DN 25 MM (3/4''), APARENTE - FORNECIMENTO E INSTALAÇÃO. AF_10/2022</t>
  </si>
  <si>
    <t>CABO DE COBRE FLEXÍVEL ISOLADO, 1,5 MM², ANTI-CHAMA 450/750 V, PARA CIRCUITOS TERMINAIS - FORNECIMENTO E INSTALAÇÃO. AF_03/2023</t>
  </si>
  <si>
    <t>INTERRUPTOR SIMPLES (1 MÓDULO) COM 1 TOMADA DE EMBUTIR 2P+T 10 A, INCLUINDO SUPORTE E PLACA - FORNECIMENTO E INSTALAÇÃO. AF_03/2023</t>
  </si>
  <si>
    <t>CONDULETE DE PVC, TIPO B, PARA ELETRODUTO DE PVC SOLDÁVEL DN 25 MM (3/4''), APARENTE - FORNECIMENTO E INSTALAÇÃO. AF_10/2022</t>
  </si>
  <si>
    <t>TOMADA BAIXA DE EMBUTIR (2 MÓDULOS), 2P+T 10 A, INCLUINDO SUPORTE E PLACA - FORNECIMENTO E INSTALAÇÃO. AF_03/2023</t>
  </si>
  <si>
    <t>HASTE DE ATERRAMENTO, DIÂMETRO 5/8", COM 3 METROS - FORNECIMENTO E INSTALAÇÃO. AF_08/2023</t>
  </si>
  <si>
    <t>INTERRUPTOR SIMPLES (2 MÓDULOS), 10A/250V, INCLUINDO SUPORTE E PLACA - FORNECIMENTO E INSTALAÇÃO. AF_03/2023</t>
  </si>
  <si>
    <t>TOMADA BAIXA DE EMBUTIR (1 MÓDULO), 2P+T 10 A, INCLUINDO SUPORTE E PLACA - FORNECIMENTO E INSTALAÇÃO. AF_03/2023</t>
  </si>
  <si>
    <t>TOMADA BAIXA DE EMBUTIR (1 MÓDULO), 2P+T 20 A, INCLUINDO SUPORTE E PLACA - FORNECIMENTO E INSTALAÇÃO. AF_03/2023</t>
  </si>
  <si>
    <t>EXECUÇÃO DE RESERVATÓRIO ELEVADO DE ÁGUA (1000 LITROS) EM CANTEIRO DE OBRA, APOIADO EM ESTRUTURA DE MADEIRA. AF_02/2016_PA</t>
  </si>
  <si>
    <t>CAIXA D'AGUA / RESERVATORIO EM POLIETILENO, 1000 LITROS, COM TAMPA</t>
  </si>
  <si>
    <t>EXECUÇÃO DE RESERVATÓRIO ELEVADO DE ÁGUA (2000 LITROS) EM CANTEIRO DE OBRA, APOIADO EM ESTRUTURA DE MADEIRA. AF_02/2016_PA</t>
  </si>
  <si>
    <t>CAIXA D'AGUA / RESERVATORIO EM POLIETILENO, 2000 LITROS, COM TAMPA</t>
  </si>
  <si>
    <t>TANQUE SÉPTICO CIRCULAR, EM CONCRETO PRÉ-MOLDADO, DIÂMETRO INTERNO = 1,88 M, ALTURA INTERNA = 2,50 M, VOLUME ÚTIL: 6245,8 L (PARA 32 CONTRIBUINTES). AF_12/2020_PA</t>
  </si>
  <si>
    <t>PEÇA CIRCULAR PRÉ-MOLDADA, VOLUME DE CONCRETO DE 10 A 30 LITROS, TAXA DE FIBRA DE POLIPROPILENO APROXIMADA DE 6 KG/M³. AF_01/2018_PS</t>
  </si>
  <si>
    <t xml:space="preserve"> 73960/001 M </t>
  </si>
  <si>
    <t>VIGA NAO APARELHADA *8 X 16* CM EM MACARANDUBA/MASSARANDUBA, ANGELIM OU EQUIVALENTE DA REGIAO - BRUTA</t>
  </si>
  <si>
    <t xml:space="preserve"> 045636 </t>
  </si>
  <si>
    <t>CHAVE FUSIVEL BASE C POLIMERICA UNIPOLAR 15KV 100A ELO 15K MAURIZIO</t>
  </si>
  <si>
    <t>CONJUNTO DE LIGACAO PARA VASO / BACIA SANITARIA, EM PLASTICO BRANCO, COM TUBO, CANOPLA E ANEL DE EXPANSAO (TUBO 1.1/2" X 20 CM)</t>
  </si>
  <si>
    <t>BETONEIRA CAPACIDADE NOMINAL DE 600 L, CAPACIDADE DE MISTURA 360 L, MOTOR ELÉTRICO TRIFÁSICO POTÊNCIA DE 4 CV, SEM CARREGADOR - CHP DIURNO. AF_05/2023</t>
  </si>
  <si>
    <t>BETONEIRA CAPACIDADE NOMINAL DE 600 L, CAPACIDADE DE MISTURA 360 L, MOTOR ELÉTRICO TRIFÁSICO POTÊNCIA DE 4 CV, SEM CARREGADOR - CHI DIURNO. AF_05/2023</t>
  </si>
  <si>
    <t>Grupo gerador - 14 kVA</t>
  </si>
  <si>
    <t>DEMOLIÇÃO PARCIAL DE PAVIMENTO ASFÁLTICO, DE FORMA MECANIZADA, SEM REAPROVEITAMENTO. AF_09/2023</t>
  </si>
  <si>
    <t>EXECUÇÃO DE PASSEIO (CALÇADA) OU PISO DE CONCRETO COM CONCRETO MOLDADO IN LOCO, FEITO EM OBRA, ACABAMENTO CONVENCIONAL, NÃO ARMADO. AF_08/2022</t>
  </si>
  <si>
    <t>TABUA NAO APARELHADA *2,5 X 20* CM, EM MACARANDUBA/MASSARANDUBA, ANGELIM OU EQUIVALENTE DA REGIAO - BRUTA</t>
  </si>
  <si>
    <t>DEMOLIÇÃO DE ALVENARIA DE BLOCO FURADO, DE FORMA MANUAL, SEM REAPROVEITAMENTO. AF_09/2023</t>
  </si>
  <si>
    <t>Esgotamento de água com bomba submersa</t>
  </si>
  <si>
    <t>TANQUE DE ASFALTO ESTACIONÁRIO COM SERPENTINA, CAPACIDADE 30.000 L - CHP DIURNO. AF_05/2023</t>
  </si>
  <si>
    <t xml:space="preserve"> M0345 </t>
  </si>
  <si>
    <t>Cal hidratada - saco</t>
  </si>
  <si>
    <t xml:space="preserve"> 0401001113 </t>
  </si>
  <si>
    <t>AGESUL</t>
  </si>
  <si>
    <t>CAMINHÃO PARA EQUIPAMENTO DE LIMPEZA A SUCÇÃO, COM CAMINHÃO TRUCADO DE PESO BRUTO TOTAL 23000 KG, CARGA ÚTIL MÁXIMA 15935 KG, DISTÂNCIA ENTRE EIXOS 4,80 M, POTÊNCIA 230 CV, INCLUSIVE LIMPADORA A SUCÇÃO, TANQUE 12000 L - CHP DIURNO. AF_05/2023</t>
  </si>
  <si>
    <t>Desobstrução e limpeza de boca-de-lobo</t>
  </si>
  <si>
    <t xml:space="preserve"> 90643 </t>
  </si>
  <si>
    <t>BOMBA TRIPLEX, PARA INJEÇÃO DE NATA DE CIMENTO, VAZÃO MÁXIMA DE 100 LITROS/MINUTO, PRESSÃO MÁXIMA DE 70 BAR - CHP DIURNO. AF_06/2015</t>
  </si>
  <si>
    <t xml:space="preserve"> 90637 </t>
  </si>
  <si>
    <t>MISTURADOR DUPLO HORIZONTAL DE ALTA TURBULÊNCIA, CAPACIDADE / VOLUME 2 X 500 LITROS, MOTORES ELÉTRICOS MÍNIMO 5 CV CADA, PARA NATA CIMENTO, ARGAMASSA E OUTROS - CHP DIURNO. AF_06/2015</t>
  </si>
  <si>
    <t xml:space="preserve"> 88277 </t>
  </si>
  <si>
    <t>MONTADOR (TUBO AÇO/EQUIPAMENTOS) COM ENCARGOS COMPLEMENTARES</t>
  </si>
  <si>
    <t xml:space="preserve"> 0605604 </t>
  </si>
  <si>
    <t>Argamassa de solo-cimento com 10% de cimento e material de jazida - preparo e injeção em tunnel liner</t>
  </si>
  <si>
    <t xml:space="preserve"> 4816000 </t>
  </si>
  <si>
    <t>Escavação manual de tunnel liner em material de 1ª categoria</t>
  </si>
  <si>
    <t xml:space="preserve"> 4816003 </t>
  </si>
  <si>
    <t>Iluminação provisória para tunnel liner</t>
  </si>
  <si>
    <t xml:space="preserve"> 4816004 </t>
  </si>
  <si>
    <t>Ventilação provisória para tunnel liner</t>
  </si>
  <si>
    <t xml:space="preserve"> 91072 </t>
  </si>
  <si>
    <t>EXECUÇÃO DE REVESTIMENTO DE CONCRETO PROJETADO COM ESPESSURA DE 10 CM, ARMADO COM TELA, INCLINAÇÃO DE 90°, APLICAÇÃO CONTÍNUA, UTILIZANDO EQUIPAMENTO DE PROJEÇÃO COM 6 M³/H DE CAPACIDADE. AF_01/2016</t>
  </si>
  <si>
    <t xml:space="preserve"> E9510 </t>
  </si>
  <si>
    <t>Ventilador centrífugo baixa pressão com capacidade de 58 m³/min - 3,68 kW</t>
  </si>
  <si>
    <t xml:space="preserve"> E9740 </t>
  </si>
  <si>
    <t>Quadro tubular contraventado para andaime de 1 x 1 x 1 m com capacidade de 2 t</t>
  </si>
  <si>
    <t xml:space="preserve"> M1797 </t>
  </si>
  <si>
    <t>Fita de espuma EPDM para vedação com adesivo em uma face - E = 4 mm e L = 40 mm</t>
  </si>
  <si>
    <t xml:space="preserve"> M2503 </t>
  </si>
  <si>
    <t>Chapa metálica corrugada galvanizada para tunnel liner - E = 2,2 mm e D = 1,8 m</t>
  </si>
  <si>
    <t>UNXMES</t>
  </si>
  <si>
    <t xml:space="preserve"> 5811 </t>
  </si>
  <si>
    <t>CAMINHÃO BASCULANTE 6 M3, PESO BRUTO TOTAL 16.000 KG, CARGA ÚTIL MÁXIMA 13.071 KG, DISTÂNCIA ENTRE EIXOS 4,80 M, POTÊNCIA 230 CV INCLUSIVE CAÇAMBA METÁLICA - CHP DIURNO. AF_06/2014</t>
  </si>
  <si>
    <t xml:space="preserve"> 5914354 </t>
  </si>
  <si>
    <t>Carga, manobra e descarga de agregados ou solos em caminhão basculante de 10 m³ - carga com escavadeira de 1,56 m³(exclusa) e descarga livre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</si>
  <si>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</si>
  <si>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</si>
  <si>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</si>
  <si>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>SEGURO - HORISTA (COLETADO CAIXA - ENCARGOS COMPLEMENTARES)</t>
  </si>
  <si>
    <t>BETONEIRA CAPACIDADE NOMINAL DE 400 L, CAPACIDADE DE MISTURA 280 L, MOTOR ELÉTRICO TRIFÁSICO POTÊNCIA DE 2 CV, SEM CARREGADOR - CHP DIURNO. AF_05/2023</t>
  </si>
  <si>
    <t>BETONEIRA CAPACIDADE NOMINAL DE 400 L, CAPACIDADE DE MISTURA 280 L, MOTOR ELÉTRICO TRIFÁSICO POTÊNCIA DE 2 CV, SEM CARREGADOR - CHI DIURNO. AF_05/2023</t>
  </si>
  <si>
    <t>CORTE E DOBRA DE AÇO CA-60, DIÂMETRO DE 4,2 MM. AF_06/2022</t>
  </si>
  <si>
    <t>ASSENTADOR DE MANILHAS (HORISTA)</t>
  </si>
  <si>
    <t>AUXILIAR DE SERVICOS GERAIS (HORISTA)</t>
  </si>
  <si>
    <t>E9621</t>
  </si>
  <si>
    <t>Bomba de injeção de argamassa e nata com capacidade de 1,08 m³/h (18 l/min) e misturador</t>
  </si>
  <si>
    <t>Escavação e carga de material de jazida com escavadeira hidráulica de 1,56 m³</t>
  </si>
  <si>
    <t>Escavação e carga de material de jazida com escavadeira hidráulica de 1,56 m³ - Caminhão basculante com capacidade de 10 m³ - 188 kW</t>
  </si>
  <si>
    <t>BETONEIRA CAPACIDADE NOMINAL DE 400 L, CAPACIDADE DE MISTURA 280 L, MOTOR ELÉTRICO TRIFÁSICO POTÊNCIA DE 2 CV, SEM CARREGADOR - DEPRECIAÇÃO. AF_05/2023</t>
  </si>
  <si>
    <t>BETONEIRA CAPACIDADE NOMINAL DE 400 L, CAPACIDADE DE MISTURA 280 L, MOTOR ELÉTRICO TRIFÁSICO POTÊNCIA DE 2 CV, SEM CARREGADOR - JUROS. AF_05/2023</t>
  </si>
  <si>
    <t>BETONEIRA CAPACIDADE NOMINAL DE 400 L, CAPACIDADE DE MISTURA 280 L, MOTOR ELÉTRICO TRIFÁSICO POTÊNCIA DE 2 CV, SEM CARREGADOR - MANUTENÇÃO. AF_05/2023</t>
  </si>
  <si>
    <t>BETONEIRA CAPACIDADE NOMINAL DE 400 L, CAPACIDADE DE MISTURA 280 L, MOTOR ELÉTRICO TRIFÁSICO POTÊNCIA DE 2 CV, SEM CARREGADOR - MATERIAIS NA OPERAÇÃO. AF_05/2023</t>
  </si>
  <si>
    <t>BETONEIRA CAPACIDADE NOMINAL DE 600 L, CAPACIDADE DE MISTURA 360 L, MOTOR ELÉTRICO TRIFÁSICO POTÊNCIA DE 4 CV, SEM CARREGADOR - DEPRECIAÇÃO. AF_05/2023</t>
  </si>
  <si>
    <t>BETONEIRA CAPACIDADE NOMINAL DE 600 L, CAPACIDADE DE MISTURA 360 L, MOTOR ELÉTRICO TRIFÁSICO POTÊNCIA DE 4 CV, SEM CARREGADOR - JUROS. AF_05/2023</t>
  </si>
  <si>
    <t>BETONEIRA CAPACIDADE NOMINAL DE 600 L, CAPACIDADE DE MISTURA 360 L, MOTOR ELÉTRICO TRIFÁSICO POTÊNCIA DE 4 CV, SEM CARREGADOR - MANUTENÇÃO. AF_05/2023</t>
  </si>
  <si>
    <t>BETONEIRA CAPACIDADE NOMINAL DE 600 L, CAPACIDADE DE MISTURA 360 L, MOTOR ELÉTRICO TRIFÁSICO POTÊNCIA DE 4 CV, SEM CARREGADOR - MATERIAIS NA OPERAÇÃO. AF_05/2023</t>
  </si>
  <si>
    <t xml:space="preserve"> 90651 </t>
  </si>
  <si>
    <t>BOMBA CENTRÍFUGA MONOESTÁGIO COM MOTOR ELÉTRICO MONOFÁSICO, POTÊNCIA 15 HP, DIÂMETRO DO ROTOR 173 MM, HM/Q = 30 MCA / 90 M3/H A 45 MCA / 55 M3/H - CHI DIURNO. AF_06/2015</t>
  </si>
  <si>
    <t xml:space="preserve"> 90646 </t>
  </si>
  <si>
    <t>BOMBA CENTRÍFUGA MONOESTÁGIO COM MOTOR ELÉTRICO MONOFÁSICO, POTÊNCIA 15 HP, DIÂMETRO DO ROTOR 173 MM, HM/Q = 30 MCA / 90 M3/H A 45 MCA / 55 M3/H - DEPRECIAÇÃO. AF_06/2015</t>
  </si>
  <si>
    <t xml:space="preserve"> 90647 </t>
  </si>
  <si>
    <t>BOMBA CENTRÍFUGA MONOESTÁGIO COM MOTOR ELÉTRICO MONOFÁSICO, POTÊNCIA 15 HP, DIÂMETRO DO ROTOR 173 MM, HM/Q = 30 MCA / 90 M3/H A 45 MCA / 55 M3/H - JUROS. AF_06/2015</t>
  </si>
  <si>
    <t xml:space="preserve"> 90650 </t>
  </si>
  <si>
    <t>BOMBA CENTRÍFUGA MONOESTÁGIO COM MOTOR ELÉTRICO MONOFÁSICO, POTÊNCIA 15 HP, DIÂMETRO DO ROTOR 173 MM, HM/Q = 30 MCA / 90 M3/H A 45 MCA / 55 M3/H - CHP DIURNO. AF_06/2015</t>
  </si>
  <si>
    <t xml:space="preserve"> 90648 </t>
  </si>
  <si>
    <t>BOMBA CENTRÍFUGA MONOESTÁGIO COM MOTOR ELÉTRICO MONOFÁSICO, POTÊNCIA 15 HP, DIÂMETRO DO ROTOR 173 MM, HM/Q = 30 MCA / 90 M3/H A 45 MCA / 55 M3/H - MANUTENÇÃO. AF_06/2015</t>
  </si>
  <si>
    <t xml:space="preserve"> 90649 </t>
  </si>
  <si>
    <t>BOMBA CENTRÍFUGA MONOESTÁGIO COM MOTOR ELÉTRICO MONOFÁSICO, POTÊNCIA 15 HP, DIÂMETRO DO ROTOR 173 MM, HM/Q = 30 MCA / 90 M3/H A 45 MCA / 55 M3/H - MATERIAIS NA OPERAÇÃO. AF_06/2015</t>
  </si>
  <si>
    <t xml:space="preserve"> 00039925 </t>
  </si>
  <si>
    <t>BOMBA CENTRIFUGA MONOESTAGIO COM MOTOR ELETRICO MONOFASICO, POTENCIA 15 HP,  DIAMETRO DO ROTOR *173* MM, HM/Q = *30* MCA / *90* M3/H A *45* MCA / *55* M3/H</t>
  </si>
  <si>
    <t xml:space="preserve"> 90663 </t>
  </si>
  <si>
    <t>BOMBA DE PROJEÇÃO DE CONCRETO SECO, POTÊNCIA 10 CV, VAZÃO 6 M3/H - CHI DIURNO. AF_06/2015</t>
  </si>
  <si>
    <t xml:space="preserve"> 90658 </t>
  </si>
  <si>
    <t>BOMBA DE PROJEÇÃO DE CONCRETO SECO, POTÊNCIA 10 CV, VAZÃO 6 M3/H - DEPRECIAÇÃO. AF_06/2015</t>
  </si>
  <si>
    <t xml:space="preserve"> 90659 </t>
  </si>
  <si>
    <t>BOMBA DE PROJEÇÃO DE CONCRETO SECO, POTÊNCIA 10 CV, VAZÃO 6 M3/H - JUROS. AF_06/2015</t>
  </si>
  <si>
    <t xml:space="preserve"> 90662 </t>
  </si>
  <si>
    <t>BOMBA DE PROJEÇÃO DE CONCRETO SECO, POTÊNCIA 10 CV, VAZÃO 6 M3/H - CHP DIURNO. AF_06/2015</t>
  </si>
  <si>
    <t xml:space="preserve"> 90660 </t>
  </si>
  <si>
    <t>BOMBA DE PROJEÇÃO DE CONCRETO SECO, POTÊNCIA 10 CV, VAZÃO 6 M3/H - MANUTENÇÃO. AF_06/2015</t>
  </si>
  <si>
    <t xml:space="preserve"> 90661 </t>
  </si>
  <si>
    <t>BOMBA DE PROJEÇÃO DE CONCRETO SECO, POTÊNCIA 10 CV, VAZÃO 6 M3/H - MATERIAIS NA OPERAÇÃO. AF_06/2015</t>
  </si>
  <si>
    <t xml:space="preserve"> 00039009 </t>
  </si>
  <si>
    <t>BOMBA DE PROJECAO DE CONCRETO SECO, POTENCIA 10 CV, VAZAO 6 M3/H</t>
  </si>
  <si>
    <t xml:space="preserve"> 90639 </t>
  </si>
  <si>
    <t>BOMBA TRIPLEX, PARA INJEÇÃO DE NATA DE CIMENTO, VAZÃO MÁXIMA DE 100 LITROS/MINUTO, PRESSÃO MÁXIMA DE 70 BAR - DEPRECIAÇÃO. AF_06/2015</t>
  </si>
  <si>
    <t xml:space="preserve"> 90640 </t>
  </si>
  <si>
    <t>BOMBA TRIPLEX, PARA INJEÇÃO DE NATA DE CIMENTO, VAZÃO MÁXIMA DE 100 LITROS/MINUTO, PRESSÃO MÁXIMA DE 70 BAR - JUROS. AF_06/2015</t>
  </si>
  <si>
    <t xml:space="preserve"> 90641 </t>
  </si>
  <si>
    <t>BOMBA TRIPLEX, PARA INJEÇÃO DE NATA DE CIMENTO, VAZÃO MÁXIMA DE 100 LITROS/MINUTO, PRESSÃO MÁXIMA DE 70 BAR - MANUTENÇÃO. AF_06/2015</t>
  </si>
  <si>
    <t xml:space="preserve"> 90642 </t>
  </si>
  <si>
    <t>BOMBA TRIPLEX, PARA INJEÇÃO DE NATA DE CIMENTO, VAZÃO MÁXIMA DE 100 LITROS/MINUTO, PRESSÃO MÁXIMA DE 70 BAR - MATERIAIS NA OPERAÇÃO. AF_06/2015</t>
  </si>
  <si>
    <t xml:space="preserve"> 00039917 </t>
  </si>
  <si>
    <t>BOMBA TRIPLEX, PARA INJECAO DE CALDA DE CIMENTO, VAZAO MAXIMA DE *100* LITROS/MINUTO, PRESSAO MAXIMA DE *70* BAR, POTENCIA DE 15 CV</t>
  </si>
  <si>
    <t xml:space="preserve"> 53792 </t>
  </si>
  <si>
    <t>CAMINHÃO BASCULANTE 6 M3, PESO BRUTO TOTAL 16.000 KG, CARGA ÚTIL MÁXIMA 13.071 KG, DISTÂNCIA ENTRE EIXOS 4,80 M, POTÊNCIA 230 CV INCLUSIVE CAÇAMBA METÁLICA - MATERIAIS NA OPERAÇÃO. AF_06/2014</t>
  </si>
  <si>
    <t xml:space="preserve"> 5695 </t>
  </si>
  <si>
    <t>CAMINHÃO BASCULANTE 6 M3, PESO BRUTO TOTAL 16.000 KG, CARGA ÚTIL MÁXIMA 13.071 KG, DISTÂNCIA ENTRE EIXOS 4,80 M, POTÊNCIA 230 CV INCLUSIVE CAÇAMBA METÁLICA - MANUTENÇÃO. AF_06/2014</t>
  </si>
  <si>
    <t xml:space="preserve"> 91367 </t>
  </si>
  <si>
    <t>CAMINHÃO BASCULANTE 6 M3, PESO BRUTO TOTAL 16.000 KG, CARGA ÚTIL MÁXIMA 13.071 KG, DISTÂNCIA ENTRE EIXOS 4,80 M, POTÊNCIA 230 CV INCLUSIVE CAÇAMBA METÁLICA - DEPRECIAÇÃO. AF_06/2014</t>
  </si>
  <si>
    <t xml:space="preserve"> 91368 </t>
  </si>
  <si>
    <t>CAMINHÃO BASCULANTE 6 M3, PESO BRUTO TOTAL 16.000 KG, CARGA ÚTIL MÁXIMA 13.071 KG, DISTÂNCIA ENTRE EIXOS 4,80 M, POTÊNCIA 230 CV INCLUSIVE CAÇAMBA METÁLICA - JUROS. AF_06/2014</t>
  </si>
  <si>
    <t xml:space="preserve"> 91369 </t>
  </si>
  <si>
    <t>CAMINHÃO BASCULANTE 6 M3, PESO BRUTO TOTAL 16.000 KG, CARGA ÚTIL MÁXIMA 13.071 KG, DISTÂNCIA ENTRE EIXOS 4,80 M, POTÊNCIA 230 CV INCLUSIVE CAÇAMBA METÁLICA - IMPOSTOS E SEGUROS. AF_06/2014</t>
  </si>
  <si>
    <t xml:space="preserve"> 00037733 </t>
  </si>
  <si>
    <t>CACAMBA METALICA BASCULANTE COM CAPACIDADE DE 6 M3 (INCLUI MONTAGEM, NAO INCLUI CAMINHAO)</t>
  </si>
  <si>
    <t xml:space="preserve"> 00044058 </t>
  </si>
  <si>
    <t>CAMINHAO TOCO, PESO BRUTO TOTAL 16000 KG, CARGA UTIL MAXIMA 10830 KG, DISTANCIA ENTRE EIXOS 3,56 M, POTENCIA 226 CV (INCLUI CABINE E CHASSI, NAO INCLUI CARROCERIA)</t>
  </si>
  <si>
    <t>CAMINHÃO PARA EQUIPAMENTO DE LIMPEZA A SUCÇÃO COM CAMINHÃO TRUCADO DE PESO BRUTO TOTAL 23000 KG, CARGA ÚTIL MÁX. 15935 KG, DISTÂNCIA ENTRE EIXOS 4,80 M, POTÊNCIA 230 CV, INCLUSIVE LIMPADORA A SUCÇÃO, TANQUE 12000 L - MATERIAIS NA OPERAÇÃO. AF_05/2023</t>
  </si>
  <si>
    <t>CAMINHÃO PARA EQUIPAMENTO DE LIMPEZA A SUCÇÃO COM CAMINHÃO TRUCADO DE PESO BRUTO TOTAL 23000 KG, CARGA ÚTIL MÁXIMA 15935 KG, DISTÂNCIA ENTRE EIXOS 4,80 M, POTÊNCIA 230 CV, INCLUSIVE LIMPADORA A SUCÇÃO, TANQUE 12000 L - DEPRECIAÇÃO. AF_05/2023</t>
  </si>
  <si>
    <t>CAMINHÃO PARA EQUIPAMENTO DE LIMPEZA A SUCÇÃO COM CAMINHÃO TRUCADO DE PESO BRUTO TOTAL 23000 KG, CARGA ÚTIL MÁXIMA 15935 KG, DISTÂNCIA ENTRE EIXOS 4,80 M, POTÊNCIA 230 CV, INCLUSIVE LIMPADORA A SUCÇÃO, TANQUE 12000 L - IMPOSTOS E SEGUROS. AF_05/2023</t>
  </si>
  <si>
    <t>CAMINHÃO PARA EQUIPAMENTO DE LIMPEZA A SUCÇÃO COM CAMINHÃO TRUCADO DE PESO BRUTO TOTAL 23000 KG, CARGA ÚTIL MÁXIMA 15935 KG, DISTÂNCIA ENTRE EIXOS 4,80 M, POTÊNCIA 230 CV, INCLUSIVE LIMPADORA A SUCÇÃO, TANQUE 12000 L - JUROS. AF_05/2023</t>
  </si>
  <si>
    <t>CAMINHÃO PARA EQUIPAMENTO DE LIMPEZA A SUCÇÃO COM CAMINHÃO TRUCADO DE PESO BRUTO TOTAL 23000 KG, CARGA ÚTIL MÁXIMA 15935 KG, DISTÂNCIA ENTRE EIXOS 4,80 M, POTÊNCIA 230 CV, INCLUSIVE LIMPADORA A SUCÇÃO, TANQUE 12000 L - MANUTENÇÃO. AF_05/2023</t>
  </si>
  <si>
    <t xml:space="preserve"> M0039 </t>
  </si>
  <si>
    <t xml:space="preserve"> 90982 </t>
  </si>
  <si>
    <t>COMPRESSOR DE AR REBOCÁVEL, VAZÃO 748 PCM, PRESSÃO EFETIVA DE TRABALHO 102 PSI, MOTOR DIESEL, POTÊNCIA 210 CV - CHI DIURNO. AF_06/2015</t>
  </si>
  <si>
    <t xml:space="preserve"> 90975 </t>
  </si>
  <si>
    <t>COMPRESSOR DE AR REBOCÁVEL, VAZÃO 748 PCM, PRESSÃO EFETIVA DE TRABALHO 102 PSI, MOTOR DIESEL, POTÊNCIA 210 CV - DEPRECIAÇÃO. AF_06/2015</t>
  </si>
  <si>
    <t xml:space="preserve"> 90976 </t>
  </si>
  <si>
    <t>COMPRESSOR DE AR REBOCÁVEL, VAZÃO 748 PCM, PRESSÃO EFETIVA DE TRABALHO 102 PSI, MOTOR DIESEL, POTÊNCIA 210 CV - JUROS. AF_06/2015</t>
  </si>
  <si>
    <t xml:space="preserve"> 90979 </t>
  </si>
  <si>
    <t>COMPRESSOR DE AR REBOCÁVEL, VAZÃO 748 PCM, PRESSÃO EFETIVA DE TRABALHO 102 PSI, MOTOR DIESEL, POTÊNCIA 210 CV - CHP DIURNO. AF_06/2015</t>
  </si>
  <si>
    <t xml:space="preserve"> 90977 </t>
  </si>
  <si>
    <t>COMPRESSOR DE AR REBOCÁVEL, VAZÃO 748 PCM, PRESSÃO EFETIVA DE TRABALHO 102 PSI, MOTOR DIESEL, POTÊNCIA 210 CV - MANUTENÇÃO. AF_06/2015</t>
  </si>
  <si>
    <t xml:space="preserve"> 90978 </t>
  </si>
  <si>
    <t>COMPRESSOR DE AR REBOCÁVEL, VAZÃO 748 PCM, PRESSÃO EFETIVA DE TRABALHO 102 PSI, MOTOR DIESEL, POTÊNCIA 210 CV - MATERIAIS NA OPERAÇÃO. AF_06/2015</t>
  </si>
  <si>
    <t xml:space="preserve"> 00036523 </t>
  </si>
  <si>
    <t>COMPRESSOR DE AR REBOCAVEL VAZAO 748 PCM, PRESSAO EFETIVA DE TRABALHO 102 PSI, MOTOR DIESEL, POTENCIA 210 CV</t>
  </si>
  <si>
    <t xml:space="preserve"> M0014 </t>
  </si>
  <si>
    <t>Aço CA 60</t>
  </si>
  <si>
    <t>ENCARREGADO GERAL DE OBRAS (HORISTA)</t>
  </si>
  <si>
    <t xml:space="preserve"> 95343 </t>
  </si>
  <si>
    <t>CURSO DE CAPACITAÇÃO PARA MONTADOR  DE TUBO AÇO/EQUIPAMENTOS (ENCARGOS COMPLEMENTARES) - HORISTA</t>
  </si>
  <si>
    <t xml:space="preserve"> 00002701 </t>
  </si>
  <si>
    <t>INSTALADOR DE TUBULACOES - TUBOS/EQUIPAMENTOS (HORISTA)</t>
  </si>
  <si>
    <t>MOTORISTA DE CAMINHAO-BASCULANTE (HORISTA)</t>
  </si>
  <si>
    <t>MOTORISTA DE CAMINHAO (HORISTA)</t>
  </si>
  <si>
    <t>MOTORISTA OPERADOR DE CAMINHAO COM MUNCK (HORISTA)</t>
  </si>
  <si>
    <t>OPERADOR DE BETONEIRA ESTACIONARIA / MISTURADOR (HORISTA)</t>
  </si>
  <si>
    <t>OPERADOR DE ESCAVADEIRA (HORISTA)</t>
  </si>
  <si>
    <t>OPERADOR DE GUINCHO OU GUINCHEIRO (HORISTA)</t>
  </si>
  <si>
    <t>OPERADOR DE MARTELETE OU MARTELETEIRO (HORISTA)</t>
  </si>
  <si>
    <t>OPERADOR DE MOTONIVELADORA (HORISTA)</t>
  </si>
  <si>
    <t>OPERADOR DE MAQUINAS E TRATORES DIVERSOS - TERRAPLANAGEM (HORISTA)</t>
  </si>
  <si>
    <t>OPERADOR DE PAVIMENTADORA / MESA VIBROACABADORA (HORISTA)</t>
  </si>
  <si>
    <t>OPERADOR DE PA CARREGADEIRA (HORISTA)</t>
  </si>
  <si>
    <t>OPERADOR DE ROLO COMPACTADOR (HORISTA)</t>
  </si>
  <si>
    <t>OPERADOR DE USINA DE ASFALTO, DE SOLOS OU DE CONCRETO (HORISTA)</t>
  </si>
  <si>
    <t>SERVENTE DE OBRAS (HORISTA)</t>
  </si>
  <si>
    <t>Balança plataforma digital à bateria, com mesa de 75 x 75 cm e capacidade de 500 kg</t>
  </si>
  <si>
    <t xml:space="preserve"> 00007155 </t>
  </si>
  <si>
    <t>TELA DE ACO SOLDADA NERVURADA, CA-60, Q-138, (2,20 KG/M2), DIAMETRO DO FIO = 4,2 MM, LARGURA = 2,45 M, ESPACAMENTO DA MALHA = 10  X 10 CM</t>
  </si>
  <si>
    <t xml:space="preserve"> 4016096 </t>
  </si>
  <si>
    <t>E9515</t>
  </si>
  <si>
    <t>Escavadeira hidráulica sobre esteiras com caçamba com capacidade de 1,56 m³ - 118 kW</t>
  </si>
  <si>
    <t>HASTE DE ATERRAMENTO EM ACO COM 3,00 M DE COMPRIMENTO E DN = 5/8", REVESTIDA COM BAIXA CAMADA DE COBRE, SEM CONECTOR</t>
  </si>
  <si>
    <t>SUPORTE PARAFUSADO COM PLACA DE ENCAIXE 4" X 2" MÉDIO (1,30 M DO PISO) PARA PONTO ELÉTRICO - FORNECIMENTO E INSTALAÇÃO. AF_03/2023</t>
  </si>
  <si>
    <t>INTERRUPTOR SIMPLES (1 MÓDULO) COM 1 TOMADA DE EMBUTIR 2P+T 10 A, SEM SUPORTE E SEM PLACA - FORNECIMENTO E INSTALAÇÃO. AF_03/2023</t>
  </si>
  <si>
    <t>INTERRUPTOR SIMPLES (2 MÓDULOS) COM 1 TOMADA DE EMBUTIR 2P+T 10 A, SEM SUPORTE E SEM PLACA - FORNECIMENTO E INSTALAÇÃO. AF_03/2023</t>
  </si>
  <si>
    <t>INTERRUPTOR SIMPLES (2 MÓDULOS), 10A/250V, SEM SUPORTE E SEM PLACA - FORNECIMENTO E INSTALAÇÃO. AF_03/2023</t>
  </si>
  <si>
    <t>M3241</t>
  </si>
  <si>
    <t>Cabo de cobre flexível antichama isolado em HEPR - tensão de 0,6/1,0 kV e seção de 2 x 6 mm²</t>
  </si>
  <si>
    <t>M0868</t>
  </si>
  <si>
    <t>Lâmpada fluorescente compacta eletrônica - potência de 20 W</t>
  </si>
  <si>
    <t>CAIBRO NAO APARELHADO *5 X 6* CM, EM MACARANDUBA/MASSARANDUBA, ANGELIM OU EQUIVALENTE DA REGIAO - BRUTA</t>
  </si>
  <si>
    <t>JOELHO PVC, SOLDAVEL, 90 GRAUS, 25 MM, COR MARROM, PARA AGUA FRIA PREDIAL</t>
  </si>
  <si>
    <t xml:space="preserve"> 90633 </t>
  </si>
  <si>
    <t>MISTURADOR DUPLO HORIZONTAL DE ALTA TURBULÊNCIA, CAPACIDADE / VOLUME 2 X 500 LITROS, MOTORES ELÉTRICOS MÍNIMO 5 CV CADA, PARA NATA CIMENTO, ARGAMASSA E OUTROS - DEPRECIAÇÃO. AF_06/2015</t>
  </si>
  <si>
    <t xml:space="preserve"> 90634 </t>
  </si>
  <si>
    <t>MISTURADOR DUPLO HORIZONTAL DE ALTA TURBULÊNCIA, CAPACIDADE / VOLUME 2 X 500 LITROS, MOTORES ELÉTRICOS MÍNIMO 5 CV CADA, PARA NATA CIMENTO, ARGAMASSA E OUTROS - JUROS. AF_06/2015</t>
  </si>
  <si>
    <t xml:space="preserve"> 90635 </t>
  </si>
  <si>
    <t>MISTURADOR DUPLO HORIZONTAL DE ALTA TURBULÊNCIA, CAPACIDADE / VOLUME 2 X 500 LITROS, MOTORES ELÉTRICOS MÍNIMO 5 CV CADA, PARA NATA CIMENTO, ARGAMASSA E OUTROS - MANUTENÇÃO. AF_06/2015</t>
  </si>
  <si>
    <t xml:space="preserve"> 90636 </t>
  </si>
  <si>
    <t>MISTURADOR DUPLO HORIZONTAL DE ALTA TURBULÊNCIA, CAPACIDADE / VOLUME 2 X 500 LITROS, MOTORES ELÉTRICOS MÍNIMO 5 CV CADA, PARA NATA CIMENTO, ARGAMASSA E OUTROS - MATERIAIS NA OPERAÇÃO. AF_06/2015</t>
  </si>
  <si>
    <t xml:space="preserve"> 00039919 </t>
  </si>
  <si>
    <t>MISTURADOR DUPLO HORIZONTAL DE ALTA TURBULENCIA, CAPACIDADE / VOLUME 2 X 500 LITROS, MOTORES ELETRICOS MINIMO 5 CV CADA,  PARA NATA CIMENTO, ARGAMASSA E OUTROS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</si>
  <si>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</si>
  <si>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Grupo gerador - 3,2 kVA</t>
  </si>
  <si>
    <t>TANQUE DE ASFALTO ESTACIONÁRIO COM SERPENTINA, CAPACIDADE 30.000 L - DEPRECIAÇÃO. AF_05/2023</t>
  </si>
  <si>
    <t>TANQUE DE ASFALTO ESTACIONÁRIO COM SERPENTINA, CAPACIDADE 30.000 L - JUROS. AF_05/2023</t>
  </si>
  <si>
    <t>TANQUE DE ASFALTO ESTACIONÁRIO COM SERPENTINA, CAPACIDADE 30.000 L - MANUTENÇÃO. AF_05/2023</t>
  </si>
  <si>
    <t>TANQUE DE ASFALTO ESTACIONÁRIO COM SERPENTINA, CAPACIDADE 30.000 L - MATERIAIS NA OPERAÇÃO. AF_05/2023</t>
  </si>
  <si>
    <t>TOMADA BAIXA DE EMBUTIR (1 MÓDULO), 2P+T 10 A, SEM SUPORTE E SEM PLACA - FORNECIMENTO E INSTALAÇÃO. AF_03/2023</t>
  </si>
  <si>
    <t>TOMADA BAIXA DE EMBUTIR (1 MÓDULO), 2P+T 20 A, SEM SUPORTE E SEM PLACA - FORNECIMENTO E INSTALAÇÃO. AF_03/2023</t>
  </si>
  <si>
    <t>TOMADA BAIXA DE EMBUTIR (2 MÓDULOS), 2P+T 10 A, SEM SUPORTE E SEM PLACA - FORNECIMENTO E INSTALAÇÃO. AF_03/2023</t>
  </si>
  <si>
    <t>VIGA NAO APARELHADA *6 X 12* CM, EM MACARANDUBA/MASSARANDUBA, ANGELIM OU EQUIVALENTE DA REGIAO - BRUTA</t>
  </si>
  <si>
    <t>TUBO PVC, SOLDAVEL, DE 25 MM, AGUA FRIA (NBR-5648)</t>
  </si>
  <si>
    <t>M3242</t>
  </si>
  <si>
    <t>Cabo de cobre flexível antichama isolado em HEPR - tensão de 0,6/1,0 kV e seção de 4 x 6 mm²</t>
  </si>
  <si>
    <t>M3240</t>
  </si>
  <si>
    <t>Duto flexível de ventilação de poliéster aluminizado sem isolamento - D = 200 mm</t>
  </si>
  <si>
    <t>B.D.I.</t>
  </si>
  <si>
    <t>Padrão - 21,22%
Material - 11,10%</t>
  </si>
  <si>
    <t>Peso (%)</t>
  </si>
  <si>
    <t>PRÓPRIO</t>
  </si>
  <si>
    <t>RECONSTRUCAO DE MEIO-FIO EM CONCRETO 10CM MOLDADO NO LOCAL</t>
  </si>
  <si>
    <t xml:space="preserve"> 96.01.04 M </t>
  </si>
  <si>
    <t>Observação</t>
  </si>
  <si>
    <t>44 CHP 176 CHI</t>
  </si>
  <si>
    <t>CONFORME VOLUME 8 DNIT 44CHP 176CHI</t>
  </si>
  <si>
    <t xml:space="preserve">CONS_LUZ
</t>
  </si>
  <si>
    <t>CONS_ÁGUA NOVACAP</t>
  </si>
  <si>
    <t xml:space="preserve">Copia da SINAPI (85188) - </t>
  </si>
  <si>
    <t>Copia da SINAPI (85189)</t>
  </si>
  <si>
    <t>Copia da SINAPI (73960/001)</t>
  </si>
  <si>
    <t>CONFORME NOVACAP</t>
  </si>
  <si>
    <t>ASTU</t>
  </si>
  <si>
    <t>FONTE: COMPESA 02.03.04U</t>
  </si>
  <si>
    <t>FONTE: COMPESA 02.03.06U</t>
  </si>
  <si>
    <t xml:space="preserve">FONTE: COMPESA </t>
  </si>
  <si>
    <t>COMPOSIÇÕES DE PREÇOS CRIADAS PARA O PROJETO - SICRO MODIFICADO
COMPOSIÇÃO REPASSADA PELO PROJETISTA.</t>
  </si>
  <si>
    <t>GOVERNO DO DISTRITO FEDERAL
Secretaria de Estado de Obras e Infraestrutura do
Distrito Federal - SODF</t>
  </si>
  <si>
    <t>REVISÃO E READEQUAÇÃO DOS PROJETOS EXECUTIVOS DE DRENAGEM NO SETOR HABITACIONAL MESTRE D'ARMAS, REGIÃO ADMINISTRATIVA DE PLANATINA - RA VI, PELA SODF, NO DISTRITO FEDERAL</t>
  </si>
  <si>
    <t>SODF / BRASÍLIA-DF</t>
  </si>
  <si>
    <t>ANEXO II - MOVIMENTAÇÃO DE SOLO</t>
  </si>
  <si>
    <t>MOVIMENTO DE SOLO</t>
  </si>
  <si>
    <t>OBS: UTLIZADO VOLUME DA REDE PARA EMPRESTIMO DAS LIGAÇÕES PV-BL , CONSIDERANDO FHV DE 1,15M³</t>
  </si>
  <si>
    <t>TRANSPORTE ATÉ ATERRO LIGAÇÕES PV-BL  - MATERIAL REAPROVEITADO (FHV 15%)</t>
  </si>
  <si>
    <t>REVOLVIMENTO E LIMPEZA MANUAL DE SOLO. AF_07/2024</t>
  </si>
  <si>
    <t>APLICAÇÃO DE ADUBO EM SOLO. AF_07/2024</t>
  </si>
  <si>
    <t>APLICAÇÃO DE CALCÁRIO PARA CORREÇÃO DO PH DO SOLO. AF_07/2024</t>
  </si>
  <si>
    <t>PLANTIO DE GRAMA BATATAIS EM PLACAS. AF_07/2024</t>
  </si>
  <si>
    <t>LIMPEZA MECANIZADA DE CAMADA VEGETAL, VEGETAÇÃO E PEQUENAS ÁRVORES (DIÂMETRO DE TRONCO MENOR QUE 0,20 M), COM TRATOR DE ESTEIRAS. AF_03/2024</t>
  </si>
  <si>
    <t>ESTRUTURA DE MADEIRA PROVISÓRIA PARA SUPORTE DE CAIXA DÁGUA ELEVADA DE 1000 LITROS. AF_03/2024</t>
  </si>
  <si>
    <t>ESTRUTURA DE MADEIRA PROVISÓRIA PARA SUPORTE DE CAIXA DÁGUA ELEVADA DE 3000 LITROS. AF_03/2024</t>
  </si>
  <si>
    <t>PLACA DE ADVERTÊNCIA PARA SINALIZAÇÃO DE OBRAS MONTADA EM SUPORTE METÁLICO MÓVEL, LADO 1,00 M - UTILIZAÇÃO DE 600 CICLOS - FORNECIMENTO, 01 IMPLANTAÇÃO E 01 RETIRADA DIÁRIA</t>
  </si>
  <si>
    <t>BARREIRA DE SINALIZAÇÃO TIPO III DE DIRECIONAMENTO OU BLOQUEIO - UTILIZAÇÃO DE 150 CICLOS - FORNECIMENTO, 01 IMPLANTAÇÃO E 01 RETIRADA DIÁRIA</t>
  </si>
  <si>
    <t>BALIZADOR CÔNICO REFLETIVO EM POLIETILENO SEMIFLEXÍVEL DE 114 X 11 X 40 CM - UTILIZAÇÃO DE 150 CICLOS - FORNECIMENTO, 01 IMPLANTAÇÃO E 01 RETIRADA DIÁRIA</t>
  </si>
  <si>
    <t>DEMOLIÇÃO MANUAL DE CONCRETO ARMADO</t>
  </si>
  <si>
    <t>DEMOLICAO MECANICA DE CONCRETO SIMPLES C/ COMPRESSOR E MARTELETE PNEUMATICO INCL. REMOCAO ECARREG. MANUAL DO EXPURGO</t>
  </si>
  <si>
    <t>DEMOLICAO COM EQUIPAMENTO DE AR COMPRIMIDO,DE PASSEIO CIMENT ADO COM ESPESSURA ATE 10CM,INCLUSIVE EMPILHAMENTO LATERAL DE NTRO DO CANTEIRO DE SERVICO 3%-DESGASTE DE FERRAMENTAS E EPI</t>
  </si>
  <si>
    <t>ESCAVAÇÃO MECANIZADA DE VALA COM PROF. MAIOR QUE 1,5 M ATÉ 3,0 M (MÉDIA MONTANTE E JUSANTE/UMA COMPOSIÇÃO POR TRECHO), ESCAVADEIRA (0,8 M3), LARGURA ATÉ 1,5 M, EM SOLO MOLE, EM LOCAIS COM ALTO NÍVEL DE INTERFERÊNCIA. AF_09/2024</t>
  </si>
  <si>
    <t>ESCAVAÇÃO MECANIZADA DE VALA COM PROF. ATÉ 1,5 M (MÉDIA MONTANTE E JUSANTE/UMA COMPOSIÇÃO POR TRECHO), ESCAVADEIRA (0,8 M3), LARG. DE 1,5 M A 2,5 M, EM SOLO MOLE, EM LOCAIS COM ALTO NÍVEL DE INTERFERÊNCIA. AF_09/2024</t>
  </si>
  <si>
    <t>ESCAVAÇÃO MECANIZADA DE VALA COM PROF. MAIOR QUE 1,5 M ATÉ 3,0 M (MÉDIA MONTANTE E JUSANTE/UMA COMPOSIÇÃO POR TRECHO),COM ESCAVADEIRA (1,2 M3),LARG. DE 1,5 M A 2,5 M, EM SOLO MOLE, EM LOCAIS COM ALTO NÍVEL DE INTERFERÊNCIA. AF_09/2024</t>
  </si>
  <si>
    <t>ESCAVAÇÃO MECANIZADA DE VALA COM PROF. DE 3,0 M ATÉ 4,5 M (MÉDIA MONTANTE E JUSANTE/UMA COMPOSIÇÃO POR TRECHO), ESCAVADEIRA (1,2 M3), LARG. DE 1,5 M A 2,5 M, EM SOLO MOLE, EM LOCAIS COM ALTO NÍVEL DE INTERFERÊNCIA. AF_09/2024</t>
  </si>
  <si>
    <t>ESCAVAÇÃO MECANIZADA DE VALA COM PROF. MAIOR QUE 4,5 M ATÉ 6,0 M (MÉDIA MONTANTE E JUSANTE/UMA COMPOSIÇÃO POR TRECHO), ESCAVADEIRA (1,2 M3), LARG. DE 1,5 M A 2,5 M, EM SOLO MOLE, EM LOCAIS COM ALTO NÍVEL DE INTERFERÊNCIA. AF_09/2024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</si>
  <si>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</si>
  <si>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</si>
  <si>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</si>
  <si>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</si>
  <si>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</si>
  <si>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ESPALHAMENTO DE MATERIAL COM TRATOR DE ESTEIRAS. AF_09/2024</t>
  </si>
  <si>
    <t>ESCORAMENTO DE VALA, TIPO BLINDADEM, COM PROFUNDIDADE DE 0 A 1,5 M, LARGURA MAIOR OU IGUAL A 1,5 M EMENOR QUE 2,5 M - EXECUÇÃO E FORNECIMENTO, INCLUI MATERIAL (ESCAVAÇÃO EXTERNA AO BLINDADO)</t>
  </si>
  <si>
    <t>ESCORAMENTO DE VALA, TIPO BLINDAGEM, COM PROFUNDIDADE DE 1,5 A 3,0 M, LARGURA DE 1,5 A 2,5 M -EXECUÇÃO E FORNECIMENTO, INCLUI MATERIAL (ESCAVAÇÃO INTERNA AO BLINDADO)</t>
  </si>
  <si>
    <t>ESCORAMENTO DE VALA, TIPO BLINDAGEM, COM PROFUNDIDADE DE 3,0 A 4,5 M, LARGURA MAIOR OU IGUAL A 1,5 M EMENOR QUE 2,5 M - EXECUÇÃO E FORNECIMENTO, INCLUI MATERIAL (ESCAVAÇÃO EXTERNA AO BLINDADO)</t>
  </si>
  <si>
    <t>ESCORAMENTO DE VALA, TIPO BLINDADEM, COM PROFUNDIDADE DE 0 A 1,5 M, LARGURA MAIOR OU IGUAL A 2,5 M EMENOR QUE 3,5 M - EXECUÇÃO E FORNECIMENTO, INCLUI MATERIAL (ESCAVAÇÃO EXTERNA AO BLINDADO)</t>
  </si>
  <si>
    <t>ESCORAMENTO DE VALA, TIPO BLINDAGEM, COM PROFUNDIDADE DE 1,5 A 3,0 M, LARGURA DE 2,5 A 3,5 M -EXECUÇÃO E FORNECIMENTO, INCLUI MATERIAL (ESCAVAÇÃO INTERNA AO BLINDADO)</t>
  </si>
  <si>
    <t>ESCORAMENTO DE VALA, TIPO BLINDAGEM, COM PROFUNDIDADE DE 3,0 A 4,5 M, LARGURA MAIOR OU IGUAL A 2,5 M EMENOR QUE 3,5 M - EXECUÇÃO E FORNECIMENTO, INCLUI MATERIAL (ESCAVAÇÃO EXTERNA AO BLINDADO)</t>
  </si>
  <si>
    <t>ESCORAMENTO DE VALA, TIPO BLINDAGEM, COM PROFUNDIDADE DE 4,5 A 6,0 M, LARGURA MAIOR OU IGUAL A 2,5 M EMENOR QUE 3,5 M - EXECUÇÃO E FORNECIMENTO, INCLUI MATERIAL (ESCAVAÇÃO EXTERNA AO BLINDADO)</t>
  </si>
  <si>
    <t>REATERRO MANUAL APILOADO COM SOQUETE</t>
  </si>
  <si>
    <t>ASSENTAMENTO DE TUBO DE CONCRETO PARA REDES COLETORAS DE ÁGUAS PLUVIAIS, DIÂMETRO DE 600 MM, JUNTA RÍGIDA, INSTALADO EM LOCAL COM ALTO NÍVEL DE INTERFERÊNCIAS (NÃO INCLUI FORNECIMENTO). AF_03/2024</t>
  </si>
  <si>
    <t>ASSENTAMENTO DE TUBO DE CONCRETO PARA REDES COLETORAS DE ÁGUAS PLUVIAIS, DIÂMETRO DE 800 MM, JUNTA RÍGIDA, INSTALADO EM LOCAL COM ALTO NÍVEL DE INTERFERÊNCIAS (NÃO INCLUI FORNECIMENTO). AF_03/2024</t>
  </si>
  <si>
    <t>ASSENTAMENTO DE TUBO DE CONCRETO PARA REDES COLETORAS DE ÁGUAS PLUVIAIS, DIÂMETRO DE 1000 MM, JUNTA RÍGIDA, INSTALADO EM LOCAL COM ALTO NÍVEL DE INTERFERÊNCIAS (NÃO INCLUI FORNECIMENTO). AF_03/2024</t>
  </si>
  <si>
    <t>ASSENTAMENTO DE TUBO DE CONCRETO PARA REDES COLETORAS DE ÁGUAS PLUVIAIS, DIÂMETRO DE 1200 MM, JUNTA RÍGIDA, INSTALADO EM LOCAL COM ALTO NÍVEL DE INTERFERÊNCIAS (NÃO INCLUI FORNECIMENTO). AF_03/2024</t>
  </si>
  <si>
    <t>ASSENTAMENTO DE TUBO DE CONCRETO PARA REDES COLETORAS DE ÁGUAS PLUVIAIS, DIÂMETRO DE 1500 MM, JUNTA RÍGIDA, INSTALADO EM LOCAL COM ALTO NÍVEL DE INTERFERÊNCIAS (NÃO INCLUI FORNECIMENTO). AF_03/2024</t>
  </si>
  <si>
    <t>ESCAVAÇÃO MECANIZADA DE VALA COM PROF. ATÉ 1,5 M (MÉDIA MONTANTE E JUSANTE/UMA COMPOSIÇÃO POR TRECHO), ESCAVADEIRA (0,8 M3),LARG. MENOR QUE 1,5 M, EM SOLO DE MOLE, EM LOCAIS COM ALTO NÍVEL DE INTERFERÊNCIA. AF_09/2024</t>
  </si>
  <si>
    <t>ESCAVAÇÃO MECANIZADA DE VALA COM PROF. MAIOR QUE 3,0 M ATÉ 4,5 M (MÉDIA MONTANTE E JUSANTE/UMA COMPOSIÇÃO POR TRECHO), ESCAVADEIRA (0,8 M3), LARG. MENOR QUE 1,5 M, EM SOLO MOLE, EM LOCAIS COM ALTO NÍVEL DE INTERFERÊNCIA. AF_09/2024</t>
  </si>
  <si>
    <t>ESCAVAÇÃO MECANIZADA DE VALA COM PROF. MAIOR QUE 3,0 M ATÉ 4,5 M(MÉDIA MONTANTE E JUSANTE/UMA COMPOSIÇÃO POR TRECHO), ESCAVADEIRA (0,8 M3), LARG. MENOR QUE 1,5 M, EM SOLO DE 1A CATEGORIA, EM LOCAIS COM ALTO NÍVEL DE INTERFERÊNCIA. AF_09/2024</t>
  </si>
  <si>
    <t>ESCORAMENTO DE VALA, TIPO BLINDAGEM, COM PROFUNDIDADE DE 3,0 A 4,5 M, LARGURA MENOR QUE 1,5 M -EXECUÇÃO E FORNECIMENTO, INCLUI MATERIAL (ESCAVAÇÃO EXTERNA AO BLINDADO)</t>
  </si>
  <si>
    <t>EXECUÇÃO DE SARJETA DE CONCRETO USINADO, MOLDADA  IN LOCO  EM TRECHO RETO, 60 CM BASE X 15 CM ALTURA. AF_01/2024</t>
  </si>
  <si>
    <t>ASSENTAMENTO DE TUBO DE CONCRETO PARA REDES COLETORAS DE ÁGUAS PLUVIAIS, DIÂMETRO DE 400 MM, JUNTA RÍGIDA, INSTALADO EM LOCAL COM ALTO NÍVEL DE INTERFERÊNCIAS (NÃO INCLUI FORNECIMENTO). AF_03/2024</t>
  </si>
  <si>
    <t>PEÇA RETANGULAR PRÉ-MOLDADA, VOLUME DE CONCRETO DE ATÉ 10 LITROS, TAXA DE AÇO APROXIMADA DE 30KG/M³. AF_03/2024</t>
  </si>
  <si>
    <t>EXECUÇÃO E COMPACTAÇÃO DE CORPO DE ATERRO DE ATERRO (95% DE ENERGIA DO PROCTOR NORMAL) COM SOLO PREDOMINANTEMENTE ARGILOSO ESPESSURA 15 CM - EXCLUSIVE MATERIAL, ESCAVAÇÃO, CARGA E TRANSPORTE. AF_09/2024</t>
  </si>
  <si>
    <t>ASSENTAMENTO DE GUIA (MEIO-FIO) EM TRECHO RETO, CONFECCIONADA EM CONCRETO PRÉ-FABRICADO, DIMENSÕES 100X15X13X30 CM (COMPRIMENTO X BASE INFERIOR X BASE SUPERIOR X ALTURA). AF_01/2024</t>
  </si>
  <si>
    <t>SUPORTE METÁLICO GALVANIZADO PARA PLACA DE ADVERTÊNCIA OU REGULAMENTAÇÃO - LADO OU DIÂMETRO DE 1,00 M - FORNECIMENTO E IMPLANTAÇÃO</t>
  </si>
  <si>
    <t>LIMPEZA MANUAL DE VEGETAÇÃO EM TERRENO COM ENXADA. AF_03/2024</t>
  </si>
  <si>
    <t>SINAPI - 12/2024 - Distrito Federal
SBC - 01/2025 - Distrito Federal
SICRO3 - 10/2024 - Distrito Federal
ORSE - 11/2024 - Sergipe
SEINFRA - 028 - Ceará
SIURB INFRA - 07/2024 - São Paulo
AGESUL - 06/2024 - Mato Grosso do Sul
EMBASA - 05/2024 - Bahia
COMPESA - 07/2024 - Pernambuco
EMOP - 12/2024 - Rio de Janeiro</t>
  </si>
  <si>
    <t xml:space="preserve"> P9897 OUT/24 </t>
  </si>
  <si>
    <t xml:space="preserve"> 00041085 </t>
  </si>
  <si>
    <t>AJUDANTE ESPECIALIZADO (MENSALISTA)</t>
  </si>
  <si>
    <t xml:space="preserve"> 00040807 </t>
  </si>
  <si>
    <t>DESENHISTA PROJETISTA (MENSALISTA)</t>
  </si>
  <si>
    <t>5914314
0,000
R$ 1,17</t>
  </si>
  <si>
    <t>5914329
0,000
R$ 0,93</t>
  </si>
  <si>
    <t>5914344
0,000
R$ 0,78</t>
  </si>
  <si>
    <t>TAPUME COM TELHA METÁLICA. AF_03/2024</t>
  </si>
  <si>
    <t xml:space="preserve"> 00006194 </t>
  </si>
  <si>
    <t>TABUA *2,5 X 15 CM EM PINUS, MISTA OU EQUIVALENTE DA REGIAO - BRUTA</t>
  </si>
  <si>
    <t xml:space="preserve"> 00001347 </t>
  </si>
  <si>
    <t>CHAPA/PAINEL DE MADEIRA COMPENSADA PLASTIFICADA (MADEIRITE PLASTIFICADO) PARA FORMA DE CONCRETO, DE 2200 X 1100 MM, E = 12 MM</t>
  </si>
  <si>
    <t xml:space="preserve"> 00002747 </t>
  </si>
  <si>
    <t>MOURAO ROLICO DE MADEIRA TRATADA, D = 16 A 20 CM, H = 2,20 M, EM EUCALIPTO OU EQUIVALENTE DA REGIAO (PARA CERCA)</t>
  </si>
  <si>
    <t xml:space="preserve"> 00006212 </t>
  </si>
  <si>
    <t>TABUA *2,5 X 30 CM EM PINUS, MISTA OU EQUIVALENTE DA REGIAO - BRUTA</t>
  </si>
  <si>
    <t>5914359
0,000
R$ 1,24</t>
  </si>
  <si>
    <t>5914374
0,000
R$ 0,99</t>
  </si>
  <si>
    <t>5914389
0,000
R$ 0,81</t>
  </si>
  <si>
    <t xml:space="preserve"> M1954 </t>
  </si>
  <si>
    <t>Cimento Portland CP II - 32 - a granel</t>
  </si>
  <si>
    <t>5914449
0,000
R$ 1,04</t>
  </si>
  <si>
    <t>5914464
0,000
R$ 0,83</t>
  </si>
  <si>
    <t>5914479
0,000
R$ 0,68</t>
  </si>
  <si>
    <t>LOCAÇÃO DE REDE DE ÁGUA OU ESGOTO. AF_03/2024</t>
  </si>
  <si>
    <t>TELA TAPUME, COR LARANJA, COM SUPORTE A CADA 2M, DE ACORDO COM PADRÃO COMPESA / NTC - 108 (FORNECIMENTO E INSTALAÇÃO)</t>
  </si>
  <si>
    <t xml:space="preserve"> 0500003U </t>
  </si>
  <si>
    <t>SINALIZADOR ELETRÔNICO, PADRÃO COMPESA / NTC - 108</t>
  </si>
  <si>
    <t xml:space="preserve"> 0500006U </t>
  </si>
  <si>
    <t>Placa para sinalização de obras montada em cavalete metálico - 1,00 x 1,00 m - utilização de 600 ciclos - fornecimento, 01 implantação e 01 retirada diária</t>
  </si>
  <si>
    <t>Placa de advertência para sinalização de obras montada em suporte metálico móvel, lado 1,00 m - utilização de 600 ciclos - fornecimento, 01 implantação e 01 retirada diária</t>
  </si>
  <si>
    <t>Barreira de sinalização tipo III de direcionamento ou bloqueio - utilização de 150 ciclos - fornecimento, 01 implantação e 01 retirada diária</t>
  </si>
  <si>
    <t>Balizador cônico refletivo em polietileno semiflexível de 114 x 11 x 40 cm - utilização de 150 ciclos - fornecimento, 01 implantação e 01 retirada diária</t>
  </si>
  <si>
    <t>Demolição manual de concreto armado</t>
  </si>
  <si>
    <t xml:space="preserve"> M0043 </t>
  </si>
  <si>
    <t>Óleo diesel</t>
  </si>
  <si>
    <t xml:space="preserve"> 90973 </t>
  </si>
  <si>
    <t>COMPRESSOR DE AR REBOCAVEL, VAZÃO 250 PCM, PRESSAO DE TRABALHO 102 PSI, MOTOR A DIESEL POTÊNCIA 81 CV - CHI DIURNO. AF_06/2015</t>
  </si>
  <si>
    <t xml:space="preserve"> 000050 </t>
  </si>
  <si>
    <t>CIMENTO PORTLAND CP III 32RS NBR 11578 (quilo)</t>
  </si>
  <si>
    <t xml:space="preserve"> 01.001.0275-A </t>
  </si>
  <si>
    <t xml:space="preserve"> 55.100.0002-B </t>
  </si>
  <si>
    <t>COMPOSICAO BASICA - ENSAIO DE LABORATORIO 33,9%-ASSISTENCIA TECNICA (30%) E DESGASTE DE FERRAMENTAS E EPI (3%)</t>
  </si>
  <si>
    <t>ESCORAMENTO DE VALA, TIPO BLINDAGEM, COM PROFUNDIDADE DE 0 A 1,5 M, LARGURA MENOR QUE 1,5 M -EXECUÇÃO E FORNECIMENTO, INCLUI MATERIAL (ESCAVAÇÃO EXTERNA AO BLINDADO)</t>
  </si>
  <si>
    <t>FABRICAÇÃO DE CONJUNTO DE MÓDULO METÁLICO, COMPRIMENTO DE 3,0 M E ALTURA DE 1,8 M (ESTRONCAS DE1,00 M).</t>
  </si>
  <si>
    <t>ESCORAMENTO DE VALA, TIPO BLINDAGEM, COM PROFUNDIDADE DE 1,5 A 3,0 M, LARGURA MENOR QUE 1,5 M -EXECUÇÃO E FORNECIMENTO, INCLUI MATERIAL (ESCAVAÇÃO INTERNA AO BLINDADO)</t>
  </si>
  <si>
    <t>FABRICAÇÃO DE CONJUNTO DE MÓDULO METÁLICO, COMPRIMENTO DE 3,6 M E ALTURA DE 3,0 M (ESTRONCAS DE1,00 M).</t>
  </si>
  <si>
    <t>ESCORAMENTO DE VALA, TIPO BLINDAGEM, COM PROFUNDIDADE DE 3,0 A 4,5 M, LARGURA MENOR QUE 1,5 M -EXECUÇÃO E FORNECIMENTO, INCLUI MATERIAL (ESCAVAÇÃO INTERNA AO BLINDADO)</t>
  </si>
  <si>
    <t>FABRICAÇÃO DE CONJUNTO DE MÓDULO METÁLICO, COMPRIMENTO DE 3,0 M E ALTURA DE 2,4 M (ESTRONCAS DE1,00 M).</t>
  </si>
  <si>
    <t>FABRICAÇÃO DE CONJUNTO DE MÓDULO METÁLICO, COMPRIMENTO DE 3,0 M E ALTURA DE 1,8 M (ESTRONCAS DE2,00 M).</t>
  </si>
  <si>
    <t>FABRICAÇÃO DE CONJUNTO DE MÓDULO METÁLICO, COMPRIMENTO DE 3,6 M E ALTURA DE 3 M (ESTRONCAS DE 2,00M).</t>
  </si>
  <si>
    <t>FABRICAÇÃO DE CONJUNTO DE MÓDULO METÁLICO, COMPRIMENTO DE 3,0 M E ALTURA DE 2,4 M (ESTRONCAS DE2,00 M).</t>
  </si>
  <si>
    <t>PLACA DE SINALIZAÇÃO E ADVERTÊNCIA EM CHAPA DE AÇO GALVANIZADA Nº 16 DE ACORDO COM PADRÃO COMPESA  / NTC-108 (FORNECIMENTO E FIXAÇÃO)</t>
  </si>
  <si>
    <t xml:space="preserve"> 00011027 </t>
  </si>
  <si>
    <t>CHAPA DE ACO GALVANIZADA BITOLA GSG 16, E = 1,55 MM (12,40 KG/M2)</t>
  </si>
  <si>
    <t xml:space="preserve"> 010554 </t>
  </si>
  <si>
    <t>CASCALHO LAVADO</t>
  </si>
  <si>
    <t>LIMPEZA E TESTE DE REDES DE ESGOTOS SANITÁRIOS</t>
  </si>
  <si>
    <t>442 - BOMBEAMENTO DE POCO DE VISITA</t>
  </si>
  <si>
    <t>445 - LIMPEZA PVS COM PROFUNDIDADE ATE 3,00 M.</t>
  </si>
  <si>
    <t>Fornecimento e Assentamento de Tampão de ferro dúctil diam. = 600mm em poço de visita e Caixas de Passagem</t>
  </si>
  <si>
    <t>TAMPAO FOFO SIMPLES COM BASE / REQUADRO, CLASSE D400 CARGA MAX. 40 T, REDONDO, TAMPA 600 MM (COM INSCRICAO EM RELEVO DO TIPO DE REDE)</t>
  </si>
  <si>
    <t>Suporte metálico galvanizado para placa de advertência ou regulamentação - lado ou diâmetro de 1,00 m - fornecimento e implantação</t>
  </si>
  <si>
    <t>Cal hidratada - a granel</t>
  </si>
  <si>
    <t xml:space="preserve"> 55.100.0070-B </t>
  </si>
  <si>
    <t>PERFIL "H" DE ACO CARBONO, P/USOS GERAIS , PADRAO AMERICANO, COMPRIMENTO USUAL, P RECO DE REVENDEDOR, DE 6"X6"</t>
  </si>
  <si>
    <t>Gasolina comum</t>
  </si>
  <si>
    <t xml:space="preserve"> 55.100.0058-B 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</si>
  <si>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</si>
  <si>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</si>
  <si>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</si>
  <si>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</si>
  <si>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95383 </t>
  </si>
  <si>
    <t>CURSO DE CAPACITAÇÃO PARA TÉCNICO DE LABORATÓRIO (ENCARGOS COMPLEMENTARES) - HORISTA</t>
  </si>
  <si>
    <t xml:space="preserve"> 00007153 </t>
  </si>
  <si>
    <t>TECNICO EM LABORATORIO E CAMPO DE CONSTRUCAO CIVIL (HORISTA)</t>
  </si>
  <si>
    <t>Carga, manobra e descarga de agregados ou solos em caminhão basculante de 10 m³ - carga com carregadeira de 3,40 m³ (exclusa) e descarga livre</t>
  </si>
  <si>
    <t>Carga, manobra e descarga de materiais diversos em caminhão carroceria de 15 t - carga e descarga com caminhão guindauto de 20 t.m</t>
  </si>
  <si>
    <t xml:space="preserve"> 102726 </t>
  </si>
  <si>
    <t>DRENO BARBACÃ, DN 50 MM, COM MATERIAL DRENANTE. AF_07/2021</t>
  </si>
  <si>
    <t xml:space="preserve"> 00000345 </t>
  </si>
  <si>
    <t>ARAME GALVANIZADO 18 BWG, D = 1,24MM (0,009 KG/M)</t>
  </si>
  <si>
    <t xml:space="preserve"> 00004013 </t>
  </si>
  <si>
    <t>GEOTEXTIL NAO TECIDO AGULHADO DE FILAMENTOS CONTINUOS 100% POLIESTER, RESITENCIA A TRACAO = 09 KN/M</t>
  </si>
  <si>
    <t xml:space="preserve"> 00009838 </t>
  </si>
  <si>
    <t>TUBO PVC SERIE NORMAL, DN 50 MM, PARA ESGOTO PREDIAL (NBR 5688)</t>
  </si>
  <si>
    <t xml:space="preserve"> 90778 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</si>
  <si>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</si>
  <si>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</si>
  <si>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</si>
  <si>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</si>
  <si>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>SMARTPHONE COM CONFIG MIN: ANDROID 8, MEM RAM 4 GB, PROC OCTA-CORE 2 GHZ, REDE 4G, MEMÓRIA INTERNA64 GB, WIFI B/G/N/AC, TELA 5", CAMERA 12 MP, BATERIA DE 3000 mA, BT 4.0, AGPS</t>
  </si>
  <si>
    <t>SERVENTE</t>
  </si>
  <si>
    <t>PEDREIRO / ENCANADOR / ARTIFICE</t>
  </si>
  <si>
    <t>LOCACAO POR MES - SAVEIRO SEM MOTORISTA E SMARTPHONE - SEM COMBUSTIVES</t>
  </si>
  <si>
    <t xml:space="preserve"> 95967 </t>
  </si>
  <si>
    <t>SERVIÇOS TÉCNICOS ESPECIALIZADOS PARA ACOMPANHAMENTO DE EXECUÇÃO DE FUNDAÇÕES PROFUNDAS E ESTRUTURAS DE CONTENÇÃO</t>
  </si>
  <si>
    <t>CHAPA DE ACO GROSSA, ASTM A36, E = 1/4" (6,35 MM) 49,79 KG/M2</t>
  </si>
  <si>
    <t>TUBO ACO CARBONO SEM COSTURA 6", E= 7,11 MM, SCHEDULE 40, *28,26 KG/M</t>
  </si>
  <si>
    <t xml:space="preserve"> 00038124 </t>
  </si>
  <si>
    <t>ESPUMA EXPANSIVA DE POLIURETANO, APLICACAO MANUAL - 500 ML</t>
  </si>
  <si>
    <t xml:space="preserve"> 00039961 </t>
  </si>
  <si>
    <t>SILICONE ACETICO USO GERAL INCOLOR 280 G</t>
  </si>
  <si>
    <t xml:space="preserve"> 00003780 </t>
  </si>
  <si>
    <t>LUMINARIA DE SOBREPOR EM CHAPA DE ACO PARA 1 LAMPADA FLUORESCENTE DE *36* W, ALETADA, COMPLETA (LAMPADA E REATOR INCLUSOS)</t>
  </si>
  <si>
    <t xml:space="preserve"> 00038194 </t>
  </si>
  <si>
    <t>LAMPADA LED 10 W BIVOLT BRANCA, FORMATO TRADICIONAL (BASE E27)</t>
  </si>
  <si>
    <t xml:space="preserve"> 00039387 </t>
  </si>
  <si>
    <t>LAMPADA LED TUBULAR BIVOLT 18/20 W, BASE G13</t>
  </si>
  <si>
    <t xml:space="preserve"> 55.100.0068-B </t>
  </si>
  <si>
    <t>PERFIL "H" DE ACO CARBONO, P/USOS GERAIS, PADRAO AMERICANO, COMPR. USUAL, PRECO DE USINA, DE 6" X 6". FORN.</t>
  </si>
  <si>
    <t xml:space="preserve"> 55.100.0069-B </t>
  </si>
  <si>
    <t>PERFIL "U" DE ACO CARBONO, P/USOS GERAIS, PADRAO AMERICANO, COMPR. USUAL, PRECO DE USINA, DE 6" X 2". FORN.</t>
  </si>
  <si>
    <t>Diluente para tinta epóxi bicomponente ou tricomponente - Caminhão carroceria com capacidade de 15 t - 188 kW</t>
  </si>
  <si>
    <t>Tinta esmalte à base de resina epóxi bicomponente - Caminhão carroceria com capacidade de 15 t - 188 kW</t>
  </si>
  <si>
    <t>Tinta à base de resina epóxi bicomponente para fundo preparador de pintura - Caminhão carroceria com capacidade de 15 t - 188 kW</t>
  </si>
  <si>
    <t xml:space="preserve"> 00043458 </t>
  </si>
  <si>
    <t>FERRAMENTAS - FAMILIA ALMOXARIFE - HORISTA (ENCARGOS COMPLEMENTARES - COLETADO CAIXA)</t>
  </si>
  <si>
    <t xml:space="preserve"> 00043482 </t>
  </si>
  <si>
    <t>EPI - FAMILIA ALMOXARIFE - HORISTA (ENCARGOS COMPLEMENTARES - COLETADO CAIXA)</t>
  </si>
  <si>
    <t xml:space="preserve"> M0003 </t>
  </si>
  <si>
    <t>Aço CA 25</t>
  </si>
  <si>
    <t>CHAPA DE ACO CARBONO,P/USOS GERAIS,LAMIN ADA FRIO,SUPERF.COM.,TAM.PADRAO,BORDAS U NIV.,REC.BRANCO,PRECO DE USINA,ESP.1,5MM</t>
  </si>
  <si>
    <t>FERRO GUSA EM LINGOTE, COM 1,91 A 2,4% D E SILICIO, 0,12% MAXIMO DE FOSFORO, 3,80  A 4,2% DE CARBONO, 0,030% MAIXMO DE ENX OFRE E 0,40 A 0,80% MAXIMO DE MANGANES</t>
  </si>
  <si>
    <t>LATAO EM CHAPA, DE (1,2x0,60)M, E C/ESPE S. DE 3,5MM</t>
  </si>
  <si>
    <t>FIO SOLIDO DE COBRE ELETROLITICO, NU, TE MPERA MEIO DURA, CLASSE 1, SECAO CIRCULA R DE 1,0 A 16,0MM2</t>
  </si>
  <si>
    <t xml:space="preserve"> C5012 </t>
  </si>
  <si>
    <t>ESCAVAÇÃO DE VALA EM MATERIAL DE 3ª CATEGORIA COM ESCAVADEIRA E ROMPEDOR HIDRÁULICO DE 1700KG</t>
  </si>
  <si>
    <t>ESCAVAÇÕES EM VALAS,VALETAS,CANAIS E FUNDAÇÕES</t>
  </si>
  <si>
    <t xml:space="preserve"> E9775 </t>
  </si>
  <si>
    <t>Escavadeira hidráulica com martelo hidráulico de 1.700 kg - 103 kW</t>
  </si>
  <si>
    <t>Sem Desoneração: 
Horista: 110,14%
Mensalista: 70,04%</t>
  </si>
  <si>
    <t>REVISÃO E READEQUAÇÃO DOS PROJETOS EXECUTIVOS DE DRENAGEM NO SETOR HABITACIONAL MESTRE D'ARMAS, REGIÃO ADMINISTRATIVA DE PLANATINA - RA-PLAN, PELA SODF, NO DISTRITO FEDERAL - BLOCO 1 - LOTE 2 (ÁREA 5 E 6) CONTRATO: 21/2021- SODF - SEM DESONERAÇÃO</t>
  </si>
  <si>
    <t xml:space="preserve"> 1.1.1.2</t>
  </si>
  <si>
    <t xml:space="preserve"> 1.1.1.3</t>
  </si>
  <si>
    <t xml:space="preserve"> 1.1.1.4</t>
  </si>
  <si>
    <t xml:space="preserve"> 1.8.2</t>
  </si>
  <si>
    <t xml:space="preserve"> 1.8.3</t>
  </si>
  <si>
    <t xml:space="preserve"> 1.8.4</t>
  </si>
  <si>
    <t xml:space="preserve"> 1.8.5</t>
  </si>
  <si>
    <t xml:space="preserve"> 1.8.6</t>
  </si>
  <si>
    <t xml:space="preserve"> 1.8.7</t>
  </si>
  <si>
    <t xml:space="preserve"> 1.8.8</t>
  </si>
  <si>
    <t xml:space="preserve"> 1.8.9</t>
  </si>
  <si>
    <t xml:space="preserve"> 1.8.10</t>
  </si>
  <si>
    <t xml:space="preserve"> 1.8.11</t>
  </si>
  <si>
    <t xml:space="preserve"> 1.8.12</t>
  </si>
  <si>
    <t xml:space="preserve"> 1.8.13</t>
  </si>
  <si>
    <t xml:space="preserve"> 3.1.2</t>
  </si>
  <si>
    <t xml:space="preserve"> 3.1.3</t>
  </si>
  <si>
    <t xml:space="preserve"> 3.1.4</t>
  </si>
  <si>
    <t xml:space="preserve"> 3.1.5</t>
  </si>
  <si>
    <t xml:space="preserve"> 3.1.6</t>
  </si>
  <si>
    <t xml:space="preserve"> 3.1.7</t>
  </si>
  <si>
    <t xml:space="preserve"> 3.1.8</t>
  </si>
  <si>
    <t xml:space="preserve"> 3.1.9</t>
  </si>
  <si>
    <t xml:space="preserve"> 3.1.10</t>
  </si>
  <si>
    <t xml:space="preserve"> 3.1.11</t>
  </si>
  <si>
    <t xml:space="preserve"> 3.1.12</t>
  </si>
  <si>
    <t xml:space="preserve"> 3.1.13</t>
  </si>
  <si>
    <t xml:space="preserve"> 3.1.14</t>
  </si>
  <si>
    <t xml:space="preserve"> 3.1.15</t>
  </si>
  <si>
    <t xml:space="preserve"> 3.1.16</t>
  </si>
  <si>
    <t xml:space="preserve"> 3.1.17</t>
  </si>
  <si>
    <t xml:space="preserve"> 3.1.18</t>
  </si>
  <si>
    <t xml:space="preserve"> 3.1.19</t>
  </si>
  <si>
    <t xml:space="preserve"> 3.1.20</t>
  </si>
  <si>
    <t xml:space="preserve"> 3.1.21</t>
  </si>
  <si>
    <t xml:space="preserve"> 3.1.22</t>
  </si>
  <si>
    <t xml:space="preserve"> 3.1.23</t>
  </si>
  <si>
    <t xml:space="preserve"> 3.1.24</t>
  </si>
  <si>
    <t xml:space="preserve"> 3.1.25</t>
  </si>
  <si>
    <t xml:space="preserve"> 3.1.26</t>
  </si>
  <si>
    <t xml:space="preserve"> 3.1.27</t>
  </si>
  <si>
    <t>4.1.2.6.6</t>
  </si>
  <si>
    <t>5.1.2.7.6</t>
  </si>
  <si>
    <t>210 DIAS</t>
  </si>
  <si>
    <t>240 DIAS</t>
  </si>
  <si>
    <t>270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</si>
</sst>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#,##0.0000000"/>
    <numFmt numFmtId="168" formatCode="[$R$-416]&quot; &quot;#,##0.00;[Red]&quot;-&quot;[$R$-416]&quot; &quot;#,##0.00"/>
    <numFmt numFmtId="169" formatCode="_-* #,##0.00000_-;\-* #,##0.00000_-;_-* &quot;-&quot;??_-;_-@_-"/>
    <numFmt numFmtId="170" formatCode="_-* #,##0.0000_-;\-* #,##0.0000_-;_-* &quot;-&quot;????_-;_-@_-"/>
    <numFmt numFmtId="171" formatCode="_-* #,##0.0000_-;\-* #,##0.0000_-;_-* &quot;-&quot;??_-;_-@_-"/>
    <numFmt numFmtId="172" formatCode="_-* #,##0.00_-;\-* #,##0.00_-;_-* &quot;-&quot;????_-;_-@_-"/>
    <numFmt numFmtId="173" formatCode="#,##0.000"/>
    <numFmt numFmtId="174" formatCode="0.000"/>
    <numFmt numFmtId="175" formatCode="_(* #,##0_);_(* \(#,##0\);_(* &quot;-&quot;??_);_(@_)"/>
    <numFmt numFmtId="176" formatCode="_(* #,##0.000_);_(* \(#,##0.000\);_(* &quot;-&quot;??_);_(@_)"/>
    <numFmt numFmtId="177" formatCode="0.0"/>
    <numFmt numFmtId="178" formatCode="0.0000"/>
    <numFmt numFmtId="179" formatCode="_-* #,##0.000_-;\-* #,##0.000_-;_-* &quot;-&quot;???_-;_-@_-"/>
    <numFmt numFmtId="180" formatCode="_-* #,##0.00000_-;\-* #,##0.00000_-;_-* &quot;-&quot;?????_-;_-@_-"/>
  </numFmts>
  <fonts count="44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Arial"/>
      <family val="1"/>
    </font>
    <font>
      <b/>
      <sz val="12"/>
      <color rgb="FFFF0000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b/>
      <i/>
      <sz val="7"/>
      <color theme="1"/>
      <name val="Arial"/>
      <family val="2"/>
    </font>
    <font>
      <b/>
      <sz val="7"/>
      <color rgb="FF21409A"/>
      <name val="Arial"/>
      <family val="2"/>
    </font>
    <font>
      <b/>
      <i/>
      <sz val="7"/>
      <name val="Arial"/>
      <family val="2"/>
    </font>
    <font>
      <sz val="7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1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/>
      <diagonal/>
    </border>
    <border>
      <left style="thin">
        <color rgb="FFCCCCCC"/>
      </left>
      <right style="thin">
        <color rgb="FFCCCCCC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rgb="FFCCCCCC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rgb="FFCCCCCC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CCCCCC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CCCCCC"/>
      </top>
      <bottom style="thin">
        <color theme="0" tint="-0.34998626667073579"/>
      </bottom>
      <diagonal/>
    </border>
    <border>
      <left/>
      <right style="thin">
        <color rgb="FFCCCCCC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CCCCCC"/>
      </left>
      <right/>
      <top style="thin">
        <color indexed="64"/>
      </top>
      <bottom style="thin">
        <color rgb="FFCCCCCC"/>
      </bottom>
      <diagonal/>
    </border>
  </borders>
  <cellStyleXfs count="29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8" fontId="22" fillId="0" borderId="0"/>
    <xf numFmtId="0" fontId="19" fillId="0" borderId="0"/>
    <xf numFmtId="165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/>
    <xf numFmtId="165" fontId="19" fillId="0" borderId="0" applyFont="0" applyFill="0" applyBorder="0" applyAlignment="0" applyProtection="0"/>
    <xf numFmtId="0" fontId="4" fillId="0" borderId="0"/>
    <xf numFmtId="0" fontId="19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81">
    <xf numFmtId="0" fontId="0" fillId="0" borderId="0" xfId="0"/>
    <xf numFmtId="0" fontId="7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2" borderId="0" xfId="0" applyFont="1" applyFill="1" applyAlignment="1">
      <alignment horizontal="right" vertical="top" wrapText="1"/>
    </xf>
    <xf numFmtId="0" fontId="6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6" fillId="2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center" vertical="top" wrapText="1"/>
    </xf>
    <xf numFmtId="10" fontId="7" fillId="2" borderId="10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top"/>
    </xf>
    <xf numFmtId="10" fontId="8" fillId="2" borderId="0" xfId="2" applyNumberFormat="1" applyFont="1" applyFill="1" applyAlignment="1">
      <alignment horizontal="right" vertical="top" wrapText="1"/>
    </xf>
    <xf numFmtId="43" fontId="8" fillId="2" borderId="0" xfId="1" applyFont="1" applyFill="1" applyAlignment="1">
      <alignment horizontal="right" vertical="top" wrapText="1"/>
    </xf>
    <xf numFmtId="10" fontId="8" fillId="2" borderId="0" xfId="0" applyNumberFormat="1" applyFont="1" applyFill="1" applyAlignment="1">
      <alignment horizontal="right" vertical="top" wrapText="1"/>
    </xf>
    <xf numFmtId="43" fontId="8" fillId="2" borderId="0" xfId="0" applyNumberFormat="1" applyFont="1" applyFill="1" applyAlignment="1">
      <alignment horizontal="right" vertical="top" wrapText="1"/>
    </xf>
    <xf numFmtId="43" fontId="7" fillId="2" borderId="0" xfId="1" applyFont="1" applyFill="1" applyBorder="1" applyAlignment="1">
      <alignment horizontal="right" vertical="center" wrapText="1"/>
    </xf>
    <xf numFmtId="0" fontId="0" fillId="0" borderId="23" xfId="0" applyBorder="1"/>
    <xf numFmtId="9" fontId="7" fillId="2" borderId="24" xfId="2" applyFont="1" applyFill="1" applyBorder="1" applyAlignment="1">
      <alignment horizontal="right" vertical="center" wrapText="1"/>
    </xf>
    <xf numFmtId="43" fontId="7" fillId="2" borderId="25" xfId="1" applyFont="1" applyFill="1" applyBorder="1" applyAlignment="1">
      <alignment horizontal="righ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right" vertical="top" wrapText="1"/>
    </xf>
    <xf numFmtId="0" fontId="6" fillId="2" borderId="26" xfId="0" applyFont="1" applyFill="1" applyBorder="1" applyAlignment="1">
      <alignment horizontal="right" vertical="top" wrapText="1"/>
    </xf>
    <xf numFmtId="0" fontId="6" fillId="2" borderId="17" xfId="0" applyFont="1" applyFill="1" applyBorder="1" applyAlignment="1">
      <alignment horizontal="right" vertical="top" wrapText="1"/>
    </xf>
    <xf numFmtId="43" fontId="0" fillId="0" borderId="0" xfId="0" applyNumberFormat="1"/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 wrapText="1"/>
    </xf>
    <xf numFmtId="0" fontId="14" fillId="0" borderId="0" xfId="3" applyFont="1" applyAlignment="1">
      <alignment horizontal="center" vertical="center"/>
    </xf>
    <xf numFmtId="0" fontId="14" fillId="0" borderId="0" xfId="3" applyFont="1"/>
    <xf numFmtId="0" fontId="15" fillId="0" borderId="0" xfId="3" applyFont="1" applyAlignment="1">
      <alignment horizontal="left" wrapText="1"/>
    </xf>
    <xf numFmtId="0" fontId="15" fillId="0" borderId="0" xfId="3" applyFont="1" applyAlignment="1">
      <alignment vertical="center"/>
    </xf>
    <xf numFmtId="165" fontId="15" fillId="0" borderId="0" xfId="4" applyFont="1" applyFill="1" applyAlignment="1">
      <alignment horizontal="left" vertical="center"/>
    </xf>
    <xf numFmtId="165" fontId="14" fillId="0" borderId="0" xfId="4" applyFont="1" applyFill="1" applyAlignment="1">
      <alignment vertical="center"/>
    </xf>
    <xf numFmtId="0" fontId="14" fillId="0" borderId="0" xfId="3" applyFont="1" applyAlignment="1">
      <alignment vertical="center"/>
    </xf>
    <xf numFmtId="10" fontId="15" fillId="0" borderId="0" xfId="3" applyNumberFormat="1" applyFont="1" applyAlignment="1">
      <alignment vertical="center"/>
    </xf>
    <xf numFmtId="0" fontId="14" fillId="0" borderId="0" xfId="4" applyNumberFormat="1" applyFont="1" applyFill="1" applyAlignment="1">
      <alignment vertical="center" wrapText="1"/>
    </xf>
    <xf numFmtId="166" fontId="16" fillId="0" borderId="20" xfId="5" applyNumberFormat="1" applyFont="1" applyFill="1" applyBorder="1" applyAlignment="1">
      <alignment horizontal="center" vertical="center"/>
    </xf>
    <xf numFmtId="10" fontId="16" fillId="0" borderId="0" xfId="6" applyNumberFormat="1" applyFont="1" applyAlignment="1">
      <alignment horizontal="center" vertical="center"/>
    </xf>
    <xf numFmtId="166" fontId="16" fillId="0" borderId="21" xfId="5" applyNumberFormat="1" applyFont="1" applyFill="1" applyBorder="1" applyAlignment="1">
      <alignment horizontal="center" vertical="center"/>
    </xf>
    <xf numFmtId="0" fontId="15" fillId="0" borderId="0" xfId="3" applyFont="1"/>
    <xf numFmtId="0" fontId="14" fillId="0" borderId="0" xfId="3" applyFont="1" applyAlignment="1">
      <alignment horizontal="left" wrapText="1"/>
    </xf>
    <xf numFmtId="10" fontId="14" fillId="0" borderId="0" xfId="3" applyNumberFormat="1" applyFont="1" applyAlignment="1">
      <alignment vertical="center"/>
    </xf>
    <xf numFmtId="0" fontId="12" fillId="0" borderId="12" xfId="3" applyFont="1" applyBorder="1" applyAlignment="1">
      <alignment horizontal="center" vertical="center"/>
    </xf>
    <xf numFmtId="0" fontId="12" fillId="0" borderId="12" xfId="3" applyFont="1" applyBorder="1" applyAlignment="1">
      <alignment horizontal="left" vertical="center" wrapText="1"/>
    </xf>
    <xf numFmtId="43" fontId="12" fillId="0" borderId="12" xfId="1" applyFont="1" applyFill="1" applyBorder="1" applyAlignment="1">
      <alignment horizontal="center" vertical="center"/>
    </xf>
    <xf numFmtId="43" fontId="12" fillId="0" borderId="0" xfId="1" applyFont="1" applyAlignment="1">
      <alignment horizontal="center" vertical="center"/>
    </xf>
    <xf numFmtId="0" fontId="11" fillId="0" borderId="0" xfId="0" applyFont="1"/>
    <xf numFmtId="9" fontId="16" fillId="0" borderId="0" xfId="6" applyNumberFormat="1" applyFont="1" applyAlignment="1">
      <alignment horizontal="center" vertical="center"/>
    </xf>
    <xf numFmtId="0" fontId="15" fillId="0" borderId="27" xfId="3" applyFont="1" applyBorder="1" applyAlignment="1">
      <alignment horizontal="center" vertical="center" wrapText="1"/>
    </xf>
    <xf numFmtId="0" fontId="15" fillId="0" borderId="28" xfId="3" applyFont="1" applyBorder="1" applyAlignment="1">
      <alignment horizontal="center" vertical="center" wrapText="1"/>
    </xf>
    <xf numFmtId="0" fontId="15" fillId="0" borderId="28" xfId="3" applyFont="1" applyBorder="1" applyAlignment="1">
      <alignment horizontal="left" vertical="center" wrapText="1"/>
    </xf>
    <xf numFmtId="165" fontId="15" fillId="0" borderId="28" xfId="4" applyFont="1" applyFill="1" applyBorder="1" applyAlignment="1">
      <alignment horizontal="center" vertical="center" wrapText="1"/>
    </xf>
    <xf numFmtId="10" fontId="15" fillId="0" borderId="28" xfId="3" applyNumberFormat="1" applyFont="1" applyBorder="1" applyAlignment="1">
      <alignment horizontal="center" vertical="center" wrapText="1"/>
    </xf>
    <xf numFmtId="0" fontId="15" fillId="0" borderId="29" xfId="3" applyFont="1" applyBorder="1" applyAlignment="1">
      <alignment horizontal="center" vertical="center" wrapText="1"/>
    </xf>
    <xf numFmtId="0" fontId="14" fillId="0" borderId="27" xfId="3" applyFont="1" applyBorder="1" applyAlignment="1">
      <alignment horizontal="center" vertical="center"/>
    </xf>
    <xf numFmtId="0" fontId="14" fillId="0" borderId="28" xfId="3" applyFont="1" applyBorder="1" applyAlignment="1">
      <alignment horizontal="center" vertical="center"/>
    </xf>
    <xf numFmtId="0" fontId="14" fillId="0" borderId="28" xfId="3" applyFont="1" applyBorder="1" applyAlignment="1">
      <alignment horizontal="left" vertical="center" wrapText="1"/>
    </xf>
    <xf numFmtId="165" fontId="14" fillId="0" borderId="28" xfId="4" applyFont="1" applyFill="1" applyBorder="1" applyAlignment="1">
      <alignment vertical="center"/>
    </xf>
    <xf numFmtId="10" fontId="14" fillId="0" borderId="28" xfId="4" applyNumberFormat="1" applyFont="1" applyFill="1" applyBorder="1" applyAlignment="1">
      <alignment vertical="center"/>
    </xf>
    <xf numFmtId="165" fontId="14" fillId="0" borderId="29" xfId="4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vertical="center" wrapText="1"/>
    </xf>
    <xf numFmtId="0" fontId="6" fillId="2" borderId="31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7" fillId="2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left" wrapText="1"/>
    </xf>
    <xf numFmtId="43" fontId="7" fillId="2" borderId="22" xfId="1" applyFont="1" applyFill="1" applyBorder="1" applyAlignment="1">
      <alignment horizontal="right" vertical="center" wrapText="1"/>
    </xf>
    <xf numFmtId="0" fontId="7" fillId="2" borderId="22" xfId="0" applyFont="1" applyFill="1" applyBorder="1" applyAlignment="1">
      <alignment horizontal="right" vertical="top" wrapText="1"/>
    </xf>
    <xf numFmtId="0" fontId="7" fillId="2" borderId="35" xfId="0" applyFont="1" applyFill="1" applyBorder="1" applyAlignment="1">
      <alignment horizontal="right" vertical="top" wrapText="1"/>
    </xf>
    <xf numFmtId="10" fontId="8" fillId="0" borderId="0" xfId="0" applyNumberFormat="1" applyFont="1" applyAlignment="1">
      <alignment vertical="top" wrapText="1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/>
    </xf>
    <xf numFmtId="0" fontId="6" fillId="2" borderId="0" xfId="0" applyFont="1" applyFill="1" applyAlignment="1">
      <alignment horizontal="centerContinuous" wrapText="1"/>
    </xf>
    <xf numFmtId="43" fontId="17" fillId="0" borderId="10" xfId="1" applyFont="1" applyFill="1" applyBorder="1" applyAlignment="1">
      <alignment horizontal="right" vertical="center" wrapText="1"/>
    </xf>
    <xf numFmtId="43" fontId="19" fillId="0" borderId="10" xfId="1" applyFont="1" applyFill="1" applyBorder="1" applyAlignment="1">
      <alignment horizontal="right" vertical="center" wrapText="1"/>
    </xf>
    <xf numFmtId="10" fontId="19" fillId="0" borderId="10" xfId="2" applyNumberFormat="1" applyFont="1" applyFill="1" applyBorder="1" applyAlignment="1">
      <alignment horizontal="center" vertical="center" wrapText="1"/>
    </xf>
    <xf numFmtId="43" fontId="17" fillId="0" borderId="10" xfId="1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43" fontId="17" fillId="0" borderId="5" xfId="1" applyFont="1" applyFill="1" applyBorder="1" applyAlignment="1">
      <alignment horizontal="right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0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43" fontId="18" fillId="0" borderId="3" xfId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3" fontId="19" fillId="0" borderId="6" xfId="1" applyFont="1" applyFill="1" applyBorder="1" applyAlignment="1">
      <alignment horizontal="right" vertical="center" wrapText="1"/>
    </xf>
    <xf numFmtId="4" fontId="19" fillId="0" borderId="7" xfId="0" applyNumberFormat="1" applyFont="1" applyBorder="1" applyAlignment="1">
      <alignment horizontal="right" vertical="center" wrapText="1"/>
    </xf>
    <xf numFmtId="4" fontId="19" fillId="0" borderId="8" xfId="0" applyNumberFormat="1" applyFont="1" applyBorder="1" applyAlignment="1">
      <alignment horizontal="right" vertical="center" wrapText="1"/>
    </xf>
    <xf numFmtId="164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43" fontId="19" fillId="0" borderId="0" xfId="1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43" fontId="12" fillId="0" borderId="12" xfId="1" applyFont="1" applyBorder="1" applyAlignment="1">
      <alignment horizontal="center" vertical="center"/>
    </xf>
    <xf numFmtId="43" fontId="13" fillId="0" borderId="12" xfId="1" applyFont="1" applyBorder="1" applyAlignment="1">
      <alignment horizontal="center" vertical="center"/>
    </xf>
    <xf numFmtId="43" fontId="11" fillId="0" borderId="0" xfId="0" applyNumberFormat="1" applyFont="1"/>
    <xf numFmtId="0" fontId="7" fillId="2" borderId="37" xfId="0" applyFont="1" applyFill="1" applyBorder="1" applyAlignment="1">
      <alignment horizontal="left" wrapText="1"/>
    </xf>
    <xf numFmtId="0" fontId="7" fillId="2" borderId="11" xfId="0" applyFont="1" applyFill="1" applyBorder="1" applyAlignment="1">
      <alignment horizontal="left" wrapText="1"/>
    </xf>
    <xf numFmtId="0" fontId="0" fillId="0" borderId="38" xfId="0" applyBorder="1"/>
    <xf numFmtId="0" fontId="7" fillId="2" borderId="39" xfId="0" applyFont="1" applyFill="1" applyBorder="1" applyAlignment="1">
      <alignment horizontal="center" vertical="center" wrapText="1"/>
    </xf>
    <xf numFmtId="0" fontId="0" fillId="0" borderId="40" xfId="0" applyBorder="1"/>
    <xf numFmtId="0" fontId="7" fillId="2" borderId="40" xfId="0" applyFont="1" applyFill="1" applyBorder="1" applyAlignment="1">
      <alignment horizontal="center" vertical="center" wrapText="1"/>
    </xf>
    <xf numFmtId="43" fontId="0" fillId="0" borderId="0" xfId="1" applyFont="1" applyAlignment="1">
      <alignment vertical="center"/>
    </xf>
    <xf numFmtId="0" fontId="25" fillId="0" borderId="0" xfId="15" applyFont="1" applyAlignment="1">
      <alignment vertical="center"/>
    </xf>
    <xf numFmtId="0" fontId="25" fillId="0" borderId="0" xfId="15" applyFont="1" applyAlignment="1">
      <alignment horizontal="center" vertical="center"/>
    </xf>
    <xf numFmtId="0" fontId="25" fillId="0" borderId="0" xfId="15" applyFont="1" applyAlignment="1">
      <alignment horizontal="center" vertical="center" wrapText="1"/>
    </xf>
    <xf numFmtId="2" fontId="25" fillId="0" borderId="0" xfId="15" applyNumberFormat="1" applyFont="1" applyAlignment="1">
      <alignment vertical="center" wrapText="1"/>
    </xf>
    <xf numFmtId="43" fontId="25" fillId="0" borderId="0" xfId="17" applyFont="1" applyAlignment="1">
      <alignment horizontal="center" vertical="center"/>
    </xf>
    <xf numFmtId="43" fontId="25" fillId="0" borderId="0" xfId="17" applyFont="1" applyAlignment="1">
      <alignment vertical="center"/>
    </xf>
    <xf numFmtId="0" fontId="4" fillId="0" borderId="0" xfId="16"/>
    <xf numFmtId="0" fontId="21" fillId="0" borderId="0" xfId="16" applyFont="1"/>
    <xf numFmtId="0" fontId="21" fillId="0" borderId="12" xfId="16" applyFont="1" applyBorder="1" applyAlignment="1">
      <alignment horizontal="center" vertical="center" wrapText="1"/>
    </xf>
    <xf numFmtId="0" fontId="4" fillId="0" borderId="0" xfId="16" applyAlignment="1">
      <alignment vertical="center"/>
    </xf>
    <xf numFmtId="0" fontId="4" fillId="0" borderId="0" xfId="16" applyAlignment="1">
      <alignment vertical="center" wrapText="1"/>
    </xf>
    <xf numFmtId="0" fontId="12" fillId="0" borderId="0" xfId="16" applyFont="1" applyAlignment="1">
      <alignment vertical="center"/>
    </xf>
    <xf numFmtId="0" fontId="12" fillId="0" borderId="58" xfId="16" applyFont="1" applyBorder="1" applyAlignment="1">
      <alignment horizontal="center" vertical="center" wrapText="1"/>
    </xf>
    <xf numFmtId="10" fontId="12" fillId="0" borderId="58" xfId="20" applyNumberFormat="1" applyFont="1" applyBorder="1" applyAlignment="1">
      <alignment horizontal="center" vertical="center" wrapText="1"/>
    </xf>
    <xf numFmtId="43" fontId="12" fillId="0" borderId="58" xfId="21" applyFont="1" applyBorder="1" applyAlignment="1">
      <alignment horizontal="center" vertical="center" wrapText="1"/>
    </xf>
    <xf numFmtId="10" fontId="12" fillId="0" borderId="59" xfId="20" applyNumberFormat="1" applyFont="1" applyBorder="1" applyAlignment="1">
      <alignment horizontal="center" vertical="center" wrapText="1"/>
    </xf>
    <xf numFmtId="10" fontId="12" fillId="0" borderId="62" xfId="20" applyNumberFormat="1" applyFont="1" applyBorder="1" applyAlignment="1">
      <alignment horizontal="center" vertical="center" wrapText="1"/>
    </xf>
    <xf numFmtId="0" fontId="12" fillId="0" borderId="62" xfId="16" applyFont="1" applyBorder="1" applyAlignment="1">
      <alignment horizontal="center" vertical="center" wrapText="1"/>
    </xf>
    <xf numFmtId="0" fontId="12" fillId="0" borderId="63" xfId="21" applyNumberFormat="1" applyFont="1" applyBorder="1" applyAlignment="1">
      <alignment horizontal="center" vertical="center" wrapText="1"/>
    </xf>
    <xf numFmtId="0" fontId="13" fillId="0" borderId="64" xfId="19" applyNumberFormat="1" applyFont="1" applyBorder="1" applyAlignment="1">
      <alignment horizontal="center" vertical="center" wrapText="1"/>
    </xf>
    <xf numFmtId="4" fontId="13" fillId="0" borderId="64" xfId="19" applyNumberFormat="1" applyFont="1" applyBorder="1" applyAlignment="1">
      <alignment horizontal="left" vertical="center" wrapText="1"/>
    </xf>
    <xf numFmtId="4" fontId="13" fillId="0" borderId="64" xfId="19" applyNumberFormat="1" applyFont="1" applyBorder="1" applyAlignment="1">
      <alignment horizontal="center" vertical="center" wrapText="1"/>
    </xf>
    <xf numFmtId="4" fontId="13" fillId="0" borderId="64" xfId="19" applyNumberFormat="1" applyFont="1" applyFill="1" applyBorder="1" applyAlignment="1">
      <alignment horizontal="center" vertical="center"/>
    </xf>
    <xf numFmtId="0" fontId="12" fillId="0" borderId="0" xfId="16" applyFont="1"/>
    <xf numFmtId="1" fontId="26" fillId="5" borderId="50" xfId="16" applyNumberFormat="1" applyFont="1" applyFill="1" applyBorder="1" applyAlignment="1">
      <alignment horizontal="center" vertical="center" wrapText="1"/>
    </xf>
    <xf numFmtId="2" fontId="26" fillId="5" borderId="50" xfId="16" applyNumberFormat="1" applyFont="1" applyFill="1" applyBorder="1" applyAlignment="1">
      <alignment horizontal="left" vertical="center" wrapText="1"/>
    </xf>
    <xf numFmtId="43" fontId="27" fillId="5" borderId="50" xfId="21" applyFont="1" applyFill="1" applyBorder="1" applyAlignment="1">
      <alignment horizontal="center" vertical="center" wrapText="1"/>
    </xf>
    <xf numFmtId="43" fontId="26" fillId="5" borderId="50" xfId="21" applyFont="1" applyFill="1" applyBorder="1" applyAlignment="1">
      <alignment horizontal="center" vertical="center" wrapText="1"/>
    </xf>
    <xf numFmtId="0" fontId="26" fillId="0" borderId="0" xfId="16" applyFont="1"/>
    <xf numFmtId="0" fontId="28" fillId="0" borderId="0" xfId="16" applyFont="1" applyAlignment="1">
      <alignment horizontal="center" vertical="center"/>
    </xf>
    <xf numFmtId="0" fontId="26" fillId="3" borderId="50" xfId="16" applyFont="1" applyFill="1" applyBorder="1" applyAlignment="1">
      <alignment horizontal="center" vertical="center" wrapText="1"/>
    </xf>
    <xf numFmtId="0" fontId="26" fillId="3" borderId="50" xfId="16" applyFont="1" applyFill="1" applyBorder="1" applyAlignment="1">
      <alignment horizontal="left" vertical="center" wrapText="1"/>
    </xf>
    <xf numFmtId="43" fontId="26" fillId="3" borderId="50" xfId="21" applyFont="1" applyFill="1" applyBorder="1" applyAlignment="1">
      <alignment horizontal="center" vertical="center" wrapText="1"/>
    </xf>
    <xf numFmtId="0" fontId="26" fillId="0" borderId="0" xfId="16" applyFont="1" applyAlignment="1">
      <alignment horizontal="center" vertical="center"/>
    </xf>
    <xf numFmtId="0" fontId="28" fillId="0" borderId="50" xfId="16" applyFont="1" applyBorder="1" applyAlignment="1">
      <alignment horizontal="center" vertical="center" wrapText="1"/>
    </xf>
    <xf numFmtId="0" fontId="28" fillId="0" borderId="50" xfId="16" applyFont="1" applyBorder="1" applyAlignment="1">
      <alignment horizontal="left" vertical="center" wrapText="1"/>
    </xf>
    <xf numFmtId="43" fontId="26" fillId="0" borderId="50" xfId="21" applyFont="1" applyBorder="1" applyAlignment="1">
      <alignment horizontal="center" vertical="center" wrapText="1"/>
    </xf>
    <xf numFmtId="43" fontId="28" fillId="0" borderId="50" xfId="21" applyFont="1" applyBorder="1" applyAlignment="1">
      <alignment horizontal="center" vertical="center" wrapText="1"/>
    </xf>
    <xf numFmtId="2" fontId="26" fillId="0" borderId="0" xfId="16" applyNumberFormat="1" applyFont="1" applyAlignment="1">
      <alignment vertical="center"/>
    </xf>
    <xf numFmtId="9" fontId="28" fillId="0" borderId="50" xfId="20" applyFont="1" applyBorder="1" applyAlignment="1">
      <alignment horizontal="center" vertical="center" wrapText="1"/>
    </xf>
    <xf numFmtId="0" fontId="26" fillId="0" borderId="50" xfId="16" applyFont="1" applyBorder="1" applyAlignment="1">
      <alignment horizontal="left" vertical="center" wrapText="1"/>
    </xf>
    <xf numFmtId="43" fontId="26" fillId="0" borderId="50" xfId="21" applyFont="1" applyBorder="1" applyAlignment="1">
      <alignment horizontal="center" vertical="center"/>
    </xf>
    <xf numFmtId="43" fontId="26" fillId="0" borderId="0" xfId="16" applyNumberFormat="1" applyFont="1"/>
    <xf numFmtId="43" fontId="26" fillId="0" borderId="50" xfId="21" applyFont="1" applyFill="1" applyBorder="1" applyAlignment="1">
      <alignment horizontal="center" vertical="center" wrapText="1"/>
    </xf>
    <xf numFmtId="43" fontId="28" fillId="0" borderId="50" xfId="21" applyFont="1" applyFill="1" applyBorder="1" applyAlignment="1">
      <alignment horizontal="center" vertical="center" wrapText="1"/>
    </xf>
    <xf numFmtId="9" fontId="28" fillId="0" borderId="50" xfId="20" applyFont="1" applyFill="1" applyBorder="1" applyAlignment="1">
      <alignment horizontal="center" vertical="center" wrapText="1"/>
    </xf>
    <xf numFmtId="43" fontId="28" fillId="0" borderId="0" xfId="21" applyFont="1" applyFill="1" applyBorder="1" applyAlignment="1">
      <alignment horizontal="center" vertical="center" wrapText="1"/>
    </xf>
    <xf numFmtId="0" fontId="13" fillId="0" borderId="0" xfId="16" applyFont="1"/>
    <xf numFmtId="170" fontId="28" fillId="0" borderId="50" xfId="21" applyNumberFormat="1" applyFont="1" applyBorder="1" applyAlignment="1">
      <alignment horizontal="center" vertical="center" wrapText="1"/>
    </xf>
    <xf numFmtId="171" fontId="28" fillId="0" borderId="50" xfId="21" applyNumberFormat="1" applyFont="1" applyFill="1" applyBorder="1" applyAlignment="1">
      <alignment horizontal="center" vertical="center" wrapText="1"/>
    </xf>
    <xf numFmtId="4" fontId="14" fillId="0" borderId="65" xfId="22" applyNumberFormat="1" applyFont="1" applyBorder="1" applyAlignment="1" applyProtection="1">
      <alignment horizontal="right" vertical="center"/>
      <protection hidden="1"/>
    </xf>
    <xf numFmtId="0" fontId="28" fillId="0" borderId="0" xfId="16" applyFont="1"/>
    <xf numFmtId="0" fontId="26" fillId="0" borderId="50" xfId="16" applyFont="1" applyBorder="1" applyAlignment="1">
      <alignment horizontal="center" vertical="center"/>
    </xf>
    <xf numFmtId="43" fontId="26" fillId="0" borderId="50" xfId="21" applyFont="1" applyBorder="1" applyAlignment="1">
      <alignment horizontal="right" vertical="center"/>
    </xf>
    <xf numFmtId="170" fontId="28" fillId="0" borderId="50" xfId="21" applyNumberFormat="1" applyFont="1" applyFill="1" applyBorder="1" applyAlignment="1">
      <alignment horizontal="center" vertical="center" wrapText="1"/>
    </xf>
    <xf numFmtId="169" fontId="28" fillId="0" borderId="50" xfId="21" applyNumberFormat="1" applyFont="1" applyBorder="1" applyAlignment="1">
      <alignment horizontal="center" vertical="center" wrapText="1"/>
    </xf>
    <xf numFmtId="43" fontId="28" fillId="0" borderId="66" xfId="21" applyFont="1" applyBorder="1" applyAlignment="1">
      <alignment horizontal="center" vertical="center" wrapText="1"/>
    </xf>
    <xf numFmtId="169" fontId="28" fillId="0" borderId="50" xfId="21" applyNumberFormat="1" applyFont="1" applyFill="1" applyBorder="1" applyAlignment="1">
      <alignment horizontal="center" vertical="center" wrapText="1"/>
    </xf>
    <xf numFmtId="0" fontId="26" fillId="0" borderId="50" xfId="16" applyFont="1" applyBorder="1" applyAlignment="1">
      <alignment horizontal="center" vertical="center" wrapText="1"/>
    </xf>
    <xf numFmtId="43" fontId="26" fillId="0" borderId="66" xfId="21" applyFont="1" applyBorder="1" applyAlignment="1">
      <alignment horizontal="center" vertical="center" wrapText="1"/>
    </xf>
    <xf numFmtId="43" fontId="28" fillId="0" borderId="50" xfId="16" applyNumberFormat="1" applyFont="1" applyBorder="1" applyAlignment="1">
      <alignment horizontal="left" vertical="center" wrapText="1"/>
    </xf>
    <xf numFmtId="43" fontId="26" fillId="0" borderId="50" xfId="16" applyNumberFormat="1" applyFont="1" applyBorder="1" applyAlignment="1">
      <alignment horizontal="left" vertical="center" wrapText="1"/>
    </xf>
    <xf numFmtId="43" fontId="28" fillId="0" borderId="66" xfId="21" applyFont="1" applyFill="1" applyBorder="1" applyAlignment="1">
      <alignment horizontal="center" vertical="center" wrapText="1"/>
    </xf>
    <xf numFmtId="43" fontId="26" fillId="0" borderId="66" xfId="21" applyFont="1" applyFill="1" applyBorder="1" applyAlignment="1">
      <alignment horizontal="center" vertical="center" wrapText="1"/>
    </xf>
    <xf numFmtId="43" fontId="28" fillId="0" borderId="50" xfId="21" applyFont="1" applyFill="1" applyBorder="1" applyAlignment="1">
      <alignment horizontal="center" vertical="center"/>
    </xf>
    <xf numFmtId="43" fontId="26" fillId="0" borderId="50" xfId="21" applyFont="1" applyFill="1" applyBorder="1" applyAlignment="1">
      <alignment horizontal="center" vertical="center"/>
    </xf>
    <xf numFmtId="43" fontId="28" fillId="0" borderId="0" xfId="16" applyNumberFormat="1" applyFont="1" applyAlignment="1">
      <alignment horizontal="center" vertical="center"/>
    </xf>
    <xf numFmtId="2" fontId="28" fillId="0" borderId="0" xfId="16" applyNumberFormat="1" applyFont="1" applyAlignment="1">
      <alignment horizontal="center" vertical="center"/>
    </xf>
    <xf numFmtId="43" fontId="26" fillId="4" borderId="50" xfId="21" applyFont="1" applyFill="1" applyBorder="1" applyAlignment="1">
      <alignment horizontal="center" vertical="center"/>
    </xf>
    <xf numFmtId="172" fontId="28" fillId="0" borderId="50" xfId="21" applyNumberFormat="1" applyFont="1" applyBorder="1" applyAlignment="1">
      <alignment horizontal="center" vertical="center" wrapText="1"/>
    </xf>
    <xf numFmtId="43" fontId="28" fillId="0" borderId="50" xfId="21" applyFont="1" applyBorder="1" applyAlignment="1">
      <alignment horizontal="center" vertical="center"/>
    </xf>
    <xf numFmtId="4" fontId="14" fillId="0" borderId="67" xfId="22" applyNumberFormat="1" applyFont="1" applyBorder="1" applyAlignment="1" applyProtection="1">
      <alignment horizontal="right" vertical="center"/>
      <protection hidden="1"/>
    </xf>
    <xf numFmtId="0" fontId="25" fillId="0" borderId="0" xfId="16" applyFont="1" applyAlignment="1">
      <alignment horizontal="center" vertical="center"/>
    </xf>
    <xf numFmtId="0" fontId="25" fillId="0" borderId="0" xfId="16" applyFont="1" applyAlignment="1">
      <alignment horizontal="left" vertical="center" wrapText="1"/>
    </xf>
    <xf numFmtId="0" fontId="25" fillId="0" borderId="0" xfId="16" applyFont="1"/>
    <xf numFmtId="1" fontId="19" fillId="0" borderId="0" xfId="23" applyNumberFormat="1"/>
    <xf numFmtId="0" fontId="19" fillId="0" borderId="0" xfId="23"/>
    <xf numFmtId="173" fontId="24" fillId="0" borderId="0" xfId="23" applyNumberFormat="1" applyFont="1" applyAlignment="1" applyProtection="1">
      <alignment vertical="center"/>
      <protection hidden="1"/>
    </xf>
    <xf numFmtId="173" fontId="24" fillId="0" borderId="0" xfId="23" applyNumberFormat="1" applyFont="1" applyAlignment="1" applyProtection="1">
      <alignment horizontal="center" vertical="center"/>
      <protection hidden="1"/>
    </xf>
    <xf numFmtId="0" fontId="19" fillId="0" borderId="0" xfId="23" applyProtection="1">
      <protection hidden="1"/>
    </xf>
    <xf numFmtId="0" fontId="19" fillId="0" borderId="0" xfId="23" applyAlignment="1" applyProtection="1">
      <alignment wrapText="1"/>
      <protection hidden="1"/>
    </xf>
    <xf numFmtId="0" fontId="17" fillId="0" borderId="0" xfId="23" applyFont="1" applyAlignment="1" applyProtection="1">
      <alignment horizontal="center"/>
      <protection hidden="1"/>
    </xf>
    <xf numFmtId="1" fontId="17" fillId="0" borderId="70" xfId="23" applyNumberFormat="1" applyFont="1" applyBorder="1" applyAlignment="1" applyProtection="1">
      <alignment horizontal="left" vertical="center"/>
      <protection hidden="1"/>
    </xf>
    <xf numFmtId="1" fontId="19" fillId="0" borderId="70" xfId="23" applyNumberFormat="1" applyBorder="1" applyAlignment="1" applyProtection="1">
      <alignment horizontal="center" vertical="center"/>
      <protection hidden="1"/>
    </xf>
    <xf numFmtId="0" fontId="17" fillId="0" borderId="71" xfId="23" applyFont="1" applyBorder="1" applyAlignment="1" applyProtection="1">
      <alignment horizontal="center" vertical="center"/>
      <protection hidden="1"/>
    </xf>
    <xf numFmtId="0" fontId="17" fillId="0" borderId="71" xfId="23" applyFont="1" applyBorder="1" applyAlignment="1" applyProtection="1">
      <alignment horizontal="center" vertical="center" wrapText="1"/>
      <protection hidden="1"/>
    </xf>
    <xf numFmtId="2" fontId="17" fillId="0" borderId="71" xfId="23" applyNumberFormat="1" applyFont="1" applyBorder="1" applyAlignment="1" applyProtection="1">
      <alignment horizontal="center" vertical="center" wrapText="1"/>
      <protection hidden="1"/>
    </xf>
    <xf numFmtId="2" fontId="17" fillId="0" borderId="71" xfId="23" applyNumberFormat="1" applyFont="1" applyBorder="1" applyAlignment="1" applyProtection="1">
      <alignment horizontal="center" vertical="center"/>
      <protection hidden="1"/>
    </xf>
    <xf numFmtId="2" fontId="17" fillId="0" borderId="72" xfId="23" applyNumberFormat="1" applyFont="1" applyBorder="1" applyAlignment="1" applyProtection="1">
      <alignment horizontal="center" vertical="center" wrapText="1"/>
      <protection hidden="1"/>
    </xf>
    <xf numFmtId="174" fontId="17" fillId="0" borderId="72" xfId="23" applyNumberFormat="1" applyFont="1" applyBorder="1" applyAlignment="1" applyProtection="1">
      <alignment horizontal="center" vertical="center" wrapText="1"/>
      <protection hidden="1"/>
    </xf>
    <xf numFmtId="174" fontId="17" fillId="0" borderId="12" xfId="23" applyNumberFormat="1" applyFont="1" applyBorder="1" applyAlignment="1" applyProtection="1">
      <alignment horizontal="center" vertical="center" wrapText="1"/>
      <protection hidden="1"/>
    </xf>
    <xf numFmtId="0" fontId="17" fillId="0" borderId="70" xfId="23" applyFont="1" applyBorder="1" applyAlignment="1" applyProtection="1">
      <alignment horizontal="center" vertical="center" wrapText="1"/>
      <protection hidden="1"/>
    </xf>
    <xf numFmtId="0" fontId="17" fillId="0" borderId="70" xfId="23" applyFont="1" applyBorder="1" applyAlignment="1" applyProtection="1">
      <alignment horizontal="center" vertical="center"/>
      <protection hidden="1"/>
    </xf>
    <xf numFmtId="0" fontId="17" fillId="0" borderId="71" xfId="23" applyFont="1" applyBorder="1" applyAlignment="1" applyProtection="1">
      <alignment vertical="center" wrapText="1"/>
      <protection hidden="1"/>
    </xf>
    <xf numFmtId="0" fontId="17" fillId="0" borderId="70" xfId="23" applyFont="1" applyBorder="1" applyAlignment="1" applyProtection="1">
      <alignment vertical="center"/>
      <protection hidden="1"/>
    </xf>
    <xf numFmtId="0" fontId="17" fillId="0" borderId="12" xfId="23" applyFont="1" applyBorder="1" applyAlignment="1" applyProtection="1">
      <alignment horizontal="center" vertical="center"/>
      <protection hidden="1"/>
    </xf>
    <xf numFmtId="0" fontId="17" fillId="0" borderId="72" xfId="23" applyFont="1" applyBorder="1" applyAlignment="1" applyProtection="1">
      <alignment horizontal="center" vertical="center"/>
      <protection hidden="1"/>
    </xf>
    <xf numFmtId="0" fontId="17" fillId="0" borderId="54" xfId="23" applyFont="1" applyBorder="1" applyAlignment="1" applyProtection="1">
      <alignment horizontal="center" vertical="center"/>
      <protection hidden="1"/>
    </xf>
    <xf numFmtId="0" fontId="17" fillId="0" borderId="48" xfId="23" applyFont="1" applyBorder="1" applyAlignment="1" applyProtection="1">
      <alignment horizontal="center" vertical="center"/>
      <protection hidden="1"/>
    </xf>
    <xf numFmtId="0" fontId="17" fillId="0" borderId="71" xfId="23" applyFont="1" applyBorder="1" applyAlignment="1" applyProtection="1">
      <alignment vertical="center"/>
      <protection hidden="1"/>
    </xf>
    <xf numFmtId="0" fontId="17" fillId="0" borderId="0" xfId="23" applyFont="1" applyAlignment="1" applyProtection="1">
      <alignment horizontal="center" vertical="center"/>
      <protection hidden="1"/>
    </xf>
    <xf numFmtId="0" fontId="17" fillId="0" borderId="44" xfId="23" applyFont="1" applyBorder="1" applyAlignment="1" applyProtection="1">
      <alignment horizontal="center" vertical="center" wrapText="1"/>
      <protection hidden="1"/>
    </xf>
    <xf numFmtId="0" fontId="19" fillId="0" borderId="0" xfId="23" applyAlignment="1">
      <alignment vertical="center"/>
    </xf>
    <xf numFmtId="0" fontId="19" fillId="0" borderId="12" xfId="23" applyBorder="1"/>
    <xf numFmtId="1" fontId="19" fillId="0" borderId="70" xfId="23" applyNumberFormat="1" applyBorder="1" applyAlignment="1" applyProtection="1">
      <alignment horizontal="center"/>
      <protection hidden="1"/>
    </xf>
    <xf numFmtId="175" fontId="17" fillId="0" borderId="71" xfId="24" applyNumberFormat="1" applyFont="1" applyFill="1" applyBorder="1" applyAlignment="1" applyProtection="1">
      <alignment horizontal="center" vertical="center"/>
      <protection hidden="1"/>
    </xf>
    <xf numFmtId="0" fontId="17" fillId="0" borderId="71" xfId="23" applyFont="1" applyBorder="1" applyAlignment="1" applyProtection="1">
      <alignment horizontal="center"/>
      <protection hidden="1"/>
    </xf>
    <xf numFmtId="2" fontId="17" fillId="0" borderId="71" xfId="23" applyNumberFormat="1" applyFont="1" applyBorder="1" applyAlignment="1" applyProtection="1">
      <alignment horizontal="center" wrapText="1"/>
      <protection hidden="1"/>
    </xf>
    <xf numFmtId="2" fontId="17" fillId="0" borderId="71" xfId="23" applyNumberFormat="1" applyFont="1" applyBorder="1" applyAlignment="1" applyProtection="1">
      <alignment horizontal="center"/>
      <protection hidden="1"/>
    </xf>
    <xf numFmtId="2" fontId="17" fillId="0" borderId="72" xfId="23" applyNumberFormat="1" applyFont="1" applyBorder="1" applyAlignment="1" applyProtection="1">
      <alignment horizontal="center"/>
      <protection hidden="1"/>
    </xf>
    <xf numFmtId="174" fontId="17" fillId="0" borderId="72" xfId="23" applyNumberFormat="1" applyFont="1" applyBorder="1" applyAlignment="1" applyProtection="1">
      <alignment horizontal="center"/>
      <protection hidden="1"/>
    </xf>
    <xf numFmtId="174" fontId="17" fillId="0" borderId="12" xfId="23" applyNumberFormat="1" applyFont="1" applyBorder="1" applyAlignment="1" applyProtection="1">
      <alignment horizontal="center" wrapText="1"/>
      <protection hidden="1"/>
    </xf>
    <xf numFmtId="174" fontId="17" fillId="0" borderId="0" xfId="23" applyNumberFormat="1" applyFont="1" applyAlignment="1" applyProtection="1">
      <alignment horizontal="center" wrapText="1"/>
      <protection hidden="1"/>
    </xf>
    <xf numFmtId="0" fontId="17" fillId="0" borderId="71" xfId="23" applyFont="1" applyBorder="1" applyProtection="1">
      <protection hidden="1"/>
    </xf>
    <xf numFmtId="0" fontId="17" fillId="0" borderId="12" xfId="23" applyFont="1" applyBorder="1" applyAlignment="1" applyProtection="1">
      <alignment horizontal="center"/>
      <protection hidden="1"/>
    </xf>
    <xf numFmtId="0" fontId="17" fillId="0" borderId="73" xfId="23" applyFont="1" applyBorder="1" applyAlignment="1" applyProtection="1">
      <alignment horizontal="center"/>
      <protection hidden="1"/>
    </xf>
    <xf numFmtId="0" fontId="17" fillId="0" borderId="70" xfId="23" applyFont="1" applyBorder="1" applyAlignment="1" applyProtection="1">
      <alignment horizontal="center"/>
      <protection hidden="1"/>
    </xf>
    <xf numFmtId="0" fontId="17" fillId="0" borderId="72" xfId="23" applyFont="1" applyBorder="1" applyAlignment="1" applyProtection="1">
      <alignment horizontal="center"/>
      <protection hidden="1"/>
    </xf>
    <xf numFmtId="0" fontId="17" fillId="0" borderId="47" xfId="23" applyFont="1" applyBorder="1" applyAlignment="1" applyProtection="1">
      <alignment horizontal="center"/>
      <protection hidden="1"/>
    </xf>
    <xf numFmtId="0" fontId="19" fillId="0" borderId="12" xfId="23" applyBorder="1" applyAlignment="1">
      <alignment wrapText="1"/>
    </xf>
    <xf numFmtId="175" fontId="19" fillId="0" borderId="70" xfId="24" applyNumberFormat="1" applyFont="1" applyFill="1" applyBorder="1" applyAlignment="1" applyProtection="1">
      <alignment horizontal="center" vertical="center"/>
      <protection hidden="1"/>
    </xf>
    <xf numFmtId="175" fontId="19" fillId="0" borderId="71" xfId="24" applyNumberFormat="1" applyFont="1" applyFill="1" applyBorder="1" applyAlignment="1" applyProtection="1">
      <alignment horizontal="center" vertical="center"/>
      <protection hidden="1"/>
    </xf>
    <xf numFmtId="165" fontId="19" fillId="0" borderId="71" xfId="24" applyFont="1" applyFill="1" applyBorder="1" applyAlignment="1" applyProtection="1">
      <alignment horizontal="center" vertical="center"/>
      <protection hidden="1"/>
    </xf>
    <xf numFmtId="2" fontId="19" fillId="0" borderId="71" xfId="23" applyNumberFormat="1" applyBorder="1" applyAlignment="1" applyProtection="1">
      <alignment horizontal="center" vertical="center"/>
      <protection hidden="1"/>
    </xf>
    <xf numFmtId="176" fontId="19" fillId="0" borderId="71" xfId="23" applyNumberFormat="1" applyBorder="1" applyAlignment="1" applyProtection="1">
      <alignment horizontal="center" vertical="center"/>
      <protection hidden="1"/>
    </xf>
    <xf numFmtId="12" fontId="19" fillId="0" borderId="71" xfId="23" applyNumberFormat="1" applyBorder="1" applyProtection="1">
      <protection hidden="1"/>
    </xf>
    <xf numFmtId="2" fontId="19" fillId="0" borderId="71" xfId="23" applyNumberFormat="1" applyBorder="1" applyAlignment="1" applyProtection="1">
      <alignment horizontal="center"/>
      <protection hidden="1"/>
    </xf>
    <xf numFmtId="2" fontId="19" fillId="0" borderId="71" xfId="23" applyNumberFormat="1" applyBorder="1" applyAlignment="1" applyProtection="1">
      <alignment horizontal="center" wrapText="1"/>
      <protection hidden="1"/>
    </xf>
    <xf numFmtId="2" fontId="19" fillId="0" borderId="72" xfId="23" applyNumberFormat="1" applyBorder="1" applyAlignment="1" applyProtection="1">
      <alignment horizontal="center" vertical="center"/>
      <protection hidden="1"/>
    </xf>
    <xf numFmtId="176" fontId="19" fillId="0" borderId="72" xfId="23" applyNumberFormat="1" applyBorder="1" applyAlignment="1" applyProtection="1">
      <alignment horizontal="center" vertical="center"/>
      <protection hidden="1"/>
    </xf>
    <xf numFmtId="176" fontId="19" fillId="0" borderId="72" xfId="23" applyNumberFormat="1" applyBorder="1" applyAlignment="1" applyProtection="1">
      <alignment horizontal="center"/>
      <protection hidden="1"/>
    </xf>
    <xf numFmtId="2" fontId="19" fillId="0" borderId="72" xfId="23" applyNumberFormat="1" applyBorder="1" applyAlignment="1" applyProtection="1">
      <alignment horizontal="center"/>
      <protection hidden="1"/>
    </xf>
    <xf numFmtId="2" fontId="19" fillId="0" borderId="12" xfId="23" applyNumberFormat="1" applyBorder="1" applyAlignment="1" applyProtection="1">
      <alignment horizontal="center"/>
      <protection hidden="1"/>
    </xf>
    <xf numFmtId="0" fontId="19" fillId="0" borderId="12" xfId="23" applyBorder="1" applyAlignment="1" applyProtection="1">
      <alignment horizontal="center"/>
      <protection hidden="1"/>
    </xf>
    <xf numFmtId="176" fontId="19" fillId="0" borderId="12" xfId="23" applyNumberFormat="1" applyBorder="1" applyAlignment="1" applyProtection="1">
      <alignment horizontal="center" vertical="center"/>
      <protection hidden="1"/>
    </xf>
    <xf numFmtId="2" fontId="19" fillId="0" borderId="12" xfId="23" applyNumberFormat="1" applyBorder="1" applyAlignment="1" applyProtection="1">
      <alignment horizontal="center" vertical="center"/>
      <protection hidden="1"/>
    </xf>
    <xf numFmtId="176" fontId="19" fillId="0" borderId="71" xfId="23" applyNumberFormat="1" applyBorder="1" applyAlignment="1" applyProtection="1">
      <alignment horizontal="center"/>
      <protection hidden="1"/>
    </xf>
    <xf numFmtId="2" fontId="19" fillId="0" borderId="75" xfId="23" applyNumberFormat="1" applyBorder="1" applyAlignment="1" applyProtection="1">
      <alignment horizontal="center"/>
      <protection hidden="1"/>
    </xf>
    <xf numFmtId="2" fontId="19" fillId="0" borderId="69" xfId="23" applyNumberFormat="1" applyBorder="1" applyAlignment="1" applyProtection="1">
      <alignment horizontal="center"/>
      <protection hidden="1"/>
    </xf>
    <xf numFmtId="2" fontId="19" fillId="0" borderId="76" xfId="23" applyNumberFormat="1" applyBorder="1" applyAlignment="1" applyProtection="1">
      <alignment horizontal="center"/>
      <protection hidden="1"/>
    </xf>
    <xf numFmtId="0" fontId="19" fillId="0" borderId="71" xfId="23" applyBorder="1" applyAlignment="1" applyProtection="1">
      <alignment horizontal="center"/>
      <protection hidden="1"/>
    </xf>
    <xf numFmtId="174" fontId="19" fillId="0" borderId="71" xfId="23" applyNumberFormat="1" applyBorder="1" applyAlignment="1" applyProtection="1">
      <alignment horizontal="center"/>
      <protection hidden="1"/>
    </xf>
    <xf numFmtId="0" fontId="19" fillId="0" borderId="0" xfId="23" applyAlignment="1" applyProtection="1">
      <alignment horizontal="center"/>
      <protection hidden="1"/>
    </xf>
    <xf numFmtId="177" fontId="19" fillId="0" borderId="0" xfId="23" applyNumberFormat="1" applyAlignment="1" applyProtection="1">
      <alignment horizontal="center"/>
      <protection hidden="1"/>
    </xf>
    <xf numFmtId="177" fontId="19" fillId="0" borderId="12" xfId="23" applyNumberFormat="1" applyBorder="1" applyAlignment="1" applyProtection="1">
      <alignment horizontal="center"/>
      <protection hidden="1"/>
    </xf>
    <xf numFmtId="43" fontId="19" fillId="0" borderId="71" xfId="23" applyNumberFormat="1" applyBorder="1" applyAlignment="1" applyProtection="1">
      <alignment horizontal="center" vertical="center"/>
      <protection hidden="1"/>
    </xf>
    <xf numFmtId="43" fontId="19" fillId="0" borderId="72" xfId="23" applyNumberFormat="1" applyBorder="1" applyAlignment="1" applyProtection="1">
      <alignment horizontal="center" vertical="center"/>
      <protection hidden="1"/>
    </xf>
    <xf numFmtId="43" fontId="19" fillId="0" borderId="71" xfId="23" applyNumberFormat="1" applyBorder="1" applyAlignment="1" applyProtection="1">
      <alignment horizontal="center"/>
      <protection hidden="1"/>
    </xf>
    <xf numFmtId="0" fontId="17" fillId="0" borderId="0" xfId="23" applyFont="1"/>
    <xf numFmtId="2" fontId="17" fillId="0" borderId="0" xfId="23" applyNumberFormat="1" applyFont="1"/>
    <xf numFmtId="2" fontId="17" fillId="0" borderId="0" xfId="23" applyNumberFormat="1" applyFont="1" applyAlignment="1" applyProtection="1">
      <alignment horizontal="center" wrapText="1"/>
      <protection hidden="1"/>
    </xf>
    <xf numFmtId="43" fontId="17" fillId="0" borderId="0" xfId="23" applyNumberFormat="1" applyFont="1"/>
    <xf numFmtId="165" fontId="17" fillId="0" borderId="77" xfId="25" applyFont="1" applyFill="1" applyBorder="1"/>
    <xf numFmtId="165" fontId="17" fillId="0" borderId="0" xfId="23" applyNumberFormat="1" applyFont="1" applyAlignment="1">
      <alignment horizontal="center"/>
    </xf>
    <xf numFmtId="43" fontId="19" fillId="0" borderId="0" xfId="23" applyNumberFormat="1" applyAlignment="1" applyProtection="1">
      <alignment horizontal="center"/>
      <protection hidden="1"/>
    </xf>
    <xf numFmtId="165" fontId="19" fillId="0" borderId="71" xfId="23" applyNumberFormat="1" applyBorder="1" applyAlignment="1" applyProtection="1">
      <alignment horizontal="center"/>
      <protection hidden="1"/>
    </xf>
    <xf numFmtId="165" fontId="19" fillId="0" borderId="0" xfId="23" applyNumberFormat="1" applyAlignment="1" applyProtection="1">
      <alignment horizontal="center"/>
      <protection hidden="1"/>
    </xf>
    <xf numFmtId="0" fontId="17" fillId="0" borderId="82" xfId="23" applyFont="1" applyBorder="1" applyAlignment="1" applyProtection="1">
      <alignment horizontal="center"/>
      <protection hidden="1"/>
    </xf>
    <xf numFmtId="0" fontId="17" fillId="0" borderId="51" xfId="23" applyFont="1" applyBorder="1" applyAlignment="1" applyProtection="1">
      <alignment horizontal="center"/>
      <protection hidden="1"/>
    </xf>
    <xf numFmtId="0" fontId="17" fillId="0" borderId="83" xfId="23" applyFont="1" applyBorder="1" applyAlignment="1" applyProtection="1">
      <alignment horizontal="center"/>
      <protection hidden="1"/>
    </xf>
    <xf numFmtId="0" fontId="17" fillId="0" borderId="84" xfId="23" applyFont="1" applyBorder="1" applyAlignment="1" applyProtection="1">
      <alignment horizontal="center"/>
      <protection hidden="1"/>
    </xf>
    <xf numFmtId="1" fontId="17" fillId="0" borderId="0" xfId="23" applyNumberFormat="1" applyFont="1" applyAlignment="1" applyProtection="1">
      <alignment horizontal="center"/>
      <protection hidden="1"/>
    </xf>
    <xf numFmtId="0" fontId="17" fillId="0" borderId="0" xfId="23" applyFont="1" applyAlignment="1">
      <alignment wrapText="1"/>
    </xf>
    <xf numFmtId="0" fontId="17" fillId="0" borderId="12" xfId="23" applyFont="1" applyBorder="1"/>
    <xf numFmtId="2" fontId="17" fillId="0" borderId="12" xfId="23" applyNumberFormat="1" applyFont="1" applyBorder="1"/>
    <xf numFmtId="43" fontId="17" fillId="6" borderId="0" xfId="23" applyNumberFormat="1" applyFont="1" applyFill="1" applyAlignment="1" applyProtection="1">
      <alignment horizontal="center"/>
      <protection hidden="1"/>
    </xf>
    <xf numFmtId="2" fontId="17" fillId="0" borderId="52" xfId="23" applyNumberFormat="1" applyFont="1" applyBorder="1"/>
    <xf numFmtId="2" fontId="17" fillId="0" borderId="54" xfId="23" applyNumberFormat="1" applyFont="1" applyBorder="1"/>
    <xf numFmtId="2" fontId="17" fillId="0" borderId="53" xfId="23" applyNumberFormat="1" applyFont="1" applyBorder="1"/>
    <xf numFmtId="43" fontId="17" fillId="6" borderId="0" xfId="23" applyNumberFormat="1" applyFont="1" applyFill="1"/>
    <xf numFmtId="178" fontId="17" fillId="0" borderId="0" xfId="23" applyNumberFormat="1" applyFont="1"/>
    <xf numFmtId="174" fontId="17" fillId="0" borderId="0" xfId="23" applyNumberFormat="1" applyFont="1"/>
    <xf numFmtId="1" fontId="19" fillId="0" borderId="0" xfId="23" applyNumberFormat="1" applyAlignment="1" applyProtection="1">
      <alignment horizontal="center"/>
      <protection hidden="1"/>
    </xf>
    <xf numFmtId="0" fontId="19" fillId="0" borderId="0" xfId="23" applyAlignment="1">
      <alignment wrapText="1"/>
    </xf>
    <xf numFmtId="176" fontId="19" fillId="0" borderId="71" xfId="24" applyNumberFormat="1" applyFont="1" applyFill="1" applyBorder="1" applyAlignment="1" applyProtection="1">
      <alignment horizontal="center" vertical="center"/>
      <protection hidden="1"/>
    </xf>
    <xf numFmtId="43" fontId="17" fillId="0" borderId="0" xfId="23" applyNumberFormat="1" applyFont="1" applyAlignment="1" applyProtection="1">
      <alignment horizontal="center"/>
      <protection hidden="1"/>
    </xf>
    <xf numFmtId="0" fontId="31" fillId="0" borderId="0" xfId="23" applyFont="1"/>
    <xf numFmtId="0" fontId="30" fillId="0" borderId="0" xfId="23" applyFont="1"/>
    <xf numFmtId="0" fontId="19" fillId="0" borderId="0" xfId="16" applyFont="1"/>
    <xf numFmtId="0" fontId="17" fillId="0" borderId="0" xfId="16" applyFont="1" applyAlignment="1">
      <alignment horizontal="center"/>
    </xf>
    <xf numFmtId="0" fontId="30" fillId="0" borderId="0" xfId="16" applyFont="1" applyAlignment="1">
      <alignment horizontal="center" vertical="center"/>
    </xf>
    <xf numFmtId="0" fontId="30" fillId="0" borderId="0" xfId="16" applyFont="1"/>
    <xf numFmtId="0" fontId="17" fillId="0" borderId="0" xfId="16" applyFont="1"/>
    <xf numFmtId="16" fontId="17" fillId="0" borderId="0" xfId="16" applyNumberFormat="1" applyFont="1" applyAlignment="1">
      <alignment horizontal="center"/>
    </xf>
    <xf numFmtId="0" fontId="17" fillId="0" borderId="0" xfId="16" applyFont="1" applyAlignment="1">
      <alignment horizontal="right"/>
    </xf>
    <xf numFmtId="0" fontId="19" fillId="0" borderId="0" xfId="16" applyFont="1" applyAlignment="1">
      <alignment horizontal="right"/>
    </xf>
    <xf numFmtId="49" fontId="32" fillId="7" borderId="12" xfId="16" applyNumberFormat="1" applyFont="1" applyFill="1" applyBorder="1" applyAlignment="1">
      <alignment horizontal="center"/>
    </xf>
    <xf numFmtId="49" fontId="33" fillId="7" borderId="12" xfId="16" applyNumberFormat="1" applyFont="1" applyFill="1" applyBorder="1" applyAlignment="1">
      <alignment horizontal="center"/>
    </xf>
    <xf numFmtId="49" fontId="33" fillId="7" borderId="51" xfId="16" applyNumberFormat="1" applyFont="1" applyFill="1" applyBorder="1" applyAlignment="1">
      <alignment horizontal="center"/>
    </xf>
    <xf numFmtId="49" fontId="32" fillId="7" borderId="51" xfId="16" applyNumberFormat="1" applyFont="1" applyFill="1" applyBorder="1" applyAlignment="1">
      <alignment horizontal="center"/>
    </xf>
    <xf numFmtId="0" fontId="19" fillId="0" borderId="12" xfId="16" applyFont="1" applyBorder="1"/>
    <xf numFmtId="0" fontId="19" fillId="0" borderId="12" xfId="16" applyFont="1" applyBorder="1" applyAlignment="1">
      <alignment horizontal="center" vertical="center"/>
    </xf>
    <xf numFmtId="174" fontId="19" fillId="0" borderId="12" xfId="16" applyNumberFormat="1" applyFont="1" applyBorder="1" applyAlignment="1">
      <alignment horizontal="center" vertical="center"/>
    </xf>
    <xf numFmtId="2" fontId="19" fillId="0" borderId="12" xfId="16" applyNumberFormat="1" applyFont="1" applyBorder="1" applyAlignment="1">
      <alignment horizontal="center" vertical="center"/>
    </xf>
    <xf numFmtId="0" fontId="19" fillId="0" borderId="12" xfId="16" applyFont="1" applyBorder="1" applyAlignment="1">
      <alignment horizontal="left" vertical="center"/>
    </xf>
    <xf numFmtId="0" fontId="19" fillId="0" borderId="12" xfId="16" applyFont="1" applyBorder="1" applyAlignment="1">
      <alignment horizontal="center"/>
    </xf>
    <xf numFmtId="2" fontId="19" fillId="0" borderId="0" xfId="16" applyNumberFormat="1" applyFont="1"/>
    <xf numFmtId="49" fontId="19" fillId="7" borderId="51" xfId="16" applyNumberFormat="1" applyFont="1" applyFill="1" applyBorder="1" applyAlignment="1">
      <alignment horizontal="center"/>
    </xf>
    <xf numFmtId="49" fontId="30" fillId="7" borderId="51" xfId="16" applyNumberFormat="1" applyFont="1" applyFill="1" applyBorder="1" applyAlignment="1">
      <alignment horizontal="center"/>
    </xf>
    <xf numFmtId="2" fontId="19" fillId="4" borderId="0" xfId="16" applyNumberFormat="1" applyFont="1" applyFill="1" applyAlignment="1">
      <alignment horizontal="center" vertical="center"/>
    </xf>
    <xf numFmtId="174" fontId="19" fillId="0" borderId="0" xfId="16" applyNumberFormat="1" applyFont="1"/>
    <xf numFmtId="0" fontId="26" fillId="0" borderId="50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center" vertical="center"/>
    </xf>
    <xf numFmtId="0" fontId="28" fillId="0" borderId="50" xfId="0" applyFont="1" applyBorder="1" applyAlignment="1">
      <alignment horizontal="left" vertical="center" wrapText="1"/>
    </xf>
    <xf numFmtId="0" fontId="28" fillId="0" borderId="50" xfId="0" applyFont="1" applyBorder="1" applyAlignment="1">
      <alignment horizontal="center" vertical="center" wrapText="1"/>
    </xf>
    <xf numFmtId="0" fontId="26" fillId="3" borderId="50" xfId="0" applyFont="1" applyFill="1" applyBorder="1" applyAlignment="1">
      <alignment horizontal="left" vertical="center" wrapText="1"/>
    </xf>
    <xf numFmtId="0" fontId="26" fillId="3" borderId="50" xfId="0" applyFont="1" applyFill="1" applyBorder="1" applyAlignment="1">
      <alignment horizontal="center" vertical="center" wrapText="1"/>
    </xf>
    <xf numFmtId="4" fontId="14" fillId="0" borderId="87" xfId="22" applyNumberFormat="1" applyFont="1" applyBorder="1" applyAlignment="1" applyProtection="1">
      <alignment horizontal="right" vertical="center"/>
      <protection hidden="1"/>
    </xf>
    <xf numFmtId="0" fontId="28" fillId="0" borderId="0" xfId="0" applyFont="1" applyAlignment="1">
      <alignment horizontal="center" vertical="center"/>
    </xf>
    <xf numFmtId="2" fontId="26" fillId="5" borderId="50" xfId="0" applyNumberFormat="1" applyFont="1" applyFill="1" applyBorder="1" applyAlignment="1">
      <alignment horizontal="left" vertical="center" wrapText="1"/>
    </xf>
    <xf numFmtId="1" fontId="26" fillId="5" borderId="50" xfId="0" applyNumberFormat="1" applyFont="1" applyFill="1" applyBorder="1" applyAlignment="1">
      <alignment horizontal="center" vertical="center" wrapText="1"/>
    </xf>
    <xf numFmtId="180" fontId="28" fillId="0" borderId="50" xfId="21" applyNumberFormat="1" applyFont="1" applyFill="1" applyBorder="1" applyAlignment="1">
      <alignment horizontal="center" vertical="center" wrapText="1"/>
    </xf>
    <xf numFmtId="43" fontId="28" fillId="0" borderId="88" xfId="21" applyFont="1" applyBorder="1" applyAlignment="1">
      <alignment horizontal="center" vertical="center" wrapText="1"/>
    </xf>
    <xf numFmtId="2" fontId="28" fillId="0" borderId="50" xfId="0" applyNumberFormat="1" applyFont="1" applyBorder="1" applyAlignment="1">
      <alignment horizontal="right" vertical="center" wrapText="1"/>
    </xf>
    <xf numFmtId="43" fontId="26" fillId="3" borderId="88" xfId="21" applyFont="1" applyFill="1" applyBorder="1" applyAlignment="1">
      <alignment horizontal="center" vertical="center" wrapText="1"/>
    </xf>
    <xf numFmtId="43" fontId="26" fillId="0" borderId="88" xfId="21" applyFont="1" applyBorder="1" applyAlignment="1">
      <alignment horizontal="center" vertical="center" wrapText="1"/>
    </xf>
    <xf numFmtId="165" fontId="13" fillId="0" borderId="50" xfId="19" applyFont="1" applyBorder="1" applyAlignment="1">
      <alignment horizontal="center" vertical="center"/>
    </xf>
    <xf numFmtId="43" fontId="28" fillId="0" borderId="89" xfId="21" applyFont="1" applyFill="1" applyBorder="1" applyAlignment="1">
      <alignment horizontal="center" vertical="center" wrapText="1"/>
    </xf>
    <xf numFmtId="43" fontId="26" fillId="0" borderId="89" xfId="21" applyFont="1" applyFill="1" applyBorder="1" applyAlignment="1">
      <alignment horizontal="center" vertical="center" wrapText="1"/>
    </xf>
    <xf numFmtId="0" fontId="26" fillId="0" borderId="50" xfId="0" applyFont="1" applyBorder="1" applyAlignment="1">
      <alignment horizontal="center" vertical="center" wrapText="1"/>
    </xf>
    <xf numFmtId="43" fontId="28" fillId="0" borderId="50" xfId="0" applyNumberFormat="1" applyFont="1" applyBorder="1" applyAlignment="1">
      <alignment horizontal="left" vertical="center" wrapText="1"/>
    </xf>
    <xf numFmtId="43" fontId="28" fillId="0" borderId="89" xfId="21" applyFont="1" applyBorder="1" applyAlignment="1">
      <alignment horizontal="center" vertical="center" wrapText="1"/>
    </xf>
    <xf numFmtId="43" fontId="26" fillId="0" borderId="89" xfId="21" applyFont="1" applyBorder="1" applyAlignment="1">
      <alignment horizontal="center" vertical="center" wrapText="1"/>
    </xf>
    <xf numFmtId="43" fontId="34" fillId="0" borderId="50" xfId="21" applyFont="1" applyFill="1" applyBorder="1" applyAlignment="1">
      <alignment horizontal="center" vertical="center" wrapText="1"/>
    </xf>
    <xf numFmtId="43" fontId="34" fillId="0" borderId="89" xfId="21" applyFont="1" applyFill="1" applyBorder="1" applyAlignment="1">
      <alignment horizontal="center" vertical="center" wrapText="1"/>
    </xf>
    <xf numFmtId="43" fontId="35" fillId="0" borderId="50" xfId="21" applyFont="1" applyFill="1" applyBorder="1" applyAlignment="1">
      <alignment horizontal="center" vertical="center" wrapText="1"/>
    </xf>
    <xf numFmtId="0" fontId="34" fillId="0" borderId="50" xfId="0" applyFont="1" applyBorder="1" applyAlignment="1">
      <alignment horizontal="left" vertical="center" wrapText="1"/>
    </xf>
    <xf numFmtId="0" fontId="34" fillId="0" borderId="50" xfId="0" applyFont="1" applyBorder="1" applyAlignment="1">
      <alignment horizontal="center" vertical="center" wrapText="1"/>
    </xf>
    <xf numFmtId="43" fontId="26" fillId="0" borderId="50" xfId="0" applyNumberFormat="1" applyFont="1" applyBorder="1" applyAlignment="1">
      <alignment horizontal="left" vertical="center" wrapText="1"/>
    </xf>
    <xf numFmtId="0" fontId="26" fillId="5" borderId="50" xfId="0" applyFont="1" applyFill="1" applyBorder="1" applyAlignment="1">
      <alignment horizontal="left" vertical="center" wrapText="1"/>
    </xf>
    <xf numFmtId="0" fontId="26" fillId="5" borderId="50" xfId="0" applyFont="1" applyFill="1" applyBorder="1" applyAlignment="1">
      <alignment horizontal="center" vertical="center" wrapText="1"/>
    </xf>
    <xf numFmtId="43" fontId="28" fillId="0" borderId="87" xfId="21" applyFont="1" applyBorder="1" applyAlignment="1">
      <alignment horizontal="center" vertical="center" wrapText="1"/>
    </xf>
    <xf numFmtId="43" fontId="26" fillId="8" borderId="50" xfId="21" applyFont="1" applyFill="1" applyBorder="1" applyAlignment="1">
      <alignment horizontal="center" vertical="center" wrapText="1"/>
    </xf>
    <xf numFmtId="0" fontId="26" fillId="8" borderId="50" xfId="0" applyFont="1" applyFill="1" applyBorder="1" applyAlignment="1">
      <alignment horizontal="left" vertical="center" wrapText="1"/>
    </xf>
    <xf numFmtId="0" fontId="26" fillId="8" borderId="50" xfId="0" applyFont="1" applyFill="1" applyBorder="1" applyAlignment="1">
      <alignment horizontal="center" vertical="center" wrapText="1"/>
    </xf>
    <xf numFmtId="0" fontId="30" fillId="9" borderId="0" xfId="23" applyFont="1" applyFill="1"/>
    <xf numFmtId="0" fontId="30" fillId="0" borderId="0" xfId="23" applyFont="1" applyAlignment="1">
      <alignment wrapText="1"/>
    </xf>
    <xf numFmtId="1" fontId="30" fillId="0" borderId="0" xfId="23" applyNumberFormat="1" applyFont="1" applyAlignment="1" applyProtection="1">
      <alignment horizontal="center"/>
      <protection hidden="1"/>
    </xf>
    <xf numFmtId="0" fontId="31" fillId="9" borderId="0" xfId="23" applyFont="1" applyFill="1"/>
    <xf numFmtId="0" fontId="31" fillId="0" borderId="0" xfId="23" applyFont="1" applyAlignment="1">
      <alignment wrapText="1"/>
    </xf>
    <xf numFmtId="1" fontId="31" fillId="0" borderId="0" xfId="23" applyNumberFormat="1" applyFont="1" applyAlignment="1" applyProtection="1">
      <alignment horizontal="center"/>
      <protection hidden="1"/>
    </xf>
    <xf numFmtId="176" fontId="17" fillId="0" borderId="0" xfId="23" applyNumberFormat="1" applyFont="1"/>
    <xf numFmtId="43" fontId="19" fillId="0" borderId="0" xfId="23" applyNumberFormat="1" applyAlignment="1" applyProtection="1">
      <alignment horizontal="center" vertical="center" wrapText="1"/>
      <protection hidden="1"/>
    </xf>
    <xf numFmtId="177" fontId="19" fillId="0" borderId="12" xfId="23" applyNumberFormat="1" applyBorder="1" applyAlignment="1" applyProtection="1">
      <alignment horizontal="center" vertical="center"/>
      <protection hidden="1"/>
    </xf>
    <xf numFmtId="0" fontId="19" fillId="0" borderId="12" xfId="23" applyBorder="1" applyAlignment="1" applyProtection="1">
      <alignment horizontal="center" vertical="center"/>
      <protection hidden="1"/>
    </xf>
    <xf numFmtId="174" fontId="19" fillId="0" borderId="72" xfId="23" applyNumberFormat="1" applyBorder="1" applyAlignment="1" applyProtection="1">
      <alignment horizontal="center" vertical="center"/>
      <protection hidden="1"/>
    </xf>
    <xf numFmtId="0" fontId="19" fillId="0" borderId="71" xfId="23" applyBorder="1" applyAlignment="1" applyProtection="1">
      <alignment horizontal="center" vertical="center"/>
      <protection hidden="1"/>
    </xf>
    <xf numFmtId="2" fontId="19" fillId="0" borderId="76" xfId="23" applyNumberFormat="1" applyBorder="1" applyAlignment="1" applyProtection="1">
      <alignment horizontal="center" vertical="center"/>
      <protection hidden="1"/>
    </xf>
    <xf numFmtId="2" fontId="19" fillId="0" borderId="69" xfId="23" applyNumberFormat="1" applyBorder="1" applyAlignment="1" applyProtection="1">
      <alignment horizontal="center" vertical="center"/>
      <protection hidden="1"/>
    </xf>
    <xf numFmtId="2" fontId="19" fillId="0" borderId="75" xfId="23" applyNumberFormat="1" applyBorder="1" applyAlignment="1" applyProtection="1">
      <alignment horizontal="center" vertical="center"/>
      <protection hidden="1"/>
    </xf>
    <xf numFmtId="2" fontId="19" fillId="0" borderId="71" xfId="23" applyNumberFormat="1" applyBorder="1" applyAlignment="1" applyProtection="1">
      <alignment horizontal="center" vertical="center" wrapText="1"/>
      <protection hidden="1"/>
    </xf>
    <xf numFmtId="12" fontId="19" fillId="0" borderId="71" xfId="23" applyNumberFormat="1" applyBorder="1" applyAlignment="1" applyProtection="1">
      <alignment vertical="center"/>
      <protection hidden="1"/>
    </xf>
    <xf numFmtId="0" fontId="17" fillId="0" borderId="90" xfId="23" applyFont="1" applyBorder="1" applyAlignment="1" applyProtection="1">
      <alignment horizontal="center" vertical="center"/>
      <protection hidden="1"/>
    </xf>
    <xf numFmtId="0" fontId="17" fillId="0" borderId="95" xfId="23" applyFont="1" applyBorder="1" applyAlignment="1" applyProtection="1">
      <alignment horizontal="center" vertical="center"/>
      <protection hidden="1"/>
    </xf>
    <xf numFmtId="0" fontId="17" fillId="0" borderId="96" xfId="23" applyFont="1" applyBorder="1" applyAlignment="1" applyProtection="1">
      <alignment horizontal="center" vertical="center" wrapText="1"/>
      <protection hidden="1"/>
    </xf>
    <xf numFmtId="0" fontId="17" fillId="0" borderId="96" xfId="23" applyFont="1" applyBorder="1" applyAlignment="1" applyProtection="1">
      <alignment horizontal="center" vertical="center"/>
      <protection hidden="1"/>
    </xf>
    <xf numFmtId="0" fontId="17" fillId="0" borderId="95" xfId="23" applyFont="1" applyBorder="1" applyAlignment="1" applyProtection="1">
      <alignment horizontal="center" vertical="center" wrapText="1"/>
      <protection hidden="1"/>
    </xf>
    <xf numFmtId="0" fontId="17" fillId="0" borderId="95" xfId="23" applyFont="1" applyBorder="1" applyAlignment="1" applyProtection="1">
      <alignment vertical="center"/>
      <protection hidden="1"/>
    </xf>
    <xf numFmtId="0" fontId="17" fillId="0" borderId="96" xfId="23" applyFont="1" applyBorder="1" applyAlignment="1" applyProtection="1">
      <alignment vertical="center" wrapText="1"/>
      <protection hidden="1"/>
    </xf>
    <xf numFmtId="174" fontId="17" fillId="0" borderId="94" xfId="23" applyNumberFormat="1" applyFont="1" applyBorder="1" applyAlignment="1" applyProtection="1">
      <alignment horizontal="center" vertical="center" wrapText="1"/>
      <protection hidden="1"/>
    </xf>
    <xf numFmtId="2" fontId="17" fillId="0" borderId="94" xfId="23" applyNumberFormat="1" applyFont="1" applyBorder="1" applyAlignment="1" applyProtection="1">
      <alignment horizontal="center" vertical="center" wrapText="1"/>
      <protection hidden="1"/>
    </xf>
    <xf numFmtId="2" fontId="17" fillId="0" borderId="96" xfId="23" applyNumberFormat="1" applyFont="1" applyBorder="1" applyAlignment="1" applyProtection="1">
      <alignment horizontal="center" vertical="center"/>
      <protection hidden="1"/>
    </xf>
    <xf numFmtId="2" fontId="17" fillId="0" borderId="96" xfId="23" applyNumberFormat="1" applyFont="1" applyBorder="1" applyAlignment="1" applyProtection="1">
      <alignment horizontal="center" vertical="center" wrapText="1"/>
      <protection hidden="1"/>
    </xf>
    <xf numFmtId="1" fontId="17" fillId="0" borderId="95" xfId="23" applyNumberFormat="1" applyFont="1" applyBorder="1" applyAlignment="1" applyProtection="1">
      <alignment horizontal="center" vertical="center"/>
      <protection hidden="1"/>
    </xf>
    <xf numFmtId="1" fontId="17" fillId="0" borderId="95" xfId="23" applyNumberFormat="1" applyFont="1" applyBorder="1" applyAlignment="1" applyProtection="1">
      <alignment horizontal="left" vertical="center"/>
      <protection hidden="1"/>
    </xf>
    <xf numFmtId="0" fontId="30" fillId="0" borderId="0" xfId="0" applyFont="1"/>
    <xf numFmtId="0" fontId="30" fillId="0" borderId="0" xfId="0" applyFont="1" applyAlignment="1">
      <alignment horizontal="center" vertical="center"/>
    </xf>
    <xf numFmtId="0" fontId="33" fillId="0" borderId="0" xfId="0" applyFont="1"/>
    <xf numFmtId="174" fontId="19" fillId="0" borderId="0" xfId="0" applyNumberFormat="1" applyFont="1"/>
    <xf numFmtId="0" fontId="19" fillId="0" borderId="0" xfId="0" applyFont="1"/>
    <xf numFmtId="2" fontId="30" fillId="4" borderId="0" xfId="0" applyNumberFormat="1" applyFont="1" applyFill="1" applyAlignment="1">
      <alignment horizontal="center" vertical="center"/>
    </xf>
    <xf numFmtId="2" fontId="30" fillId="0" borderId="0" xfId="0" applyNumberFormat="1" applyFont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174" fontId="19" fillId="0" borderId="12" xfId="0" applyNumberFormat="1" applyFont="1" applyBorder="1" applyAlignment="1">
      <alignment horizontal="center" vertical="center"/>
    </xf>
    <xf numFmtId="2" fontId="19" fillId="0" borderId="12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2" fontId="30" fillId="0" borderId="12" xfId="0" applyNumberFormat="1" applyFont="1" applyBorder="1" applyAlignment="1">
      <alignment horizontal="center" vertical="center"/>
    </xf>
    <xf numFmtId="174" fontId="30" fillId="0" borderId="12" xfId="0" applyNumberFormat="1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9" fontId="33" fillId="7" borderId="97" xfId="0" applyNumberFormat="1" applyFont="1" applyFill="1" applyBorder="1" applyAlignment="1">
      <alignment horizontal="center"/>
    </xf>
    <xf numFmtId="49" fontId="33" fillId="7" borderId="12" xfId="0" applyNumberFormat="1" applyFont="1" applyFill="1" applyBorder="1" applyAlignment="1">
      <alignment horizontal="center"/>
    </xf>
    <xf numFmtId="0" fontId="30" fillId="0" borderId="0" xfId="0" applyFont="1" applyAlignment="1">
      <alignment vertical="center" wrapText="1"/>
    </xf>
    <xf numFmtId="49" fontId="33" fillId="7" borderId="12" xfId="0" applyNumberFormat="1" applyFont="1" applyFill="1" applyBorder="1" applyAlignment="1">
      <alignment horizontal="center" vertical="center" wrapText="1"/>
    </xf>
    <xf numFmtId="49" fontId="32" fillId="7" borderId="12" xfId="0" applyNumberFormat="1" applyFont="1" applyFill="1" applyBorder="1" applyAlignment="1">
      <alignment horizontal="center"/>
    </xf>
    <xf numFmtId="0" fontId="32" fillId="0" borderId="0" xfId="0" applyFont="1"/>
    <xf numFmtId="0" fontId="17" fillId="0" borderId="0" xfId="0" applyFont="1"/>
    <xf numFmtId="0" fontId="17" fillId="0" borderId="0" xfId="0" applyFont="1" applyAlignment="1">
      <alignment horizontal="center"/>
    </xf>
    <xf numFmtId="16" fontId="17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31" fillId="0" borderId="0" xfId="0" applyFont="1"/>
    <xf numFmtId="0" fontId="21" fillId="0" borderId="0" xfId="0" applyFont="1"/>
    <xf numFmtId="175" fontId="19" fillId="0" borderId="96" xfId="24" applyNumberFormat="1" applyFont="1" applyFill="1" applyBorder="1" applyAlignment="1" applyProtection="1">
      <alignment horizontal="center" vertical="center"/>
      <protection hidden="1"/>
    </xf>
    <xf numFmtId="176" fontId="19" fillId="0" borderId="96" xfId="24" applyNumberFormat="1" applyFont="1" applyFill="1" applyBorder="1" applyAlignment="1" applyProtection="1">
      <alignment horizontal="center" vertical="center"/>
      <protection hidden="1"/>
    </xf>
    <xf numFmtId="175" fontId="17" fillId="0" borderId="96" xfId="24" applyNumberFormat="1" applyFont="1" applyFill="1" applyBorder="1" applyAlignment="1" applyProtection="1">
      <alignment horizontal="center" vertical="center"/>
      <protection hidden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10" fontId="0" fillId="0" borderId="0" xfId="2" applyNumberFormat="1" applyFont="1"/>
    <xf numFmtId="43" fontId="28" fillId="0" borderId="50" xfId="28" applyFont="1" applyBorder="1" applyAlignment="1">
      <alignment horizontal="center" vertical="center" wrapText="1"/>
    </xf>
    <xf numFmtId="10" fontId="20" fillId="0" borderId="0" xfId="0" applyNumberFormat="1" applyFont="1"/>
    <xf numFmtId="44" fontId="20" fillId="0" borderId="0" xfId="27" applyFont="1"/>
    <xf numFmtId="1" fontId="26" fillId="5" borderId="50" xfId="26" applyNumberFormat="1" applyFont="1" applyFill="1" applyBorder="1" applyAlignment="1">
      <alignment horizontal="center" vertical="center" wrapText="1"/>
    </xf>
    <xf numFmtId="2" fontId="26" fillId="5" borderId="50" xfId="26" applyNumberFormat="1" applyFont="1" applyFill="1" applyBorder="1" applyAlignment="1">
      <alignment horizontal="left" vertical="center" wrapText="1"/>
    </xf>
    <xf numFmtId="43" fontId="27" fillId="5" borderId="50" xfId="28" applyFont="1" applyFill="1" applyBorder="1" applyAlignment="1">
      <alignment horizontal="center" vertical="center" wrapText="1"/>
    </xf>
    <xf numFmtId="43" fontId="26" fillId="5" borderId="50" xfId="28" applyFont="1" applyFill="1" applyBorder="1" applyAlignment="1">
      <alignment horizontal="center" vertical="center" wrapText="1"/>
    </xf>
    <xf numFmtId="0" fontId="26" fillId="0" borderId="0" xfId="26" applyFont="1"/>
    <xf numFmtId="0" fontId="28" fillId="0" borderId="0" xfId="26" applyFont="1" applyAlignment="1">
      <alignment horizontal="center" vertical="center"/>
    </xf>
    <xf numFmtId="0" fontId="26" fillId="3" borderId="50" xfId="26" applyFont="1" applyFill="1" applyBorder="1" applyAlignment="1">
      <alignment horizontal="center" vertical="center" wrapText="1"/>
    </xf>
    <xf numFmtId="0" fontId="26" fillId="3" borderId="50" xfId="26" applyFont="1" applyFill="1" applyBorder="1" applyAlignment="1">
      <alignment horizontal="left" vertical="center" wrapText="1"/>
    </xf>
    <xf numFmtId="43" fontId="26" fillId="3" borderId="50" xfId="28" applyFont="1" applyFill="1" applyBorder="1" applyAlignment="1">
      <alignment horizontal="center" vertical="center" wrapText="1"/>
    </xf>
    <xf numFmtId="0" fontId="26" fillId="0" borderId="0" xfId="26" applyFont="1" applyAlignment="1">
      <alignment horizontal="center" vertical="center"/>
    </xf>
    <xf numFmtId="0" fontId="28" fillId="0" borderId="50" xfId="26" applyFont="1" applyBorder="1" applyAlignment="1">
      <alignment horizontal="center" vertical="center" wrapText="1"/>
    </xf>
    <xf numFmtId="0" fontId="28" fillId="0" borderId="50" xfId="26" applyFont="1" applyBorder="1" applyAlignment="1">
      <alignment horizontal="left" vertical="center" wrapText="1"/>
    </xf>
    <xf numFmtId="43" fontId="26" fillId="0" borderId="50" xfId="28" applyFont="1" applyBorder="1" applyAlignment="1">
      <alignment horizontal="center" vertical="center" wrapText="1"/>
    </xf>
    <xf numFmtId="2" fontId="26" fillId="0" borderId="0" xfId="26" applyNumberFormat="1" applyFont="1" applyAlignment="1">
      <alignment vertical="center"/>
    </xf>
    <xf numFmtId="0" fontId="26" fillId="0" borderId="50" xfId="26" applyFont="1" applyBorder="1" applyAlignment="1">
      <alignment horizontal="left" vertical="center" wrapText="1"/>
    </xf>
    <xf numFmtId="43" fontId="26" fillId="0" borderId="50" xfId="28" applyFont="1" applyBorder="1" applyAlignment="1">
      <alignment horizontal="center" vertical="center"/>
    </xf>
    <xf numFmtId="43" fontId="26" fillId="0" borderId="0" xfId="26" applyNumberFormat="1" applyFont="1"/>
    <xf numFmtId="0" fontId="17" fillId="0" borderId="94" xfId="23" applyFont="1" applyBorder="1" applyAlignment="1" applyProtection="1">
      <alignment horizontal="center" vertical="center"/>
      <protection hidden="1"/>
    </xf>
    <xf numFmtId="0" fontId="21" fillId="0" borderId="12" xfId="16" applyFont="1" applyBorder="1" applyAlignment="1">
      <alignment horizontal="center"/>
    </xf>
    <xf numFmtId="0" fontId="21" fillId="0" borderId="12" xfId="16" applyFont="1" applyBorder="1" applyAlignment="1">
      <alignment horizontal="center" wrapText="1"/>
    </xf>
    <xf numFmtId="0" fontId="21" fillId="0" borderId="0" xfId="16" applyFont="1" applyAlignment="1">
      <alignment horizontal="center"/>
    </xf>
    <xf numFmtId="0" fontId="13" fillId="0" borderId="12" xfId="16" applyFont="1" applyBorder="1" applyAlignment="1">
      <alignment horizontal="center"/>
    </xf>
    <xf numFmtId="0" fontId="13" fillId="0" borderId="12" xfId="16" applyFont="1" applyBorder="1" applyAlignment="1">
      <alignment horizontal="center" wrapText="1"/>
    </xf>
    <xf numFmtId="0" fontId="13" fillId="0" borderId="0" xfId="16" applyFont="1" applyAlignment="1">
      <alignment horizontal="center"/>
    </xf>
    <xf numFmtId="0" fontId="2" fillId="0" borderId="12" xfId="26" applyBorder="1" applyAlignment="1">
      <alignment horizontal="left" vertical="center" wrapText="1"/>
    </xf>
    <xf numFmtId="0" fontId="12" fillId="0" borderId="12" xfId="16" applyFont="1" applyBorder="1"/>
    <xf numFmtId="0" fontId="12" fillId="0" borderId="12" xfId="16" applyFont="1" applyBorder="1" applyAlignment="1">
      <alignment horizontal="center" vertical="center" wrapText="1"/>
    </xf>
    <xf numFmtId="0" fontId="12" fillId="0" borderId="12" xfId="16" applyFont="1" applyBorder="1" applyAlignment="1">
      <alignment wrapText="1"/>
    </xf>
    <xf numFmtId="0" fontId="12" fillId="0" borderId="12" xfId="16" applyFont="1" applyBorder="1" applyAlignment="1">
      <alignment horizontal="center" wrapText="1"/>
    </xf>
    <xf numFmtId="0" fontId="12" fillId="0" borderId="12" xfId="26" applyFont="1" applyBorder="1" applyAlignment="1">
      <alignment horizontal="left" vertical="center" wrapText="1"/>
    </xf>
    <xf numFmtId="0" fontId="13" fillId="0" borderId="12" xfId="26" applyFont="1" applyBorder="1" applyAlignment="1">
      <alignment horizontal="left" vertical="center" wrapText="1"/>
    </xf>
    <xf numFmtId="0" fontId="13" fillId="0" borderId="52" xfId="26" applyFont="1" applyBorder="1" applyAlignment="1">
      <alignment horizontal="center" vertical="center"/>
    </xf>
    <xf numFmtId="0" fontId="12" fillId="0" borderId="0" xfId="16" applyFont="1" applyAlignment="1">
      <alignment wrapText="1"/>
    </xf>
    <xf numFmtId="0" fontId="25" fillId="0" borderId="0" xfId="16" applyFont="1" applyAlignment="1">
      <alignment wrapText="1"/>
    </xf>
    <xf numFmtId="0" fontId="25" fillId="0" borderId="12" xfId="16" applyFont="1" applyBorder="1" applyAlignment="1">
      <alignment horizontal="center" vertical="center" wrapText="1"/>
    </xf>
    <xf numFmtId="0" fontId="25" fillId="0" borderId="12" xfId="16" applyFont="1" applyBorder="1"/>
    <xf numFmtId="0" fontId="25" fillId="0" borderId="12" xfId="16" applyFont="1" applyBorder="1" applyAlignment="1">
      <alignment wrapText="1"/>
    </xf>
    <xf numFmtId="0" fontId="25" fillId="0" borderId="12" xfId="16" applyFont="1" applyBorder="1" applyAlignment="1">
      <alignment horizontal="center" wrapText="1"/>
    </xf>
    <xf numFmtId="0" fontId="4" fillId="0" borderId="12" xfId="16" applyBorder="1"/>
    <xf numFmtId="0" fontId="4" fillId="0" borderId="12" xfId="16" applyBorder="1" applyAlignment="1">
      <alignment wrapText="1"/>
    </xf>
    <xf numFmtId="0" fontId="4" fillId="0" borderId="12" xfId="16" applyBorder="1" applyAlignment="1">
      <alignment horizontal="center" wrapText="1"/>
    </xf>
    <xf numFmtId="0" fontId="4" fillId="0" borderId="0" xfId="16" applyAlignment="1">
      <alignment wrapText="1"/>
    </xf>
    <xf numFmtId="0" fontId="4" fillId="0" borderId="12" xfId="16" applyBorder="1" applyAlignment="1">
      <alignment horizontal="center" vertical="center" wrapText="1"/>
    </xf>
    <xf numFmtId="0" fontId="3" fillId="0" borderId="12" xfId="16" applyFont="1" applyBorder="1"/>
    <xf numFmtId="0" fontId="4" fillId="0" borderId="82" xfId="16" applyBorder="1"/>
    <xf numFmtId="0" fontId="13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12" xfId="0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2" fontId="0" fillId="0" borderId="12" xfId="21" applyNumberFormat="1" applyFont="1" applyFill="1" applyBorder="1"/>
    <xf numFmtId="2" fontId="0" fillId="0" borderId="12" xfId="0" applyNumberFormat="1" applyBorder="1"/>
    <xf numFmtId="173" fontId="37" fillId="0" borderId="0" xfId="23" applyNumberFormat="1" applyFont="1" applyAlignment="1" applyProtection="1">
      <alignment vertical="center"/>
      <protection hidden="1"/>
    </xf>
    <xf numFmtId="0" fontId="19" fillId="0" borderId="0" xfId="23" applyAlignment="1" applyProtection="1">
      <alignment horizontal="center" vertical="center"/>
      <protection hidden="1"/>
    </xf>
    <xf numFmtId="0" fontId="30" fillId="0" borderId="0" xfId="23" applyFont="1" applyAlignment="1" applyProtection="1">
      <alignment wrapText="1"/>
      <protection hidden="1"/>
    </xf>
    <xf numFmtId="0" fontId="17" fillId="0" borderId="55" xfId="23" applyFont="1" applyBorder="1"/>
    <xf numFmtId="0" fontId="17" fillId="0" borderId="12" xfId="23" applyFont="1" applyBorder="1" applyAlignment="1">
      <alignment horizontal="center" wrapText="1"/>
    </xf>
    <xf numFmtId="0" fontId="17" fillId="0" borderId="70" xfId="23" applyFont="1" applyBorder="1" applyAlignment="1" applyProtection="1">
      <alignment vertical="center" wrapText="1"/>
      <protection hidden="1"/>
    </xf>
    <xf numFmtId="0" fontId="17" fillId="0" borderId="72" xfId="23" applyFont="1" applyBorder="1" applyAlignment="1" applyProtection="1">
      <alignment horizontal="center" vertical="center" wrapText="1"/>
      <protection hidden="1"/>
    </xf>
    <xf numFmtId="0" fontId="17" fillId="0" borderId="12" xfId="23" applyFont="1" applyBorder="1" applyAlignment="1" applyProtection="1">
      <alignment horizontal="center" vertical="center" wrapText="1"/>
      <protection hidden="1"/>
    </xf>
    <xf numFmtId="0" fontId="17" fillId="0" borderId="0" xfId="23" applyFont="1" applyAlignment="1" applyProtection="1">
      <alignment vertical="center"/>
      <protection hidden="1"/>
    </xf>
    <xf numFmtId="0" fontId="17" fillId="0" borderId="12" xfId="23" applyFont="1" applyBorder="1" applyAlignment="1">
      <alignment horizontal="center" vertical="center"/>
    </xf>
    <xf numFmtId="0" fontId="17" fillId="0" borderId="12" xfId="23" applyFont="1" applyBorder="1" applyAlignment="1">
      <alignment horizontal="center" vertical="center" wrapText="1"/>
    </xf>
    <xf numFmtId="0" fontId="17" fillId="0" borderId="12" xfId="23" applyFont="1" applyBorder="1" applyAlignment="1">
      <alignment vertical="center"/>
    </xf>
    <xf numFmtId="0" fontId="19" fillId="0" borderId="12" xfId="23" applyBorder="1" applyAlignment="1">
      <alignment vertical="center"/>
    </xf>
    <xf numFmtId="0" fontId="17" fillId="0" borderId="71" xfId="23" applyFont="1" applyBorder="1" applyAlignment="1" applyProtection="1">
      <alignment horizontal="center" wrapText="1"/>
      <protection hidden="1"/>
    </xf>
    <xf numFmtId="0" fontId="17" fillId="0" borderId="72" xfId="23" applyFont="1" applyBorder="1" applyProtection="1">
      <protection hidden="1"/>
    </xf>
    <xf numFmtId="0" fontId="17" fillId="0" borderId="12" xfId="23" applyFont="1" applyBorder="1" applyProtection="1">
      <protection hidden="1"/>
    </xf>
    <xf numFmtId="0" fontId="17" fillId="0" borderId="0" xfId="23" applyFont="1" applyProtection="1">
      <protection hidden="1"/>
    </xf>
    <xf numFmtId="0" fontId="19" fillId="0" borderId="52" xfId="23" applyBorder="1"/>
    <xf numFmtId="176" fontId="19" fillId="0" borderId="96" xfId="23" applyNumberFormat="1" applyBorder="1" applyAlignment="1" applyProtection="1">
      <alignment horizontal="center" vertical="center"/>
      <protection hidden="1"/>
    </xf>
    <xf numFmtId="176" fontId="19" fillId="0" borderId="71" xfId="23" applyNumberFormat="1" applyBorder="1" applyProtection="1">
      <protection hidden="1"/>
    </xf>
    <xf numFmtId="176" fontId="19" fillId="0" borderId="71" xfId="23" applyNumberFormat="1" applyBorder="1" applyAlignment="1" applyProtection="1">
      <alignment horizontal="center" wrapText="1"/>
      <protection hidden="1"/>
    </xf>
    <xf numFmtId="176" fontId="19" fillId="0" borderId="12" xfId="23" applyNumberFormat="1" applyBorder="1" applyAlignment="1" applyProtection="1">
      <alignment horizontal="center"/>
      <protection hidden="1"/>
    </xf>
    <xf numFmtId="176" fontId="19" fillId="0" borderId="0" xfId="23" applyNumberFormat="1" applyAlignment="1" applyProtection="1">
      <alignment horizontal="center" vertical="center"/>
      <protection hidden="1"/>
    </xf>
    <xf numFmtId="176" fontId="19" fillId="0" borderId="75" xfId="23" applyNumberFormat="1" applyBorder="1" applyAlignment="1" applyProtection="1">
      <alignment horizontal="center"/>
      <protection hidden="1"/>
    </xf>
    <xf numFmtId="176" fontId="19" fillId="0" borderId="86" xfId="23" applyNumberFormat="1" applyBorder="1" applyAlignment="1" applyProtection="1">
      <alignment horizontal="center"/>
      <protection hidden="1"/>
    </xf>
    <xf numFmtId="176" fontId="19" fillId="0" borderId="0" xfId="23" applyNumberFormat="1" applyAlignment="1" applyProtection="1">
      <alignment horizontal="center"/>
      <protection hidden="1"/>
    </xf>
    <xf numFmtId="176" fontId="19" fillId="0" borderId="0" xfId="23" applyNumberFormat="1"/>
    <xf numFmtId="176" fontId="19" fillId="0" borderId="12" xfId="23" applyNumberFormat="1" applyBorder="1"/>
    <xf numFmtId="179" fontId="19" fillId="0" borderId="52" xfId="23" applyNumberFormat="1" applyBorder="1"/>
    <xf numFmtId="176" fontId="19" fillId="0" borderId="52" xfId="23" applyNumberFormat="1" applyBorder="1"/>
    <xf numFmtId="179" fontId="17" fillId="0" borderId="70" xfId="23" applyNumberFormat="1" applyFont="1" applyBorder="1" applyAlignment="1" applyProtection="1">
      <alignment horizontal="center" vertical="center" wrapText="1"/>
      <protection hidden="1"/>
    </xf>
    <xf numFmtId="2" fontId="31" fillId="0" borderId="71" xfId="23" applyNumberFormat="1" applyFont="1" applyBorder="1" applyAlignment="1" applyProtection="1">
      <alignment horizontal="center" wrapText="1"/>
      <protection hidden="1"/>
    </xf>
    <xf numFmtId="176" fontId="30" fillId="0" borderId="71" xfId="23" applyNumberFormat="1" applyFont="1" applyBorder="1" applyAlignment="1" applyProtection="1">
      <alignment horizontal="center" wrapText="1"/>
      <protection hidden="1"/>
    </xf>
    <xf numFmtId="0" fontId="17" fillId="0" borderId="0" xfId="23" applyFont="1" applyAlignment="1">
      <alignment horizontal="center" vertical="center"/>
    </xf>
    <xf numFmtId="2" fontId="31" fillId="0" borderId="0" xfId="23" applyNumberFormat="1" applyFont="1" applyAlignment="1" applyProtection="1">
      <alignment horizontal="center" wrapText="1"/>
      <protection hidden="1"/>
    </xf>
    <xf numFmtId="0" fontId="17" fillId="0" borderId="0" xfId="23" applyFont="1" applyAlignment="1">
      <alignment horizontal="center"/>
    </xf>
    <xf numFmtId="0" fontId="30" fillId="0" borderId="0" xfId="23" applyFont="1" applyAlignment="1" applyProtection="1">
      <alignment horizontal="center"/>
      <protection hidden="1"/>
    </xf>
    <xf numFmtId="165" fontId="17" fillId="0" borderId="0" xfId="23" applyNumberFormat="1" applyFont="1" applyAlignment="1" applyProtection="1">
      <alignment horizontal="center" wrapText="1"/>
      <protection hidden="1"/>
    </xf>
    <xf numFmtId="43" fontId="17" fillId="0" borderId="0" xfId="23" applyNumberFormat="1" applyFont="1" applyAlignment="1">
      <alignment wrapText="1"/>
    </xf>
    <xf numFmtId="0" fontId="17" fillId="0" borderId="12" xfId="23" applyFont="1" applyBorder="1" applyAlignment="1">
      <alignment wrapText="1"/>
    </xf>
    <xf numFmtId="0" fontId="17" fillId="0" borderId="97" xfId="23" applyFont="1" applyBorder="1" applyAlignment="1">
      <alignment wrapText="1"/>
    </xf>
    <xf numFmtId="2" fontId="31" fillId="0" borderId="96" xfId="23" applyNumberFormat="1" applyFont="1" applyBorder="1" applyAlignment="1" applyProtection="1">
      <alignment horizontal="center" vertical="center" wrapText="1"/>
      <protection hidden="1"/>
    </xf>
    <xf numFmtId="0" fontId="17" fillId="0" borderId="95" xfId="23" applyFont="1" applyBorder="1" applyAlignment="1" applyProtection="1">
      <alignment vertical="center" wrapText="1"/>
      <protection hidden="1"/>
    </xf>
    <xf numFmtId="0" fontId="17" fillId="0" borderId="94" xfId="23" applyFont="1" applyBorder="1" applyAlignment="1" applyProtection="1">
      <alignment horizontal="center" vertical="center" wrapText="1"/>
      <protection hidden="1"/>
    </xf>
    <xf numFmtId="0" fontId="19" fillId="0" borderId="52" xfId="23" applyBorder="1" applyAlignment="1">
      <alignment vertical="center"/>
    </xf>
    <xf numFmtId="0" fontId="21" fillId="0" borderId="12" xfId="0" applyFont="1" applyBorder="1" applyAlignment="1">
      <alignment horizontal="center"/>
    </xf>
    <xf numFmtId="0" fontId="17" fillId="0" borderId="96" xfId="23" applyFont="1" applyBorder="1" applyAlignment="1" applyProtection="1">
      <alignment horizontal="center"/>
      <protection hidden="1"/>
    </xf>
    <xf numFmtId="2" fontId="17" fillId="0" borderId="96" xfId="23" applyNumberFormat="1" applyFont="1" applyBorder="1" applyAlignment="1" applyProtection="1">
      <alignment horizontal="center" wrapText="1"/>
      <protection hidden="1"/>
    </xf>
    <xf numFmtId="2" fontId="17" fillId="0" borderId="96" xfId="23" applyNumberFormat="1" applyFont="1" applyBorder="1" applyAlignment="1" applyProtection="1">
      <alignment horizontal="center"/>
      <protection hidden="1"/>
    </xf>
    <xf numFmtId="2" fontId="31" fillId="0" borderId="96" xfId="23" applyNumberFormat="1" applyFont="1" applyBorder="1" applyAlignment="1" applyProtection="1">
      <alignment horizontal="center" wrapText="1"/>
      <protection hidden="1"/>
    </xf>
    <xf numFmtId="2" fontId="17" fillId="0" borderId="94" xfId="23" applyNumberFormat="1" applyFont="1" applyBorder="1" applyAlignment="1" applyProtection="1">
      <alignment horizontal="center"/>
      <protection hidden="1"/>
    </xf>
    <xf numFmtId="174" fontId="17" fillId="0" borderId="94" xfId="23" applyNumberFormat="1" applyFont="1" applyBorder="1" applyAlignment="1" applyProtection="1">
      <alignment horizontal="center"/>
      <protection hidden="1"/>
    </xf>
    <xf numFmtId="0" fontId="17" fillId="0" borderId="96" xfId="23" applyFont="1" applyBorder="1" applyAlignment="1" applyProtection="1">
      <alignment horizontal="center" wrapText="1"/>
      <protection hidden="1"/>
    </xf>
    <xf numFmtId="0" fontId="17" fillId="0" borderId="94" xfId="23" applyFont="1" applyBorder="1" applyAlignment="1" applyProtection="1">
      <alignment horizontal="center"/>
      <protection hidden="1"/>
    </xf>
    <xf numFmtId="0" fontId="17" fillId="0" borderId="94" xfId="23" applyFont="1" applyBorder="1" applyProtection="1">
      <protection hidden="1"/>
    </xf>
    <xf numFmtId="176" fontId="19" fillId="0" borderId="96" xfId="23" applyNumberFormat="1" applyBorder="1" applyProtection="1">
      <protection hidden="1"/>
    </xf>
    <xf numFmtId="176" fontId="19" fillId="0" borderId="96" xfId="23" applyNumberFormat="1" applyBorder="1" applyAlignment="1" applyProtection="1">
      <alignment horizontal="center"/>
      <protection hidden="1"/>
    </xf>
    <xf numFmtId="176" fontId="19" fillId="0" borderId="96" xfId="23" applyNumberFormat="1" applyBorder="1" applyAlignment="1" applyProtection="1">
      <alignment horizontal="center" wrapText="1"/>
      <protection hidden="1"/>
    </xf>
    <xf numFmtId="2" fontId="30" fillId="0" borderId="96" xfId="23" applyNumberFormat="1" applyFont="1" applyBorder="1" applyAlignment="1" applyProtection="1">
      <alignment horizontal="center" vertical="center" wrapText="1"/>
      <protection hidden="1"/>
    </xf>
    <xf numFmtId="176" fontId="30" fillId="0" borderId="96" xfId="23" applyNumberFormat="1" applyFont="1" applyBorder="1" applyAlignment="1" applyProtection="1">
      <alignment horizontal="center" wrapText="1"/>
      <protection hidden="1"/>
    </xf>
    <xf numFmtId="176" fontId="19" fillId="0" borderId="94" xfId="23" applyNumberFormat="1" applyBorder="1" applyAlignment="1" applyProtection="1">
      <alignment horizontal="center" vertical="center"/>
      <protection hidden="1"/>
    </xf>
    <xf numFmtId="176" fontId="19" fillId="0" borderId="94" xfId="23" applyNumberFormat="1" applyBorder="1" applyAlignment="1" applyProtection="1">
      <alignment horizontal="center"/>
      <protection hidden="1"/>
    </xf>
    <xf numFmtId="179" fontId="17" fillId="0" borderId="95" xfId="23" applyNumberFormat="1" applyFont="1" applyBorder="1" applyAlignment="1" applyProtection="1">
      <alignment horizontal="center" vertical="center" wrapText="1"/>
      <protection hidden="1"/>
    </xf>
    <xf numFmtId="0" fontId="17" fillId="0" borderId="96" xfId="23" applyFont="1" applyBorder="1" applyProtection="1">
      <protection hidden="1"/>
    </xf>
    <xf numFmtId="2" fontId="30" fillId="0" borderId="96" xfId="23" applyNumberFormat="1" applyFont="1" applyBorder="1" applyAlignment="1" applyProtection="1">
      <alignment horizontal="center" wrapText="1"/>
      <protection hidden="1"/>
    </xf>
    <xf numFmtId="43" fontId="19" fillId="0" borderId="96" xfId="23" applyNumberFormat="1" applyBorder="1" applyAlignment="1" applyProtection="1">
      <alignment horizontal="center"/>
      <protection hidden="1"/>
    </xf>
    <xf numFmtId="165" fontId="19" fillId="0" borderId="96" xfId="23" applyNumberFormat="1" applyBorder="1" applyAlignment="1" applyProtection="1">
      <alignment horizontal="center"/>
      <protection hidden="1"/>
    </xf>
    <xf numFmtId="0" fontId="19" fillId="0" borderId="0" xfId="23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7" fillId="0" borderId="10" xfId="0" applyFont="1" applyBorder="1" applyAlignment="1">
      <alignment horizontal="left" vertical="center" wrapText="1"/>
    </xf>
    <xf numFmtId="43" fontId="18" fillId="0" borderId="0" xfId="1" applyFont="1" applyAlignment="1">
      <alignment vertical="center"/>
    </xf>
    <xf numFmtId="43" fontId="18" fillId="0" borderId="0" xfId="1" applyFont="1" applyFill="1" applyAlignment="1">
      <alignment vertical="center"/>
    </xf>
    <xf numFmtId="0" fontId="10" fillId="0" borderId="1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vertical="top" wrapText="1"/>
    </xf>
    <xf numFmtId="167" fontId="10" fillId="0" borderId="10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43" fontId="0" fillId="0" borderId="0" xfId="1" applyFont="1" applyFill="1" applyAlignment="1">
      <alignment vertical="center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0" xfId="0" applyFont="1" applyBorder="1" applyAlignment="1">
      <alignment horizontal="center" vertical="top" wrapText="1"/>
    </xf>
    <xf numFmtId="10" fontId="17" fillId="0" borderId="10" xfId="2" applyNumberFormat="1" applyFont="1" applyBorder="1" applyAlignment="1">
      <alignment horizontal="right" vertical="center" wrapText="1"/>
    </xf>
    <xf numFmtId="10" fontId="19" fillId="0" borderId="10" xfId="2" applyNumberFormat="1" applyFont="1" applyBorder="1" applyAlignment="1">
      <alignment horizontal="right" vertical="center" wrapText="1"/>
    </xf>
    <xf numFmtId="10" fontId="6" fillId="2" borderId="0" xfId="0" applyNumberFormat="1" applyFont="1" applyFill="1" applyAlignment="1">
      <alignment vertical="top" wrapText="1"/>
    </xf>
    <xf numFmtId="10" fontId="6" fillId="2" borderId="0" xfId="0" applyNumberFormat="1" applyFont="1" applyFill="1" applyAlignment="1">
      <alignment horizontal="left" vertical="top" wrapText="1"/>
    </xf>
    <xf numFmtId="10" fontId="6" fillId="2" borderId="0" xfId="0" applyNumberFormat="1" applyFont="1" applyFill="1" applyAlignment="1">
      <alignment vertical="top"/>
    </xf>
    <xf numFmtId="0" fontId="15" fillId="0" borderId="0" xfId="4" applyNumberFormat="1" applyFont="1" applyFill="1" applyAlignment="1">
      <alignment vertical="center" wrapText="1"/>
    </xf>
    <xf numFmtId="0" fontId="9" fillId="0" borderId="32" xfId="0" applyFont="1" applyBorder="1" applyAlignment="1">
      <alignment horizontal="left" vertical="top" wrapText="1"/>
    </xf>
    <xf numFmtId="164" fontId="10" fillId="0" borderId="10" xfId="0" applyNumberFormat="1" applyFont="1" applyBorder="1" applyAlignment="1">
      <alignment horizontal="right" vertical="top" wrapText="1"/>
    </xf>
    <xf numFmtId="164" fontId="8" fillId="0" borderId="0" xfId="0" applyNumberFormat="1" applyFont="1" applyAlignment="1">
      <alignment horizontal="right" vertical="top" wrapText="1"/>
    </xf>
    <xf numFmtId="10" fontId="8" fillId="0" borderId="0" xfId="0" applyNumberFormat="1" applyFont="1" applyAlignment="1">
      <alignment vertical="top"/>
    </xf>
    <xf numFmtId="0" fontId="12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/>
    <xf numFmtId="17" fontId="13" fillId="0" borderId="0" xfId="0" applyNumberFormat="1" applyFont="1" applyAlignment="1">
      <alignment horizontal="center" vertical="center" wrapText="1"/>
    </xf>
    <xf numFmtId="0" fontId="2" fillId="0" borderId="0" xfId="26"/>
    <xf numFmtId="43" fontId="38" fillId="10" borderId="102" xfId="28" applyFont="1" applyFill="1" applyBorder="1" applyAlignment="1">
      <alignment horizontal="center" vertical="center"/>
    </xf>
    <xf numFmtId="43" fontId="38" fillId="10" borderId="55" xfId="28" applyFont="1" applyFill="1" applyBorder="1" applyAlignment="1">
      <alignment horizontal="center" vertical="center"/>
    </xf>
    <xf numFmtId="43" fontId="38" fillId="10" borderId="103" xfId="28" applyFont="1" applyFill="1" applyBorder="1" applyAlignment="1">
      <alignment horizontal="center" vertical="center" wrapText="1"/>
    </xf>
    <xf numFmtId="43" fontId="38" fillId="10" borderId="104" xfId="28" applyFont="1" applyFill="1" applyBorder="1" applyAlignment="1">
      <alignment horizontal="center" vertical="center" wrapText="1"/>
    </xf>
    <xf numFmtId="43" fontId="38" fillId="10" borderId="105" xfId="28" applyFont="1" applyFill="1" applyBorder="1" applyAlignment="1">
      <alignment horizontal="center" vertical="center" wrapText="1"/>
    </xf>
    <xf numFmtId="43" fontId="39" fillId="0" borderId="109" xfId="1" applyFont="1" applyFill="1" applyBorder="1" applyAlignment="1">
      <alignment horizontal="center" vertical="center" wrapText="1"/>
    </xf>
    <xf numFmtId="43" fontId="39" fillId="0" borderId="107" xfId="1" applyFont="1" applyFill="1" applyBorder="1" applyAlignment="1">
      <alignment vertical="center"/>
    </xf>
    <xf numFmtId="43" fontId="39" fillId="0" borderId="12" xfId="1" applyFont="1" applyFill="1" applyBorder="1" applyAlignment="1">
      <alignment vertical="center"/>
    </xf>
    <xf numFmtId="43" fontId="39" fillId="0" borderId="48" xfId="1" applyFont="1" applyFill="1" applyBorder="1" applyAlignment="1">
      <alignment vertical="center"/>
    </xf>
    <xf numFmtId="43" fontId="38" fillId="0" borderId="52" xfId="18" applyFont="1" applyBorder="1" applyAlignment="1">
      <alignment horizontal="center" vertical="center" wrapText="1"/>
    </xf>
    <xf numFmtId="43" fontId="40" fillId="0" borderId="107" xfId="18" applyFont="1" applyBorder="1" applyAlignment="1">
      <alignment vertical="center"/>
    </xf>
    <xf numFmtId="43" fontId="40" fillId="0" borderId="12" xfId="18" applyFont="1" applyBorder="1" applyAlignment="1">
      <alignment vertical="center"/>
    </xf>
    <xf numFmtId="43" fontId="38" fillId="0" borderId="48" xfId="18" applyFont="1" applyBorder="1" applyAlignment="1">
      <alignment vertical="center"/>
    </xf>
    <xf numFmtId="43" fontId="40" fillId="0" borderId="48" xfId="18" applyFont="1" applyBorder="1" applyAlignment="1">
      <alignment vertical="center"/>
    </xf>
    <xf numFmtId="0" fontId="38" fillId="0" borderId="108" xfId="16" applyFont="1" applyBorder="1" applyAlignment="1">
      <alignment horizontal="center" vertical="center" wrapText="1"/>
    </xf>
    <xf numFmtId="0" fontId="38" fillId="0" borderId="110" xfId="16" applyFont="1" applyBorder="1" applyAlignment="1">
      <alignment vertical="center"/>
    </xf>
    <xf numFmtId="0" fontId="38" fillId="0" borderId="111" xfId="16" applyFont="1" applyBorder="1" applyAlignment="1">
      <alignment vertical="center"/>
    </xf>
    <xf numFmtId="43" fontId="41" fillId="0" borderId="112" xfId="16" applyNumberFormat="1" applyFont="1" applyBorder="1" applyAlignment="1">
      <alignment vertical="center"/>
    </xf>
    <xf numFmtId="0" fontId="38" fillId="0" borderId="49" xfId="16" applyFont="1" applyBorder="1"/>
    <xf numFmtId="0" fontId="38" fillId="0" borderId="101" xfId="16" applyFont="1" applyBorder="1"/>
    <xf numFmtId="0" fontId="43" fillId="0" borderId="0" xfId="16" applyFont="1" applyAlignment="1">
      <alignment vertical="center"/>
    </xf>
    <xf numFmtId="0" fontId="43" fillId="0" borderId="0" xfId="16" applyFont="1"/>
    <xf numFmtId="43" fontId="39" fillId="0" borderId="106" xfId="1" applyFont="1" applyFill="1" applyBorder="1" applyAlignment="1">
      <alignment horizontal="center" vertical="center" wrapText="1"/>
    </xf>
    <xf numFmtId="43" fontId="38" fillId="0" borderId="106" xfId="21" applyFont="1" applyBorder="1" applyAlignment="1">
      <alignment horizontal="center" vertical="center" wrapText="1"/>
    </xf>
    <xf numFmtId="43" fontId="40" fillId="0" borderId="107" xfId="21" applyFont="1" applyBorder="1" applyAlignment="1">
      <alignment vertical="center"/>
    </xf>
    <xf numFmtId="43" fontId="40" fillId="0" borderId="12" xfId="21" applyFont="1" applyBorder="1" applyAlignment="1">
      <alignment vertical="center"/>
    </xf>
    <xf numFmtId="43" fontId="38" fillId="0" borderId="48" xfId="21" applyFont="1" applyBorder="1" applyAlignment="1">
      <alignment vertical="center"/>
    </xf>
    <xf numFmtId="43" fontId="40" fillId="0" borderId="48" xfId="21" applyFont="1" applyBorder="1" applyAlignment="1">
      <alignment vertical="center"/>
    </xf>
    <xf numFmtId="0" fontId="38" fillId="0" borderId="115" xfId="0" applyFont="1" applyBorder="1" applyAlignment="1">
      <alignment horizontal="center" vertical="center" wrapText="1"/>
    </xf>
    <xf numFmtId="0" fontId="38" fillId="0" borderId="110" xfId="0" applyFont="1" applyBorder="1" applyAlignment="1">
      <alignment vertical="center"/>
    </xf>
    <xf numFmtId="0" fontId="38" fillId="0" borderId="111" xfId="0" applyFont="1" applyBorder="1" applyAlignment="1">
      <alignment vertical="center"/>
    </xf>
    <xf numFmtId="43" fontId="41" fillId="0" borderId="112" xfId="0" applyNumberFormat="1" applyFont="1" applyBorder="1" applyAlignment="1">
      <alignment vertical="center"/>
    </xf>
    <xf numFmtId="0" fontId="38" fillId="0" borderId="49" xfId="0" applyFont="1" applyBorder="1"/>
    <xf numFmtId="0" fontId="38" fillId="0" borderId="101" xfId="0" applyFont="1" applyBorder="1"/>
    <xf numFmtId="0" fontId="9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right" vertical="top" wrapText="1"/>
    </xf>
    <xf numFmtId="0" fontId="9" fillId="0" borderId="10" xfId="0" applyFont="1" applyBorder="1" applyAlignment="1">
      <alignment horizontal="center" vertical="top" wrapText="1"/>
    </xf>
    <xf numFmtId="167" fontId="9" fillId="0" borderId="10" xfId="0" applyNumberFormat="1" applyFont="1" applyBorder="1" applyAlignment="1">
      <alignment horizontal="right" vertical="top" wrapText="1"/>
    </xf>
    <xf numFmtId="4" fontId="9" fillId="0" borderId="10" xfId="0" applyNumberFormat="1" applyFont="1" applyBorder="1" applyAlignment="1">
      <alignment horizontal="right" vertical="top" wrapText="1"/>
    </xf>
    <xf numFmtId="0" fontId="14" fillId="0" borderId="118" xfId="3" applyFont="1" applyBorder="1" applyAlignment="1">
      <alignment horizontal="center" vertical="center"/>
    </xf>
    <xf numFmtId="0" fontId="14" fillId="0" borderId="118" xfId="3" applyFont="1" applyBorder="1" applyAlignment="1">
      <alignment horizontal="left" vertical="center" wrapText="1"/>
    </xf>
    <xf numFmtId="165" fontId="14" fillId="0" borderId="118" xfId="4" applyFont="1" applyFill="1" applyBorder="1" applyAlignment="1">
      <alignment vertical="center"/>
    </xf>
    <xf numFmtId="10" fontId="14" fillId="0" borderId="118" xfId="4" applyNumberFormat="1" applyFont="1" applyFill="1" applyBorder="1" applyAlignment="1">
      <alignment vertical="center"/>
    </xf>
    <xf numFmtId="165" fontId="14" fillId="0" borderId="119" xfId="4" applyFont="1" applyFill="1" applyBorder="1" applyAlignment="1">
      <alignment horizontal="center" vertical="center"/>
    </xf>
    <xf numFmtId="166" fontId="15" fillId="0" borderId="117" xfId="7" applyFont="1" applyFill="1" applyBorder="1" applyAlignment="1">
      <alignment horizontal="center" vertical="center"/>
    </xf>
    <xf numFmtId="0" fontId="19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right" vertical="center" wrapText="1"/>
    </xf>
    <xf numFmtId="0" fontId="20" fillId="0" borderId="45" xfId="0" applyFont="1" applyBorder="1"/>
    <xf numFmtId="4" fontId="17" fillId="0" borderId="45" xfId="0" applyNumberFormat="1" applyFont="1" applyBorder="1" applyAlignment="1">
      <alignment vertical="top" wrapText="1"/>
    </xf>
    <xf numFmtId="0" fontId="17" fillId="0" borderId="45" xfId="0" applyFont="1" applyBorder="1" applyAlignment="1">
      <alignment vertical="top" wrapText="1"/>
    </xf>
    <xf numFmtId="0" fontId="20" fillId="0" borderId="46" xfId="0" applyFont="1" applyBorder="1"/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 wrapText="1"/>
    </xf>
    <xf numFmtId="4" fontId="17" fillId="0" borderId="0" xfId="0" applyNumberFormat="1" applyFont="1" applyAlignment="1">
      <alignment vertical="top" wrapText="1"/>
    </xf>
    <xf numFmtId="0" fontId="17" fillId="0" borderId="0" xfId="0" applyFont="1" applyAlignment="1">
      <alignment vertical="top" wrapText="1"/>
    </xf>
    <xf numFmtId="0" fontId="20" fillId="0" borderId="47" xfId="0" applyFont="1" applyBorder="1"/>
    <xf numFmtId="0" fontId="19" fillId="0" borderId="121" xfId="0" applyFont="1" applyBorder="1" applyAlignment="1">
      <alignment horizontal="left" vertical="center" wrapText="1"/>
    </xf>
    <xf numFmtId="0" fontId="17" fillId="0" borderId="121" xfId="0" applyFont="1" applyBorder="1" applyAlignment="1">
      <alignment horizontal="right" vertical="center" wrapText="1"/>
    </xf>
    <xf numFmtId="0" fontId="20" fillId="0" borderId="121" xfId="0" applyFont="1" applyBorder="1"/>
    <xf numFmtId="4" fontId="17" fillId="0" borderId="121" xfId="0" applyNumberFormat="1" applyFont="1" applyBorder="1" applyAlignment="1">
      <alignment vertical="top" wrapText="1"/>
    </xf>
    <xf numFmtId="0" fontId="17" fillId="0" borderId="121" xfId="0" applyFont="1" applyBorder="1" applyAlignment="1">
      <alignment vertical="top" wrapText="1"/>
    </xf>
    <xf numFmtId="44" fontId="20" fillId="0" borderId="101" xfId="27" applyFont="1" applyBorder="1"/>
    <xf numFmtId="44" fontId="0" fillId="0" borderId="0" xfId="27" applyFont="1"/>
    <xf numFmtId="0" fontId="6" fillId="2" borderId="0" xfId="0" applyFont="1" applyFill="1" applyAlignment="1">
      <alignment horizontal="center" vertical="center" wrapText="1"/>
    </xf>
    <xf numFmtId="10" fontId="8" fillId="2" borderId="0" xfId="0" applyNumberFormat="1" applyFont="1" applyFill="1" applyAlignment="1">
      <alignment horizontal="left" vertical="top" wrapText="1"/>
    </xf>
    <xf numFmtId="0" fontId="6" fillId="2" borderId="122" xfId="0" applyFont="1" applyFill="1" applyBorder="1" applyAlignment="1">
      <alignment horizontal="right" vertical="top" wrapText="1"/>
    </xf>
    <xf numFmtId="43" fontId="9" fillId="2" borderId="28" xfId="1" applyFont="1" applyFill="1" applyBorder="1" applyAlignment="1">
      <alignment horizontal="center" vertical="center" wrapText="1"/>
    </xf>
    <xf numFmtId="10" fontId="9" fillId="2" borderId="28" xfId="0" applyNumberFormat="1" applyFont="1" applyFill="1" applyBorder="1" applyAlignment="1">
      <alignment horizontal="center" vertical="center" wrapText="1"/>
    </xf>
    <xf numFmtId="10" fontId="9" fillId="3" borderId="36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0" fontId="9" fillId="3" borderId="28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right" vertical="top" wrapText="1"/>
    </xf>
    <xf numFmtId="4" fontId="8" fillId="2" borderId="0" xfId="0" applyNumberFormat="1" applyFont="1" applyFill="1" applyAlignment="1">
      <alignment horizontal="right" vertical="top" wrapText="1"/>
    </xf>
    <xf numFmtId="0" fontId="10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vertical="top"/>
    </xf>
    <xf numFmtId="43" fontId="7" fillId="2" borderId="30" xfId="1" applyFont="1" applyFill="1" applyBorder="1" applyAlignment="1">
      <alignment horizontal="center" vertical="center" wrapText="1"/>
    </xf>
    <xf numFmtId="43" fontId="7" fillId="2" borderId="18" xfId="1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right" vertical="center" wrapText="1"/>
    </xf>
    <xf numFmtId="0" fontId="17" fillId="0" borderId="12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121" xfId="0" applyFont="1" applyBorder="1" applyAlignment="1">
      <alignment horizontal="center" vertical="center" wrapText="1"/>
    </xf>
    <xf numFmtId="0" fontId="17" fillId="0" borderId="121" xfId="0" applyFont="1" applyBorder="1" applyAlignment="1">
      <alignment horizontal="left" vertical="center" wrapText="1"/>
    </xf>
    <xf numFmtId="0" fontId="17" fillId="0" borderId="121" xfId="0" applyFont="1" applyBorder="1" applyAlignment="1">
      <alignment horizontal="right" vertical="center" wrapText="1"/>
    </xf>
    <xf numFmtId="0" fontId="17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15" fillId="0" borderId="15" xfId="3" applyFont="1" applyBorder="1" applyAlignment="1">
      <alignment horizontal="center" vertical="center"/>
    </xf>
    <xf numFmtId="0" fontId="15" fillId="0" borderId="16" xfId="3" applyFont="1" applyBorder="1" applyAlignment="1">
      <alignment horizontal="center" vertical="center"/>
    </xf>
    <xf numFmtId="0" fontId="15" fillId="0" borderId="19" xfId="3" applyFont="1" applyBorder="1" applyAlignment="1">
      <alignment horizontal="center" vertical="center"/>
    </xf>
    <xf numFmtId="0" fontId="15" fillId="0" borderId="0" xfId="3" applyFont="1" applyAlignment="1">
      <alignment horizontal="left" vertical="top" wrapText="1"/>
    </xf>
    <xf numFmtId="0" fontId="15" fillId="0" borderId="0" xfId="4" applyNumberFormat="1" applyFont="1" applyFill="1" applyAlignment="1">
      <alignment horizontal="left" vertical="top" wrapText="1"/>
    </xf>
    <xf numFmtId="0" fontId="15" fillId="0" borderId="99" xfId="4" applyNumberFormat="1" applyFont="1" applyFill="1" applyBorder="1" applyAlignment="1">
      <alignment horizontal="left" vertical="top" wrapText="1"/>
    </xf>
    <xf numFmtId="10" fontId="15" fillId="0" borderId="0" xfId="3" applyNumberFormat="1" applyFont="1" applyAlignment="1">
      <alignment horizontal="left" vertical="top" wrapText="1"/>
    </xf>
    <xf numFmtId="10" fontId="15" fillId="0" borderId="21" xfId="3" applyNumberFormat="1" applyFont="1" applyBorder="1" applyAlignment="1">
      <alignment horizontal="left" vertical="top" wrapText="1"/>
    </xf>
    <xf numFmtId="10" fontId="15" fillId="0" borderId="99" xfId="3" applyNumberFormat="1" applyFont="1" applyBorder="1" applyAlignment="1">
      <alignment horizontal="left" vertical="top" wrapText="1"/>
    </xf>
    <xf numFmtId="10" fontId="15" fillId="0" borderId="100" xfId="3" applyNumberFormat="1" applyFont="1" applyBorder="1" applyAlignment="1">
      <alignment horizontal="left" vertical="top" wrapText="1"/>
    </xf>
    <xf numFmtId="0" fontId="15" fillId="0" borderId="41" xfId="3" applyFont="1" applyBorder="1" applyAlignment="1">
      <alignment horizontal="right" vertical="center"/>
    </xf>
    <xf numFmtId="0" fontId="15" fillId="0" borderId="42" xfId="3" applyFont="1" applyBorder="1" applyAlignment="1">
      <alignment horizontal="right" vertical="center"/>
    </xf>
    <xf numFmtId="0" fontId="15" fillId="0" borderId="116" xfId="3" applyFont="1" applyBorder="1" applyAlignment="1">
      <alignment horizontal="right" vertical="center"/>
    </xf>
    <xf numFmtId="0" fontId="14" fillId="0" borderId="117" xfId="3" applyFont="1" applyBorder="1" applyAlignment="1">
      <alignment horizontal="center"/>
    </xf>
    <xf numFmtId="0" fontId="14" fillId="0" borderId="42" xfId="3" applyFont="1" applyBorder="1" applyAlignment="1">
      <alignment horizontal="center"/>
    </xf>
    <xf numFmtId="0" fontId="14" fillId="0" borderId="43" xfId="3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10" fontId="8" fillId="0" borderId="0" xfId="0" applyNumberFormat="1" applyFont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9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right" vertical="top" wrapText="1"/>
    </xf>
    <xf numFmtId="164" fontId="10" fillId="0" borderId="10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top" wrapText="1"/>
    </xf>
    <xf numFmtId="10" fontId="8" fillId="2" borderId="0" xfId="0" applyNumberFormat="1" applyFont="1" applyFill="1" applyAlignment="1">
      <alignment horizontal="left" vertical="top" wrapText="1"/>
    </xf>
    <xf numFmtId="0" fontId="13" fillId="0" borderId="60" xfId="16" applyFont="1" applyBorder="1" applyAlignment="1">
      <alignment horizontal="left" vertical="center" wrapText="1"/>
    </xf>
    <xf numFmtId="0" fontId="12" fillId="0" borderId="61" xfId="16" applyFont="1" applyBorder="1" applyAlignment="1">
      <alignment horizontal="left" vertical="center" wrapText="1"/>
    </xf>
    <xf numFmtId="0" fontId="13" fillId="0" borderId="42" xfId="16" applyFont="1" applyBorder="1" applyAlignment="1">
      <alignment horizontal="center" vertical="center" wrapText="1"/>
    </xf>
    <xf numFmtId="0" fontId="13" fillId="0" borderId="41" xfId="16" applyFont="1" applyBorder="1" applyAlignment="1">
      <alignment horizontal="center" vertical="center" wrapText="1"/>
    </xf>
    <xf numFmtId="0" fontId="13" fillId="0" borderId="43" xfId="16" applyFont="1" applyBorder="1" applyAlignment="1">
      <alignment horizontal="center" vertical="center" wrapText="1"/>
    </xf>
    <xf numFmtId="0" fontId="23" fillId="0" borderId="49" xfId="16" applyFont="1" applyBorder="1" applyAlignment="1">
      <alignment horizontal="center" vertical="center" wrapText="1"/>
    </xf>
    <xf numFmtId="0" fontId="23" fillId="0" borderId="98" xfId="16" applyFont="1" applyBorder="1" applyAlignment="1">
      <alignment horizontal="center" vertical="center" wrapText="1"/>
    </xf>
    <xf numFmtId="0" fontId="13" fillId="0" borderId="56" xfId="16" applyFont="1" applyBorder="1" applyAlignment="1">
      <alignment horizontal="left" vertical="center" wrapText="1"/>
    </xf>
    <xf numFmtId="0" fontId="12" fillId="0" borderId="57" xfId="16" applyFont="1" applyBorder="1" applyAlignment="1">
      <alignment horizontal="left" vertical="center" wrapText="1"/>
    </xf>
    <xf numFmtId="43" fontId="42" fillId="0" borderId="41" xfId="1" applyFont="1" applyFill="1" applyBorder="1" applyAlignment="1">
      <alignment horizontal="left" vertical="center" wrapText="1"/>
    </xf>
    <xf numFmtId="43" fontId="42" fillId="0" borderId="42" xfId="1" applyFont="1" applyFill="1" applyBorder="1" applyAlignment="1">
      <alignment horizontal="left" vertical="center" wrapText="1"/>
    </xf>
    <xf numFmtId="43" fontId="42" fillId="0" borderId="43" xfId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38" fillId="10" borderId="41" xfId="26" applyFont="1" applyFill="1" applyBorder="1" applyAlignment="1">
      <alignment horizontal="center" vertical="center" wrapText="1"/>
    </xf>
    <xf numFmtId="0" fontId="38" fillId="10" borderId="42" xfId="26" applyFont="1" applyFill="1" applyBorder="1" applyAlignment="1">
      <alignment horizontal="center" vertical="center" wrapText="1"/>
    </xf>
    <xf numFmtId="0" fontId="38" fillId="10" borderId="43" xfId="26" applyFont="1" applyFill="1" applyBorder="1" applyAlignment="1">
      <alignment horizontal="center" vertical="center" wrapText="1"/>
    </xf>
    <xf numFmtId="43" fontId="38" fillId="10" borderId="108" xfId="18" applyFont="1" applyFill="1" applyBorder="1" applyAlignment="1">
      <alignment horizontal="center" vertical="center" wrapText="1"/>
    </xf>
    <xf numFmtId="43" fontId="38" fillId="10" borderId="33" xfId="18" applyFont="1" applyFill="1" applyBorder="1" applyAlignment="1">
      <alignment horizontal="center" vertical="center" wrapText="1"/>
    </xf>
    <xf numFmtId="43" fontId="38" fillId="10" borderId="41" xfId="28" applyFont="1" applyFill="1" applyBorder="1" applyAlignment="1">
      <alignment horizontal="center" vertical="center"/>
    </xf>
    <xf numFmtId="43" fontId="38" fillId="10" borderId="42" xfId="28" applyFont="1" applyFill="1" applyBorder="1" applyAlignment="1">
      <alignment horizontal="center" vertical="center"/>
    </xf>
    <xf numFmtId="43" fontId="38" fillId="10" borderId="43" xfId="28" applyFont="1" applyFill="1" applyBorder="1" applyAlignment="1">
      <alignment horizontal="center" vertical="center"/>
    </xf>
    <xf numFmtId="0" fontId="38" fillId="10" borderId="41" xfId="26" applyFont="1" applyFill="1" applyBorder="1" applyAlignment="1">
      <alignment horizontal="center"/>
    </xf>
    <xf numFmtId="0" fontId="38" fillId="10" borderId="43" xfId="26" applyFont="1" applyFill="1" applyBorder="1" applyAlignment="1">
      <alignment horizontal="center"/>
    </xf>
    <xf numFmtId="43" fontId="38" fillId="10" borderId="113" xfId="21" applyFont="1" applyFill="1" applyBorder="1" applyAlignment="1">
      <alignment horizontal="center" vertical="center" wrapText="1"/>
    </xf>
    <xf numFmtId="43" fontId="38" fillId="10" borderId="114" xfId="21" applyFont="1" applyFill="1" applyBorder="1" applyAlignment="1">
      <alignment horizontal="center" vertical="center" wrapText="1"/>
    </xf>
    <xf numFmtId="0" fontId="17" fillId="0" borderId="68" xfId="23" applyFont="1" applyBorder="1" applyAlignment="1" applyProtection="1">
      <alignment horizontal="center"/>
      <protection hidden="1"/>
    </xf>
    <xf numFmtId="0" fontId="17" fillId="0" borderId="0" xfId="23" applyFont="1" applyAlignment="1" applyProtection="1">
      <alignment horizontal="center"/>
      <protection hidden="1"/>
    </xf>
    <xf numFmtId="0" fontId="17" fillId="0" borderId="44" xfId="23" applyFont="1" applyBorder="1" applyAlignment="1" applyProtection="1">
      <alignment horizontal="center"/>
      <protection hidden="1"/>
    </xf>
    <xf numFmtId="0" fontId="17" fillId="0" borderId="45" xfId="23" applyFont="1" applyBorder="1" applyAlignment="1" applyProtection="1">
      <alignment horizontal="center"/>
      <protection hidden="1"/>
    </xf>
    <xf numFmtId="0" fontId="17" fillId="0" borderId="46" xfId="23" applyFont="1" applyBorder="1" applyAlignment="1" applyProtection="1">
      <alignment horizontal="center"/>
      <protection hidden="1"/>
    </xf>
    <xf numFmtId="0" fontId="17" fillId="0" borderId="69" xfId="23" applyFont="1" applyBorder="1" applyAlignment="1" applyProtection="1">
      <alignment horizontal="center"/>
      <protection hidden="1"/>
    </xf>
    <xf numFmtId="0" fontId="17" fillId="0" borderId="72" xfId="23" applyFont="1" applyBorder="1" applyAlignment="1" applyProtection="1">
      <alignment horizontal="center" vertical="center"/>
      <protection hidden="1"/>
    </xf>
    <xf numFmtId="0" fontId="17" fillId="0" borderId="73" xfId="23" applyFont="1" applyBorder="1" applyAlignment="1" applyProtection="1">
      <alignment horizontal="center" vertical="center"/>
      <protection hidden="1"/>
    </xf>
    <xf numFmtId="0" fontId="17" fillId="0" borderId="74" xfId="23" applyFont="1" applyBorder="1" applyAlignment="1" applyProtection="1">
      <alignment horizontal="center" vertical="center"/>
      <protection hidden="1"/>
    </xf>
    <xf numFmtId="0" fontId="17" fillId="0" borderId="52" xfId="23" applyFont="1" applyBorder="1" applyAlignment="1" applyProtection="1">
      <alignment horizontal="center" vertical="center"/>
      <protection hidden="1"/>
    </xf>
    <xf numFmtId="0" fontId="17" fillId="0" borderId="53" xfId="23" applyFont="1" applyBorder="1" applyAlignment="1" applyProtection="1">
      <alignment horizontal="center" vertical="center"/>
      <protection hidden="1"/>
    </xf>
    <xf numFmtId="0" fontId="17" fillId="0" borderId="54" xfId="23" applyFont="1" applyBorder="1" applyAlignment="1" applyProtection="1">
      <alignment horizontal="center" vertical="center"/>
      <protection hidden="1"/>
    </xf>
    <xf numFmtId="0" fontId="17" fillId="0" borderId="33" xfId="23" applyFont="1" applyBorder="1" applyAlignment="1" applyProtection="1">
      <alignment horizontal="center"/>
      <protection hidden="1"/>
    </xf>
    <xf numFmtId="0" fontId="17" fillId="0" borderId="22" xfId="23" applyFont="1" applyBorder="1" applyAlignment="1" applyProtection="1">
      <alignment horizontal="center"/>
      <protection hidden="1"/>
    </xf>
    <xf numFmtId="0" fontId="17" fillId="0" borderId="35" xfId="23" applyFont="1" applyBorder="1" applyAlignment="1" applyProtection="1">
      <alignment horizontal="center"/>
      <protection hidden="1"/>
    </xf>
    <xf numFmtId="0" fontId="17" fillId="0" borderId="78" xfId="23" applyFont="1" applyBorder="1" applyAlignment="1" applyProtection="1">
      <alignment horizontal="center"/>
      <protection hidden="1"/>
    </xf>
    <xf numFmtId="0" fontId="17" fillId="0" borderId="79" xfId="23" applyFont="1" applyBorder="1" applyAlignment="1" applyProtection="1">
      <alignment horizontal="center"/>
      <protection hidden="1"/>
    </xf>
    <xf numFmtId="0" fontId="17" fillId="0" borderId="72" xfId="23" applyFont="1" applyBorder="1" applyAlignment="1" applyProtection="1">
      <alignment horizontal="center"/>
      <protection hidden="1"/>
    </xf>
    <xf numFmtId="0" fontId="17" fillId="0" borderId="73" xfId="23" applyFont="1" applyBorder="1" applyAlignment="1" applyProtection="1">
      <alignment horizontal="center"/>
      <protection hidden="1"/>
    </xf>
    <xf numFmtId="0" fontId="17" fillId="0" borderId="70" xfId="23" applyFont="1" applyBorder="1" applyAlignment="1" applyProtection="1">
      <alignment horizontal="center"/>
      <protection hidden="1"/>
    </xf>
    <xf numFmtId="0" fontId="17" fillId="0" borderId="74" xfId="23" applyFont="1" applyBorder="1" applyAlignment="1" applyProtection="1">
      <alignment horizontal="center"/>
      <protection hidden="1"/>
    </xf>
    <xf numFmtId="0" fontId="17" fillId="0" borderId="80" xfId="23" applyFont="1" applyBorder="1" applyAlignment="1" applyProtection="1">
      <alignment horizontal="center"/>
      <protection hidden="1"/>
    </xf>
    <xf numFmtId="0" fontId="17" fillId="0" borderId="81" xfId="23" applyFont="1" applyBorder="1" applyAlignment="1" applyProtection="1">
      <alignment horizontal="center"/>
      <protection hidden="1"/>
    </xf>
    <xf numFmtId="0" fontId="17" fillId="0" borderId="12" xfId="23" applyFont="1" applyBorder="1" applyAlignment="1" applyProtection="1">
      <alignment horizontal="center" vertical="center"/>
      <protection hidden="1"/>
    </xf>
    <xf numFmtId="0" fontId="17" fillId="0" borderId="70" xfId="23" applyFont="1" applyBorder="1" applyAlignment="1" applyProtection="1">
      <alignment horizontal="center" vertical="center"/>
      <protection hidden="1"/>
    </xf>
    <xf numFmtId="165" fontId="17" fillId="0" borderId="0" xfId="23" applyNumberFormat="1" applyFont="1" applyAlignment="1">
      <alignment horizontal="center"/>
    </xf>
    <xf numFmtId="2" fontId="17" fillId="0" borderId="52" xfId="23" applyNumberFormat="1" applyFont="1" applyBorder="1" applyAlignment="1">
      <alignment horizontal="center"/>
    </xf>
    <xf numFmtId="2" fontId="17" fillId="0" borderId="54" xfId="23" applyNumberFormat="1" applyFont="1" applyBorder="1" applyAlignment="1">
      <alignment horizontal="center"/>
    </xf>
    <xf numFmtId="2" fontId="17" fillId="0" borderId="53" xfId="23" applyNumberFormat="1" applyFont="1" applyBorder="1" applyAlignment="1">
      <alignment horizontal="center"/>
    </xf>
    <xf numFmtId="0" fontId="17" fillId="0" borderId="94" xfId="23" applyFont="1" applyBorder="1" applyAlignment="1" applyProtection="1">
      <alignment horizontal="center" vertical="center"/>
      <protection hidden="1"/>
    </xf>
    <xf numFmtId="0" fontId="17" fillId="0" borderId="93" xfId="23" applyFont="1" applyBorder="1" applyAlignment="1" applyProtection="1">
      <alignment horizontal="center" vertical="center"/>
      <protection hidden="1"/>
    </xf>
    <xf numFmtId="0" fontId="17" fillId="0" borderId="95" xfId="23" applyFont="1" applyBorder="1" applyAlignment="1" applyProtection="1">
      <alignment horizontal="center" vertical="center"/>
      <protection hidden="1"/>
    </xf>
    <xf numFmtId="0" fontId="17" fillId="0" borderId="92" xfId="23" applyFont="1" applyBorder="1" applyAlignment="1" applyProtection="1">
      <alignment horizontal="center" vertical="center"/>
      <protection hidden="1"/>
    </xf>
    <xf numFmtId="0" fontId="17" fillId="0" borderId="91" xfId="23" applyFont="1" applyBorder="1" applyAlignment="1" applyProtection="1">
      <alignment horizontal="center" vertical="center"/>
      <protection hidden="1"/>
    </xf>
    <xf numFmtId="0" fontId="17" fillId="0" borderId="90" xfId="23" applyFont="1" applyBorder="1" applyAlignment="1" applyProtection="1">
      <alignment horizontal="center" vertical="center"/>
      <protection hidden="1"/>
    </xf>
    <xf numFmtId="0" fontId="17" fillId="0" borderId="12" xfId="23" applyFont="1" applyBorder="1" applyAlignment="1">
      <alignment horizontal="center"/>
    </xf>
    <xf numFmtId="0" fontId="17" fillId="0" borderId="85" xfId="23" applyFont="1" applyBorder="1" applyAlignment="1" applyProtection="1">
      <alignment horizontal="center"/>
      <protection hidden="1"/>
    </xf>
    <xf numFmtId="0" fontId="17" fillId="0" borderId="55" xfId="23" applyFont="1" applyBorder="1" applyAlignment="1" applyProtection="1">
      <alignment horizontal="center"/>
      <protection hidden="1"/>
    </xf>
    <xf numFmtId="0" fontId="17" fillId="0" borderId="97" xfId="23" applyFont="1" applyBorder="1" applyAlignment="1">
      <alignment horizontal="center" vertical="center" wrapText="1"/>
    </xf>
    <xf numFmtId="0" fontId="17" fillId="0" borderId="55" xfId="23" applyFont="1" applyBorder="1" applyAlignment="1">
      <alignment horizontal="center" vertical="center" wrapText="1"/>
    </xf>
    <xf numFmtId="0" fontId="17" fillId="0" borderId="97" xfId="23" applyFont="1" applyBorder="1" applyAlignment="1" applyProtection="1">
      <alignment horizontal="center" vertical="center" wrapText="1"/>
      <protection hidden="1"/>
    </xf>
    <xf numFmtId="0" fontId="17" fillId="0" borderId="55" xfId="23" applyFont="1" applyBorder="1" applyAlignment="1" applyProtection="1">
      <alignment horizontal="center" vertical="center" wrapText="1"/>
      <protection hidden="1"/>
    </xf>
    <xf numFmtId="0" fontId="19" fillId="0" borderId="12" xfId="23" applyBorder="1" applyAlignment="1">
      <alignment horizontal="center" wrapText="1"/>
    </xf>
    <xf numFmtId="0" fontId="17" fillId="0" borderId="51" xfId="23" applyFont="1" applyBorder="1" applyAlignment="1">
      <alignment horizontal="center" vertical="center" wrapText="1"/>
    </xf>
    <xf numFmtId="0" fontId="17" fillId="0" borderId="12" xfId="23" applyFont="1" applyBorder="1" applyAlignment="1" applyProtection="1">
      <alignment horizontal="center"/>
      <protection hidden="1"/>
    </xf>
    <xf numFmtId="0" fontId="17" fillId="0" borderId="0" xfId="16" applyFont="1" applyAlignment="1">
      <alignment horizontal="center"/>
    </xf>
    <xf numFmtId="0" fontId="17" fillId="0" borderId="0" xfId="16" applyFont="1" applyAlignment="1">
      <alignment horizontal="left" vertical="top" wrapText="1"/>
    </xf>
    <xf numFmtId="49" fontId="33" fillId="7" borderId="12" xfId="16" applyNumberFormat="1" applyFont="1" applyFill="1" applyBorder="1" applyAlignment="1">
      <alignment horizontal="center"/>
    </xf>
    <xf numFmtId="49" fontId="33" fillId="7" borderId="1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 vertical="top" wrapText="1"/>
    </xf>
  </cellXfs>
  <cellStyles count="29">
    <cellStyle name="Moeda" xfId="27" builtinId="4"/>
    <cellStyle name="Moeda 3" xfId="7" xr:uid="{110DAF4E-0BEC-4459-9461-C477CBF0CF9D}"/>
    <cellStyle name="Moeda 4" xfId="5" xr:uid="{F0718831-0C65-4F16-8452-53DBF5F15B40}"/>
    <cellStyle name="Normal" xfId="0" builtinId="0"/>
    <cellStyle name="Normal 17 2" xfId="6" xr:uid="{291EA541-D357-49AD-B25D-7D3EF2EC022B}"/>
    <cellStyle name="Normal 2" xfId="3" xr:uid="{D00A658E-D194-4ABD-A34E-B069C6248574}"/>
    <cellStyle name="Normal 2 2" xfId="26" xr:uid="{6D8B1DA6-3AB3-4CA8-A56A-46C956C0379B}"/>
    <cellStyle name="Normal 2 2 2 2" xfId="9" xr:uid="{9AFB82E4-4484-442A-9E6A-F0BC5B641014}"/>
    <cellStyle name="Normal 217" xfId="12" xr:uid="{3821781A-0273-42C5-9009-27303DD55566}"/>
    <cellStyle name="Normal 3" xfId="8" xr:uid="{0F0034CA-680E-413E-9A2E-45D09A9109C2}"/>
    <cellStyle name="Normal 3 5" xfId="16" xr:uid="{F0F13C13-95BD-4889-8AA2-86FBDA0B1516}"/>
    <cellStyle name="Normal 4" xfId="14" xr:uid="{49387CB8-179B-42B6-9802-BDC9E39190C5}"/>
    <cellStyle name="Normal 4 2" xfId="15" xr:uid="{156EAF49-434C-4191-BA17-56A29D93B4EA}"/>
    <cellStyle name="Normal 59" xfId="22" xr:uid="{1F2D9493-0255-43DD-BEC6-14C49F6DEF19}"/>
    <cellStyle name="Normal_Orçamento 610-611 2" xfId="23" xr:uid="{C8ABDE72-9759-4A3E-966E-07F2D5600490}"/>
    <cellStyle name="Porcentagem" xfId="2" builtinId="5"/>
    <cellStyle name="Porcentagem 2" xfId="20" xr:uid="{B5E64F62-56F3-4FE2-9237-98796B95694D}"/>
    <cellStyle name="Separador de milhares 2 8" xfId="25" xr:uid="{9FDD14C1-5F83-4D2F-9927-DF12913F23B6}"/>
    <cellStyle name="Vírgula" xfId="1" builtinId="3"/>
    <cellStyle name="Vírgula 17" xfId="28" xr:uid="{11BF990F-5FBD-40CC-8748-84A29EC5BB86}"/>
    <cellStyle name="Vírgula 2" xfId="10" xr:uid="{A967D97C-DDE9-4AF7-96DE-F346420F2E35}"/>
    <cellStyle name="Vírgula 2 2" xfId="13" xr:uid="{2862FABE-5755-4162-B8B0-D266D4D3B215}"/>
    <cellStyle name="Vírgula 2 2 2" xfId="21" xr:uid="{D6E2F368-6775-43E5-8F95-FB767FFB4622}"/>
    <cellStyle name="Vírgula 2 3" xfId="18" xr:uid="{F55F4C9A-3AE1-4AF2-9851-120B881145E3}"/>
    <cellStyle name="Vírgula 2 4" xfId="19" xr:uid="{90E9990E-0368-443F-AB17-6F381F55BA57}"/>
    <cellStyle name="Vírgula 2 7" xfId="4" xr:uid="{48655867-4EC3-47F6-AAF1-87EF75A19EF4}"/>
    <cellStyle name="Vírgula 3" xfId="11" xr:uid="{1FF778C3-293F-4226-BEF2-4C31D11009A4}"/>
    <cellStyle name="Vírgula 4" xfId="17" xr:uid="{3FAA4849-2A72-438F-82F0-5F6E46FD6932}"/>
    <cellStyle name="Vírgula 4 7" xfId="24" xr:uid="{AE4C5DF4-550B-45F0-98BA-E1CBBF05658B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Orcamento3 Techne" id="{D30386AA-8C82-42AC-BCD8-710D13A52263}" userId="Orcamento3 Techne" providerId="None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04" dT="2022-10-14T16:26:38.71" personId="{D30386AA-8C82-42AC-BCD8-710D13A52263}" id="{E2229603-3854-46B0-ACBB-E0747CB3BF7B}">
    <text>TL1600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N113" dT="2022-10-14T16:26:22.02" personId="{D30386AA-8C82-42AC-BCD8-710D13A52263}" id="{8433DFEC-752B-4D50-B936-13AD01298950}">
    <text>TL1600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Relationship Id="rId4" Type="http://schemas.microsoft.com/office/2017/10/relationships/threadedComment" Target="../threadedComments/threadedComment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354E-3E08-4AA1-88A4-E304DC37A107}">
  <sheetPr codeName="Planilha1">
    <pageSetUpPr fitToPage="1"/>
  </sheetPr>
  <dimension ref="A1:T24"/>
  <sheetViews>
    <sheetView showGridLines="0" view="pageBreakPreview" zoomScale="85" zoomScaleNormal="85" zoomScaleSheetLayoutView="85" workbookViewId="0">
      <selection sqref="A1:XFD1048576"/>
    </sheetView>
  </sheetViews>
  <sheetFormatPr defaultRowHeight="14" x14ac:dyDescent="0.3"/>
  <cols>
    <col min="1" max="1" width="29.25" customWidth="1"/>
    <col min="2" max="2" width="60" bestFit="1" customWidth="1"/>
    <col min="3" max="3" width="30" bestFit="1" customWidth="1"/>
    <col min="4" max="4" width="5" bestFit="1" customWidth="1"/>
    <col min="5" max="6" width="10" bestFit="1" customWidth="1"/>
    <col min="7" max="7" width="9.25" customWidth="1"/>
    <col min="8" max="8" width="11.08203125" customWidth="1"/>
    <col min="9" max="9" width="12" customWidth="1"/>
    <col min="10" max="10" width="33.58203125" hidden="1" customWidth="1"/>
    <col min="11" max="11" width="14" bestFit="1" customWidth="1"/>
    <col min="13" max="13" width="12.75" bestFit="1" customWidth="1"/>
    <col min="20" max="20" width="13.08203125" bestFit="1" customWidth="1"/>
  </cols>
  <sheetData>
    <row r="1" spans="1:14" ht="15" customHeight="1" x14ac:dyDescent="0.3">
      <c r="A1" s="7"/>
      <c r="B1" s="7" t="s">
        <v>0</v>
      </c>
      <c r="C1" s="7" t="s">
        <v>1</v>
      </c>
      <c r="E1" s="649" t="s">
        <v>3748</v>
      </c>
      <c r="F1" s="649"/>
      <c r="G1" s="560" t="s">
        <v>2</v>
      </c>
      <c r="H1" s="558"/>
      <c r="I1" s="558"/>
      <c r="J1" s="543"/>
    </row>
    <row r="2" spans="1:14" ht="140.15" customHeight="1" x14ac:dyDescent="0.3">
      <c r="A2" s="8"/>
      <c r="B2" s="71" t="s">
        <v>3957</v>
      </c>
      <c r="C2" s="645" t="s">
        <v>3823</v>
      </c>
      <c r="D2" s="645"/>
      <c r="E2" s="645" t="s">
        <v>3749</v>
      </c>
      <c r="F2" s="645"/>
      <c r="G2" s="645" t="s">
        <v>3956</v>
      </c>
      <c r="H2" s="645"/>
      <c r="I2" s="645"/>
      <c r="J2" s="12"/>
    </row>
    <row r="3" spans="1:14" ht="15" customHeight="1" x14ac:dyDescent="0.3">
      <c r="A3" s="81" t="s">
        <v>374</v>
      </c>
      <c r="B3" s="78"/>
      <c r="C3" s="78"/>
      <c r="D3" s="78"/>
      <c r="E3" s="78"/>
      <c r="F3" s="78"/>
      <c r="G3" s="78"/>
      <c r="H3" s="78"/>
      <c r="I3" s="78"/>
    </row>
    <row r="4" spans="1:14" ht="30" customHeight="1" x14ac:dyDescent="0.3">
      <c r="A4" s="9" t="s">
        <v>375</v>
      </c>
      <c r="B4" s="65" t="s">
        <v>376</v>
      </c>
      <c r="C4" s="66"/>
      <c r="D4" s="66"/>
      <c r="E4" s="66"/>
      <c r="F4" s="67"/>
      <c r="G4" s="652" t="s">
        <v>377</v>
      </c>
      <c r="H4" s="653"/>
      <c r="I4" s="9" t="s">
        <v>393</v>
      </c>
    </row>
    <row r="5" spans="1:14" ht="24" customHeight="1" x14ac:dyDescent="0.3">
      <c r="A5" s="1">
        <v>1</v>
      </c>
      <c r="B5" s="68" t="s">
        <v>12</v>
      </c>
      <c r="C5" s="69"/>
      <c r="D5" s="69"/>
      <c r="E5" s="69"/>
      <c r="F5" s="70"/>
      <c r="G5" s="650">
        <v>1454666.71</v>
      </c>
      <c r="H5" s="651"/>
      <c r="I5" s="13">
        <v>9.7815260844620749E-2</v>
      </c>
      <c r="M5" s="28"/>
    </row>
    <row r="6" spans="1:14" ht="24" customHeight="1" x14ac:dyDescent="0.3">
      <c r="A6" s="1">
        <v>2</v>
      </c>
      <c r="B6" s="68" t="s">
        <v>123</v>
      </c>
      <c r="C6" s="69"/>
      <c r="D6" s="69"/>
      <c r="E6" s="69"/>
      <c r="F6" s="70"/>
      <c r="G6" s="650">
        <v>36998.720000000001</v>
      </c>
      <c r="H6" s="651"/>
      <c r="I6" s="13">
        <v>2.4878822226687834E-3</v>
      </c>
      <c r="M6" s="28"/>
    </row>
    <row r="7" spans="1:14" ht="24" customHeight="1" x14ac:dyDescent="0.3">
      <c r="A7" s="1">
        <v>3</v>
      </c>
      <c r="B7" s="68" t="s">
        <v>128</v>
      </c>
      <c r="C7" s="69"/>
      <c r="D7" s="69"/>
      <c r="E7" s="69"/>
      <c r="F7" s="70"/>
      <c r="G7" s="650">
        <v>296160.41999999993</v>
      </c>
      <c r="H7" s="651"/>
      <c r="I7" s="13">
        <v>1.9914533366995404E-2</v>
      </c>
      <c r="M7" s="28"/>
    </row>
    <row r="8" spans="1:14" ht="24" customHeight="1" x14ac:dyDescent="0.3">
      <c r="A8" s="1">
        <v>4</v>
      </c>
      <c r="B8" s="68" t="s">
        <v>2087</v>
      </c>
      <c r="C8" s="69"/>
      <c r="D8" s="69"/>
      <c r="E8" s="69"/>
      <c r="F8" s="70"/>
      <c r="G8" s="650">
        <v>2824568.4799999995</v>
      </c>
      <c r="H8" s="651"/>
      <c r="I8" s="13">
        <v>0.18993072484947007</v>
      </c>
      <c r="J8" s="417"/>
      <c r="M8" s="28"/>
      <c r="N8" s="417"/>
    </row>
    <row r="9" spans="1:14" ht="24" customHeight="1" x14ac:dyDescent="0.3">
      <c r="A9" s="1">
        <v>5</v>
      </c>
      <c r="B9" s="68" t="s">
        <v>2088</v>
      </c>
      <c r="C9" s="69"/>
      <c r="D9" s="69"/>
      <c r="E9" s="69"/>
      <c r="F9" s="70"/>
      <c r="G9" s="650">
        <v>10259177.830000002</v>
      </c>
      <c r="H9" s="651"/>
      <c r="I9" s="13">
        <v>0.68985159871624502</v>
      </c>
      <c r="M9" s="28"/>
    </row>
    <row r="10" spans="1:14" x14ac:dyDescent="0.3">
      <c r="A10" s="10"/>
      <c r="B10" s="10"/>
      <c r="C10" s="10"/>
      <c r="D10" s="10"/>
      <c r="E10" s="10"/>
      <c r="F10" s="10"/>
      <c r="G10" s="10"/>
      <c r="H10" s="10"/>
      <c r="I10" s="10"/>
    </row>
    <row r="11" spans="1:14" x14ac:dyDescent="0.3">
      <c r="A11" s="6"/>
      <c r="B11" s="11"/>
      <c r="C11" s="6"/>
      <c r="D11" s="6"/>
      <c r="E11" s="645" t="s">
        <v>371</v>
      </c>
      <c r="F11" s="646"/>
      <c r="G11" s="647">
        <v>12455208.453400459</v>
      </c>
      <c r="H11" s="646"/>
      <c r="I11" s="646"/>
      <c r="K11" s="28"/>
    </row>
    <row r="12" spans="1:14" x14ac:dyDescent="0.3">
      <c r="A12" s="6"/>
      <c r="B12" s="11"/>
      <c r="C12" s="6"/>
      <c r="D12" s="6"/>
      <c r="E12" s="645" t="s">
        <v>372</v>
      </c>
      <c r="F12" s="646"/>
      <c r="G12" s="647">
        <v>2416363.706599541</v>
      </c>
      <c r="H12" s="646"/>
      <c r="I12" s="646"/>
      <c r="J12" s="28"/>
      <c r="K12" s="417"/>
    </row>
    <row r="13" spans="1:14" x14ac:dyDescent="0.3">
      <c r="A13" s="6"/>
      <c r="B13" s="11"/>
      <c r="C13" s="6"/>
      <c r="D13" s="6"/>
      <c r="E13" s="645" t="s">
        <v>373</v>
      </c>
      <c r="F13" s="646"/>
      <c r="G13" s="647">
        <v>14871572.16</v>
      </c>
      <c r="H13" s="646"/>
      <c r="I13" s="646"/>
      <c r="J13" s="635">
        <v>13416905.449999999</v>
      </c>
    </row>
    <row r="14" spans="1:14" ht="70" customHeight="1" x14ac:dyDescent="0.3">
      <c r="A14" s="648"/>
      <c r="B14" s="648"/>
      <c r="C14" s="648"/>
      <c r="D14" s="648"/>
      <c r="E14" s="648"/>
      <c r="F14" s="648"/>
      <c r="G14" s="648"/>
      <c r="H14" s="648"/>
      <c r="I14" s="648"/>
      <c r="J14" s="417">
        <v>0.10842043386390564</v>
      </c>
    </row>
    <row r="24" spans="20:20" x14ac:dyDescent="0.3">
      <c r="T24" s="644"/>
    </row>
  </sheetData>
  <mergeCells count="17">
    <mergeCell ref="E1:F1"/>
    <mergeCell ref="C2:D2"/>
    <mergeCell ref="E2:F2"/>
    <mergeCell ref="G2:I2"/>
    <mergeCell ref="G9:H9"/>
    <mergeCell ref="G4:H4"/>
    <mergeCell ref="G5:H5"/>
    <mergeCell ref="G6:H6"/>
    <mergeCell ref="G7:H7"/>
    <mergeCell ref="G8:H8"/>
    <mergeCell ref="E11:F11"/>
    <mergeCell ref="G11:I11"/>
    <mergeCell ref="A14:I14"/>
    <mergeCell ref="E12:F12"/>
    <mergeCell ref="G12:I12"/>
    <mergeCell ref="E13:F13"/>
    <mergeCell ref="G13:I13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70" firstPageNumber="16" fitToHeight="0" orientation="landscape" useFirstPageNumber="1" r:id="rId1"/>
  <headerFooter>
    <oddHeader>&amp;L &amp;CSECRETARIA DE ESTADO DE OBRAS E INFRAESTRUTURA DO DISTRITO FEDERAL - SODF
CNPJ: 00.394.742/0001-49 &amp;R</oddHeader>
    <oddFooter>&amp;L &amp;CSetor de Áreas Públicas Bloco A-15 - Zona Industrial (Guará) - Brasília / DF
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24D5A-95DD-4961-B9A7-F29A8909D5CF}">
  <sheetPr codeName="Planilha2">
    <pageSetUpPr fitToPage="1"/>
  </sheetPr>
  <dimension ref="A1:P554"/>
  <sheetViews>
    <sheetView view="pageBreakPreview" topLeftCell="A451" zoomScale="85" zoomScaleNormal="70" zoomScaleSheetLayoutView="85" workbookViewId="0">
      <selection activeCell="I471" sqref="I471"/>
    </sheetView>
  </sheetViews>
  <sheetFormatPr defaultColWidth="8" defaultRowHeight="14.5" x14ac:dyDescent="0.3"/>
  <cols>
    <col min="1" max="1" width="13.33203125" style="118" bestFit="1" customWidth="1"/>
    <col min="2" max="2" width="15.5" style="119" customWidth="1"/>
    <col min="3" max="3" width="14.58203125" style="119" customWidth="1"/>
    <col min="4" max="4" width="88.08203125" style="120" customWidth="1"/>
    <col min="5" max="5" width="8.25" style="121" customWidth="1"/>
    <col min="6" max="6" width="18.83203125" style="122" customWidth="1"/>
    <col min="7" max="7" width="17.08203125" style="117" customWidth="1"/>
    <col min="8" max="8" width="10.83203125" style="117" bestFit="1" customWidth="1"/>
    <col min="9" max="9" width="14.08203125" style="117" bestFit="1" customWidth="1"/>
    <col min="10" max="10" width="12.83203125" style="117" bestFit="1" customWidth="1"/>
    <col min="11" max="11" width="16.75" style="117" bestFit="1" customWidth="1"/>
    <col min="12" max="12" width="14.5" style="117" bestFit="1" customWidth="1"/>
    <col min="13" max="13" width="13.08203125" style="117" bestFit="1" customWidth="1"/>
    <col min="14" max="16384" width="8" style="117"/>
  </cols>
  <sheetData>
    <row r="1" spans="1:13" s="92" customFormat="1" ht="15" customHeight="1" x14ac:dyDescent="0.3">
      <c r="A1" s="90"/>
      <c r="B1" s="90"/>
      <c r="C1" s="90"/>
      <c r="D1" s="91" t="s">
        <v>0</v>
      </c>
      <c r="E1" s="667" t="s">
        <v>1</v>
      </c>
      <c r="F1" s="667"/>
      <c r="G1" s="667"/>
      <c r="H1" s="667" t="s">
        <v>3748</v>
      </c>
      <c r="I1" s="667"/>
      <c r="J1" s="667" t="s">
        <v>2</v>
      </c>
      <c r="K1" s="667"/>
    </row>
    <row r="2" spans="1:13" s="92" customFormat="1" ht="134.25" customHeight="1" x14ac:dyDescent="0.3">
      <c r="A2" s="93"/>
      <c r="B2" s="93"/>
      <c r="C2" s="93"/>
      <c r="D2" s="94" t="s">
        <v>3957</v>
      </c>
      <c r="E2" s="666" t="s">
        <v>3823</v>
      </c>
      <c r="F2" s="666"/>
      <c r="G2" s="666"/>
      <c r="H2" s="666" t="s">
        <v>3749</v>
      </c>
      <c r="I2" s="666"/>
      <c r="J2" s="666" t="s">
        <v>3956</v>
      </c>
      <c r="K2" s="666"/>
    </row>
    <row r="3" spans="1:13" s="92" customFormat="1" ht="14" x14ac:dyDescent="0.3">
      <c r="A3" s="106"/>
    </row>
    <row r="4" spans="1:13" s="92" customFormat="1" ht="30" customHeight="1" x14ac:dyDescent="0.3">
      <c r="A4" s="95" t="s">
        <v>3</v>
      </c>
      <c r="B4" s="96" t="s">
        <v>4</v>
      </c>
      <c r="C4" s="95" t="s">
        <v>5</v>
      </c>
      <c r="D4" s="95" t="s">
        <v>6</v>
      </c>
      <c r="E4" s="97" t="s">
        <v>7</v>
      </c>
      <c r="F4" s="98" t="s">
        <v>8</v>
      </c>
      <c r="G4" s="96" t="s">
        <v>9</v>
      </c>
      <c r="H4" s="99" t="s">
        <v>416</v>
      </c>
      <c r="I4" s="96" t="s">
        <v>10</v>
      </c>
      <c r="J4" s="96" t="s">
        <v>11</v>
      </c>
      <c r="K4" s="99" t="s">
        <v>3750</v>
      </c>
    </row>
    <row r="5" spans="1:13" s="89" customFormat="1" ht="24" customHeight="1" x14ac:dyDescent="0.3">
      <c r="A5" s="88">
        <v>1</v>
      </c>
      <c r="B5" s="88"/>
      <c r="C5" s="88"/>
      <c r="D5" s="544" t="s">
        <v>12</v>
      </c>
      <c r="E5" s="544" t="s">
        <v>402</v>
      </c>
      <c r="F5" s="87"/>
      <c r="G5" s="86"/>
      <c r="H5" s="88"/>
      <c r="I5" s="85"/>
      <c r="J5" s="82">
        <v>1454666.71</v>
      </c>
      <c r="K5" s="556">
        <v>9.7815260844620749E-2</v>
      </c>
    </row>
    <row r="6" spans="1:13" s="89" customFormat="1" ht="24" customHeight="1" x14ac:dyDescent="0.3">
      <c r="A6" s="88" t="s">
        <v>13</v>
      </c>
      <c r="B6" s="88"/>
      <c r="C6" s="88"/>
      <c r="D6" s="544" t="s">
        <v>14</v>
      </c>
      <c r="E6" s="544" t="s">
        <v>402</v>
      </c>
      <c r="F6" s="87"/>
      <c r="G6" s="86"/>
      <c r="H6" s="88"/>
      <c r="I6" s="85"/>
      <c r="J6" s="82">
        <v>502832.83</v>
      </c>
      <c r="K6" s="556">
        <v>3.3811679396780064E-2</v>
      </c>
    </row>
    <row r="7" spans="1:13" s="89" customFormat="1" ht="24" customHeight="1" x14ac:dyDescent="0.3">
      <c r="A7" s="88" t="s">
        <v>15</v>
      </c>
      <c r="B7" s="88"/>
      <c r="C7" s="88"/>
      <c r="D7" s="544" t="s">
        <v>16</v>
      </c>
      <c r="E7" s="544" t="s">
        <v>402</v>
      </c>
      <c r="F7" s="87"/>
      <c r="G7" s="86"/>
      <c r="H7" s="88"/>
      <c r="I7" s="85"/>
      <c r="J7" s="82">
        <v>473074.06</v>
      </c>
      <c r="K7" s="556">
        <v>3.1810628688769375E-2</v>
      </c>
    </row>
    <row r="8" spans="1:13" s="92" customFormat="1" ht="26.15" customHeight="1" x14ac:dyDescent="0.3">
      <c r="A8" s="415" t="s">
        <v>17</v>
      </c>
      <c r="B8" s="415" t="s">
        <v>18</v>
      </c>
      <c r="C8" s="415" t="s">
        <v>19</v>
      </c>
      <c r="D8" s="416" t="s">
        <v>20</v>
      </c>
      <c r="E8" s="415" t="s">
        <v>21</v>
      </c>
      <c r="F8" s="100">
        <v>3</v>
      </c>
      <c r="G8" s="101">
        <v>34812.769999999997</v>
      </c>
      <c r="H8" s="84">
        <v>0.2122</v>
      </c>
      <c r="I8" s="83">
        <v>42200.04</v>
      </c>
      <c r="J8" s="83">
        <v>126600.12</v>
      </c>
      <c r="K8" s="557">
        <v>8.5128941740615534E-3</v>
      </c>
      <c r="L8" s="420"/>
    </row>
    <row r="9" spans="1:13" s="92" customFormat="1" ht="26.15" customHeight="1" x14ac:dyDescent="0.3">
      <c r="A9" s="415" t="s">
        <v>3958</v>
      </c>
      <c r="B9" s="415" t="s">
        <v>22</v>
      </c>
      <c r="C9" s="415" t="s">
        <v>19</v>
      </c>
      <c r="D9" s="416" t="s">
        <v>23</v>
      </c>
      <c r="E9" s="415" t="s">
        <v>21</v>
      </c>
      <c r="F9" s="100">
        <v>9</v>
      </c>
      <c r="G9" s="101">
        <v>24859.48</v>
      </c>
      <c r="H9" s="84">
        <v>0.2122</v>
      </c>
      <c r="I9" s="83">
        <v>30134.66</v>
      </c>
      <c r="J9" s="83">
        <v>271211.94</v>
      </c>
      <c r="K9" s="557">
        <v>1.8236938037356772E-2</v>
      </c>
      <c r="L9" s="420"/>
    </row>
    <row r="10" spans="1:13" s="92" customFormat="1" ht="26.15" customHeight="1" x14ac:dyDescent="0.3">
      <c r="A10" s="415" t="s">
        <v>3959</v>
      </c>
      <c r="B10" s="415" t="s">
        <v>24</v>
      </c>
      <c r="C10" s="415" t="s">
        <v>19</v>
      </c>
      <c r="D10" s="416" t="s">
        <v>25</v>
      </c>
      <c r="E10" s="415" t="s">
        <v>21</v>
      </c>
      <c r="F10" s="100">
        <v>9</v>
      </c>
      <c r="G10" s="101">
        <v>3536.93</v>
      </c>
      <c r="H10" s="84">
        <v>0.2122</v>
      </c>
      <c r="I10" s="83">
        <v>4287.47</v>
      </c>
      <c r="J10" s="83">
        <v>38587.230000000003</v>
      </c>
      <c r="K10" s="557">
        <v>2.5946974257226077E-3</v>
      </c>
      <c r="L10" s="420"/>
    </row>
    <row r="11" spans="1:13" s="92" customFormat="1" ht="39" customHeight="1" x14ac:dyDescent="0.3">
      <c r="A11" s="415" t="s">
        <v>3960</v>
      </c>
      <c r="B11" s="415" t="s">
        <v>3507</v>
      </c>
      <c r="C11" s="415" t="s">
        <v>3751</v>
      </c>
      <c r="D11" s="416" t="s">
        <v>3508</v>
      </c>
      <c r="E11" s="415" t="s">
        <v>27</v>
      </c>
      <c r="F11" s="100">
        <v>4.5</v>
      </c>
      <c r="G11" s="101">
        <v>6723.27</v>
      </c>
      <c r="H11" s="84">
        <v>0.2122</v>
      </c>
      <c r="I11" s="83">
        <v>8149.95</v>
      </c>
      <c r="J11" s="83">
        <v>36674.769999999997</v>
      </c>
      <c r="K11" s="557">
        <v>2.4660990516284457E-3</v>
      </c>
      <c r="L11" s="420"/>
    </row>
    <row r="12" spans="1:13" s="89" customFormat="1" ht="24" customHeight="1" x14ac:dyDescent="0.3">
      <c r="A12" s="88" t="s">
        <v>28</v>
      </c>
      <c r="B12" s="88" t="s">
        <v>402</v>
      </c>
      <c r="C12" s="88" t="s">
        <v>402</v>
      </c>
      <c r="D12" s="544" t="s">
        <v>29</v>
      </c>
      <c r="E12" s="544" t="s">
        <v>402</v>
      </c>
      <c r="F12" s="87"/>
      <c r="G12" s="86"/>
      <c r="H12" s="88"/>
      <c r="I12" s="85"/>
      <c r="J12" s="82">
        <v>29758.77</v>
      </c>
      <c r="K12" s="556">
        <v>2.0010507080106855E-3</v>
      </c>
      <c r="L12" s="420"/>
      <c r="M12" s="92"/>
    </row>
    <row r="13" spans="1:13" s="92" customFormat="1" ht="24" customHeight="1" x14ac:dyDescent="0.3">
      <c r="A13" s="415" t="s">
        <v>30</v>
      </c>
      <c r="B13" s="415" t="s">
        <v>31</v>
      </c>
      <c r="C13" s="415" t="s">
        <v>3751</v>
      </c>
      <c r="D13" s="416" t="s">
        <v>32</v>
      </c>
      <c r="E13" s="415" t="s">
        <v>27</v>
      </c>
      <c r="F13" s="100">
        <v>9</v>
      </c>
      <c r="G13" s="101">
        <v>2727.71</v>
      </c>
      <c r="H13" s="84">
        <v>0.2122</v>
      </c>
      <c r="I13" s="83">
        <v>3306.53</v>
      </c>
      <c r="J13" s="83">
        <v>29758.77</v>
      </c>
      <c r="K13" s="557">
        <v>2.0010507080106855E-3</v>
      </c>
      <c r="L13" s="420"/>
    </row>
    <row r="14" spans="1:13" s="89" customFormat="1" ht="24" customHeight="1" x14ac:dyDescent="0.3">
      <c r="A14" s="88" t="s">
        <v>33</v>
      </c>
      <c r="B14" s="88" t="s">
        <v>402</v>
      </c>
      <c r="C14" s="88" t="s">
        <v>402</v>
      </c>
      <c r="D14" s="544" t="s">
        <v>34</v>
      </c>
      <c r="E14" s="544" t="s">
        <v>402</v>
      </c>
      <c r="F14" s="87"/>
      <c r="G14" s="86"/>
      <c r="H14" s="88"/>
      <c r="I14" s="85"/>
      <c r="J14" s="82">
        <v>224633.52</v>
      </c>
      <c r="K14" s="556">
        <v>1.5104893926695642E-2</v>
      </c>
      <c r="L14" s="420"/>
      <c r="M14" s="92"/>
    </row>
    <row r="15" spans="1:13" s="92" customFormat="1" ht="26.15" customHeight="1" x14ac:dyDescent="0.3">
      <c r="A15" s="415" t="s">
        <v>35</v>
      </c>
      <c r="B15" s="415" t="s">
        <v>36</v>
      </c>
      <c r="C15" s="415" t="s">
        <v>19</v>
      </c>
      <c r="D15" s="416" t="s">
        <v>37</v>
      </c>
      <c r="E15" s="415" t="s">
        <v>21</v>
      </c>
      <c r="F15" s="100">
        <v>9</v>
      </c>
      <c r="G15" s="101">
        <v>5032.17</v>
      </c>
      <c r="H15" s="84">
        <v>0.2122</v>
      </c>
      <c r="I15" s="83">
        <v>6100</v>
      </c>
      <c r="J15" s="83">
        <v>54900</v>
      </c>
      <c r="K15" s="557">
        <v>3.6916070076077282E-3</v>
      </c>
      <c r="L15" s="420"/>
    </row>
    <row r="16" spans="1:13" s="92" customFormat="1" ht="26.15" customHeight="1" x14ac:dyDescent="0.3">
      <c r="A16" s="415" t="s">
        <v>38</v>
      </c>
      <c r="B16" s="415" t="s">
        <v>39</v>
      </c>
      <c r="C16" s="415" t="s">
        <v>3751</v>
      </c>
      <c r="D16" s="416" t="s">
        <v>40</v>
      </c>
      <c r="E16" s="415" t="s">
        <v>27</v>
      </c>
      <c r="F16" s="100">
        <v>18</v>
      </c>
      <c r="G16" s="101">
        <v>5590.7</v>
      </c>
      <c r="H16" s="84">
        <v>0.2122</v>
      </c>
      <c r="I16" s="83">
        <v>6777.05</v>
      </c>
      <c r="J16" s="83">
        <v>121986.9</v>
      </c>
      <c r="K16" s="557">
        <v>8.2026902527567065E-3</v>
      </c>
      <c r="L16" s="420"/>
    </row>
    <row r="17" spans="1:13" s="92" customFormat="1" ht="24" customHeight="1" x14ac:dyDescent="0.3">
      <c r="A17" s="415" t="s">
        <v>41</v>
      </c>
      <c r="B17" s="415" t="s">
        <v>42</v>
      </c>
      <c r="C17" s="415" t="s">
        <v>19</v>
      </c>
      <c r="D17" s="416" t="s">
        <v>43</v>
      </c>
      <c r="E17" s="415" t="s">
        <v>21</v>
      </c>
      <c r="F17" s="100">
        <v>9</v>
      </c>
      <c r="G17" s="101">
        <v>4376.49</v>
      </c>
      <c r="H17" s="84">
        <v>0.2122</v>
      </c>
      <c r="I17" s="83">
        <v>5305.18</v>
      </c>
      <c r="J17" s="83">
        <v>47746.62</v>
      </c>
      <c r="K17" s="557">
        <v>3.2105966663312081E-3</v>
      </c>
      <c r="L17" s="420"/>
    </row>
    <row r="18" spans="1:13" s="89" customFormat="1" ht="24" customHeight="1" x14ac:dyDescent="0.3">
      <c r="A18" s="88" t="s">
        <v>44</v>
      </c>
      <c r="B18" s="88" t="s">
        <v>402</v>
      </c>
      <c r="C18" s="88" t="s">
        <v>402</v>
      </c>
      <c r="D18" s="544" t="s">
        <v>45</v>
      </c>
      <c r="E18" s="544" t="s">
        <v>402</v>
      </c>
      <c r="F18" s="87"/>
      <c r="G18" s="86"/>
      <c r="H18" s="88"/>
      <c r="I18" s="85"/>
      <c r="J18" s="82">
        <v>274049.01</v>
      </c>
      <c r="K18" s="556">
        <v>1.8427709394243361E-2</v>
      </c>
      <c r="L18" s="420"/>
      <c r="M18" s="92"/>
    </row>
    <row r="19" spans="1:13" s="92" customFormat="1" ht="26.15" customHeight="1" x14ac:dyDescent="0.3">
      <c r="A19" s="415" t="s">
        <v>46</v>
      </c>
      <c r="B19" s="415" t="s">
        <v>47</v>
      </c>
      <c r="C19" s="415" t="s">
        <v>19</v>
      </c>
      <c r="D19" s="416" t="s">
        <v>48</v>
      </c>
      <c r="E19" s="415" t="s">
        <v>21</v>
      </c>
      <c r="F19" s="100">
        <v>18</v>
      </c>
      <c r="G19" s="101">
        <v>4472.0200000000004</v>
      </c>
      <c r="H19" s="84">
        <v>0.2122</v>
      </c>
      <c r="I19" s="83">
        <v>5420.98</v>
      </c>
      <c r="J19" s="83">
        <v>97577.64</v>
      </c>
      <c r="K19" s="557">
        <v>6.5613533626561775E-3</v>
      </c>
      <c r="L19" s="420"/>
    </row>
    <row r="20" spans="1:13" s="92" customFormat="1" ht="26.15" customHeight="1" x14ac:dyDescent="0.3">
      <c r="A20" s="415" t="s">
        <v>49</v>
      </c>
      <c r="B20" s="415" t="s">
        <v>50</v>
      </c>
      <c r="C20" s="415" t="s">
        <v>19</v>
      </c>
      <c r="D20" s="416" t="s">
        <v>51</v>
      </c>
      <c r="E20" s="415" t="s">
        <v>21</v>
      </c>
      <c r="F20" s="100">
        <v>9</v>
      </c>
      <c r="G20" s="101">
        <v>6409.08</v>
      </c>
      <c r="H20" s="84">
        <v>0.2122</v>
      </c>
      <c r="I20" s="83">
        <v>7769.09</v>
      </c>
      <c r="J20" s="83">
        <v>69921.81</v>
      </c>
      <c r="K20" s="557">
        <v>4.7017093584811676E-3</v>
      </c>
      <c r="L20" s="420"/>
    </row>
    <row r="21" spans="1:13" s="92" customFormat="1" ht="24" customHeight="1" x14ac:dyDescent="0.3">
      <c r="A21" s="415" t="s">
        <v>52</v>
      </c>
      <c r="B21" s="415" t="s">
        <v>53</v>
      </c>
      <c r="C21" s="415" t="s">
        <v>19</v>
      </c>
      <c r="D21" s="416" t="s">
        <v>54</v>
      </c>
      <c r="E21" s="415" t="s">
        <v>21</v>
      </c>
      <c r="F21" s="100">
        <v>9</v>
      </c>
      <c r="G21" s="101">
        <v>6625.31</v>
      </c>
      <c r="H21" s="84">
        <v>0.2122</v>
      </c>
      <c r="I21" s="83">
        <v>8031.2</v>
      </c>
      <c r="J21" s="83">
        <v>72280.800000000003</v>
      </c>
      <c r="K21" s="557">
        <v>4.860333475327736E-3</v>
      </c>
      <c r="L21" s="420"/>
    </row>
    <row r="22" spans="1:13" s="92" customFormat="1" ht="26.15" customHeight="1" x14ac:dyDescent="0.3">
      <c r="A22" s="415" t="s">
        <v>55</v>
      </c>
      <c r="B22" s="415" t="s">
        <v>56</v>
      </c>
      <c r="C22" s="415" t="s">
        <v>19</v>
      </c>
      <c r="D22" s="416" t="s">
        <v>57</v>
      </c>
      <c r="E22" s="415" t="s">
        <v>21</v>
      </c>
      <c r="F22" s="100">
        <v>9</v>
      </c>
      <c r="G22" s="101">
        <v>3141.1</v>
      </c>
      <c r="H22" s="84">
        <v>0.2122</v>
      </c>
      <c r="I22" s="83">
        <v>3807.64</v>
      </c>
      <c r="J22" s="83">
        <v>34268.76</v>
      </c>
      <c r="K22" s="557">
        <v>2.3043131977782774E-3</v>
      </c>
      <c r="L22" s="420"/>
    </row>
    <row r="23" spans="1:13" s="89" customFormat="1" ht="24" customHeight="1" x14ac:dyDescent="0.3">
      <c r="A23" s="88" t="s">
        <v>58</v>
      </c>
      <c r="B23" s="88" t="s">
        <v>402</v>
      </c>
      <c r="C23" s="88" t="s">
        <v>402</v>
      </c>
      <c r="D23" s="544" t="s">
        <v>59</v>
      </c>
      <c r="E23" s="544" t="s">
        <v>402</v>
      </c>
      <c r="F23" s="87"/>
      <c r="G23" s="86"/>
      <c r="H23" s="88"/>
      <c r="I23" s="85"/>
      <c r="J23" s="82">
        <v>196790.58000000002</v>
      </c>
      <c r="K23" s="556">
        <v>1.3232668199620934E-2</v>
      </c>
      <c r="L23" s="420"/>
      <c r="M23" s="92"/>
    </row>
    <row r="24" spans="1:13" s="89" customFormat="1" ht="24" customHeight="1" x14ac:dyDescent="0.3">
      <c r="A24" s="88" t="s">
        <v>60</v>
      </c>
      <c r="B24" s="88" t="s">
        <v>402</v>
      </c>
      <c r="C24" s="88" t="s">
        <v>402</v>
      </c>
      <c r="D24" s="544" t="s">
        <v>61</v>
      </c>
      <c r="E24" s="544" t="s">
        <v>402</v>
      </c>
      <c r="F24" s="87"/>
      <c r="G24" s="86"/>
      <c r="H24" s="88"/>
      <c r="I24" s="85"/>
      <c r="J24" s="82">
        <v>70766.010000000009</v>
      </c>
      <c r="K24" s="556">
        <v>4.7584753809915958E-3</v>
      </c>
      <c r="L24" s="420"/>
      <c r="M24" s="92"/>
    </row>
    <row r="25" spans="1:13" s="92" customFormat="1" ht="24" customHeight="1" x14ac:dyDescent="0.3">
      <c r="A25" s="415" t="s">
        <v>62</v>
      </c>
      <c r="B25" s="415" t="s">
        <v>63</v>
      </c>
      <c r="C25" s="415" t="s">
        <v>19</v>
      </c>
      <c r="D25" s="416" t="s">
        <v>64</v>
      </c>
      <c r="E25" s="415" t="s">
        <v>21</v>
      </c>
      <c r="F25" s="100">
        <v>9</v>
      </c>
      <c r="G25" s="101">
        <v>4319.6899999999996</v>
      </c>
      <c r="H25" s="84">
        <v>0.2122</v>
      </c>
      <c r="I25" s="83">
        <v>5236.33</v>
      </c>
      <c r="J25" s="83">
        <v>47126.97</v>
      </c>
      <c r="K25" s="557">
        <v>3.1689299216633732E-3</v>
      </c>
      <c r="L25" s="420"/>
    </row>
    <row r="26" spans="1:13" s="92" customFormat="1" ht="24" customHeight="1" x14ac:dyDescent="0.3">
      <c r="A26" s="415" t="s">
        <v>65</v>
      </c>
      <c r="B26" s="415" t="s">
        <v>66</v>
      </c>
      <c r="C26" s="415" t="s">
        <v>19</v>
      </c>
      <c r="D26" s="416" t="s">
        <v>67</v>
      </c>
      <c r="E26" s="415" t="s">
        <v>21</v>
      </c>
      <c r="F26" s="100">
        <v>9</v>
      </c>
      <c r="G26" s="101">
        <v>2166.77</v>
      </c>
      <c r="H26" s="84">
        <v>0.2122</v>
      </c>
      <c r="I26" s="83">
        <v>2626.56</v>
      </c>
      <c r="J26" s="83">
        <v>23639.040000000001</v>
      </c>
      <c r="K26" s="557">
        <v>1.5895454593282221E-3</v>
      </c>
      <c r="L26" s="420"/>
    </row>
    <row r="27" spans="1:13" s="89" customFormat="1" ht="24" customHeight="1" x14ac:dyDescent="0.3">
      <c r="A27" s="88" t="s">
        <v>68</v>
      </c>
      <c r="B27" s="88" t="s">
        <v>402</v>
      </c>
      <c r="C27" s="88" t="s">
        <v>402</v>
      </c>
      <c r="D27" s="544" t="s">
        <v>69</v>
      </c>
      <c r="E27" s="544" t="s">
        <v>402</v>
      </c>
      <c r="F27" s="87"/>
      <c r="G27" s="86"/>
      <c r="H27" s="88"/>
      <c r="I27" s="85"/>
      <c r="J27" s="82">
        <v>126024.57</v>
      </c>
      <c r="K27" s="556">
        <v>8.4741928186293381E-3</v>
      </c>
      <c r="L27" s="420"/>
      <c r="M27" s="92"/>
    </row>
    <row r="28" spans="1:13" s="92" customFormat="1" ht="24" customHeight="1" x14ac:dyDescent="0.3">
      <c r="A28" s="415" t="s">
        <v>70</v>
      </c>
      <c r="B28" s="415" t="s">
        <v>3512</v>
      </c>
      <c r="C28" s="415" t="s">
        <v>3751</v>
      </c>
      <c r="D28" s="416" t="s">
        <v>71</v>
      </c>
      <c r="E28" s="415" t="s">
        <v>27</v>
      </c>
      <c r="F28" s="100">
        <v>9</v>
      </c>
      <c r="G28" s="101">
        <v>11551.5</v>
      </c>
      <c r="H28" s="84">
        <v>0.2122</v>
      </c>
      <c r="I28" s="83">
        <v>14002.73</v>
      </c>
      <c r="J28" s="83">
        <v>126024.57</v>
      </c>
      <c r="K28" s="557">
        <v>8.4741928186293381E-3</v>
      </c>
      <c r="L28" s="420"/>
    </row>
    <row r="29" spans="1:13" s="89" customFormat="1" ht="24" customHeight="1" x14ac:dyDescent="0.3">
      <c r="A29" s="88" t="s">
        <v>72</v>
      </c>
      <c r="B29" s="88" t="s">
        <v>402</v>
      </c>
      <c r="C29" s="88" t="s">
        <v>402</v>
      </c>
      <c r="D29" s="544" t="s">
        <v>73</v>
      </c>
      <c r="E29" s="544" t="s">
        <v>402</v>
      </c>
      <c r="F29" s="87"/>
      <c r="G29" s="86"/>
      <c r="H29" s="88"/>
      <c r="I29" s="85"/>
      <c r="J29" s="82">
        <v>46758.67</v>
      </c>
      <c r="K29" s="556">
        <v>3.1441645507908423E-3</v>
      </c>
      <c r="L29" s="420"/>
      <c r="M29" s="92"/>
    </row>
    <row r="30" spans="1:13" s="92" customFormat="1" ht="26.15" customHeight="1" x14ac:dyDescent="0.3">
      <c r="A30" s="415" t="s">
        <v>74</v>
      </c>
      <c r="B30" s="415" t="s">
        <v>18</v>
      </c>
      <c r="C30" s="415" t="s">
        <v>19</v>
      </c>
      <c r="D30" s="416" t="s">
        <v>20</v>
      </c>
      <c r="E30" s="415" t="s">
        <v>21</v>
      </c>
      <c r="F30" s="100">
        <v>1</v>
      </c>
      <c r="G30" s="101">
        <v>34812.769999999997</v>
      </c>
      <c r="H30" s="84">
        <v>0.2122</v>
      </c>
      <c r="I30" s="83">
        <v>42200.04</v>
      </c>
      <c r="J30" s="83">
        <v>42200.04</v>
      </c>
      <c r="K30" s="557">
        <v>2.8376313913538514E-3</v>
      </c>
      <c r="L30" s="420"/>
    </row>
    <row r="31" spans="1:13" s="92" customFormat="1" ht="24" customHeight="1" x14ac:dyDescent="0.3">
      <c r="A31" s="415" t="s">
        <v>75</v>
      </c>
      <c r="B31" s="415" t="s">
        <v>76</v>
      </c>
      <c r="C31" s="415" t="s">
        <v>19</v>
      </c>
      <c r="D31" s="416" t="s">
        <v>77</v>
      </c>
      <c r="E31" s="415" t="s">
        <v>21</v>
      </c>
      <c r="F31" s="100">
        <v>1</v>
      </c>
      <c r="G31" s="101">
        <v>3263.02</v>
      </c>
      <c r="H31" s="84">
        <v>0.2122</v>
      </c>
      <c r="I31" s="83">
        <v>3955.43</v>
      </c>
      <c r="J31" s="83">
        <v>3955.43</v>
      </c>
      <c r="K31" s="557">
        <v>2.6597255202371288E-4</v>
      </c>
      <c r="L31" s="420"/>
    </row>
    <row r="32" spans="1:13" s="92" customFormat="1" ht="24" customHeight="1" x14ac:dyDescent="0.3">
      <c r="A32" s="415" t="s">
        <v>78</v>
      </c>
      <c r="B32" s="415" t="s">
        <v>79</v>
      </c>
      <c r="C32" s="415" t="s">
        <v>3751</v>
      </c>
      <c r="D32" s="416" t="s">
        <v>80</v>
      </c>
      <c r="E32" s="415" t="s">
        <v>81</v>
      </c>
      <c r="F32" s="100">
        <v>2</v>
      </c>
      <c r="G32" s="102">
        <v>271.47000000000003</v>
      </c>
      <c r="H32" s="84">
        <v>0.111</v>
      </c>
      <c r="I32" s="83">
        <v>301.60000000000002</v>
      </c>
      <c r="J32" s="83">
        <v>603.20000000000005</v>
      </c>
      <c r="K32" s="557">
        <v>4.0560607413278358E-5</v>
      </c>
      <c r="L32" s="420"/>
    </row>
    <row r="33" spans="1:13" s="89" customFormat="1" ht="24" customHeight="1" x14ac:dyDescent="0.3">
      <c r="A33" s="88" t="s">
        <v>82</v>
      </c>
      <c r="B33" s="88" t="s">
        <v>402</v>
      </c>
      <c r="C33" s="88" t="s">
        <v>402</v>
      </c>
      <c r="D33" s="544" t="s">
        <v>83</v>
      </c>
      <c r="E33" s="544" t="s">
        <v>402</v>
      </c>
      <c r="F33" s="87"/>
      <c r="G33" s="86"/>
      <c r="H33" s="88"/>
      <c r="I33" s="85"/>
      <c r="J33" s="82">
        <v>32910.089999999997</v>
      </c>
      <c r="K33" s="556">
        <v>2.2129529847905467E-3</v>
      </c>
      <c r="L33" s="420"/>
      <c r="M33" s="92"/>
    </row>
    <row r="34" spans="1:13" s="92" customFormat="1" ht="24" customHeight="1" x14ac:dyDescent="0.3">
      <c r="A34" s="415" t="s">
        <v>84</v>
      </c>
      <c r="B34" s="415" t="s">
        <v>85</v>
      </c>
      <c r="C34" s="415" t="s">
        <v>3751</v>
      </c>
      <c r="D34" s="416" t="s">
        <v>86</v>
      </c>
      <c r="E34" s="415" t="s">
        <v>27</v>
      </c>
      <c r="F34" s="100">
        <v>7</v>
      </c>
      <c r="G34" s="101">
        <v>2096.44</v>
      </c>
      <c r="H34" s="84">
        <v>0.2122</v>
      </c>
      <c r="I34" s="83">
        <v>2541.3000000000002</v>
      </c>
      <c r="J34" s="83">
        <v>17789.099999999999</v>
      </c>
      <c r="K34" s="557">
        <v>1.1961815340443467E-3</v>
      </c>
      <c r="L34" s="420"/>
    </row>
    <row r="35" spans="1:13" s="92" customFormat="1" ht="24" customHeight="1" x14ac:dyDescent="0.3">
      <c r="A35" s="415" t="s">
        <v>87</v>
      </c>
      <c r="B35" s="415" t="s">
        <v>88</v>
      </c>
      <c r="C35" s="415" t="s">
        <v>3751</v>
      </c>
      <c r="D35" s="416" t="s">
        <v>89</v>
      </c>
      <c r="E35" s="415" t="s">
        <v>27</v>
      </c>
      <c r="F35" s="100">
        <v>9</v>
      </c>
      <c r="G35" s="101">
        <v>1386</v>
      </c>
      <c r="H35" s="84">
        <v>0.2122</v>
      </c>
      <c r="I35" s="83">
        <v>1680.11</v>
      </c>
      <c r="J35" s="83">
        <v>15120.99</v>
      </c>
      <c r="K35" s="557">
        <v>1.0167714507462E-3</v>
      </c>
      <c r="L35" s="420"/>
    </row>
    <row r="36" spans="1:13" s="89" customFormat="1" ht="24" customHeight="1" x14ac:dyDescent="0.3">
      <c r="A36" s="88" t="s">
        <v>90</v>
      </c>
      <c r="B36" s="88" t="s">
        <v>402</v>
      </c>
      <c r="C36" s="88" t="s">
        <v>402</v>
      </c>
      <c r="D36" s="544" t="s">
        <v>91</v>
      </c>
      <c r="E36" s="544" t="s">
        <v>402</v>
      </c>
      <c r="F36" s="87"/>
      <c r="G36" s="86"/>
      <c r="H36" s="88"/>
      <c r="I36" s="85"/>
      <c r="J36" s="82">
        <v>138226.44</v>
      </c>
      <c r="K36" s="556">
        <v>9.2946756746934284E-3</v>
      </c>
      <c r="L36" s="420"/>
      <c r="M36" s="92"/>
    </row>
    <row r="37" spans="1:13" s="92" customFormat="1" ht="52" customHeight="1" x14ac:dyDescent="0.3">
      <c r="A37" s="415" t="s">
        <v>92</v>
      </c>
      <c r="B37" s="415" t="s">
        <v>93</v>
      </c>
      <c r="C37" s="415" t="s">
        <v>19</v>
      </c>
      <c r="D37" s="416" t="s">
        <v>94</v>
      </c>
      <c r="E37" s="415" t="s">
        <v>95</v>
      </c>
      <c r="F37" s="100">
        <v>396</v>
      </c>
      <c r="G37" s="101">
        <v>241.54</v>
      </c>
      <c r="H37" s="84">
        <v>0.2122</v>
      </c>
      <c r="I37" s="83">
        <v>292.79000000000002</v>
      </c>
      <c r="J37" s="83">
        <v>115944.84</v>
      </c>
      <c r="K37" s="557">
        <v>7.7964077202177925E-3</v>
      </c>
      <c r="L37" s="420"/>
    </row>
    <row r="38" spans="1:13" s="92" customFormat="1" ht="26.15" customHeight="1" x14ac:dyDescent="0.3">
      <c r="A38" s="415" t="s">
        <v>96</v>
      </c>
      <c r="B38" s="415" t="s">
        <v>97</v>
      </c>
      <c r="C38" s="415" t="s">
        <v>19</v>
      </c>
      <c r="D38" s="416" t="s">
        <v>98</v>
      </c>
      <c r="E38" s="415" t="s">
        <v>95</v>
      </c>
      <c r="F38" s="100">
        <v>88</v>
      </c>
      <c r="G38" s="101">
        <v>174.49</v>
      </c>
      <c r="H38" s="84">
        <v>0.2122</v>
      </c>
      <c r="I38" s="83">
        <v>211.52</v>
      </c>
      <c r="J38" s="83">
        <v>18613.759999999998</v>
      </c>
      <c r="K38" s="557">
        <v>1.251633640326565E-3</v>
      </c>
      <c r="L38" s="420"/>
    </row>
    <row r="39" spans="1:13" s="92" customFormat="1" ht="26.15" customHeight="1" x14ac:dyDescent="0.3">
      <c r="A39" s="415" t="s">
        <v>99</v>
      </c>
      <c r="B39" s="415" t="s">
        <v>100</v>
      </c>
      <c r="C39" s="415" t="s">
        <v>19</v>
      </c>
      <c r="D39" s="416" t="s">
        <v>101</v>
      </c>
      <c r="E39" s="415" t="s">
        <v>102</v>
      </c>
      <c r="F39" s="100">
        <v>352</v>
      </c>
      <c r="G39" s="101">
        <v>8.6</v>
      </c>
      <c r="H39" s="84">
        <v>0.2122</v>
      </c>
      <c r="I39" s="83">
        <v>10.42</v>
      </c>
      <c r="J39" s="83">
        <v>3667.84</v>
      </c>
      <c r="K39" s="557">
        <v>2.4663431414906979E-4</v>
      </c>
      <c r="L39" s="420"/>
    </row>
    <row r="40" spans="1:13" s="89" customFormat="1" ht="26.15" customHeight="1" x14ac:dyDescent="0.3">
      <c r="A40" s="88" t="s">
        <v>103</v>
      </c>
      <c r="B40" s="88" t="s">
        <v>402</v>
      </c>
      <c r="C40" s="88" t="s">
        <v>402</v>
      </c>
      <c r="D40" s="544" t="s">
        <v>104</v>
      </c>
      <c r="E40" s="544" t="s">
        <v>402</v>
      </c>
      <c r="F40" s="87"/>
      <c r="G40" s="86"/>
      <c r="H40" s="88"/>
      <c r="I40" s="85"/>
      <c r="J40" s="82">
        <v>38465.57</v>
      </c>
      <c r="K40" s="556">
        <v>2.5865167170059308E-3</v>
      </c>
      <c r="L40" s="420"/>
      <c r="M40" s="92"/>
    </row>
    <row r="41" spans="1:13" s="92" customFormat="1" ht="26.15" customHeight="1" x14ac:dyDescent="0.3">
      <c r="A41" s="415" t="s">
        <v>105</v>
      </c>
      <c r="B41" s="415" t="s">
        <v>106</v>
      </c>
      <c r="C41" s="415" t="s">
        <v>19</v>
      </c>
      <c r="D41" s="416" t="s">
        <v>3513</v>
      </c>
      <c r="E41" s="415" t="s">
        <v>421</v>
      </c>
      <c r="F41" s="100">
        <v>388</v>
      </c>
      <c r="G41" s="101">
        <v>3.07</v>
      </c>
      <c r="H41" s="84">
        <v>0.2122</v>
      </c>
      <c r="I41" s="83">
        <v>3.72</v>
      </c>
      <c r="J41" s="83">
        <v>1443.36</v>
      </c>
      <c r="K41" s="557">
        <v>9.7054970683072681E-5</v>
      </c>
      <c r="L41" s="420"/>
    </row>
    <row r="42" spans="1:13" s="92" customFormat="1" ht="52" customHeight="1" x14ac:dyDescent="0.3">
      <c r="A42" s="415" t="s">
        <v>3961</v>
      </c>
      <c r="B42" s="415" t="s">
        <v>107</v>
      </c>
      <c r="C42" s="415" t="s">
        <v>19</v>
      </c>
      <c r="D42" s="416" t="s">
        <v>108</v>
      </c>
      <c r="E42" s="415" t="s">
        <v>227</v>
      </c>
      <c r="F42" s="100">
        <v>25.220000000000002</v>
      </c>
      <c r="G42" s="101">
        <v>8.81</v>
      </c>
      <c r="H42" s="84">
        <v>0.2122</v>
      </c>
      <c r="I42" s="83">
        <v>10.68</v>
      </c>
      <c r="J42" s="83">
        <v>269.33999999999997</v>
      </c>
      <c r="K42" s="557">
        <v>1.811106432475529E-5</v>
      </c>
      <c r="L42" s="420"/>
    </row>
    <row r="43" spans="1:13" s="92" customFormat="1" ht="39" customHeight="1" x14ac:dyDescent="0.3">
      <c r="A43" s="415" t="s">
        <v>3962</v>
      </c>
      <c r="B43" s="415" t="s">
        <v>109</v>
      </c>
      <c r="C43" s="415" t="s">
        <v>19</v>
      </c>
      <c r="D43" s="416" t="s">
        <v>110</v>
      </c>
      <c r="E43" s="415" t="s">
        <v>111</v>
      </c>
      <c r="F43" s="100">
        <v>756.6</v>
      </c>
      <c r="G43" s="101">
        <v>2.1</v>
      </c>
      <c r="H43" s="84">
        <v>0.2122</v>
      </c>
      <c r="I43" s="83">
        <v>2.5499999999999998</v>
      </c>
      <c r="J43" s="83">
        <v>1929.33</v>
      </c>
      <c r="K43" s="557">
        <v>1.2973275315096208E-4</v>
      </c>
      <c r="L43" s="420"/>
    </row>
    <row r="44" spans="1:13" s="92" customFormat="1" ht="39" customHeight="1" x14ac:dyDescent="0.3">
      <c r="A44" s="415" t="s">
        <v>3963</v>
      </c>
      <c r="B44" s="415" t="s">
        <v>112</v>
      </c>
      <c r="C44" s="415" t="s">
        <v>19</v>
      </c>
      <c r="D44" s="416" t="s">
        <v>113</v>
      </c>
      <c r="E44" s="415" t="s">
        <v>111</v>
      </c>
      <c r="F44" s="100">
        <v>1134.9000000000001</v>
      </c>
      <c r="G44" s="101">
        <v>0.85</v>
      </c>
      <c r="H44" s="84">
        <v>0.2122</v>
      </c>
      <c r="I44" s="83">
        <v>1.03</v>
      </c>
      <c r="J44" s="83">
        <v>1168.94</v>
      </c>
      <c r="K44" s="557">
        <v>7.8602315035937676E-5</v>
      </c>
      <c r="L44" s="420"/>
    </row>
    <row r="45" spans="1:13" s="92" customFormat="1" ht="26.15" customHeight="1" x14ac:dyDescent="0.3">
      <c r="A45" s="415" t="s">
        <v>3964</v>
      </c>
      <c r="B45" s="415" t="s">
        <v>114</v>
      </c>
      <c r="C45" s="415" t="s">
        <v>115</v>
      </c>
      <c r="D45" s="416" t="s">
        <v>378</v>
      </c>
      <c r="E45" s="415" t="s">
        <v>227</v>
      </c>
      <c r="F45" s="100">
        <v>40</v>
      </c>
      <c r="G45" s="101">
        <v>7.29</v>
      </c>
      <c r="H45" s="84">
        <v>0.2122</v>
      </c>
      <c r="I45" s="83">
        <v>8.84</v>
      </c>
      <c r="J45" s="83">
        <v>353.6</v>
      </c>
      <c r="K45" s="557">
        <v>2.377690779399076E-5</v>
      </c>
      <c r="L45" s="420"/>
    </row>
    <row r="46" spans="1:13" s="92" customFormat="1" ht="52" customHeight="1" x14ac:dyDescent="0.3">
      <c r="A46" s="415" t="s">
        <v>3965</v>
      </c>
      <c r="B46" s="415" t="s">
        <v>116</v>
      </c>
      <c r="C46" s="415" t="s">
        <v>19</v>
      </c>
      <c r="D46" s="416" t="s">
        <v>117</v>
      </c>
      <c r="E46" s="415" t="s">
        <v>227</v>
      </c>
      <c r="F46" s="100">
        <v>60</v>
      </c>
      <c r="G46" s="101">
        <v>6.53</v>
      </c>
      <c r="H46" s="84">
        <v>0.2122</v>
      </c>
      <c r="I46" s="83">
        <v>7.92</v>
      </c>
      <c r="J46" s="83">
        <v>475.2</v>
      </c>
      <c r="K46" s="557">
        <v>3.1953581967489841E-5</v>
      </c>
      <c r="L46" s="420"/>
    </row>
    <row r="47" spans="1:13" s="92" customFormat="1" ht="39" customHeight="1" x14ac:dyDescent="0.3">
      <c r="A47" s="415" t="s">
        <v>3966</v>
      </c>
      <c r="B47" s="415" t="s">
        <v>109</v>
      </c>
      <c r="C47" s="415" t="s">
        <v>19</v>
      </c>
      <c r="D47" s="416" t="s">
        <v>110</v>
      </c>
      <c r="E47" s="415" t="s">
        <v>111</v>
      </c>
      <c r="F47" s="100">
        <v>1800</v>
      </c>
      <c r="G47" s="101">
        <v>2.1</v>
      </c>
      <c r="H47" s="84">
        <v>0.2122</v>
      </c>
      <c r="I47" s="83">
        <v>2.5499999999999998</v>
      </c>
      <c r="J47" s="83">
        <v>4590</v>
      </c>
      <c r="K47" s="557">
        <v>3.0864255309507238E-4</v>
      </c>
      <c r="L47" s="420"/>
    </row>
    <row r="48" spans="1:13" s="92" customFormat="1" ht="39" customHeight="1" x14ac:dyDescent="0.3">
      <c r="A48" s="415" t="s">
        <v>3967</v>
      </c>
      <c r="B48" s="415" t="s">
        <v>112</v>
      </c>
      <c r="C48" s="415" t="s">
        <v>19</v>
      </c>
      <c r="D48" s="416" t="s">
        <v>113</v>
      </c>
      <c r="E48" s="415" t="s">
        <v>111</v>
      </c>
      <c r="F48" s="100">
        <v>2700</v>
      </c>
      <c r="G48" s="101">
        <v>0.85</v>
      </c>
      <c r="H48" s="84">
        <v>0.2122</v>
      </c>
      <c r="I48" s="83">
        <v>1.03</v>
      </c>
      <c r="J48" s="83">
        <v>2781</v>
      </c>
      <c r="K48" s="557">
        <v>1.8700107628701442E-4</v>
      </c>
      <c r="L48" s="420"/>
    </row>
    <row r="49" spans="1:13" s="92" customFormat="1" ht="24" customHeight="1" x14ac:dyDescent="0.3">
      <c r="A49" s="415" t="s">
        <v>3968</v>
      </c>
      <c r="B49" s="415" t="s">
        <v>118</v>
      </c>
      <c r="C49" s="415" t="s">
        <v>115</v>
      </c>
      <c r="D49" s="416" t="s">
        <v>379</v>
      </c>
      <c r="E49" s="415" t="s">
        <v>227</v>
      </c>
      <c r="F49" s="100">
        <v>120</v>
      </c>
      <c r="G49" s="101">
        <v>1.97</v>
      </c>
      <c r="H49" s="84">
        <v>0.2122</v>
      </c>
      <c r="I49" s="83">
        <v>2.39</v>
      </c>
      <c r="J49" s="83">
        <v>286.8</v>
      </c>
      <c r="K49" s="557">
        <v>1.9285116389469882E-5</v>
      </c>
      <c r="L49" s="420"/>
    </row>
    <row r="50" spans="1:13" s="92" customFormat="1" ht="24" customHeight="1" x14ac:dyDescent="0.3">
      <c r="A50" s="415" t="s">
        <v>3969</v>
      </c>
      <c r="B50" s="415" t="s">
        <v>119</v>
      </c>
      <c r="C50" s="415" t="s">
        <v>19</v>
      </c>
      <c r="D50" s="416" t="s">
        <v>3775</v>
      </c>
      <c r="E50" s="415" t="s">
        <v>421</v>
      </c>
      <c r="F50" s="100">
        <v>800</v>
      </c>
      <c r="G50" s="101">
        <v>4.04</v>
      </c>
      <c r="H50" s="84">
        <v>0.2122</v>
      </c>
      <c r="I50" s="83">
        <v>4.9000000000000004</v>
      </c>
      <c r="J50" s="83">
        <v>3920</v>
      </c>
      <c r="K50" s="557">
        <v>2.635901542772731E-4</v>
      </c>
      <c r="L50" s="420"/>
    </row>
    <row r="51" spans="1:13" s="92" customFormat="1" ht="24" customHeight="1" x14ac:dyDescent="0.3">
      <c r="A51" s="415" t="s">
        <v>3970</v>
      </c>
      <c r="B51" s="415" t="s">
        <v>120</v>
      </c>
      <c r="C51" s="415" t="s">
        <v>19</v>
      </c>
      <c r="D51" s="416" t="s">
        <v>3776</v>
      </c>
      <c r="E51" s="415" t="s">
        <v>421</v>
      </c>
      <c r="F51" s="100">
        <v>800</v>
      </c>
      <c r="G51" s="101">
        <v>5.38</v>
      </c>
      <c r="H51" s="84">
        <v>0.2122</v>
      </c>
      <c r="I51" s="83">
        <v>6.52</v>
      </c>
      <c r="J51" s="83">
        <v>5216</v>
      </c>
      <c r="K51" s="557">
        <v>3.5073628691588177E-4</v>
      </c>
      <c r="L51" s="420"/>
    </row>
    <row r="52" spans="1:13" s="92" customFormat="1" ht="26.15" customHeight="1" x14ac:dyDescent="0.3">
      <c r="A52" s="415" t="s">
        <v>3971</v>
      </c>
      <c r="B52" s="415" t="s">
        <v>121</v>
      </c>
      <c r="C52" s="415" t="s">
        <v>19</v>
      </c>
      <c r="D52" s="416" t="s">
        <v>3777</v>
      </c>
      <c r="E52" s="415" t="s">
        <v>421</v>
      </c>
      <c r="F52" s="100">
        <v>800</v>
      </c>
      <c r="G52" s="101">
        <v>0.4</v>
      </c>
      <c r="H52" s="84">
        <v>0.2122</v>
      </c>
      <c r="I52" s="83">
        <v>0.48</v>
      </c>
      <c r="J52" s="83">
        <v>384</v>
      </c>
      <c r="K52" s="557">
        <v>2.5821076337365532E-5</v>
      </c>
      <c r="L52" s="420"/>
    </row>
    <row r="53" spans="1:13" s="92" customFormat="1" ht="24" customHeight="1" x14ac:dyDescent="0.3">
      <c r="A53" s="415" t="s">
        <v>3972</v>
      </c>
      <c r="B53" s="415" t="s">
        <v>122</v>
      </c>
      <c r="C53" s="415" t="s">
        <v>19</v>
      </c>
      <c r="D53" s="416" t="s">
        <v>3778</v>
      </c>
      <c r="E53" s="415" t="s">
        <v>421</v>
      </c>
      <c r="F53" s="100">
        <v>800</v>
      </c>
      <c r="G53" s="101">
        <v>16.14</v>
      </c>
      <c r="H53" s="84">
        <v>0.2122</v>
      </c>
      <c r="I53" s="83">
        <v>19.559999999999999</v>
      </c>
      <c r="J53" s="83">
        <v>15648</v>
      </c>
      <c r="K53" s="557">
        <v>1.0522088607476455E-3</v>
      </c>
      <c r="L53" s="420"/>
    </row>
    <row r="54" spans="1:13" s="89" customFormat="1" ht="24" customHeight="1" x14ac:dyDescent="0.3">
      <c r="A54" s="88">
        <v>2</v>
      </c>
      <c r="B54" s="88" t="s">
        <v>402</v>
      </c>
      <c r="C54" s="88" t="s">
        <v>402</v>
      </c>
      <c r="D54" s="544" t="s">
        <v>123</v>
      </c>
      <c r="E54" s="544" t="s">
        <v>402</v>
      </c>
      <c r="F54" s="87"/>
      <c r="G54" s="86"/>
      <c r="H54" s="88"/>
      <c r="I54" s="85"/>
      <c r="J54" s="82">
        <v>36998.720000000001</v>
      </c>
      <c r="K54" s="556">
        <v>2.4878822226687834E-3</v>
      </c>
      <c r="L54" s="420"/>
      <c r="M54" s="92"/>
    </row>
    <row r="55" spans="1:13" s="92" customFormat="1" ht="26.15" customHeight="1" x14ac:dyDescent="0.3">
      <c r="A55" s="415" t="s">
        <v>124</v>
      </c>
      <c r="B55" s="415" t="s">
        <v>125</v>
      </c>
      <c r="C55" s="415" t="s">
        <v>115</v>
      </c>
      <c r="D55" s="416" t="s">
        <v>380</v>
      </c>
      <c r="E55" s="415" t="s">
        <v>81</v>
      </c>
      <c r="F55" s="100">
        <v>44</v>
      </c>
      <c r="G55" s="103">
        <v>390.8</v>
      </c>
      <c r="H55" s="84">
        <v>0.2122</v>
      </c>
      <c r="I55" s="83">
        <v>473.73</v>
      </c>
      <c r="J55" s="83">
        <v>20844.12</v>
      </c>
      <c r="K55" s="557">
        <v>1.401608369023978E-3</v>
      </c>
      <c r="L55" s="420"/>
    </row>
    <row r="56" spans="1:13" s="92" customFormat="1" ht="26.15" customHeight="1" x14ac:dyDescent="0.3">
      <c r="A56" s="415" t="s">
        <v>126</v>
      </c>
      <c r="B56" s="415" t="s">
        <v>127</v>
      </c>
      <c r="C56" s="415" t="s">
        <v>115</v>
      </c>
      <c r="D56" s="416" t="s">
        <v>381</v>
      </c>
      <c r="E56" s="415" t="s">
        <v>81</v>
      </c>
      <c r="F56" s="100">
        <v>44</v>
      </c>
      <c r="G56" s="103">
        <v>302.88</v>
      </c>
      <c r="H56" s="84">
        <v>0.2122</v>
      </c>
      <c r="I56" s="83">
        <v>367.15</v>
      </c>
      <c r="J56" s="83">
        <v>16154.6</v>
      </c>
      <c r="K56" s="557">
        <v>1.0862738536448052E-3</v>
      </c>
      <c r="L56" s="420"/>
    </row>
    <row r="57" spans="1:13" s="89" customFormat="1" ht="24" customHeight="1" x14ac:dyDescent="0.3">
      <c r="A57" s="88">
        <v>3</v>
      </c>
      <c r="B57" s="88" t="s">
        <v>402</v>
      </c>
      <c r="C57" s="88" t="s">
        <v>402</v>
      </c>
      <c r="D57" s="544" t="s">
        <v>128</v>
      </c>
      <c r="E57" s="544" t="s">
        <v>402</v>
      </c>
      <c r="F57" s="87"/>
      <c r="G57" s="86"/>
      <c r="H57" s="88"/>
      <c r="I57" s="85"/>
      <c r="J57" s="82">
        <v>296160.41999999993</v>
      </c>
      <c r="K57" s="556">
        <v>1.9914533366995404E-2</v>
      </c>
      <c r="L57" s="420"/>
      <c r="M57" s="92"/>
    </row>
    <row r="58" spans="1:13" s="89" customFormat="1" ht="24" customHeight="1" x14ac:dyDescent="0.3">
      <c r="A58" s="88" t="s">
        <v>129</v>
      </c>
      <c r="B58" s="88" t="s">
        <v>402</v>
      </c>
      <c r="C58" s="88" t="s">
        <v>402</v>
      </c>
      <c r="D58" s="544" t="s">
        <v>130</v>
      </c>
      <c r="E58" s="544" t="s">
        <v>402</v>
      </c>
      <c r="F58" s="87"/>
      <c r="G58" s="86"/>
      <c r="H58" s="88"/>
      <c r="I58" s="85"/>
      <c r="J58" s="82">
        <v>296160.41999999993</v>
      </c>
      <c r="K58" s="556">
        <v>1.9914533366995404E-2</v>
      </c>
      <c r="L58" s="420"/>
      <c r="M58" s="92"/>
    </row>
    <row r="59" spans="1:13" s="92" customFormat="1" ht="39" customHeight="1" x14ac:dyDescent="0.3">
      <c r="A59" s="415" t="s">
        <v>131</v>
      </c>
      <c r="B59" s="415" t="s">
        <v>132</v>
      </c>
      <c r="C59" s="415" t="s">
        <v>19</v>
      </c>
      <c r="D59" s="416" t="s">
        <v>3779</v>
      </c>
      <c r="E59" s="415" t="s">
        <v>421</v>
      </c>
      <c r="F59" s="100">
        <v>800</v>
      </c>
      <c r="G59" s="101">
        <v>0.65</v>
      </c>
      <c r="H59" s="84">
        <v>0.2122</v>
      </c>
      <c r="I59" s="83">
        <v>0.79</v>
      </c>
      <c r="J59" s="83">
        <v>632</v>
      </c>
      <c r="K59" s="557">
        <v>4.2497188138580768E-5</v>
      </c>
      <c r="L59" s="420"/>
    </row>
    <row r="60" spans="1:13" s="92" customFormat="1" ht="52" customHeight="1" x14ac:dyDescent="0.3">
      <c r="A60" s="415" t="s">
        <v>3973</v>
      </c>
      <c r="B60" s="415" t="s">
        <v>116</v>
      </c>
      <c r="C60" s="415" t="s">
        <v>19</v>
      </c>
      <c r="D60" s="416" t="s">
        <v>117</v>
      </c>
      <c r="E60" s="415" t="s">
        <v>227</v>
      </c>
      <c r="F60" s="100">
        <v>200</v>
      </c>
      <c r="G60" s="101">
        <v>6.53</v>
      </c>
      <c r="H60" s="84">
        <v>0.2122</v>
      </c>
      <c r="I60" s="83">
        <v>7.92</v>
      </c>
      <c r="J60" s="83">
        <v>1584</v>
      </c>
      <c r="K60" s="557">
        <v>1.0651193989163281E-4</v>
      </c>
      <c r="L60" s="420"/>
    </row>
    <row r="61" spans="1:13" s="92" customFormat="1" ht="39" customHeight="1" x14ac:dyDescent="0.3">
      <c r="A61" s="415" t="s">
        <v>3974</v>
      </c>
      <c r="B61" s="415" t="s">
        <v>109</v>
      </c>
      <c r="C61" s="415" t="s">
        <v>19</v>
      </c>
      <c r="D61" s="416" t="s">
        <v>110</v>
      </c>
      <c r="E61" s="415" t="s">
        <v>111</v>
      </c>
      <c r="F61" s="100">
        <v>6000</v>
      </c>
      <c r="G61" s="101">
        <v>2.1</v>
      </c>
      <c r="H61" s="84">
        <v>0.2122</v>
      </c>
      <c r="I61" s="83">
        <v>2.5499999999999998</v>
      </c>
      <c r="J61" s="83">
        <v>15300</v>
      </c>
      <c r="K61" s="557">
        <v>1.0288085103169079E-3</v>
      </c>
      <c r="L61" s="420"/>
    </row>
    <row r="62" spans="1:13" s="92" customFormat="1" ht="39" customHeight="1" x14ac:dyDescent="0.3">
      <c r="A62" s="415" t="s">
        <v>3975</v>
      </c>
      <c r="B62" s="415" t="s">
        <v>112</v>
      </c>
      <c r="C62" s="415" t="s">
        <v>19</v>
      </c>
      <c r="D62" s="416" t="s">
        <v>113</v>
      </c>
      <c r="E62" s="415" t="s">
        <v>111</v>
      </c>
      <c r="F62" s="100">
        <v>9000</v>
      </c>
      <c r="G62" s="101">
        <v>0.85</v>
      </c>
      <c r="H62" s="84">
        <v>0.2122</v>
      </c>
      <c r="I62" s="83">
        <v>1.03</v>
      </c>
      <c r="J62" s="83">
        <v>9270</v>
      </c>
      <c r="K62" s="557">
        <v>6.233369209567148E-4</v>
      </c>
      <c r="L62" s="420"/>
    </row>
    <row r="63" spans="1:13" s="92" customFormat="1" ht="24" customHeight="1" x14ac:dyDescent="0.3">
      <c r="A63" s="415" t="s">
        <v>3976</v>
      </c>
      <c r="B63" s="415" t="s">
        <v>170</v>
      </c>
      <c r="C63" s="415" t="s">
        <v>3751</v>
      </c>
      <c r="D63" s="416" t="s">
        <v>133</v>
      </c>
      <c r="E63" s="415" t="s">
        <v>421</v>
      </c>
      <c r="F63" s="100">
        <v>22.5</v>
      </c>
      <c r="G63" s="101">
        <v>521.92999999999995</v>
      </c>
      <c r="H63" s="84">
        <v>0.2122</v>
      </c>
      <c r="I63" s="83">
        <v>632.67999999999995</v>
      </c>
      <c r="J63" s="83">
        <v>14235.3</v>
      </c>
      <c r="K63" s="557">
        <v>9.5721554162838415E-4</v>
      </c>
      <c r="L63" s="420"/>
    </row>
    <row r="64" spans="1:13" s="92" customFormat="1" ht="24" customHeight="1" x14ac:dyDescent="0.3">
      <c r="A64" s="415" t="s">
        <v>3977</v>
      </c>
      <c r="B64" s="415" t="s">
        <v>134</v>
      </c>
      <c r="C64" s="415" t="s">
        <v>19</v>
      </c>
      <c r="D64" s="416" t="s">
        <v>3832</v>
      </c>
      <c r="E64" s="415" t="s">
        <v>421</v>
      </c>
      <c r="F64" s="100">
        <v>257.60000000000002</v>
      </c>
      <c r="G64" s="101">
        <v>89.42</v>
      </c>
      <c r="H64" s="84">
        <v>0.2122</v>
      </c>
      <c r="I64" s="83">
        <v>108.39</v>
      </c>
      <c r="J64" s="83">
        <v>27921.26</v>
      </c>
      <c r="K64" s="557">
        <v>1.8774921507693507E-3</v>
      </c>
      <c r="L64" s="420"/>
    </row>
    <row r="65" spans="1:12" s="92" customFormat="1" ht="39" customHeight="1" x14ac:dyDescent="0.3">
      <c r="A65" s="415" t="s">
        <v>3978</v>
      </c>
      <c r="B65" s="415" t="s">
        <v>3517</v>
      </c>
      <c r="C65" s="415" t="s">
        <v>3751</v>
      </c>
      <c r="D65" s="416" t="s">
        <v>135</v>
      </c>
      <c r="E65" s="415" t="s">
        <v>81</v>
      </c>
      <c r="F65" s="100">
        <v>1</v>
      </c>
      <c r="G65" s="101">
        <v>853.51</v>
      </c>
      <c r="H65" s="84">
        <v>0.2122</v>
      </c>
      <c r="I65" s="83">
        <v>1034.6199999999999</v>
      </c>
      <c r="J65" s="83">
        <v>1034.6199999999999</v>
      </c>
      <c r="K65" s="557">
        <v>6.9570317708763337E-5</v>
      </c>
      <c r="L65" s="420"/>
    </row>
    <row r="66" spans="1:12" s="92" customFormat="1" ht="39" customHeight="1" x14ac:dyDescent="0.3">
      <c r="A66" s="415" t="s">
        <v>3979</v>
      </c>
      <c r="B66" s="415" t="s">
        <v>3519</v>
      </c>
      <c r="C66" s="415" t="s">
        <v>3751</v>
      </c>
      <c r="D66" s="416" t="s">
        <v>136</v>
      </c>
      <c r="E66" s="415" t="s">
        <v>81</v>
      </c>
      <c r="F66" s="100">
        <v>1</v>
      </c>
      <c r="G66" s="101">
        <v>1927.88</v>
      </c>
      <c r="H66" s="84">
        <v>0.2122</v>
      </c>
      <c r="I66" s="83">
        <v>2336.98</v>
      </c>
      <c r="J66" s="83">
        <v>2336.98</v>
      </c>
      <c r="K66" s="557">
        <v>1.5714411192420963E-4</v>
      </c>
      <c r="L66" s="420"/>
    </row>
    <row r="67" spans="1:12" s="92" customFormat="1" ht="39" customHeight="1" x14ac:dyDescent="0.3">
      <c r="A67" s="415" t="s">
        <v>3980</v>
      </c>
      <c r="B67" s="415" t="s">
        <v>137</v>
      </c>
      <c r="C67" s="415" t="s">
        <v>19</v>
      </c>
      <c r="D67" s="416" t="s">
        <v>138</v>
      </c>
      <c r="E67" s="415" t="s">
        <v>421</v>
      </c>
      <c r="F67" s="100">
        <v>4</v>
      </c>
      <c r="G67" s="101">
        <v>956.67</v>
      </c>
      <c r="H67" s="84">
        <v>0.2122</v>
      </c>
      <c r="I67" s="83">
        <v>1159.68</v>
      </c>
      <c r="J67" s="83">
        <v>4638.72</v>
      </c>
      <c r="K67" s="557">
        <v>3.1191860215537564E-4</v>
      </c>
      <c r="L67" s="420"/>
    </row>
    <row r="68" spans="1:12" s="92" customFormat="1" ht="52" customHeight="1" x14ac:dyDescent="0.3">
      <c r="A68" s="415" t="s">
        <v>3981</v>
      </c>
      <c r="B68" s="415" t="s">
        <v>139</v>
      </c>
      <c r="C68" s="415" t="s">
        <v>19</v>
      </c>
      <c r="D68" s="416" t="s">
        <v>140</v>
      </c>
      <c r="E68" s="415" t="s">
        <v>21</v>
      </c>
      <c r="F68" s="100">
        <v>18</v>
      </c>
      <c r="G68" s="102">
        <v>1500</v>
      </c>
      <c r="H68" s="84">
        <v>0.111</v>
      </c>
      <c r="I68" s="83">
        <v>1666.5</v>
      </c>
      <c r="J68" s="83">
        <v>29997</v>
      </c>
      <c r="K68" s="557">
        <v>2.0170698616977963E-3</v>
      </c>
      <c r="L68" s="420"/>
    </row>
    <row r="69" spans="1:12" s="92" customFormat="1" ht="52" customHeight="1" x14ac:dyDescent="0.3">
      <c r="A69" s="415" t="s">
        <v>3982</v>
      </c>
      <c r="B69" s="415" t="s">
        <v>141</v>
      </c>
      <c r="C69" s="415" t="s">
        <v>19</v>
      </c>
      <c r="D69" s="416" t="s">
        <v>142</v>
      </c>
      <c r="E69" s="415" t="s">
        <v>21</v>
      </c>
      <c r="F69" s="100">
        <v>18</v>
      </c>
      <c r="G69" s="102">
        <v>1875</v>
      </c>
      <c r="H69" s="84">
        <v>0.111</v>
      </c>
      <c r="I69" s="83">
        <v>2083.13</v>
      </c>
      <c r="J69" s="83">
        <v>37496.339999999997</v>
      </c>
      <c r="K69" s="557">
        <v>2.5213433789370121E-3</v>
      </c>
      <c r="L69" s="420"/>
    </row>
    <row r="70" spans="1:12" s="92" customFormat="1" ht="39" customHeight="1" x14ac:dyDescent="0.3">
      <c r="A70" s="415" t="s">
        <v>3983</v>
      </c>
      <c r="B70" s="415" t="s">
        <v>143</v>
      </c>
      <c r="C70" s="415" t="s">
        <v>19</v>
      </c>
      <c r="D70" s="416" t="s">
        <v>144</v>
      </c>
      <c r="E70" s="415" t="s">
        <v>21</v>
      </c>
      <c r="F70" s="100">
        <v>6</v>
      </c>
      <c r="G70" s="102">
        <v>1171.8699999999999</v>
      </c>
      <c r="H70" s="84">
        <v>0.111</v>
      </c>
      <c r="I70" s="83">
        <v>1301.95</v>
      </c>
      <c r="J70" s="83">
        <v>7811.7</v>
      </c>
      <c r="K70" s="557">
        <v>5.2527734902239149E-4</v>
      </c>
      <c r="L70" s="420"/>
    </row>
    <row r="71" spans="1:12" s="92" customFormat="1" ht="39" customHeight="1" x14ac:dyDescent="0.3">
      <c r="A71" s="415" t="s">
        <v>3984</v>
      </c>
      <c r="B71" s="415" t="s">
        <v>145</v>
      </c>
      <c r="C71" s="415" t="s">
        <v>19</v>
      </c>
      <c r="D71" s="416" t="s">
        <v>146</v>
      </c>
      <c r="E71" s="415" t="s">
        <v>421</v>
      </c>
      <c r="F71" s="100">
        <v>20</v>
      </c>
      <c r="G71" s="101">
        <v>755.68</v>
      </c>
      <c r="H71" s="84">
        <v>0.2122</v>
      </c>
      <c r="I71" s="83">
        <v>916.04</v>
      </c>
      <c r="J71" s="83">
        <v>18320.8</v>
      </c>
      <c r="K71" s="557">
        <v>1.2319343108375166E-3</v>
      </c>
      <c r="L71" s="420"/>
    </row>
    <row r="72" spans="1:12" s="92" customFormat="1" ht="39" customHeight="1" x14ac:dyDescent="0.3">
      <c r="A72" s="415" t="s">
        <v>3985</v>
      </c>
      <c r="B72" s="415" t="s">
        <v>147</v>
      </c>
      <c r="C72" s="415" t="s">
        <v>19</v>
      </c>
      <c r="D72" s="416" t="s">
        <v>148</v>
      </c>
      <c r="E72" s="415" t="s">
        <v>421</v>
      </c>
      <c r="F72" s="100">
        <v>50</v>
      </c>
      <c r="G72" s="101">
        <v>448.79</v>
      </c>
      <c r="H72" s="84">
        <v>0.2122</v>
      </c>
      <c r="I72" s="83">
        <v>544.02</v>
      </c>
      <c r="J72" s="83">
        <v>27201</v>
      </c>
      <c r="K72" s="557">
        <v>1.8290601496163536E-3</v>
      </c>
      <c r="L72" s="420"/>
    </row>
    <row r="73" spans="1:12" s="92" customFormat="1" ht="39" customHeight="1" x14ac:dyDescent="0.3">
      <c r="A73" s="415" t="s">
        <v>3986</v>
      </c>
      <c r="B73" s="415" t="s">
        <v>149</v>
      </c>
      <c r="C73" s="415" t="s">
        <v>19</v>
      </c>
      <c r="D73" s="416" t="s">
        <v>150</v>
      </c>
      <c r="E73" s="415" t="s">
        <v>421</v>
      </c>
      <c r="F73" s="100">
        <v>50</v>
      </c>
      <c r="G73" s="101">
        <v>256.52</v>
      </c>
      <c r="H73" s="84">
        <v>0.2122</v>
      </c>
      <c r="I73" s="83">
        <v>310.95</v>
      </c>
      <c r="J73" s="83">
        <v>15547.5</v>
      </c>
      <c r="K73" s="557">
        <v>1.0454510009249756E-3</v>
      </c>
      <c r="L73" s="420"/>
    </row>
    <row r="74" spans="1:12" s="92" customFormat="1" ht="39" customHeight="1" x14ac:dyDescent="0.3">
      <c r="A74" s="415" t="s">
        <v>3987</v>
      </c>
      <c r="B74" s="415" t="s">
        <v>151</v>
      </c>
      <c r="C74" s="415" t="s">
        <v>19</v>
      </c>
      <c r="D74" s="416" t="s">
        <v>3537</v>
      </c>
      <c r="E74" s="415" t="s">
        <v>81</v>
      </c>
      <c r="F74" s="100">
        <v>1</v>
      </c>
      <c r="G74" s="101">
        <v>6679.79</v>
      </c>
      <c r="H74" s="84">
        <v>0.2122</v>
      </c>
      <c r="I74" s="83">
        <v>8097.24</v>
      </c>
      <c r="J74" s="83">
        <v>8097.24</v>
      </c>
      <c r="K74" s="557">
        <v>5.4447774000512936E-4</v>
      </c>
      <c r="L74" s="420"/>
    </row>
    <row r="75" spans="1:12" s="92" customFormat="1" ht="39" customHeight="1" x14ac:dyDescent="0.3">
      <c r="A75" s="415" t="s">
        <v>3988</v>
      </c>
      <c r="B75" s="415" t="s">
        <v>152</v>
      </c>
      <c r="C75" s="415" t="s">
        <v>19</v>
      </c>
      <c r="D75" s="416" t="s">
        <v>3539</v>
      </c>
      <c r="E75" s="415" t="s">
        <v>81</v>
      </c>
      <c r="F75" s="100">
        <v>1</v>
      </c>
      <c r="G75" s="101">
        <v>11616.82</v>
      </c>
      <c r="H75" s="84">
        <v>0.2122</v>
      </c>
      <c r="I75" s="83">
        <v>14081.91</v>
      </c>
      <c r="J75" s="83">
        <v>14081.91</v>
      </c>
      <c r="K75" s="557">
        <v>9.4690123199455995E-4</v>
      </c>
      <c r="L75" s="420"/>
    </row>
    <row r="76" spans="1:12" s="92" customFormat="1" ht="26.15" customHeight="1" x14ac:dyDescent="0.3">
      <c r="A76" s="415" t="s">
        <v>3989</v>
      </c>
      <c r="B76" s="415" t="s">
        <v>153</v>
      </c>
      <c r="C76" s="415" t="s">
        <v>19</v>
      </c>
      <c r="D76" s="416" t="s">
        <v>3780</v>
      </c>
      <c r="E76" s="415" t="s">
        <v>81</v>
      </c>
      <c r="F76" s="100">
        <v>1</v>
      </c>
      <c r="G76" s="101">
        <v>5847.66</v>
      </c>
      <c r="H76" s="84">
        <v>0.2122</v>
      </c>
      <c r="I76" s="83">
        <v>7088.53</v>
      </c>
      <c r="J76" s="83">
        <v>7088.53</v>
      </c>
      <c r="K76" s="557">
        <v>4.7664967252527521E-4</v>
      </c>
      <c r="L76" s="420"/>
    </row>
    <row r="77" spans="1:12" s="92" customFormat="1" ht="26.15" customHeight="1" x14ac:dyDescent="0.3">
      <c r="A77" s="415" t="s">
        <v>3990</v>
      </c>
      <c r="B77" s="415" t="s">
        <v>154</v>
      </c>
      <c r="C77" s="415" t="s">
        <v>19</v>
      </c>
      <c r="D77" s="416" t="s">
        <v>3781</v>
      </c>
      <c r="E77" s="415" t="s">
        <v>81</v>
      </c>
      <c r="F77" s="100">
        <v>1</v>
      </c>
      <c r="G77" s="101">
        <v>9951.9599999999991</v>
      </c>
      <c r="H77" s="84">
        <v>0.2122</v>
      </c>
      <c r="I77" s="83">
        <v>12063.77</v>
      </c>
      <c r="J77" s="83">
        <v>12063.77</v>
      </c>
      <c r="K77" s="557">
        <v>8.1119668251671917E-4</v>
      </c>
      <c r="L77" s="420"/>
    </row>
    <row r="78" spans="1:12" s="92" customFormat="1" ht="52" customHeight="1" x14ac:dyDescent="0.3">
      <c r="A78" s="415" t="s">
        <v>3991</v>
      </c>
      <c r="B78" s="415" t="s">
        <v>155</v>
      </c>
      <c r="C78" s="415" t="s">
        <v>19</v>
      </c>
      <c r="D78" s="416" t="s">
        <v>3541</v>
      </c>
      <c r="E78" s="415" t="s">
        <v>81</v>
      </c>
      <c r="F78" s="100">
        <v>1</v>
      </c>
      <c r="G78" s="101">
        <v>4692.53</v>
      </c>
      <c r="H78" s="84">
        <v>0.2122</v>
      </c>
      <c r="I78" s="83">
        <v>5688.28</v>
      </c>
      <c r="J78" s="83">
        <v>5688.28</v>
      </c>
      <c r="K78" s="557">
        <v>3.8249352111538958E-4</v>
      </c>
      <c r="L78" s="420"/>
    </row>
    <row r="79" spans="1:12" s="92" customFormat="1" ht="39" customHeight="1" x14ac:dyDescent="0.3">
      <c r="A79" s="415" t="s">
        <v>3992</v>
      </c>
      <c r="B79" s="415" t="s">
        <v>3543</v>
      </c>
      <c r="C79" s="415" t="s">
        <v>3751</v>
      </c>
      <c r="D79" s="416" t="s">
        <v>156</v>
      </c>
      <c r="E79" s="415" t="s">
        <v>81</v>
      </c>
      <c r="F79" s="100">
        <v>1</v>
      </c>
      <c r="G79" s="101">
        <v>2854.5</v>
      </c>
      <c r="H79" s="84">
        <v>0.2122</v>
      </c>
      <c r="I79" s="83">
        <v>3460.22</v>
      </c>
      <c r="J79" s="83">
        <v>3460.22</v>
      </c>
      <c r="K79" s="557">
        <v>2.326734499064556E-4</v>
      </c>
      <c r="L79" s="420"/>
    </row>
    <row r="80" spans="1:12" s="92" customFormat="1" ht="39" customHeight="1" x14ac:dyDescent="0.3">
      <c r="A80" s="415" t="s">
        <v>3993</v>
      </c>
      <c r="B80" s="415" t="s">
        <v>157</v>
      </c>
      <c r="C80" s="415" t="s">
        <v>3751</v>
      </c>
      <c r="D80" s="416" t="s">
        <v>158</v>
      </c>
      <c r="E80" s="415" t="s">
        <v>81</v>
      </c>
      <c r="F80" s="100">
        <v>1</v>
      </c>
      <c r="G80" s="101">
        <v>3977.11</v>
      </c>
      <c r="H80" s="84">
        <v>0.2122</v>
      </c>
      <c r="I80" s="83">
        <v>4821.05</v>
      </c>
      <c r="J80" s="83">
        <v>4821.05</v>
      </c>
      <c r="K80" s="557">
        <v>3.2417890644858356E-4</v>
      </c>
      <c r="L80" s="420"/>
    </row>
    <row r="81" spans="1:13" s="92" customFormat="1" ht="26.15" customHeight="1" x14ac:dyDescent="0.3">
      <c r="A81" s="415" t="s">
        <v>3994</v>
      </c>
      <c r="B81" s="415" t="s">
        <v>159</v>
      </c>
      <c r="C81" s="415" t="s">
        <v>115</v>
      </c>
      <c r="D81" s="416" t="s">
        <v>382</v>
      </c>
      <c r="E81" s="415" t="s">
        <v>227</v>
      </c>
      <c r="F81" s="100">
        <v>40</v>
      </c>
      <c r="G81" s="101">
        <v>141.58000000000001</v>
      </c>
      <c r="H81" s="84">
        <v>0.2122</v>
      </c>
      <c r="I81" s="83">
        <v>171.62</v>
      </c>
      <c r="J81" s="83">
        <v>6864.8</v>
      </c>
      <c r="K81" s="557">
        <v>4.6160553343944504E-4</v>
      </c>
      <c r="L81" s="420"/>
    </row>
    <row r="82" spans="1:13" s="92" customFormat="1" ht="39" customHeight="1" x14ac:dyDescent="0.3">
      <c r="A82" s="415" t="s">
        <v>3995</v>
      </c>
      <c r="B82" s="415" t="s">
        <v>160</v>
      </c>
      <c r="C82" s="415" t="s">
        <v>19</v>
      </c>
      <c r="D82" s="416" t="s">
        <v>161</v>
      </c>
      <c r="E82" s="415" t="s">
        <v>227</v>
      </c>
      <c r="F82" s="100">
        <v>6.9300000000000006</v>
      </c>
      <c r="G82" s="101">
        <v>403.4</v>
      </c>
      <c r="H82" s="84">
        <v>0.2122</v>
      </c>
      <c r="I82" s="83">
        <v>489</v>
      </c>
      <c r="J82" s="83">
        <v>3388.77</v>
      </c>
      <c r="K82" s="557">
        <v>2.2786898140566195E-4</v>
      </c>
      <c r="L82" s="420"/>
    </row>
    <row r="83" spans="1:13" s="92" customFormat="1" ht="39" customHeight="1" x14ac:dyDescent="0.3">
      <c r="A83" s="415" t="s">
        <v>3996</v>
      </c>
      <c r="B83" s="415" t="s">
        <v>162</v>
      </c>
      <c r="C83" s="415" t="s">
        <v>19</v>
      </c>
      <c r="D83" s="416" t="s">
        <v>163</v>
      </c>
      <c r="E83" s="415" t="s">
        <v>227</v>
      </c>
      <c r="F83" s="100">
        <v>13.860000000000001</v>
      </c>
      <c r="G83" s="101">
        <v>470.06</v>
      </c>
      <c r="H83" s="84">
        <v>0.2122</v>
      </c>
      <c r="I83" s="83">
        <v>569.80999999999995</v>
      </c>
      <c r="J83" s="83">
        <v>7897.56</v>
      </c>
      <c r="K83" s="557">
        <v>5.3105078030969927E-4</v>
      </c>
      <c r="L83" s="420"/>
    </row>
    <row r="84" spans="1:13" s="92" customFormat="1" ht="39" customHeight="1" x14ac:dyDescent="0.3">
      <c r="A84" s="415" t="s">
        <v>3997</v>
      </c>
      <c r="B84" s="415" t="s">
        <v>164</v>
      </c>
      <c r="C84" s="415" t="s">
        <v>115</v>
      </c>
      <c r="D84" s="416" t="s">
        <v>383</v>
      </c>
      <c r="E84" s="415" t="s">
        <v>421</v>
      </c>
      <c r="F84" s="100">
        <v>12.360000000000001</v>
      </c>
      <c r="G84" s="101">
        <v>76.72</v>
      </c>
      <c r="H84" s="84">
        <v>0.2122</v>
      </c>
      <c r="I84" s="83">
        <v>93</v>
      </c>
      <c r="J84" s="83">
        <v>1149.48</v>
      </c>
      <c r="K84" s="557">
        <v>7.7293778198632629E-5</v>
      </c>
      <c r="L84" s="420"/>
    </row>
    <row r="85" spans="1:13" s="92" customFormat="1" ht="39" customHeight="1" x14ac:dyDescent="0.3">
      <c r="A85" s="415" t="s">
        <v>3998</v>
      </c>
      <c r="B85" s="415" t="s">
        <v>165</v>
      </c>
      <c r="C85" s="415" t="s">
        <v>19</v>
      </c>
      <c r="D85" s="416" t="s">
        <v>166</v>
      </c>
      <c r="E85" s="415" t="s">
        <v>227</v>
      </c>
      <c r="F85" s="100">
        <v>20.790000000000003</v>
      </c>
      <c r="G85" s="101">
        <v>326.63</v>
      </c>
      <c r="H85" s="84">
        <v>0.2122</v>
      </c>
      <c r="I85" s="83">
        <v>395.94</v>
      </c>
      <c r="J85" s="83">
        <v>8231.59</v>
      </c>
      <c r="K85" s="557">
        <v>5.5351175460389252E-4</v>
      </c>
      <c r="L85" s="420"/>
    </row>
    <row r="86" spans="1:13" s="89" customFormat="1" ht="24" customHeight="1" x14ac:dyDescent="0.3">
      <c r="A86" s="88">
        <v>4</v>
      </c>
      <c r="B86" s="88" t="s">
        <v>402</v>
      </c>
      <c r="C86" s="88" t="s">
        <v>402</v>
      </c>
      <c r="D86" s="544" t="s">
        <v>2087</v>
      </c>
      <c r="E86" s="544" t="s">
        <v>402</v>
      </c>
      <c r="F86" s="87"/>
      <c r="G86" s="86"/>
      <c r="H86" s="88"/>
      <c r="I86" s="85"/>
      <c r="J86" s="82">
        <v>2824568.4799999995</v>
      </c>
      <c r="K86" s="556">
        <v>0.18993072484947007</v>
      </c>
      <c r="L86" s="420"/>
      <c r="M86" s="92"/>
    </row>
    <row r="87" spans="1:13" s="89" customFormat="1" ht="24" customHeight="1" x14ac:dyDescent="0.3">
      <c r="A87" s="88" t="s">
        <v>3005</v>
      </c>
      <c r="B87" s="88" t="s">
        <v>402</v>
      </c>
      <c r="C87" s="88" t="s">
        <v>402</v>
      </c>
      <c r="D87" s="544" t="s">
        <v>167</v>
      </c>
      <c r="E87" s="544" t="s">
        <v>402</v>
      </c>
      <c r="F87" s="87"/>
      <c r="G87" s="86"/>
      <c r="H87" s="88"/>
      <c r="I87" s="85"/>
      <c r="J87" s="82">
        <v>2756466.0999999996</v>
      </c>
      <c r="K87" s="556">
        <v>0.18535135830588603</v>
      </c>
      <c r="L87" s="420"/>
      <c r="M87" s="92"/>
    </row>
    <row r="88" spans="1:13" s="89" customFormat="1" ht="24" customHeight="1" x14ac:dyDescent="0.3">
      <c r="A88" s="88" t="s">
        <v>3006</v>
      </c>
      <c r="B88" s="88" t="s">
        <v>402</v>
      </c>
      <c r="C88" s="88" t="s">
        <v>402</v>
      </c>
      <c r="D88" s="544" t="s">
        <v>168</v>
      </c>
      <c r="E88" s="544" t="s">
        <v>402</v>
      </c>
      <c r="F88" s="87"/>
      <c r="G88" s="86"/>
      <c r="H88" s="88"/>
      <c r="I88" s="85"/>
      <c r="J88" s="82">
        <v>305164.32000000007</v>
      </c>
      <c r="K88" s="556">
        <v>2.051997708895897E-2</v>
      </c>
      <c r="L88" s="420"/>
      <c r="M88" s="92"/>
    </row>
    <row r="89" spans="1:13" s="89" customFormat="1" ht="24" customHeight="1" x14ac:dyDescent="0.3">
      <c r="A89" s="88" t="s">
        <v>3007</v>
      </c>
      <c r="B89" s="88" t="s">
        <v>402</v>
      </c>
      <c r="C89" s="88" t="s">
        <v>402</v>
      </c>
      <c r="D89" s="544" t="s">
        <v>169</v>
      </c>
      <c r="E89" s="544" t="s">
        <v>402</v>
      </c>
      <c r="F89" s="87"/>
      <c r="G89" s="86"/>
      <c r="H89" s="88"/>
      <c r="I89" s="85"/>
      <c r="J89" s="82">
        <v>29161.9</v>
      </c>
      <c r="K89" s="556">
        <v>1.9609157449026562E-3</v>
      </c>
      <c r="L89" s="420"/>
      <c r="M89" s="92"/>
    </row>
    <row r="90" spans="1:13" s="92" customFormat="1" ht="39" customHeight="1" x14ac:dyDescent="0.3">
      <c r="A90" s="415" t="s">
        <v>3008</v>
      </c>
      <c r="B90" s="415" t="s">
        <v>170</v>
      </c>
      <c r="C90" s="415" t="s">
        <v>3751</v>
      </c>
      <c r="D90" s="416" t="s">
        <v>133</v>
      </c>
      <c r="E90" s="415" t="s">
        <v>421</v>
      </c>
      <c r="F90" s="100">
        <v>12</v>
      </c>
      <c r="G90" s="101">
        <v>521.92999999999995</v>
      </c>
      <c r="H90" s="84">
        <v>0.2122</v>
      </c>
      <c r="I90" s="83">
        <v>632.67999999999995</v>
      </c>
      <c r="J90" s="83">
        <v>7592.16</v>
      </c>
      <c r="K90" s="557">
        <v>5.1051495553513821E-4</v>
      </c>
      <c r="L90" s="420"/>
    </row>
    <row r="91" spans="1:13" s="92" customFormat="1" ht="39" customHeight="1" x14ac:dyDescent="0.3">
      <c r="A91" s="415" t="s">
        <v>3009</v>
      </c>
      <c r="B91" s="415" t="s">
        <v>171</v>
      </c>
      <c r="C91" s="415" t="s">
        <v>19</v>
      </c>
      <c r="D91" s="416" t="s">
        <v>172</v>
      </c>
      <c r="E91" s="415" t="s">
        <v>173</v>
      </c>
      <c r="F91" s="100">
        <v>752.1635551517752</v>
      </c>
      <c r="G91" s="101">
        <v>9.66</v>
      </c>
      <c r="H91" s="84">
        <v>0.2122</v>
      </c>
      <c r="I91" s="83">
        <v>11.71</v>
      </c>
      <c r="J91" s="83">
        <v>8807.83</v>
      </c>
      <c r="K91" s="557">
        <v>5.9225950728265169E-4</v>
      </c>
      <c r="L91" s="420"/>
    </row>
    <row r="92" spans="1:13" s="92" customFormat="1" ht="39" customHeight="1" x14ac:dyDescent="0.3">
      <c r="A92" s="415" t="s">
        <v>3010</v>
      </c>
      <c r="B92" s="415" t="s">
        <v>174</v>
      </c>
      <c r="C92" s="415" t="s">
        <v>175</v>
      </c>
      <c r="D92" s="416" t="s">
        <v>176</v>
      </c>
      <c r="E92" s="415" t="s">
        <v>421</v>
      </c>
      <c r="F92" s="100">
        <v>8</v>
      </c>
      <c r="G92" s="101">
        <v>17.21</v>
      </c>
      <c r="H92" s="84">
        <v>0.2122</v>
      </c>
      <c r="I92" s="83">
        <v>20.86</v>
      </c>
      <c r="J92" s="83">
        <v>166.88</v>
      </c>
      <c r="K92" s="557">
        <v>1.122140942494677E-5</v>
      </c>
      <c r="L92" s="420"/>
    </row>
    <row r="93" spans="1:13" s="92" customFormat="1" ht="39" customHeight="1" x14ac:dyDescent="0.3">
      <c r="A93" s="415" t="s">
        <v>3011</v>
      </c>
      <c r="B93" s="415" t="s">
        <v>177</v>
      </c>
      <c r="C93" s="415" t="s">
        <v>175</v>
      </c>
      <c r="D93" s="416" t="s">
        <v>178</v>
      </c>
      <c r="E93" s="415" t="s">
        <v>421</v>
      </c>
      <c r="F93" s="100">
        <v>8</v>
      </c>
      <c r="G93" s="101">
        <v>11.96</v>
      </c>
      <c r="H93" s="84">
        <v>0.2122</v>
      </c>
      <c r="I93" s="83">
        <v>14.5</v>
      </c>
      <c r="J93" s="83">
        <v>116</v>
      </c>
      <c r="K93" s="557">
        <v>7.8001168102458376E-6</v>
      </c>
      <c r="L93" s="420"/>
    </row>
    <row r="94" spans="1:13" s="92" customFormat="1" ht="39" customHeight="1" x14ac:dyDescent="0.3">
      <c r="A94" s="415" t="s">
        <v>3012</v>
      </c>
      <c r="B94" s="415" t="s">
        <v>179</v>
      </c>
      <c r="C94" s="415" t="s">
        <v>175</v>
      </c>
      <c r="D94" s="416" t="s">
        <v>180</v>
      </c>
      <c r="E94" s="415" t="s">
        <v>173</v>
      </c>
      <c r="F94" s="100">
        <v>1504.3271103035504</v>
      </c>
      <c r="G94" s="101">
        <v>3.25</v>
      </c>
      <c r="H94" s="84">
        <v>0.2122</v>
      </c>
      <c r="I94" s="83">
        <v>3.94</v>
      </c>
      <c r="J94" s="83">
        <v>5927.04</v>
      </c>
      <c r="K94" s="557">
        <v>3.9854831326723695E-4</v>
      </c>
      <c r="L94" s="420"/>
    </row>
    <row r="95" spans="1:13" s="92" customFormat="1" ht="39" customHeight="1" x14ac:dyDescent="0.3">
      <c r="A95" s="415" t="s">
        <v>3013</v>
      </c>
      <c r="B95" s="415" t="s">
        <v>181</v>
      </c>
      <c r="C95" s="415" t="s">
        <v>175</v>
      </c>
      <c r="D95" s="416" t="s">
        <v>182</v>
      </c>
      <c r="E95" s="415" t="s">
        <v>81</v>
      </c>
      <c r="F95" s="100">
        <v>16</v>
      </c>
      <c r="G95" s="101">
        <v>2.76</v>
      </c>
      <c r="H95" s="84">
        <v>0.2122</v>
      </c>
      <c r="I95" s="83">
        <v>3.35</v>
      </c>
      <c r="J95" s="83">
        <v>53.6</v>
      </c>
      <c r="K95" s="557">
        <v>3.6041919054239386E-6</v>
      </c>
      <c r="L95" s="420"/>
    </row>
    <row r="96" spans="1:13" s="92" customFormat="1" ht="39" customHeight="1" x14ac:dyDescent="0.3">
      <c r="A96" s="415" t="s">
        <v>3014</v>
      </c>
      <c r="B96" s="415" t="s">
        <v>183</v>
      </c>
      <c r="C96" s="415" t="s">
        <v>115</v>
      </c>
      <c r="D96" s="416" t="s">
        <v>384</v>
      </c>
      <c r="E96" s="415" t="s">
        <v>422</v>
      </c>
      <c r="F96" s="100">
        <v>502</v>
      </c>
      <c r="G96" s="101">
        <v>1.96</v>
      </c>
      <c r="H96" s="84">
        <v>0.2122</v>
      </c>
      <c r="I96" s="83">
        <v>2.38</v>
      </c>
      <c r="J96" s="83">
        <v>1194.76</v>
      </c>
      <c r="K96" s="557">
        <v>8.033851345008032E-5</v>
      </c>
      <c r="L96" s="420"/>
    </row>
    <row r="97" spans="1:13" s="92" customFormat="1" ht="39" customHeight="1" x14ac:dyDescent="0.3">
      <c r="A97" s="415" t="s">
        <v>3015</v>
      </c>
      <c r="B97" s="415" t="s">
        <v>184</v>
      </c>
      <c r="C97" s="415" t="s">
        <v>115</v>
      </c>
      <c r="D97" s="416" t="s">
        <v>3782</v>
      </c>
      <c r="E97" s="415" t="s">
        <v>422</v>
      </c>
      <c r="F97" s="100">
        <v>335</v>
      </c>
      <c r="G97" s="101">
        <v>3.95</v>
      </c>
      <c r="H97" s="84">
        <v>0.2122</v>
      </c>
      <c r="I97" s="83">
        <v>4.79</v>
      </c>
      <c r="J97" s="83">
        <v>1604.65</v>
      </c>
      <c r="K97" s="557">
        <v>1.0790049516862917E-4</v>
      </c>
      <c r="L97" s="420"/>
    </row>
    <row r="98" spans="1:13" s="92" customFormat="1" ht="39" customHeight="1" x14ac:dyDescent="0.3">
      <c r="A98" s="415" t="s">
        <v>3016</v>
      </c>
      <c r="B98" s="415" t="s">
        <v>185</v>
      </c>
      <c r="C98" s="415" t="s">
        <v>115</v>
      </c>
      <c r="D98" s="416" t="s">
        <v>3783</v>
      </c>
      <c r="E98" s="415" t="s">
        <v>422</v>
      </c>
      <c r="F98" s="100">
        <v>167</v>
      </c>
      <c r="G98" s="101">
        <v>8.06</v>
      </c>
      <c r="H98" s="84">
        <v>0.2122</v>
      </c>
      <c r="I98" s="83">
        <v>9.77</v>
      </c>
      <c r="J98" s="83">
        <v>1631.59</v>
      </c>
      <c r="K98" s="557">
        <v>1.0971200505542245E-4</v>
      </c>
      <c r="L98" s="420"/>
    </row>
    <row r="99" spans="1:13" s="92" customFormat="1" ht="39" customHeight="1" x14ac:dyDescent="0.3">
      <c r="A99" s="415" t="s">
        <v>3017</v>
      </c>
      <c r="B99" s="415" t="s">
        <v>186</v>
      </c>
      <c r="C99" s="415" t="s">
        <v>115</v>
      </c>
      <c r="D99" s="416" t="s">
        <v>385</v>
      </c>
      <c r="E99" s="415" t="s">
        <v>422</v>
      </c>
      <c r="F99" s="100">
        <v>837</v>
      </c>
      <c r="G99" s="101">
        <v>0.78</v>
      </c>
      <c r="H99" s="84">
        <v>0.2122</v>
      </c>
      <c r="I99" s="83">
        <v>0.95</v>
      </c>
      <c r="J99" s="83">
        <v>795.15</v>
      </c>
      <c r="K99" s="557">
        <v>5.3467783462646357E-5</v>
      </c>
      <c r="L99" s="420"/>
    </row>
    <row r="100" spans="1:13" s="92" customFormat="1" ht="39" customHeight="1" x14ac:dyDescent="0.3">
      <c r="A100" s="415" t="s">
        <v>3018</v>
      </c>
      <c r="B100" s="415" t="s">
        <v>187</v>
      </c>
      <c r="C100" s="415" t="s">
        <v>115</v>
      </c>
      <c r="D100" s="416" t="s">
        <v>3784</v>
      </c>
      <c r="E100" s="415" t="s">
        <v>422</v>
      </c>
      <c r="F100" s="100">
        <v>837</v>
      </c>
      <c r="G100" s="101">
        <v>1.25</v>
      </c>
      <c r="H100" s="84">
        <v>0.2122</v>
      </c>
      <c r="I100" s="83">
        <v>1.52</v>
      </c>
      <c r="J100" s="83">
        <v>1272.24</v>
      </c>
      <c r="K100" s="557">
        <v>8.5548453540234179E-5</v>
      </c>
      <c r="L100" s="420"/>
    </row>
    <row r="101" spans="1:13" s="89" customFormat="1" ht="24" customHeight="1" x14ac:dyDescent="0.3">
      <c r="A101" s="88" t="s">
        <v>3019</v>
      </c>
      <c r="B101" s="88" t="s">
        <v>402</v>
      </c>
      <c r="C101" s="88" t="s">
        <v>402</v>
      </c>
      <c r="D101" s="544" t="s">
        <v>189</v>
      </c>
      <c r="E101" s="544" t="s">
        <v>402</v>
      </c>
      <c r="F101" s="87"/>
      <c r="G101" s="86"/>
      <c r="H101" s="88"/>
      <c r="I101" s="85"/>
      <c r="J101" s="82">
        <v>65851.38</v>
      </c>
      <c r="K101" s="556">
        <v>4.4280039320335049E-3</v>
      </c>
      <c r="L101" s="420"/>
      <c r="M101" s="92"/>
    </row>
    <row r="102" spans="1:13" s="92" customFormat="1" ht="39" customHeight="1" x14ac:dyDescent="0.3">
      <c r="A102" s="415" t="s">
        <v>3020</v>
      </c>
      <c r="B102" s="415" t="s">
        <v>190</v>
      </c>
      <c r="C102" s="415" t="s">
        <v>19</v>
      </c>
      <c r="D102" s="416" t="s">
        <v>3551</v>
      </c>
      <c r="E102" s="415" t="s">
        <v>421</v>
      </c>
      <c r="F102" s="100">
        <v>2087.2262652722693</v>
      </c>
      <c r="G102" s="101">
        <v>22.73</v>
      </c>
      <c r="H102" s="84">
        <v>0.2122</v>
      </c>
      <c r="I102" s="83">
        <v>27.55</v>
      </c>
      <c r="J102" s="83">
        <v>57503.08</v>
      </c>
      <c r="K102" s="557">
        <v>3.8666443185250967E-3</v>
      </c>
      <c r="L102" s="420"/>
    </row>
    <row r="103" spans="1:13" s="92" customFormat="1" ht="39" customHeight="1" x14ac:dyDescent="0.3">
      <c r="A103" s="415" t="s">
        <v>3021</v>
      </c>
      <c r="B103" s="415" t="s">
        <v>107</v>
      </c>
      <c r="C103" s="415" t="s">
        <v>19</v>
      </c>
      <c r="D103" s="416" t="s">
        <v>108</v>
      </c>
      <c r="E103" s="415" t="s">
        <v>227</v>
      </c>
      <c r="F103" s="100">
        <v>62.616787958168075</v>
      </c>
      <c r="G103" s="101">
        <v>8.81</v>
      </c>
      <c r="H103" s="84">
        <v>0.2122</v>
      </c>
      <c r="I103" s="83">
        <v>10.68</v>
      </c>
      <c r="J103" s="83">
        <v>668.74</v>
      </c>
      <c r="K103" s="557">
        <v>4.496767341106725E-5</v>
      </c>
      <c r="L103" s="420"/>
    </row>
    <row r="104" spans="1:13" s="92" customFormat="1" ht="39" customHeight="1" x14ac:dyDescent="0.3">
      <c r="A104" s="415" t="s">
        <v>3022</v>
      </c>
      <c r="B104" s="415" t="s">
        <v>109</v>
      </c>
      <c r="C104" s="415" t="s">
        <v>19</v>
      </c>
      <c r="D104" s="416" t="s">
        <v>110</v>
      </c>
      <c r="E104" s="415" t="s">
        <v>111</v>
      </c>
      <c r="F104" s="100">
        <v>1878.5036387450423</v>
      </c>
      <c r="G104" s="101">
        <v>2.1</v>
      </c>
      <c r="H104" s="84">
        <v>0.2122</v>
      </c>
      <c r="I104" s="83">
        <v>2.5499999999999998</v>
      </c>
      <c r="J104" s="83">
        <v>4790.18</v>
      </c>
      <c r="K104" s="557">
        <v>3.2210313398365009E-4</v>
      </c>
      <c r="L104" s="420"/>
    </row>
    <row r="105" spans="1:13" s="92" customFormat="1" ht="39" customHeight="1" x14ac:dyDescent="0.3">
      <c r="A105" s="415" t="s">
        <v>3023</v>
      </c>
      <c r="B105" s="415" t="s">
        <v>112</v>
      </c>
      <c r="C105" s="415" t="s">
        <v>19</v>
      </c>
      <c r="D105" s="416" t="s">
        <v>113</v>
      </c>
      <c r="E105" s="415" t="s">
        <v>111</v>
      </c>
      <c r="F105" s="100">
        <v>2805.2321005259296</v>
      </c>
      <c r="G105" s="101">
        <v>0.85</v>
      </c>
      <c r="H105" s="84">
        <v>0.2122</v>
      </c>
      <c r="I105" s="83">
        <v>1.03</v>
      </c>
      <c r="J105" s="83">
        <v>2889.38</v>
      </c>
      <c r="K105" s="557">
        <v>1.9428880611369067E-4</v>
      </c>
      <c r="L105" s="420"/>
    </row>
    <row r="106" spans="1:13" s="89" customFormat="1" ht="24" customHeight="1" x14ac:dyDescent="0.3">
      <c r="A106" s="88" t="s">
        <v>3024</v>
      </c>
      <c r="B106" s="88" t="s">
        <v>402</v>
      </c>
      <c r="C106" s="88" t="s">
        <v>402</v>
      </c>
      <c r="D106" s="544" t="s">
        <v>363</v>
      </c>
      <c r="E106" s="544" t="s">
        <v>402</v>
      </c>
      <c r="F106" s="87"/>
      <c r="G106" s="86"/>
      <c r="H106" s="88"/>
      <c r="I106" s="85"/>
      <c r="J106" s="82">
        <v>28021.16</v>
      </c>
      <c r="K106" s="556">
        <v>1.8842096651602435E-3</v>
      </c>
      <c r="L106" s="420"/>
      <c r="M106" s="92"/>
    </row>
    <row r="107" spans="1:13" s="92" customFormat="1" ht="39" customHeight="1" x14ac:dyDescent="0.3">
      <c r="A107" s="415" t="s">
        <v>3025</v>
      </c>
      <c r="B107" s="415" t="s">
        <v>191</v>
      </c>
      <c r="C107" s="415" t="s">
        <v>115</v>
      </c>
      <c r="D107" s="416" t="s">
        <v>3785</v>
      </c>
      <c r="E107" s="415" t="s">
        <v>227</v>
      </c>
      <c r="F107" s="100">
        <v>31.395091843104815</v>
      </c>
      <c r="G107" s="101">
        <v>626.30999999999995</v>
      </c>
      <c r="H107" s="84">
        <v>0.2122</v>
      </c>
      <c r="I107" s="83">
        <v>759.21</v>
      </c>
      <c r="J107" s="83">
        <v>23835.46</v>
      </c>
      <c r="K107" s="557">
        <v>1.6027532088443296E-3</v>
      </c>
      <c r="L107" s="420"/>
    </row>
    <row r="108" spans="1:13" s="92" customFormat="1" ht="39" customHeight="1" x14ac:dyDescent="0.3">
      <c r="A108" s="415" t="s">
        <v>3026</v>
      </c>
      <c r="B108" s="415" t="s">
        <v>107</v>
      </c>
      <c r="C108" s="415" t="s">
        <v>19</v>
      </c>
      <c r="D108" s="416" t="s">
        <v>108</v>
      </c>
      <c r="E108" s="415" t="s">
        <v>227</v>
      </c>
      <c r="F108" s="100">
        <v>31.395091843104815</v>
      </c>
      <c r="G108" s="101">
        <v>8.81</v>
      </c>
      <c r="H108" s="84">
        <v>0.2122</v>
      </c>
      <c r="I108" s="83">
        <v>10.68</v>
      </c>
      <c r="J108" s="83">
        <v>335.29</v>
      </c>
      <c r="K108" s="557">
        <v>2.2545699700925233E-5</v>
      </c>
      <c r="L108" s="420"/>
    </row>
    <row r="109" spans="1:13" s="92" customFormat="1" ht="39" customHeight="1" x14ac:dyDescent="0.3">
      <c r="A109" s="415" t="s">
        <v>3027</v>
      </c>
      <c r="B109" s="415" t="s">
        <v>109</v>
      </c>
      <c r="C109" s="415" t="s">
        <v>19</v>
      </c>
      <c r="D109" s="416" t="s">
        <v>110</v>
      </c>
      <c r="E109" s="415" t="s">
        <v>111</v>
      </c>
      <c r="F109" s="100">
        <v>941.85275529314447</v>
      </c>
      <c r="G109" s="101">
        <v>2.1</v>
      </c>
      <c r="H109" s="84">
        <v>0.2122</v>
      </c>
      <c r="I109" s="83">
        <v>2.5499999999999998</v>
      </c>
      <c r="J109" s="83">
        <v>2401.7199999999998</v>
      </c>
      <c r="K109" s="557">
        <v>1.6149738401296233E-4</v>
      </c>
      <c r="L109" s="420"/>
    </row>
    <row r="110" spans="1:13" s="92" customFormat="1" ht="39" customHeight="1" x14ac:dyDescent="0.3">
      <c r="A110" s="415" t="s">
        <v>3028</v>
      </c>
      <c r="B110" s="415" t="s">
        <v>112</v>
      </c>
      <c r="C110" s="415" t="s">
        <v>19</v>
      </c>
      <c r="D110" s="416" t="s">
        <v>113</v>
      </c>
      <c r="E110" s="415" t="s">
        <v>111</v>
      </c>
      <c r="F110" s="100">
        <v>1406.5001145710955</v>
      </c>
      <c r="G110" s="101">
        <v>0.85</v>
      </c>
      <c r="H110" s="84">
        <v>0.2122</v>
      </c>
      <c r="I110" s="83">
        <v>1.03</v>
      </c>
      <c r="J110" s="83">
        <v>1448.69</v>
      </c>
      <c r="K110" s="557">
        <v>9.7413372602026229E-5</v>
      </c>
      <c r="L110" s="420"/>
    </row>
    <row r="111" spans="1:13" s="89" customFormat="1" ht="24" customHeight="1" x14ac:dyDescent="0.3">
      <c r="A111" s="88" t="s">
        <v>3029</v>
      </c>
      <c r="B111" s="88" t="s">
        <v>402</v>
      </c>
      <c r="C111" s="88" t="s">
        <v>402</v>
      </c>
      <c r="D111" s="544" t="s">
        <v>194</v>
      </c>
      <c r="E111" s="544" t="s">
        <v>402</v>
      </c>
      <c r="F111" s="87"/>
      <c r="G111" s="86"/>
      <c r="H111" s="88"/>
      <c r="I111" s="85"/>
      <c r="J111" s="82">
        <v>118381.21000000002</v>
      </c>
      <c r="K111" s="556">
        <v>7.9602350529158865E-3</v>
      </c>
      <c r="L111" s="420"/>
      <c r="M111" s="92"/>
    </row>
    <row r="112" spans="1:13" s="92" customFormat="1" ht="39" customHeight="1" x14ac:dyDescent="0.3">
      <c r="A112" s="415" t="s">
        <v>3030</v>
      </c>
      <c r="B112" s="415" t="s">
        <v>195</v>
      </c>
      <c r="C112" s="415" t="s">
        <v>196</v>
      </c>
      <c r="D112" s="416" t="s">
        <v>3786</v>
      </c>
      <c r="E112" s="415" t="s">
        <v>227</v>
      </c>
      <c r="F112" s="100">
        <v>232.3551540509261</v>
      </c>
      <c r="G112" s="101">
        <v>310.31</v>
      </c>
      <c r="H112" s="84">
        <v>0.2122</v>
      </c>
      <c r="I112" s="83">
        <v>376.16</v>
      </c>
      <c r="J112" s="83">
        <v>87402.71</v>
      </c>
      <c r="K112" s="557">
        <v>5.8771667890693277E-3</v>
      </c>
      <c r="L112" s="420"/>
    </row>
    <row r="113" spans="1:13" s="92" customFormat="1" ht="39" customHeight="1" x14ac:dyDescent="0.3">
      <c r="A113" s="415" t="s">
        <v>3031</v>
      </c>
      <c r="B113" s="415" t="s">
        <v>107</v>
      </c>
      <c r="C113" s="415" t="s">
        <v>19</v>
      </c>
      <c r="D113" s="416" t="s">
        <v>108</v>
      </c>
      <c r="E113" s="415" t="s">
        <v>227</v>
      </c>
      <c r="F113" s="100">
        <v>232.3551540509261</v>
      </c>
      <c r="G113" s="101">
        <v>8.81</v>
      </c>
      <c r="H113" s="84">
        <v>0.2122</v>
      </c>
      <c r="I113" s="83">
        <v>10.68</v>
      </c>
      <c r="J113" s="83">
        <v>2481.5500000000002</v>
      </c>
      <c r="K113" s="557">
        <v>1.6686534371091E-4</v>
      </c>
      <c r="L113" s="420"/>
    </row>
    <row r="114" spans="1:13" s="92" customFormat="1" ht="39" customHeight="1" x14ac:dyDescent="0.3">
      <c r="A114" s="415" t="s">
        <v>3032</v>
      </c>
      <c r="B114" s="415" t="s">
        <v>109</v>
      </c>
      <c r="C114" s="415" t="s">
        <v>19</v>
      </c>
      <c r="D114" s="416" t="s">
        <v>110</v>
      </c>
      <c r="E114" s="415" t="s">
        <v>111</v>
      </c>
      <c r="F114" s="100">
        <v>6970.6546215277831</v>
      </c>
      <c r="G114" s="101">
        <v>2.1</v>
      </c>
      <c r="H114" s="84">
        <v>0.2122</v>
      </c>
      <c r="I114" s="83">
        <v>2.5499999999999998</v>
      </c>
      <c r="J114" s="83">
        <v>17775.16</v>
      </c>
      <c r="K114" s="557">
        <v>1.1952441751793914E-3</v>
      </c>
      <c r="L114" s="420"/>
    </row>
    <row r="115" spans="1:13" s="92" customFormat="1" ht="39" customHeight="1" x14ac:dyDescent="0.3">
      <c r="A115" s="415" t="s">
        <v>3033</v>
      </c>
      <c r="B115" s="415" t="s">
        <v>112</v>
      </c>
      <c r="C115" s="415" t="s">
        <v>19</v>
      </c>
      <c r="D115" s="416" t="s">
        <v>113</v>
      </c>
      <c r="E115" s="415" t="s">
        <v>111</v>
      </c>
      <c r="F115" s="100">
        <v>10409.510901481488</v>
      </c>
      <c r="G115" s="101">
        <v>0.85</v>
      </c>
      <c r="H115" s="84">
        <v>0.2122</v>
      </c>
      <c r="I115" s="83">
        <v>1.03</v>
      </c>
      <c r="J115" s="83">
        <v>10721.79</v>
      </c>
      <c r="K115" s="557">
        <v>7.2095874495625625E-4</v>
      </c>
      <c r="L115" s="420"/>
    </row>
    <row r="116" spans="1:13" s="89" customFormat="1" ht="24" customHeight="1" x14ac:dyDescent="0.3">
      <c r="A116" s="88" t="s">
        <v>3034</v>
      </c>
      <c r="B116" s="88" t="s">
        <v>402</v>
      </c>
      <c r="C116" s="88" t="s">
        <v>402</v>
      </c>
      <c r="D116" s="544" t="s">
        <v>197</v>
      </c>
      <c r="E116" s="544" t="s">
        <v>402</v>
      </c>
      <c r="F116" s="87"/>
      <c r="G116" s="86"/>
      <c r="H116" s="88"/>
      <c r="I116" s="85"/>
      <c r="J116" s="82">
        <v>40775.020000000004</v>
      </c>
      <c r="K116" s="556">
        <v>2.741809646035433E-3</v>
      </c>
      <c r="L116" s="420"/>
      <c r="M116" s="92"/>
    </row>
    <row r="117" spans="1:13" s="92" customFormat="1" ht="39" customHeight="1" x14ac:dyDescent="0.3">
      <c r="A117" s="415" t="s">
        <v>3035</v>
      </c>
      <c r="B117" s="415" t="s">
        <v>198</v>
      </c>
      <c r="C117" s="415" t="s">
        <v>199</v>
      </c>
      <c r="D117" s="416" t="s">
        <v>3787</v>
      </c>
      <c r="E117" s="415" t="s">
        <v>200</v>
      </c>
      <c r="F117" s="100">
        <v>348.56639999999999</v>
      </c>
      <c r="G117" s="101">
        <v>11.96</v>
      </c>
      <c r="H117" s="84">
        <v>0.2122</v>
      </c>
      <c r="I117" s="83">
        <v>14.5</v>
      </c>
      <c r="J117" s="83">
        <v>5054.21</v>
      </c>
      <c r="K117" s="557">
        <v>3.3985714123717771E-4</v>
      </c>
      <c r="L117" s="420"/>
    </row>
    <row r="118" spans="1:13" s="92" customFormat="1" ht="39" customHeight="1" x14ac:dyDescent="0.3">
      <c r="A118" s="415" t="s">
        <v>3036</v>
      </c>
      <c r="B118" s="415" t="s">
        <v>201</v>
      </c>
      <c r="C118" s="415" t="s">
        <v>19</v>
      </c>
      <c r="D118" s="416" t="s">
        <v>3552</v>
      </c>
      <c r="E118" s="415" t="s">
        <v>227</v>
      </c>
      <c r="F118" s="100">
        <v>9.6158999999999963</v>
      </c>
      <c r="G118" s="101">
        <v>767.76</v>
      </c>
      <c r="H118" s="84">
        <v>0.2122</v>
      </c>
      <c r="I118" s="83">
        <v>930.68</v>
      </c>
      <c r="J118" s="83">
        <v>8949.32</v>
      </c>
      <c r="K118" s="557">
        <v>6.0177363251956277E-4</v>
      </c>
      <c r="L118" s="420"/>
    </row>
    <row r="119" spans="1:13" s="92" customFormat="1" ht="39" customHeight="1" x14ac:dyDescent="0.3">
      <c r="A119" s="415" t="s">
        <v>3037</v>
      </c>
      <c r="B119" s="415" t="s">
        <v>202</v>
      </c>
      <c r="C119" s="415" t="s">
        <v>203</v>
      </c>
      <c r="D119" s="416" t="s">
        <v>204</v>
      </c>
      <c r="E119" s="415" t="s">
        <v>173</v>
      </c>
      <c r="F119" s="100">
        <v>207.48000000000002</v>
      </c>
      <c r="G119" s="101">
        <v>82.29</v>
      </c>
      <c r="H119" s="84">
        <v>0.2122</v>
      </c>
      <c r="I119" s="83">
        <v>99.75</v>
      </c>
      <c r="J119" s="83">
        <v>20696.13</v>
      </c>
      <c r="K119" s="557">
        <v>1.3916571682761481E-3</v>
      </c>
      <c r="L119" s="420"/>
    </row>
    <row r="120" spans="1:13" s="92" customFormat="1" ht="39" customHeight="1" x14ac:dyDescent="0.3">
      <c r="A120" s="415" t="s">
        <v>3038</v>
      </c>
      <c r="B120" s="415" t="s">
        <v>205</v>
      </c>
      <c r="C120" s="415" t="s">
        <v>203</v>
      </c>
      <c r="D120" s="416" t="s">
        <v>3752</v>
      </c>
      <c r="E120" s="415" t="s">
        <v>173</v>
      </c>
      <c r="F120" s="100">
        <v>28.5</v>
      </c>
      <c r="G120" s="101">
        <v>69.680000000000007</v>
      </c>
      <c r="H120" s="84">
        <v>0.2122</v>
      </c>
      <c r="I120" s="83">
        <v>84.47</v>
      </c>
      <c r="J120" s="83">
        <v>2407.39</v>
      </c>
      <c r="K120" s="557">
        <v>1.6187864834325626E-4</v>
      </c>
      <c r="L120" s="420"/>
    </row>
    <row r="121" spans="1:13" s="92" customFormat="1" ht="39" customHeight="1" x14ac:dyDescent="0.3">
      <c r="A121" s="415" t="s">
        <v>3039</v>
      </c>
      <c r="B121" s="415" t="s">
        <v>107</v>
      </c>
      <c r="C121" s="415" t="s">
        <v>19</v>
      </c>
      <c r="D121" s="416" t="s">
        <v>108</v>
      </c>
      <c r="E121" s="415" t="s">
        <v>227</v>
      </c>
      <c r="F121" s="100">
        <v>27.511848000000001</v>
      </c>
      <c r="G121" s="101">
        <v>8.81</v>
      </c>
      <c r="H121" s="84">
        <v>0.2122</v>
      </c>
      <c r="I121" s="83">
        <v>10.68</v>
      </c>
      <c r="J121" s="83">
        <v>293.82</v>
      </c>
      <c r="K121" s="557">
        <v>1.9757157941262344E-5</v>
      </c>
      <c r="L121" s="420"/>
    </row>
    <row r="122" spans="1:13" s="92" customFormat="1" ht="39" customHeight="1" x14ac:dyDescent="0.3">
      <c r="A122" s="415" t="s">
        <v>3040</v>
      </c>
      <c r="B122" s="415" t="s">
        <v>109</v>
      </c>
      <c r="C122" s="415" t="s">
        <v>19</v>
      </c>
      <c r="D122" s="416" t="s">
        <v>110</v>
      </c>
      <c r="E122" s="415" t="s">
        <v>111</v>
      </c>
      <c r="F122" s="100">
        <v>825.35544000000004</v>
      </c>
      <c r="G122" s="101">
        <v>2.1</v>
      </c>
      <c r="H122" s="84">
        <v>0.2122</v>
      </c>
      <c r="I122" s="83">
        <v>2.5499999999999998</v>
      </c>
      <c r="J122" s="83">
        <v>2104.65</v>
      </c>
      <c r="K122" s="557">
        <v>1.4152168831624054E-4</v>
      </c>
      <c r="L122" s="420"/>
    </row>
    <row r="123" spans="1:13" s="92" customFormat="1" ht="39" customHeight="1" x14ac:dyDescent="0.3">
      <c r="A123" s="415" t="s">
        <v>3041</v>
      </c>
      <c r="B123" s="415" t="s">
        <v>112</v>
      </c>
      <c r="C123" s="415" t="s">
        <v>19</v>
      </c>
      <c r="D123" s="416" t="s">
        <v>113</v>
      </c>
      <c r="E123" s="415" t="s">
        <v>111</v>
      </c>
      <c r="F123" s="100">
        <v>1232.5307903999999</v>
      </c>
      <c r="G123" s="101">
        <v>0.85</v>
      </c>
      <c r="H123" s="84">
        <v>0.2122</v>
      </c>
      <c r="I123" s="83">
        <v>1.03</v>
      </c>
      <c r="J123" s="83">
        <v>1269.5</v>
      </c>
      <c r="K123" s="557">
        <v>8.5364209401785264E-5</v>
      </c>
      <c r="L123" s="420"/>
    </row>
    <row r="124" spans="1:13" s="89" customFormat="1" ht="24" customHeight="1" x14ac:dyDescent="0.3">
      <c r="A124" s="88" t="s">
        <v>3042</v>
      </c>
      <c r="B124" s="88" t="s">
        <v>402</v>
      </c>
      <c r="C124" s="88" t="s">
        <v>402</v>
      </c>
      <c r="D124" s="544" t="s">
        <v>206</v>
      </c>
      <c r="E124" s="544" t="s">
        <v>402</v>
      </c>
      <c r="F124" s="87"/>
      <c r="G124" s="86"/>
      <c r="H124" s="88"/>
      <c r="I124" s="85"/>
      <c r="J124" s="82">
        <v>0</v>
      </c>
      <c r="K124" s="556">
        <v>0</v>
      </c>
      <c r="L124" s="420"/>
      <c r="M124" s="92"/>
    </row>
    <row r="125" spans="1:13" s="92" customFormat="1" ht="39" customHeight="1" x14ac:dyDescent="0.3">
      <c r="A125" s="415" t="s">
        <v>3043</v>
      </c>
      <c r="B125" s="415" t="s">
        <v>191</v>
      </c>
      <c r="C125" s="415" t="s">
        <v>115</v>
      </c>
      <c r="D125" s="416" t="s">
        <v>3785</v>
      </c>
      <c r="E125" s="415" t="s">
        <v>227</v>
      </c>
      <c r="F125" s="100">
        <v>0</v>
      </c>
      <c r="G125" s="101">
        <v>626.30999999999995</v>
      </c>
      <c r="H125" s="84">
        <v>0.2122</v>
      </c>
      <c r="I125" s="83">
        <v>759.21</v>
      </c>
      <c r="J125" s="83">
        <v>0</v>
      </c>
      <c r="K125" s="557">
        <v>0</v>
      </c>
      <c r="L125" s="420"/>
    </row>
    <row r="126" spans="1:13" s="92" customFormat="1" ht="39" customHeight="1" x14ac:dyDescent="0.3">
      <c r="A126" s="415" t="s">
        <v>3044</v>
      </c>
      <c r="B126" s="415" t="s">
        <v>192</v>
      </c>
      <c r="C126" s="415" t="s">
        <v>19</v>
      </c>
      <c r="D126" s="416" t="s">
        <v>3554</v>
      </c>
      <c r="E126" s="415" t="s">
        <v>227</v>
      </c>
      <c r="F126" s="100">
        <v>0</v>
      </c>
      <c r="G126" s="101">
        <v>62.38</v>
      </c>
      <c r="H126" s="84">
        <v>0.2122</v>
      </c>
      <c r="I126" s="83">
        <v>75.62</v>
      </c>
      <c r="J126" s="83">
        <v>0</v>
      </c>
      <c r="K126" s="557">
        <v>0</v>
      </c>
      <c r="L126" s="420"/>
    </row>
    <row r="127" spans="1:13" s="92" customFormat="1" ht="39" customHeight="1" x14ac:dyDescent="0.3">
      <c r="A127" s="415" t="s">
        <v>3045</v>
      </c>
      <c r="B127" s="415" t="s">
        <v>107</v>
      </c>
      <c r="C127" s="415" t="s">
        <v>19</v>
      </c>
      <c r="D127" s="416" t="s">
        <v>108</v>
      </c>
      <c r="E127" s="415" t="s">
        <v>227</v>
      </c>
      <c r="F127" s="100">
        <v>0</v>
      </c>
      <c r="G127" s="101">
        <v>8.81</v>
      </c>
      <c r="H127" s="84">
        <v>0.2122</v>
      </c>
      <c r="I127" s="83">
        <v>10.68</v>
      </c>
      <c r="J127" s="83">
        <v>0</v>
      </c>
      <c r="K127" s="557">
        <v>0</v>
      </c>
      <c r="L127" s="420"/>
    </row>
    <row r="128" spans="1:13" s="92" customFormat="1" ht="39" customHeight="1" x14ac:dyDescent="0.3">
      <c r="A128" s="415" t="s">
        <v>3046</v>
      </c>
      <c r="B128" s="415" t="s">
        <v>109</v>
      </c>
      <c r="C128" s="415" t="s">
        <v>19</v>
      </c>
      <c r="D128" s="416" t="s">
        <v>110</v>
      </c>
      <c r="E128" s="415" t="s">
        <v>111</v>
      </c>
      <c r="F128" s="100">
        <v>0</v>
      </c>
      <c r="G128" s="101">
        <v>2.1</v>
      </c>
      <c r="H128" s="84">
        <v>0.2122</v>
      </c>
      <c r="I128" s="83">
        <v>2.5499999999999998</v>
      </c>
      <c r="J128" s="83">
        <v>0</v>
      </c>
      <c r="K128" s="557">
        <v>0</v>
      </c>
      <c r="L128" s="420"/>
    </row>
    <row r="129" spans="1:13" s="92" customFormat="1" ht="39" customHeight="1" x14ac:dyDescent="0.3">
      <c r="A129" s="415" t="s">
        <v>3047</v>
      </c>
      <c r="B129" s="415" t="s">
        <v>112</v>
      </c>
      <c r="C129" s="415" t="s">
        <v>19</v>
      </c>
      <c r="D129" s="416" t="s">
        <v>113</v>
      </c>
      <c r="E129" s="415" t="s">
        <v>111</v>
      </c>
      <c r="F129" s="100">
        <v>0</v>
      </c>
      <c r="G129" s="101">
        <v>0.85</v>
      </c>
      <c r="H129" s="84">
        <v>0.2122</v>
      </c>
      <c r="I129" s="83">
        <v>1.03</v>
      </c>
      <c r="J129" s="83">
        <v>0</v>
      </c>
      <c r="K129" s="557">
        <v>0</v>
      </c>
      <c r="L129" s="420"/>
    </row>
    <row r="130" spans="1:13" s="89" customFormat="1" ht="24" customHeight="1" x14ac:dyDescent="0.3">
      <c r="A130" s="88" t="s">
        <v>3048</v>
      </c>
      <c r="B130" s="88" t="s">
        <v>402</v>
      </c>
      <c r="C130" s="88" t="s">
        <v>402</v>
      </c>
      <c r="D130" s="544" t="s">
        <v>365</v>
      </c>
      <c r="E130" s="544" t="s">
        <v>402</v>
      </c>
      <c r="F130" s="87"/>
      <c r="G130" s="86"/>
      <c r="H130" s="88"/>
      <c r="I130" s="85"/>
      <c r="J130" s="82">
        <v>174.13</v>
      </c>
      <c r="K130" s="556">
        <v>1.1708916725587135E-5</v>
      </c>
      <c r="L130" s="420"/>
      <c r="M130" s="92"/>
    </row>
    <row r="131" spans="1:13" s="92" customFormat="1" ht="39" customHeight="1" x14ac:dyDescent="0.3">
      <c r="A131" s="415" t="s">
        <v>3049</v>
      </c>
      <c r="B131" s="415" t="s">
        <v>192</v>
      </c>
      <c r="C131" s="415" t="s">
        <v>19</v>
      </c>
      <c r="D131" s="416" t="s">
        <v>3554</v>
      </c>
      <c r="E131" s="415" t="s">
        <v>227</v>
      </c>
      <c r="F131" s="100">
        <v>0.83347081418267965</v>
      </c>
      <c r="G131" s="101">
        <v>62.38</v>
      </c>
      <c r="H131" s="84">
        <v>0.2122</v>
      </c>
      <c r="I131" s="83">
        <v>75.62</v>
      </c>
      <c r="J131" s="83">
        <v>63.02</v>
      </c>
      <c r="K131" s="557">
        <v>4.237615184324937E-6</v>
      </c>
      <c r="L131" s="420"/>
    </row>
    <row r="132" spans="1:13" s="92" customFormat="1" ht="39" customHeight="1" x14ac:dyDescent="0.3">
      <c r="A132" s="415" t="s">
        <v>3050</v>
      </c>
      <c r="B132" s="415" t="s">
        <v>107</v>
      </c>
      <c r="C132" s="415" t="s">
        <v>19</v>
      </c>
      <c r="D132" s="416" t="s">
        <v>108</v>
      </c>
      <c r="E132" s="415" t="s">
        <v>227</v>
      </c>
      <c r="F132" s="100">
        <v>0.83347081418267965</v>
      </c>
      <c r="G132" s="101">
        <v>8.81</v>
      </c>
      <c r="H132" s="84">
        <v>0.2122</v>
      </c>
      <c r="I132" s="83">
        <v>10.68</v>
      </c>
      <c r="J132" s="83">
        <v>8.9</v>
      </c>
      <c r="K132" s="557">
        <v>5.9845723802748237E-7</v>
      </c>
      <c r="L132" s="420"/>
    </row>
    <row r="133" spans="1:13" s="92" customFormat="1" ht="39" customHeight="1" x14ac:dyDescent="0.3">
      <c r="A133" s="415" t="s">
        <v>3051</v>
      </c>
      <c r="B133" s="415" t="s">
        <v>109</v>
      </c>
      <c r="C133" s="415" t="s">
        <v>19</v>
      </c>
      <c r="D133" s="416" t="s">
        <v>110</v>
      </c>
      <c r="E133" s="415" t="s">
        <v>111</v>
      </c>
      <c r="F133" s="100">
        <v>25.004124425480391</v>
      </c>
      <c r="G133" s="101">
        <v>2.1</v>
      </c>
      <c r="H133" s="84">
        <v>0.2122</v>
      </c>
      <c r="I133" s="83">
        <v>2.5499999999999998</v>
      </c>
      <c r="J133" s="83">
        <v>63.76</v>
      </c>
      <c r="K133" s="557">
        <v>4.2873745501834013E-6</v>
      </c>
      <c r="L133" s="420"/>
    </row>
    <row r="134" spans="1:13" s="92" customFormat="1" ht="39" customHeight="1" x14ac:dyDescent="0.3">
      <c r="A134" s="415" t="s">
        <v>3052</v>
      </c>
      <c r="B134" s="415" t="s">
        <v>112</v>
      </c>
      <c r="C134" s="415" t="s">
        <v>19</v>
      </c>
      <c r="D134" s="416" t="s">
        <v>113</v>
      </c>
      <c r="E134" s="415" t="s">
        <v>111</v>
      </c>
      <c r="F134" s="100">
        <v>37.339492475384048</v>
      </c>
      <c r="G134" s="101">
        <v>0.85</v>
      </c>
      <c r="H134" s="84">
        <v>0.2122</v>
      </c>
      <c r="I134" s="83">
        <v>1.03</v>
      </c>
      <c r="J134" s="83">
        <v>38.450000000000003</v>
      </c>
      <c r="K134" s="557">
        <v>2.5854697530513145E-6</v>
      </c>
      <c r="L134" s="420"/>
    </row>
    <row r="135" spans="1:13" s="89" customFormat="1" ht="24" customHeight="1" x14ac:dyDescent="0.3">
      <c r="A135" s="88" t="s">
        <v>3053</v>
      </c>
      <c r="B135" s="88" t="s">
        <v>402</v>
      </c>
      <c r="C135" s="88" t="s">
        <v>402</v>
      </c>
      <c r="D135" s="544" t="s">
        <v>207</v>
      </c>
      <c r="E135" s="544" t="s">
        <v>402</v>
      </c>
      <c r="F135" s="87"/>
      <c r="G135" s="86"/>
      <c r="H135" s="88"/>
      <c r="I135" s="85"/>
      <c r="J135" s="82">
        <v>22799.52</v>
      </c>
      <c r="K135" s="556">
        <v>1.5330941311856568E-3</v>
      </c>
      <c r="L135" s="420"/>
      <c r="M135" s="92"/>
    </row>
    <row r="136" spans="1:13" s="92" customFormat="1" ht="39" customHeight="1" x14ac:dyDescent="0.3">
      <c r="A136" s="415" t="s">
        <v>3197</v>
      </c>
      <c r="B136" s="415" t="s">
        <v>3753</v>
      </c>
      <c r="C136" s="415" t="s">
        <v>3751</v>
      </c>
      <c r="D136" s="416" t="s">
        <v>208</v>
      </c>
      <c r="E136" s="415" t="s">
        <v>81</v>
      </c>
      <c r="F136" s="100">
        <v>8</v>
      </c>
      <c r="G136" s="101">
        <v>119.76</v>
      </c>
      <c r="H136" s="84">
        <v>0.111</v>
      </c>
      <c r="I136" s="83">
        <v>133.05000000000001</v>
      </c>
      <c r="J136" s="83">
        <v>1064.4000000000001</v>
      </c>
      <c r="K136" s="557">
        <v>7.1572795972635092E-5</v>
      </c>
      <c r="L136" s="420"/>
    </row>
    <row r="137" spans="1:13" s="92" customFormat="1" ht="39" customHeight="1" x14ac:dyDescent="0.3">
      <c r="A137" s="415" t="s">
        <v>3198</v>
      </c>
      <c r="B137" s="415" t="s">
        <v>209</v>
      </c>
      <c r="C137" s="415" t="s">
        <v>199</v>
      </c>
      <c r="D137" s="416" t="s">
        <v>210</v>
      </c>
      <c r="E137" s="415" t="s">
        <v>81</v>
      </c>
      <c r="F137" s="100">
        <v>8</v>
      </c>
      <c r="G137" s="101">
        <v>2241.29</v>
      </c>
      <c r="H137" s="84">
        <v>0.2122</v>
      </c>
      <c r="I137" s="83">
        <v>2716.89</v>
      </c>
      <c r="J137" s="83">
        <v>21735.119999999999</v>
      </c>
      <c r="K137" s="557">
        <v>1.4615213352130215E-3</v>
      </c>
      <c r="L137" s="420"/>
    </row>
    <row r="138" spans="1:13" s="89" customFormat="1" ht="24" customHeight="1" x14ac:dyDescent="0.3">
      <c r="A138" s="88" t="s">
        <v>3054</v>
      </c>
      <c r="B138" s="88" t="s">
        <v>402</v>
      </c>
      <c r="C138" s="88" t="s">
        <v>402</v>
      </c>
      <c r="D138" s="544" t="s">
        <v>211</v>
      </c>
      <c r="E138" s="544" t="s">
        <v>402</v>
      </c>
      <c r="F138" s="87"/>
      <c r="G138" s="86"/>
      <c r="H138" s="88"/>
      <c r="I138" s="85"/>
      <c r="J138" s="82">
        <v>2451301.7799999998</v>
      </c>
      <c r="K138" s="556">
        <v>0.16483138121692709</v>
      </c>
      <c r="L138" s="420"/>
      <c r="M138" s="92"/>
    </row>
    <row r="139" spans="1:13" s="89" customFormat="1" ht="24" customHeight="1" x14ac:dyDescent="0.3">
      <c r="A139" s="88" t="s">
        <v>3055</v>
      </c>
      <c r="B139" s="88" t="s">
        <v>402</v>
      </c>
      <c r="C139" s="88" t="s">
        <v>402</v>
      </c>
      <c r="D139" s="544" t="s">
        <v>212</v>
      </c>
      <c r="E139" s="544" t="s">
        <v>402</v>
      </c>
      <c r="F139" s="87"/>
      <c r="G139" s="86"/>
      <c r="H139" s="88"/>
      <c r="I139" s="85"/>
      <c r="J139" s="82">
        <v>153935.98000000001</v>
      </c>
      <c r="K139" s="556">
        <v>1.0351022631893681E-2</v>
      </c>
      <c r="L139" s="420"/>
      <c r="M139" s="92"/>
    </row>
    <row r="140" spans="1:13" s="92" customFormat="1" ht="39" customHeight="1" x14ac:dyDescent="0.3">
      <c r="A140" s="415" t="s">
        <v>3056</v>
      </c>
      <c r="B140" s="415" t="s">
        <v>213</v>
      </c>
      <c r="C140" s="415" t="s">
        <v>19</v>
      </c>
      <c r="D140" s="416" t="s">
        <v>3788</v>
      </c>
      <c r="E140" s="415" t="s">
        <v>227</v>
      </c>
      <c r="F140" s="100">
        <v>41.530452969423649</v>
      </c>
      <c r="G140" s="101">
        <v>11.8</v>
      </c>
      <c r="H140" s="84">
        <v>0.2122</v>
      </c>
      <c r="I140" s="83">
        <v>14.3</v>
      </c>
      <c r="J140" s="83">
        <v>593.88</v>
      </c>
      <c r="K140" s="557">
        <v>3.9933908373006878E-5</v>
      </c>
      <c r="L140" s="420"/>
    </row>
    <row r="141" spans="1:13" s="92" customFormat="1" ht="39" customHeight="1" x14ac:dyDescent="0.3">
      <c r="A141" s="415" t="s">
        <v>3057</v>
      </c>
      <c r="B141" s="415" t="s">
        <v>300</v>
      </c>
      <c r="C141" s="415" t="s">
        <v>19</v>
      </c>
      <c r="D141" s="416" t="s">
        <v>3813</v>
      </c>
      <c r="E141" s="415" t="s">
        <v>227</v>
      </c>
      <c r="F141" s="100">
        <v>96.227535726438191</v>
      </c>
      <c r="G141" s="101">
        <v>11.17</v>
      </c>
      <c r="H141" s="84">
        <v>0.2122</v>
      </c>
      <c r="I141" s="83">
        <v>13.54</v>
      </c>
      <c r="J141" s="83">
        <v>1302.92</v>
      </c>
      <c r="K141" s="557">
        <v>8.7611449951771614E-5</v>
      </c>
      <c r="L141" s="420"/>
    </row>
    <row r="142" spans="1:13" s="92" customFormat="1" ht="39" customHeight="1" x14ac:dyDescent="0.3">
      <c r="A142" s="415" t="s">
        <v>3058</v>
      </c>
      <c r="B142" s="415" t="s">
        <v>219</v>
      </c>
      <c r="C142" s="415" t="s">
        <v>19</v>
      </c>
      <c r="D142" s="416" t="s">
        <v>3793</v>
      </c>
      <c r="E142" s="415" t="s">
        <v>227</v>
      </c>
      <c r="F142" s="100">
        <v>516.59245760948181</v>
      </c>
      <c r="G142" s="101">
        <v>10.49</v>
      </c>
      <c r="H142" s="84">
        <v>0.2122</v>
      </c>
      <c r="I142" s="83">
        <v>12.72</v>
      </c>
      <c r="J142" s="83">
        <v>6571.05</v>
      </c>
      <c r="K142" s="557">
        <v>4.4185308246522337E-4</v>
      </c>
      <c r="L142" s="420"/>
    </row>
    <row r="143" spans="1:13" s="92" customFormat="1" ht="39" customHeight="1" x14ac:dyDescent="0.3">
      <c r="A143" s="415" t="s">
        <v>3059</v>
      </c>
      <c r="B143" s="415" t="s">
        <v>220</v>
      </c>
      <c r="C143" s="415" t="s">
        <v>19</v>
      </c>
      <c r="D143" s="416" t="s">
        <v>3794</v>
      </c>
      <c r="E143" s="415" t="s">
        <v>227</v>
      </c>
      <c r="F143" s="100">
        <v>430.65137137351712</v>
      </c>
      <c r="G143" s="101">
        <v>9.01</v>
      </c>
      <c r="H143" s="84">
        <v>0.2122</v>
      </c>
      <c r="I143" s="83">
        <v>10.92</v>
      </c>
      <c r="J143" s="83">
        <v>4702.71</v>
      </c>
      <c r="K143" s="557">
        <v>3.1622144245440693E-4</v>
      </c>
      <c r="L143" s="420"/>
    </row>
    <row r="144" spans="1:13" s="92" customFormat="1" ht="39" customHeight="1" x14ac:dyDescent="0.3">
      <c r="A144" s="415" t="s">
        <v>3060</v>
      </c>
      <c r="B144" s="415" t="s">
        <v>221</v>
      </c>
      <c r="C144" s="415" t="s">
        <v>19</v>
      </c>
      <c r="D144" s="416" t="s">
        <v>3795</v>
      </c>
      <c r="E144" s="415" t="s">
        <v>227</v>
      </c>
      <c r="F144" s="100">
        <v>698.92244029892299</v>
      </c>
      <c r="G144" s="101">
        <v>9.31</v>
      </c>
      <c r="H144" s="84">
        <v>0.2122</v>
      </c>
      <c r="I144" s="83">
        <v>11.29</v>
      </c>
      <c r="J144" s="83">
        <v>7890.83</v>
      </c>
      <c r="K144" s="557">
        <v>5.3059823904993237E-4</v>
      </c>
      <c r="L144" s="420"/>
    </row>
    <row r="145" spans="1:13" s="92" customFormat="1" ht="39" customHeight="1" x14ac:dyDescent="0.3">
      <c r="A145" s="415" t="s">
        <v>3061</v>
      </c>
      <c r="B145" s="415" t="s">
        <v>222</v>
      </c>
      <c r="C145" s="415" t="s">
        <v>19</v>
      </c>
      <c r="D145" s="416" t="s">
        <v>3796</v>
      </c>
      <c r="E145" s="415" t="s">
        <v>227</v>
      </c>
      <c r="F145" s="100">
        <v>585.14180836753462</v>
      </c>
      <c r="G145" s="101">
        <v>8.6999999999999993</v>
      </c>
      <c r="H145" s="84">
        <v>0.2122</v>
      </c>
      <c r="I145" s="83">
        <v>10.55</v>
      </c>
      <c r="J145" s="83">
        <v>6173.24</v>
      </c>
      <c r="K145" s="557">
        <v>4.1510338877312079E-4</v>
      </c>
      <c r="L145" s="420"/>
    </row>
    <row r="146" spans="1:13" s="92" customFormat="1" ht="39" customHeight="1" x14ac:dyDescent="0.3">
      <c r="A146" s="415" t="s">
        <v>3062</v>
      </c>
      <c r="B146" s="415" t="s">
        <v>224</v>
      </c>
      <c r="C146" s="415" t="s">
        <v>19</v>
      </c>
      <c r="D146" s="416" t="s">
        <v>3797</v>
      </c>
      <c r="E146" s="415" t="s">
        <v>227</v>
      </c>
      <c r="F146" s="100">
        <v>282.6731198127215</v>
      </c>
      <c r="G146" s="101">
        <v>8.36</v>
      </c>
      <c r="H146" s="84">
        <v>0.2122</v>
      </c>
      <c r="I146" s="83">
        <v>10.130000000000001</v>
      </c>
      <c r="J146" s="83">
        <v>2863.47</v>
      </c>
      <c r="K146" s="557">
        <v>1.9254655588478144E-4</v>
      </c>
      <c r="L146" s="420"/>
    </row>
    <row r="147" spans="1:13" s="92" customFormat="1" ht="39" customHeight="1" x14ac:dyDescent="0.3">
      <c r="A147" s="415" t="s">
        <v>3063</v>
      </c>
      <c r="B147" s="415" t="s">
        <v>225</v>
      </c>
      <c r="C147" s="415" t="s">
        <v>3751</v>
      </c>
      <c r="D147" s="416" t="s">
        <v>226</v>
      </c>
      <c r="E147" s="415" t="s">
        <v>227</v>
      </c>
      <c r="F147" s="100">
        <v>1495.9360000000001</v>
      </c>
      <c r="G147" s="101">
        <v>13.06</v>
      </c>
      <c r="H147" s="84">
        <v>0.2122</v>
      </c>
      <c r="I147" s="83">
        <v>15.83</v>
      </c>
      <c r="J147" s="83">
        <v>23680.66</v>
      </c>
      <c r="K147" s="557">
        <v>1.5923440874458293E-3</v>
      </c>
      <c r="L147" s="420"/>
    </row>
    <row r="148" spans="1:13" s="92" customFormat="1" ht="39" customHeight="1" x14ac:dyDescent="0.3">
      <c r="A148" s="415" t="s">
        <v>3064</v>
      </c>
      <c r="B148" s="415" t="s">
        <v>228</v>
      </c>
      <c r="C148" s="415" t="s">
        <v>3751</v>
      </c>
      <c r="D148" s="416" t="s">
        <v>229</v>
      </c>
      <c r="E148" s="415" t="s">
        <v>227</v>
      </c>
      <c r="F148" s="100">
        <v>976.9048851495038</v>
      </c>
      <c r="G148" s="101">
        <v>17.96</v>
      </c>
      <c r="H148" s="84">
        <v>0.2122</v>
      </c>
      <c r="I148" s="83">
        <v>21.77</v>
      </c>
      <c r="J148" s="83">
        <v>21267.21</v>
      </c>
      <c r="K148" s="557">
        <v>1.4300579502416239E-3</v>
      </c>
      <c r="L148" s="420"/>
    </row>
    <row r="149" spans="1:13" s="92" customFormat="1" ht="39" customHeight="1" x14ac:dyDescent="0.3">
      <c r="A149" s="415" t="s">
        <v>3065</v>
      </c>
      <c r="B149" s="415" t="s">
        <v>3951</v>
      </c>
      <c r="C149" s="415" t="s">
        <v>293</v>
      </c>
      <c r="D149" s="416" t="s">
        <v>3952</v>
      </c>
      <c r="E149" s="415" t="s">
        <v>227</v>
      </c>
      <c r="F149" s="100">
        <v>1.96</v>
      </c>
      <c r="G149" s="101">
        <v>109.28</v>
      </c>
      <c r="H149" s="84">
        <v>0.2122</v>
      </c>
      <c r="I149" s="83">
        <v>132.47</v>
      </c>
      <c r="J149" s="83">
        <v>259.64</v>
      </c>
      <c r="K149" s="557">
        <v>1.7458813177691631E-5</v>
      </c>
      <c r="L149" s="420"/>
    </row>
    <row r="150" spans="1:13" s="92" customFormat="1" ht="39" customHeight="1" x14ac:dyDescent="0.3">
      <c r="A150" s="415" t="s">
        <v>3066</v>
      </c>
      <c r="B150" s="415" t="s">
        <v>116</v>
      </c>
      <c r="C150" s="415" t="s">
        <v>19</v>
      </c>
      <c r="D150" s="416" t="s">
        <v>117</v>
      </c>
      <c r="E150" s="415" t="s">
        <v>227</v>
      </c>
      <c r="F150" s="100">
        <v>882.95071558587631</v>
      </c>
      <c r="G150" s="101">
        <v>6.53</v>
      </c>
      <c r="H150" s="84">
        <v>0.2122</v>
      </c>
      <c r="I150" s="83">
        <v>7.92</v>
      </c>
      <c r="J150" s="83">
        <v>6992.96</v>
      </c>
      <c r="K150" s="557">
        <v>4.7022331766704081E-4</v>
      </c>
      <c r="L150" s="420"/>
    </row>
    <row r="151" spans="1:13" s="92" customFormat="1" ht="39" customHeight="1" x14ac:dyDescent="0.3">
      <c r="A151" s="415" t="s">
        <v>3067</v>
      </c>
      <c r="B151" s="415" t="s">
        <v>109</v>
      </c>
      <c r="C151" s="415" t="s">
        <v>19</v>
      </c>
      <c r="D151" s="416" t="s">
        <v>110</v>
      </c>
      <c r="E151" s="415" t="s">
        <v>111</v>
      </c>
      <c r="F151" s="100">
        <v>23084.880502543281</v>
      </c>
      <c r="G151" s="101">
        <v>2.1</v>
      </c>
      <c r="H151" s="84">
        <v>0.2122</v>
      </c>
      <c r="I151" s="83">
        <v>2.5499999999999998</v>
      </c>
      <c r="J151" s="83">
        <v>58866.44</v>
      </c>
      <c r="K151" s="557">
        <v>3.9583198983045515E-3</v>
      </c>
      <c r="L151" s="420"/>
    </row>
    <row r="152" spans="1:13" s="92" customFormat="1" ht="39" customHeight="1" x14ac:dyDescent="0.3">
      <c r="A152" s="415" t="s">
        <v>3068</v>
      </c>
      <c r="B152" s="415" t="s">
        <v>112</v>
      </c>
      <c r="C152" s="415" t="s">
        <v>19</v>
      </c>
      <c r="D152" s="416" t="s">
        <v>113</v>
      </c>
      <c r="E152" s="415" t="s">
        <v>111</v>
      </c>
      <c r="F152" s="100">
        <v>10976.006976639288</v>
      </c>
      <c r="G152" s="101">
        <v>0.85</v>
      </c>
      <c r="H152" s="84">
        <v>0.2122</v>
      </c>
      <c r="I152" s="83">
        <v>1.03</v>
      </c>
      <c r="J152" s="83">
        <v>11305.28</v>
      </c>
      <c r="K152" s="557">
        <v>7.6019400493565579E-4</v>
      </c>
      <c r="L152" s="420"/>
    </row>
    <row r="153" spans="1:13" s="92" customFormat="1" ht="39" customHeight="1" x14ac:dyDescent="0.3">
      <c r="A153" s="415" t="s">
        <v>3069</v>
      </c>
      <c r="B153" s="415" t="s">
        <v>232</v>
      </c>
      <c r="C153" s="415" t="s">
        <v>19</v>
      </c>
      <c r="D153" s="416" t="s">
        <v>3798</v>
      </c>
      <c r="E153" s="415" t="s">
        <v>227</v>
      </c>
      <c r="F153" s="100">
        <v>882.95071558587631</v>
      </c>
      <c r="G153" s="101">
        <v>1.37</v>
      </c>
      <c r="H153" s="84">
        <v>0.2122</v>
      </c>
      <c r="I153" s="83">
        <v>1.66</v>
      </c>
      <c r="J153" s="83">
        <v>1465.69</v>
      </c>
      <c r="K153" s="557">
        <v>9.8556493169045013E-5</v>
      </c>
      <c r="L153" s="420"/>
    </row>
    <row r="154" spans="1:13" s="89" customFormat="1" ht="24" customHeight="1" x14ac:dyDescent="0.3">
      <c r="A154" s="88" t="s">
        <v>3070</v>
      </c>
      <c r="B154" s="88" t="s">
        <v>402</v>
      </c>
      <c r="C154" s="88" t="s">
        <v>402</v>
      </c>
      <c r="D154" s="544" t="s">
        <v>233</v>
      </c>
      <c r="E154" s="544" t="s">
        <v>402</v>
      </c>
      <c r="F154" s="87"/>
      <c r="G154" s="86"/>
      <c r="H154" s="88"/>
      <c r="I154" s="85"/>
      <c r="J154" s="82">
        <v>1.02</v>
      </c>
      <c r="K154" s="556">
        <v>6.8587234021127191E-8</v>
      </c>
      <c r="L154" s="420"/>
      <c r="M154" s="92"/>
    </row>
    <row r="155" spans="1:13" s="92" customFormat="1" ht="39" customHeight="1" x14ac:dyDescent="0.3">
      <c r="A155" s="415" t="s">
        <v>3071</v>
      </c>
      <c r="B155" s="415" t="s">
        <v>234</v>
      </c>
      <c r="C155" s="415" t="s">
        <v>115</v>
      </c>
      <c r="D155" s="416" t="s">
        <v>235</v>
      </c>
      <c r="E155" s="415" t="s">
        <v>423</v>
      </c>
      <c r="F155" s="100">
        <v>6.2122666666666194E-2</v>
      </c>
      <c r="G155" s="101">
        <v>13.66</v>
      </c>
      <c r="H155" s="84">
        <v>0.2122</v>
      </c>
      <c r="I155" s="83">
        <v>16.559999999999999</v>
      </c>
      <c r="J155" s="83">
        <v>1.02</v>
      </c>
      <c r="K155" s="557">
        <v>6.8587234021127191E-8</v>
      </c>
      <c r="L155" s="420"/>
    </row>
    <row r="156" spans="1:13" s="89" customFormat="1" ht="24" customHeight="1" x14ac:dyDescent="0.3">
      <c r="A156" s="88" t="s">
        <v>3072</v>
      </c>
      <c r="B156" s="88" t="s">
        <v>402</v>
      </c>
      <c r="C156" s="88" t="s">
        <v>402</v>
      </c>
      <c r="D156" s="544" t="s">
        <v>236</v>
      </c>
      <c r="E156" s="544" t="s">
        <v>402</v>
      </c>
      <c r="F156" s="87"/>
      <c r="G156" s="86"/>
      <c r="H156" s="88"/>
      <c r="I156" s="85"/>
      <c r="J156" s="82">
        <v>244309.86000000002</v>
      </c>
      <c r="K156" s="556">
        <v>1.6427977981851787E-2</v>
      </c>
      <c r="L156" s="420"/>
      <c r="M156" s="92"/>
    </row>
    <row r="157" spans="1:13" s="92" customFormat="1" ht="39" customHeight="1" x14ac:dyDescent="0.3">
      <c r="A157" s="415" t="s">
        <v>3073</v>
      </c>
      <c r="B157" s="415" t="s">
        <v>237</v>
      </c>
      <c r="C157" s="415" t="s">
        <v>196</v>
      </c>
      <c r="D157" s="416" t="s">
        <v>238</v>
      </c>
      <c r="E157" s="415" t="s">
        <v>421</v>
      </c>
      <c r="F157" s="100">
        <v>737.98922515640265</v>
      </c>
      <c r="G157" s="101">
        <v>23.05</v>
      </c>
      <c r="H157" s="84">
        <v>0.2122</v>
      </c>
      <c r="I157" s="83">
        <v>27.94</v>
      </c>
      <c r="J157" s="83">
        <v>20619.41</v>
      </c>
      <c r="K157" s="557">
        <v>1.3864983323995787E-3</v>
      </c>
      <c r="L157" s="420"/>
    </row>
    <row r="158" spans="1:13" s="92" customFormat="1" ht="39" customHeight="1" x14ac:dyDescent="0.3">
      <c r="A158" s="415" t="s">
        <v>3074</v>
      </c>
      <c r="B158" s="415" t="s">
        <v>239</v>
      </c>
      <c r="C158" s="415" t="s">
        <v>196</v>
      </c>
      <c r="D158" s="416" t="s">
        <v>240</v>
      </c>
      <c r="E158" s="415" t="s">
        <v>421</v>
      </c>
      <c r="F158" s="100">
        <v>638.40573087480607</v>
      </c>
      <c r="G158" s="101">
        <v>30.02</v>
      </c>
      <c r="H158" s="84">
        <v>0.2122</v>
      </c>
      <c r="I158" s="83">
        <v>36.39</v>
      </c>
      <c r="J158" s="83">
        <v>23231.58</v>
      </c>
      <c r="K158" s="557">
        <v>1.5621468766083707E-3</v>
      </c>
      <c r="L158" s="420"/>
    </row>
    <row r="159" spans="1:13" s="92" customFormat="1" ht="39" customHeight="1" x14ac:dyDescent="0.3">
      <c r="A159" s="415" t="s">
        <v>3075</v>
      </c>
      <c r="B159" s="415" t="s">
        <v>351</v>
      </c>
      <c r="C159" s="415" t="s">
        <v>196</v>
      </c>
      <c r="D159" s="416" t="s">
        <v>352</v>
      </c>
      <c r="E159" s="415" t="s">
        <v>421</v>
      </c>
      <c r="F159" s="100">
        <v>56.592791800027655</v>
      </c>
      <c r="G159" s="101">
        <v>20.14</v>
      </c>
      <c r="H159" s="84">
        <v>0.2122</v>
      </c>
      <c r="I159" s="83">
        <v>24.41</v>
      </c>
      <c r="J159" s="83">
        <v>1381.43</v>
      </c>
      <c r="K159" s="557">
        <v>9.289064969980955E-5</v>
      </c>
      <c r="L159" s="420"/>
    </row>
    <row r="160" spans="1:13" s="92" customFormat="1" ht="39" customHeight="1" x14ac:dyDescent="0.3">
      <c r="A160" s="415" t="s">
        <v>3076</v>
      </c>
      <c r="B160" s="415" t="s">
        <v>241</v>
      </c>
      <c r="C160" s="415" t="s">
        <v>196</v>
      </c>
      <c r="D160" s="416" t="s">
        <v>3799</v>
      </c>
      <c r="E160" s="415" t="s">
        <v>421</v>
      </c>
      <c r="F160" s="100">
        <v>655.46144029892298</v>
      </c>
      <c r="G160" s="101">
        <v>32.4</v>
      </c>
      <c r="H160" s="84">
        <v>0.2122</v>
      </c>
      <c r="I160" s="83">
        <v>39.28</v>
      </c>
      <c r="J160" s="83">
        <v>25746.52</v>
      </c>
      <c r="K160" s="557">
        <v>1.7312574435976781E-3</v>
      </c>
      <c r="L160" s="420"/>
    </row>
    <row r="161" spans="1:13" s="92" customFormat="1" ht="39" customHeight="1" x14ac:dyDescent="0.3">
      <c r="A161" s="415" t="s">
        <v>3077</v>
      </c>
      <c r="B161" s="415" t="s">
        <v>242</v>
      </c>
      <c r="C161" s="415" t="s">
        <v>196</v>
      </c>
      <c r="D161" s="416" t="s">
        <v>3800</v>
      </c>
      <c r="E161" s="415" t="s">
        <v>421</v>
      </c>
      <c r="F161" s="100">
        <v>655.46144029892298</v>
      </c>
      <c r="G161" s="101">
        <v>41.58</v>
      </c>
      <c r="H161" s="84">
        <v>0.2122</v>
      </c>
      <c r="I161" s="83">
        <v>50.4</v>
      </c>
      <c r="J161" s="83">
        <v>33035.25</v>
      </c>
      <c r="K161" s="557">
        <v>2.2213690418592569E-3</v>
      </c>
      <c r="L161" s="420"/>
    </row>
    <row r="162" spans="1:13" s="92" customFormat="1" ht="39" customHeight="1" x14ac:dyDescent="0.3">
      <c r="A162" s="415" t="s">
        <v>3078</v>
      </c>
      <c r="B162" s="415" t="s">
        <v>243</v>
      </c>
      <c r="C162" s="415" t="s">
        <v>196</v>
      </c>
      <c r="D162" s="416" t="s">
        <v>3801</v>
      </c>
      <c r="E162" s="415" t="s">
        <v>421</v>
      </c>
      <c r="F162" s="100">
        <v>288.30769353196393</v>
      </c>
      <c r="G162" s="101">
        <v>23.69</v>
      </c>
      <c r="H162" s="84">
        <v>0.2122</v>
      </c>
      <c r="I162" s="83">
        <v>28.72</v>
      </c>
      <c r="J162" s="83">
        <v>8280.19</v>
      </c>
      <c r="K162" s="557">
        <v>5.5677973457784037E-4</v>
      </c>
      <c r="L162" s="420"/>
    </row>
    <row r="163" spans="1:13" s="92" customFormat="1" ht="39" customHeight="1" x14ac:dyDescent="0.3">
      <c r="A163" s="415" t="s">
        <v>3079</v>
      </c>
      <c r="B163" s="415" t="s">
        <v>244</v>
      </c>
      <c r="C163" s="415" t="s">
        <v>196</v>
      </c>
      <c r="D163" s="416" t="s">
        <v>3802</v>
      </c>
      <c r="E163" s="415" t="s">
        <v>421</v>
      </c>
      <c r="F163" s="100">
        <v>863.04000000000019</v>
      </c>
      <c r="G163" s="101">
        <v>47.36</v>
      </c>
      <c r="H163" s="84">
        <v>0.2122</v>
      </c>
      <c r="I163" s="83">
        <v>57.41</v>
      </c>
      <c r="J163" s="83">
        <v>49547.12</v>
      </c>
      <c r="K163" s="557">
        <v>3.3316665828557563E-3</v>
      </c>
      <c r="L163" s="420"/>
    </row>
    <row r="164" spans="1:13" s="92" customFormat="1" ht="39" customHeight="1" x14ac:dyDescent="0.3">
      <c r="A164" s="415" t="s">
        <v>3080</v>
      </c>
      <c r="B164" s="415" t="s">
        <v>245</v>
      </c>
      <c r="C164" s="415" t="s">
        <v>196</v>
      </c>
      <c r="D164" s="416" t="s">
        <v>3803</v>
      </c>
      <c r="E164" s="415" t="s">
        <v>421</v>
      </c>
      <c r="F164" s="100">
        <v>863.04000000000019</v>
      </c>
      <c r="G164" s="101">
        <v>59.71</v>
      </c>
      <c r="H164" s="84">
        <v>0.2122</v>
      </c>
      <c r="I164" s="83">
        <v>72.38</v>
      </c>
      <c r="J164" s="83">
        <v>62466.83</v>
      </c>
      <c r="K164" s="557">
        <v>4.200418713498009E-3</v>
      </c>
      <c r="L164" s="420"/>
    </row>
    <row r="165" spans="1:13" s="92" customFormat="1" ht="39" customHeight="1" x14ac:dyDescent="0.3">
      <c r="A165" s="415" t="s">
        <v>3081</v>
      </c>
      <c r="B165" s="415" t="s">
        <v>246</v>
      </c>
      <c r="C165" s="415" t="s">
        <v>196</v>
      </c>
      <c r="D165" s="416" t="s">
        <v>3804</v>
      </c>
      <c r="E165" s="415" t="s">
        <v>421</v>
      </c>
      <c r="F165" s="100">
        <v>426.38099999999997</v>
      </c>
      <c r="G165" s="101">
        <v>38.700000000000003</v>
      </c>
      <c r="H165" s="84">
        <v>0.2122</v>
      </c>
      <c r="I165" s="83">
        <v>46.91</v>
      </c>
      <c r="J165" s="83">
        <v>20001.53</v>
      </c>
      <c r="K165" s="557">
        <v>1.3449506067554863E-3</v>
      </c>
      <c r="L165" s="420"/>
    </row>
    <row r="166" spans="1:13" s="89" customFormat="1" ht="24" customHeight="1" x14ac:dyDescent="0.3">
      <c r="A166" s="88" t="s">
        <v>3082</v>
      </c>
      <c r="B166" s="88" t="s">
        <v>402</v>
      </c>
      <c r="C166" s="88" t="s">
        <v>402</v>
      </c>
      <c r="D166" s="544" t="s">
        <v>248</v>
      </c>
      <c r="E166" s="544" t="s">
        <v>402</v>
      </c>
      <c r="F166" s="87"/>
      <c r="G166" s="86"/>
      <c r="H166" s="88"/>
      <c r="I166" s="85"/>
      <c r="J166" s="82">
        <v>439096.3</v>
      </c>
      <c r="K166" s="556">
        <v>2.9525883025403009E-2</v>
      </c>
      <c r="L166" s="420"/>
      <c r="M166" s="92"/>
    </row>
    <row r="167" spans="1:13" s="92" customFormat="1" ht="39" customHeight="1" x14ac:dyDescent="0.3">
      <c r="A167" s="415" t="s">
        <v>3083</v>
      </c>
      <c r="B167" s="415" t="s">
        <v>249</v>
      </c>
      <c r="C167" s="415" t="s">
        <v>19</v>
      </c>
      <c r="D167" s="416" t="s">
        <v>250</v>
      </c>
      <c r="E167" s="415" t="s">
        <v>227</v>
      </c>
      <c r="F167" s="100">
        <v>34.439497173965457</v>
      </c>
      <c r="G167" s="101">
        <v>271.92</v>
      </c>
      <c r="H167" s="84">
        <v>0.2122</v>
      </c>
      <c r="I167" s="83">
        <v>329.62</v>
      </c>
      <c r="J167" s="83">
        <v>11351.94</v>
      </c>
      <c r="K167" s="557">
        <v>7.6333153468019087E-4</v>
      </c>
      <c r="L167" s="420"/>
    </row>
    <row r="168" spans="1:13" s="92" customFormat="1" ht="39" customHeight="1" x14ac:dyDescent="0.3">
      <c r="A168" s="415" t="s">
        <v>3084</v>
      </c>
      <c r="B168" s="415" t="s">
        <v>251</v>
      </c>
      <c r="C168" s="415" t="s">
        <v>19</v>
      </c>
      <c r="D168" s="416" t="s">
        <v>252</v>
      </c>
      <c r="E168" s="415" t="s">
        <v>227</v>
      </c>
      <c r="F168" s="100">
        <v>219.48584402989229</v>
      </c>
      <c r="G168" s="101">
        <v>224.67</v>
      </c>
      <c r="H168" s="84">
        <v>0.2122</v>
      </c>
      <c r="I168" s="83">
        <v>272.33999999999997</v>
      </c>
      <c r="J168" s="83">
        <v>59774.77</v>
      </c>
      <c r="K168" s="557">
        <v>4.019398175048091E-3</v>
      </c>
      <c r="L168" s="420"/>
    </row>
    <row r="169" spans="1:13" s="92" customFormat="1" ht="39" customHeight="1" x14ac:dyDescent="0.3">
      <c r="A169" s="415" t="s">
        <v>3085</v>
      </c>
      <c r="B169" s="415" t="s">
        <v>253</v>
      </c>
      <c r="C169" s="415" t="s">
        <v>3751</v>
      </c>
      <c r="D169" s="416" t="s">
        <v>254</v>
      </c>
      <c r="E169" s="415" t="s">
        <v>227</v>
      </c>
      <c r="F169" s="100">
        <v>233.74668979084049</v>
      </c>
      <c r="G169" s="101">
        <v>15.45</v>
      </c>
      <c r="H169" s="84">
        <v>0.2122</v>
      </c>
      <c r="I169" s="83">
        <v>18.73</v>
      </c>
      <c r="J169" s="83">
        <v>4378.07</v>
      </c>
      <c r="K169" s="557">
        <v>2.9439187416752577E-4</v>
      </c>
      <c r="L169" s="420"/>
    </row>
    <row r="170" spans="1:13" s="92" customFormat="1" ht="39" customHeight="1" x14ac:dyDescent="0.3">
      <c r="A170" s="415" t="s">
        <v>3086</v>
      </c>
      <c r="B170" s="415" t="s">
        <v>255</v>
      </c>
      <c r="C170" s="415" t="s">
        <v>115</v>
      </c>
      <c r="D170" s="416" t="s">
        <v>387</v>
      </c>
      <c r="E170" s="415" t="s">
        <v>227</v>
      </c>
      <c r="F170" s="100">
        <v>233.74668979084049</v>
      </c>
      <c r="G170" s="101">
        <v>208.42</v>
      </c>
      <c r="H170" s="84">
        <v>0.2122</v>
      </c>
      <c r="I170" s="83">
        <v>252.65</v>
      </c>
      <c r="J170" s="83">
        <v>59056.1</v>
      </c>
      <c r="K170" s="557">
        <v>3.9710730892893037E-3</v>
      </c>
      <c r="L170" s="420"/>
    </row>
    <row r="171" spans="1:13" s="92" customFormat="1" ht="39" customHeight="1" x14ac:dyDescent="0.3">
      <c r="A171" s="415" t="s">
        <v>3087</v>
      </c>
      <c r="B171" s="415" t="s">
        <v>256</v>
      </c>
      <c r="C171" s="415" t="s">
        <v>3751</v>
      </c>
      <c r="D171" s="416" t="s">
        <v>257</v>
      </c>
      <c r="E171" s="415" t="s">
        <v>421</v>
      </c>
      <c r="F171" s="100">
        <v>1558.3112652722696</v>
      </c>
      <c r="G171" s="101">
        <v>0.28000000000000003</v>
      </c>
      <c r="H171" s="84">
        <v>0.2122</v>
      </c>
      <c r="I171" s="83">
        <v>0.34</v>
      </c>
      <c r="J171" s="83">
        <v>529.82000000000005</v>
      </c>
      <c r="K171" s="557">
        <v>3.5626361106934916E-5</v>
      </c>
      <c r="L171" s="420"/>
    </row>
    <row r="172" spans="1:13" s="92" customFormat="1" ht="39" customHeight="1" x14ac:dyDescent="0.3">
      <c r="A172" s="415" t="s">
        <v>3088</v>
      </c>
      <c r="B172" s="415" t="s">
        <v>3487</v>
      </c>
      <c r="C172" s="415" t="s">
        <v>3751</v>
      </c>
      <c r="D172" s="416" t="s">
        <v>258</v>
      </c>
      <c r="E172" s="415" t="s">
        <v>262</v>
      </c>
      <c r="F172" s="100">
        <v>0.7</v>
      </c>
      <c r="G172" s="101">
        <v>4033.08</v>
      </c>
      <c r="H172" s="84">
        <v>0.111</v>
      </c>
      <c r="I172" s="83">
        <v>4480.75</v>
      </c>
      <c r="J172" s="83">
        <v>3136.52</v>
      </c>
      <c r="K172" s="557">
        <v>2.1090708946269201E-4</v>
      </c>
      <c r="L172" s="420"/>
    </row>
    <row r="173" spans="1:13" s="92" customFormat="1" ht="39" customHeight="1" x14ac:dyDescent="0.3">
      <c r="A173" s="415" t="s">
        <v>3089</v>
      </c>
      <c r="B173" s="415" t="s">
        <v>259</v>
      </c>
      <c r="C173" s="415" t="s">
        <v>3751</v>
      </c>
      <c r="D173" s="416" t="s">
        <v>260</v>
      </c>
      <c r="E173" s="415" t="s">
        <v>421</v>
      </c>
      <c r="F173" s="100">
        <v>1558.3112652722696</v>
      </c>
      <c r="G173" s="101">
        <v>0.4</v>
      </c>
      <c r="H173" s="84">
        <v>0.2122</v>
      </c>
      <c r="I173" s="83">
        <v>0.48</v>
      </c>
      <c r="J173" s="83">
        <v>747.98</v>
      </c>
      <c r="K173" s="557">
        <v>5.0295960101100706E-5</v>
      </c>
      <c r="L173" s="420"/>
    </row>
    <row r="174" spans="1:13" s="92" customFormat="1" ht="39" customHeight="1" x14ac:dyDescent="0.3">
      <c r="A174" s="415" t="s">
        <v>3090</v>
      </c>
      <c r="B174" s="415" t="s">
        <v>3488</v>
      </c>
      <c r="C174" s="415" t="s">
        <v>3751</v>
      </c>
      <c r="D174" s="416" t="s">
        <v>261</v>
      </c>
      <c r="E174" s="415" t="s">
        <v>262</v>
      </c>
      <c r="F174" s="100">
        <v>2.0299999999999998</v>
      </c>
      <c r="G174" s="101">
        <v>4291.21</v>
      </c>
      <c r="H174" s="84">
        <v>0.111</v>
      </c>
      <c r="I174" s="83">
        <v>4767.53</v>
      </c>
      <c r="J174" s="83">
        <v>9678.08</v>
      </c>
      <c r="K174" s="557">
        <v>6.5077719395606926E-4</v>
      </c>
      <c r="L174" s="420"/>
    </row>
    <row r="175" spans="1:13" s="92" customFormat="1" ht="39" customHeight="1" x14ac:dyDescent="0.3">
      <c r="A175" s="415" t="s">
        <v>3091</v>
      </c>
      <c r="B175" s="415" t="s">
        <v>263</v>
      </c>
      <c r="C175" s="415" t="s">
        <v>115</v>
      </c>
      <c r="D175" s="416" t="s">
        <v>388</v>
      </c>
      <c r="E175" s="415" t="s">
        <v>424</v>
      </c>
      <c r="F175" s="100">
        <v>30656.566068722681</v>
      </c>
      <c r="G175" s="101">
        <v>0.54</v>
      </c>
      <c r="H175" s="84">
        <v>0.111</v>
      </c>
      <c r="I175" s="83">
        <v>0.6</v>
      </c>
      <c r="J175" s="83">
        <v>18393.93</v>
      </c>
      <c r="K175" s="557">
        <v>1.2368517465472864E-3</v>
      </c>
      <c r="L175" s="420"/>
    </row>
    <row r="176" spans="1:13" s="92" customFormat="1" ht="39" customHeight="1" x14ac:dyDescent="0.3">
      <c r="A176" s="415" t="s">
        <v>3092</v>
      </c>
      <c r="B176" s="415" t="s">
        <v>264</v>
      </c>
      <c r="C176" s="415" t="s">
        <v>3751</v>
      </c>
      <c r="D176" s="416" t="s">
        <v>265</v>
      </c>
      <c r="E176" s="415" t="s">
        <v>227</v>
      </c>
      <c r="F176" s="100">
        <v>62.616787958168075</v>
      </c>
      <c r="G176" s="101">
        <v>124.59</v>
      </c>
      <c r="H176" s="84">
        <v>0.2122</v>
      </c>
      <c r="I176" s="83">
        <v>151.03</v>
      </c>
      <c r="J176" s="83">
        <v>9457.01</v>
      </c>
      <c r="K176" s="557">
        <v>6.3591191961778434E-4</v>
      </c>
      <c r="L176" s="420"/>
    </row>
    <row r="177" spans="1:13" s="92" customFormat="1" ht="39" customHeight="1" x14ac:dyDescent="0.3">
      <c r="A177" s="415" t="s">
        <v>3093</v>
      </c>
      <c r="B177" s="415" t="s">
        <v>266</v>
      </c>
      <c r="C177" s="415" t="s">
        <v>3751</v>
      </c>
      <c r="D177" s="416" t="s">
        <v>267</v>
      </c>
      <c r="E177" s="415" t="s">
        <v>262</v>
      </c>
      <c r="F177" s="100">
        <v>150.28029109960337</v>
      </c>
      <c r="G177" s="101">
        <v>188.17</v>
      </c>
      <c r="H177" s="84">
        <v>0.2122</v>
      </c>
      <c r="I177" s="83">
        <v>228.1</v>
      </c>
      <c r="J177" s="83">
        <v>34278.93</v>
      </c>
      <c r="K177" s="557">
        <v>2.3049970528468996E-3</v>
      </c>
      <c r="L177" s="420"/>
    </row>
    <row r="178" spans="1:13" s="92" customFormat="1" ht="39" customHeight="1" x14ac:dyDescent="0.3">
      <c r="A178" s="415" t="s">
        <v>3094</v>
      </c>
      <c r="B178" s="415" t="s">
        <v>3489</v>
      </c>
      <c r="C178" s="415" t="s">
        <v>3751</v>
      </c>
      <c r="D178" s="416" t="s">
        <v>268</v>
      </c>
      <c r="E178" s="415" t="s">
        <v>262</v>
      </c>
      <c r="F178" s="100">
        <v>9.5022228062279197</v>
      </c>
      <c r="G178" s="101">
        <v>5274.22</v>
      </c>
      <c r="H178" s="84">
        <v>0.111</v>
      </c>
      <c r="I178" s="83">
        <v>5859.66</v>
      </c>
      <c r="J178" s="83">
        <v>55679.79</v>
      </c>
      <c r="K178" s="557">
        <v>3.7440419480168799E-3</v>
      </c>
      <c r="L178" s="420"/>
    </row>
    <row r="179" spans="1:13" s="92" customFormat="1" ht="39" customHeight="1" x14ac:dyDescent="0.3">
      <c r="A179" s="415" t="s">
        <v>3095</v>
      </c>
      <c r="B179" s="415" t="s">
        <v>3559</v>
      </c>
      <c r="C179" s="415" t="s">
        <v>3560</v>
      </c>
      <c r="D179" s="416" t="s">
        <v>3806</v>
      </c>
      <c r="E179" s="415" t="s">
        <v>227</v>
      </c>
      <c r="F179" s="100">
        <v>137.75798869586183</v>
      </c>
      <c r="G179" s="101">
        <v>56.12</v>
      </c>
      <c r="H179" s="84">
        <v>0.2122</v>
      </c>
      <c r="I179" s="83">
        <v>68.03</v>
      </c>
      <c r="J179" s="83">
        <v>9371.67</v>
      </c>
      <c r="K179" s="557">
        <v>6.3017345437135005E-4</v>
      </c>
      <c r="L179" s="420"/>
    </row>
    <row r="180" spans="1:13" s="92" customFormat="1" ht="39" customHeight="1" x14ac:dyDescent="0.3">
      <c r="A180" s="415" t="s">
        <v>3096</v>
      </c>
      <c r="B180" s="415" t="s">
        <v>269</v>
      </c>
      <c r="C180" s="415" t="s">
        <v>175</v>
      </c>
      <c r="D180" s="416" t="s">
        <v>270</v>
      </c>
      <c r="E180" s="415" t="s">
        <v>227</v>
      </c>
      <c r="F180" s="100">
        <v>2483.6584606680481</v>
      </c>
      <c r="G180" s="101">
        <v>11.09</v>
      </c>
      <c r="H180" s="84">
        <v>0.2122</v>
      </c>
      <c r="I180" s="83">
        <v>13.44</v>
      </c>
      <c r="J180" s="83">
        <v>33380.36</v>
      </c>
      <c r="K180" s="557">
        <v>2.2445750617936014E-3</v>
      </c>
      <c r="L180" s="420"/>
    </row>
    <row r="181" spans="1:13" s="92" customFormat="1" ht="39" customHeight="1" x14ac:dyDescent="0.3">
      <c r="A181" s="415" t="s">
        <v>3097</v>
      </c>
      <c r="B181" s="415" t="s">
        <v>116</v>
      </c>
      <c r="C181" s="415" t="s">
        <v>19</v>
      </c>
      <c r="D181" s="416" t="s">
        <v>117</v>
      </c>
      <c r="E181" s="415" t="s">
        <v>227</v>
      </c>
      <c r="F181" s="100">
        <v>253.92534120385776</v>
      </c>
      <c r="G181" s="101">
        <v>6.53</v>
      </c>
      <c r="H181" s="84">
        <v>0.2122</v>
      </c>
      <c r="I181" s="83">
        <v>7.92</v>
      </c>
      <c r="J181" s="83">
        <v>2011.08</v>
      </c>
      <c r="K181" s="557">
        <v>1.3522981823059653E-4</v>
      </c>
      <c r="L181" s="420"/>
    </row>
    <row r="182" spans="1:13" s="92" customFormat="1" ht="39" customHeight="1" x14ac:dyDescent="0.3">
      <c r="A182" s="415" t="s">
        <v>3098</v>
      </c>
      <c r="B182" s="415" t="s">
        <v>109</v>
      </c>
      <c r="C182" s="415" t="s">
        <v>19</v>
      </c>
      <c r="D182" s="416" t="s">
        <v>110</v>
      </c>
      <c r="E182" s="415" t="s">
        <v>111</v>
      </c>
      <c r="F182" s="100">
        <v>6500.4887348187585</v>
      </c>
      <c r="G182" s="101">
        <v>2.1</v>
      </c>
      <c r="H182" s="84">
        <v>0.2122</v>
      </c>
      <c r="I182" s="83">
        <v>2.5499999999999998</v>
      </c>
      <c r="J182" s="83">
        <v>16576.240000000002</v>
      </c>
      <c r="K182" s="557">
        <v>1.114625933402323E-3</v>
      </c>
      <c r="L182" s="420"/>
    </row>
    <row r="183" spans="1:13" s="92" customFormat="1" ht="39" customHeight="1" x14ac:dyDescent="0.3">
      <c r="A183" s="415" t="s">
        <v>3099</v>
      </c>
      <c r="B183" s="415" t="s">
        <v>271</v>
      </c>
      <c r="C183" s="415" t="s">
        <v>19</v>
      </c>
      <c r="D183" s="416" t="s">
        <v>3807</v>
      </c>
      <c r="E183" s="415" t="s">
        <v>173</v>
      </c>
      <c r="F183" s="100">
        <v>245.99640838546759</v>
      </c>
      <c r="G183" s="101">
        <v>60.45</v>
      </c>
      <c r="H183" s="84">
        <v>0.2122</v>
      </c>
      <c r="I183" s="83">
        <v>73.28</v>
      </c>
      <c r="J183" s="83">
        <v>18026.61</v>
      </c>
      <c r="K183" s="557">
        <v>1.2121522732133252E-3</v>
      </c>
      <c r="L183" s="420"/>
    </row>
    <row r="184" spans="1:13" s="92" customFormat="1" ht="39" customHeight="1" x14ac:dyDescent="0.3">
      <c r="A184" s="415" t="s">
        <v>3100</v>
      </c>
      <c r="B184" s="415" t="s">
        <v>273</v>
      </c>
      <c r="C184" s="415" t="s">
        <v>19</v>
      </c>
      <c r="D184" s="416" t="s">
        <v>3809</v>
      </c>
      <c r="E184" s="415" t="s">
        <v>173</v>
      </c>
      <c r="F184" s="100">
        <v>73.617146766307656</v>
      </c>
      <c r="G184" s="101">
        <v>108</v>
      </c>
      <c r="H184" s="84">
        <v>0.2122</v>
      </c>
      <c r="I184" s="83">
        <v>130.91999999999999</v>
      </c>
      <c r="J184" s="83">
        <v>9637.9500000000007</v>
      </c>
      <c r="K184" s="557">
        <v>6.4807875699404206E-4</v>
      </c>
      <c r="L184" s="420"/>
    </row>
    <row r="185" spans="1:13" s="92" customFormat="1" ht="39" customHeight="1" x14ac:dyDescent="0.3">
      <c r="A185" s="415" t="s">
        <v>3101</v>
      </c>
      <c r="B185" s="415" t="s">
        <v>274</v>
      </c>
      <c r="C185" s="415" t="s">
        <v>19</v>
      </c>
      <c r="D185" s="416" t="s">
        <v>3810</v>
      </c>
      <c r="E185" s="415" t="s">
        <v>173</v>
      </c>
      <c r="F185" s="100">
        <v>144.87</v>
      </c>
      <c r="G185" s="101">
        <v>133.19</v>
      </c>
      <c r="H185" s="84">
        <v>0.2122</v>
      </c>
      <c r="I185" s="83">
        <v>161.44999999999999</v>
      </c>
      <c r="J185" s="83">
        <v>23389.26</v>
      </c>
      <c r="K185" s="557">
        <v>1.5727496560794013E-3</v>
      </c>
      <c r="L185" s="420"/>
    </row>
    <row r="186" spans="1:13" s="92" customFormat="1" ht="39" customHeight="1" x14ac:dyDescent="0.3">
      <c r="A186" s="415" t="s">
        <v>3102</v>
      </c>
      <c r="B186" s="415" t="s">
        <v>275</v>
      </c>
      <c r="C186" s="415" t="s">
        <v>19</v>
      </c>
      <c r="D186" s="416" t="s">
        <v>3811</v>
      </c>
      <c r="E186" s="415" t="s">
        <v>173</v>
      </c>
      <c r="F186" s="100">
        <v>287.67999999999995</v>
      </c>
      <c r="G186" s="101">
        <v>172.74</v>
      </c>
      <c r="H186" s="84">
        <v>0.2122</v>
      </c>
      <c r="I186" s="83">
        <v>209.4</v>
      </c>
      <c r="J186" s="83">
        <v>60240.19</v>
      </c>
      <c r="K186" s="557">
        <v>4.0506941264776136E-3</v>
      </c>
      <c r="L186" s="420"/>
    </row>
    <row r="187" spans="1:13" s="89" customFormat="1" ht="24" customHeight="1" x14ac:dyDescent="0.3">
      <c r="A187" s="88" t="s">
        <v>3103</v>
      </c>
      <c r="B187" s="88" t="s">
        <v>402</v>
      </c>
      <c r="C187" s="88" t="s">
        <v>402</v>
      </c>
      <c r="D187" s="544" t="s">
        <v>276</v>
      </c>
      <c r="E187" s="544" t="s">
        <v>402</v>
      </c>
      <c r="F187" s="87"/>
      <c r="G187" s="86"/>
      <c r="H187" s="88"/>
      <c r="I187" s="85"/>
      <c r="J187" s="82">
        <v>755992.08000000007</v>
      </c>
      <c r="K187" s="556">
        <v>5.0834711479488932E-2</v>
      </c>
      <c r="L187" s="420"/>
      <c r="M187" s="92"/>
    </row>
    <row r="188" spans="1:13" s="92" customFormat="1" ht="39" customHeight="1" x14ac:dyDescent="0.3">
      <c r="A188" s="415" t="s">
        <v>3104</v>
      </c>
      <c r="B188" s="415" t="s">
        <v>277</v>
      </c>
      <c r="C188" s="415" t="s">
        <v>19</v>
      </c>
      <c r="D188" s="416" t="s">
        <v>278</v>
      </c>
      <c r="E188" s="415" t="s">
        <v>279</v>
      </c>
      <c r="F188" s="100">
        <v>34268.592053569897</v>
      </c>
      <c r="G188" s="101">
        <v>2.71</v>
      </c>
      <c r="H188" s="84">
        <v>0.2122</v>
      </c>
      <c r="I188" s="83">
        <v>3.29</v>
      </c>
      <c r="J188" s="83">
        <v>112743.66</v>
      </c>
      <c r="K188" s="557">
        <v>7.5811527380572523E-3</v>
      </c>
      <c r="L188" s="420"/>
    </row>
    <row r="189" spans="1:13" s="92" customFormat="1" ht="39" customHeight="1" x14ac:dyDescent="0.3">
      <c r="A189" s="415" t="s">
        <v>3105</v>
      </c>
      <c r="B189" s="415" t="s">
        <v>280</v>
      </c>
      <c r="C189" s="415" t="s">
        <v>19</v>
      </c>
      <c r="D189" s="416" t="s">
        <v>281</v>
      </c>
      <c r="E189" s="415" t="s">
        <v>262</v>
      </c>
      <c r="F189" s="100">
        <v>108.23841968960573</v>
      </c>
      <c r="G189" s="101">
        <v>44.31</v>
      </c>
      <c r="H189" s="84">
        <v>0.2122</v>
      </c>
      <c r="I189" s="83">
        <v>53.71</v>
      </c>
      <c r="J189" s="83">
        <v>5813.48</v>
      </c>
      <c r="K189" s="557">
        <v>3.9091226787955143E-4</v>
      </c>
      <c r="L189" s="420"/>
    </row>
    <row r="190" spans="1:13" s="92" customFormat="1" ht="39" customHeight="1" x14ac:dyDescent="0.3">
      <c r="A190" s="415" t="s">
        <v>3106</v>
      </c>
      <c r="B190" s="415" t="s">
        <v>3490</v>
      </c>
      <c r="C190" s="415" t="s">
        <v>19</v>
      </c>
      <c r="D190" s="416" t="s">
        <v>282</v>
      </c>
      <c r="E190" s="415" t="s">
        <v>173</v>
      </c>
      <c r="F190" s="100">
        <v>129.17524667224592</v>
      </c>
      <c r="G190" s="101">
        <v>241.33</v>
      </c>
      <c r="H190" s="84">
        <v>0.111</v>
      </c>
      <c r="I190" s="83">
        <v>268.12</v>
      </c>
      <c r="J190" s="83">
        <v>34634.46</v>
      </c>
      <c r="K190" s="557">
        <v>2.3289037384464401E-3</v>
      </c>
      <c r="L190" s="420"/>
    </row>
    <row r="191" spans="1:13" s="92" customFormat="1" ht="39" customHeight="1" x14ac:dyDescent="0.3">
      <c r="A191" s="415" t="s">
        <v>3107</v>
      </c>
      <c r="B191" s="415" t="s">
        <v>3491</v>
      </c>
      <c r="C191" s="415" t="s">
        <v>19</v>
      </c>
      <c r="D191" s="416" t="s">
        <v>353</v>
      </c>
      <c r="E191" s="415" t="s">
        <v>173</v>
      </c>
      <c r="F191" s="100">
        <v>116.82116171322166</v>
      </c>
      <c r="G191" s="101">
        <v>209.38</v>
      </c>
      <c r="H191" s="84">
        <v>0.111</v>
      </c>
      <c r="I191" s="83">
        <v>232.62</v>
      </c>
      <c r="J191" s="83">
        <v>27174.93</v>
      </c>
      <c r="K191" s="557">
        <v>1.8273071406056372E-3</v>
      </c>
      <c r="L191" s="420"/>
    </row>
    <row r="192" spans="1:13" s="92" customFormat="1" ht="39" customHeight="1" x14ac:dyDescent="0.3">
      <c r="A192" s="415" t="s">
        <v>3108</v>
      </c>
      <c r="B192" s="415" t="s">
        <v>286</v>
      </c>
      <c r="C192" s="415" t="s">
        <v>19</v>
      </c>
      <c r="D192" s="416" t="s">
        <v>287</v>
      </c>
      <c r="E192" s="415" t="s">
        <v>262</v>
      </c>
      <c r="F192" s="100">
        <v>74.110381649641909</v>
      </c>
      <c r="G192" s="101">
        <v>17.7</v>
      </c>
      <c r="H192" s="84">
        <v>0.2122</v>
      </c>
      <c r="I192" s="83">
        <v>21.46</v>
      </c>
      <c r="J192" s="83">
        <v>1590.4</v>
      </c>
      <c r="K192" s="557">
        <v>1.0694229116392224E-4</v>
      </c>
      <c r="L192" s="420"/>
    </row>
    <row r="193" spans="1:13" s="92" customFormat="1" ht="39" customHeight="1" x14ac:dyDescent="0.3">
      <c r="A193" s="415" t="s">
        <v>3109</v>
      </c>
      <c r="B193" s="415" t="s">
        <v>3492</v>
      </c>
      <c r="C193" s="415" t="s">
        <v>19</v>
      </c>
      <c r="D193" s="416" t="s">
        <v>289</v>
      </c>
      <c r="E193" s="415" t="s">
        <v>173</v>
      </c>
      <c r="F193" s="100">
        <v>73.617146766307656</v>
      </c>
      <c r="G193" s="101">
        <v>517.13</v>
      </c>
      <c r="H193" s="84">
        <v>0.111</v>
      </c>
      <c r="I193" s="83">
        <v>574.53</v>
      </c>
      <c r="J193" s="83">
        <v>42295.25</v>
      </c>
      <c r="K193" s="557">
        <v>2.8440335389530195E-3</v>
      </c>
      <c r="L193" s="420"/>
    </row>
    <row r="194" spans="1:13" s="92" customFormat="1" ht="39" customHeight="1" x14ac:dyDescent="0.3">
      <c r="A194" s="415" t="s">
        <v>3110</v>
      </c>
      <c r="B194" s="415" t="s">
        <v>290</v>
      </c>
      <c r="C194" s="415" t="s">
        <v>19</v>
      </c>
      <c r="D194" s="416" t="s">
        <v>291</v>
      </c>
      <c r="E194" s="415" t="s">
        <v>262</v>
      </c>
      <c r="F194" s="100">
        <v>168.04919999999998</v>
      </c>
      <c r="G194" s="101">
        <v>16.190000000000001</v>
      </c>
      <c r="H194" s="84">
        <v>0.2122</v>
      </c>
      <c r="I194" s="83">
        <v>19.63</v>
      </c>
      <c r="J194" s="83">
        <v>3298.8</v>
      </c>
      <c r="K194" s="557">
        <v>2.2181918391068076E-4</v>
      </c>
      <c r="L194" s="420"/>
    </row>
    <row r="195" spans="1:13" s="92" customFormat="1" ht="39" customHeight="1" x14ac:dyDescent="0.3">
      <c r="A195" s="415" t="s">
        <v>3111</v>
      </c>
      <c r="B195" s="415" t="s">
        <v>3493</v>
      </c>
      <c r="C195" s="415" t="s">
        <v>19</v>
      </c>
      <c r="D195" s="416" t="s">
        <v>355</v>
      </c>
      <c r="E195" s="415" t="s">
        <v>173</v>
      </c>
      <c r="F195" s="100">
        <v>144.87</v>
      </c>
      <c r="G195" s="101">
        <v>758.46</v>
      </c>
      <c r="H195" s="84">
        <v>0.111</v>
      </c>
      <c r="I195" s="83">
        <v>842.65</v>
      </c>
      <c r="J195" s="83">
        <v>122074.7</v>
      </c>
      <c r="K195" s="557">
        <v>8.2085941342734271E-3</v>
      </c>
      <c r="L195" s="420"/>
    </row>
    <row r="196" spans="1:13" s="92" customFormat="1" ht="39" customHeight="1" x14ac:dyDescent="0.3">
      <c r="A196" s="415" t="s">
        <v>3112</v>
      </c>
      <c r="B196" s="415" t="s">
        <v>292</v>
      </c>
      <c r="C196" s="415" t="s">
        <v>293</v>
      </c>
      <c r="D196" s="416" t="s">
        <v>356</v>
      </c>
      <c r="E196" s="415" t="s">
        <v>262</v>
      </c>
      <c r="F196" s="100">
        <v>506.31679999999989</v>
      </c>
      <c r="G196" s="101">
        <v>94.99</v>
      </c>
      <c r="H196" s="84">
        <v>0.2122</v>
      </c>
      <c r="I196" s="83">
        <v>115.15</v>
      </c>
      <c r="J196" s="83">
        <v>58302.37</v>
      </c>
      <c r="K196" s="557">
        <v>3.9203904854670053E-3</v>
      </c>
      <c r="L196" s="420"/>
    </row>
    <row r="197" spans="1:13" s="92" customFormat="1" ht="39" customHeight="1" x14ac:dyDescent="0.3">
      <c r="A197" s="415" t="s">
        <v>3113</v>
      </c>
      <c r="B197" s="415" t="s">
        <v>3494</v>
      </c>
      <c r="C197" s="415" t="s">
        <v>19</v>
      </c>
      <c r="D197" s="416" t="s">
        <v>294</v>
      </c>
      <c r="E197" s="415" t="s">
        <v>173</v>
      </c>
      <c r="F197" s="100">
        <v>287.67999999999995</v>
      </c>
      <c r="G197" s="101">
        <v>1089.02</v>
      </c>
      <c r="H197" s="84">
        <v>0.111</v>
      </c>
      <c r="I197" s="83">
        <v>1209.9000000000001</v>
      </c>
      <c r="J197" s="83">
        <v>348064.03</v>
      </c>
      <c r="K197" s="557">
        <v>2.3404655960731997E-2</v>
      </c>
      <c r="L197" s="420"/>
    </row>
    <row r="198" spans="1:13" s="89" customFormat="1" ht="24" customHeight="1" x14ac:dyDescent="0.3">
      <c r="A198" s="88" t="s">
        <v>3114</v>
      </c>
      <c r="B198" s="88" t="s">
        <v>402</v>
      </c>
      <c r="C198" s="88" t="s">
        <v>402</v>
      </c>
      <c r="D198" s="544" t="s">
        <v>295</v>
      </c>
      <c r="E198" s="544" t="s">
        <v>402</v>
      </c>
      <c r="F198" s="87"/>
      <c r="G198" s="86"/>
      <c r="H198" s="88"/>
      <c r="I198" s="85"/>
      <c r="J198" s="82">
        <v>661712.7699999999</v>
      </c>
      <c r="K198" s="556">
        <v>4.4495145696821871E-2</v>
      </c>
      <c r="L198" s="420"/>
      <c r="M198" s="92"/>
    </row>
    <row r="199" spans="1:13" s="92" customFormat="1" ht="39" customHeight="1" x14ac:dyDescent="0.3">
      <c r="A199" s="415" t="s">
        <v>3115</v>
      </c>
      <c r="B199" s="415" t="s">
        <v>171</v>
      </c>
      <c r="C199" s="415" t="s">
        <v>19</v>
      </c>
      <c r="D199" s="416" t="s">
        <v>172</v>
      </c>
      <c r="E199" s="415" t="s">
        <v>173</v>
      </c>
      <c r="F199" s="100">
        <v>431.93</v>
      </c>
      <c r="G199" s="101">
        <v>9.66</v>
      </c>
      <c r="H199" s="84">
        <v>0.2122</v>
      </c>
      <c r="I199" s="83">
        <v>11.71</v>
      </c>
      <c r="J199" s="83">
        <v>5057.8999999999996</v>
      </c>
      <c r="K199" s="557">
        <v>3.4010526564260703E-4</v>
      </c>
      <c r="L199" s="420"/>
    </row>
    <row r="200" spans="1:13" s="92" customFormat="1" ht="39" customHeight="1" x14ac:dyDescent="0.3">
      <c r="A200" s="415" t="s">
        <v>3116</v>
      </c>
      <c r="B200" s="415" t="s">
        <v>177</v>
      </c>
      <c r="C200" s="415" t="s">
        <v>175</v>
      </c>
      <c r="D200" s="416" t="s">
        <v>178</v>
      </c>
      <c r="E200" s="415" t="s">
        <v>421</v>
      </c>
      <c r="F200" s="100">
        <v>4</v>
      </c>
      <c r="G200" s="101">
        <v>11.96</v>
      </c>
      <c r="H200" s="84">
        <v>0.2122</v>
      </c>
      <c r="I200" s="83">
        <v>14.5</v>
      </c>
      <c r="J200" s="83">
        <v>58</v>
      </c>
      <c r="K200" s="557">
        <v>3.9000584051229188E-6</v>
      </c>
      <c r="L200" s="420"/>
    </row>
    <row r="201" spans="1:13" s="92" customFormat="1" ht="39" customHeight="1" x14ac:dyDescent="0.3">
      <c r="A201" s="415" t="s">
        <v>3117</v>
      </c>
      <c r="B201" s="415" t="s">
        <v>179</v>
      </c>
      <c r="C201" s="415" t="s">
        <v>175</v>
      </c>
      <c r="D201" s="416" t="s">
        <v>180</v>
      </c>
      <c r="E201" s="415" t="s">
        <v>173</v>
      </c>
      <c r="F201" s="100">
        <v>863.86</v>
      </c>
      <c r="G201" s="101">
        <v>3.25</v>
      </c>
      <c r="H201" s="84">
        <v>0.2122</v>
      </c>
      <c r="I201" s="83">
        <v>3.94</v>
      </c>
      <c r="J201" s="83">
        <v>3403.6</v>
      </c>
      <c r="K201" s="557">
        <v>2.288661859944201E-4</v>
      </c>
      <c r="L201" s="420"/>
    </row>
    <row r="202" spans="1:13" s="92" customFormat="1" ht="39" customHeight="1" x14ac:dyDescent="0.3">
      <c r="A202" s="415" t="s">
        <v>3118</v>
      </c>
      <c r="B202" s="415" t="s">
        <v>296</v>
      </c>
      <c r="C202" s="415" t="s">
        <v>175</v>
      </c>
      <c r="D202" s="416" t="s">
        <v>297</v>
      </c>
      <c r="E202" s="415" t="s">
        <v>81</v>
      </c>
      <c r="F202" s="100">
        <v>9</v>
      </c>
      <c r="G202" s="101">
        <v>7.15</v>
      </c>
      <c r="H202" s="84">
        <v>0.2122</v>
      </c>
      <c r="I202" s="83">
        <v>8.67</v>
      </c>
      <c r="J202" s="83">
        <v>78.03</v>
      </c>
      <c r="K202" s="557">
        <v>5.2469234026162305E-6</v>
      </c>
      <c r="L202" s="420"/>
    </row>
    <row r="203" spans="1:13" s="92" customFormat="1" ht="39" customHeight="1" x14ac:dyDescent="0.3">
      <c r="A203" s="415" t="s">
        <v>3119</v>
      </c>
      <c r="B203" s="415" t="s">
        <v>181</v>
      </c>
      <c r="C203" s="415" t="s">
        <v>175</v>
      </c>
      <c r="D203" s="416" t="s">
        <v>182</v>
      </c>
      <c r="E203" s="415" t="s">
        <v>81</v>
      </c>
      <c r="F203" s="100">
        <v>9</v>
      </c>
      <c r="G203" s="101">
        <v>2.76</v>
      </c>
      <c r="H203" s="84">
        <v>0.2122</v>
      </c>
      <c r="I203" s="83">
        <v>3.35</v>
      </c>
      <c r="J203" s="83">
        <v>30.15</v>
      </c>
      <c r="K203" s="557">
        <v>2.0273579468009653E-6</v>
      </c>
      <c r="L203" s="420"/>
    </row>
    <row r="204" spans="1:13" s="92" customFormat="1" ht="39" customHeight="1" x14ac:dyDescent="0.3">
      <c r="A204" s="415" t="s">
        <v>3999</v>
      </c>
      <c r="B204" s="415" t="s">
        <v>298</v>
      </c>
      <c r="C204" s="415" t="s">
        <v>19</v>
      </c>
      <c r="D204" s="416" t="s">
        <v>3812</v>
      </c>
      <c r="E204" s="415" t="s">
        <v>227</v>
      </c>
      <c r="F204" s="100">
        <v>123.47</v>
      </c>
      <c r="G204" s="101">
        <v>13.71</v>
      </c>
      <c r="H204" s="84">
        <v>0.2122</v>
      </c>
      <c r="I204" s="83">
        <v>16.62</v>
      </c>
      <c r="J204" s="83">
        <v>2052.0700000000002</v>
      </c>
      <c r="K204" s="557">
        <v>1.3798608364483774E-4</v>
      </c>
      <c r="L204" s="420"/>
    </row>
    <row r="205" spans="1:13" s="92" customFormat="1" ht="39" customHeight="1" x14ac:dyDescent="0.3">
      <c r="A205" s="415" t="s">
        <v>3120</v>
      </c>
      <c r="B205" s="415" t="s">
        <v>213</v>
      </c>
      <c r="C205" s="415" t="s">
        <v>19</v>
      </c>
      <c r="D205" s="416" t="s">
        <v>3788</v>
      </c>
      <c r="E205" s="415" t="s">
        <v>227</v>
      </c>
      <c r="F205" s="100">
        <v>106.85</v>
      </c>
      <c r="G205" s="101">
        <v>11.8</v>
      </c>
      <c r="H205" s="84">
        <v>0.2122</v>
      </c>
      <c r="I205" s="83">
        <v>14.3</v>
      </c>
      <c r="J205" s="83">
        <v>1527.95</v>
      </c>
      <c r="K205" s="557">
        <v>1.0274300413978559E-4</v>
      </c>
      <c r="L205" s="420"/>
    </row>
    <row r="206" spans="1:13" s="92" customFormat="1" ht="39" customHeight="1" x14ac:dyDescent="0.3">
      <c r="A206" s="415" t="s">
        <v>3121</v>
      </c>
      <c r="B206" s="415" t="s">
        <v>300</v>
      </c>
      <c r="C206" s="415" t="s">
        <v>19</v>
      </c>
      <c r="D206" s="416" t="s">
        <v>3813</v>
      </c>
      <c r="E206" s="415" t="s">
        <v>227</v>
      </c>
      <c r="F206" s="100">
        <v>9.67</v>
      </c>
      <c r="G206" s="101">
        <v>11.17</v>
      </c>
      <c r="H206" s="84">
        <v>0.2122</v>
      </c>
      <c r="I206" s="83">
        <v>13.54</v>
      </c>
      <c r="J206" s="83">
        <v>130.93</v>
      </c>
      <c r="K206" s="557">
        <v>8.8040456376335131E-6</v>
      </c>
      <c r="L206" s="420"/>
    </row>
    <row r="207" spans="1:13" s="92" customFormat="1" ht="39" customHeight="1" x14ac:dyDescent="0.3">
      <c r="A207" s="415" t="s">
        <v>3122</v>
      </c>
      <c r="B207" s="415" t="s">
        <v>214</v>
      </c>
      <c r="C207" s="415" t="s">
        <v>19</v>
      </c>
      <c r="D207" s="416" t="s">
        <v>3789</v>
      </c>
      <c r="E207" s="415" t="s">
        <v>227</v>
      </c>
      <c r="F207" s="100">
        <v>108.96</v>
      </c>
      <c r="G207" s="101">
        <v>12.18</v>
      </c>
      <c r="H207" s="84">
        <v>0.2122</v>
      </c>
      <c r="I207" s="83">
        <v>14.76</v>
      </c>
      <c r="J207" s="83">
        <v>1608.24</v>
      </c>
      <c r="K207" s="557">
        <v>1.0814189533542901E-4</v>
      </c>
      <c r="L207" s="420"/>
    </row>
    <row r="208" spans="1:13" s="92" customFormat="1" ht="39" customHeight="1" x14ac:dyDescent="0.3">
      <c r="A208" s="415" t="s">
        <v>3123</v>
      </c>
      <c r="B208" s="415" t="s">
        <v>215</v>
      </c>
      <c r="C208" s="415" t="s">
        <v>19</v>
      </c>
      <c r="D208" s="416" t="s">
        <v>3790</v>
      </c>
      <c r="E208" s="415" t="s">
        <v>227</v>
      </c>
      <c r="F208" s="100">
        <v>70.61</v>
      </c>
      <c r="G208" s="101">
        <v>11.39</v>
      </c>
      <c r="H208" s="84">
        <v>0.2122</v>
      </c>
      <c r="I208" s="83">
        <v>13.81</v>
      </c>
      <c r="J208" s="83">
        <v>975.12</v>
      </c>
      <c r="K208" s="557">
        <v>6.55693957241976E-5</v>
      </c>
      <c r="L208" s="420"/>
    </row>
    <row r="209" spans="1:12" s="92" customFormat="1" ht="39" customHeight="1" x14ac:dyDescent="0.3">
      <c r="A209" s="415" t="s">
        <v>3124</v>
      </c>
      <c r="B209" s="415" t="s">
        <v>219</v>
      </c>
      <c r="C209" s="415" t="s">
        <v>19</v>
      </c>
      <c r="D209" s="416" t="s">
        <v>3793</v>
      </c>
      <c r="E209" s="415" t="s">
        <v>227</v>
      </c>
      <c r="F209" s="100">
        <v>521.65</v>
      </c>
      <c r="G209" s="101">
        <v>10.49</v>
      </c>
      <c r="H209" s="84">
        <v>0.2122</v>
      </c>
      <c r="I209" s="83">
        <v>12.72</v>
      </c>
      <c r="J209" s="83">
        <v>6635.38</v>
      </c>
      <c r="K209" s="557">
        <v>4.4617878517559504E-4</v>
      </c>
      <c r="L209" s="420"/>
    </row>
    <row r="210" spans="1:12" s="92" customFormat="1" ht="39" customHeight="1" x14ac:dyDescent="0.3">
      <c r="A210" s="415" t="s">
        <v>3125</v>
      </c>
      <c r="B210" s="415" t="s">
        <v>220</v>
      </c>
      <c r="C210" s="415" t="s">
        <v>19</v>
      </c>
      <c r="D210" s="416" t="s">
        <v>3794</v>
      </c>
      <c r="E210" s="415" t="s">
        <v>227</v>
      </c>
      <c r="F210" s="100">
        <v>279.39999999999998</v>
      </c>
      <c r="G210" s="101">
        <v>9.01</v>
      </c>
      <c r="H210" s="84">
        <v>0.2122</v>
      </c>
      <c r="I210" s="83">
        <v>10.92</v>
      </c>
      <c r="J210" s="83">
        <v>3051.04</v>
      </c>
      <c r="K210" s="557">
        <v>2.0515921028217639E-4</v>
      </c>
      <c r="L210" s="420"/>
    </row>
    <row r="211" spans="1:12" s="92" customFormat="1" ht="39" customHeight="1" x14ac:dyDescent="0.3">
      <c r="A211" s="415" t="s">
        <v>3126</v>
      </c>
      <c r="B211" s="415" t="s">
        <v>301</v>
      </c>
      <c r="C211" s="415" t="s">
        <v>19</v>
      </c>
      <c r="D211" s="416" t="s">
        <v>3814</v>
      </c>
      <c r="E211" s="415" t="s">
        <v>227</v>
      </c>
      <c r="F211" s="100">
        <v>12.01</v>
      </c>
      <c r="G211" s="101">
        <v>8.5299999999999994</v>
      </c>
      <c r="H211" s="84">
        <v>0.2122</v>
      </c>
      <c r="I211" s="83">
        <v>10.34</v>
      </c>
      <c r="J211" s="83">
        <v>124.18</v>
      </c>
      <c r="K211" s="557">
        <v>8.3501595301407604E-6</v>
      </c>
      <c r="L211" s="420"/>
    </row>
    <row r="212" spans="1:12" s="92" customFormat="1" ht="39" customHeight="1" x14ac:dyDescent="0.3">
      <c r="A212" s="415" t="s">
        <v>3127</v>
      </c>
      <c r="B212" s="415" t="s">
        <v>221</v>
      </c>
      <c r="C212" s="415" t="s">
        <v>19</v>
      </c>
      <c r="D212" s="416" t="s">
        <v>3795</v>
      </c>
      <c r="E212" s="415" t="s">
        <v>227</v>
      </c>
      <c r="F212" s="100">
        <v>507.64</v>
      </c>
      <c r="G212" s="101">
        <v>9.31</v>
      </c>
      <c r="H212" s="84">
        <v>0.2122</v>
      </c>
      <c r="I212" s="83">
        <v>11.29</v>
      </c>
      <c r="J212" s="83">
        <v>5731.25</v>
      </c>
      <c r="K212" s="557">
        <v>3.8538292645449529E-4</v>
      </c>
      <c r="L212" s="420"/>
    </row>
    <row r="213" spans="1:12" s="92" customFormat="1" ht="39" customHeight="1" x14ac:dyDescent="0.3">
      <c r="A213" s="415" t="s">
        <v>3128</v>
      </c>
      <c r="B213" s="415" t="s">
        <v>222</v>
      </c>
      <c r="C213" s="415" t="s">
        <v>19</v>
      </c>
      <c r="D213" s="416" t="s">
        <v>3796</v>
      </c>
      <c r="E213" s="415" t="s">
        <v>227</v>
      </c>
      <c r="F213" s="100">
        <v>158.68</v>
      </c>
      <c r="G213" s="101">
        <v>8.6999999999999993</v>
      </c>
      <c r="H213" s="84">
        <v>0.2122</v>
      </c>
      <c r="I213" s="83">
        <v>10.55</v>
      </c>
      <c r="J213" s="83">
        <v>1674.07</v>
      </c>
      <c r="K213" s="557">
        <v>1.1256846162524352E-4</v>
      </c>
      <c r="L213" s="420"/>
    </row>
    <row r="214" spans="1:12" s="92" customFormat="1" ht="39" customHeight="1" x14ac:dyDescent="0.3">
      <c r="A214" s="415" t="s">
        <v>3129</v>
      </c>
      <c r="B214" s="415" t="s">
        <v>3951</v>
      </c>
      <c r="C214" s="415" t="s">
        <v>293</v>
      </c>
      <c r="D214" s="416" t="s">
        <v>3952</v>
      </c>
      <c r="E214" s="415" t="s">
        <v>227</v>
      </c>
      <c r="F214" s="100">
        <v>7.26</v>
      </c>
      <c r="G214" s="101">
        <v>109.28</v>
      </c>
      <c r="H214" s="84">
        <v>0.2122</v>
      </c>
      <c r="I214" s="83">
        <v>132.47</v>
      </c>
      <c r="J214" s="83">
        <v>961.73</v>
      </c>
      <c r="K214" s="557">
        <v>6.4669020171704558E-5</v>
      </c>
      <c r="L214" s="420"/>
    </row>
    <row r="215" spans="1:12" s="92" customFormat="1" ht="39" customHeight="1" x14ac:dyDescent="0.3">
      <c r="A215" s="415" t="s">
        <v>3130</v>
      </c>
      <c r="B215" s="415" t="s">
        <v>237</v>
      </c>
      <c r="C215" s="415" t="s">
        <v>196</v>
      </c>
      <c r="D215" s="416" t="s">
        <v>238</v>
      </c>
      <c r="E215" s="415" t="s">
        <v>421</v>
      </c>
      <c r="F215" s="100">
        <v>1421.79</v>
      </c>
      <c r="G215" s="101">
        <v>23.05</v>
      </c>
      <c r="H215" s="84">
        <v>0.2122</v>
      </c>
      <c r="I215" s="83">
        <v>27.94</v>
      </c>
      <c r="J215" s="83">
        <v>39724.81</v>
      </c>
      <c r="K215" s="557">
        <v>2.6711910195243269E-3</v>
      </c>
      <c r="L215" s="420"/>
    </row>
    <row r="216" spans="1:12" s="92" customFormat="1" ht="39" customHeight="1" x14ac:dyDescent="0.3">
      <c r="A216" s="415" t="s">
        <v>3131</v>
      </c>
      <c r="B216" s="415" t="s">
        <v>239</v>
      </c>
      <c r="C216" s="415" t="s">
        <v>196</v>
      </c>
      <c r="D216" s="416" t="s">
        <v>240</v>
      </c>
      <c r="E216" s="415" t="s">
        <v>421</v>
      </c>
      <c r="F216" s="100">
        <v>913.02</v>
      </c>
      <c r="G216" s="101">
        <v>30.02</v>
      </c>
      <c r="H216" s="84">
        <v>0.2122</v>
      </c>
      <c r="I216" s="83">
        <v>36.39</v>
      </c>
      <c r="J216" s="83">
        <v>33224.79</v>
      </c>
      <c r="K216" s="557">
        <v>2.2341141637576534E-3</v>
      </c>
      <c r="L216" s="420"/>
    </row>
    <row r="217" spans="1:12" s="92" customFormat="1" ht="39" customHeight="1" x14ac:dyDescent="0.3">
      <c r="A217" s="415" t="s">
        <v>3132</v>
      </c>
      <c r="B217" s="415" t="s">
        <v>302</v>
      </c>
      <c r="C217" s="415" t="s">
        <v>196</v>
      </c>
      <c r="D217" s="416" t="s">
        <v>3815</v>
      </c>
      <c r="E217" s="415" t="s">
        <v>421</v>
      </c>
      <c r="F217" s="100">
        <v>65.569999999999993</v>
      </c>
      <c r="G217" s="101">
        <v>14.37</v>
      </c>
      <c r="H217" s="84">
        <v>0.2122</v>
      </c>
      <c r="I217" s="83">
        <v>17.420000000000002</v>
      </c>
      <c r="J217" s="83">
        <v>1142.22</v>
      </c>
      <c r="K217" s="557">
        <v>7.6805598474129311E-5</v>
      </c>
      <c r="L217" s="420"/>
    </row>
    <row r="218" spans="1:12" s="92" customFormat="1" ht="39" customHeight="1" x14ac:dyDescent="0.3">
      <c r="A218" s="415" t="s">
        <v>3133</v>
      </c>
      <c r="B218" s="415" t="s">
        <v>241</v>
      </c>
      <c r="C218" s="415" t="s">
        <v>196</v>
      </c>
      <c r="D218" s="416" t="s">
        <v>3799</v>
      </c>
      <c r="E218" s="415" t="s">
        <v>421</v>
      </c>
      <c r="F218" s="100">
        <v>565.69000000000005</v>
      </c>
      <c r="G218" s="101">
        <v>32.4</v>
      </c>
      <c r="H218" s="84">
        <v>0.2122</v>
      </c>
      <c r="I218" s="83">
        <v>39.28</v>
      </c>
      <c r="J218" s="83">
        <v>22220.3</v>
      </c>
      <c r="K218" s="557">
        <v>1.4941459961957378E-3</v>
      </c>
      <c r="L218" s="420"/>
    </row>
    <row r="219" spans="1:12" s="92" customFormat="1" ht="39" customHeight="1" x14ac:dyDescent="0.3">
      <c r="A219" s="415" t="s">
        <v>3134</v>
      </c>
      <c r="B219" s="415" t="s">
        <v>242</v>
      </c>
      <c r="C219" s="415" t="s">
        <v>196</v>
      </c>
      <c r="D219" s="416" t="s">
        <v>3800</v>
      </c>
      <c r="E219" s="415" t="s">
        <v>421</v>
      </c>
      <c r="F219" s="100">
        <v>217.02</v>
      </c>
      <c r="G219" s="101">
        <v>41.58</v>
      </c>
      <c r="H219" s="84">
        <v>0.2122</v>
      </c>
      <c r="I219" s="83">
        <v>50.4</v>
      </c>
      <c r="J219" s="83">
        <v>10937.8</v>
      </c>
      <c r="K219" s="557">
        <v>7.3548377281988718E-4</v>
      </c>
      <c r="L219" s="420"/>
    </row>
    <row r="220" spans="1:12" s="92" customFormat="1" ht="39" customHeight="1" x14ac:dyDescent="0.3">
      <c r="A220" s="415" t="s">
        <v>3135</v>
      </c>
      <c r="B220" s="415" t="s">
        <v>234</v>
      </c>
      <c r="C220" s="415" t="s">
        <v>115</v>
      </c>
      <c r="D220" s="416" t="s">
        <v>235</v>
      </c>
      <c r="E220" s="415" t="s">
        <v>423</v>
      </c>
      <c r="F220" s="100">
        <v>0.37</v>
      </c>
      <c r="G220" s="101">
        <v>13.66</v>
      </c>
      <c r="H220" s="84">
        <v>0.2122</v>
      </c>
      <c r="I220" s="83">
        <v>16.559999999999999</v>
      </c>
      <c r="J220" s="83">
        <v>6.12</v>
      </c>
      <c r="K220" s="557">
        <v>4.1152340412676317E-7</v>
      </c>
      <c r="L220" s="420"/>
    </row>
    <row r="221" spans="1:12" s="92" customFormat="1" ht="39" customHeight="1" x14ac:dyDescent="0.3">
      <c r="A221" s="415" t="s">
        <v>3136</v>
      </c>
      <c r="B221" s="415" t="s">
        <v>249</v>
      </c>
      <c r="C221" s="415" t="s">
        <v>19</v>
      </c>
      <c r="D221" s="416" t="s">
        <v>250</v>
      </c>
      <c r="E221" s="415" t="s">
        <v>227</v>
      </c>
      <c r="F221" s="100">
        <v>21.6</v>
      </c>
      <c r="G221" s="101">
        <v>271.92</v>
      </c>
      <c r="H221" s="84">
        <v>0.2122</v>
      </c>
      <c r="I221" s="83">
        <v>329.62</v>
      </c>
      <c r="J221" s="83">
        <v>7119.79</v>
      </c>
      <c r="K221" s="557">
        <v>4.787516695208639E-4</v>
      </c>
      <c r="L221" s="420"/>
    </row>
    <row r="222" spans="1:12" s="92" customFormat="1" ht="39" customHeight="1" x14ac:dyDescent="0.3">
      <c r="A222" s="415" t="s">
        <v>3137</v>
      </c>
      <c r="B222" s="415" t="s">
        <v>264</v>
      </c>
      <c r="C222" s="415" t="s">
        <v>3751</v>
      </c>
      <c r="D222" s="416" t="s">
        <v>265</v>
      </c>
      <c r="E222" s="415" t="s">
        <v>227</v>
      </c>
      <c r="F222" s="100">
        <v>12.96</v>
      </c>
      <c r="G222" s="101">
        <v>124.59</v>
      </c>
      <c r="H222" s="84">
        <v>0.2122</v>
      </c>
      <c r="I222" s="83">
        <v>151.03</v>
      </c>
      <c r="J222" s="83">
        <v>1957.34</v>
      </c>
      <c r="K222" s="557">
        <v>1.3161621239109127E-4</v>
      </c>
      <c r="L222" s="420"/>
    </row>
    <row r="223" spans="1:12" s="92" customFormat="1" ht="39" customHeight="1" x14ac:dyDescent="0.3">
      <c r="A223" s="415" t="s">
        <v>3138</v>
      </c>
      <c r="B223" s="415" t="s">
        <v>256</v>
      </c>
      <c r="C223" s="415" t="s">
        <v>3751</v>
      </c>
      <c r="D223" s="416" t="s">
        <v>257</v>
      </c>
      <c r="E223" s="415" t="s">
        <v>421</v>
      </c>
      <c r="F223" s="100">
        <v>431.93</v>
      </c>
      <c r="G223" s="101">
        <v>0.28000000000000003</v>
      </c>
      <c r="H223" s="84">
        <v>0.2122</v>
      </c>
      <c r="I223" s="83">
        <v>0.34</v>
      </c>
      <c r="J223" s="83">
        <v>146.85</v>
      </c>
      <c r="K223" s="557">
        <v>9.8745444274534578E-6</v>
      </c>
      <c r="L223" s="420"/>
    </row>
    <row r="224" spans="1:12" s="92" customFormat="1" ht="39" customHeight="1" x14ac:dyDescent="0.3">
      <c r="A224" s="415" t="s">
        <v>3139</v>
      </c>
      <c r="B224" s="415" t="s">
        <v>3487</v>
      </c>
      <c r="C224" s="415" t="s">
        <v>3751</v>
      </c>
      <c r="D224" s="416" t="s">
        <v>258</v>
      </c>
      <c r="E224" s="415" t="s">
        <v>262</v>
      </c>
      <c r="F224" s="100">
        <v>0.19</v>
      </c>
      <c r="G224" s="101">
        <v>4033.08</v>
      </c>
      <c r="H224" s="84">
        <v>0.111</v>
      </c>
      <c r="I224" s="83">
        <v>4480.75</v>
      </c>
      <c r="J224" s="83">
        <v>851.34</v>
      </c>
      <c r="K224" s="557">
        <v>5.724613314857493E-5</v>
      </c>
      <c r="L224" s="420"/>
    </row>
    <row r="225" spans="1:12" s="92" customFormat="1" ht="39" customHeight="1" x14ac:dyDescent="0.3">
      <c r="A225" s="415" t="s">
        <v>3140</v>
      </c>
      <c r="B225" s="415" t="s">
        <v>259</v>
      </c>
      <c r="C225" s="415" t="s">
        <v>3751</v>
      </c>
      <c r="D225" s="416" t="s">
        <v>260</v>
      </c>
      <c r="E225" s="415" t="s">
        <v>421</v>
      </c>
      <c r="F225" s="100">
        <v>431.93</v>
      </c>
      <c r="G225" s="101">
        <v>0.4</v>
      </c>
      <c r="H225" s="84">
        <v>0.2122</v>
      </c>
      <c r="I225" s="83">
        <v>0.48</v>
      </c>
      <c r="J225" s="83">
        <v>207.32</v>
      </c>
      <c r="K225" s="557">
        <v>1.3940691526725577E-5</v>
      </c>
      <c r="L225" s="420"/>
    </row>
    <row r="226" spans="1:12" s="92" customFormat="1" ht="39" customHeight="1" x14ac:dyDescent="0.3">
      <c r="A226" s="415" t="s">
        <v>3141</v>
      </c>
      <c r="B226" s="415" t="s">
        <v>3488</v>
      </c>
      <c r="C226" s="415" t="s">
        <v>3751</v>
      </c>
      <c r="D226" s="416" t="s">
        <v>261</v>
      </c>
      <c r="E226" s="415" t="s">
        <v>262</v>
      </c>
      <c r="F226" s="100">
        <v>0.56000000000000005</v>
      </c>
      <c r="G226" s="101">
        <v>4291.21</v>
      </c>
      <c r="H226" s="84">
        <v>0.111</v>
      </c>
      <c r="I226" s="83">
        <v>4767.53</v>
      </c>
      <c r="J226" s="83">
        <v>2669.81</v>
      </c>
      <c r="K226" s="557">
        <v>1.795243953548486E-4</v>
      </c>
      <c r="L226" s="420"/>
    </row>
    <row r="227" spans="1:12" s="92" customFormat="1" ht="39" customHeight="1" x14ac:dyDescent="0.3">
      <c r="A227" s="415" t="s">
        <v>3142</v>
      </c>
      <c r="B227" s="415" t="s">
        <v>266</v>
      </c>
      <c r="C227" s="415" t="s">
        <v>3751</v>
      </c>
      <c r="D227" s="416" t="s">
        <v>267</v>
      </c>
      <c r="E227" s="415" t="s">
        <v>262</v>
      </c>
      <c r="F227" s="100">
        <v>31.1</v>
      </c>
      <c r="G227" s="101">
        <v>188.17</v>
      </c>
      <c r="H227" s="84">
        <v>0.2122</v>
      </c>
      <c r="I227" s="83">
        <v>228.1</v>
      </c>
      <c r="J227" s="83">
        <v>7093.91</v>
      </c>
      <c r="K227" s="557">
        <v>4.7701143656354351E-4</v>
      </c>
      <c r="L227" s="420"/>
    </row>
    <row r="228" spans="1:12" s="92" customFormat="1" ht="39" customHeight="1" x14ac:dyDescent="0.3">
      <c r="A228" s="415" t="s">
        <v>3143</v>
      </c>
      <c r="B228" s="415" t="s">
        <v>3489</v>
      </c>
      <c r="C228" s="415" t="s">
        <v>3751</v>
      </c>
      <c r="D228" s="416" t="s">
        <v>268</v>
      </c>
      <c r="E228" s="415" t="s">
        <v>262</v>
      </c>
      <c r="F228" s="100">
        <v>1.97</v>
      </c>
      <c r="G228" s="101">
        <v>5274.22</v>
      </c>
      <c r="H228" s="84">
        <v>0.111</v>
      </c>
      <c r="I228" s="83">
        <v>5859.66</v>
      </c>
      <c r="J228" s="83">
        <v>11543.53</v>
      </c>
      <c r="K228" s="557">
        <v>7.7621450347049252E-4</v>
      </c>
      <c r="L228" s="420"/>
    </row>
    <row r="229" spans="1:12" s="92" customFormat="1" ht="39" customHeight="1" x14ac:dyDescent="0.3">
      <c r="A229" s="415" t="s">
        <v>3144</v>
      </c>
      <c r="B229" s="415" t="s">
        <v>253</v>
      </c>
      <c r="C229" s="415" t="s">
        <v>3751</v>
      </c>
      <c r="D229" s="416" t="s">
        <v>254</v>
      </c>
      <c r="E229" s="415" t="s">
        <v>227</v>
      </c>
      <c r="F229" s="100">
        <v>64.790000000000006</v>
      </c>
      <c r="G229" s="101">
        <v>15.45</v>
      </c>
      <c r="H229" s="84">
        <v>0.2122</v>
      </c>
      <c r="I229" s="83">
        <v>18.73</v>
      </c>
      <c r="J229" s="83">
        <v>1213.51</v>
      </c>
      <c r="K229" s="557">
        <v>8.1599308193115738E-5</v>
      </c>
      <c r="L229" s="420"/>
    </row>
    <row r="230" spans="1:12" s="92" customFormat="1" ht="39" customHeight="1" x14ac:dyDescent="0.3">
      <c r="A230" s="415" t="s">
        <v>3145</v>
      </c>
      <c r="B230" s="415" t="s">
        <v>255</v>
      </c>
      <c r="C230" s="415" t="s">
        <v>115</v>
      </c>
      <c r="D230" s="416" t="s">
        <v>387</v>
      </c>
      <c r="E230" s="415" t="s">
        <v>227</v>
      </c>
      <c r="F230" s="100">
        <v>64.790000000000006</v>
      </c>
      <c r="G230" s="101">
        <v>208.42</v>
      </c>
      <c r="H230" s="84">
        <v>0.2122</v>
      </c>
      <c r="I230" s="83">
        <v>252.65</v>
      </c>
      <c r="J230" s="83">
        <v>16369.19</v>
      </c>
      <c r="K230" s="557">
        <v>1.100703397319897E-3</v>
      </c>
      <c r="L230" s="420"/>
    </row>
    <row r="231" spans="1:12" s="92" customFormat="1" ht="39" customHeight="1" x14ac:dyDescent="0.3">
      <c r="A231" s="415" t="s">
        <v>3146</v>
      </c>
      <c r="B231" s="415" t="s">
        <v>263</v>
      </c>
      <c r="C231" s="415" t="s">
        <v>115</v>
      </c>
      <c r="D231" s="416" t="s">
        <v>388</v>
      </c>
      <c r="E231" s="415" t="s">
        <v>424</v>
      </c>
      <c r="F231" s="100">
        <v>11060.35</v>
      </c>
      <c r="G231" s="101">
        <v>0.54</v>
      </c>
      <c r="H231" s="84">
        <v>0.111</v>
      </c>
      <c r="I231" s="83">
        <v>0.6</v>
      </c>
      <c r="J231" s="83">
        <v>6636.21</v>
      </c>
      <c r="K231" s="557">
        <v>4.462345963562201E-4</v>
      </c>
      <c r="L231" s="420"/>
    </row>
    <row r="232" spans="1:12" s="92" customFormat="1" ht="39" customHeight="1" x14ac:dyDescent="0.3">
      <c r="A232" s="415" t="s">
        <v>3147</v>
      </c>
      <c r="B232" s="415" t="s">
        <v>3559</v>
      </c>
      <c r="C232" s="415" t="s">
        <v>3560</v>
      </c>
      <c r="D232" s="416" t="s">
        <v>3806</v>
      </c>
      <c r="E232" s="415" t="s">
        <v>227</v>
      </c>
      <c r="F232" s="100">
        <v>248.07</v>
      </c>
      <c r="G232" s="101">
        <v>56.12</v>
      </c>
      <c r="H232" s="84">
        <v>0.2122</v>
      </c>
      <c r="I232" s="83">
        <v>68.03</v>
      </c>
      <c r="J232" s="83">
        <v>16876.2</v>
      </c>
      <c r="K232" s="557">
        <v>1.1347959595954379E-3</v>
      </c>
      <c r="L232" s="420"/>
    </row>
    <row r="233" spans="1:12" s="92" customFormat="1" ht="39" customHeight="1" x14ac:dyDescent="0.3">
      <c r="A233" s="415" t="s">
        <v>3148</v>
      </c>
      <c r="B233" s="415" t="s">
        <v>269</v>
      </c>
      <c r="C233" s="415" t="s">
        <v>175</v>
      </c>
      <c r="D233" s="416" t="s">
        <v>270</v>
      </c>
      <c r="E233" s="415" t="s">
        <v>227</v>
      </c>
      <c r="F233" s="100">
        <v>984.81</v>
      </c>
      <c r="G233" s="101">
        <v>11.09</v>
      </c>
      <c r="H233" s="84">
        <v>0.2122</v>
      </c>
      <c r="I233" s="83">
        <v>13.44</v>
      </c>
      <c r="J233" s="83">
        <v>13235.84</v>
      </c>
      <c r="K233" s="557">
        <v>8.9000946622176094E-4</v>
      </c>
      <c r="L233" s="420"/>
    </row>
    <row r="234" spans="1:12" s="92" customFormat="1" ht="39" customHeight="1" x14ac:dyDescent="0.3">
      <c r="A234" s="415" t="s">
        <v>3149</v>
      </c>
      <c r="B234" s="415" t="s">
        <v>116</v>
      </c>
      <c r="C234" s="415" t="s">
        <v>19</v>
      </c>
      <c r="D234" s="416" t="s">
        <v>117</v>
      </c>
      <c r="E234" s="415" t="s">
        <v>227</v>
      </c>
      <c r="F234" s="100">
        <v>824.18</v>
      </c>
      <c r="G234" s="101">
        <v>6.53</v>
      </c>
      <c r="H234" s="84">
        <v>0.2122</v>
      </c>
      <c r="I234" s="83">
        <v>7.92</v>
      </c>
      <c r="J234" s="83">
        <v>6527.5</v>
      </c>
      <c r="K234" s="557">
        <v>4.3892467654206639E-4</v>
      </c>
      <c r="L234" s="420"/>
    </row>
    <row r="235" spans="1:12" s="92" customFormat="1" ht="39" customHeight="1" x14ac:dyDescent="0.3">
      <c r="A235" s="415" t="s">
        <v>3150</v>
      </c>
      <c r="B235" s="415" t="s">
        <v>109</v>
      </c>
      <c r="C235" s="415" t="s">
        <v>19</v>
      </c>
      <c r="D235" s="416" t="s">
        <v>110</v>
      </c>
      <c r="E235" s="415" t="s">
        <v>111</v>
      </c>
      <c r="F235" s="100">
        <v>18847.383846657842</v>
      </c>
      <c r="G235" s="101">
        <v>2.1</v>
      </c>
      <c r="H235" s="84">
        <v>0.2122</v>
      </c>
      <c r="I235" s="83">
        <v>2.5499999999999998</v>
      </c>
      <c r="J235" s="83">
        <v>48060.82</v>
      </c>
      <c r="K235" s="557">
        <v>3.2317242241051668E-3</v>
      </c>
      <c r="L235" s="420"/>
    </row>
    <row r="236" spans="1:12" s="92" customFormat="1" ht="39" customHeight="1" x14ac:dyDescent="0.3">
      <c r="A236" s="415" t="s">
        <v>3151</v>
      </c>
      <c r="B236" s="415" t="s">
        <v>112</v>
      </c>
      <c r="C236" s="415" t="s">
        <v>19</v>
      </c>
      <c r="D236" s="416" t="s">
        <v>113</v>
      </c>
      <c r="E236" s="415" t="s">
        <v>111</v>
      </c>
      <c r="F236" s="100">
        <v>8863.3034371039994</v>
      </c>
      <c r="G236" s="101">
        <v>0.85</v>
      </c>
      <c r="H236" s="84">
        <v>0.2122</v>
      </c>
      <c r="I236" s="83">
        <v>1.03</v>
      </c>
      <c r="J236" s="83">
        <v>9129.2000000000007</v>
      </c>
      <c r="K236" s="557">
        <v>6.138691929663475E-4</v>
      </c>
      <c r="L236" s="420"/>
    </row>
    <row r="237" spans="1:12" s="92" customFormat="1" ht="39" customHeight="1" x14ac:dyDescent="0.3">
      <c r="A237" s="415" t="s">
        <v>3152</v>
      </c>
      <c r="B237" s="415" t="s">
        <v>232</v>
      </c>
      <c r="C237" s="415" t="s">
        <v>19</v>
      </c>
      <c r="D237" s="416" t="s">
        <v>3798</v>
      </c>
      <c r="E237" s="415" t="s">
        <v>227</v>
      </c>
      <c r="F237" s="100">
        <v>608.52340711999989</v>
      </c>
      <c r="G237" s="101">
        <v>1.37</v>
      </c>
      <c r="H237" s="84">
        <v>0.2122</v>
      </c>
      <c r="I237" s="83">
        <v>1.66</v>
      </c>
      <c r="J237" s="83">
        <v>1010.14</v>
      </c>
      <c r="K237" s="557">
        <v>6.7924224092256289E-5</v>
      </c>
      <c r="L237" s="420"/>
    </row>
    <row r="238" spans="1:12" s="92" customFormat="1" ht="39" customHeight="1" x14ac:dyDescent="0.3">
      <c r="A238" s="415" t="s">
        <v>3153</v>
      </c>
      <c r="B238" s="415" t="s">
        <v>303</v>
      </c>
      <c r="C238" s="415" t="s">
        <v>19</v>
      </c>
      <c r="D238" s="416" t="s">
        <v>3816</v>
      </c>
      <c r="E238" s="415" t="s">
        <v>173</v>
      </c>
      <c r="F238" s="100">
        <v>193.97</v>
      </c>
      <c r="G238" s="101">
        <v>77.209999999999994</v>
      </c>
      <c r="H238" s="84">
        <v>0.2122</v>
      </c>
      <c r="I238" s="83">
        <v>93.59</v>
      </c>
      <c r="J238" s="83">
        <v>18153.650000000001</v>
      </c>
      <c r="K238" s="557">
        <v>1.2206947459682703E-3</v>
      </c>
      <c r="L238" s="420"/>
    </row>
    <row r="239" spans="1:12" s="92" customFormat="1" ht="39" customHeight="1" x14ac:dyDescent="0.3">
      <c r="A239" s="415" t="s">
        <v>3154</v>
      </c>
      <c r="B239" s="415" t="s">
        <v>160</v>
      </c>
      <c r="C239" s="415" t="s">
        <v>19</v>
      </c>
      <c r="D239" s="416" t="s">
        <v>161</v>
      </c>
      <c r="E239" s="415" t="s">
        <v>227</v>
      </c>
      <c r="F239" s="100">
        <v>18.02</v>
      </c>
      <c r="G239" s="101">
        <v>403.4</v>
      </c>
      <c r="H239" s="84">
        <v>0.2122</v>
      </c>
      <c r="I239" s="83">
        <v>489</v>
      </c>
      <c r="J239" s="83">
        <v>8811.7800000000007</v>
      </c>
      <c r="K239" s="557">
        <v>5.9252511470851785E-4</v>
      </c>
      <c r="L239" s="420"/>
    </row>
    <row r="240" spans="1:12" s="92" customFormat="1" ht="39" customHeight="1" x14ac:dyDescent="0.3">
      <c r="A240" s="415" t="s">
        <v>3155</v>
      </c>
      <c r="B240" s="415" t="s">
        <v>304</v>
      </c>
      <c r="C240" s="415" t="s">
        <v>115</v>
      </c>
      <c r="D240" s="416" t="s">
        <v>317</v>
      </c>
      <c r="E240" s="415" t="s">
        <v>424</v>
      </c>
      <c r="F240" s="100">
        <v>1632</v>
      </c>
      <c r="G240" s="101">
        <v>12.15</v>
      </c>
      <c r="H240" s="84">
        <v>0.2122</v>
      </c>
      <c r="I240" s="83">
        <v>14.73</v>
      </c>
      <c r="J240" s="83">
        <v>24039.360000000001</v>
      </c>
      <c r="K240" s="557">
        <v>1.6164639314099256E-3</v>
      </c>
      <c r="L240" s="420"/>
    </row>
    <row r="241" spans="1:13" s="92" customFormat="1" ht="39" customHeight="1" x14ac:dyDescent="0.3">
      <c r="A241" s="415" t="s">
        <v>3156</v>
      </c>
      <c r="B241" s="415" t="s">
        <v>305</v>
      </c>
      <c r="C241" s="415" t="s">
        <v>19</v>
      </c>
      <c r="D241" s="416" t="s">
        <v>306</v>
      </c>
      <c r="E241" s="415" t="s">
        <v>421</v>
      </c>
      <c r="F241" s="100">
        <v>547.41</v>
      </c>
      <c r="G241" s="101">
        <v>133.38</v>
      </c>
      <c r="H241" s="84">
        <v>0.2122</v>
      </c>
      <c r="I241" s="83">
        <v>161.68</v>
      </c>
      <c r="J241" s="83">
        <v>88505.24</v>
      </c>
      <c r="K241" s="557">
        <v>5.9513035372313998E-3</v>
      </c>
      <c r="L241" s="420"/>
    </row>
    <row r="242" spans="1:13" s="92" customFormat="1" ht="39" customHeight="1" x14ac:dyDescent="0.3">
      <c r="A242" s="415" t="s">
        <v>3157</v>
      </c>
      <c r="B242" s="415" t="s">
        <v>307</v>
      </c>
      <c r="C242" s="415" t="s">
        <v>115</v>
      </c>
      <c r="D242" s="416" t="s">
        <v>3495</v>
      </c>
      <c r="E242" s="415" t="s">
        <v>421</v>
      </c>
      <c r="F242" s="100">
        <v>1022.99</v>
      </c>
      <c r="G242" s="101">
        <v>93.65</v>
      </c>
      <c r="H242" s="84">
        <v>0.2122</v>
      </c>
      <c r="I242" s="83">
        <v>113.52</v>
      </c>
      <c r="J242" s="83">
        <v>116129.82</v>
      </c>
      <c r="K242" s="557">
        <v>7.8088462168346834E-3</v>
      </c>
      <c r="L242" s="420"/>
    </row>
    <row r="243" spans="1:13" s="92" customFormat="1" ht="39" customHeight="1" x14ac:dyDescent="0.3">
      <c r="A243" s="415" t="s">
        <v>3460</v>
      </c>
      <c r="B243" s="415" t="s">
        <v>162</v>
      </c>
      <c r="C243" s="415" t="s">
        <v>19</v>
      </c>
      <c r="D243" s="416" t="s">
        <v>163</v>
      </c>
      <c r="E243" s="415" t="s">
        <v>227</v>
      </c>
      <c r="F243" s="100">
        <v>68.91</v>
      </c>
      <c r="G243" s="101">
        <v>470.06</v>
      </c>
      <c r="H243" s="84">
        <v>0.2122</v>
      </c>
      <c r="I243" s="83">
        <v>569.80999999999995</v>
      </c>
      <c r="J243" s="83">
        <v>39265.599999999999</v>
      </c>
      <c r="K243" s="557">
        <v>2.6403126433136976E-3</v>
      </c>
      <c r="L243" s="420"/>
    </row>
    <row r="244" spans="1:13" s="92" customFormat="1" ht="39" customHeight="1" x14ac:dyDescent="0.3">
      <c r="A244" s="415" t="s">
        <v>3461</v>
      </c>
      <c r="B244" s="415" t="s">
        <v>165</v>
      </c>
      <c r="C244" s="415" t="s">
        <v>19</v>
      </c>
      <c r="D244" s="416" t="s">
        <v>166</v>
      </c>
      <c r="E244" s="415" t="s">
        <v>227</v>
      </c>
      <c r="F244" s="100">
        <v>86.92</v>
      </c>
      <c r="G244" s="101">
        <v>326.63</v>
      </c>
      <c r="H244" s="84">
        <v>0.2122</v>
      </c>
      <c r="I244" s="83">
        <v>395.94</v>
      </c>
      <c r="J244" s="83">
        <v>34415.1</v>
      </c>
      <c r="K244" s="557">
        <v>2.3141534485887198E-3</v>
      </c>
      <c r="L244" s="420"/>
    </row>
    <row r="245" spans="1:13" s="92" customFormat="1" ht="39" customHeight="1" x14ac:dyDescent="0.3">
      <c r="A245" s="415" t="s">
        <v>3462</v>
      </c>
      <c r="B245" s="415" t="s">
        <v>3496</v>
      </c>
      <c r="C245" s="415" t="s">
        <v>19</v>
      </c>
      <c r="D245" s="416" t="s">
        <v>357</v>
      </c>
      <c r="E245" s="415" t="s">
        <v>173</v>
      </c>
      <c r="F245" s="100">
        <v>80.11</v>
      </c>
      <c r="G245" s="101">
        <v>62.21</v>
      </c>
      <c r="H245" s="84">
        <v>0.111</v>
      </c>
      <c r="I245" s="83">
        <v>69.12</v>
      </c>
      <c r="J245" s="83">
        <v>5537.2</v>
      </c>
      <c r="K245" s="557">
        <v>3.7233454139390734E-4</v>
      </c>
      <c r="L245" s="420"/>
    </row>
    <row r="246" spans="1:13" s="92" customFormat="1" ht="39" customHeight="1" x14ac:dyDescent="0.3">
      <c r="A246" s="415" t="s">
        <v>3463</v>
      </c>
      <c r="B246" s="415" t="s">
        <v>3497</v>
      </c>
      <c r="C246" s="415" t="s">
        <v>19</v>
      </c>
      <c r="D246" s="416" t="s">
        <v>308</v>
      </c>
      <c r="E246" s="415" t="s">
        <v>173</v>
      </c>
      <c r="F246" s="100">
        <v>263.35000000000002</v>
      </c>
      <c r="G246" s="101">
        <v>68.3</v>
      </c>
      <c r="H246" s="84">
        <v>0.111</v>
      </c>
      <c r="I246" s="83">
        <v>75.88</v>
      </c>
      <c r="J246" s="83">
        <v>19982.990000000002</v>
      </c>
      <c r="K246" s="557">
        <v>1.3437039329135731E-3</v>
      </c>
      <c r="L246" s="420"/>
    </row>
    <row r="247" spans="1:13" s="92" customFormat="1" ht="39" customHeight="1" x14ac:dyDescent="0.3">
      <c r="A247" s="415" t="s">
        <v>3464</v>
      </c>
      <c r="B247" s="415" t="s">
        <v>309</v>
      </c>
      <c r="C247" s="415" t="s">
        <v>19</v>
      </c>
      <c r="D247" s="416" t="s">
        <v>3817</v>
      </c>
      <c r="E247" s="415" t="s">
        <v>173</v>
      </c>
      <c r="F247" s="100">
        <v>343.46</v>
      </c>
      <c r="G247" s="101">
        <v>38.11</v>
      </c>
      <c r="H247" s="84">
        <v>0.2122</v>
      </c>
      <c r="I247" s="83">
        <v>46.2</v>
      </c>
      <c r="J247" s="83">
        <v>15867.85</v>
      </c>
      <c r="K247" s="557">
        <v>1.0669920993746501E-3</v>
      </c>
      <c r="L247" s="420"/>
    </row>
    <row r="248" spans="1:13" s="89" customFormat="1" ht="24" customHeight="1" x14ac:dyDescent="0.3">
      <c r="A248" s="88" t="s">
        <v>3158</v>
      </c>
      <c r="B248" s="88" t="s">
        <v>402</v>
      </c>
      <c r="C248" s="88" t="s">
        <v>402</v>
      </c>
      <c r="D248" s="544" t="s">
        <v>310</v>
      </c>
      <c r="E248" s="544" t="s">
        <v>402</v>
      </c>
      <c r="F248" s="87"/>
      <c r="G248" s="86"/>
      <c r="H248" s="88"/>
      <c r="I248" s="85"/>
      <c r="J248" s="82">
        <v>191522.69000000003</v>
      </c>
      <c r="K248" s="556">
        <v>1.2878442705280194E-2</v>
      </c>
      <c r="L248" s="420"/>
      <c r="M248" s="92"/>
    </row>
    <row r="249" spans="1:13" s="92" customFormat="1" ht="39" customHeight="1" x14ac:dyDescent="0.3">
      <c r="A249" s="415" t="s">
        <v>3159</v>
      </c>
      <c r="B249" s="415" t="s">
        <v>311</v>
      </c>
      <c r="C249" s="415" t="s">
        <v>196</v>
      </c>
      <c r="D249" s="416" t="s">
        <v>312</v>
      </c>
      <c r="E249" s="415" t="s">
        <v>227</v>
      </c>
      <c r="F249" s="100">
        <v>10.029999999999999</v>
      </c>
      <c r="G249" s="101">
        <v>262.95</v>
      </c>
      <c r="H249" s="84">
        <v>0.2122</v>
      </c>
      <c r="I249" s="83">
        <v>318.75</v>
      </c>
      <c r="J249" s="83">
        <v>3197.06</v>
      </c>
      <c r="K249" s="557">
        <v>2.149779435290048E-4</v>
      </c>
      <c r="L249" s="420"/>
    </row>
    <row r="250" spans="1:13" s="92" customFormat="1" ht="39" customHeight="1" x14ac:dyDescent="0.3">
      <c r="A250" s="415" t="s">
        <v>3160</v>
      </c>
      <c r="B250" s="415" t="s">
        <v>313</v>
      </c>
      <c r="C250" s="415" t="s">
        <v>19</v>
      </c>
      <c r="D250" s="416" t="s">
        <v>3818</v>
      </c>
      <c r="E250" s="415" t="s">
        <v>227</v>
      </c>
      <c r="F250" s="100">
        <v>1.1499999999999999</v>
      </c>
      <c r="G250" s="101">
        <v>3512.27</v>
      </c>
      <c r="H250" s="84">
        <v>0.2122</v>
      </c>
      <c r="I250" s="83">
        <v>4257.57</v>
      </c>
      <c r="J250" s="83">
        <v>4896.2</v>
      </c>
      <c r="K250" s="557">
        <v>3.2923217177866957E-4</v>
      </c>
      <c r="L250" s="420"/>
    </row>
    <row r="251" spans="1:13" s="92" customFormat="1" ht="39" customHeight="1" x14ac:dyDescent="0.3">
      <c r="A251" s="415" t="s">
        <v>3161</v>
      </c>
      <c r="B251" s="415" t="s">
        <v>305</v>
      </c>
      <c r="C251" s="415" t="s">
        <v>19</v>
      </c>
      <c r="D251" s="416" t="s">
        <v>306</v>
      </c>
      <c r="E251" s="415" t="s">
        <v>421</v>
      </c>
      <c r="F251" s="100">
        <v>38.81</v>
      </c>
      <c r="G251" s="101">
        <v>133.38</v>
      </c>
      <c r="H251" s="84">
        <v>0.2122</v>
      </c>
      <c r="I251" s="83">
        <v>161.68</v>
      </c>
      <c r="J251" s="83">
        <v>6274.8</v>
      </c>
      <c r="K251" s="557">
        <v>4.2193252552526363E-4</v>
      </c>
      <c r="L251" s="420"/>
    </row>
    <row r="252" spans="1:13" s="92" customFormat="1" ht="39" customHeight="1" x14ac:dyDescent="0.3">
      <c r="A252" s="415" t="s">
        <v>3162</v>
      </c>
      <c r="B252" s="415" t="s">
        <v>314</v>
      </c>
      <c r="C252" s="415" t="s">
        <v>19</v>
      </c>
      <c r="D252" s="416" t="s">
        <v>315</v>
      </c>
      <c r="E252" s="415" t="s">
        <v>227</v>
      </c>
      <c r="F252" s="100">
        <v>21.86</v>
      </c>
      <c r="G252" s="101">
        <v>430.64</v>
      </c>
      <c r="H252" s="84">
        <v>0.2122</v>
      </c>
      <c r="I252" s="83">
        <v>522.02</v>
      </c>
      <c r="J252" s="83">
        <v>11411.35</v>
      </c>
      <c r="K252" s="557">
        <v>7.6732640484999004E-4</v>
      </c>
      <c r="L252" s="420"/>
    </row>
    <row r="253" spans="1:13" s="92" customFormat="1" ht="39" customHeight="1" x14ac:dyDescent="0.3">
      <c r="A253" s="415" t="s">
        <v>3163</v>
      </c>
      <c r="B253" s="415" t="s">
        <v>162</v>
      </c>
      <c r="C253" s="415" t="s">
        <v>19</v>
      </c>
      <c r="D253" s="416" t="s">
        <v>163</v>
      </c>
      <c r="E253" s="415" t="s">
        <v>227</v>
      </c>
      <c r="F253" s="100">
        <v>48.79</v>
      </c>
      <c r="G253" s="101">
        <v>470.06</v>
      </c>
      <c r="H253" s="84">
        <v>0.2122</v>
      </c>
      <c r="I253" s="83">
        <v>569.80999999999995</v>
      </c>
      <c r="J253" s="83">
        <v>27801.02</v>
      </c>
      <c r="K253" s="557">
        <v>1.8694069262412132E-3</v>
      </c>
      <c r="L253" s="420"/>
    </row>
    <row r="254" spans="1:13" s="92" customFormat="1" ht="39" customHeight="1" x14ac:dyDescent="0.3">
      <c r="A254" s="415" t="s">
        <v>3164</v>
      </c>
      <c r="B254" s="415" t="s">
        <v>316</v>
      </c>
      <c r="C254" s="415" t="s">
        <v>115</v>
      </c>
      <c r="D254" s="416" t="s">
        <v>3498</v>
      </c>
      <c r="E254" s="415" t="s">
        <v>421</v>
      </c>
      <c r="F254" s="100">
        <v>631.9</v>
      </c>
      <c r="G254" s="101">
        <v>77.569999999999993</v>
      </c>
      <c r="H254" s="84">
        <v>0.2122</v>
      </c>
      <c r="I254" s="83">
        <v>94.03</v>
      </c>
      <c r="J254" s="83">
        <v>59417.55</v>
      </c>
      <c r="K254" s="557">
        <v>3.9953778498157122E-3</v>
      </c>
      <c r="L254" s="420"/>
    </row>
    <row r="255" spans="1:13" s="92" customFormat="1" ht="39" customHeight="1" x14ac:dyDescent="0.3">
      <c r="A255" s="415" t="s">
        <v>3165</v>
      </c>
      <c r="B255" s="415" t="s">
        <v>165</v>
      </c>
      <c r="C255" s="415" t="s">
        <v>19</v>
      </c>
      <c r="D255" s="416" t="s">
        <v>166</v>
      </c>
      <c r="E255" s="415" t="s">
        <v>227</v>
      </c>
      <c r="F255" s="100">
        <v>70.650000000000006</v>
      </c>
      <c r="G255" s="101">
        <v>326.63</v>
      </c>
      <c r="H255" s="84">
        <v>0.2122</v>
      </c>
      <c r="I255" s="83">
        <v>395.94</v>
      </c>
      <c r="J255" s="83">
        <v>27973.16</v>
      </c>
      <c r="K255" s="557">
        <v>1.8809820306180728E-3</v>
      </c>
      <c r="L255" s="420"/>
    </row>
    <row r="256" spans="1:13" s="92" customFormat="1" ht="39" customHeight="1" x14ac:dyDescent="0.3">
      <c r="A256" s="415" t="s">
        <v>3166</v>
      </c>
      <c r="B256" s="415" t="s">
        <v>304</v>
      </c>
      <c r="C256" s="415" t="s">
        <v>115</v>
      </c>
      <c r="D256" s="416" t="s">
        <v>317</v>
      </c>
      <c r="E256" s="415" t="s">
        <v>424</v>
      </c>
      <c r="F256" s="100">
        <v>2742.83</v>
      </c>
      <c r="G256" s="101">
        <v>12.15</v>
      </c>
      <c r="H256" s="84">
        <v>0.2122</v>
      </c>
      <c r="I256" s="83">
        <v>14.73</v>
      </c>
      <c r="J256" s="83">
        <v>40401.879999999997</v>
      </c>
      <c r="K256" s="557">
        <v>2.7167188220132334E-3</v>
      </c>
      <c r="L256" s="420"/>
    </row>
    <row r="257" spans="1:13" s="92" customFormat="1" ht="39" customHeight="1" x14ac:dyDescent="0.3">
      <c r="A257" s="415" t="s">
        <v>3167</v>
      </c>
      <c r="B257" s="415" t="s">
        <v>318</v>
      </c>
      <c r="C257" s="415" t="s">
        <v>19</v>
      </c>
      <c r="D257" s="416" t="s">
        <v>319</v>
      </c>
      <c r="E257" s="415" t="s">
        <v>173</v>
      </c>
      <c r="F257" s="100">
        <v>27.86</v>
      </c>
      <c r="G257" s="101">
        <v>300.54000000000002</v>
      </c>
      <c r="H257" s="84">
        <v>0.2122</v>
      </c>
      <c r="I257" s="83">
        <v>364.31</v>
      </c>
      <c r="J257" s="83">
        <v>10149.67</v>
      </c>
      <c r="K257" s="557">
        <v>6.8248803090903334E-4</v>
      </c>
      <c r="L257" s="420"/>
    </row>
    <row r="258" spans="1:13" s="89" customFormat="1" ht="24" customHeight="1" x14ac:dyDescent="0.3">
      <c r="A258" s="88" t="s">
        <v>3168</v>
      </c>
      <c r="B258" s="88" t="s">
        <v>402</v>
      </c>
      <c r="C258" s="88" t="s">
        <v>402</v>
      </c>
      <c r="D258" s="544" t="s">
        <v>320</v>
      </c>
      <c r="E258" s="544" t="s">
        <v>402</v>
      </c>
      <c r="F258" s="87"/>
      <c r="G258" s="86"/>
      <c r="H258" s="88"/>
      <c r="I258" s="85"/>
      <c r="J258" s="82">
        <v>4731.08</v>
      </c>
      <c r="K258" s="556">
        <v>3.1812910895360238E-4</v>
      </c>
      <c r="L258" s="420"/>
      <c r="M258" s="92"/>
    </row>
    <row r="259" spans="1:13" s="92" customFormat="1" ht="39" customHeight="1" x14ac:dyDescent="0.3">
      <c r="A259" s="415" t="s">
        <v>3199</v>
      </c>
      <c r="B259" s="415" t="s">
        <v>321</v>
      </c>
      <c r="C259" s="415" t="s">
        <v>175</v>
      </c>
      <c r="D259" s="416" t="s">
        <v>322</v>
      </c>
      <c r="E259" s="415" t="s">
        <v>173</v>
      </c>
      <c r="F259" s="100">
        <v>752.16</v>
      </c>
      <c r="G259" s="101">
        <v>5.19</v>
      </c>
      <c r="H259" s="84">
        <v>0.2122</v>
      </c>
      <c r="I259" s="83">
        <v>6.29</v>
      </c>
      <c r="J259" s="83">
        <v>4731.08</v>
      </c>
      <c r="K259" s="557">
        <v>3.1812910895360238E-4</v>
      </c>
      <c r="L259" s="420"/>
    </row>
    <row r="260" spans="1:13" s="89" customFormat="1" ht="24" customHeight="1" x14ac:dyDescent="0.3">
      <c r="A260" s="88" t="s">
        <v>3169</v>
      </c>
      <c r="B260" s="88" t="s">
        <v>402</v>
      </c>
      <c r="C260" s="88" t="s">
        <v>402</v>
      </c>
      <c r="D260" s="544" t="s">
        <v>339</v>
      </c>
      <c r="E260" s="544" t="s">
        <v>402</v>
      </c>
      <c r="F260" s="87"/>
      <c r="G260" s="86"/>
      <c r="H260" s="88"/>
      <c r="I260" s="85"/>
      <c r="J260" s="82">
        <v>17853.88</v>
      </c>
      <c r="K260" s="556">
        <v>1.2005374958285514E-3</v>
      </c>
      <c r="L260" s="420"/>
      <c r="M260" s="92"/>
    </row>
    <row r="261" spans="1:13" s="89" customFormat="1" ht="24" customHeight="1" x14ac:dyDescent="0.3">
      <c r="A261" s="88" t="s">
        <v>3170</v>
      </c>
      <c r="B261" s="88" t="s">
        <v>402</v>
      </c>
      <c r="C261" s="88" t="s">
        <v>402</v>
      </c>
      <c r="D261" s="544" t="s">
        <v>340</v>
      </c>
      <c r="E261" s="544" t="s">
        <v>402</v>
      </c>
      <c r="F261" s="87"/>
      <c r="G261" s="86"/>
      <c r="H261" s="88"/>
      <c r="I261" s="85"/>
      <c r="J261" s="82">
        <v>5276.2</v>
      </c>
      <c r="K261" s="556">
        <v>3.5478427857085418E-4</v>
      </c>
      <c r="L261" s="420"/>
      <c r="M261" s="92"/>
    </row>
    <row r="262" spans="1:13" s="92" customFormat="1" ht="39" customHeight="1" x14ac:dyDescent="0.3">
      <c r="A262" s="415" t="s">
        <v>3171</v>
      </c>
      <c r="B262" s="415" t="s">
        <v>341</v>
      </c>
      <c r="C262" s="415" t="s">
        <v>188</v>
      </c>
      <c r="D262" s="416" t="s">
        <v>342</v>
      </c>
      <c r="E262" s="415" t="s">
        <v>81</v>
      </c>
      <c r="F262" s="100">
        <v>124</v>
      </c>
      <c r="G262" s="101">
        <v>35.1</v>
      </c>
      <c r="H262" s="84">
        <v>0.2122</v>
      </c>
      <c r="I262" s="83">
        <v>42.55</v>
      </c>
      <c r="J262" s="83">
        <v>5276.2</v>
      </c>
      <c r="K262" s="557">
        <v>3.5478427857085418E-4</v>
      </c>
      <c r="L262" s="420"/>
    </row>
    <row r="263" spans="1:13" s="89" customFormat="1" ht="24" customHeight="1" x14ac:dyDescent="0.3">
      <c r="A263" s="88" t="s">
        <v>3172</v>
      </c>
      <c r="B263" s="88" t="s">
        <v>402</v>
      </c>
      <c r="C263" s="88" t="s">
        <v>402</v>
      </c>
      <c r="D263" s="544" t="s">
        <v>343</v>
      </c>
      <c r="E263" s="544" t="s">
        <v>402</v>
      </c>
      <c r="F263" s="87"/>
      <c r="G263" s="86"/>
      <c r="H263" s="88"/>
      <c r="I263" s="85"/>
      <c r="J263" s="82">
        <v>12577.68</v>
      </c>
      <c r="K263" s="556">
        <v>8.4575321725769716E-4</v>
      </c>
      <c r="L263" s="420"/>
      <c r="M263" s="92"/>
    </row>
    <row r="264" spans="1:13" s="92" customFormat="1" ht="39" customHeight="1" x14ac:dyDescent="0.3">
      <c r="A264" s="415" t="s">
        <v>3173</v>
      </c>
      <c r="B264" s="415" t="s">
        <v>344</v>
      </c>
      <c r="C264" s="415" t="s">
        <v>196</v>
      </c>
      <c r="D264" s="416" t="s">
        <v>345</v>
      </c>
      <c r="E264" s="415" t="s">
        <v>81</v>
      </c>
      <c r="F264" s="100">
        <v>54</v>
      </c>
      <c r="G264" s="101">
        <v>165.13</v>
      </c>
      <c r="H264" s="84">
        <v>0.2122</v>
      </c>
      <c r="I264" s="83">
        <v>200.17</v>
      </c>
      <c r="J264" s="83">
        <v>10809.18</v>
      </c>
      <c r="K264" s="557">
        <v>7.2683505709459576E-4</v>
      </c>
      <c r="L264" s="420"/>
    </row>
    <row r="265" spans="1:13" s="92" customFormat="1" ht="39" customHeight="1" x14ac:dyDescent="0.3">
      <c r="A265" s="415" t="s">
        <v>3174</v>
      </c>
      <c r="B265" s="415" t="s">
        <v>346</v>
      </c>
      <c r="C265" s="415" t="s">
        <v>196</v>
      </c>
      <c r="D265" s="416" t="s">
        <v>347</v>
      </c>
      <c r="E265" s="415" t="s">
        <v>81</v>
      </c>
      <c r="F265" s="100">
        <v>54</v>
      </c>
      <c r="G265" s="101">
        <v>27.02</v>
      </c>
      <c r="H265" s="84">
        <v>0.2122</v>
      </c>
      <c r="I265" s="83">
        <v>32.75</v>
      </c>
      <c r="J265" s="83">
        <v>1768.5</v>
      </c>
      <c r="K265" s="557">
        <v>1.1891816016310141E-4</v>
      </c>
      <c r="L265" s="420"/>
    </row>
    <row r="266" spans="1:13" s="89" customFormat="1" ht="24" customHeight="1" x14ac:dyDescent="0.3">
      <c r="A266" s="88" t="s">
        <v>3175</v>
      </c>
      <c r="B266" s="88" t="s">
        <v>402</v>
      </c>
      <c r="C266" s="88" t="s">
        <v>402</v>
      </c>
      <c r="D266" s="544" t="s">
        <v>348</v>
      </c>
      <c r="E266" s="544" t="s">
        <v>402</v>
      </c>
      <c r="F266" s="87"/>
      <c r="G266" s="86"/>
      <c r="H266" s="88"/>
      <c r="I266" s="85"/>
      <c r="J266" s="82">
        <v>50248.500000000007</v>
      </c>
      <c r="K266" s="556">
        <v>3.3788290477555004E-3</v>
      </c>
      <c r="L266" s="420"/>
      <c r="M266" s="92"/>
    </row>
    <row r="267" spans="1:13" s="92" customFormat="1" ht="39" customHeight="1" x14ac:dyDescent="0.3">
      <c r="A267" s="415" t="s">
        <v>3176</v>
      </c>
      <c r="B267" s="415" t="s">
        <v>179</v>
      </c>
      <c r="C267" s="415" t="s">
        <v>175</v>
      </c>
      <c r="D267" s="416" t="s">
        <v>180</v>
      </c>
      <c r="E267" s="415" t="s">
        <v>173</v>
      </c>
      <c r="F267" s="100">
        <v>295.2</v>
      </c>
      <c r="G267" s="101">
        <v>3.25</v>
      </c>
      <c r="H267" s="84">
        <v>0.2122</v>
      </c>
      <c r="I267" s="83">
        <v>3.94</v>
      </c>
      <c r="J267" s="83">
        <v>1163.08</v>
      </c>
      <c r="K267" s="557">
        <v>7.8208274652247662E-5</v>
      </c>
      <c r="L267" s="420"/>
    </row>
    <row r="268" spans="1:13" s="92" customFormat="1" ht="39" customHeight="1" x14ac:dyDescent="0.3">
      <c r="A268" s="415" t="s">
        <v>3177</v>
      </c>
      <c r="B268" s="415" t="s">
        <v>190</v>
      </c>
      <c r="C268" s="415" t="s">
        <v>19</v>
      </c>
      <c r="D268" s="416" t="s">
        <v>3551</v>
      </c>
      <c r="E268" s="415" t="s">
        <v>421</v>
      </c>
      <c r="F268" s="100">
        <v>132.83999999999997</v>
      </c>
      <c r="G268" s="101">
        <v>22.73</v>
      </c>
      <c r="H268" s="84">
        <v>0.2122</v>
      </c>
      <c r="I268" s="83">
        <v>27.55</v>
      </c>
      <c r="J268" s="83">
        <v>3659.74</v>
      </c>
      <c r="K268" s="557">
        <v>2.4608965082007845E-4</v>
      </c>
      <c r="L268" s="420"/>
    </row>
    <row r="269" spans="1:13" s="92" customFormat="1" ht="39" customHeight="1" x14ac:dyDescent="0.3">
      <c r="A269" s="415" t="s">
        <v>3178</v>
      </c>
      <c r="B269" s="415" t="s">
        <v>221</v>
      </c>
      <c r="C269" s="415" t="s">
        <v>19</v>
      </c>
      <c r="D269" s="416" t="s">
        <v>3795</v>
      </c>
      <c r="E269" s="415" t="s">
        <v>227</v>
      </c>
      <c r="F269" s="100">
        <v>35.672399999999975</v>
      </c>
      <c r="G269" s="101">
        <v>9.31</v>
      </c>
      <c r="H269" s="84">
        <v>0.2122</v>
      </c>
      <c r="I269" s="83">
        <v>11.29</v>
      </c>
      <c r="J269" s="83">
        <v>402.74</v>
      </c>
      <c r="K269" s="557">
        <v>2.7081198656538004E-5</v>
      </c>
      <c r="L269" s="420"/>
    </row>
    <row r="270" spans="1:13" s="92" customFormat="1" ht="39" customHeight="1" x14ac:dyDescent="0.3">
      <c r="A270" s="415" t="s">
        <v>3179</v>
      </c>
      <c r="B270" s="415" t="s">
        <v>318</v>
      </c>
      <c r="C270" s="415" t="s">
        <v>19</v>
      </c>
      <c r="D270" s="416" t="s">
        <v>319</v>
      </c>
      <c r="E270" s="415" t="s">
        <v>173</v>
      </c>
      <c r="F270" s="100">
        <v>11.009999999999996</v>
      </c>
      <c r="G270" s="101">
        <v>300.54000000000002</v>
      </c>
      <c r="H270" s="84">
        <v>0.2122</v>
      </c>
      <c r="I270" s="83">
        <v>364.31</v>
      </c>
      <c r="J270" s="83">
        <v>4011.05</v>
      </c>
      <c r="K270" s="557">
        <v>2.6971257354945318E-4</v>
      </c>
      <c r="L270" s="420"/>
    </row>
    <row r="271" spans="1:13" s="92" customFormat="1" ht="39" customHeight="1" x14ac:dyDescent="0.3">
      <c r="A271" s="415" t="s">
        <v>3180</v>
      </c>
      <c r="B271" s="415" t="s">
        <v>349</v>
      </c>
      <c r="C271" s="415" t="s">
        <v>188</v>
      </c>
      <c r="D271" s="416" t="s">
        <v>350</v>
      </c>
      <c r="E271" s="415" t="s">
        <v>81</v>
      </c>
      <c r="F271" s="100">
        <v>41</v>
      </c>
      <c r="G271" s="101">
        <v>541.14</v>
      </c>
      <c r="H271" s="84">
        <v>0.2122</v>
      </c>
      <c r="I271" s="83">
        <v>655.97</v>
      </c>
      <c r="J271" s="83">
        <v>26894.77</v>
      </c>
      <c r="K271" s="557">
        <v>1.8084685136611676E-3</v>
      </c>
      <c r="L271" s="420"/>
    </row>
    <row r="272" spans="1:13" s="92" customFormat="1" ht="39" customHeight="1" x14ac:dyDescent="0.3">
      <c r="A272" s="415" t="s">
        <v>3181</v>
      </c>
      <c r="B272" s="415" t="s">
        <v>264</v>
      </c>
      <c r="C272" s="415" t="s">
        <v>3751</v>
      </c>
      <c r="D272" s="416" t="s">
        <v>265</v>
      </c>
      <c r="E272" s="415" t="s">
        <v>227</v>
      </c>
      <c r="F272" s="100">
        <v>3.637425693247609</v>
      </c>
      <c r="G272" s="101">
        <v>124.59</v>
      </c>
      <c r="H272" s="84">
        <v>0.2122</v>
      </c>
      <c r="I272" s="83">
        <v>151.03</v>
      </c>
      <c r="J272" s="83">
        <v>549.36</v>
      </c>
      <c r="K272" s="557">
        <v>3.6940277335143561E-5</v>
      </c>
      <c r="L272" s="420"/>
    </row>
    <row r="273" spans="1:13" s="92" customFormat="1" ht="39" customHeight="1" x14ac:dyDescent="0.3">
      <c r="A273" s="415" t="s">
        <v>3182</v>
      </c>
      <c r="B273" s="415" t="s">
        <v>256</v>
      </c>
      <c r="C273" s="415" t="s">
        <v>3751</v>
      </c>
      <c r="D273" s="416" t="s">
        <v>257</v>
      </c>
      <c r="E273" s="415" t="s">
        <v>421</v>
      </c>
      <c r="F273" s="100">
        <v>121.24752310825359</v>
      </c>
      <c r="G273" s="101">
        <v>0.28000000000000003</v>
      </c>
      <c r="H273" s="84">
        <v>0.2122</v>
      </c>
      <c r="I273" s="83">
        <v>0.34</v>
      </c>
      <c r="J273" s="83">
        <v>41.22</v>
      </c>
      <c r="K273" s="557">
        <v>2.7717311630890813E-6</v>
      </c>
      <c r="L273" s="420"/>
    </row>
    <row r="274" spans="1:13" s="92" customFormat="1" ht="39" customHeight="1" x14ac:dyDescent="0.3">
      <c r="A274" s="415" t="s">
        <v>3183</v>
      </c>
      <c r="B274" s="415" t="s">
        <v>259</v>
      </c>
      <c r="C274" s="415" t="s">
        <v>3751</v>
      </c>
      <c r="D274" s="416" t="s">
        <v>260</v>
      </c>
      <c r="E274" s="415" t="s">
        <v>421</v>
      </c>
      <c r="F274" s="100">
        <v>121.24752310825359</v>
      </c>
      <c r="G274" s="101">
        <v>0.4</v>
      </c>
      <c r="H274" s="84">
        <v>0.2122</v>
      </c>
      <c r="I274" s="83">
        <v>0.48</v>
      </c>
      <c r="J274" s="83">
        <v>58.19</v>
      </c>
      <c r="K274" s="557">
        <v>3.9128344585190113E-6</v>
      </c>
      <c r="L274" s="420"/>
    </row>
    <row r="275" spans="1:13" s="92" customFormat="1" ht="39" customHeight="1" x14ac:dyDescent="0.3">
      <c r="A275" s="415" t="s">
        <v>3184</v>
      </c>
      <c r="B275" s="415" t="s">
        <v>255</v>
      </c>
      <c r="C275" s="415" t="s">
        <v>115</v>
      </c>
      <c r="D275" s="416" t="s">
        <v>387</v>
      </c>
      <c r="E275" s="415" t="s">
        <v>227</v>
      </c>
      <c r="F275" s="100">
        <v>15.377734638119973</v>
      </c>
      <c r="G275" s="101">
        <v>208.42</v>
      </c>
      <c r="H275" s="84">
        <v>0.2122</v>
      </c>
      <c r="I275" s="83">
        <v>252.65</v>
      </c>
      <c r="J275" s="83">
        <v>3885.18</v>
      </c>
      <c r="K275" s="557">
        <v>2.6124877438647346E-4</v>
      </c>
      <c r="L275" s="420"/>
    </row>
    <row r="276" spans="1:13" s="92" customFormat="1" ht="39" customHeight="1" x14ac:dyDescent="0.3">
      <c r="A276" s="415" t="s">
        <v>3185</v>
      </c>
      <c r="B276" s="415" t="s">
        <v>253</v>
      </c>
      <c r="C276" s="415" t="s">
        <v>3751</v>
      </c>
      <c r="D276" s="416" t="s">
        <v>254</v>
      </c>
      <c r="E276" s="415" t="s">
        <v>227</v>
      </c>
      <c r="F276" s="100">
        <v>5.8849407557420648</v>
      </c>
      <c r="G276" s="101">
        <v>15.45</v>
      </c>
      <c r="H276" s="84">
        <v>0.2122</v>
      </c>
      <c r="I276" s="83">
        <v>18.73</v>
      </c>
      <c r="J276" s="83">
        <v>110.22</v>
      </c>
      <c r="K276" s="557">
        <v>7.4114558174594495E-6</v>
      </c>
      <c r="L276" s="420"/>
    </row>
    <row r="277" spans="1:13" s="92" customFormat="1" ht="39" customHeight="1" x14ac:dyDescent="0.3">
      <c r="A277" s="415" t="s">
        <v>3186</v>
      </c>
      <c r="B277" s="415" t="s">
        <v>3559</v>
      </c>
      <c r="C277" s="415" t="s">
        <v>3560</v>
      </c>
      <c r="D277" s="416" t="s">
        <v>3806</v>
      </c>
      <c r="E277" s="415" t="s">
        <v>227</v>
      </c>
      <c r="F277" s="100">
        <v>11.296720445695827</v>
      </c>
      <c r="G277" s="101">
        <v>56.12</v>
      </c>
      <c r="H277" s="84">
        <v>0.2122</v>
      </c>
      <c r="I277" s="83">
        <v>68.03</v>
      </c>
      <c r="J277" s="83">
        <v>768.51</v>
      </c>
      <c r="K277" s="557">
        <v>5.1676446291741625E-5</v>
      </c>
      <c r="L277" s="420"/>
    </row>
    <row r="278" spans="1:13" s="92" customFormat="1" ht="39" customHeight="1" x14ac:dyDescent="0.3">
      <c r="A278" s="415" t="s">
        <v>3187</v>
      </c>
      <c r="B278" s="415" t="s">
        <v>332</v>
      </c>
      <c r="C278" s="415" t="s">
        <v>115</v>
      </c>
      <c r="D278" s="416" t="s">
        <v>390</v>
      </c>
      <c r="E278" s="415" t="s">
        <v>227</v>
      </c>
      <c r="F278" s="100">
        <v>11.296720445695827</v>
      </c>
      <c r="G278" s="101">
        <v>8.59</v>
      </c>
      <c r="H278" s="84">
        <v>0.2122</v>
      </c>
      <c r="I278" s="83">
        <v>10.41</v>
      </c>
      <c r="J278" s="83">
        <v>117.59</v>
      </c>
      <c r="K278" s="557">
        <v>7.9070322044552423E-6</v>
      </c>
      <c r="L278" s="420"/>
    </row>
    <row r="279" spans="1:13" s="92" customFormat="1" ht="39" customHeight="1" x14ac:dyDescent="0.3">
      <c r="A279" s="415" t="s">
        <v>3188</v>
      </c>
      <c r="B279" s="415" t="s">
        <v>107</v>
      </c>
      <c r="C279" s="415" t="s">
        <v>19</v>
      </c>
      <c r="D279" s="416" t="s">
        <v>108</v>
      </c>
      <c r="E279" s="415" t="s">
        <v>227</v>
      </c>
      <c r="F279" s="100">
        <v>3.985199999999999</v>
      </c>
      <c r="G279" s="101">
        <v>8.81</v>
      </c>
      <c r="H279" s="84">
        <v>0.2122</v>
      </c>
      <c r="I279" s="83">
        <v>10.68</v>
      </c>
      <c r="J279" s="83">
        <v>42.56</v>
      </c>
      <c r="K279" s="557">
        <v>2.8618359607246797E-6</v>
      </c>
      <c r="L279" s="420"/>
    </row>
    <row r="280" spans="1:13" s="92" customFormat="1" ht="39" customHeight="1" x14ac:dyDescent="0.3">
      <c r="A280" s="415" t="s">
        <v>3189</v>
      </c>
      <c r="B280" s="415" t="s">
        <v>116</v>
      </c>
      <c r="C280" s="415" t="s">
        <v>19</v>
      </c>
      <c r="D280" s="416" t="s">
        <v>117</v>
      </c>
      <c r="E280" s="415" t="s">
        <v>227</v>
      </c>
      <c r="F280" s="100">
        <v>18.490738798562084</v>
      </c>
      <c r="G280" s="101">
        <v>6.53</v>
      </c>
      <c r="H280" s="84">
        <v>0.2122</v>
      </c>
      <c r="I280" s="83">
        <v>7.92</v>
      </c>
      <c r="J280" s="83">
        <v>146.44</v>
      </c>
      <c r="K280" s="557">
        <v>9.8469750490724174E-6</v>
      </c>
      <c r="L280" s="420"/>
    </row>
    <row r="281" spans="1:13" s="92" customFormat="1" ht="39" customHeight="1" x14ac:dyDescent="0.3">
      <c r="A281" s="415" t="s">
        <v>3190</v>
      </c>
      <c r="B281" s="415" t="s">
        <v>109</v>
      </c>
      <c r="C281" s="415" t="s">
        <v>19</v>
      </c>
      <c r="D281" s="416" t="s">
        <v>110</v>
      </c>
      <c r="E281" s="415" t="s">
        <v>111</v>
      </c>
      <c r="F281" s="100">
        <v>674.2781639568625</v>
      </c>
      <c r="G281" s="101">
        <v>2.1</v>
      </c>
      <c r="H281" s="84">
        <v>0.2122</v>
      </c>
      <c r="I281" s="83">
        <v>2.5499999999999998</v>
      </c>
      <c r="J281" s="83">
        <v>1719.4</v>
      </c>
      <c r="K281" s="557">
        <v>1.1561655899600598E-4</v>
      </c>
      <c r="L281" s="420"/>
    </row>
    <row r="282" spans="1:13" s="92" customFormat="1" ht="39" customHeight="1" x14ac:dyDescent="0.3">
      <c r="A282" s="415" t="s">
        <v>3191</v>
      </c>
      <c r="B282" s="415" t="s">
        <v>112</v>
      </c>
      <c r="C282" s="415" t="s">
        <v>19</v>
      </c>
      <c r="D282" s="416" t="s">
        <v>113</v>
      </c>
      <c r="E282" s="415" t="s">
        <v>111</v>
      </c>
      <c r="F282" s="100">
        <v>441.1054509395816</v>
      </c>
      <c r="G282" s="101">
        <v>0.85</v>
      </c>
      <c r="H282" s="84">
        <v>0.2122</v>
      </c>
      <c r="I282" s="83">
        <v>1.03</v>
      </c>
      <c r="J282" s="83">
        <v>454.33</v>
      </c>
      <c r="K282" s="557">
        <v>3.0550233365508542E-5</v>
      </c>
      <c r="L282" s="420"/>
    </row>
    <row r="283" spans="1:13" s="92" customFormat="1" ht="39" customHeight="1" x14ac:dyDescent="0.3">
      <c r="A283" s="415" t="s">
        <v>3192</v>
      </c>
      <c r="B283" s="415" t="s">
        <v>266</v>
      </c>
      <c r="C283" s="415" t="s">
        <v>3751</v>
      </c>
      <c r="D283" s="416" t="s">
        <v>267</v>
      </c>
      <c r="E283" s="415" t="s">
        <v>262</v>
      </c>
      <c r="F283" s="100">
        <v>8.7298216637942616</v>
      </c>
      <c r="G283" s="101">
        <v>188.17</v>
      </c>
      <c r="H283" s="84">
        <v>0.2122</v>
      </c>
      <c r="I283" s="83">
        <v>228.1</v>
      </c>
      <c r="J283" s="83">
        <v>1991.27</v>
      </c>
      <c r="K283" s="557">
        <v>1.3389774655808817E-4</v>
      </c>
      <c r="L283" s="420"/>
    </row>
    <row r="284" spans="1:13" s="92" customFormat="1" ht="39" customHeight="1" x14ac:dyDescent="0.3">
      <c r="A284" s="415" t="s">
        <v>3193</v>
      </c>
      <c r="B284" s="415" t="s">
        <v>3489</v>
      </c>
      <c r="C284" s="415" t="s">
        <v>3751</v>
      </c>
      <c r="D284" s="416" t="s">
        <v>268</v>
      </c>
      <c r="E284" s="415" t="s">
        <v>262</v>
      </c>
      <c r="F284" s="100">
        <v>0.55198662380171115</v>
      </c>
      <c r="G284" s="101">
        <v>5274.22</v>
      </c>
      <c r="H284" s="84">
        <v>0.111</v>
      </c>
      <c r="I284" s="83">
        <v>5859.66</v>
      </c>
      <c r="J284" s="83">
        <v>3234.45</v>
      </c>
      <c r="K284" s="557">
        <v>2.1749213635258318E-4</v>
      </c>
      <c r="L284" s="420"/>
    </row>
    <row r="285" spans="1:13" s="92" customFormat="1" ht="39" customHeight="1" x14ac:dyDescent="0.3">
      <c r="A285" s="415" t="s">
        <v>3194</v>
      </c>
      <c r="B285" s="415" t="s">
        <v>3487</v>
      </c>
      <c r="C285" s="415" t="s">
        <v>3751</v>
      </c>
      <c r="D285" s="416" t="s">
        <v>258</v>
      </c>
      <c r="E285" s="415" t="s">
        <v>262</v>
      </c>
      <c r="F285" s="100">
        <v>5.4561385398714128E-2</v>
      </c>
      <c r="G285" s="101">
        <v>4033.08</v>
      </c>
      <c r="H285" s="84">
        <v>0.111</v>
      </c>
      <c r="I285" s="83">
        <v>4480.75</v>
      </c>
      <c r="J285" s="83">
        <v>244.47</v>
      </c>
      <c r="K285" s="557">
        <v>1.6438746177593103E-5</v>
      </c>
      <c r="L285" s="420"/>
    </row>
    <row r="286" spans="1:13" s="92" customFormat="1" ht="39" customHeight="1" x14ac:dyDescent="0.3">
      <c r="A286" s="415" t="s">
        <v>3195</v>
      </c>
      <c r="B286" s="415" t="s">
        <v>3488</v>
      </c>
      <c r="C286" s="415" t="s">
        <v>3751</v>
      </c>
      <c r="D286" s="416" t="s">
        <v>261</v>
      </c>
      <c r="E286" s="415" t="s">
        <v>262</v>
      </c>
      <c r="F286" s="100">
        <v>0.15762178004072974</v>
      </c>
      <c r="G286" s="101">
        <v>4291.21</v>
      </c>
      <c r="H286" s="84">
        <v>0.111</v>
      </c>
      <c r="I286" s="83">
        <v>4767.53</v>
      </c>
      <c r="J286" s="83">
        <v>751.46</v>
      </c>
      <c r="K286" s="557">
        <v>5.0529963605408083E-5</v>
      </c>
      <c r="L286" s="420"/>
    </row>
    <row r="287" spans="1:13" s="92" customFormat="1" ht="39" customHeight="1" x14ac:dyDescent="0.3">
      <c r="A287" s="415" t="s">
        <v>3196</v>
      </c>
      <c r="B287" s="415" t="s">
        <v>263</v>
      </c>
      <c r="C287" s="415" t="s">
        <v>115</v>
      </c>
      <c r="D287" s="416" t="s">
        <v>388</v>
      </c>
      <c r="E287" s="415" t="s">
        <v>424</v>
      </c>
      <c r="F287" s="100">
        <v>4.119458529019445</v>
      </c>
      <c r="G287" s="101">
        <v>0.54</v>
      </c>
      <c r="H287" s="84">
        <v>0.111</v>
      </c>
      <c r="I287" s="83">
        <v>0.6</v>
      </c>
      <c r="J287" s="83">
        <v>2.4700000000000002</v>
      </c>
      <c r="K287" s="557">
        <v>1.6608869414920017E-7</v>
      </c>
      <c r="L287" s="420"/>
    </row>
    <row r="288" spans="1:13" s="89" customFormat="1" ht="24" customHeight="1" x14ac:dyDescent="0.3">
      <c r="A288" s="88">
        <v>5</v>
      </c>
      <c r="B288" s="88" t="s">
        <v>402</v>
      </c>
      <c r="C288" s="88" t="s">
        <v>402</v>
      </c>
      <c r="D288" s="544" t="s">
        <v>2088</v>
      </c>
      <c r="E288" s="544" t="s">
        <v>402</v>
      </c>
      <c r="F288" s="87"/>
      <c r="G288" s="86"/>
      <c r="H288" s="88"/>
      <c r="I288" s="85"/>
      <c r="J288" s="82">
        <v>10259177.830000002</v>
      </c>
      <c r="K288" s="556">
        <v>0.68985159871624502</v>
      </c>
      <c r="L288" s="420"/>
      <c r="M288" s="92"/>
    </row>
    <row r="289" spans="1:13" s="89" customFormat="1" ht="24" customHeight="1" x14ac:dyDescent="0.3">
      <c r="A289" s="88" t="s">
        <v>3200</v>
      </c>
      <c r="B289" s="88" t="s">
        <v>402</v>
      </c>
      <c r="C289" s="88" t="s">
        <v>402</v>
      </c>
      <c r="D289" s="544" t="s">
        <v>167</v>
      </c>
      <c r="E289" s="544" t="s">
        <v>402</v>
      </c>
      <c r="F289" s="87"/>
      <c r="G289" s="86"/>
      <c r="H289" s="88"/>
      <c r="I289" s="85"/>
      <c r="J289" s="82">
        <v>7579466.790000001</v>
      </c>
      <c r="K289" s="556">
        <v>0.50966143380499196</v>
      </c>
      <c r="L289" s="420"/>
      <c r="M289" s="92"/>
    </row>
    <row r="290" spans="1:13" s="89" customFormat="1" ht="24" customHeight="1" x14ac:dyDescent="0.3">
      <c r="A290" s="88" t="s">
        <v>3201</v>
      </c>
      <c r="B290" s="88" t="s">
        <v>402</v>
      </c>
      <c r="C290" s="88" t="s">
        <v>402</v>
      </c>
      <c r="D290" s="544" t="s">
        <v>168</v>
      </c>
      <c r="E290" s="544" t="s">
        <v>402</v>
      </c>
      <c r="F290" s="87"/>
      <c r="G290" s="86"/>
      <c r="H290" s="88"/>
      <c r="I290" s="85"/>
      <c r="J290" s="82">
        <v>752179.62</v>
      </c>
      <c r="K290" s="556">
        <v>5.0578352571433845E-2</v>
      </c>
      <c r="L290" s="420"/>
      <c r="M290" s="92"/>
    </row>
    <row r="291" spans="1:13" s="89" customFormat="1" ht="24" customHeight="1" x14ac:dyDescent="0.3">
      <c r="A291" s="88" t="s">
        <v>3202</v>
      </c>
      <c r="B291" s="88" t="s">
        <v>402</v>
      </c>
      <c r="C291" s="88" t="s">
        <v>402</v>
      </c>
      <c r="D291" s="544" t="s">
        <v>169</v>
      </c>
      <c r="E291" s="544" t="s">
        <v>402</v>
      </c>
      <c r="F291" s="87"/>
      <c r="G291" s="86"/>
      <c r="H291" s="88"/>
      <c r="I291" s="85"/>
      <c r="J291" s="82">
        <v>84629.15</v>
      </c>
      <c r="K291" s="556">
        <v>5.6906659961363489E-3</v>
      </c>
      <c r="L291" s="420"/>
      <c r="M291" s="92"/>
    </row>
    <row r="292" spans="1:13" s="92" customFormat="1" ht="39" customHeight="1" x14ac:dyDescent="0.3">
      <c r="A292" s="415" t="s">
        <v>3203</v>
      </c>
      <c r="B292" s="415" t="s">
        <v>170</v>
      </c>
      <c r="C292" s="415" t="s">
        <v>3751</v>
      </c>
      <c r="D292" s="416" t="s">
        <v>133</v>
      </c>
      <c r="E292" s="415" t="s">
        <v>421</v>
      </c>
      <c r="F292" s="100">
        <v>12</v>
      </c>
      <c r="G292" s="101">
        <v>521.92999999999995</v>
      </c>
      <c r="H292" s="84">
        <v>0.2122</v>
      </c>
      <c r="I292" s="83">
        <v>632.67999999999995</v>
      </c>
      <c r="J292" s="83">
        <v>7592.16</v>
      </c>
      <c r="K292" s="557">
        <v>5.1051495553513821E-4</v>
      </c>
      <c r="L292" s="420"/>
    </row>
    <row r="293" spans="1:13" s="92" customFormat="1" ht="39" customHeight="1" x14ac:dyDescent="0.3">
      <c r="A293" s="415" t="s">
        <v>3204</v>
      </c>
      <c r="B293" s="415" t="s">
        <v>171</v>
      </c>
      <c r="C293" s="415" t="s">
        <v>19</v>
      </c>
      <c r="D293" s="416" t="s">
        <v>172</v>
      </c>
      <c r="E293" s="415" t="s">
        <v>173</v>
      </c>
      <c r="F293" s="100">
        <v>2656.2599999999998</v>
      </c>
      <c r="G293" s="101">
        <v>9.66</v>
      </c>
      <c r="H293" s="84">
        <v>0.2122</v>
      </c>
      <c r="I293" s="83">
        <v>11.71</v>
      </c>
      <c r="J293" s="83">
        <v>31104.799999999999</v>
      </c>
      <c r="K293" s="557">
        <v>2.0915609772356441E-3</v>
      </c>
      <c r="L293" s="420"/>
    </row>
    <row r="294" spans="1:13" s="92" customFormat="1" ht="39" customHeight="1" x14ac:dyDescent="0.3">
      <c r="A294" s="415" t="s">
        <v>3205</v>
      </c>
      <c r="B294" s="415" t="s">
        <v>174</v>
      </c>
      <c r="C294" s="415" t="s">
        <v>175</v>
      </c>
      <c r="D294" s="416" t="s">
        <v>176</v>
      </c>
      <c r="E294" s="415" t="s">
        <v>421</v>
      </c>
      <c r="F294" s="100">
        <v>24</v>
      </c>
      <c r="G294" s="101">
        <v>17.21</v>
      </c>
      <c r="H294" s="84">
        <v>0.2122</v>
      </c>
      <c r="I294" s="83">
        <v>20.86</v>
      </c>
      <c r="J294" s="83">
        <v>500.64</v>
      </c>
      <c r="K294" s="557">
        <v>3.3664228274840309E-5</v>
      </c>
      <c r="L294" s="420"/>
    </row>
    <row r="295" spans="1:13" s="92" customFormat="1" ht="39" customHeight="1" x14ac:dyDescent="0.3">
      <c r="A295" s="415" t="s">
        <v>3206</v>
      </c>
      <c r="B295" s="415" t="s">
        <v>177</v>
      </c>
      <c r="C295" s="415" t="s">
        <v>175</v>
      </c>
      <c r="D295" s="416" t="s">
        <v>178</v>
      </c>
      <c r="E295" s="415" t="s">
        <v>421</v>
      </c>
      <c r="F295" s="100">
        <v>28</v>
      </c>
      <c r="G295" s="101">
        <v>11.96</v>
      </c>
      <c r="H295" s="84">
        <v>0.2122</v>
      </c>
      <c r="I295" s="83">
        <v>14.5</v>
      </c>
      <c r="J295" s="83">
        <v>406</v>
      </c>
      <c r="K295" s="557">
        <v>2.7300408835860433E-5</v>
      </c>
      <c r="L295" s="420"/>
    </row>
    <row r="296" spans="1:13" s="92" customFormat="1" ht="39" customHeight="1" x14ac:dyDescent="0.3">
      <c r="A296" s="415" t="s">
        <v>3207</v>
      </c>
      <c r="B296" s="415" t="s">
        <v>179</v>
      </c>
      <c r="C296" s="415" t="s">
        <v>175</v>
      </c>
      <c r="D296" s="416" t="s">
        <v>180</v>
      </c>
      <c r="E296" s="415" t="s">
        <v>173</v>
      </c>
      <c r="F296" s="100">
        <v>5312.5199999999995</v>
      </c>
      <c r="G296" s="101">
        <v>3.25</v>
      </c>
      <c r="H296" s="84">
        <v>0.2122</v>
      </c>
      <c r="I296" s="83">
        <v>3.94</v>
      </c>
      <c r="J296" s="83">
        <v>20931.32</v>
      </c>
      <c r="K296" s="557">
        <v>1.4074719051089216E-3</v>
      </c>
      <c r="L296" s="420"/>
    </row>
    <row r="297" spans="1:13" s="92" customFormat="1" ht="39" customHeight="1" x14ac:dyDescent="0.3">
      <c r="A297" s="415" t="s">
        <v>3208</v>
      </c>
      <c r="B297" s="415" t="s">
        <v>181</v>
      </c>
      <c r="C297" s="415" t="s">
        <v>175</v>
      </c>
      <c r="D297" s="416" t="s">
        <v>182</v>
      </c>
      <c r="E297" s="415" t="s">
        <v>81</v>
      </c>
      <c r="F297" s="100">
        <v>54</v>
      </c>
      <c r="G297" s="101">
        <v>2.76</v>
      </c>
      <c r="H297" s="84">
        <v>0.2122</v>
      </c>
      <c r="I297" s="83">
        <v>3.35</v>
      </c>
      <c r="J297" s="83">
        <v>180.9</v>
      </c>
      <c r="K297" s="557">
        <v>1.2164147680805794E-5</v>
      </c>
      <c r="L297" s="420"/>
    </row>
    <row r="298" spans="1:13" s="92" customFormat="1" ht="39" customHeight="1" x14ac:dyDescent="0.3">
      <c r="A298" s="415" t="s">
        <v>3209</v>
      </c>
      <c r="B298" s="415" t="s">
        <v>183</v>
      </c>
      <c r="C298" s="415" t="s">
        <v>115</v>
      </c>
      <c r="D298" s="416" t="s">
        <v>384</v>
      </c>
      <c r="E298" s="415" t="s">
        <v>422</v>
      </c>
      <c r="F298" s="100">
        <v>1847</v>
      </c>
      <c r="G298" s="101">
        <v>1.96</v>
      </c>
      <c r="H298" s="84">
        <v>0.2122</v>
      </c>
      <c r="I298" s="83">
        <v>2.38</v>
      </c>
      <c r="J298" s="83">
        <v>4395.8599999999997</v>
      </c>
      <c r="K298" s="557">
        <v>2.9558811621971777E-4</v>
      </c>
      <c r="L298" s="420"/>
    </row>
    <row r="299" spans="1:13" s="92" customFormat="1" ht="39" customHeight="1" x14ac:dyDescent="0.3">
      <c r="A299" s="415" t="s">
        <v>3210</v>
      </c>
      <c r="B299" s="415" t="s">
        <v>184</v>
      </c>
      <c r="C299" s="415" t="s">
        <v>115</v>
      </c>
      <c r="D299" s="416" t="s">
        <v>3782</v>
      </c>
      <c r="E299" s="415" t="s">
        <v>422</v>
      </c>
      <c r="F299" s="100">
        <v>1231</v>
      </c>
      <c r="G299" s="101">
        <v>3.95</v>
      </c>
      <c r="H299" s="84">
        <v>0.2122</v>
      </c>
      <c r="I299" s="83">
        <v>4.79</v>
      </c>
      <c r="J299" s="83">
        <v>5896.49</v>
      </c>
      <c r="K299" s="557">
        <v>3.964940583659179E-4</v>
      </c>
      <c r="L299" s="420"/>
    </row>
    <row r="300" spans="1:13" s="92" customFormat="1" ht="39" customHeight="1" x14ac:dyDescent="0.3">
      <c r="A300" s="415" t="s">
        <v>3211</v>
      </c>
      <c r="B300" s="415" t="s">
        <v>185</v>
      </c>
      <c r="C300" s="415" t="s">
        <v>115</v>
      </c>
      <c r="D300" s="416" t="s">
        <v>3783</v>
      </c>
      <c r="E300" s="415" t="s">
        <v>422</v>
      </c>
      <c r="F300" s="100">
        <v>616</v>
      </c>
      <c r="G300" s="101">
        <v>8.06</v>
      </c>
      <c r="H300" s="84">
        <v>0.2122</v>
      </c>
      <c r="I300" s="83">
        <v>9.77</v>
      </c>
      <c r="J300" s="83">
        <v>6018.32</v>
      </c>
      <c r="K300" s="557">
        <v>4.046861982882649E-4</v>
      </c>
      <c r="L300" s="420"/>
    </row>
    <row r="301" spans="1:13" s="92" customFormat="1" ht="39" customHeight="1" x14ac:dyDescent="0.3">
      <c r="A301" s="415" t="s">
        <v>3212</v>
      </c>
      <c r="B301" s="415" t="s">
        <v>186</v>
      </c>
      <c r="C301" s="415" t="s">
        <v>115</v>
      </c>
      <c r="D301" s="416" t="s">
        <v>385</v>
      </c>
      <c r="E301" s="415" t="s">
        <v>422</v>
      </c>
      <c r="F301" s="100">
        <v>3078</v>
      </c>
      <c r="G301" s="101">
        <v>0.78</v>
      </c>
      <c r="H301" s="84">
        <v>0.2122</v>
      </c>
      <c r="I301" s="83">
        <v>0.95</v>
      </c>
      <c r="J301" s="83">
        <v>2924.1</v>
      </c>
      <c r="K301" s="557">
        <v>1.9662346176586081E-4</v>
      </c>
      <c r="L301" s="420"/>
    </row>
    <row r="302" spans="1:13" s="92" customFormat="1" ht="39" customHeight="1" x14ac:dyDescent="0.3">
      <c r="A302" s="415" t="s">
        <v>3213</v>
      </c>
      <c r="B302" s="415" t="s">
        <v>187</v>
      </c>
      <c r="C302" s="415" t="s">
        <v>115</v>
      </c>
      <c r="D302" s="416" t="s">
        <v>3784</v>
      </c>
      <c r="E302" s="415" t="s">
        <v>422</v>
      </c>
      <c r="F302" s="100">
        <v>3078</v>
      </c>
      <c r="G302" s="101">
        <v>1.25</v>
      </c>
      <c r="H302" s="84">
        <v>0.2122</v>
      </c>
      <c r="I302" s="83">
        <v>1.52</v>
      </c>
      <c r="J302" s="83">
        <v>4678.5600000000004</v>
      </c>
      <c r="K302" s="557">
        <v>3.1459753882537734E-4</v>
      </c>
      <c r="L302" s="420"/>
    </row>
    <row r="303" spans="1:13" s="89" customFormat="1" ht="24" customHeight="1" x14ac:dyDescent="0.3">
      <c r="A303" s="88" t="s">
        <v>3214</v>
      </c>
      <c r="B303" s="88" t="s">
        <v>402</v>
      </c>
      <c r="C303" s="88" t="s">
        <v>402</v>
      </c>
      <c r="D303" s="544" t="s">
        <v>2089</v>
      </c>
      <c r="E303" s="544" t="s">
        <v>402</v>
      </c>
      <c r="F303" s="87"/>
      <c r="G303" s="86"/>
      <c r="H303" s="88"/>
      <c r="I303" s="85"/>
      <c r="J303" s="82">
        <v>112924.56</v>
      </c>
      <c r="K303" s="556">
        <v>7.5933168857380577E-3</v>
      </c>
      <c r="L303" s="420"/>
      <c r="M303" s="92"/>
    </row>
    <row r="304" spans="1:13" s="92" customFormat="1" ht="39" customHeight="1" x14ac:dyDescent="0.3">
      <c r="A304" s="415" t="s">
        <v>3215</v>
      </c>
      <c r="B304" s="415" t="s">
        <v>190</v>
      </c>
      <c r="C304" s="415" t="s">
        <v>19</v>
      </c>
      <c r="D304" s="416" t="s">
        <v>3551</v>
      </c>
      <c r="E304" s="415" t="s">
        <v>421</v>
      </c>
      <c r="F304" s="100">
        <v>3579.2579999999994</v>
      </c>
      <c r="G304" s="101">
        <v>22.73</v>
      </c>
      <c r="H304" s="84">
        <v>0.2122</v>
      </c>
      <c r="I304" s="83">
        <v>27.55</v>
      </c>
      <c r="J304" s="83">
        <v>98608.55</v>
      </c>
      <c r="K304" s="557">
        <v>6.6306742111117865E-3</v>
      </c>
      <c r="L304" s="420"/>
    </row>
    <row r="305" spans="1:13" s="92" customFormat="1" ht="39" customHeight="1" x14ac:dyDescent="0.3">
      <c r="A305" s="415" t="s">
        <v>3216</v>
      </c>
      <c r="B305" s="415" t="s">
        <v>107</v>
      </c>
      <c r="C305" s="415" t="s">
        <v>19</v>
      </c>
      <c r="D305" s="416" t="s">
        <v>108</v>
      </c>
      <c r="E305" s="415" t="s">
        <v>227</v>
      </c>
      <c r="F305" s="100">
        <v>107.37773999999997</v>
      </c>
      <c r="G305" s="101">
        <v>8.81</v>
      </c>
      <c r="H305" s="84">
        <v>0.2122</v>
      </c>
      <c r="I305" s="83">
        <v>10.68</v>
      </c>
      <c r="J305" s="83">
        <v>1146.79</v>
      </c>
      <c r="K305" s="557">
        <v>7.7112896179498479E-5</v>
      </c>
      <c r="L305" s="420"/>
    </row>
    <row r="306" spans="1:13" s="92" customFormat="1" ht="39" customHeight="1" x14ac:dyDescent="0.3">
      <c r="A306" s="415" t="s">
        <v>3217</v>
      </c>
      <c r="B306" s="415" t="s">
        <v>109</v>
      </c>
      <c r="C306" s="415" t="s">
        <v>19</v>
      </c>
      <c r="D306" s="416" t="s">
        <v>110</v>
      </c>
      <c r="E306" s="415" t="s">
        <v>111</v>
      </c>
      <c r="F306" s="100">
        <v>3221.3321999999994</v>
      </c>
      <c r="G306" s="101">
        <v>2.1</v>
      </c>
      <c r="H306" s="84">
        <v>0.2122</v>
      </c>
      <c r="I306" s="83">
        <v>2.5499999999999998</v>
      </c>
      <c r="J306" s="83">
        <v>8214.39</v>
      </c>
      <c r="K306" s="557">
        <v>5.5235518555961469E-4</v>
      </c>
      <c r="L306" s="420"/>
    </row>
    <row r="307" spans="1:13" s="92" customFormat="1" ht="39" customHeight="1" x14ac:dyDescent="0.3">
      <c r="A307" s="415" t="s">
        <v>3218</v>
      </c>
      <c r="B307" s="415" t="s">
        <v>112</v>
      </c>
      <c r="C307" s="415" t="s">
        <v>19</v>
      </c>
      <c r="D307" s="416" t="s">
        <v>113</v>
      </c>
      <c r="E307" s="415" t="s">
        <v>111</v>
      </c>
      <c r="F307" s="100">
        <v>4810.5227519999989</v>
      </c>
      <c r="G307" s="101">
        <v>0.85</v>
      </c>
      <c r="H307" s="84">
        <v>0.2122</v>
      </c>
      <c r="I307" s="83">
        <v>1.03</v>
      </c>
      <c r="J307" s="83">
        <v>4954.83</v>
      </c>
      <c r="K307" s="557">
        <v>3.3317459288715847E-4</v>
      </c>
      <c r="L307" s="420"/>
    </row>
    <row r="308" spans="1:13" s="89" customFormat="1" ht="24" customHeight="1" x14ac:dyDescent="0.3">
      <c r="A308" s="88" t="s">
        <v>3219</v>
      </c>
      <c r="B308" s="88" t="s">
        <v>402</v>
      </c>
      <c r="C308" s="88" t="s">
        <v>402</v>
      </c>
      <c r="D308" s="544" t="s">
        <v>363</v>
      </c>
      <c r="E308" s="544" t="s">
        <v>402</v>
      </c>
      <c r="F308" s="87"/>
      <c r="G308" s="86"/>
      <c r="H308" s="88"/>
      <c r="I308" s="85"/>
      <c r="J308" s="82">
        <v>85892.37</v>
      </c>
      <c r="K308" s="556">
        <v>5.7756079233522006E-3</v>
      </c>
      <c r="L308" s="420"/>
      <c r="M308" s="92"/>
    </row>
    <row r="309" spans="1:13" s="92" customFormat="1" ht="39" customHeight="1" x14ac:dyDescent="0.3">
      <c r="A309" s="415" t="s">
        <v>3220</v>
      </c>
      <c r="B309" s="415" t="s">
        <v>191</v>
      </c>
      <c r="C309" s="415" t="s">
        <v>115</v>
      </c>
      <c r="D309" s="416" t="s">
        <v>3785</v>
      </c>
      <c r="E309" s="415" t="s">
        <v>227</v>
      </c>
      <c r="F309" s="100">
        <v>96.234305887302895</v>
      </c>
      <c r="G309" s="101">
        <v>626.30999999999995</v>
      </c>
      <c r="H309" s="84">
        <v>0.2122</v>
      </c>
      <c r="I309" s="83">
        <v>759.21</v>
      </c>
      <c r="J309" s="83">
        <v>73062.039999999994</v>
      </c>
      <c r="K309" s="557">
        <v>4.9128659171970152E-3</v>
      </c>
      <c r="L309" s="420"/>
    </row>
    <row r="310" spans="1:13" s="92" customFormat="1" ht="39" customHeight="1" x14ac:dyDescent="0.3">
      <c r="A310" s="415" t="s">
        <v>3221</v>
      </c>
      <c r="B310" s="415" t="s">
        <v>107</v>
      </c>
      <c r="C310" s="415" t="s">
        <v>19</v>
      </c>
      <c r="D310" s="416" t="s">
        <v>108</v>
      </c>
      <c r="E310" s="415" t="s">
        <v>227</v>
      </c>
      <c r="F310" s="100">
        <v>96.234305887302895</v>
      </c>
      <c r="G310" s="101">
        <v>8.81</v>
      </c>
      <c r="H310" s="84">
        <v>0.2122</v>
      </c>
      <c r="I310" s="83">
        <v>10.68</v>
      </c>
      <c r="J310" s="83">
        <v>1027.78</v>
      </c>
      <c r="K310" s="557">
        <v>6.9110379786504024E-5</v>
      </c>
      <c r="L310" s="420"/>
    </row>
    <row r="311" spans="1:13" s="92" customFormat="1" ht="39" customHeight="1" x14ac:dyDescent="0.3">
      <c r="A311" s="415" t="s">
        <v>3222</v>
      </c>
      <c r="B311" s="415" t="s">
        <v>109</v>
      </c>
      <c r="C311" s="415" t="s">
        <v>19</v>
      </c>
      <c r="D311" s="416" t="s">
        <v>110</v>
      </c>
      <c r="E311" s="415" t="s">
        <v>111</v>
      </c>
      <c r="F311" s="100">
        <v>2887.0291766190867</v>
      </c>
      <c r="G311" s="101">
        <v>2.1</v>
      </c>
      <c r="H311" s="84">
        <v>0.2122</v>
      </c>
      <c r="I311" s="83">
        <v>2.5499999999999998</v>
      </c>
      <c r="J311" s="83">
        <v>7361.92</v>
      </c>
      <c r="K311" s="557">
        <v>4.9503306851452617E-4</v>
      </c>
      <c r="L311" s="420"/>
    </row>
    <row r="312" spans="1:13" s="92" customFormat="1" ht="39" customHeight="1" x14ac:dyDescent="0.3">
      <c r="A312" s="415" t="s">
        <v>3223</v>
      </c>
      <c r="B312" s="415" t="s">
        <v>112</v>
      </c>
      <c r="C312" s="415" t="s">
        <v>19</v>
      </c>
      <c r="D312" s="416" t="s">
        <v>113</v>
      </c>
      <c r="E312" s="415" t="s">
        <v>111</v>
      </c>
      <c r="F312" s="100">
        <v>4311.2969037511693</v>
      </c>
      <c r="G312" s="101">
        <v>0.85</v>
      </c>
      <c r="H312" s="84">
        <v>0.2122</v>
      </c>
      <c r="I312" s="83">
        <v>1.03</v>
      </c>
      <c r="J312" s="83">
        <v>4440.63</v>
      </c>
      <c r="K312" s="557">
        <v>2.9859855785415492E-4</v>
      </c>
      <c r="L312" s="420"/>
    </row>
    <row r="313" spans="1:13" s="89" customFormat="1" ht="24" customHeight="1" x14ac:dyDescent="0.3">
      <c r="A313" s="88" t="s">
        <v>3224</v>
      </c>
      <c r="B313" s="88" t="s">
        <v>402</v>
      </c>
      <c r="C313" s="88" t="s">
        <v>402</v>
      </c>
      <c r="D313" s="544" t="s">
        <v>194</v>
      </c>
      <c r="E313" s="544" t="s">
        <v>402</v>
      </c>
      <c r="F313" s="87"/>
      <c r="G313" s="86"/>
      <c r="H313" s="88"/>
      <c r="I313" s="85"/>
      <c r="J313" s="82">
        <v>287585.96000000002</v>
      </c>
      <c r="K313" s="556">
        <v>1.9337966215402475E-2</v>
      </c>
      <c r="L313" s="420"/>
      <c r="M313" s="92"/>
    </row>
    <row r="314" spans="1:13" s="92" customFormat="1" ht="39" customHeight="1" x14ac:dyDescent="0.3">
      <c r="A314" s="415" t="s">
        <v>3225</v>
      </c>
      <c r="B314" s="415" t="s">
        <v>195</v>
      </c>
      <c r="C314" s="415" t="s">
        <v>196</v>
      </c>
      <c r="D314" s="416" t="s">
        <v>3786</v>
      </c>
      <c r="E314" s="415" t="s">
        <v>227</v>
      </c>
      <c r="F314" s="100">
        <v>564.46517937007013</v>
      </c>
      <c r="G314" s="101">
        <v>310.31</v>
      </c>
      <c r="H314" s="84">
        <v>0.2122</v>
      </c>
      <c r="I314" s="83">
        <v>376.16</v>
      </c>
      <c r="J314" s="83">
        <v>212329.22</v>
      </c>
      <c r="K314" s="557">
        <v>1.4277523433003333E-2</v>
      </c>
      <c r="L314" s="420"/>
    </row>
    <row r="315" spans="1:13" s="92" customFormat="1" ht="39" customHeight="1" x14ac:dyDescent="0.3">
      <c r="A315" s="415" t="s">
        <v>3226</v>
      </c>
      <c r="B315" s="415" t="s">
        <v>107</v>
      </c>
      <c r="C315" s="415" t="s">
        <v>19</v>
      </c>
      <c r="D315" s="416" t="s">
        <v>108</v>
      </c>
      <c r="E315" s="415" t="s">
        <v>227</v>
      </c>
      <c r="F315" s="100">
        <v>564.46517937007013</v>
      </c>
      <c r="G315" s="101">
        <v>8.81</v>
      </c>
      <c r="H315" s="84">
        <v>0.2122</v>
      </c>
      <c r="I315" s="83">
        <v>10.68</v>
      </c>
      <c r="J315" s="83">
        <v>6028.48</v>
      </c>
      <c r="K315" s="557">
        <v>4.0536938093302432E-4</v>
      </c>
      <c r="L315" s="420"/>
    </row>
    <row r="316" spans="1:13" s="92" customFormat="1" ht="39" customHeight="1" x14ac:dyDescent="0.3">
      <c r="A316" s="415" t="s">
        <v>3227</v>
      </c>
      <c r="B316" s="415" t="s">
        <v>109</v>
      </c>
      <c r="C316" s="415" t="s">
        <v>19</v>
      </c>
      <c r="D316" s="416" t="s">
        <v>110</v>
      </c>
      <c r="E316" s="415" t="s">
        <v>111</v>
      </c>
      <c r="F316" s="100">
        <v>16933.955381102103</v>
      </c>
      <c r="G316" s="101">
        <v>2.1</v>
      </c>
      <c r="H316" s="84">
        <v>0.2122</v>
      </c>
      <c r="I316" s="83">
        <v>2.5499999999999998</v>
      </c>
      <c r="J316" s="83">
        <v>43181.58</v>
      </c>
      <c r="K316" s="557">
        <v>2.9036324831980642E-3</v>
      </c>
      <c r="L316" s="420"/>
    </row>
    <row r="317" spans="1:13" s="92" customFormat="1" ht="39" customHeight="1" x14ac:dyDescent="0.3">
      <c r="A317" s="415" t="s">
        <v>3228</v>
      </c>
      <c r="B317" s="415" t="s">
        <v>112</v>
      </c>
      <c r="C317" s="415" t="s">
        <v>19</v>
      </c>
      <c r="D317" s="416" t="s">
        <v>113</v>
      </c>
      <c r="E317" s="415" t="s">
        <v>111</v>
      </c>
      <c r="F317" s="100">
        <v>25288.04003577914</v>
      </c>
      <c r="G317" s="101">
        <v>0.85</v>
      </c>
      <c r="H317" s="84">
        <v>0.2122</v>
      </c>
      <c r="I317" s="83">
        <v>1.03</v>
      </c>
      <c r="J317" s="83">
        <v>26046.68</v>
      </c>
      <c r="K317" s="557">
        <v>1.7514409182680522E-3</v>
      </c>
      <c r="L317" s="420"/>
    </row>
    <row r="318" spans="1:13" s="89" customFormat="1" ht="24" customHeight="1" x14ac:dyDescent="0.3">
      <c r="A318" s="88" t="s">
        <v>3229</v>
      </c>
      <c r="B318" s="88" t="s">
        <v>402</v>
      </c>
      <c r="C318" s="88" t="s">
        <v>402</v>
      </c>
      <c r="D318" s="544" t="s">
        <v>197</v>
      </c>
      <c r="E318" s="544" t="s">
        <v>402</v>
      </c>
      <c r="F318" s="87"/>
      <c r="G318" s="86"/>
      <c r="H318" s="88"/>
      <c r="I318" s="85"/>
      <c r="J318" s="82">
        <v>103809.95000000001</v>
      </c>
      <c r="K318" s="556">
        <v>6.9804287591877581E-3</v>
      </c>
      <c r="L318" s="420"/>
      <c r="M318" s="92"/>
    </row>
    <row r="319" spans="1:13" s="92" customFormat="1" ht="39" customHeight="1" x14ac:dyDescent="0.3">
      <c r="A319" s="415" t="s">
        <v>3230</v>
      </c>
      <c r="B319" s="415" t="s">
        <v>198</v>
      </c>
      <c r="C319" s="415" t="s">
        <v>199</v>
      </c>
      <c r="D319" s="416" t="s">
        <v>3787</v>
      </c>
      <c r="E319" s="415" t="s">
        <v>200</v>
      </c>
      <c r="F319" s="100">
        <v>799.68</v>
      </c>
      <c r="G319" s="101">
        <v>11.96</v>
      </c>
      <c r="H319" s="84">
        <v>0.2122</v>
      </c>
      <c r="I319" s="83">
        <v>14.5</v>
      </c>
      <c r="J319" s="83">
        <v>11595.36</v>
      </c>
      <c r="K319" s="557">
        <v>7.7969967635217394E-4</v>
      </c>
      <c r="L319" s="420"/>
    </row>
    <row r="320" spans="1:13" s="92" customFormat="1" ht="39" customHeight="1" x14ac:dyDescent="0.3">
      <c r="A320" s="415" t="s">
        <v>3231</v>
      </c>
      <c r="B320" s="415" t="s">
        <v>201</v>
      </c>
      <c r="C320" s="415" t="s">
        <v>19</v>
      </c>
      <c r="D320" s="416" t="s">
        <v>3552</v>
      </c>
      <c r="E320" s="415" t="s">
        <v>227</v>
      </c>
      <c r="F320" s="100">
        <v>27.315399999999997</v>
      </c>
      <c r="G320" s="101">
        <v>767.76</v>
      </c>
      <c r="H320" s="84">
        <v>0.2122</v>
      </c>
      <c r="I320" s="83">
        <v>930.68</v>
      </c>
      <c r="J320" s="83">
        <v>25421.89</v>
      </c>
      <c r="K320" s="557">
        <v>1.70942854773466E-3</v>
      </c>
      <c r="L320" s="420"/>
    </row>
    <row r="321" spans="1:13" s="92" customFormat="1" ht="39" customHeight="1" x14ac:dyDescent="0.3">
      <c r="A321" s="415" t="s">
        <v>3232</v>
      </c>
      <c r="B321" s="415" t="s">
        <v>202</v>
      </c>
      <c r="C321" s="415" t="s">
        <v>203</v>
      </c>
      <c r="D321" s="416" t="s">
        <v>204</v>
      </c>
      <c r="E321" s="415" t="s">
        <v>173</v>
      </c>
      <c r="F321" s="100">
        <v>476</v>
      </c>
      <c r="G321" s="101">
        <v>82.29</v>
      </c>
      <c r="H321" s="84">
        <v>0.2122</v>
      </c>
      <c r="I321" s="83">
        <v>99.75</v>
      </c>
      <c r="J321" s="83">
        <v>47481</v>
      </c>
      <c r="K321" s="557">
        <v>3.1927357436834706E-3</v>
      </c>
      <c r="L321" s="420"/>
    </row>
    <row r="322" spans="1:13" s="92" customFormat="1" ht="39" customHeight="1" x14ac:dyDescent="0.3">
      <c r="A322" s="415" t="s">
        <v>3233</v>
      </c>
      <c r="B322" s="415" t="s">
        <v>205</v>
      </c>
      <c r="C322" s="415" t="s">
        <v>203</v>
      </c>
      <c r="D322" s="416" t="s">
        <v>3752</v>
      </c>
      <c r="E322" s="415" t="s">
        <v>173</v>
      </c>
      <c r="F322" s="100">
        <v>129</v>
      </c>
      <c r="G322" s="101">
        <v>69.680000000000007</v>
      </c>
      <c r="H322" s="84">
        <v>0.2122</v>
      </c>
      <c r="I322" s="83">
        <v>84.47</v>
      </c>
      <c r="J322" s="83">
        <v>10896.63</v>
      </c>
      <c r="K322" s="557">
        <v>7.3271540377611291E-4</v>
      </c>
      <c r="L322" s="420"/>
    </row>
    <row r="323" spans="1:13" s="92" customFormat="1" ht="39" customHeight="1" x14ac:dyDescent="0.3">
      <c r="A323" s="415" t="s">
        <v>3234</v>
      </c>
      <c r="B323" s="415" t="s">
        <v>107</v>
      </c>
      <c r="C323" s="415" t="s">
        <v>19</v>
      </c>
      <c r="D323" s="416" t="s">
        <v>108</v>
      </c>
      <c r="E323" s="415" t="s">
        <v>227</v>
      </c>
      <c r="F323" s="100">
        <v>63.117599999999996</v>
      </c>
      <c r="G323" s="101">
        <v>8.81</v>
      </c>
      <c r="H323" s="84">
        <v>0.2122</v>
      </c>
      <c r="I323" s="83">
        <v>10.68</v>
      </c>
      <c r="J323" s="83">
        <v>674.09</v>
      </c>
      <c r="K323" s="557">
        <v>4.5327420177746697E-5</v>
      </c>
      <c r="L323" s="420"/>
    </row>
    <row r="324" spans="1:13" s="92" customFormat="1" ht="39" customHeight="1" x14ac:dyDescent="0.3">
      <c r="A324" s="415" t="s">
        <v>3235</v>
      </c>
      <c r="B324" s="415" t="s">
        <v>109</v>
      </c>
      <c r="C324" s="415" t="s">
        <v>19</v>
      </c>
      <c r="D324" s="416" t="s">
        <v>110</v>
      </c>
      <c r="E324" s="415" t="s">
        <v>111</v>
      </c>
      <c r="F324" s="100">
        <v>1893.5279999999998</v>
      </c>
      <c r="G324" s="101">
        <v>2.1</v>
      </c>
      <c r="H324" s="84">
        <v>0.2122</v>
      </c>
      <c r="I324" s="83">
        <v>2.5499999999999998</v>
      </c>
      <c r="J324" s="83">
        <v>4828.49</v>
      </c>
      <c r="K324" s="557">
        <v>3.2467918980261999E-4</v>
      </c>
      <c r="L324" s="420"/>
    </row>
    <row r="325" spans="1:13" s="92" customFormat="1" ht="39" customHeight="1" x14ac:dyDescent="0.3">
      <c r="A325" s="415" t="s">
        <v>3236</v>
      </c>
      <c r="B325" s="415" t="s">
        <v>112</v>
      </c>
      <c r="C325" s="415" t="s">
        <v>19</v>
      </c>
      <c r="D325" s="416" t="s">
        <v>113</v>
      </c>
      <c r="E325" s="415" t="s">
        <v>111</v>
      </c>
      <c r="F325" s="100">
        <v>2827.6684799999998</v>
      </c>
      <c r="G325" s="101">
        <v>0.85</v>
      </c>
      <c r="H325" s="84">
        <v>0.2122</v>
      </c>
      <c r="I325" s="83">
        <v>1.03</v>
      </c>
      <c r="J325" s="83">
        <v>2912.49</v>
      </c>
      <c r="K325" s="557">
        <v>1.9584277766097324E-4</v>
      </c>
      <c r="L325" s="420"/>
    </row>
    <row r="326" spans="1:13" s="89" customFormat="1" ht="24" customHeight="1" x14ac:dyDescent="0.3">
      <c r="A326" s="88" t="s">
        <v>3237</v>
      </c>
      <c r="B326" s="88" t="s">
        <v>402</v>
      </c>
      <c r="C326" s="88" t="s">
        <v>402</v>
      </c>
      <c r="D326" s="544" t="s">
        <v>365</v>
      </c>
      <c r="E326" s="544" t="s">
        <v>402</v>
      </c>
      <c r="F326" s="87"/>
      <c r="G326" s="86"/>
      <c r="H326" s="88"/>
      <c r="I326" s="85"/>
      <c r="J326" s="82">
        <v>389.24999999999994</v>
      </c>
      <c r="K326" s="556">
        <v>2.6174098865415448E-5</v>
      </c>
      <c r="L326" s="420"/>
      <c r="M326" s="92"/>
    </row>
    <row r="327" spans="1:13" s="92" customFormat="1" ht="39" customHeight="1" x14ac:dyDescent="0.3">
      <c r="A327" s="415" t="s">
        <v>3238</v>
      </c>
      <c r="B327" s="415" t="s">
        <v>192</v>
      </c>
      <c r="C327" s="415" t="s">
        <v>19</v>
      </c>
      <c r="D327" s="416" t="s">
        <v>3554</v>
      </c>
      <c r="E327" s="415" t="s">
        <v>227</v>
      </c>
      <c r="F327" s="100">
        <v>1.8630524081730497</v>
      </c>
      <c r="G327" s="101">
        <v>62.38</v>
      </c>
      <c r="H327" s="84">
        <v>0.2122</v>
      </c>
      <c r="I327" s="83">
        <v>75.62</v>
      </c>
      <c r="J327" s="83">
        <v>140.88</v>
      </c>
      <c r="K327" s="557">
        <v>9.4731073812709781E-6</v>
      </c>
      <c r="L327" s="420"/>
    </row>
    <row r="328" spans="1:13" s="92" customFormat="1" ht="39" customHeight="1" x14ac:dyDescent="0.3">
      <c r="A328" s="415" t="s">
        <v>3239</v>
      </c>
      <c r="B328" s="415" t="s">
        <v>107</v>
      </c>
      <c r="C328" s="415" t="s">
        <v>19</v>
      </c>
      <c r="D328" s="416" t="s">
        <v>108</v>
      </c>
      <c r="E328" s="415" t="s">
        <v>227</v>
      </c>
      <c r="F328" s="100">
        <v>1.8630524081730497</v>
      </c>
      <c r="G328" s="101">
        <v>8.81</v>
      </c>
      <c r="H328" s="84">
        <v>0.2122</v>
      </c>
      <c r="I328" s="83">
        <v>10.68</v>
      </c>
      <c r="J328" s="83">
        <v>19.89</v>
      </c>
      <c r="K328" s="557">
        <v>1.3374510634119802E-6</v>
      </c>
      <c r="L328" s="420"/>
    </row>
    <row r="329" spans="1:13" s="92" customFormat="1" ht="39" customHeight="1" x14ac:dyDescent="0.3">
      <c r="A329" s="415" t="s">
        <v>3240</v>
      </c>
      <c r="B329" s="415" t="s">
        <v>109</v>
      </c>
      <c r="C329" s="415" t="s">
        <v>19</v>
      </c>
      <c r="D329" s="416" t="s">
        <v>110</v>
      </c>
      <c r="E329" s="415" t="s">
        <v>111</v>
      </c>
      <c r="F329" s="100">
        <v>55.89157224519149</v>
      </c>
      <c r="G329" s="101">
        <v>2.1</v>
      </c>
      <c r="H329" s="84">
        <v>0.2122</v>
      </c>
      <c r="I329" s="83">
        <v>2.5499999999999998</v>
      </c>
      <c r="J329" s="83">
        <v>142.52000000000001</v>
      </c>
      <c r="K329" s="557">
        <v>9.5833848947951446E-6</v>
      </c>
      <c r="L329" s="420"/>
    </row>
    <row r="330" spans="1:13" s="92" customFormat="1" ht="39" customHeight="1" x14ac:dyDescent="0.3">
      <c r="A330" s="415" t="s">
        <v>3241</v>
      </c>
      <c r="B330" s="415" t="s">
        <v>112</v>
      </c>
      <c r="C330" s="415" t="s">
        <v>19</v>
      </c>
      <c r="D330" s="416" t="s">
        <v>113</v>
      </c>
      <c r="E330" s="415" t="s">
        <v>111</v>
      </c>
      <c r="F330" s="100">
        <v>83.464747886152622</v>
      </c>
      <c r="G330" s="101">
        <v>0.85</v>
      </c>
      <c r="H330" s="84">
        <v>0.2122</v>
      </c>
      <c r="I330" s="83">
        <v>1.03</v>
      </c>
      <c r="J330" s="83">
        <v>85.96</v>
      </c>
      <c r="K330" s="557">
        <v>5.7801555259373458E-6</v>
      </c>
      <c r="L330" s="420"/>
    </row>
    <row r="331" spans="1:13" s="89" customFormat="1" ht="24" customHeight="1" x14ac:dyDescent="0.3">
      <c r="A331" s="88" t="s">
        <v>3242</v>
      </c>
      <c r="B331" s="88" t="s">
        <v>402</v>
      </c>
      <c r="C331" s="88" t="s">
        <v>402</v>
      </c>
      <c r="D331" s="544" t="s">
        <v>207</v>
      </c>
      <c r="E331" s="544" t="s">
        <v>402</v>
      </c>
      <c r="F331" s="87"/>
      <c r="G331" s="86"/>
      <c r="H331" s="88"/>
      <c r="I331" s="85"/>
      <c r="J331" s="82">
        <v>76948.38</v>
      </c>
      <c r="K331" s="556">
        <v>5.1741926927515915E-3</v>
      </c>
      <c r="L331" s="420"/>
      <c r="M331" s="92"/>
    </row>
    <row r="332" spans="1:13" s="92" customFormat="1" ht="39" customHeight="1" x14ac:dyDescent="0.3">
      <c r="A332" s="415" t="s">
        <v>3243</v>
      </c>
      <c r="B332" s="415" t="s">
        <v>3753</v>
      </c>
      <c r="C332" s="415" t="s">
        <v>3751</v>
      </c>
      <c r="D332" s="416" t="s">
        <v>208</v>
      </c>
      <c r="E332" s="415" t="s">
        <v>81</v>
      </c>
      <c r="F332" s="100">
        <v>27</v>
      </c>
      <c r="G332" s="101">
        <v>119.76</v>
      </c>
      <c r="H332" s="84">
        <v>0.111</v>
      </c>
      <c r="I332" s="83">
        <v>133.05000000000001</v>
      </c>
      <c r="J332" s="83">
        <v>3592.35</v>
      </c>
      <c r="K332" s="557">
        <v>2.415581864076434E-4</v>
      </c>
      <c r="L332" s="420"/>
    </row>
    <row r="333" spans="1:13" s="92" customFormat="1" ht="39" customHeight="1" x14ac:dyDescent="0.3">
      <c r="A333" s="415" t="s">
        <v>3244</v>
      </c>
      <c r="B333" s="415" t="s">
        <v>209</v>
      </c>
      <c r="C333" s="415" t="s">
        <v>199</v>
      </c>
      <c r="D333" s="416" t="s">
        <v>210</v>
      </c>
      <c r="E333" s="415" t="s">
        <v>81</v>
      </c>
      <c r="F333" s="100">
        <v>27</v>
      </c>
      <c r="G333" s="101">
        <v>2241.29</v>
      </c>
      <c r="H333" s="84">
        <v>0.2122</v>
      </c>
      <c r="I333" s="83">
        <v>2716.89</v>
      </c>
      <c r="J333" s="83">
        <v>73356.03</v>
      </c>
      <c r="K333" s="557">
        <v>4.9326345063439477E-3</v>
      </c>
      <c r="L333" s="420"/>
    </row>
    <row r="334" spans="1:13" s="89" customFormat="1" ht="24" customHeight="1" x14ac:dyDescent="0.3">
      <c r="A334" s="88" t="s">
        <v>3245</v>
      </c>
      <c r="B334" s="88" t="s">
        <v>402</v>
      </c>
      <c r="C334" s="88" t="s">
        <v>402</v>
      </c>
      <c r="D334" s="544" t="s">
        <v>211</v>
      </c>
      <c r="E334" s="544" t="s">
        <v>402</v>
      </c>
      <c r="F334" s="87"/>
      <c r="G334" s="86"/>
      <c r="H334" s="88"/>
      <c r="I334" s="85"/>
      <c r="J334" s="82">
        <v>6827287.1700000009</v>
      </c>
      <c r="K334" s="556">
        <v>0.45908308123355807</v>
      </c>
      <c r="L334" s="420"/>
      <c r="M334" s="92"/>
    </row>
    <row r="335" spans="1:13" s="89" customFormat="1" ht="24" customHeight="1" x14ac:dyDescent="0.3">
      <c r="A335" s="88" t="s">
        <v>3246</v>
      </c>
      <c r="B335" s="88" t="s">
        <v>402</v>
      </c>
      <c r="C335" s="88" t="s">
        <v>402</v>
      </c>
      <c r="D335" s="544" t="s">
        <v>212</v>
      </c>
      <c r="E335" s="544" t="s">
        <v>402</v>
      </c>
      <c r="F335" s="87"/>
      <c r="G335" s="86"/>
      <c r="H335" s="88"/>
      <c r="I335" s="85"/>
      <c r="J335" s="82">
        <v>424352.72000000003</v>
      </c>
      <c r="K335" s="556">
        <v>2.8534489523668494E-2</v>
      </c>
      <c r="L335" s="420"/>
      <c r="M335" s="92"/>
    </row>
    <row r="336" spans="1:13" s="92" customFormat="1" ht="39" customHeight="1" x14ac:dyDescent="0.3">
      <c r="A336" s="415" t="s">
        <v>3247</v>
      </c>
      <c r="B336" s="415" t="s">
        <v>213</v>
      </c>
      <c r="C336" s="415" t="s">
        <v>19</v>
      </c>
      <c r="D336" s="416" t="s">
        <v>3788</v>
      </c>
      <c r="E336" s="415" t="s">
        <v>227</v>
      </c>
      <c r="F336" s="100">
        <v>120.9496</v>
      </c>
      <c r="G336" s="101">
        <v>11.8</v>
      </c>
      <c r="H336" s="84">
        <v>0.2122</v>
      </c>
      <c r="I336" s="83">
        <v>14.3</v>
      </c>
      <c r="J336" s="83">
        <v>1729.57</v>
      </c>
      <c r="K336" s="557">
        <v>1.1630041406462839E-4</v>
      </c>
      <c r="L336" s="420"/>
    </row>
    <row r="337" spans="1:12" s="92" customFormat="1" ht="39" customHeight="1" x14ac:dyDescent="0.3">
      <c r="A337" s="415" t="s">
        <v>3248</v>
      </c>
      <c r="B337" s="415" t="s">
        <v>300</v>
      </c>
      <c r="C337" s="415" t="s">
        <v>19</v>
      </c>
      <c r="D337" s="416" t="s">
        <v>3813</v>
      </c>
      <c r="E337" s="415" t="s">
        <v>227</v>
      </c>
      <c r="F337" s="100">
        <v>33.6</v>
      </c>
      <c r="G337" s="101">
        <v>11.17</v>
      </c>
      <c r="H337" s="84">
        <v>0.2122</v>
      </c>
      <c r="I337" s="83">
        <v>13.54</v>
      </c>
      <c r="J337" s="83">
        <v>454.94</v>
      </c>
      <c r="K337" s="557">
        <v>3.0591251221148633E-5</v>
      </c>
      <c r="L337" s="420"/>
    </row>
    <row r="338" spans="1:12" s="92" customFormat="1" ht="39" customHeight="1" x14ac:dyDescent="0.3">
      <c r="A338" s="415" t="s">
        <v>3249</v>
      </c>
      <c r="B338" s="415" t="s">
        <v>217</v>
      </c>
      <c r="C338" s="415" t="s">
        <v>19</v>
      </c>
      <c r="D338" s="416" t="s">
        <v>3791</v>
      </c>
      <c r="E338" s="415" t="s">
        <v>227</v>
      </c>
      <c r="F338" s="100">
        <v>97.819200000000023</v>
      </c>
      <c r="G338" s="101">
        <v>10.96</v>
      </c>
      <c r="H338" s="84">
        <v>0.2122</v>
      </c>
      <c r="I338" s="83">
        <v>13.29</v>
      </c>
      <c r="J338" s="83">
        <v>1300.01</v>
      </c>
      <c r="K338" s="557">
        <v>8.7415774607652505E-5</v>
      </c>
      <c r="L338" s="420"/>
    </row>
    <row r="339" spans="1:12" s="92" customFormat="1" ht="39" customHeight="1" x14ac:dyDescent="0.3">
      <c r="A339" s="415" t="s">
        <v>3250</v>
      </c>
      <c r="B339" s="415" t="s">
        <v>218</v>
      </c>
      <c r="C339" s="415" t="s">
        <v>19</v>
      </c>
      <c r="D339" s="416" t="s">
        <v>3792</v>
      </c>
      <c r="E339" s="415" t="s">
        <v>227</v>
      </c>
      <c r="F339" s="100">
        <v>135.2088</v>
      </c>
      <c r="G339" s="101">
        <v>10.73</v>
      </c>
      <c r="H339" s="84">
        <v>0.2122</v>
      </c>
      <c r="I339" s="83">
        <v>13.01</v>
      </c>
      <c r="J339" s="83">
        <v>1759.06</v>
      </c>
      <c r="K339" s="557">
        <v>1.182833920364745E-4</v>
      </c>
      <c r="L339" s="420"/>
    </row>
    <row r="340" spans="1:12" s="92" customFormat="1" ht="39" customHeight="1" x14ac:dyDescent="0.3">
      <c r="A340" s="415" t="s">
        <v>3251</v>
      </c>
      <c r="B340" s="415" t="s">
        <v>219</v>
      </c>
      <c r="C340" s="415" t="s">
        <v>19</v>
      </c>
      <c r="D340" s="416" t="s">
        <v>3793</v>
      </c>
      <c r="E340" s="415" t="s">
        <v>227</v>
      </c>
      <c r="F340" s="100">
        <v>1786.5060000000001</v>
      </c>
      <c r="G340" s="101">
        <v>10.49</v>
      </c>
      <c r="H340" s="84">
        <v>0.2122</v>
      </c>
      <c r="I340" s="83">
        <v>12.72</v>
      </c>
      <c r="J340" s="83">
        <v>22724.35</v>
      </c>
      <c r="K340" s="557">
        <v>1.5280395210078446E-3</v>
      </c>
      <c r="L340" s="420"/>
    </row>
    <row r="341" spans="1:12" s="92" customFormat="1" ht="39" customHeight="1" x14ac:dyDescent="0.3">
      <c r="A341" s="415" t="s">
        <v>3252</v>
      </c>
      <c r="B341" s="415" t="s">
        <v>220</v>
      </c>
      <c r="C341" s="415" t="s">
        <v>19</v>
      </c>
      <c r="D341" s="416" t="s">
        <v>3794</v>
      </c>
      <c r="E341" s="415" t="s">
        <v>227</v>
      </c>
      <c r="F341" s="100">
        <v>541.53148604839862</v>
      </c>
      <c r="G341" s="101">
        <v>9.01</v>
      </c>
      <c r="H341" s="84">
        <v>0.2122</v>
      </c>
      <c r="I341" s="83">
        <v>10.92</v>
      </c>
      <c r="J341" s="83">
        <v>5913.52</v>
      </c>
      <c r="K341" s="557">
        <v>3.9763919620452559E-4</v>
      </c>
      <c r="L341" s="420"/>
    </row>
    <row r="342" spans="1:12" s="92" customFormat="1" ht="39" customHeight="1" x14ac:dyDescent="0.3">
      <c r="A342" s="415" t="s">
        <v>3253</v>
      </c>
      <c r="B342" s="415" t="s">
        <v>221</v>
      </c>
      <c r="C342" s="415" t="s">
        <v>19</v>
      </c>
      <c r="D342" s="416" t="s">
        <v>3795</v>
      </c>
      <c r="E342" s="415" t="s">
        <v>227</v>
      </c>
      <c r="F342" s="100">
        <v>3442.8075000000008</v>
      </c>
      <c r="G342" s="101">
        <v>9.31</v>
      </c>
      <c r="H342" s="84">
        <v>0.2122</v>
      </c>
      <c r="I342" s="83">
        <v>11.29</v>
      </c>
      <c r="J342" s="83">
        <v>38869.29</v>
      </c>
      <c r="K342" s="557">
        <v>2.6136638132010382E-3</v>
      </c>
      <c r="L342" s="420"/>
    </row>
    <row r="343" spans="1:12" s="92" customFormat="1" ht="39" customHeight="1" x14ac:dyDescent="0.3">
      <c r="A343" s="415" t="s">
        <v>3254</v>
      </c>
      <c r="B343" s="415" t="s">
        <v>222</v>
      </c>
      <c r="C343" s="415" t="s">
        <v>19</v>
      </c>
      <c r="D343" s="416" t="s">
        <v>3796</v>
      </c>
      <c r="E343" s="415" t="s">
        <v>227</v>
      </c>
      <c r="F343" s="100">
        <v>2531.1519210409251</v>
      </c>
      <c r="G343" s="101">
        <v>8.6999999999999993</v>
      </c>
      <c r="H343" s="84">
        <v>0.2122</v>
      </c>
      <c r="I343" s="83">
        <v>10.55</v>
      </c>
      <c r="J343" s="83">
        <v>26703.65</v>
      </c>
      <c r="K343" s="557">
        <v>1.7956171487924248E-3</v>
      </c>
      <c r="L343" s="420"/>
    </row>
    <row r="344" spans="1:12" s="92" customFormat="1" ht="39" customHeight="1" x14ac:dyDescent="0.3">
      <c r="A344" s="415" t="s">
        <v>3255</v>
      </c>
      <c r="B344" s="415" t="s">
        <v>224</v>
      </c>
      <c r="C344" s="415" t="s">
        <v>19</v>
      </c>
      <c r="D344" s="416" t="s">
        <v>3797</v>
      </c>
      <c r="E344" s="415" t="s">
        <v>227</v>
      </c>
      <c r="F344" s="100">
        <v>400.85382371324113</v>
      </c>
      <c r="G344" s="101">
        <v>8.36</v>
      </c>
      <c r="H344" s="84">
        <v>0.2122</v>
      </c>
      <c r="I344" s="83">
        <v>10.130000000000001</v>
      </c>
      <c r="J344" s="83">
        <v>4060.64</v>
      </c>
      <c r="K344" s="557">
        <v>2.7304712348583327E-4</v>
      </c>
      <c r="L344" s="420"/>
    </row>
    <row r="345" spans="1:12" s="92" customFormat="1" ht="39" customHeight="1" x14ac:dyDescent="0.3">
      <c r="A345" s="415" t="s">
        <v>3256</v>
      </c>
      <c r="B345" s="415" t="s">
        <v>225</v>
      </c>
      <c r="C345" s="415" t="s">
        <v>3751</v>
      </c>
      <c r="D345" s="416" t="s">
        <v>226</v>
      </c>
      <c r="E345" s="415" t="s">
        <v>227</v>
      </c>
      <c r="F345" s="100">
        <v>2619.0714380102308</v>
      </c>
      <c r="G345" s="101">
        <v>13.06</v>
      </c>
      <c r="H345" s="84">
        <v>0.2122</v>
      </c>
      <c r="I345" s="83">
        <v>15.83</v>
      </c>
      <c r="J345" s="83">
        <v>41459.9</v>
      </c>
      <c r="K345" s="557">
        <v>2.7878626115613054E-3</v>
      </c>
      <c r="L345" s="420"/>
    </row>
    <row r="346" spans="1:12" s="92" customFormat="1" ht="39" customHeight="1" x14ac:dyDescent="0.3">
      <c r="A346" s="415" t="s">
        <v>3257</v>
      </c>
      <c r="B346" s="415" t="s">
        <v>228</v>
      </c>
      <c r="C346" s="415" t="s">
        <v>3751</v>
      </c>
      <c r="D346" s="416" t="s">
        <v>229</v>
      </c>
      <c r="E346" s="415" t="s">
        <v>227</v>
      </c>
      <c r="F346" s="100">
        <v>1127.8564247435831</v>
      </c>
      <c r="G346" s="101">
        <v>17.96</v>
      </c>
      <c r="H346" s="84">
        <v>0.2122</v>
      </c>
      <c r="I346" s="83">
        <v>21.77</v>
      </c>
      <c r="J346" s="83">
        <v>24553.43</v>
      </c>
      <c r="K346" s="557">
        <v>1.6510312249327108E-3</v>
      </c>
      <c r="L346" s="420"/>
    </row>
    <row r="347" spans="1:12" s="92" customFormat="1" ht="39" customHeight="1" x14ac:dyDescent="0.3">
      <c r="A347" s="415" t="s">
        <v>3258</v>
      </c>
      <c r="B347" s="415" t="s">
        <v>230</v>
      </c>
      <c r="C347" s="415" t="s">
        <v>3751</v>
      </c>
      <c r="D347" s="416" t="s">
        <v>231</v>
      </c>
      <c r="E347" s="415" t="s">
        <v>227</v>
      </c>
      <c r="F347" s="100">
        <v>199.37329589352612</v>
      </c>
      <c r="G347" s="101">
        <v>26.13</v>
      </c>
      <c r="H347" s="84">
        <v>0.2122</v>
      </c>
      <c r="I347" s="83">
        <v>31.67</v>
      </c>
      <c r="J347" s="83">
        <v>6314.15</v>
      </c>
      <c r="K347" s="557">
        <v>4.245785134259806E-4</v>
      </c>
      <c r="L347" s="420"/>
    </row>
    <row r="348" spans="1:12" s="92" customFormat="1" ht="39" customHeight="1" x14ac:dyDescent="0.3">
      <c r="A348" s="415" t="s">
        <v>3259</v>
      </c>
      <c r="B348" s="415" t="s">
        <v>3951</v>
      </c>
      <c r="C348" s="415" t="s">
        <v>293</v>
      </c>
      <c r="D348" s="416" t="s">
        <v>3952</v>
      </c>
      <c r="E348" s="415" t="s">
        <v>227</v>
      </c>
      <c r="F348" s="100">
        <v>663.17471063731489</v>
      </c>
      <c r="G348" s="101">
        <v>109.28</v>
      </c>
      <c r="H348" s="84">
        <v>0.2122</v>
      </c>
      <c r="I348" s="83">
        <v>132.47</v>
      </c>
      <c r="J348" s="83">
        <v>87850.75</v>
      </c>
      <c r="K348" s="557">
        <v>5.9072940678250386E-3</v>
      </c>
      <c r="L348" s="420"/>
    </row>
    <row r="349" spans="1:12" s="92" customFormat="1" ht="39" customHeight="1" x14ac:dyDescent="0.3">
      <c r="A349" s="415" t="s">
        <v>3260</v>
      </c>
      <c r="B349" s="415" t="s">
        <v>116</v>
      </c>
      <c r="C349" s="415" t="s">
        <v>19</v>
      </c>
      <c r="D349" s="416" t="s">
        <v>117</v>
      </c>
      <c r="E349" s="415" t="s">
        <v>227</v>
      </c>
      <c r="F349" s="100">
        <v>1387.7777590350001</v>
      </c>
      <c r="G349" s="101">
        <v>6.53</v>
      </c>
      <c r="H349" s="84">
        <v>0.2122</v>
      </c>
      <c r="I349" s="83">
        <v>7.92</v>
      </c>
      <c r="J349" s="83">
        <v>10991.19</v>
      </c>
      <c r="K349" s="557">
        <v>7.3907384382418926E-4</v>
      </c>
      <c r="L349" s="420"/>
    </row>
    <row r="350" spans="1:12" s="92" customFormat="1" ht="39" customHeight="1" x14ac:dyDescent="0.3">
      <c r="A350" s="415" t="s">
        <v>3261</v>
      </c>
      <c r="B350" s="415" t="s">
        <v>109</v>
      </c>
      <c r="C350" s="415" t="s">
        <v>19</v>
      </c>
      <c r="D350" s="416" t="s">
        <v>110</v>
      </c>
      <c r="E350" s="415" t="s">
        <v>111</v>
      </c>
      <c r="F350" s="100">
        <v>41633.332771050002</v>
      </c>
      <c r="G350" s="101">
        <v>2.1</v>
      </c>
      <c r="H350" s="84">
        <v>0.2122</v>
      </c>
      <c r="I350" s="83">
        <v>2.5499999999999998</v>
      </c>
      <c r="J350" s="83">
        <v>106164.99</v>
      </c>
      <c r="K350" s="557">
        <v>7.138787268608459E-3</v>
      </c>
      <c r="L350" s="420"/>
    </row>
    <row r="351" spans="1:12" s="92" customFormat="1" ht="39" customHeight="1" x14ac:dyDescent="0.3">
      <c r="A351" s="415" t="s">
        <v>3262</v>
      </c>
      <c r="B351" s="415" t="s">
        <v>112</v>
      </c>
      <c r="C351" s="415" t="s">
        <v>19</v>
      </c>
      <c r="D351" s="416" t="s">
        <v>113</v>
      </c>
      <c r="E351" s="415" t="s">
        <v>111</v>
      </c>
      <c r="F351" s="100">
        <v>39999.590323798839</v>
      </c>
      <c r="G351" s="101">
        <v>0.85</v>
      </c>
      <c r="H351" s="84">
        <v>0.2122</v>
      </c>
      <c r="I351" s="83">
        <v>1.03</v>
      </c>
      <c r="J351" s="83">
        <v>41199.57</v>
      </c>
      <c r="K351" s="557">
        <v>2.7703574011370699E-3</v>
      </c>
      <c r="L351" s="420"/>
    </row>
    <row r="352" spans="1:12" s="92" customFormat="1" ht="39" customHeight="1" x14ac:dyDescent="0.3">
      <c r="A352" s="415" t="s">
        <v>3263</v>
      </c>
      <c r="B352" s="415" t="s">
        <v>232</v>
      </c>
      <c r="C352" s="415" t="s">
        <v>19</v>
      </c>
      <c r="D352" s="416" t="s">
        <v>3798</v>
      </c>
      <c r="E352" s="415" t="s">
        <v>227</v>
      </c>
      <c r="F352" s="100">
        <v>1387.7777590350001</v>
      </c>
      <c r="G352" s="101">
        <v>1.37</v>
      </c>
      <c r="H352" s="84">
        <v>0.2122</v>
      </c>
      <c r="I352" s="83">
        <v>1.66</v>
      </c>
      <c r="J352" s="83">
        <v>2303.71</v>
      </c>
      <c r="K352" s="557">
        <v>1.5490695773216756E-4</v>
      </c>
      <c r="L352" s="420"/>
    </row>
    <row r="353" spans="1:13" s="89" customFormat="1" ht="24" customHeight="1" x14ac:dyDescent="0.3">
      <c r="A353" s="88" t="s">
        <v>3264</v>
      </c>
      <c r="B353" s="88" t="s">
        <v>402</v>
      </c>
      <c r="C353" s="88" t="s">
        <v>402</v>
      </c>
      <c r="D353" s="544" t="s">
        <v>233</v>
      </c>
      <c r="E353" s="544" t="s">
        <v>402</v>
      </c>
      <c r="F353" s="87"/>
      <c r="G353" s="86"/>
      <c r="H353" s="88"/>
      <c r="I353" s="85"/>
      <c r="J353" s="82">
        <v>304.14999999999998</v>
      </c>
      <c r="K353" s="556">
        <v>2.0451771791691992E-5</v>
      </c>
      <c r="L353" s="420"/>
      <c r="M353" s="92"/>
    </row>
    <row r="354" spans="1:13" s="92" customFormat="1" ht="39" customHeight="1" x14ac:dyDescent="0.3">
      <c r="A354" s="415" t="s">
        <v>3265</v>
      </c>
      <c r="B354" s="415" t="s">
        <v>234</v>
      </c>
      <c r="C354" s="415" t="s">
        <v>115</v>
      </c>
      <c r="D354" s="416" t="s">
        <v>235</v>
      </c>
      <c r="E354" s="415" t="s">
        <v>423</v>
      </c>
      <c r="F354" s="100">
        <v>18.366678000000004</v>
      </c>
      <c r="G354" s="101">
        <v>13.66</v>
      </c>
      <c r="H354" s="84">
        <v>0.2122</v>
      </c>
      <c r="I354" s="83">
        <v>16.559999999999999</v>
      </c>
      <c r="J354" s="83">
        <v>304.14999999999998</v>
      </c>
      <c r="K354" s="557">
        <v>2.0451771791691992E-5</v>
      </c>
      <c r="L354" s="420"/>
    </row>
    <row r="355" spans="1:13" s="89" customFormat="1" ht="24" customHeight="1" x14ac:dyDescent="0.3">
      <c r="A355" s="88" t="s">
        <v>3266</v>
      </c>
      <c r="B355" s="88" t="s">
        <v>402</v>
      </c>
      <c r="C355" s="88" t="s">
        <v>402</v>
      </c>
      <c r="D355" s="544" t="s">
        <v>236</v>
      </c>
      <c r="E355" s="544" t="s">
        <v>402</v>
      </c>
      <c r="F355" s="87"/>
      <c r="G355" s="86"/>
      <c r="H355" s="88"/>
      <c r="I355" s="85"/>
      <c r="J355" s="82">
        <v>651483.43999999994</v>
      </c>
      <c r="K355" s="556">
        <v>4.3807301137420561E-2</v>
      </c>
      <c r="L355" s="420"/>
      <c r="M355" s="92"/>
    </row>
    <row r="356" spans="1:13" s="92" customFormat="1" ht="39" customHeight="1" x14ac:dyDescent="0.3">
      <c r="A356" s="415" t="s">
        <v>3267</v>
      </c>
      <c r="B356" s="415" t="s">
        <v>237</v>
      </c>
      <c r="C356" s="415" t="s">
        <v>196</v>
      </c>
      <c r="D356" s="416" t="s">
        <v>238</v>
      </c>
      <c r="E356" s="415" t="s">
        <v>421</v>
      </c>
      <c r="F356" s="100">
        <v>2904.2400000000002</v>
      </c>
      <c r="G356" s="101">
        <v>23.05</v>
      </c>
      <c r="H356" s="84">
        <v>0.2122</v>
      </c>
      <c r="I356" s="83">
        <v>27.94</v>
      </c>
      <c r="J356" s="83">
        <v>81144.460000000006</v>
      </c>
      <c r="K356" s="557">
        <v>5.4563471250372499E-3</v>
      </c>
      <c r="L356" s="420"/>
    </row>
    <row r="357" spans="1:13" s="92" customFormat="1" ht="39" customHeight="1" x14ac:dyDescent="0.3">
      <c r="A357" s="415" t="s">
        <v>3268</v>
      </c>
      <c r="B357" s="415" t="s">
        <v>239</v>
      </c>
      <c r="C357" s="415" t="s">
        <v>196</v>
      </c>
      <c r="D357" s="416" t="s">
        <v>240</v>
      </c>
      <c r="E357" s="415" t="s">
        <v>421</v>
      </c>
      <c r="F357" s="100">
        <v>1055.9877000000001</v>
      </c>
      <c r="G357" s="101">
        <v>30.02</v>
      </c>
      <c r="H357" s="84">
        <v>0.2122</v>
      </c>
      <c r="I357" s="83">
        <v>36.39</v>
      </c>
      <c r="J357" s="83">
        <v>38427.39</v>
      </c>
      <c r="K357" s="557">
        <v>2.5839494026971793E-3</v>
      </c>
      <c r="L357" s="420"/>
    </row>
    <row r="358" spans="1:13" s="92" customFormat="1" ht="39" customHeight="1" x14ac:dyDescent="0.3">
      <c r="A358" s="415" t="s">
        <v>3269</v>
      </c>
      <c r="B358" s="415" t="s">
        <v>241</v>
      </c>
      <c r="C358" s="415" t="s">
        <v>196</v>
      </c>
      <c r="D358" s="416" t="s">
        <v>3799</v>
      </c>
      <c r="E358" s="415" t="s">
        <v>421</v>
      </c>
      <c r="F358" s="100">
        <v>3572.0400000000009</v>
      </c>
      <c r="G358" s="101">
        <v>32.4</v>
      </c>
      <c r="H358" s="84">
        <v>0.2122</v>
      </c>
      <c r="I358" s="83">
        <v>39.28</v>
      </c>
      <c r="J358" s="83">
        <v>140309.73000000001</v>
      </c>
      <c r="K358" s="557">
        <v>9.4347610656384025E-3</v>
      </c>
      <c r="L358" s="420"/>
    </row>
    <row r="359" spans="1:13" s="92" customFormat="1" ht="39" customHeight="1" x14ac:dyDescent="0.3">
      <c r="A359" s="415" t="s">
        <v>3270</v>
      </c>
      <c r="B359" s="415" t="s">
        <v>242</v>
      </c>
      <c r="C359" s="415" t="s">
        <v>196</v>
      </c>
      <c r="D359" s="416" t="s">
        <v>3800</v>
      </c>
      <c r="E359" s="415" t="s">
        <v>421</v>
      </c>
      <c r="F359" s="100">
        <v>3081.1026999999995</v>
      </c>
      <c r="G359" s="101">
        <v>41.58</v>
      </c>
      <c r="H359" s="84">
        <v>0.2122</v>
      </c>
      <c r="I359" s="83">
        <v>50.4</v>
      </c>
      <c r="J359" s="83">
        <v>155287.57</v>
      </c>
      <c r="K359" s="557">
        <v>1.0441906768786442E-2</v>
      </c>
      <c r="L359" s="420"/>
    </row>
    <row r="360" spans="1:13" s="92" customFormat="1" ht="39" customHeight="1" x14ac:dyDescent="0.3">
      <c r="A360" s="415" t="s">
        <v>3271</v>
      </c>
      <c r="B360" s="415" t="s">
        <v>243</v>
      </c>
      <c r="C360" s="415" t="s">
        <v>196</v>
      </c>
      <c r="D360" s="416" t="s">
        <v>3801</v>
      </c>
      <c r="E360" s="415" t="s">
        <v>421</v>
      </c>
      <c r="F360" s="100">
        <v>748.99900000000025</v>
      </c>
      <c r="G360" s="101">
        <v>23.69</v>
      </c>
      <c r="H360" s="84">
        <v>0.2122</v>
      </c>
      <c r="I360" s="83">
        <v>28.72</v>
      </c>
      <c r="J360" s="83">
        <v>21511.25</v>
      </c>
      <c r="K360" s="557">
        <v>1.4464677821931101E-3</v>
      </c>
      <c r="L360" s="420"/>
    </row>
    <row r="361" spans="1:13" s="92" customFormat="1" ht="39" customHeight="1" x14ac:dyDescent="0.3">
      <c r="A361" s="415" t="s">
        <v>3272</v>
      </c>
      <c r="B361" s="415" t="s">
        <v>244</v>
      </c>
      <c r="C361" s="415" t="s">
        <v>196</v>
      </c>
      <c r="D361" s="416" t="s">
        <v>3802</v>
      </c>
      <c r="E361" s="415" t="s">
        <v>421</v>
      </c>
      <c r="F361" s="100">
        <v>1492.4999999999998</v>
      </c>
      <c r="G361" s="101">
        <v>47.36</v>
      </c>
      <c r="H361" s="84">
        <v>0.2122</v>
      </c>
      <c r="I361" s="83">
        <v>57.41</v>
      </c>
      <c r="J361" s="83">
        <v>85684.42</v>
      </c>
      <c r="K361" s="557">
        <v>5.7616248691221093E-3</v>
      </c>
      <c r="L361" s="420"/>
    </row>
    <row r="362" spans="1:13" s="92" customFormat="1" ht="39" customHeight="1" x14ac:dyDescent="0.3">
      <c r="A362" s="415" t="s">
        <v>3273</v>
      </c>
      <c r="B362" s="415" t="s">
        <v>245</v>
      </c>
      <c r="C362" s="415" t="s">
        <v>196</v>
      </c>
      <c r="D362" s="416" t="s">
        <v>3803</v>
      </c>
      <c r="E362" s="415" t="s">
        <v>421</v>
      </c>
      <c r="F362" s="100">
        <v>1223.4009999999998</v>
      </c>
      <c r="G362" s="101">
        <v>59.71</v>
      </c>
      <c r="H362" s="84">
        <v>0.2122</v>
      </c>
      <c r="I362" s="83">
        <v>72.38</v>
      </c>
      <c r="J362" s="83">
        <v>88549.759999999995</v>
      </c>
      <c r="K362" s="557">
        <v>5.9542971682692621E-3</v>
      </c>
      <c r="L362" s="420"/>
    </row>
    <row r="363" spans="1:13" s="92" customFormat="1" ht="39" customHeight="1" x14ac:dyDescent="0.3">
      <c r="A363" s="415" t="s">
        <v>3274</v>
      </c>
      <c r="B363" s="415" t="s">
        <v>246</v>
      </c>
      <c r="C363" s="415" t="s">
        <v>196</v>
      </c>
      <c r="D363" s="416" t="s">
        <v>3804</v>
      </c>
      <c r="E363" s="415" t="s">
        <v>421</v>
      </c>
      <c r="F363" s="100">
        <v>728.01109999999994</v>
      </c>
      <c r="G363" s="101">
        <v>38.700000000000003</v>
      </c>
      <c r="H363" s="84">
        <v>0.2122</v>
      </c>
      <c r="I363" s="83">
        <v>46.91</v>
      </c>
      <c r="J363" s="83">
        <v>34151</v>
      </c>
      <c r="K363" s="557">
        <v>2.2963947343681516E-3</v>
      </c>
      <c r="L363" s="420"/>
    </row>
    <row r="364" spans="1:13" s="92" customFormat="1" ht="39" customHeight="1" x14ac:dyDescent="0.3">
      <c r="A364" s="415" t="s">
        <v>3275</v>
      </c>
      <c r="B364" s="415" t="s">
        <v>247</v>
      </c>
      <c r="C364" s="415" t="s">
        <v>196</v>
      </c>
      <c r="D364" s="416" t="s">
        <v>3805</v>
      </c>
      <c r="E364" s="415" t="s">
        <v>421</v>
      </c>
      <c r="F364" s="100">
        <v>150.47740000000013</v>
      </c>
      <c r="G364" s="101">
        <v>35.18</v>
      </c>
      <c r="H364" s="84">
        <v>0.2122</v>
      </c>
      <c r="I364" s="83">
        <v>42.65</v>
      </c>
      <c r="J364" s="83">
        <v>6417.86</v>
      </c>
      <c r="K364" s="557">
        <v>4.3155222130865817E-4</v>
      </c>
      <c r="L364" s="420"/>
    </row>
    <row r="365" spans="1:13" s="89" customFormat="1" ht="24" customHeight="1" x14ac:dyDescent="0.3">
      <c r="A365" s="88" t="s">
        <v>3276</v>
      </c>
      <c r="B365" s="88" t="s">
        <v>402</v>
      </c>
      <c r="C365" s="88" t="s">
        <v>402</v>
      </c>
      <c r="D365" s="544" t="s">
        <v>248</v>
      </c>
      <c r="E365" s="544" t="s">
        <v>402</v>
      </c>
      <c r="F365" s="87"/>
      <c r="G365" s="86"/>
      <c r="H365" s="88"/>
      <c r="I365" s="85"/>
      <c r="J365" s="82">
        <v>1247724.3800000001</v>
      </c>
      <c r="K365" s="556">
        <v>8.3899964749927294E-2</v>
      </c>
      <c r="L365" s="420"/>
      <c r="M365" s="92"/>
    </row>
    <row r="366" spans="1:13" s="92" customFormat="1" ht="39" customHeight="1" x14ac:dyDescent="0.3">
      <c r="A366" s="415" t="s">
        <v>3277</v>
      </c>
      <c r="B366" s="415" t="s">
        <v>249</v>
      </c>
      <c r="C366" s="415" t="s">
        <v>19</v>
      </c>
      <c r="D366" s="416" t="s">
        <v>250</v>
      </c>
      <c r="E366" s="415" t="s">
        <v>227</v>
      </c>
      <c r="F366" s="100">
        <v>98.561900000000009</v>
      </c>
      <c r="G366" s="101">
        <v>271.92</v>
      </c>
      <c r="H366" s="84">
        <v>0.2122</v>
      </c>
      <c r="I366" s="83">
        <v>329.62</v>
      </c>
      <c r="J366" s="83">
        <v>32487.97</v>
      </c>
      <c r="K366" s="557">
        <v>2.1845686286876076E-3</v>
      </c>
      <c r="L366" s="420"/>
    </row>
    <row r="367" spans="1:13" s="92" customFormat="1" ht="39" customHeight="1" x14ac:dyDescent="0.3">
      <c r="A367" s="415" t="s">
        <v>3278</v>
      </c>
      <c r="B367" s="415" t="s">
        <v>251</v>
      </c>
      <c r="C367" s="415" t="s">
        <v>19</v>
      </c>
      <c r="D367" s="416" t="s">
        <v>252</v>
      </c>
      <c r="E367" s="415" t="s">
        <v>227</v>
      </c>
      <c r="F367" s="100">
        <v>583.98749999999995</v>
      </c>
      <c r="G367" s="101">
        <v>224.67</v>
      </c>
      <c r="H367" s="84">
        <v>0.2122</v>
      </c>
      <c r="I367" s="83">
        <v>272.33999999999997</v>
      </c>
      <c r="J367" s="83">
        <v>159043.15</v>
      </c>
      <c r="K367" s="557">
        <v>1.0694440929909054E-2</v>
      </c>
      <c r="L367" s="420"/>
    </row>
    <row r="368" spans="1:13" s="92" customFormat="1" ht="39" customHeight="1" x14ac:dyDescent="0.3">
      <c r="A368" s="415" t="s">
        <v>3279</v>
      </c>
      <c r="B368" s="415" t="s">
        <v>253</v>
      </c>
      <c r="C368" s="415" t="s">
        <v>3751</v>
      </c>
      <c r="D368" s="416" t="s">
        <v>254</v>
      </c>
      <c r="E368" s="415" t="s">
        <v>227</v>
      </c>
      <c r="F368" s="100">
        <v>376.51920000000001</v>
      </c>
      <c r="G368" s="101">
        <v>15.45</v>
      </c>
      <c r="H368" s="84">
        <v>0.2122</v>
      </c>
      <c r="I368" s="83">
        <v>18.73</v>
      </c>
      <c r="J368" s="83">
        <v>7052.2</v>
      </c>
      <c r="K368" s="557">
        <v>4.7420675663116979E-4</v>
      </c>
      <c r="L368" s="420"/>
    </row>
    <row r="369" spans="1:12" s="92" customFormat="1" ht="39" customHeight="1" x14ac:dyDescent="0.3">
      <c r="A369" s="415" t="s">
        <v>3280</v>
      </c>
      <c r="B369" s="415" t="s">
        <v>255</v>
      </c>
      <c r="C369" s="415" t="s">
        <v>115</v>
      </c>
      <c r="D369" s="416" t="s">
        <v>387</v>
      </c>
      <c r="E369" s="415" t="s">
        <v>227</v>
      </c>
      <c r="F369" s="100">
        <v>376.51920000000001</v>
      </c>
      <c r="G369" s="101">
        <v>208.42</v>
      </c>
      <c r="H369" s="84">
        <v>0.2122</v>
      </c>
      <c r="I369" s="83">
        <v>252.65</v>
      </c>
      <c r="J369" s="83">
        <v>95127.57</v>
      </c>
      <c r="K369" s="557">
        <v>6.396604809265842E-3</v>
      </c>
      <c r="L369" s="420"/>
    </row>
    <row r="370" spans="1:12" s="92" customFormat="1" ht="39" customHeight="1" x14ac:dyDescent="0.3">
      <c r="A370" s="415" t="s">
        <v>3281</v>
      </c>
      <c r="B370" s="415" t="s">
        <v>256</v>
      </c>
      <c r="C370" s="415" t="s">
        <v>3751</v>
      </c>
      <c r="D370" s="416" t="s">
        <v>257</v>
      </c>
      <c r="E370" s="415" t="s">
        <v>421</v>
      </c>
      <c r="F370" s="100">
        <v>2510.1280000000002</v>
      </c>
      <c r="G370" s="101">
        <v>0.28000000000000003</v>
      </c>
      <c r="H370" s="84">
        <v>0.2122</v>
      </c>
      <c r="I370" s="83">
        <v>0.34</v>
      </c>
      <c r="J370" s="83">
        <v>853.44</v>
      </c>
      <c r="K370" s="557">
        <v>5.7387342159794893E-5</v>
      </c>
      <c r="L370" s="420"/>
    </row>
    <row r="371" spans="1:12" s="92" customFormat="1" ht="39" customHeight="1" x14ac:dyDescent="0.3">
      <c r="A371" s="415" t="s">
        <v>3282</v>
      </c>
      <c r="B371" s="415" t="s">
        <v>3487</v>
      </c>
      <c r="C371" s="415" t="s">
        <v>3751</v>
      </c>
      <c r="D371" s="416" t="s">
        <v>258</v>
      </c>
      <c r="E371" s="415" t="s">
        <v>262</v>
      </c>
      <c r="F371" s="100">
        <v>1.1299999999999999</v>
      </c>
      <c r="G371" s="101">
        <v>4033.08</v>
      </c>
      <c r="H371" s="84">
        <v>0.111</v>
      </c>
      <c r="I371" s="83">
        <v>4480.75</v>
      </c>
      <c r="J371" s="83">
        <v>5063.24</v>
      </c>
      <c r="K371" s="557">
        <v>3.4046433998542356E-4</v>
      </c>
      <c r="L371" s="420"/>
    </row>
    <row r="372" spans="1:12" s="92" customFormat="1" ht="39" customHeight="1" x14ac:dyDescent="0.3">
      <c r="A372" s="415" t="s">
        <v>3283</v>
      </c>
      <c r="B372" s="415" t="s">
        <v>259</v>
      </c>
      <c r="C372" s="415" t="s">
        <v>3751</v>
      </c>
      <c r="D372" s="416" t="s">
        <v>260</v>
      </c>
      <c r="E372" s="415" t="s">
        <v>421</v>
      </c>
      <c r="F372" s="100">
        <v>2510.1280000000002</v>
      </c>
      <c r="G372" s="101">
        <v>0.4</v>
      </c>
      <c r="H372" s="84">
        <v>0.2122</v>
      </c>
      <c r="I372" s="83">
        <v>0.48</v>
      </c>
      <c r="J372" s="83">
        <v>1204.8599999999999</v>
      </c>
      <c r="K372" s="557">
        <v>8.1017661551662057E-5</v>
      </c>
      <c r="L372" s="420"/>
    </row>
    <row r="373" spans="1:12" s="92" customFormat="1" ht="39" customHeight="1" x14ac:dyDescent="0.3">
      <c r="A373" s="415" t="s">
        <v>3284</v>
      </c>
      <c r="B373" s="415" t="s">
        <v>3488</v>
      </c>
      <c r="C373" s="415" t="s">
        <v>3751</v>
      </c>
      <c r="D373" s="416" t="s">
        <v>261</v>
      </c>
      <c r="E373" s="415" t="s">
        <v>262</v>
      </c>
      <c r="F373" s="100">
        <v>3.26</v>
      </c>
      <c r="G373" s="101">
        <v>4291.21</v>
      </c>
      <c r="H373" s="84">
        <v>0.111</v>
      </c>
      <c r="I373" s="83">
        <v>4767.53</v>
      </c>
      <c r="J373" s="83">
        <v>15542.14</v>
      </c>
      <c r="K373" s="557">
        <v>1.045090581734433E-3</v>
      </c>
      <c r="L373" s="420"/>
    </row>
    <row r="374" spans="1:12" s="92" customFormat="1" ht="39" customHeight="1" x14ac:dyDescent="0.3">
      <c r="A374" s="415" t="s">
        <v>3285</v>
      </c>
      <c r="B374" s="415" t="s">
        <v>263</v>
      </c>
      <c r="C374" s="415" t="s">
        <v>115</v>
      </c>
      <c r="D374" s="416" t="s">
        <v>388</v>
      </c>
      <c r="E374" s="415" t="s">
        <v>424</v>
      </c>
      <c r="F374" s="100">
        <v>79767.429871999979</v>
      </c>
      <c r="G374" s="101">
        <v>0.54</v>
      </c>
      <c r="H374" s="84">
        <v>0.111</v>
      </c>
      <c r="I374" s="83">
        <v>0.6</v>
      </c>
      <c r="J374" s="83">
        <v>47860.45</v>
      </c>
      <c r="K374" s="557">
        <v>3.218250867163193E-3</v>
      </c>
      <c r="L374" s="420"/>
    </row>
    <row r="375" spans="1:12" s="92" customFormat="1" ht="39" customHeight="1" x14ac:dyDescent="0.3">
      <c r="A375" s="415" t="s">
        <v>3286</v>
      </c>
      <c r="B375" s="415" t="s">
        <v>264</v>
      </c>
      <c r="C375" s="415" t="s">
        <v>3751</v>
      </c>
      <c r="D375" s="416" t="s">
        <v>265</v>
      </c>
      <c r="E375" s="415" t="s">
        <v>227</v>
      </c>
      <c r="F375" s="100">
        <v>107.37773999999997</v>
      </c>
      <c r="G375" s="101">
        <v>124.59</v>
      </c>
      <c r="H375" s="84">
        <v>0.2122</v>
      </c>
      <c r="I375" s="83">
        <v>151.03</v>
      </c>
      <c r="J375" s="83">
        <v>16217.26</v>
      </c>
      <c r="K375" s="557">
        <v>1.0904872615700638E-3</v>
      </c>
      <c r="L375" s="420"/>
    </row>
    <row r="376" spans="1:12" s="92" customFormat="1" ht="39" customHeight="1" x14ac:dyDescent="0.3">
      <c r="A376" s="415" t="s">
        <v>3287</v>
      </c>
      <c r="B376" s="415" t="s">
        <v>266</v>
      </c>
      <c r="C376" s="415" t="s">
        <v>3751</v>
      </c>
      <c r="D376" s="416" t="s">
        <v>267</v>
      </c>
      <c r="E376" s="415" t="s">
        <v>262</v>
      </c>
      <c r="F376" s="100">
        <v>257.70657599999993</v>
      </c>
      <c r="G376" s="101">
        <v>188.17</v>
      </c>
      <c r="H376" s="84">
        <v>0.2122</v>
      </c>
      <c r="I376" s="83">
        <v>228.1</v>
      </c>
      <c r="J376" s="83">
        <v>58782.86</v>
      </c>
      <c r="K376" s="557">
        <v>3.9526997796579966E-3</v>
      </c>
      <c r="L376" s="420"/>
    </row>
    <row r="377" spans="1:12" s="92" customFormat="1" ht="39" customHeight="1" x14ac:dyDescent="0.3">
      <c r="A377" s="415" t="s">
        <v>3288</v>
      </c>
      <c r="B377" s="415" t="s">
        <v>3489</v>
      </c>
      <c r="C377" s="415" t="s">
        <v>3751</v>
      </c>
      <c r="D377" s="416" t="s">
        <v>268</v>
      </c>
      <c r="E377" s="415" t="s">
        <v>262</v>
      </c>
      <c r="F377" s="100">
        <v>16.294786800479994</v>
      </c>
      <c r="G377" s="101">
        <v>5274.22</v>
      </c>
      <c r="H377" s="84">
        <v>0.111</v>
      </c>
      <c r="I377" s="83">
        <v>5859.66</v>
      </c>
      <c r="J377" s="83">
        <v>95481.91</v>
      </c>
      <c r="K377" s="557">
        <v>6.4204314764256913E-3</v>
      </c>
      <c r="L377" s="420"/>
    </row>
    <row r="378" spans="1:12" s="92" customFormat="1" ht="39" customHeight="1" x14ac:dyDescent="0.3">
      <c r="A378" s="415" t="s">
        <v>3289</v>
      </c>
      <c r="B378" s="415" t="s">
        <v>3559</v>
      </c>
      <c r="C378" s="415" t="s">
        <v>3560</v>
      </c>
      <c r="D378" s="416" t="s">
        <v>3806</v>
      </c>
      <c r="E378" s="415" t="s">
        <v>227</v>
      </c>
      <c r="F378" s="100">
        <v>4446.4034260522194</v>
      </c>
      <c r="G378" s="101">
        <v>56.12</v>
      </c>
      <c r="H378" s="84">
        <v>0.2122</v>
      </c>
      <c r="I378" s="83">
        <v>68.03</v>
      </c>
      <c r="J378" s="83">
        <v>302488.82</v>
      </c>
      <c r="K378" s="557">
        <v>2.0340070084426096E-2</v>
      </c>
      <c r="L378" s="420"/>
    </row>
    <row r="379" spans="1:12" s="92" customFormat="1" ht="39" customHeight="1" x14ac:dyDescent="0.3">
      <c r="A379" s="415" t="s">
        <v>3290</v>
      </c>
      <c r="B379" s="415" t="s">
        <v>269</v>
      </c>
      <c r="C379" s="415" t="s">
        <v>175</v>
      </c>
      <c r="D379" s="416" t="s">
        <v>270</v>
      </c>
      <c r="E379" s="415" t="s">
        <v>227</v>
      </c>
      <c r="F379" s="100">
        <v>7489.2038150000017</v>
      </c>
      <c r="G379" s="101">
        <v>11.09</v>
      </c>
      <c r="H379" s="84">
        <v>0.2122</v>
      </c>
      <c r="I379" s="83">
        <v>13.44</v>
      </c>
      <c r="J379" s="83">
        <v>100654.89</v>
      </c>
      <c r="K379" s="557">
        <v>6.7682749958831523E-3</v>
      </c>
      <c r="L379" s="420"/>
    </row>
    <row r="380" spans="1:12" s="92" customFormat="1" ht="39" customHeight="1" x14ac:dyDescent="0.3">
      <c r="A380" s="415" t="s">
        <v>3291</v>
      </c>
      <c r="B380" s="415" t="s">
        <v>116</v>
      </c>
      <c r="C380" s="415" t="s">
        <v>19</v>
      </c>
      <c r="D380" s="416" t="s">
        <v>117</v>
      </c>
      <c r="E380" s="415" t="s">
        <v>227</v>
      </c>
      <c r="F380" s="100">
        <v>1088.0545639858728</v>
      </c>
      <c r="G380" s="101">
        <v>6.53</v>
      </c>
      <c r="H380" s="84">
        <v>0.2122</v>
      </c>
      <c r="I380" s="83">
        <v>7.92</v>
      </c>
      <c r="J380" s="83">
        <v>8617.39</v>
      </c>
      <c r="K380" s="557">
        <v>5.7945386723658946E-4</v>
      </c>
      <c r="L380" s="420"/>
    </row>
    <row r="381" spans="1:12" s="92" customFormat="1" ht="39" customHeight="1" x14ac:dyDescent="0.3">
      <c r="A381" s="415" t="s">
        <v>3292</v>
      </c>
      <c r="B381" s="415" t="s">
        <v>109</v>
      </c>
      <c r="C381" s="415" t="s">
        <v>19</v>
      </c>
      <c r="D381" s="416" t="s">
        <v>110</v>
      </c>
      <c r="E381" s="415" t="s">
        <v>111</v>
      </c>
      <c r="F381" s="100">
        <v>17554.365672797176</v>
      </c>
      <c r="G381" s="101">
        <v>2.1</v>
      </c>
      <c r="H381" s="84">
        <v>0.2122</v>
      </c>
      <c r="I381" s="83">
        <v>2.5499999999999998</v>
      </c>
      <c r="J381" s="83">
        <v>44763.63</v>
      </c>
      <c r="K381" s="557">
        <v>3.0100133004364212E-3</v>
      </c>
      <c r="L381" s="420"/>
    </row>
    <row r="382" spans="1:12" s="92" customFormat="1" ht="39" customHeight="1" x14ac:dyDescent="0.3">
      <c r="A382" s="415" t="s">
        <v>3293</v>
      </c>
      <c r="B382" s="415" t="s">
        <v>309</v>
      </c>
      <c r="C382" s="415" t="s">
        <v>19</v>
      </c>
      <c r="D382" s="416" t="s">
        <v>3817</v>
      </c>
      <c r="E382" s="415" t="s">
        <v>173</v>
      </c>
      <c r="F382" s="100">
        <v>410.77</v>
      </c>
      <c r="G382" s="101">
        <v>38.11</v>
      </c>
      <c r="H382" s="84">
        <v>0.2122</v>
      </c>
      <c r="I382" s="83">
        <v>46.2</v>
      </c>
      <c r="J382" s="83">
        <v>18977.57</v>
      </c>
      <c r="K382" s="557">
        <v>1.2760970928846302E-3</v>
      </c>
      <c r="L382" s="420"/>
    </row>
    <row r="383" spans="1:12" s="92" customFormat="1" ht="39" customHeight="1" x14ac:dyDescent="0.3">
      <c r="A383" s="415" t="s">
        <v>3294</v>
      </c>
      <c r="B383" s="415" t="s">
        <v>271</v>
      </c>
      <c r="C383" s="415" t="s">
        <v>19</v>
      </c>
      <c r="D383" s="416" t="s">
        <v>3807</v>
      </c>
      <c r="E383" s="415" t="s">
        <v>173</v>
      </c>
      <c r="F383" s="100">
        <v>557.31000000000006</v>
      </c>
      <c r="G383" s="101">
        <v>60.45</v>
      </c>
      <c r="H383" s="84">
        <v>0.2122</v>
      </c>
      <c r="I383" s="83">
        <v>73.28</v>
      </c>
      <c r="J383" s="83">
        <v>40839.67</v>
      </c>
      <c r="K383" s="557">
        <v>2.7461568663094192E-3</v>
      </c>
      <c r="L383" s="420"/>
    </row>
    <row r="384" spans="1:12" s="92" customFormat="1" ht="39" customHeight="1" x14ac:dyDescent="0.3">
      <c r="A384" s="415" t="s">
        <v>3295</v>
      </c>
      <c r="B384" s="415" t="s">
        <v>272</v>
      </c>
      <c r="C384" s="415" t="s">
        <v>19</v>
      </c>
      <c r="D384" s="416" t="s">
        <v>3808</v>
      </c>
      <c r="E384" s="415" t="s">
        <v>173</v>
      </c>
      <c r="F384" s="100">
        <v>495.52999999999992</v>
      </c>
      <c r="G384" s="101">
        <v>83.73</v>
      </c>
      <c r="H384" s="84">
        <v>0.2122</v>
      </c>
      <c r="I384" s="83">
        <v>101.5</v>
      </c>
      <c r="J384" s="83">
        <v>50296.29</v>
      </c>
      <c r="K384" s="557">
        <v>3.3820425613965486E-3</v>
      </c>
      <c r="L384" s="420"/>
    </row>
    <row r="385" spans="1:13" s="92" customFormat="1" ht="39" customHeight="1" x14ac:dyDescent="0.3">
      <c r="A385" s="415" t="s">
        <v>3296</v>
      </c>
      <c r="B385" s="415" t="s">
        <v>273</v>
      </c>
      <c r="C385" s="415" t="s">
        <v>19</v>
      </c>
      <c r="D385" s="416" t="s">
        <v>3809</v>
      </c>
      <c r="E385" s="415" t="s">
        <v>173</v>
      </c>
      <c r="F385" s="100">
        <v>382.63</v>
      </c>
      <c r="G385" s="101">
        <v>108</v>
      </c>
      <c r="H385" s="84">
        <v>0.2122</v>
      </c>
      <c r="I385" s="83">
        <v>130.91999999999999</v>
      </c>
      <c r="J385" s="83">
        <v>50093.91</v>
      </c>
      <c r="K385" s="557">
        <v>3.3684340472581215E-3</v>
      </c>
      <c r="L385" s="420"/>
    </row>
    <row r="386" spans="1:13" s="92" customFormat="1" ht="39" customHeight="1" x14ac:dyDescent="0.3">
      <c r="A386" s="415" t="s">
        <v>3297</v>
      </c>
      <c r="B386" s="415" t="s">
        <v>274</v>
      </c>
      <c r="C386" s="415" t="s">
        <v>19</v>
      </c>
      <c r="D386" s="416" t="s">
        <v>3810</v>
      </c>
      <c r="E386" s="415" t="s">
        <v>173</v>
      </c>
      <c r="F386" s="100">
        <v>312.52</v>
      </c>
      <c r="G386" s="101">
        <v>133.19</v>
      </c>
      <c r="H386" s="84">
        <v>0.2122</v>
      </c>
      <c r="I386" s="83">
        <v>161.44999999999999</v>
      </c>
      <c r="J386" s="83">
        <v>50456.35</v>
      </c>
      <c r="K386" s="557">
        <v>3.3928053777469618E-3</v>
      </c>
      <c r="L386" s="420"/>
    </row>
    <row r="387" spans="1:13" s="92" customFormat="1" ht="39" customHeight="1" x14ac:dyDescent="0.3">
      <c r="A387" s="415" t="s">
        <v>3298</v>
      </c>
      <c r="B387" s="415" t="s">
        <v>275</v>
      </c>
      <c r="C387" s="415" t="s">
        <v>19</v>
      </c>
      <c r="D387" s="416" t="s">
        <v>3811</v>
      </c>
      <c r="E387" s="415" t="s">
        <v>173</v>
      </c>
      <c r="F387" s="100">
        <v>218.81</v>
      </c>
      <c r="G387" s="101">
        <v>172.74</v>
      </c>
      <c r="H387" s="84">
        <v>0.2122</v>
      </c>
      <c r="I387" s="83">
        <v>209.4</v>
      </c>
      <c r="J387" s="83">
        <v>45818.81</v>
      </c>
      <c r="K387" s="557">
        <v>3.0809661216074143E-3</v>
      </c>
      <c r="L387" s="420"/>
    </row>
    <row r="388" spans="1:13" s="89" customFormat="1" ht="24" customHeight="1" x14ac:dyDescent="0.3">
      <c r="A388" s="88" t="s">
        <v>3299</v>
      </c>
      <c r="B388" s="88" t="s">
        <v>402</v>
      </c>
      <c r="C388" s="88" t="s">
        <v>402</v>
      </c>
      <c r="D388" s="544" t="s">
        <v>276</v>
      </c>
      <c r="E388" s="544" t="s">
        <v>402</v>
      </c>
      <c r="F388" s="87"/>
      <c r="G388" s="86"/>
      <c r="H388" s="88"/>
      <c r="I388" s="85"/>
      <c r="J388" s="82">
        <v>1464646.72</v>
      </c>
      <c r="K388" s="556">
        <v>9.8486340532270927E-2</v>
      </c>
      <c r="L388" s="420"/>
      <c r="M388" s="92"/>
    </row>
    <row r="389" spans="1:13" s="92" customFormat="1" ht="39" customHeight="1" x14ac:dyDescent="0.3">
      <c r="A389" s="415" t="s">
        <v>3300</v>
      </c>
      <c r="B389" s="415" t="s">
        <v>277</v>
      </c>
      <c r="C389" s="415" t="s">
        <v>19</v>
      </c>
      <c r="D389" s="416" t="s">
        <v>278</v>
      </c>
      <c r="E389" s="415" t="s">
        <v>279</v>
      </c>
      <c r="F389" s="100">
        <v>72742.615239999999</v>
      </c>
      <c r="G389" s="101">
        <v>2.71</v>
      </c>
      <c r="H389" s="84">
        <v>0.2122</v>
      </c>
      <c r="I389" s="83">
        <v>3.29</v>
      </c>
      <c r="J389" s="83">
        <v>239323.2</v>
      </c>
      <c r="K389" s="557">
        <v>1.6092663063808851E-2</v>
      </c>
      <c r="L389" s="420"/>
    </row>
    <row r="390" spans="1:13" s="92" customFormat="1" ht="39" customHeight="1" x14ac:dyDescent="0.3">
      <c r="A390" s="415" t="s">
        <v>3301</v>
      </c>
      <c r="B390" s="415" t="s">
        <v>3499</v>
      </c>
      <c r="C390" s="415" t="s">
        <v>19</v>
      </c>
      <c r="D390" s="416" t="s">
        <v>2090</v>
      </c>
      <c r="E390" s="415" t="s">
        <v>262</v>
      </c>
      <c r="F390" s="100">
        <v>93.655559999999994</v>
      </c>
      <c r="G390" s="101">
        <v>40.47</v>
      </c>
      <c r="H390" s="84">
        <v>0.2122</v>
      </c>
      <c r="I390" s="83">
        <v>49.06</v>
      </c>
      <c r="J390" s="83">
        <v>4594.74</v>
      </c>
      <c r="K390" s="557">
        <v>3.0896128200611173E-4</v>
      </c>
      <c r="L390" s="420"/>
    </row>
    <row r="391" spans="1:13" s="92" customFormat="1" ht="39" customHeight="1" x14ac:dyDescent="0.3">
      <c r="A391" s="415" t="s">
        <v>3302</v>
      </c>
      <c r="B391" s="415" t="s">
        <v>3496</v>
      </c>
      <c r="C391" s="415" t="s">
        <v>19</v>
      </c>
      <c r="D391" s="416" t="s">
        <v>357</v>
      </c>
      <c r="E391" s="415" t="s">
        <v>173</v>
      </c>
      <c r="F391" s="100">
        <v>275.74</v>
      </c>
      <c r="G391" s="101">
        <v>62.21</v>
      </c>
      <c r="H391" s="84">
        <v>0.111</v>
      </c>
      <c r="I391" s="83">
        <v>69.12</v>
      </c>
      <c r="J391" s="83">
        <v>19059.14</v>
      </c>
      <c r="K391" s="557">
        <v>1.2815820543347315E-3</v>
      </c>
      <c r="L391" s="420"/>
    </row>
    <row r="392" spans="1:13" s="92" customFormat="1" ht="39" customHeight="1" x14ac:dyDescent="0.3">
      <c r="A392" s="415" t="s">
        <v>3303</v>
      </c>
      <c r="B392" s="415" t="s">
        <v>3497</v>
      </c>
      <c r="C392" s="415" t="s">
        <v>19</v>
      </c>
      <c r="D392" s="416" t="s">
        <v>308</v>
      </c>
      <c r="E392" s="415" t="s">
        <v>173</v>
      </c>
      <c r="F392" s="100">
        <v>135.03</v>
      </c>
      <c r="G392" s="101">
        <v>68.3</v>
      </c>
      <c r="H392" s="84">
        <v>0.111</v>
      </c>
      <c r="I392" s="83">
        <v>75.88</v>
      </c>
      <c r="J392" s="83">
        <v>10246.07</v>
      </c>
      <c r="K392" s="557">
        <v>6.8897019694789279E-4</v>
      </c>
      <c r="L392" s="420"/>
    </row>
    <row r="393" spans="1:13" s="92" customFormat="1" ht="39" customHeight="1" x14ac:dyDescent="0.3">
      <c r="A393" s="415" t="s">
        <v>3304</v>
      </c>
      <c r="B393" s="415" t="s">
        <v>280</v>
      </c>
      <c r="C393" s="415" t="s">
        <v>19</v>
      </c>
      <c r="D393" s="416" t="s">
        <v>281</v>
      </c>
      <c r="E393" s="415" t="s">
        <v>262</v>
      </c>
      <c r="F393" s="100">
        <v>245.21640000000002</v>
      </c>
      <c r="G393" s="101">
        <v>44.31</v>
      </c>
      <c r="H393" s="84">
        <v>0.2122</v>
      </c>
      <c r="I393" s="83">
        <v>53.71</v>
      </c>
      <c r="J393" s="83">
        <v>13170.57</v>
      </c>
      <c r="K393" s="557">
        <v>8.8562055566827164E-4</v>
      </c>
      <c r="L393" s="420"/>
    </row>
    <row r="394" spans="1:13" s="92" customFormat="1" ht="39" customHeight="1" x14ac:dyDescent="0.3">
      <c r="A394" s="415" t="s">
        <v>3305</v>
      </c>
      <c r="B394" s="415" t="s">
        <v>3490</v>
      </c>
      <c r="C394" s="415" t="s">
        <v>19</v>
      </c>
      <c r="D394" s="416" t="s">
        <v>282</v>
      </c>
      <c r="E394" s="415" t="s">
        <v>173</v>
      </c>
      <c r="F394" s="100">
        <v>557.31000000000006</v>
      </c>
      <c r="G394" s="101">
        <v>241.33</v>
      </c>
      <c r="H394" s="84">
        <v>0.111</v>
      </c>
      <c r="I394" s="83">
        <v>268.12</v>
      </c>
      <c r="J394" s="83">
        <v>149425.95000000001</v>
      </c>
      <c r="K394" s="557">
        <v>1.0047757452430639E-2</v>
      </c>
      <c r="L394" s="420"/>
    </row>
    <row r="395" spans="1:13" s="92" customFormat="1" ht="39" customHeight="1" x14ac:dyDescent="0.3">
      <c r="A395" s="415" t="s">
        <v>3306</v>
      </c>
      <c r="B395" s="415" t="s">
        <v>283</v>
      </c>
      <c r="C395" s="415" t="s">
        <v>19</v>
      </c>
      <c r="D395" s="416" t="s">
        <v>284</v>
      </c>
      <c r="E395" s="415" t="s">
        <v>262</v>
      </c>
      <c r="F395" s="100">
        <v>346.87099999999992</v>
      </c>
      <c r="G395" s="101">
        <v>26.01</v>
      </c>
      <c r="H395" s="84">
        <v>0.2122</v>
      </c>
      <c r="I395" s="83">
        <v>31.53</v>
      </c>
      <c r="J395" s="83">
        <v>10936.84</v>
      </c>
      <c r="K395" s="557">
        <v>7.3541922012904386E-4</v>
      </c>
      <c r="L395" s="420"/>
    </row>
    <row r="396" spans="1:13" s="92" customFormat="1" ht="39" customHeight="1" x14ac:dyDescent="0.3">
      <c r="A396" s="415" t="s">
        <v>3307</v>
      </c>
      <c r="B396" s="415" t="s">
        <v>3500</v>
      </c>
      <c r="C396" s="415" t="s">
        <v>19</v>
      </c>
      <c r="D396" s="416" t="s">
        <v>354</v>
      </c>
      <c r="E396" s="415" t="s">
        <v>173</v>
      </c>
      <c r="F396" s="100">
        <v>445.70999999999992</v>
      </c>
      <c r="G396" s="101">
        <v>401.54</v>
      </c>
      <c r="H396" s="84">
        <v>0.111</v>
      </c>
      <c r="I396" s="83">
        <v>446.11</v>
      </c>
      <c r="J396" s="83">
        <v>198835.68</v>
      </c>
      <c r="K396" s="557">
        <v>1.3370185603833294E-2</v>
      </c>
      <c r="L396" s="420"/>
    </row>
    <row r="397" spans="1:13" s="92" customFormat="1" ht="39" customHeight="1" x14ac:dyDescent="0.3">
      <c r="A397" s="415" t="s">
        <v>3308</v>
      </c>
      <c r="B397" s="415" t="s">
        <v>3501</v>
      </c>
      <c r="C397" s="415" t="s">
        <v>19</v>
      </c>
      <c r="D397" s="416" t="s">
        <v>285</v>
      </c>
      <c r="E397" s="415" t="s">
        <v>173</v>
      </c>
      <c r="F397" s="100">
        <v>49.82</v>
      </c>
      <c r="G397" s="101">
        <v>390.38</v>
      </c>
      <c r="H397" s="84">
        <v>0.111</v>
      </c>
      <c r="I397" s="83">
        <v>433.71</v>
      </c>
      <c r="J397" s="83">
        <v>21607.43</v>
      </c>
      <c r="K397" s="557">
        <v>1.4529351549069846E-3</v>
      </c>
      <c r="L397" s="420"/>
    </row>
    <row r="398" spans="1:13" s="92" customFormat="1" ht="39" customHeight="1" x14ac:dyDescent="0.3">
      <c r="A398" s="415" t="s">
        <v>3309</v>
      </c>
      <c r="B398" s="415" t="s">
        <v>286</v>
      </c>
      <c r="C398" s="415" t="s">
        <v>19</v>
      </c>
      <c r="D398" s="416" t="s">
        <v>287</v>
      </c>
      <c r="E398" s="415" t="s">
        <v>262</v>
      </c>
      <c r="F398" s="100">
        <v>385.19362099999995</v>
      </c>
      <c r="G398" s="101">
        <v>17.7</v>
      </c>
      <c r="H398" s="84">
        <v>0.2122</v>
      </c>
      <c r="I398" s="83">
        <v>21.46</v>
      </c>
      <c r="J398" s="83">
        <v>8266.25</v>
      </c>
      <c r="K398" s="557">
        <v>5.5584237571288493E-4</v>
      </c>
      <c r="L398" s="420"/>
    </row>
    <row r="399" spans="1:13" s="92" customFormat="1" ht="39" customHeight="1" x14ac:dyDescent="0.3">
      <c r="A399" s="415" t="s">
        <v>3310</v>
      </c>
      <c r="B399" s="415" t="s">
        <v>3502</v>
      </c>
      <c r="C399" s="415" t="s">
        <v>19</v>
      </c>
      <c r="D399" s="416" t="s">
        <v>288</v>
      </c>
      <c r="E399" s="415" t="s">
        <v>173</v>
      </c>
      <c r="F399" s="100">
        <v>137.27000000000001</v>
      </c>
      <c r="G399" s="101">
        <v>470.49</v>
      </c>
      <c r="H399" s="84">
        <v>0.111</v>
      </c>
      <c r="I399" s="83">
        <v>522.71</v>
      </c>
      <c r="J399" s="83">
        <v>71752.399999999994</v>
      </c>
      <c r="K399" s="557">
        <v>4.8248025984093399E-3</v>
      </c>
      <c r="L399" s="420"/>
    </row>
    <row r="400" spans="1:13" s="92" customFormat="1" ht="39" customHeight="1" x14ac:dyDescent="0.3">
      <c r="A400" s="415" t="s">
        <v>3311</v>
      </c>
      <c r="B400" s="415" t="s">
        <v>3492</v>
      </c>
      <c r="C400" s="415" t="s">
        <v>19</v>
      </c>
      <c r="D400" s="416" t="s">
        <v>289</v>
      </c>
      <c r="E400" s="415" t="s">
        <v>173</v>
      </c>
      <c r="F400" s="100">
        <v>245.36</v>
      </c>
      <c r="G400" s="101">
        <v>517.13</v>
      </c>
      <c r="H400" s="84">
        <v>0.111</v>
      </c>
      <c r="I400" s="83">
        <v>574.53</v>
      </c>
      <c r="J400" s="83">
        <v>140966.68</v>
      </c>
      <c r="K400" s="557">
        <v>9.4789359513150484E-3</v>
      </c>
      <c r="L400" s="420"/>
    </row>
    <row r="401" spans="1:13" s="92" customFormat="1" ht="39" customHeight="1" x14ac:dyDescent="0.3">
      <c r="A401" s="415" t="s">
        <v>3312</v>
      </c>
      <c r="B401" s="415" t="s">
        <v>290</v>
      </c>
      <c r="C401" s="415" t="s">
        <v>19</v>
      </c>
      <c r="D401" s="416" t="s">
        <v>291</v>
      </c>
      <c r="E401" s="415" t="s">
        <v>262</v>
      </c>
      <c r="F401" s="100">
        <v>362.52319999999997</v>
      </c>
      <c r="G401" s="101">
        <v>16.190000000000001</v>
      </c>
      <c r="H401" s="84">
        <v>0.2122</v>
      </c>
      <c r="I401" s="83">
        <v>19.63</v>
      </c>
      <c r="J401" s="83">
        <v>7116.33</v>
      </c>
      <c r="K401" s="557">
        <v>4.7851901086428241E-4</v>
      </c>
      <c r="L401" s="420"/>
    </row>
    <row r="402" spans="1:13" s="92" customFormat="1" ht="39" customHeight="1" x14ac:dyDescent="0.3">
      <c r="A402" s="415" t="s">
        <v>3313</v>
      </c>
      <c r="B402" s="415" t="s">
        <v>3493</v>
      </c>
      <c r="C402" s="415" t="s">
        <v>19</v>
      </c>
      <c r="D402" s="416" t="s">
        <v>355</v>
      </c>
      <c r="E402" s="415" t="s">
        <v>173</v>
      </c>
      <c r="F402" s="100">
        <v>312.52</v>
      </c>
      <c r="G402" s="101">
        <v>758.46</v>
      </c>
      <c r="H402" s="84">
        <v>0.111</v>
      </c>
      <c r="I402" s="83">
        <v>842.65</v>
      </c>
      <c r="J402" s="83">
        <v>263344.96999999997</v>
      </c>
      <c r="K402" s="557">
        <v>1.770794420164384E-2</v>
      </c>
      <c r="L402" s="420"/>
    </row>
    <row r="403" spans="1:13" s="92" customFormat="1" ht="39" customHeight="1" x14ac:dyDescent="0.3">
      <c r="A403" s="415" t="s">
        <v>3314</v>
      </c>
      <c r="B403" s="415" t="s">
        <v>292</v>
      </c>
      <c r="C403" s="415" t="s">
        <v>293</v>
      </c>
      <c r="D403" s="416" t="s">
        <v>356</v>
      </c>
      <c r="E403" s="415" t="s">
        <v>262</v>
      </c>
      <c r="F403" s="100">
        <v>385.10559999999998</v>
      </c>
      <c r="G403" s="101">
        <v>94.99</v>
      </c>
      <c r="H403" s="84">
        <v>0.2122</v>
      </c>
      <c r="I403" s="83">
        <v>115.15</v>
      </c>
      <c r="J403" s="83">
        <v>44344.9</v>
      </c>
      <c r="K403" s="557">
        <v>2.9818568960230229E-3</v>
      </c>
      <c r="L403" s="420"/>
    </row>
    <row r="404" spans="1:13" s="92" customFormat="1" ht="39" customHeight="1" x14ac:dyDescent="0.3">
      <c r="A404" s="415" t="s">
        <v>3315</v>
      </c>
      <c r="B404" s="415" t="s">
        <v>3503</v>
      </c>
      <c r="C404" s="415" t="s">
        <v>19</v>
      </c>
      <c r="D404" s="416" t="s">
        <v>364</v>
      </c>
      <c r="E404" s="415" t="s">
        <v>173</v>
      </c>
      <c r="F404" s="100">
        <v>39.090000000000003</v>
      </c>
      <c r="G404" s="101">
        <v>1018.04</v>
      </c>
      <c r="H404" s="84">
        <v>0.111</v>
      </c>
      <c r="I404" s="83">
        <v>1131.04</v>
      </c>
      <c r="J404" s="83">
        <v>44212.35</v>
      </c>
      <c r="K404" s="557">
        <v>2.9729439177195909E-3</v>
      </c>
      <c r="L404" s="420"/>
    </row>
    <row r="405" spans="1:13" s="92" customFormat="1" ht="39" customHeight="1" x14ac:dyDescent="0.3">
      <c r="A405" s="415" t="s">
        <v>3316</v>
      </c>
      <c r="B405" s="415" t="s">
        <v>3494</v>
      </c>
      <c r="C405" s="415" t="s">
        <v>19</v>
      </c>
      <c r="D405" s="416" t="s">
        <v>294</v>
      </c>
      <c r="E405" s="415" t="s">
        <v>173</v>
      </c>
      <c r="F405" s="100">
        <v>179.72</v>
      </c>
      <c r="G405" s="101">
        <v>1089.02</v>
      </c>
      <c r="H405" s="84">
        <v>0.111</v>
      </c>
      <c r="I405" s="83">
        <v>1209.9000000000001</v>
      </c>
      <c r="J405" s="83">
        <v>217443.22</v>
      </c>
      <c r="K405" s="557">
        <v>1.4621400996517103E-2</v>
      </c>
      <c r="L405" s="420"/>
    </row>
    <row r="406" spans="1:13" s="89" customFormat="1" ht="24" customHeight="1" x14ac:dyDescent="0.3">
      <c r="A406" s="88" t="s">
        <v>3317</v>
      </c>
      <c r="B406" s="88" t="s">
        <v>402</v>
      </c>
      <c r="C406" s="88" t="s">
        <v>402</v>
      </c>
      <c r="D406" s="544" t="s">
        <v>2091</v>
      </c>
      <c r="E406" s="544" t="s">
        <v>402</v>
      </c>
      <c r="F406" s="87"/>
      <c r="G406" s="86"/>
      <c r="H406" s="88"/>
      <c r="I406" s="85"/>
      <c r="J406" s="82">
        <v>284592.23</v>
      </c>
      <c r="K406" s="556">
        <v>1.9136660666278876E-2</v>
      </c>
      <c r="L406" s="420"/>
      <c r="M406" s="92"/>
    </row>
    <row r="407" spans="1:13" s="92" customFormat="1" ht="39" customHeight="1" x14ac:dyDescent="0.3">
      <c r="A407" s="415" t="s">
        <v>3318</v>
      </c>
      <c r="B407" s="415" t="s">
        <v>3504</v>
      </c>
      <c r="C407" s="415" t="s">
        <v>3751</v>
      </c>
      <c r="D407" s="416" t="s">
        <v>2092</v>
      </c>
      <c r="E407" s="415" t="s">
        <v>173</v>
      </c>
      <c r="F407" s="100">
        <v>20.79</v>
      </c>
      <c r="G407" s="101">
        <v>11292.61</v>
      </c>
      <c r="H407" s="84">
        <v>0.2122</v>
      </c>
      <c r="I407" s="83">
        <v>13688.9</v>
      </c>
      <c r="J407" s="83">
        <v>284592.23</v>
      </c>
      <c r="K407" s="557">
        <v>1.9136660666278876E-2</v>
      </c>
      <c r="L407" s="420"/>
    </row>
    <row r="408" spans="1:13" s="89" customFormat="1" ht="24" customHeight="1" x14ac:dyDescent="0.3">
      <c r="A408" s="88" t="s">
        <v>3319</v>
      </c>
      <c r="B408" s="88" t="s">
        <v>402</v>
      </c>
      <c r="C408" s="88" t="s">
        <v>402</v>
      </c>
      <c r="D408" s="544" t="s">
        <v>295</v>
      </c>
      <c r="E408" s="544" t="s">
        <v>402</v>
      </c>
      <c r="F408" s="87"/>
      <c r="G408" s="86"/>
      <c r="H408" s="88"/>
      <c r="I408" s="85"/>
      <c r="J408" s="82">
        <v>1511961.22</v>
      </c>
      <c r="K408" s="556">
        <v>0.10166788041863625</v>
      </c>
      <c r="L408" s="420"/>
      <c r="M408" s="92"/>
    </row>
    <row r="409" spans="1:13" s="92" customFormat="1" ht="39" customHeight="1" x14ac:dyDescent="0.3">
      <c r="A409" s="415" t="s">
        <v>3320</v>
      </c>
      <c r="B409" s="415" t="s">
        <v>171</v>
      </c>
      <c r="C409" s="415" t="s">
        <v>19</v>
      </c>
      <c r="D409" s="416" t="s">
        <v>172</v>
      </c>
      <c r="E409" s="415" t="s">
        <v>173</v>
      </c>
      <c r="F409" s="100">
        <v>831.13</v>
      </c>
      <c r="G409" s="101">
        <v>9.66</v>
      </c>
      <c r="H409" s="84">
        <v>0.2122</v>
      </c>
      <c r="I409" s="83">
        <v>11.71</v>
      </c>
      <c r="J409" s="83">
        <v>9732.5300000000007</v>
      </c>
      <c r="K409" s="557">
        <v>6.5443854188984422E-4</v>
      </c>
      <c r="L409" s="420"/>
    </row>
    <row r="410" spans="1:13" s="92" customFormat="1" ht="39" customHeight="1" x14ac:dyDescent="0.3">
      <c r="A410" s="415" t="s">
        <v>3321</v>
      </c>
      <c r="B410" s="415" t="s">
        <v>177</v>
      </c>
      <c r="C410" s="415" t="s">
        <v>175</v>
      </c>
      <c r="D410" s="416" t="s">
        <v>178</v>
      </c>
      <c r="E410" s="415" t="s">
        <v>421</v>
      </c>
      <c r="F410" s="100">
        <v>8</v>
      </c>
      <c r="G410" s="101">
        <v>11.96</v>
      </c>
      <c r="H410" s="84">
        <v>0.2122</v>
      </c>
      <c r="I410" s="83">
        <v>14.5</v>
      </c>
      <c r="J410" s="83">
        <v>116</v>
      </c>
      <c r="K410" s="557">
        <v>7.8001168102458376E-6</v>
      </c>
      <c r="L410" s="420"/>
    </row>
    <row r="411" spans="1:13" s="92" customFormat="1" ht="39" customHeight="1" x14ac:dyDescent="0.3">
      <c r="A411" s="415" t="s">
        <v>3322</v>
      </c>
      <c r="B411" s="415" t="s">
        <v>179</v>
      </c>
      <c r="C411" s="415" t="s">
        <v>175</v>
      </c>
      <c r="D411" s="416" t="s">
        <v>180</v>
      </c>
      <c r="E411" s="415" t="s">
        <v>173</v>
      </c>
      <c r="F411" s="100">
        <v>1662.26</v>
      </c>
      <c r="G411" s="101">
        <v>3.25</v>
      </c>
      <c r="H411" s="84">
        <v>0.2122</v>
      </c>
      <c r="I411" s="83">
        <v>3.94</v>
      </c>
      <c r="J411" s="83">
        <v>6549.3</v>
      </c>
      <c r="K411" s="557">
        <v>4.403905605633023E-4</v>
      </c>
      <c r="L411" s="420"/>
    </row>
    <row r="412" spans="1:13" s="92" customFormat="1" ht="39" customHeight="1" x14ac:dyDescent="0.3">
      <c r="A412" s="415" t="s">
        <v>3323</v>
      </c>
      <c r="B412" s="415" t="s">
        <v>296</v>
      </c>
      <c r="C412" s="415" t="s">
        <v>175</v>
      </c>
      <c r="D412" s="416" t="s">
        <v>297</v>
      </c>
      <c r="E412" s="415" t="s">
        <v>81</v>
      </c>
      <c r="F412" s="100">
        <v>17</v>
      </c>
      <c r="G412" s="101">
        <v>7.15</v>
      </c>
      <c r="H412" s="84">
        <v>0.2122</v>
      </c>
      <c r="I412" s="83">
        <v>8.67</v>
      </c>
      <c r="J412" s="83">
        <v>147.38999999999999</v>
      </c>
      <c r="K412" s="557">
        <v>9.910855316052879E-6</v>
      </c>
      <c r="L412" s="420"/>
    </row>
    <row r="413" spans="1:13" s="92" customFormat="1" ht="39" customHeight="1" x14ac:dyDescent="0.3">
      <c r="A413" s="415" t="s">
        <v>3324</v>
      </c>
      <c r="B413" s="415" t="s">
        <v>181</v>
      </c>
      <c r="C413" s="415" t="s">
        <v>175</v>
      </c>
      <c r="D413" s="416" t="s">
        <v>182</v>
      </c>
      <c r="E413" s="415" t="s">
        <v>81</v>
      </c>
      <c r="F413" s="100">
        <v>17</v>
      </c>
      <c r="G413" s="101">
        <v>2.76</v>
      </c>
      <c r="H413" s="84">
        <v>0.2122</v>
      </c>
      <c r="I413" s="83">
        <v>3.35</v>
      </c>
      <c r="J413" s="83">
        <v>56.95</v>
      </c>
      <c r="K413" s="557">
        <v>3.8294538995129353E-6</v>
      </c>
      <c r="L413" s="420"/>
    </row>
    <row r="414" spans="1:13" s="92" customFormat="1" ht="39" customHeight="1" x14ac:dyDescent="0.3">
      <c r="A414" s="415" t="s">
        <v>4000</v>
      </c>
      <c r="B414" s="415" t="s">
        <v>298</v>
      </c>
      <c r="C414" s="415" t="s">
        <v>19</v>
      </c>
      <c r="D414" s="416" t="s">
        <v>3812</v>
      </c>
      <c r="E414" s="415" t="s">
        <v>227</v>
      </c>
      <c r="F414" s="100">
        <v>428.78</v>
      </c>
      <c r="G414" s="101">
        <v>13.71</v>
      </c>
      <c r="H414" s="84">
        <v>0.2122</v>
      </c>
      <c r="I414" s="83">
        <v>16.62</v>
      </c>
      <c r="J414" s="83">
        <v>7126.32</v>
      </c>
      <c r="K414" s="557">
        <v>4.7919076230337168E-4</v>
      </c>
      <c r="L414" s="420"/>
    </row>
    <row r="415" spans="1:13" s="92" customFormat="1" ht="39" customHeight="1" x14ac:dyDescent="0.3">
      <c r="A415" s="415" t="s">
        <v>3325</v>
      </c>
      <c r="B415" s="415" t="s">
        <v>213</v>
      </c>
      <c r="C415" s="415" t="s">
        <v>19</v>
      </c>
      <c r="D415" s="416" t="s">
        <v>3788</v>
      </c>
      <c r="E415" s="415" t="s">
        <v>227</v>
      </c>
      <c r="F415" s="100">
        <v>370.52</v>
      </c>
      <c r="G415" s="101">
        <v>11.8</v>
      </c>
      <c r="H415" s="84">
        <v>0.2122</v>
      </c>
      <c r="I415" s="83">
        <v>14.3</v>
      </c>
      <c r="J415" s="83">
        <v>5298.43</v>
      </c>
      <c r="K415" s="557">
        <v>3.5627907681819702E-4</v>
      </c>
      <c r="L415" s="420"/>
    </row>
    <row r="416" spans="1:13" s="92" customFormat="1" ht="39" customHeight="1" x14ac:dyDescent="0.3">
      <c r="A416" s="415" t="s">
        <v>3326</v>
      </c>
      <c r="B416" s="415" t="s">
        <v>300</v>
      </c>
      <c r="C416" s="415" t="s">
        <v>19</v>
      </c>
      <c r="D416" s="416" t="s">
        <v>3813</v>
      </c>
      <c r="E416" s="415" t="s">
        <v>227</v>
      </c>
      <c r="F416" s="100">
        <v>133.37</v>
      </c>
      <c r="G416" s="101">
        <v>11.17</v>
      </c>
      <c r="H416" s="84">
        <v>0.2122</v>
      </c>
      <c r="I416" s="83">
        <v>13.54</v>
      </c>
      <c r="J416" s="83">
        <v>1805.82</v>
      </c>
      <c r="K416" s="557">
        <v>1.2142764601963911E-4</v>
      </c>
      <c r="L416" s="420"/>
    </row>
    <row r="417" spans="1:12" s="92" customFormat="1" ht="39" customHeight="1" x14ac:dyDescent="0.3">
      <c r="A417" s="415" t="s">
        <v>3327</v>
      </c>
      <c r="B417" s="415" t="s">
        <v>214</v>
      </c>
      <c r="C417" s="415" t="s">
        <v>19</v>
      </c>
      <c r="D417" s="416" t="s">
        <v>3789</v>
      </c>
      <c r="E417" s="415" t="s">
        <v>227</v>
      </c>
      <c r="F417" s="100">
        <v>456.46</v>
      </c>
      <c r="G417" s="101">
        <v>12.18</v>
      </c>
      <c r="H417" s="84">
        <v>0.2122</v>
      </c>
      <c r="I417" s="83">
        <v>14.76</v>
      </c>
      <c r="J417" s="83">
        <v>6737.34</v>
      </c>
      <c r="K417" s="557">
        <v>4.5303481888225595E-4</v>
      </c>
      <c r="L417" s="420"/>
    </row>
    <row r="418" spans="1:12" s="92" customFormat="1" ht="39" customHeight="1" x14ac:dyDescent="0.3">
      <c r="A418" s="415" t="s">
        <v>3328</v>
      </c>
      <c r="B418" s="415" t="s">
        <v>215</v>
      </c>
      <c r="C418" s="415" t="s">
        <v>19</v>
      </c>
      <c r="D418" s="416" t="s">
        <v>3790</v>
      </c>
      <c r="E418" s="415" t="s">
        <v>227</v>
      </c>
      <c r="F418" s="100">
        <v>322.39999999999998</v>
      </c>
      <c r="G418" s="101">
        <v>11.39</v>
      </c>
      <c r="H418" s="84">
        <v>0.2122</v>
      </c>
      <c r="I418" s="83">
        <v>13.81</v>
      </c>
      <c r="J418" s="83">
        <v>4452.34</v>
      </c>
      <c r="K418" s="557">
        <v>2.9938596619767199E-4</v>
      </c>
      <c r="L418" s="420"/>
    </row>
    <row r="419" spans="1:12" s="92" customFormat="1" ht="39" customHeight="1" x14ac:dyDescent="0.3">
      <c r="A419" s="415" t="s">
        <v>3329</v>
      </c>
      <c r="B419" s="415" t="s">
        <v>219</v>
      </c>
      <c r="C419" s="415" t="s">
        <v>19</v>
      </c>
      <c r="D419" s="416" t="s">
        <v>3793</v>
      </c>
      <c r="E419" s="415" t="s">
        <v>227</v>
      </c>
      <c r="F419" s="100">
        <v>817.92</v>
      </c>
      <c r="G419" s="101">
        <v>10.49</v>
      </c>
      <c r="H419" s="84">
        <v>0.2122</v>
      </c>
      <c r="I419" s="83">
        <v>12.72</v>
      </c>
      <c r="J419" s="83">
        <v>10403.94</v>
      </c>
      <c r="K419" s="557">
        <v>6.9958575247231966E-4</v>
      </c>
      <c r="L419" s="420"/>
    </row>
    <row r="420" spans="1:12" s="92" customFormat="1" ht="39" customHeight="1" x14ac:dyDescent="0.3">
      <c r="A420" s="415" t="s">
        <v>3330</v>
      </c>
      <c r="B420" s="415" t="s">
        <v>220</v>
      </c>
      <c r="C420" s="415" t="s">
        <v>19</v>
      </c>
      <c r="D420" s="416" t="s">
        <v>3794</v>
      </c>
      <c r="E420" s="415" t="s">
        <v>227</v>
      </c>
      <c r="F420" s="100">
        <v>321.57</v>
      </c>
      <c r="G420" s="101">
        <v>9.01</v>
      </c>
      <c r="H420" s="84">
        <v>0.2122</v>
      </c>
      <c r="I420" s="83">
        <v>10.92</v>
      </c>
      <c r="J420" s="83">
        <v>3511.54</v>
      </c>
      <c r="K420" s="557">
        <v>2.3612432917112644E-4</v>
      </c>
      <c r="L420" s="420"/>
    </row>
    <row r="421" spans="1:12" s="92" customFormat="1" ht="39" customHeight="1" x14ac:dyDescent="0.3">
      <c r="A421" s="415" t="s">
        <v>3331</v>
      </c>
      <c r="B421" s="415" t="s">
        <v>301</v>
      </c>
      <c r="C421" s="415" t="s">
        <v>19</v>
      </c>
      <c r="D421" s="416" t="s">
        <v>3814</v>
      </c>
      <c r="E421" s="415" t="s">
        <v>227</v>
      </c>
      <c r="F421" s="100">
        <v>13.67</v>
      </c>
      <c r="G421" s="101">
        <v>8.5299999999999994</v>
      </c>
      <c r="H421" s="84">
        <v>0.2122</v>
      </c>
      <c r="I421" s="83">
        <v>10.34</v>
      </c>
      <c r="J421" s="83">
        <v>141.34</v>
      </c>
      <c r="K421" s="557">
        <v>9.504038878966782E-6</v>
      </c>
      <c r="L421" s="420"/>
    </row>
    <row r="422" spans="1:12" s="92" customFormat="1" ht="39" customHeight="1" x14ac:dyDescent="0.3">
      <c r="A422" s="415" t="s">
        <v>3332</v>
      </c>
      <c r="B422" s="415" t="s">
        <v>221</v>
      </c>
      <c r="C422" s="415" t="s">
        <v>19</v>
      </c>
      <c r="D422" s="416" t="s">
        <v>3795</v>
      </c>
      <c r="E422" s="415" t="s">
        <v>227</v>
      </c>
      <c r="F422" s="100">
        <v>1018.68</v>
      </c>
      <c r="G422" s="101">
        <v>9.31</v>
      </c>
      <c r="H422" s="84">
        <v>0.2122</v>
      </c>
      <c r="I422" s="83">
        <v>11.29</v>
      </c>
      <c r="J422" s="83">
        <v>11500.89</v>
      </c>
      <c r="K422" s="557">
        <v>7.7334728811886413E-4</v>
      </c>
      <c r="L422" s="420"/>
    </row>
    <row r="423" spans="1:12" s="92" customFormat="1" ht="39" customHeight="1" x14ac:dyDescent="0.3">
      <c r="A423" s="415" t="s">
        <v>3333</v>
      </c>
      <c r="B423" s="415" t="s">
        <v>222</v>
      </c>
      <c r="C423" s="415" t="s">
        <v>19</v>
      </c>
      <c r="D423" s="416" t="s">
        <v>3796</v>
      </c>
      <c r="E423" s="415" t="s">
        <v>227</v>
      </c>
      <c r="F423" s="100">
        <v>174.47</v>
      </c>
      <c r="G423" s="101">
        <v>8.6999999999999993</v>
      </c>
      <c r="H423" s="84">
        <v>0.2122</v>
      </c>
      <c r="I423" s="83">
        <v>10.55</v>
      </c>
      <c r="J423" s="83">
        <v>1840.65</v>
      </c>
      <c r="K423" s="557">
        <v>1.2376969833430174E-4</v>
      </c>
      <c r="L423" s="420"/>
    </row>
    <row r="424" spans="1:12" s="92" customFormat="1" ht="39" customHeight="1" x14ac:dyDescent="0.3">
      <c r="A424" s="415" t="s">
        <v>3334</v>
      </c>
      <c r="B424" s="415" t="s">
        <v>3951</v>
      </c>
      <c r="C424" s="415" t="s">
        <v>293</v>
      </c>
      <c r="D424" s="416" t="s">
        <v>3952</v>
      </c>
      <c r="E424" s="415" t="s">
        <v>227</v>
      </c>
      <c r="F424" s="100">
        <v>12.93</v>
      </c>
      <c r="G424" s="101">
        <v>109.28</v>
      </c>
      <c r="H424" s="84">
        <v>0.2122</v>
      </c>
      <c r="I424" s="83">
        <v>132.47</v>
      </c>
      <c r="J424" s="83">
        <v>1712.83</v>
      </c>
      <c r="K424" s="557">
        <v>1.1517477651804635E-4</v>
      </c>
      <c r="L424" s="420"/>
    </row>
    <row r="425" spans="1:12" s="92" customFormat="1" ht="39" customHeight="1" x14ac:dyDescent="0.3">
      <c r="A425" s="415" t="s">
        <v>3335</v>
      </c>
      <c r="B425" s="415" t="s">
        <v>237</v>
      </c>
      <c r="C425" s="415" t="s">
        <v>196</v>
      </c>
      <c r="D425" s="416" t="s">
        <v>238</v>
      </c>
      <c r="E425" s="415" t="s">
        <v>421</v>
      </c>
      <c r="F425" s="100">
        <v>2493.39</v>
      </c>
      <c r="G425" s="101">
        <v>23.05</v>
      </c>
      <c r="H425" s="84">
        <v>0.2122</v>
      </c>
      <c r="I425" s="83">
        <v>27.94</v>
      </c>
      <c r="J425" s="83">
        <v>69665.31</v>
      </c>
      <c r="K425" s="557">
        <v>4.6844616863964432E-3</v>
      </c>
      <c r="L425" s="420"/>
    </row>
    <row r="426" spans="1:12" s="92" customFormat="1" ht="39" customHeight="1" x14ac:dyDescent="0.3">
      <c r="A426" s="415" t="s">
        <v>3336</v>
      </c>
      <c r="B426" s="415" t="s">
        <v>239</v>
      </c>
      <c r="C426" s="415" t="s">
        <v>196</v>
      </c>
      <c r="D426" s="416" t="s">
        <v>240</v>
      </c>
      <c r="E426" s="415" t="s">
        <v>421</v>
      </c>
      <c r="F426" s="100">
        <v>1426.5</v>
      </c>
      <c r="G426" s="101">
        <v>30.02</v>
      </c>
      <c r="H426" s="84">
        <v>0.2122</v>
      </c>
      <c r="I426" s="83">
        <v>36.39</v>
      </c>
      <c r="J426" s="83">
        <v>51910.33</v>
      </c>
      <c r="K426" s="557">
        <v>3.4905744625724896E-3</v>
      </c>
      <c r="L426" s="420"/>
    </row>
    <row r="427" spans="1:12" s="92" customFormat="1" ht="39" customHeight="1" x14ac:dyDescent="0.3">
      <c r="A427" s="415" t="s">
        <v>3337</v>
      </c>
      <c r="B427" s="415" t="s">
        <v>302</v>
      </c>
      <c r="C427" s="415" t="s">
        <v>196</v>
      </c>
      <c r="D427" s="416" t="s">
        <v>3815</v>
      </c>
      <c r="E427" s="415" t="s">
        <v>421</v>
      </c>
      <c r="F427" s="100">
        <v>334.77</v>
      </c>
      <c r="G427" s="101">
        <v>14.37</v>
      </c>
      <c r="H427" s="84">
        <v>0.2122</v>
      </c>
      <c r="I427" s="83">
        <v>17.420000000000002</v>
      </c>
      <c r="J427" s="83">
        <v>5831.69</v>
      </c>
      <c r="K427" s="557">
        <v>3.9213675173398746E-4</v>
      </c>
      <c r="L427" s="420"/>
    </row>
    <row r="428" spans="1:12" s="92" customFormat="1" ht="39" customHeight="1" x14ac:dyDescent="0.3">
      <c r="A428" s="415" t="s">
        <v>3338</v>
      </c>
      <c r="B428" s="415" t="s">
        <v>241</v>
      </c>
      <c r="C428" s="415" t="s">
        <v>196</v>
      </c>
      <c r="D428" s="416" t="s">
        <v>3799</v>
      </c>
      <c r="E428" s="415" t="s">
        <v>421</v>
      </c>
      <c r="F428" s="100">
        <v>1419.67</v>
      </c>
      <c r="G428" s="101">
        <v>32.4</v>
      </c>
      <c r="H428" s="84">
        <v>0.2122</v>
      </c>
      <c r="I428" s="83">
        <v>39.28</v>
      </c>
      <c r="J428" s="83">
        <v>55764.63</v>
      </c>
      <c r="K428" s="557">
        <v>3.7497467920701664E-3</v>
      </c>
      <c r="L428" s="420"/>
    </row>
    <row r="429" spans="1:12" s="92" customFormat="1" ht="39" customHeight="1" x14ac:dyDescent="0.3">
      <c r="A429" s="415" t="s">
        <v>3339</v>
      </c>
      <c r="B429" s="415" t="s">
        <v>242</v>
      </c>
      <c r="C429" s="415" t="s">
        <v>196</v>
      </c>
      <c r="D429" s="416" t="s">
        <v>3800</v>
      </c>
      <c r="E429" s="415" t="s">
        <v>421</v>
      </c>
      <c r="F429" s="100">
        <v>536.74</v>
      </c>
      <c r="G429" s="101">
        <v>41.58</v>
      </c>
      <c r="H429" s="84">
        <v>0.2122</v>
      </c>
      <c r="I429" s="83">
        <v>50.4</v>
      </c>
      <c r="J429" s="83">
        <v>27051.69</v>
      </c>
      <c r="K429" s="557">
        <v>1.8190201889186138E-3</v>
      </c>
      <c r="L429" s="420"/>
    </row>
    <row r="430" spans="1:12" s="92" customFormat="1" ht="39" customHeight="1" x14ac:dyDescent="0.3">
      <c r="A430" s="415" t="s">
        <v>3340</v>
      </c>
      <c r="B430" s="415" t="s">
        <v>234</v>
      </c>
      <c r="C430" s="415" t="s">
        <v>115</v>
      </c>
      <c r="D430" s="416" t="s">
        <v>235</v>
      </c>
      <c r="E430" s="415" t="s">
        <v>423</v>
      </c>
      <c r="F430" s="100">
        <v>3</v>
      </c>
      <c r="G430" s="101">
        <v>13.66</v>
      </c>
      <c r="H430" s="84">
        <v>0.2122</v>
      </c>
      <c r="I430" s="83">
        <v>16.559999999999999</v>
      </c>
      <c r="J430" s="83">
        <v>49.68</v>
      </c>
      <c r="K430" s="557">
        <v>3.3406017511466654E-6</v>
      </c>
      <c r="L430" s="420"/>
    </row>
    <row r="431" spans="1:12" s="92" customFormat="1" ht="39" customHeight="1" x14ac:dyDescent="0.3">
      <c r="A431" s="415" t="s">
        <v>3341</v>
      </c>
      <c r="B431" s="415" t="s">
        <v>249</v>
      </c>
      <c r="C431" s="415" t="s">
        <v>19</v>
      </c>
      <c r="D431" s="416" t="s">
        <v>250</v>
      </c>
      <c r="E431" s="415" t="s">
        <v>227</v>
      </c>
      <c r="F431" s="100">
        <v>41.56</v>
      </c>
      <c r="G431" s="101">
        <v>271.92</v>
      </c>
      <c r="H431" s="84">
        <v>0.2122</v>
      </c>
      <c r="I431" s="83">
        <v>329.62</v>
      </c>
      <c r="J431" s="83">
        <v>13699</v>
      </c>
      <c r="K431" s="557">
        <v>9.211534498582563E-4</v>
      </c>
      <c r="L431" s="420"/>
    </row>
    <row r="432" spans="1:12" s="92" customFormat="1" ht="39" customHeight="1" x14ac:dyDescent="0.3">
      <c r="A432" s="415" t="s">
        <v>3342</v>
      </c>
      <c r="B432" s="415" t="s">
        <v>264</v>
      </c>
      <c r="C432" s="415" t="s">
        <v>3751</v>
      </c>
      <c r="D432" s="416" t="s">
        <v>265</v>
      </c>
      <c r="E432" s="415" t="s">
        <v>227</v>
      </c>
      <c r="F432" s="100">
        <v>24.93</v>
      </c>
      <c r="G432" s="101">
        <v>124.59</v>
      </c>
      <c r="H432" s="84">
        <v>0.2122</v>
      </c>
      <c r="I432" s="83">
        <v>151.03</v>
      </c>
      <c r="J432" s="83">
        <v>3765.17</v>
      </c>
      <c r="K432" s="557">
        <v>2.5317901560718381E-4</v>
      </c>
      <c r="L432" s="420"/>
    </row>
    <row r="433" spans="1:12" s="92" customFormat="1" ht="39" customHeight="1" x14ac:dyDescent="0.3">
      <c r="A433" s="415" t="s">
        <v>3343</v>
      </c>
      <c r="B433" s="415" t="s">
        <v>256</v>
      </c>
      <c r="C433" s="415" t="s">
        <v>3751</v>
      </c>
      <c r="D433" s="416" t="s">
        <v>257</v>
      </c>
      <c r="E433" s="415" t="s">
        <v>421</v>
      </c>
      <c r="F433" s="100">
        <v>831.13</v>
      </c>
      <c r="G433" s="101">
        <v>0.28000000000000003</v>
      </c>
      <c r="H433" s="84">
        <v>0.2122</v>
      </c>
      <c r="I433" s="83">
        <v>0.34</v>
      </c>
      <c r="J433" s="83">
        <v>282.58</v>
      </c>
      <c r="K433" s="557">
        <v>1.900135351930404E-5</v>
      </c>
      <c r="L433" s="420"/>
    </row>
    <row r="434" spans="1:12" s="92" customFormat="1" ht="39" customHeight="1" x14ac:dyDescent="0.3">
      <c r="A434" s="415" t="s">
        <v>3344</v>
      </c>
      <c r="B434" s="415" t="s">
        <v>3487</v>
      </c>
      <c r="C434" s="415" t="s">
        <v>3751</v>
      </c>
      <c r="D434" s="416" t="s">
        <v>258</v>
      </c>
      <c r="E434" s="415" t="s">
        <v>262</v>
      </c>
      <c r="F434" s="100">
        <v>0.37</v>
      </c>
      <c r="G434" s="101">
        <v>4033.08</v>
      </c>
      <c r="H434" s="84">
        <v>0.111</v>
      </c>
      <c r="I434" s="83">
        <v>4480.75</v>
      </c>
      <c r="J434" s="83">
        <v>1657.87</v>
      </c>
      <c r="K434" s="557">
        <v>1.1147913496726091E-4</v>
      </c>
      <c r="L434" s="420"/>
    </row>
    <row r="435" spans="1:12" s="92" customFormat="1" ht="39" customHeight="1" x14ac:dyDescent="0.3">
      <c r="A435" s="415" t="s">
        <v>3345</v>
      </c>
      <c r="B435" s="415" t="s">
        <v>259</v>
      </c>
      <c r="C435" s="415" t="s">
        <v>3751</v>
      </c>
      <c r="D435" s="416" t="s">
        <v>260</v>
      </c>
      <c r="E435" s="415" t="s">
        <v>421</v>
      </c>
      <c r="F435" s="100">
        <v>831.13</v>
      </c>
      <c r="G435" s="101">
        <v>0.4</v>
      </c>
      <c r="H435" s="84">
        <v>0.2122</v>
      </c>
      <c r="I435" s="83">
        <v>0.48</v>
      </c>
      <c r="J435" s="83">
        <v>398.94</v>
      </c>
      <c r="K435" s="557">
        <v>2.6825677588616158E-5</v>
      </c>
      <c r="L435" s="420"/>
    </row>
    <row r="436" spans="1:12" s="92" customFormat="1" ht="39" customHeight="1" x14ac:dyDescent="0.3">
      <c r="A436" s="415" t="s">
        <v>3346</v>
      </c>
      <c r="B436" s="415" t="s">
        <v>3488</v>
      </c>
      <c r="C436" s="415" t="s">
        <v>3751</v>
      </c>
      <c r="D436" s="416" t="s">
        <v>261</v>
      </c>
      <c r="E436" s="415" t="s">
        <v>262</v>
      </c>
      <c r="F436" s="100">
        <v>1.08</v>
      </c>
      <c r="G436" s="101">
        <v>4291.21</v>
      </c>
      <c r="H436" s="84">
        <v>0.111</v>
      </c>
      <c r="I436" s="83">
        <v>4767.53</v>
      </c>
      <c r="J436" s="83">
        <v>5148.93</v>
      </c>
      <c r="K436" s="557">
        <v>3.4622634006706125E-4</v>
      </c>
      <c r="L436" s="420"/>
    </row>
    <row r="437" spans="1:12" s="92" customFormat="1" ht="39" customHeight="1" x14ac:dyDescent="0.3">
      <c r="A437" s="415" t="s">
        <v>3347</v>
      </c>
      <c r="B437" s="415" t="s">
        <v>266</v>
      </c>
      <c r="C437" s="415" t="s">
        <v>3751</v>
      </c>
      <c r="D437" s="416" t="s">
        <v>267</v>
      </c>
      <c r="E437" s="415" t="s">
        <v>262</v>
      </c>
      <c r="F437" s="100">
        <v>59.84</v>
      </c>
      <c r="G437" s="101">
        <v>188.17</v>
      </c>
      <c r="H437" s="84">
        <v>0.2122</v>
      </c>
      <c r="I437" s="83">
        <v>228.1</v>
      </c>
      <c r="J437" s="83">
        <v>13649.5</v>
      </c>
      <c r="K437" s="557">
        <v>9.1782495173664276E-4</v>
      </c>
      <c r="L437" s="420"/>
    </row>
    <row r="438" spans="1:12" s="92" customFormat="1" ht="39" customHeight="1" x14ac:dyDescent="0.3">
      <c r="A438" s="415" t="s">
        <v>3348</v>
      </c>
      <c r="B438" s="415" t="s">
        <v>3489</v>
      </c>
      <c r="C438" s="415" t="s">
        <v>3751</v>
      </c>
      <c r="D438" s="416" t="s">
        <v>268</v>
      </c>
      <c r="E438" s="415" t="s">
        <v>262</v>
      </c>
      <c r="F438" s="100">
        <v>3.78</v>
      </c>
      <c r="G438" s="101">
        <v>5274.22</v>
      </c>
      <c r="H438" s="84">
        <v>0.111</v>
      </c>
      <c r="I438" s="83">
        <v>5859.66</v>
      </c>
      <c r="J438" s="83">
        <v>22149.51</v>
      </c>
      <c r="K438" s="557">
        <v>1.4893859076698988E-3</v>
      </c>
      <c r="L438" s="420"/>
    </row>
    <row r="439" spans="1:12" s="92" customFormat="1" ht="39" customHeight="1" x14ac:dyDescent="0.3">
      <c r="A439" s="415" t="s">
        <v>3349</v>
      </c>
      <c r="B439" s="415" t="s">
        <v>253</v>
      </c>
      <c r="C439" s="415" t="s">
        <v>3751</v>
      </c>
      <c r="D439" s="416" t="s">
        <v>254</v>
      </c>
      <c r="E439" s="415" t="s">
        <v>227</v>
      </c>
      <c r="F439" s="100">
        <v>124.67</v>
      </c>
      <c r="G439" s="101">
        <v>15.45</v>
      </c>
      <c r="H439" s="84">
        <v>0.2122</v>
      </c>
      <c r="I439" s="83">
        <v>18.73</v>
      </c>
      <c r="J439" s="83">
        <v>2335.06</v>
      </c>
      <c r="K439" s="557">
        <v>1.570150065425228E-4</v>
      </c>
      <c r="L439" s="420"/>
    </row>
    <row r="440" spans="1:12" s="92" customFormat="1" ht="39" customHeight="1" x14ac:dyDescent="0.3">
      <c r="A440" s="415" t="s">
        <v>3350</v>
      </c>
      <c r="B440" s="415" t="s">
        <v>255</v>
      </c>
      <c r="C440" s="415" t="s">
        <v>115</v>
      </c>
      <c r="D440" s="416" t="s">
        <v>387</v>
      </c>
      <c r="E440" s="415" t="s">
        <v>227</v>
      </c>
      <c r="F440" s="100">
        <v>124.67</v>
      </c>
      <c r="G440" s="101">
        <v>208.42</v>
      </c>
      <c r="H440" s="84">
        <v>0.2122</v>
      </c>
      <c r="I440" s="83">
        <v>252.65</v>
      </c>
      <c r="J440" s="83">
        <v>31497.87</v>
      </c>
      <c r="K440" s="557">
        <v>2.1179919420167073E-3</v>
      </c>
      <c r="L440" s="420"/>
    </row>
    <row r="441" spans="1:12" s="92" customFormat="1" ht="39" customHeight="1" x14ac:dyDescent="0.3">
      <c r="A441" s="415" t="s">
        <v>3351</v>
      </c>
      <c r="B441" s="415" t="s">
        <v>263</v>
      </c>
      <c r="C441" s="415" t="s">
        <v>115</v>
      </c>
      <c r="D441" s="416" t="s">
        <v>388</v>
      </c>
      <c r="E441" s="415" t="s">
        <v>424</v>
      </c>
      <c r="F441" s="100">
        <v>32278.76</v>
      </c>
      <c r="G441" s="101">
        <v>0.54</v>
      </c>
      <c r="H441" s="84">
        <v>0.111</v>
      </c>
      <c r="I441" s="83">
        <v>0.6</v>
      </c>
      <c r="J441" s="83">
        <v>19367.25</v>
      </c>
      <c r="K441" s="557">
        <v>1.3023001059761525E-3</v>
      </c>
      <c r="L441" s="420"/>
    </row>
    <row r="442" spans="1:12" s="92" customFormat="1" ht="39" customHeight="1" x14ac:dyDescent="0.3">
      <c r="A442" s="415" t="s">
        <v>3352</v>
      </c>
      <c r="B442" s="415" t="s">
        <v>3559</v>
      </c>
      <c r="C442" s="415" t="s">
        <v>3560</v>
      </c>
      <c r="D442" s="416" t="s">
        <v>3806</v>
      </c>
      <c r="E442" s="415" t="s">
        <v>227</v>
      </c>
      <c r="F442" s="100">
        <v>477.35</v>
      </c>
      <c r="G442" s="101">
        <v>56.12</v>
      </c>
      <c r="H442" s="84">
        <v>0.2122</v>
      </c>
      <c r="I442" s="83">
        <v>68.03</v>
      </c>
      <c r="J442" s="83">
        <v>32474.12</v>
      </c>
      <c r="K442" s="557">
        <v>2.1836373216374185E-3</v>
      </c>
      <c r="L442" s="420"/>
    </row>
    <row r="443" spans="1:12" s="92" customFormat="1" ht="39" customHeight="1" x14ac:dyDescent="0.3">
      <c r="A443" s="415" t="s">
        <v>3353</v>
      </c>
      <c r="B443" s="415" t="s">
        <v>269</v>
      </c>
      <c r="C443" s="415" t="s">
        <v>175</v>
      </c>
      <c r="D443" s="416" t="s">
        <v>270</v>
      </c>
      <c r="E443" s="415" t="s">
        <v>227</v>
      </c>
      <c r="F443" s="100">
        <v>1642.03</v>
      </c>
      <c r="G443" s="101">
        <v>11.09</v>
      </c>
      <c r="H443" s="84">
        <v>0.2122</v>
      </c>
      <c r="I443" s="83">
        <v>13.44</v>
      </c>
      <c r="J443" s="83">
        <v>22068.880000000001</v>
      </c>
      <c r="K443" s="557">
        <v>1.4839641540629151E-3</v>
      </c>
      <c r="L443" s="420"/>
    </row>
    <row r="444" spans="1:12" s="92" customFormat="1" ht="39" customHeight="1" x14ac:dyDescent="0.3">
      <c r="A444" s="415" t="s">
        <v>3354</v>
      </c>
      <c r="B444" s="415" t="s">
        <v>116</v>
      </c>
      <c r="C444" s="415" t="s">
        <v>19</v>
      </c>
      <c r="D444" s="416" t="s">
        <v>117</v>
      </c>
      <c r="E444" s="415" t="s">
        <v>227</v>
      </c>
      <c r="F444" s="100">
        <v>2344.58</v>
      </c>
      <c r="G444" s="101">
        <v>6.53</v>
      </c>
      <c r="H444" s="84">
        <v>0.2122</v>
      </c>
      <c r="I444" s="83">
        <v>7.92</v>
      </c>
      <c r="J444" s="83">
        <v>18569.07</v>
      </c>
      <c r="K444" s="557">
        <v>1.2486285780830316E-3</v>
      </c>
      <c r="L444" s="420"/>
    </row>
    <row r="445" spans="1:12" s="92" customFormat="1" ht="39" customHeight="1" x14ac:dyDescent="0.3">
      <c r="A445" s="415" t="s">
        <v>3355</v>
      </c>
      <c r="B445" s="415" t="s">
        <v>109</v>
      </c>
      <c r="C445" s="415" t="s">
        <v>19</v>
      </c>
      <c r="D445" s="416" t="s">
        <v>110</v>
      </c>
      <c r="E445" s="415" t="s">
        <v>111</v>
      </c>
      <c r="F445" s="100">
        <v>56765.757443064867</v>
      </c>
      <c r="G445" s="101">
        <v>2.1</v>
      </c>
      <c r="H445" s="84">
        <v>0.2122</v>
      </c>
      <c r="I445" s="83">
        <v>2.5499999999999998</v>
      </c>
      <c r="J445" s="83">
        <v>144752.68</v>
      </c>
      <c r="K445" s="557">
        <v>9.733515625828762E-3</v>
      </c>
      <c r="L445" s="420"/>
    </row>
    <row r="446" spans="1:12" s="92" customFormat="1" ht="39" customHeight="1" x14ac:dyDescent="0.3">
      <c r="A446" s="415" t="s">
        <v>3356</v>
      </c>
      <c r="B446" s="415" t="s">
        <v>112</v>
      </c>
      <c r="C446" s="415" t="s">
        <v>19</v>
      </c>
      <c r="D446" s="416" t="s">
        <v>113</v>
      </c>
      <c r="E446" s="415" t="s">
        <v>111</v>
      </c>
      <c r="F446" s="100">
        <v>27545.450882592035</v>
      </c>
      <c r="G446" s="101">
        <v>0.85</v>
      </c>
      <c r="H446" s="84">
        <v>0.2122</v>
      </c>
      <c r="I446" s="83">
        <v>1.03</v>
      </c>
      <c r="J446" s="83">
        <v>28371.81</v>
      </c>
      <c r="K446" s="557">
        <v>1.9077882079146635E-3</v>
      </c>
      <c r="L446" s="420"/>
    </row>
    <row r="447" spans="1:12" s="92" customFormat="1" ht="39" customHeight="1" x14ac:dyDescent="0.3">
      <c r="A447" s="415" t="s">
        <v>3357</v>
      </c>
      <c r="B447" s="415" t="s">
        <v>232</v>
      </c>
      <c r="C447" s="415" t="s">
        <v>19</v>
      </c>
      <c r="D447" s="416" t="s">
        <v>3798</v>
      </c>
      <c r="E447" s="415" t="s">
        <v>227</v>
      </c>
      <c r="F447" s="100">
        <v>1853.7351319200006</v>
      </c>
      <c r="G447" s="101">
        <v>1.37</v>
      </c>
      <c r="H447" s="84">
        <v>0.2122</v>
      </c>
      <c r="I447" s="83">
        <v>1.66</v>
      </c>
      <c r="J447" s="83">
        <v>3077.2</v>
      </c>
      <c r="K447" s="557">
        <v>2.0691827110765938E-4</v>
      </c>
      <c r="L447" s="420"/>
    </row>
    <row r="448" spans="1:12" s="92" customFormat="1" ht="39" customHeight="1" x14ac:dyDescent="0.3">
      <c r="A448" s="415" t="s">
        <v>3358</v>
      </c>
      <c r="B448" s="415" t="s">
        <v>303</v>
      </c>
      <c r="C448" s="415" t="s">
        <v>19</v>
      </c>
      <c r="D448" s="416" t="s">
        <v>3816</v>
      </c>
      <c r="E448" s="415" t="s">
        <v>173</v>
      </c>
      <c r="F448" s="100">
        <v>476</v>
      </c>
      <c r="G448" s="101">
        <v>77.209999999999994</v>
      </c>
      <c r="H448" s="84">
        <v>0.2122</v>
      </c>
      <c r="I448" s="83">
        <v>93.59</v>
      </c>
      <c r="J448" s="83">
        <v>44548.84</v>
      </c>
      <c r="K448" s="557">
        <v>2.9955703082840701E-3</v>
      </c>
      <c r="L448" s="420"/>
    </row>
    <row r="449" spans="1:13" s="92" customFormat="1" ht="39" customHeight="1" x14ac:dyDescent="0.3">
      <c r="A449" s="415" t="s">
        <v>3359</v>
      </c>
      <c r="B449" s="415" t="s">
        <v>160</v>
      </c>
      <c r="C449" s="415" t="s">
        <v>19</v>
      </c>
      <c r="D449" s="416" t="s">
        <v>161</v>
      </c>
      <c r="E449" s="415" t="s">
        <v>227</v>
      </c>
      <c r="F449" s="100">
        <v>45.41</v>
      </c>
      <c r="G449" s="101">
        <v>403.4</v>
      </c>
      <c r="H449" s="84">
        <v>0.2122</v>
      </c>
      <c r="I449" s="83">
        <v>489</v>
      </c>
      <c r="J449" s="83">
        <v>22205.49</v>
      </c>
      <c r="K449" s="557">
        <v>1.4931501364547056E-3</v>
      </c>
      <c r="L449" s="420"/>
    </row>
    <row r="450" spans="1:13" s="92" customFormat="1" ht="39" customHeight="1" x14ac:dyDescent="0.3">
      <c r="A450" s="415" t="s">
        <v>3360</v>
      </c>
      <c r="B450" s="415" t="s">
        <v>304</v>
      </c>
      <c r="C450" s="415" t="s">
        <v>115</v>
      </c>
      <c r="D450" s="416" t="s">
        <v>317</v>
      </c>
      <c r="E450" s="415" t="s">
        <v>424</v>
      </c>
      <c r="F450" s="100">
        <v>3200</v>
      </c>
      <c r="G450" s="101">
        <v>12.15</v>
      </c>
      <c r="H450" s="84">
        <v>0.2122</v>
      </c>
      <c r="I450" s="83">
        <v>14.73</v>
      </c>
      <c r="J450" s="83">
        <v>47136</v>
      </c>
      <c r="K450" s="557">
        <v>3.1695371204116191E-3</v>
      </c>
      <c r="L450" s="420"/>
    </row>
    <row r="451" spans="1:13" s="92" customFormat="1" ht="39" customHeight="1" x14ac:dyDescent="0.3">
      <c r="A451" s="415" t="s">
        <v>3361</v>
      </c>
      <c r="B451" s="415" t="s">
        <v>305</v>
      </c>
      <c r="C451" s="415" t="s">
        <v>19</v>
      </c>
      <c r="D451" s="416" t="s">
        <v>306</v>
      </c>
      <c r="E451" s="415" t="s">
        <v>421</v>
      </c>
      <c r="F451" s="100">
        <v>1318.39</v>
      </c>
      <c r="G451" s="101">
        <v>133.38</v>
      </c>
      <c r="H451" s="84">
        <v>0.2122</v>
      </c>
      <c r="I451" s="83">
        <v>161.68</v>
      </c>
      <c r="J451" s="83">
        <v>213157.29</v>
      </c>
      <c r="K451" s="557">
        <v>1.4333204835822819E-2</v>
      </c>
      <c r="L451" s="420"/>
    </row>
    <row r="452" spans="1:13" s="92" customFormat="1" ht="39" customHeight="1" x14ac:dyDescent="0.3">
      <c r="A452" s="415" t="s">
        <v>3362</v>
      </c>
      <c r="B452" s="415" t="s">
        <v>307</v>
      </c>
      <c r="C452" s="415" t="s">
        <v>115</v>
      </c>
      <c r="D452" s="416" t="s">
        <v>3495</v>
      </c>
      <c r="E452" s="415" t="s">
        <v>421</v>
      </c>
      <c r="F452" s="100">
        <v>2469.06</v>
      </c>
      <c r="G452" s="101">
        <v>93.65</v>
      </c>
      <c r="H452" s="84">
        <v>0.2122</v>
      </c>
      <c r="I452" s="83">
        <v>113.52</v>
      </c>
      <c r="J452" s="83">
        <v>280287.69</v>
      </c>
      <c r="K452" s="557">
        <v>1.8847213124775639E-2</v>
      </c>
      <c r="L452" s="420"/>
    </row>
    <row r="453" spans="1:13" s="92" customFormat="1" ht="39" customHeight="1" x14ac:dyDescent="0.3">
      <c r="A453" s="415" t="s">
        <v>3363</v>
      </c>
      <c r="B453" s="415" t="s">
        <v>162</v>
      </c>
      <c r="C453" s="415" t="s">
        <v>19</v>
      </c>
      <c r="D453" s="416" t="s">
        <v>163</v>
      </c>
      <c r="E453" s="415" t="s">
        <v>227</v>
      </c>
      <c r="F453" s="100">
        <v>167.69</v>
      </c>
      <c r="G453" s="101">
        <v>470.06</v>
      </c>
      <c r="H453" s="84">
        <v>0.2122</v>
      </c>
      <c r="I453" s="83">
        <v>569.80999999999995</v>
      </c>
      <c r="J453" s="83">
        <v>95551.43</v>
      </c>
      <c r="K453" s="557">
        <v>6.4251061671209342E-3</v>
      </c>
      <c r="L453" s="420"/>
    </row>
    <row r="454" spans="1:13" s="92" customFormat="1" ht="39" customHeight="1" x14ac:dyDescent="0.3">
      <c r="A454" s="415" t="s">
        <v>3364</v>
      </c>
      <c r="B454" s="415" t="s">
        <v>165</v>
      </c>
      <c r="C454" s="415" t="s">
        <v>19</v>
      </c>
      <c r="D454" s="416" t="s">
        <v>166</v>
      </c>
      <c r="E454" s="415" t="s">
        <v>227</v>
      </c>
      <c r="F454" s="100">
        <v>213.1</v>
      </c>
      <c r="G454" s="101">
        <v>326.63</v>
      </c>
      <c r="H454" s="84">
        <v>0.2122</v>
      </c>
      <c r="I454" s="83">
        <v>395.94</v>
      </c>
      <c r="J454" s="83">
        <v>84374.81</v>
      </c>
      <c r="K454" s="557">
        <v>5.6735635676060225E-3</v>
      </c>
      <c r="L454" s="420"/>
    </row>
    <row r="455" spans="1:13" s="92" customFormat="1" ht="39" customHeight="1" x14ac:dyDescent="0.3">
      <c r="A455" s="415" t="s">
        <v>3365</v>
      </c>
      <c r="B455" s="415" t="s">
        <v>3496</v>
      </c>
      <c r="C455" s="415" t="s">
        <v>19</v>
      </c>
      <c r="D455" s="416" t="s">
        <v>357</v>
      </c>
      <c r="E455" s="415" t="s">
        <v>173</v>
      </c>
      <c r="F455" s="100">
        <v>76</v>
      </c>
      <c r="G455" s="101">
        <v>62.21</v>
      </c>
      <c r="H455" s="84">
        <v>0.111</v>
      </c>
      <c r="I455" s="83">
        <v>69.12</v>
      </c>
      <c r="J455" s="83">
        <v>5253.12</v>
      </c>
      <c r="K455" s="557">
        <v>3.5323232429516048E-4</v>
      </c>
      <c r="L455" s="420"/>
    </row>
    <row r="456" spans="1:13" s="92" customFormat="1" ht="39" customHeight="1" x14ac:dyDescent="0.3">
      <c r="A456" s="415" t="s">
        <v>3366</v>
      </c>
      <c r="B456" s="415" t="s">
        <v>3497</v>
      </c>
      <c r="C456" s="415" t="s">
        <v>19</v>
      </c>
      <c r="D456" s="416" t="s">
        <v>308</v>
      </c>
      <c r="E456" s="415" t="s">
        <v>173</v>
      </c>
      <c r="F456" s="100">
        <v>583.74</v>
      </c>
      <c r="G456" s="101">
        <v>68.3</v>
      </c>
      <c r="H456" s="84">
        <v>0.111</v>
      </c>
      <c r="I456" s="83">
        <v>75.88</v>
      </c>
      <c r="J456" s="83">
        <v>44294.19</v>
      </c>
      <c r="K456" s="557">
        <v>2.9784470346139922E-3</v>
      </c>
      <c r="L456" s="420"/>
    </row>
    <row r="457" spans="1:13" s="92" customFormat="1" ht="39" customHeight="1" x14ac:dyDescent="0.3">
      <c r="A457" s="415" t="s">
        <v>3367</v>
      </c>
      <c r="B457" s="415" t="s">
        <v>309</v>
      </c>
      <c r="C457" s="415" t="s">
        <v>19</v>
      </c>
      <c r="D457" s="416" t="s">
        <v>3817</v>
      </c>
      <c r="E457" s="415" t="s">
        <v>173</v>
      </c>
      <c r="F457" s="100">
        <v>659.74</v>
      </c>
      <c r="G457" s="101">
        <v>38.11</v>
      </c>
      <c r="H457" s="84">
        <v>0.2122</v>
      </c>
      <c r="I457" s="83">
        <v>46.2</v>
      </c>
      <c r="J457" s="83">
        <v>30479.98</v>
      </c>
      <c r="K457" s="557">
        <v>2.0495465894306629E-3</v>
      </c>
      <c r="L457" s="420"/>
    </row>
    <row r="458" spans="1:13" s="89" customFormat="1" ht="24" customHeight="1" x14ac:dyDescent="0.3">
      <c r="A458" s="88" t="s">
        <v>3368</v>
      </c>
      <c r="B458" s="88" t="s">
        <v>402</v>
      </c>
      <c r="C458" s="88" t="s">
        <v>402</v>
      </c>
      <c r="D458" s="544" t="s">
        <v>310</v>
      </c>
      <c r="E458" s="544" t="s">
        <v>402</v>
      </c>
      <c r="F458" s="87"/>
      <c r="G458" s="86"/>
      <c r="H458" s="88"/>
      <c r="I458" s="85"/>
      <c r="J458" s="82">
        <v>291288.74000000005</v>
      </c>
      <c r="K458" s="556">
        <v>1.9586949978528702E-2</v>
      </c>
      <c r="L458" s="420"/>
      <c r="M458" s="92"/>
    </row>
    <row r="459" spans="1:13" s="92" customFormat="1" ht="39" customHeight="1" x14ac:dyDescent="0.3">
      <c r="A459" s="415" t="s">
        <v>3369</v>
      </c>
      <c r="B459" s="415" t="s">
        <v>311</v>
      </c>
      <c r="C459" s="415" t="s">
        <v>196</v>
      </c>
      <c r="D459" s="416" t="s">
        <v>312</v>
      </c>
      <c r="E459" s="415" t="s">
        <v>227</v>
      </c>
      <c r="F459" s="100">
        <v>17.57</v>
      </c>
      <c r="G459" s="101">
        <v>262.95</v>
      </c>
      <c r="H459" s="84">
        <v>0.2122</v>
      </c>
      <c r="I459" s="83">
        <v>318.75</v>
      </c>
      <c r="J459" s="83">
        <v>5600.43</v>
      </c>
      <c r="K459" s="557">
        <v>3.7658627747935432E-4</v>
      </c>
      <c r="L459" s="420"/>
    </row>
    <row r="460" spans="1:13" s="92" customFormat="1" ht="39" customHeight="1" x14ac:dyDescent="0.3">
      <c r="A460" s="415" t="s">
        <v>3370</v>
      </c>
      <c r="B460" s="415" t="s">
        <v>313</v>
      </c>
      <c r="C460" s="415" t="s">
        <v>19</v>
      </c>
      <c r="D460" s="416" t="s">
        <v>3818</v>
      </c>
      <c r="E460" s="415" t="s">
        <v>227</v>
      </c>
      <c r="F460" s="100">
        <v>4.05</v>
      </c>
      <c r="G460" s="101">
        <v>3512.27</v>
      </c>
      <c r="H460" s="84">
        <v>0.2122</v>
      </c>
      <c r="I460" s="83">
        <v>4257.57</v>
      </c>
      <c r="J460" s="83">
        <v>17243.150000000001</v>
      </c>
      <c r="K460" s="557">
        <v>1.15947055324647E-3</v>
      </c>
      <c r="L460" s="420"/>
    </row>
    <row r="461" spans="1:13" s="92" customFormat="1" ht="39" customHeight="1" x14ac:dyDescent="0.3">
      <c r="A461" s="415" t="s">
        <v>3371</v>
      </c>
      <c r="B461" s="415" t="s">
        <v>305</v>
      </c>
      <c r="C461" s="415" t="s">
        <v>19</v>
      </c>
      <c r="D461" s="416" t="s">
        <v>306</v>
      </c>
      <c r="E461" s="415" t="s">
        <v>421</v>
      </c>
      <c r="F461" s="100">
        <v>133.78</v>
      </c>
      <c r="G461" s="101">
        <v>133.38</v>
      </c>
      <c r="H461" s="84">
        <v>0.2122</v>
      </c>
      <c r="I461" s="83">
        <v>161.68</v>
      </c>
      <c r="J461" s="83">
        <v>21629.55</v>
      </c>
      <c r="K461" s="557">
        <v>1.454422556491835E-3</v>
      </c>
      <c r="L461" s="420"/>
    </row>
    <row r="462" spans="1:13" s="92" customFormat="1" ht="39" customHeight="1" x14ac:dyDescent="0.3">
      <c r="A462" s="415" t="s">
        <v>3372</v>
      </c>
      <c r="B462" s="415" t="s">
        <v>314</v>
      </c>
      <c r="C462" s="415" t="s">
        <v>19</v>
      </c>
      <c r="D462" s="416" t="s">
        <v>315</v>
      </c>
      <c r="E462" s="415" t="s">
        <v>227</v>
      </c>
      <c r="F462" s="100">
        <v>26.18</v>
      </c>
      <c r="G462" s="101">
        <v>430.64</v>
      </c>
      <c r="H462" s="84">
        <v>0.2122</v>
      </c>
      <c r="I462" s="83">
        <v>522.02</v>
      </c>
      <c r="J462" s="83">
        <v>13666.48</v>
      </c>
      <c r="K462" s="557">
        <v>9.1896672745593556E-4</v>
      </c>
      <c r="L462" s="420"/>
    </row>
    <row r="463" spans="1:13" s="92" customFormat="1" ht="39" customHeight="1" x14ac:dyDescent="0.3">
      <c r="A463" s="415" t="s">
        <v>3373</v>
      </c>
      <c r="B463" s="415" t="s">
        <v>162</v>
      </c>
      <c r="C463" s="415" t="s">
        <v>19</v>
      </c>
      <c r="D463" s="416" t="s">
        <v>163</v>
      </c>
      <c r="E463" s="415" t="s">
        <v>227</v>
      </c>
      <c r="F463" s="100">
        <v>69.959999999999994</v>
      </c>
      <c r="G463" s="101">
        <v>470.06</v>
      </c>
      <c r="H463" s="84">
        <v>0.2122</v>
      </c>
      <c r="I463" s="83">
        <v>569.80999999999995</v>
      </c>
      <c r="J463" s="83">
        <v>39863.9</v>
      </c>
      <c r="K463" s="557">
        <v>2.6805437630341299E-3</v>
      </c>
      <c r="L463" s="420"/>
    </row>
    <row r="464" spans="1:13" s="92" customFormat="1" ht="39" customHeight="1" x14ac:dyDescent="0.3">
      <c r="A464" s="415" t="s">
        <v>3374</v>
      </c>
      <c r="B464" s="415" t="s">
        <v>316</v>
      </c>
      <c r="C464" s="415" t="s">
        <v>115</v>
      </c>
      <c r="D464" s="416" t="s">
        <v>3498</v>
      </c>
      <c r="E464" s="415" t="s">
        <v>421</v>
      </c>
      <c r="F464" s="100">
        <v>869.49</v>
      </c>
      <c r="G464" s="101">
        <v>77.569999999999993</v>
      </c>
      <c r="H464" s="84">
        <v>0.2122</v>
      </c>
      <c r="I464" s="83">
        <v>94.03</v>
      </c>
      <c r="J464" s="83">
        <v>81758.14</v>
      </c>
      <c r="K464" s="557">
        <v>5.4976124326589016E-3</v>
      </c>
      <c r="L464" s="420"/>
    </row>
    <row r="465" spans="1:13" s="92" customFormat="1" ht="39" customHeight="1" x14ac:dyDescent="0.3">
      <c r="A465" s="415" t="s">
        <v>3375</v>
      </c>
      <c r="B465" s="415" t="s">
        <v>165</v>
      </c>
      <c r="C465" s="415" t="s">
        <v>19</v>
      </c>
      <c r="D465" s="416" t="s">
        <v>166</v>
      </c>
      <c r="E465" s="415" t="s">
        <v>227</v>
      </c>
      <c r="F465" s="100">
        <v>96.14</v>
      </c>
      <c r="G465" s="101">
        <v>326.63</v>
      </c>
      <c r="H465" s="84">
        <v>0.2122</v>
      </c>
      <c r="I465" s="83">
        <v>395.94</v>
      </c>
      <c r="J465" s="83">
        <v>38065.67</v>
      </c>
      <c r="K465" s="557">
        <v>2.5596264867264709E-3</v>
      </c>
      <c r="L465" s="420"/>
    </row>
    <row r="466" spans="1:13" s="92" customFormat="1" ht="39" customHeight="1" x14ac:dyDescent="0.3">
      <c r="A466" s="415" t="s">
        <v>3376</v>
      </c>
      <c r="B466" s="415" t="s">
        <v>304</v>
      </c>
      <c r="C466" s="415" t="s">
        <v>115</v>
      </c>
      <c r="D466" s="416" t="s">
        <v>317</v>
      </c>
      <c r="E466" s="415" t="s">
        <v>424</v>
      </c>
      <c r="F466" s="100">
        <v>3687.01</v>
      </c>
      <c r="G466" s="101">
        <v>12.15</v>
      </c>
      <c r="H466" s="84">
        <v>0.2122</v>
      </c>
      <c r="I466" s="83">
        <v>14.73</v>
      </c>
      <c r="J466" s="83">
        <v>54309.65</v>
      </c>
      <c r="K466" s="557">
        <v>3.6519104648583436E-3</v>
      </c>
      <c r="L466" s="420"/>
    </row>
    <row r="467" spans="1:13" s="92" customFormat="1" ht="39" customHeight="1" x14ac:dyDescent="0.3">
      <c r="A467" s="415" t="s">
        <v>3377</v>
      </c>
      <c r="B467" s="415" t="s">
        <v>318</v>
      </c>
      <c r="C467" s="415" t="s">
        <v>19</v>
      </c>
      <c r="D467" s="416" t="s">
        <v>319</v>
      </c>
      <c r="E467" s="415" t="s">
        <v>173</v>
      </c>
      <c r="F467" s="100">
        <v>52.57</v>
      </c>
      <c r="G467" s="101">
        <v>300.54000000000002</v>
      </c>
      <c r="H467" s="84">
        <v>0.2122</v>
      </c>
      <c r="I467" s="83">
        <v>364.31</v>
      </c>
      <c r="J467" s="83">
        <v>19151.77</v>
      </c>
      <c r="K467" s="557">
        <v>1.2878107165772579E-3</v>
      </c>
      <c r="L467" s="420"/>
    </row>
    <row r="468" spans="1:13" s="89" customFormat="1" ht="24" customHeight="1" x14ac:dyDescent="0.3">
      <c r="A468" s="88" t="s">
        <v>3378</v>
      </c>
      <c r="B468" s="88" t="s">
        <v>402</v>
      </c>
      <c r="C468" s="88" t="s">
        <v>402</v>
      </c>
      <c r="D468" s="544" t="s">
        <v>366</v>
      </c>
      <c r="E468" s="544" t="s">
        <v>402</v>
      </c>
      <c r="F468" s="87"/>
      <c r="G468" s="86"/>
      <c r="H468" s="88"/>
      <c r="I468" s="85"/>
      <c r="J468" s="82">
        <v>848816.28</v>
      </c>
      <c r="K468" s="556">
        <v>5.7076432193433946E-2</v>
      </c>
      <c r="L468" s="420"/>
      <c r="M468" s="92"/>
    </row>
    <row r="469" spans="1:13" s="92" customFormat="1" ht="39" customHeight="1" x14ac:dyDescent="0.3">
      <c r="A469" s="415" t="s">
        <v>3379</v>
      </c>
      <c r="B469" s="415" t="s">
        <v>311</v>
      </c>
      <c r="C469" s="415" t="s">
        <v>196</v>
      </c>
      <c r="D469" s="416" t="s">
        <v>312</v>
      </c>
      <c r="E469" s="415" t="s">
        <v>227</v>
      </c>
      <c r="F469" s="100">
        <v>100.58</v>
      </c>
      <c r="G469" s="101">
        <v>262.95</v>
      </c>
      <c r="H469" s="84">
        <v>0.2122</v>
      </c>
      <c r="I469" s="83">
        <v>318.75</v>
      </c>
      <c r="J469" s="83">
        <v>32059.87</v>
      </c>
      <c r="K469" s="557">
        <v>2.1557821631146227E-3</v>
      </c>
      <c r="L469" s="420"/>
    </row>
    <row r="470" spans="1:13" s="92" customFormat="1" ht="39" customHeight="1" x14ac:dyDescent="0.3">
      <c r="A470" s="415" t="s">
        <v>3380</v>
      </c>
      <c r="B470" s="415" t="s">
        <v>314</v>
      </c>
      <c r="C470" s="415" t="s">
        <v>19</v>
      </c>
      <c r="D470" s="416" t="s">
        <v>315</v>
      </c>
      <c r="E470" s="415" t="s">
        <v>227</v>
      </c>
      <c r="F470" s="100">
        <v>15.08</v>
      </c>
      <c r="G470" s="101">
        <v>430.64</v>
      </c>
      <c r="H470" s="84">
        <v>0.2122</v>
      </c>
      <c r="I470" s="83">
        <v>522.02</v>
      </c>
      <c r="J470" s="83">
        <v>7872.06</v>
      </c>
      <c r="K470" s="557">
        <v>5.2933609945917108E-4</v>
      </c>
      <c r="L470" s="420"/>
    </row>
    <row r="471" spans="1:13" s="92" customFormat="1" ht="39" customHeight="1" x14ac:dyDescent="0.3">
      <c r="A471" s="415" t="s">
        <v>3381</v>
      </c>
      <c r="B471" s="415" t="s">
        <v>162</v>
      </c>
      <c r="C471" s="415" t="s">
        <v>19</v>
      </c>
      <c r="D471" s="416" t="s">
        <v>163</v>
      </c>
      <c r="E471" s="415" t="s">
        <v>227</v>
      </c>
      <c r="F471" s="100">
        <v>288.39999999999998</v>
      </c>
      <c r="G471" s="101">
        <v>470.06</v>
      </c>
      <c r="H471" s="84">
        <v>0.2122</v>
      </c>
      <c r="I471" s="83">
        <v>569.80999999999995</v>
      </c>
      <c r="J471" s="83">
        <v>164333.20000000001</v>
      </c>
      <c r="K471" s="557">
        <v>1.1050156515530098E-2</v>
      </c>
      <c r="L471" s="420"/>
    </row>
    <row r="472" spans="1:13" s="92" customFormat="1" ht="39" customHeight="1" x14ac:dyDescent="0.3">
      <c r="A472" s="415" t="s">
        <v>3382</v>
      </c>
      <c r="B472" s="415" t="s">
        <v>165</v>
      </c>
      <c r="C472" s="415" t="s">
        <v>19</v>
      </c>
      <c r="D472" s="416" t="s">
        <v>166</v>
      </c>
      <c r="E472" s="415" t="s">
        <v>227</v>
      </c>
      <c r="F472" s="100">
        <v>303.48</v>
      </c>
      <c r="G472" s="101">
        <v>326.63</v>
      </c>
      <c r="H472" s="84">
        <v>0.2122</v>
      </c>
      <c r="I472" s="83">
        <v>395.94</v>
      </c>
      <c r="J472" s="83">
        <v>120159.87</v>
      </c>
      <c r="K472" s="557">
        <v>8.0798363957237454E-3</v>
      </c>
      <c r="L472" s="420"/>
    </row>
    <row r="473" spans="1:13" s="92" customFormat="1" ht="39" customHeight="1" x14ac:dyDescent="0.3">
      <c r="A473" s="415" t="s">
        <v>3383</v>
      </c>
      <c r="B473" s="415" t="s">
        <v>304</v>
      </c>
      <c r="C473" s="415" t="s">
        <v>115</v>
      </c>
      <c r="D473" s="416" t="s">
        <v>317</v>
      </c>
      <c r="E473" s="415" t="s">
        <v>424</v>
      </c>
      <c r="F473" s="100">
        <v>14935</v>
      </c>
      <c r="G473" s="101">
        <v>12.15</v>
      </c>
      <c r="H473" s="84">
        <v>0.2122</v>
      </c>
      <c r="I473" s="83">
        <v>14.73</v>
      </c>
      <c r="J473" s="83">
        <v>219992.55</v>
      </c>
      <c r="K473" s="557">
        <v>1.4792824029171103E-2</v>
      </c>
      <c r="L473" s="420"/>
    </row>
    <row r="474" spans="1:13" s="92" customFormat="1" ht="39" customHeight="1" x14ac:dyDescent="0.3">
      <c r="A474" s="415" t="s">
        <v>3384</v>
      </c>
      <c r="B474" s="415" t="s">
        <v>367</v>
      </c>
      <c r="C474" s="415" t="s">
        <v>19</v>
      </c>
      <c r="D474" s="416" t="s">
        <v>368</v>
      </c>
      <c r="E474" s="415" t="s">
        <v>421</v>
      </c>
      <c r="F474" s="100">
        <v>2652.25</v>
      </c>
      <c r="G474" s="101">
        <v>94.68</v>
      </c>
      <c r="H474" s="84">
        <v>0.2122</v>
      </c>
      <c r="I474" s="83">
        <v>114.77</v>
      </c>
      <c r="J474" s="83">
        <v>304398.73</v>
      </c>
      <c r="K474" s="557">
        <v>2.0468496990435205E-2</v>
      </c>
      <c r="L474" s="420"/>
    </row>
    <row r="475" spans="1:13" s="89" customFormat="1" ht="24" customHeight="1" x14ac:dyDescent="0.3">
      <c r="A475" s="88" t="s">
        <v>3385</v>
      </c>
      <c r="B475" s="88" t="s">
        <v>402</v>
      </c>
      <c r="C475" s="88" t="s">
        <v>402</v>
      </c>
      <c r="D475" s="544" t="s">
        <v>370</v>
      </c>
      <c r="E475" s="544" t="s">
        <v>402</v>
      </c>
      <c r="F475" s="87"/>
      <c r="G475" s="86"/>
      <c r="H475" s="88"/>
      <c r="I475" s="85"/>
      <c r="J475" s="82">
        <v>85409.42</v>
      </c>
      <c r="K475" s="556">
        <v>5.7431332128909229E-3</v>
      </c>
      <c r="L475" s="420"/>
      <c r="M475" s="92"/>
    </row>
    <row r="476" spans="1:13" s="92" customFormat="1" ht="39" customHeight="1" x14ac:dyDescent="0.3">
      <c r="A476" s="415" t="s">
        <v>3453</v>
      </c>
      <c r="B476" s="415" t="s">
        <v>359</v>
      </c>
      <c r="C476" s="415" t="s">
        <v>19</v>
      </c>
      <c r="D476" s="416" t="s">
        <v>3822</v>
      </c>
      <c r="E476" s="415" t="s">
        <v>421</v>
      </c>
      <c r="F476" s="100">
        <v>48</v>
      </c>
      <c r="G476" s="101">
        <v>4.9800000000000004</v>
      </c>
      <c r="H476" s="84">
        <v>0.2122</v>
      </c>
      <c r="I476" s="83">
        <v>6.04</v>
      </c>
      <c r="J476" s="83">
        <v>289.92</v>
      </c>
      <c r="K476" s="557">
        <v>1.9494912634710978E-5</v>
      </c>
      <c r="L476" s="420"/>
    </row>
    <row r="477" spans="1:13" s="92" customFormat="1" ht="39" customHeight="1" x14ac:dyDescent="0.3">
      <c r="A477" s="415" t="s">
        <v>3454</v>
      </c>
      <c r="B477" s="415" t="s">
        <v>311</v>
      </c>
      <c r="C477" s="415" t="s">
        <v>196</v>
      </c>
      <c r="D477" s="416" t="s">
        <v>312</v>
      </c>
      <c r="E477" s="415" t="s">
        <v>227</v>
      </c>
      <c r="F477" s="100">
        <v>4.8</v>
      </c>
      <c r="G477" s="101">
        <v>262.95</v>
      </c>
      <c r="H477" s="84">
        <v>0.2122</v>
      </c>
      <c r="I477" s="83">
        <v>318.75</v>
      </c>
      <c r="J477" s="83">
        <v>1530</v>
      </c>
      <c r="K477" s="557">
        <v>1.0288085103169079E-4</v>
      </c>
      <c r="L477" s="420"/>
    </row>
    <row r="478" spans="1:13" s="92" customFormat="1" ht="39" customHeight="1" x14ac:dyDescent="0.3">
      <c r="A478" s="415" t="s">
        <v>3455</v>
      </c>
      <c r="B478" s="415" t="s">
        <v>314</v>
      </c>
      <c r="C478" s="415" t="s">
        <v>19</v>
      </c>
      <c r="D478" s="416" t="s">
        <v>315</v>
      </c>
      <c r="E478" s="415" t="s">
        <v>227</v>
      </c>
      <c r="F478" s="100">
        <v>2.4</v>
      </c>
      <c r="G478" s="101">
        <v>430.64</v>
      </c>
      <c r="H478" s="84">
        <v>0.2122</v>
      </c>
      <c r="I478" s="83">
        <v>522.02</v>
      </c>
      <c r="J478" s="83">
        <v>1252.8399999999999</v>
      </c>
      <c r="K478" s="557">
        <v>8.4243951246106854E-5</v>
      </c>
      <c r="L478" s="420"/>
    </row>
    <row r="479" spans="1:13" s="92" customFormat="1" ht="39" customHeight="1" x14ac:dyDescent="0.3">
      <c r="A479" s="415" t="s">
        <v>3456</v>
      </c>
      <c r="B479" s="415" t="s">
        <v>162</v>
      </c>
      <c r="C479" s="415" t="s">
        <v>19</v>
      </c>
      <c r="D479" s="416" t="s">
        <v>163</v>
      </c>
      <c r="E479" s="415" t="s">
        <v>227</v>
      </c>
      <c r="F479" s="100">
        <v>23.26</v>
      </c>
      <c r="G479" s="101">
        <v>470.06</v>
      </c>
      <c r="H479" s="84">
        <v>0.2122</v>
      </c>
      <c r="I479" s="83">
        <v>569.80999999999995</v>
      </c>
      <c r="J479" s="83">
        <v>13253.78</v>
      </c>
      <c r="K479" s="557">
        <v>8.9121579463189728E-4</v>
      </c>
      <c r="L479" s="420"/>
    </row>
    <row r="480" spans="1:13" s="92" customFormat="1" ht="39" customHeight="1" x14ac:dyDescent="0.3">
      <c r="A480" s="415" t="s">
        <v>3457</v>
      </c>
      <c r="B480" s="415" t="s">
        <v>165</v>
      </c>
      <c r="C480" s="415" t="s">
        <v>19</v>
      </c>
      <c r="D480" s="416" t="s">
        <v>166</v>
      </c>
      <c r="E480" s="415" t="s">
        <v>227</v>
      </c>
      <c r="F480" s="100">
        <v>25.66</v>
      </c>
      <c r="G480" s="101">
        <v>326.63</v>
      </c>
      <c r="H480" s="84">
        <v>0.2122</v>
      </c>
      <c r="I480" s="83">
        <v>395.94</v>
      </c>
      <c r="J480" s="83">
        <v>10159.82</v>
      </c>
      <c r="K480" s="557">
        <v>6.831705411299298E-4</v>
      </c>
      <c r="L480" s="420"/>
    </row>
    <row r="481" spans="1:13" s="92" customFormat="1" ht="39" customHeight="1" x14ac:dyDescent="0.3">
      <c r="A481" s="415" t="s">
        <v>3458</v>
      </c>
      <c r="B481" s="415" t="s">
        <v>316</v>
      </c>
      <c r="C481" s="415" t="s">
        <v>115</v>
      </c>
      <c r="D481" s="416" t="s">
        <v>3498</v>
      </c>
      <c r="E481" s="415" t="s">
        <v>421</v>
      </c>
      <c r="F481" s="100">
        <v>232.6</v>
      </c>
      <c r="G481" s="101">
        <v>77.569999999999993</v>
      </c>
      <c r="H481" s="84">
        <v>0.2122</v>
      </c>
      <c r="I481" s="83">
        <v>94.03</v>
      </c>
      <c r="J481" s="83">
        <v>21871.37</v>
      </c>
      <c r="K481" s="557">
        <v>1.4706831103457455E-3</v>
      </c>
      <c r="L481" s="420"/>
    </row>
    <row r="482" spans="1:13" s="92" customFormat="1" ht="39" customHeight="1" x14ac:dyDescent="0.3">
      <c r="A482" s="415" t="s">
        <v>3459</v>
      </c>
      <c r="B482" s="415" t="s">
        <v>304</v>
      </c>
      <c r="C482" s="415" t="s">
        <v>115</v>
      </c>
      <c r="D482" s="416" t="s">
        <v>317</v>
      </c>
      <c r="E482" s="415" t="s">
        <v>424</v>
      </c>
      <c r="F482" s="100">
        <v>2515.39</v>
      </c>
      <c r="G482" s="101">
        <v>12.15</v>
      </c>
      <c r="H482" s="84">
        <v>0.2122</v>
      </c>
      <c r="I482" s="83">
        <v>14.73</v>
      </c>
      <c r="J482" s="83">
        <v>37051.69</v>
      </c>
      <c r="K482" s="557">
        <v>2.4914440518708416E-3</v>
      </c>
      <c r="L482" s="420"/>
    </row>
    <row r="483" spans="1:13" s="89" customFormat="1" ht="24" customHeight="1" x14ac:dyDescent="0.3">
      <c r="A483" s="88" t="s">
        <v>3386</v>
      </c>
      <c r="B483" s="88" t="s">
        <v>402</v>
      </c>
      <c r="C483" s="88" t="s">
        <v>402</v>
      </c>
      <c r="D483" s="544" t="s">
        <v>320</v>
      </c>
      <c r="E483" s="544" t="s">
        <v>402</v>
      </c>
      <c r="F483" s="87"/>
      <c r="G483" s="86"/>
      <c r="H483" s="88"/>
      <c r="I483" s="85"/>
      <c r="J483" s="82">
        <v>16707.87</v>
      </c>
      <c r="K483" s="556">
        <v>1.1234770487103631E-3</v>
      </c>
      <c r="L483" s="420"/>
      <c r="M483" s="92"/>
    </row>
    <row r="484" spans="1:13" s="92" customFormat="1" ht="39" customHeight="1" x14ac:dyDescent="0.3">
      <c r="A484" s="415" t="s">
        <v>3387</v>
      </c>
      <c r="B484" s="415" t="s">
        <v>321</v>
      </c>
      <c r="C484" s="415" t="s">
        <v>175</v>
      </c>
      <c r="D484" s="416" t="s">
        <v>322</v>
      </c>
      <c r="E484" s="415" t="s">
        <v>173</v>
      </c>
      <c r="F484" s="100">
        <v>2656.26</v>
      </c>
      <c r="G484" s="101">
        <v>5.19</v>
      </c>
      <c r="H484" s="84">
        <v>0.2122</v>
      </c>
      <c r="I484" s="83">
        <v>6.29</v>
      </c>
      <c r="J484" s="83">
        <v>16707.87</v>
      </c>
      <c r="K484" s="557">
        <v>1.1234770487103631E-3</v>
      </c>
      <c r="L484" s="420"/>
    </row>
    <row r="485" spans="1:13" s="89" customFormat="1" ht="24" customHeight="1" x14ac:dyDescent="0.3">
      <c r="A485" s="88" t="s">
        <v>3388</v>
      </c>
      <c r="B485" s="88" t="s">
        <v>402</v>
      </c>
      <c r="C485" s="88" t="s">
        <v>402</v>
      </c>
      <c r="D485" s="544" t="s">
        <v>358</v>
      </c>
      <c r="E485" s="544" t="s">
        <v>402</v>
      </c>
      <c r="F485" s="87"/>
      <c r="G485" s="86"/>
      <c r="H485" s="88"/>
      <c r="I485" s="85"/>
      <c r="J485" s="82">
        <v>3562.7</v>
      </c>
      <c r="K485" s="556">
        <v>2.3956444965399004E-4</v>
      </c>
      <c r="L485" s="420"/>
      <c r="M485" s="92"/>
    </row>
    <row r="486" spans="1:13" s="92" customFormat="1" ht="39" customHeight="1" x14ac:dyDescent="0.3">
      <c r="A486" s="415" t="s">
        <v>3389</v>
      </c>
      <c r="B486" s="415" t="s">
        <v>359</v>
      </c>
      <c r="C486" s="415" t="s">
        <v>19</v>
      </c>
      <c r="D486" s="416" t="s">
        <v>3822</v>
      </c>
      <c r="E486" s="415" t="s">
        <v>421</v>
      </c>
      <c r="F486" s="100">
        <v>13.5</v>
      </c>
      <c r="G486" s="101">
        <v>4.9800000000000004</v>
      </c>
      <c r="H486" s="84">
        <v>0.2122</v>
      </c>
      <c r="I486" s="83">
        <v>6.04</v>
      </c>
      <c r="J486" s="83">
        <v>81.540000000000006</v>
      </c>
      <c r="K486" s="557">
        <v>5.4829441785124621E-6</v>
      </c>
      <c r="L486" s="420"/>
    </row>
    <row r="487" spans="1:13" s="92" customFormat="1" ht="39" customHeight="1" x14ac:dyDescent="0.3">
      <c r="A487" s="415" t="s">
        <v>3390</v>
      </c>
      <c r="B487" s="415" t="s">
        <v>360</v>
      </c>
      <c r="C487" s="415" t="s">
        <v>361</v>
      </c>
      <c r="D487" s="416" t="s">
        <v>362</v>
      </c>
      <c r="E487" s="415" t="s">
        <v>227</v>
      </c>
      <c r="F487" s="100">
        <v>12.83</v>
      </c>
      <c r="G487" s="101">
        <v>223.83</v>
      </c>
      <c r="H487" s="84">
        <v>0.2122</v>
      </c>
      <c r="I487" s="83">
        <v>271.33</v>
      </c>
      <c r="J487" s="83">
        <v>3481.16</v>
      </c>
      <c r="K487" s="557">
        <v>2.3408150547547758E-4</v>
      </c>
      <c r="L487" s="420"/>
    </row>
    <row r="488" spans="1:13" s="89" customFormat="1" ht="24" customHeight="1" x14ac:dyDescent="0.3">
      <c r="A488" s="88" t="s">
        <v>3391</v>
      </c>
      <c r="B488" s="88" t="s">
        <v>402</v>
      </c>
      <c r="C488" s="88" t="s">
        <v>402</v>
      </c>
      <c r="D488" s="544" t="s">
        <v>339</v>
      </c>
      <c r="E488" s="544" t="s">
        <v>402</v>
      </c>
      <c r="F488" s="87"/>
      <c r="G488" s="86"/>
      <c r="H488" s="88"/>
      <c r="I488" s="85"/>
      <c r="J488" s="82">
        <v>24447.200000000001</v>
      </c>
      <c r="K488" s="556">
        <v>1.6438880662365694E-3</v>
      </c>
      <c r="L488" s="420"/>
      <c r="M488" s="92"/>
    </row>
    <row r="489" spans="1:13" s="89" customFormat="1" ht="24" customHeight="1" x14ac:dyDescent="0.3">
      <c r="A489" s="88" t="s">
        <v>3392</v>
      </c>
      <c r="B489" s="88" t="s">
        <v>402</v>
      </c>
      <c r="C489" s="88" t="s">
        <v>402</v>
      </c>
      <c r="D489" s="544" t="s">
        <v>340</v>
      </c>
      <c r="E489" s="544" t="s">
        <v>402</v>
      </c>
      <c r="F489" s="87"/>
      <c r="G489" s="86"/>
      <c r="H489" s="88"/>
      <c r="I489" s="85"/>
      <c r="J489" s="82">
        <v>6978.2</v>
      </c>
      <c r="K489" s="556">
        <v>4.6923082004532326E-4</v>
      </c>
      <c r="L489" s="420"/>
      <c r="M489" s="92"/>
    </row>
    <row r="490" spans="1:13" s="92" customFormat="1" ht="39" customHeight="1" x14ac:dyDescent="0.3">
      <c r="A490" s="415" t="s">
        <v>3393</v>
      </c>
      <c r="B490" s="415" t="s">
        <v>341</v>
      </c>
      <c r="C490" s="415" t="s">
        <v>188</v>
      </c>
      <c r="D490" s="416" t="s">
        <v>342</v>
      </c>
      <c r="E490" s="415" t="s">
        <v>81</v>
      </c>
      <c r="F490" s="100">
        <v>164</v>
      </c>
      <c r="G490" s="101">
        <v>35.1</v>
      </c>
      <c r="H490" s="84">
        <v>0.2122</v>
      </c>
      <c r="I490" s="83">
        <v>42.55</v>
      </c>
      <c r="J490" s="83">
        <v>6978.2</v>
      </c>
      <c r="K490" s="557">
        <v>4.6923082004532326E-4</v>
      </c>
      <c r="L490" s="420"/>
    </row>
    <row r="491" spans="1:13" s="89" customFormat="1" ht="24" customHeight="1" x14ac:dyDescent="0.3">
      <c r="A491" s="88" t="s">
        <v>3394</v>
      </c>
      <c r="B491" s="88" t="s">
        <v>402</v>
      </c>
      <c r="C491" s="88" t="s">
        <v>402</v>
      </c>
      <c r="D491" s="544" t="s">
        <v>343</v>
      </c>
      <c r="E491" s="544" t="s">
        <v>402</v>
      </c>
      <c r="F491" s="87"/>
      <c r="G491" s="86"/>
      <c r="H491" s="88"/>
      <c r="I491" s="85"/>
      <c r="J491" s="82">
        <v>17469</v>
      </c>
      <c r="K491" s="556">
        <v>1.174657246191246E-3</v>
      </c>
      <c r="L491" s="420"/>
      <c r="M491" s="92"/>
    </row>
    <row r="492" spans="1:13" s="92" customFormat="1" ht="39" customHeight="1" x14ac:dyDescent="0.3">
      <c r="A492" s="415" t="s">
        <v>3395</v>
      </c>
      <c r="B492" s="415" t="s">
        <v>344</v>
      </c>
      <c r="C492" s="415" t="s">
        <v>196</v>
      </c>
      <c r="D492" s="416" t="s">
        <v>345</v>
      </c>
      <c r="E492" s="415" t="s">
        <v>81</v>
      </c>
      <c r="F492" s="100">
        <v>75</v>
      </c>
      <c r="G492" s="101">
        <v>165.13</v>
      </c>
      <c r="H492" s="84">
        <v>0.2122</v>
      </c>
      <c r="I492" s="83">
        <v>200.17</v>
      </c>
      <c r="J492" s="83">
        <v>15012.75</v>
      </c>
      <c r="K492" s="557">
        <v>1.009493134853605E-3</v>
      </c>
      <c r="L492" s="420"/>
    </row>
    <row r="493" spans="1:13" s="92" customFormat="1" ht="39" customHeight="1" x14ac:dyDescent="0.3">
      <c r="A493" s="415" t="s">
        <v>3396</v>
      </c>
      <c r="B493" s="415" t="s">
        <v>346</v>
      </c>
      <c r="C493" s="415" t="s">
        <v>196</v>
      </c>
      <c r="D493" s="416" t="s">
        <v>347</v>
      </c>
      <c r="E493" s="415" t="s">
        <v>81</v>
      </c>
      <c r="F493" s="100">
        <v>75</v>
      </c>
      <c r="G493" s="101">
        <v>27.02</v>
      </c>
      <c r="H493" s="84">
        <v>0.2122</v>
      </c>
      <c r="I493" s="83">
        <v>32.75</v>
      </c>
      <c r="J493" s="83">
        <v>2456.25</v>
      </c>
      <c r="K493" s="557">
        <v>1.6516411133764085E-4</v>
      </c>
      <c r="L493" s="420"/>
    </row>
    <row r="494" spans="1:13" s="89" customFormat="1" ht="24" customHeight="1" x14ac:dyDescent="0.3">
      <c r="A494" s="88" t="s">
        <v>3397</v>
      </c>
      <c r="B494" s="88" t="s">
        <v>402</v>
      </c>
      <c r="C494" s="88" t="s">
        <v>402</v>
      </c>
      <c r="D494" s="544" t="s">
        <v>323</v>
      </c>
      <c r="E494" s="544" t="s">
        <v>402</v>
      </c>
      <c r="F494" s="87"/>
      <c r="G494" s="86"/>
      <c r="H494" s="88"/>
      <c r="I494" s="85"/>
      <c r="J494" s="82">
        <v>2566711.5700000003</v>
      </c>
      <c r="K494" s="556">
        <v>0.17259181089835765</v>
      </c>
      <c r="L494" s="420"/>
      <c r="M494" s="92"/>
    </row>
    <row r="495" spans="1:13" s="89" customFormat="1" ht="24" customHeight="1" x14ac:dyDescent="0.3">
      <c r="A495" s="88" t="s">
        <v>3398</v>
      </c>
      <c r="B495" s="88" t="s">
        <v>402</v>
      </c>
      <c r="C495" s="88" t="s">
        <v>402</v>
      </c>
      <c r="D495" s="544" t="s">
        <v>324</v>
      </c>
      <c r="E495" s="544" t="s">
        <v>402</v>
      </c>
      <c r="F495" s="87"/>
      <c r="G495" s="86"/>
      <c r="H495" s="88"/>
      <c r="I495" s="85"/>
      <c r="J495" s="82">
        <v>392941.76000000007</v>
      </c>
      <c r="K495" s="556">
        <v>2.6422341617444705E-2</v>
      </c>
      <c r="L495" s="420"/>
      <c r="M495" s="92"/>
    </row>
    <row r="496" spans="1:13" s="92" customFormat="1" ht="39" customHeight="1" x14ac:dyDescent="0.3">
      <c r="A496" s="415" t="s">
        <v>3399</v>
      </c>
      <c r="B496" s="415" t="s">
        <v>132</v>
      </c>
      <c r="C496" s="415" t="s">
        <v>19</v>
      </c>
      <c r="D496" s="416" t="s">
        <v>3779</v>
      </c>
      <c r="E496" s="415" t="s">
        <v>421</v>
      </c>
      <c r="F496" s="100">
        <v>9517.74</v>
      </c>
      <c r="G496" s="101">
        <v>0.65</v>
      </c>
      <c r="H496" s="84">
        <v>0.2122</v>
      </c>
      <c r="I496" s="83">
        <v>0.79</v>
      </c>
      <c r="J496" s="83">
        <v>7519.01</v>
      </c>
      <c r="K496" s="557">
        <v>5.055961749776427E-4</v>
      </c>
      <c r="L496" s="420"/>
    </row>
    <row r="497" spans="1:13" s="92" customFormat="1" ht="39" customHeight="1" x14ac:dyDescent="0.3">
      <c r="A497" s="415" t="s">
        <v>3400</v>
      </c>
      <c r="B497" s="415" t="s">
        <v>107</v>
      </c>
      <c r="C497" s="415" t="s">
        <v>19</v>
      </c>
      <c r="D497" s="416" t="s">
        <v>108</v>
      </c>
      <c r="E497" s="415" t="s">
        <v>227</v>
      </c>
      <c r="F497" s="100">
        <v>2855.32</v>
      </c>
      <c r="G497" s="101">
        <v>8.81</v>
      </c>
      <c r="H497" s="84">
        <v>0.2122</v>
      </c>
      <c r="I497" s="83">
        <v>10.68</v>
      </c>
      <c r="J497" s="83">
        <v>30494.81</v>
      </c>
      <c r="K497" s="557">
        <v>2.0505437940194216E-3</v>
      </c>
      <c r="L497" s="420"/>
    </row>
    <row r="498" spans="1:13" s="92" customFormat="1" ht="39" customHeight="1" x14ac:dyDescent="0.3">
      <c r="A498" s="415" t="s">
        <v>3401</v>
      </c>
      <c r="B498" s="415" t="s">
        <v>109</v>
      </c>
      <c r="C498" s="415" t="s">
        <v>19</v>
      </c>
      <c r="D498" s="416" t="s">
        <v>110</v>
      </c>
      <c r="E498" s="415" t="s">
        <v>111</v>
      </c>
      <c r="F498" s="100">
        <v>85659.66</v>
      </c>
      <c r="G498" s="101">
        <v>2.1</v>
      </c>
      <c r="H498" s="84">
        <v>0.2122</v>
      </c>
      <c r="I498" s="83">
        <v>2.5499999999999998</v>
      </c>
      <c r="J498" s="83">
        <v>218432.13</v>
      </c>
      <c r="K498" s="557">
        <v>1.4687897664748312E-2</v>
      </c>
      <c r="L498" s="420"/>
    </row>
    <row r="499" spans="1:13" s="92" customFormat="1" ht="39" customHeight="1" x14ac:dyDescent="0.3">
      <c r="A499" s="415" t="s">
        <v>3402</v>
      </c>
      <c r="B499" s="415" t="s">
        <v>112</v>
      </c>
      <c r="C499" s="415" t="s">
        <v>19</v>
      </c>
      <c r="D499" s="416" t="s">
        <v>113</v>
      </c>
      <c r="E499" s="415" t="s">
        <v>111</v>
      </c>
      <c r="F499" s="100">
        <v>127918.43</v>
      </c>
      <c r="G499" s="101">
        <v>0.85</v>
      </c>
      <c r="H499" s="84">
        <v>0.2122</v>
      </c>
      <c r="I499" s="83">
        <v>1.03</v>
      </c>
      <c r="J499" s="83">
        <v>131755.98000000001</v>
      </c>
      <c r="K499" s="557">
        <v>8.8595865038656411E-3</v>
      </c>
      <c r="L499" s="420"/>
    </row>
    <row r="500" spans="1:13" s="92" customFormat="1" ht="39" customHeight="1" x14ac:dyDescent="0.3">
      <c r="A500" s="415" t="s">
        <v>3403</v>
      </c>
      <c r="B500" s="415" t="s">
        <v>232</v>
      </c>
      <c r="C500" s="415" t="s">
        <v>19</v>
      </c>
      <c r="D500" s="416" t="s">
        <v>3798</v>
      </c>
      <c r="E500" s="415" t="s">
        <v>227</v>
      </c>
      <c r="F500" s="100">
        <v>2855.32</v>
      </c>
      <c r="G500" s="101">
        <v>1.37</v>
      </c>
      <c r="H500" s="84">
        <v>0.2122</v>
      </c>
      <c r="I500" s="83">
        <v>1.66</v>
      </c>
      <c r="J500" s="83">
        <v>4739.83</v>
      </c>
      <c r="K500" s="557">
        <v>3.1871747983368558E-4</v>
      </c>
      <c r="L500" s="420"/>
    </row>
    <row r="501" spans="1:13" s="89" customFormat="1" ht="24" customHeight="1" x14ac:dyDescent="0.3">
      <c r="A501" s="88" t="s">
        <v>3404</v>
      </c>
      <c r="B501" s="88" t="s">
        <v>402</v>
      </c>
      <c r="C501" s="88" t="s">
        <v>402</v>
      </c>
      <c r="D501" s="544" t="s">
        <v>325</v>
      </c>
      <c r="E501" s="544" t="s">
        <v>402</v>
      </c>
      <c r="F501" s="87"/>
      <c r="G501" s="86"/>
      <c r="H501" s="88"/>
      <c r="I501" s="85"/>
      <c r="J501" s="82">
        <v>810899.17</v>
      </c>
      <c r="K501" s="556">
        <v>5.4526795235615495E-2</v>
      </c>
      <c r="L501" s="420"/>
      <c r="M501" s="92"/>
    </row>
    <row r="502" spans="1:13" s="92" customFormat="1" ht="39" customHeight="1" x14ac:dyDescent="0.3">
      <c r="A502" s="415" t="s">
        <v>3405</v>
      </c>
      <c r="B502" s="415" t="s">
        <v>326</v>
      </c>
      <c r="C502" s="415" t="s">
        <v>19</v>
      </c>
      <c r="D502" s="416" t="s">
        <v>327</v>
      </c>
      <c r="E502" s="415" t="s">
        <v>227</v>
      </c>
      <c r="F502" s="100">
        <v>7228.76</v>
      </c>
      <c r="G502" s="101">
        <v>13.23</v>
      </c>
      <c r="H502" s="84">
        <v>0.2122</v>
      </c>
      <c r="I502" s="83">
        <v>16.04</v>
      </c>
      <c r="J502" s="83">
        <v>115949.31</v>
      </c>
      <c r="K502" s="557">
        <v>7.7967082936845327E-3</v>
      </c>
      <c r="L502" s="420"/>
    </row>
    <row r="503" spans="1:13" s="92" customFormat="1" ht="39" customHeight="1" x14ac:dyDescent="0.3">
      <c r="A503" s="415" t="s">
        <v>3406</v>
      </c>
      <c r="B503" s="415" t="s">
        <v>109</v>
      </c>
      <c r="C503" s="415" t="s">
        <v>19</v>
      </c>
      <c r="D503" s="416" t="s">
        <v>110</v>
      </c>
      <c r="E503" s="415" t="s">
        <v>111</v>
      </c>
      <c r="F503" s="100">
        <v>224830.65469460547</v>
      </c>
      <c r="G503" s="101">
        <v>2.1</v>
      </c>
      <c r="H503" s="84">
        <v>0.2122</v>
      </c>
      <c r="I503" s="83">
        <v>2.5499999999999998</v>
      </c>
      <c r="J503" s="83">
        <v>573318.16</v>
      </c>
      <c r="K503" s="557">
        <v>3.8551281184786318E-2</v>
      </c>
      <c r="L503" s="420"/>
    </row>
    <row r="504" spans="1:13" s="92" customFormat="1" ht="39" customHeight="1" x14ac:dyDescent="0.3">
      <c r="A504" s="415" t="s">
        <v>3407</v>
      </c>
      <c r="B504" s="415" t="s">
        <v>112</v>
      </c>
      <c r="C504" s="415" t="s">
        <v>19</v>
      </c>
      <c r="D504" s="416" t="s">
        <v>113</v>
      </c>
      <c r="E504" s="415" t="s">
        <v>111</v>
      </c>
      <c r="F504" s="100">
        <v>106052.46040908271</v>
      </c>
      <c r="G504" s="101">
        <v>0.85</v>
      </c>
      <c r="H504" s="84">
        <v>0.2122</v>
      </c>
      <c r="I504" s="83">
        <v>1.03</v>
      </c>
      <c r="J504" s="83">
        <v>109234.03</v>
      </c>
      <c r="K504" s="557">
        <v>7.345156841843949E-3</v>
      </c>
      <c r="L504" s="420"/>
    </row>
    <row r="505" spans="1:13" s="92" customFormat="1" ht="39" customHeight="1" x14ac:dyDescent="0.3">
      <c r="A505" s="415" t="s">
        <v>3408</v>
      </c>
      <c r="B505" s="415" t="s">
        <v>232</v>
      </c>
      <c r="C505" s="415" t="s">
        <v>19</v>
      </c>
      <c r="D505" s="416" t="s">
        <v>3798</v>
      </c>
      <c r="E505" s="415" t="s">
        <v>227</v>
      </c>
      <c r="F505" s="100">
        <v>7468.48</v>
      </c>
      <c r="G505" s="101">
        <v>1.37</v>
      </c>
      <c r="H505" s="84">
        <v>0.2122</v>
      </c>
      <c r="I505" s="83">
        <v>1.66</v>
      </c>
      <c r="J505" s="83">
        <v>12397.67</v>
      </c>
      <c r="K505" s="557">
        <v>8.3364891530069405E-4</v>
      </c>
      <c r="L505" s="420"/>
    </row>
    <row r="506" spans="1:13" s="89" customFormat="1" ht="24" customHeight="1" x14ac:dyDescent="0.3">
      <c r="A506" s="88" t="s">
        <v>3409</v>
      </c>
      <c r="B506" s="88" t="s">
        <v>402</v>
      </c>
      <c r="C506" s="88" t="s">
        <v>402</v>
      </c>
      <c r="D506" s="544" t="s">
        <v>328</v>
      </c>
      <c r="E506" s="544" t="s">
        <v>402</v>
      </c>
      <c r="F506" s="87"/>
      <c r="G506" s="86"/>
      <c r="H506" s="88"/>
      <c r="I506" s="85"/>
      <c r="J506" s="82">
        <v>1009.34</v>
      </c>
      <c r="K506" s="556">
        <v>6.7870430183220113E-5</v>
      </c>
      <c r="L506" s="420"/>
      <c r="M506" s="92"/>
    </row>
    <row r="507" spans="1:13" s="92" customFormat="1" ht="39" customHeight="1" x14ac:dyDescent="0.3">
      <c r="A507" s="415" t="s">
        <v>3410</v>
      </c>
      <c r="B507" s="415" t="s">
        <v>329</v>
      </c>
      <c r="C507" s="415" t="s">
        <v>19</v>
      </c>
      <c r="D507" s="416" t="s">
        <v>3819</v>
      </c>
      <c r="E507" s="415" t="s">
        <v>227</v>
      </c>
      <c r="F507" s="100">
        <v>68.429999999999993</v>
      </c>
      <c r="G507" s="101">
        <v>12.17</v>
      </c>
      <c r="H507" s="84">
        <v>0.2122</v>
      </c>
      <c r="I507" s="83">
        <v>14.75</v>
      </c>
      <c r="J507" s="83">
        <v>1009.34</v>
      </c>
      <c r="K507" s="557">
        <v>6.7870430183220113E-5</v>
      </c>
      <c r="L507" s="420"/>
    </row>
    <row r="508" spans="1:13" s="89" customFormat="1" ht="24" customHeight="1" x14ac:dyDescent="0.3">
      <c r="A508" s="88" t="s">
        <v>3411</v>
      </c>
      <c r="B508" s="88" t="s">
        <v>402</v>
      </c>
      <c r="C508" s="88" t="s">
        <v>402</v>
      </c>
      <c r="D508" s="544" t="s">
        <v>330</v>
      </c>
      <c r="E508" s="544" t="s">
        <v>402</v>
      </c>
      <c r="F508" s="87"/>
      <c r="G508" s="86"/>
      <c r="H508" s="88"/>
      <c r="I508" s="85"/>
      <c r="J508" s="82">
        <v>1109490.2999999998</v>
      </c>
      <c r="K508" s="556">
        <v>7.4604775343402555E-2</v>
      </c>
      <c r="L508" s="420"/>
      <c r="M508" s="92"/>
    </row>
    <row r="509" spans="1:13" s="92" customFormat="1" ht="39" customHeight="1" x14ac:dyDescent="0.3">
      <c r="A509" s="415" t="s">
        <v>3412</v>
      </c>
      <c r="B509" s="415" t="s">
        <v>331</v>
      </c>
      <c r="C509" s="415" t="s">
        <v>115</v>
      </c>
      <c r="D509" s="416" t="s">
        <v>389</v>
      </c>
      <c r="E509" s="415" t="s">
        <v>421</v>
      </c>
      <c r="F509" s="100">
        <v>9519.08</v>
      </c>
      <c r="G509" s="101">
        <v>1.1399999999999999</v>
      </c>
      <c r="H509" s="84">
        <v>0.2122</v>
      </c>
      <c r="I509" s="83">
        <v>1.38</v>
      </c>
      <c r="J509" s="83">
        <v>13136.33</v>
      </c>
      <c r="K509" s="557">
        <v>8.8331817636152327E-4</v>
      </c>
      <c r="L509" s="420"/>
    </row>
    <row r="510" spans="1:13" s="92" customFormat="1" ht="39" customHeight="1" x14ac:dyDescent="0.3">
      <c r="A510" s="415" t="s">
        <v>3413</v>
      </c>
      <c r="B510" s="415" t="s">
        <v>332</v>
      </c>
      <c r="C510" s="415" t="s">
        <v>115</v>
      </c>
      <c r="D510" s="416" t="s">
        <v>390</v>
      </c>
      <c r="E510" s="415" t="s">
        <v>227</v>
      </c>
      <c r="F510" s="100">
        <v>3807.11</v>
      </c>
      <c r="G510" s="101">
        <v>8.59</v>
      </c>
      <c r="H510" s="84">
        <v>0.2122</v>
      </c>
      <c r="I510" s="83">
        <v>10.41</v>
      </c>
      <c r="J510" s="83">
        <v>39632.01</v>
      </c>
      <c r="K510" s="557">
        <v>2.6649509260761304E-3</v>
      </c>
      <c r="L510" s="420"/>
    </row>
    <row r="511" spans="1:13" s="92" customFormat="1" ht="39" customHeight="1" x14ac:dyDescent="0.3">
      <c r="A511" s="415" t="s">
        <v>3414</v>
      </c>
      <c r="B511" s="415" t="s">
        <v>253</v>
      </c>
      <c r="C511" s="415" t="s">
        <v>3751</v>
      </c>
      <c r="D511" s="416" t="s">
        <v>254</v>
      </c>
      <c r="E511" s="415" t="s">
        <v>227</v>
      </c>
      <c r="F511" s="100">
        <v>1427.6599999999999</v>
      </c>
      <c r="G511" s="101">
        <v>15.45</v>
      </c>
      <c r="H511" s="84">
        <v>0.2122</v>
      </c>
      <c r="I511" s="83">
        <v>18.73</v>
      </c>
      <c r="J511" s="83">
        <v>26740.07</v>
      </c>
      <c r="K511" s="557">
        <v>1.7980661165012965E-3</v>
      </c>
      <c r="L511" s="420"/>
    </row>
    <row r="512" spans="1:13" s="92" customFormat="1" ht="39" customHeight="1" x14ac:dyDescent="0.3">
      <c r="A512" s="415" t="s">
        <v>3415</v>
      </c>
      <c r="B512" s="415" t="s">
        <v>255</v>
      </c>
      <c r="C512" s="415" t="s">
        <v>115</v>
      </c>
      <c r="D512" s="416" t="s">
        <v>387</v>
      </c>
      <c r="E512" s="415" t="s">
        <v>227</v>
      </c>
      <c r="F512" s="100">
        <v>1382.69</v>
      </c>
      <c r="G512" s="101">
        <v>208.42</v>
      </c>
      <c r="H512" s="84">
        <v>0.2122</v>
      </c>
      <c r="I512" s="83">
        <v>252.65</v>
      </c>
      <c r="J512" s="83">
        <v>349336.62</v>
      </c>
      <c r="K512" s="557">
        <v>2.3490227949107434E-2</v>
      </c>
      <c r="L512" s="420"/>
    </row>
    <row r="513" spans="1:13" s="92" customFormat="1" ht="39" customHeight="1" x14ac:dyDescent="0.3">
      <c r="A513" s="415" t="s">
        <v>3416</v>
      </c>
      <c r="B513" s="415" t="s">
        <v>256</v>
      </c>
      <c r="C513" s="415" t="s">
        <v>3751</v>
      </c>
      <c r="D513" s="416" t="s">
        <v>257</v>
      </c>
      <c r="E513" s="415" t="s">
        <v>421</v>
      </c>
      <c r="F513" s="100">
        <v>9126.6666666666679</v>
      </c>
      <c r="G513" s="101">
        <v>0.28000000000000003</v>
      </c>
      <c r="H513" s="84">
        <v>0.2122</v>
      </c>
      <c r="I513" s="83">
        <v>0.34</v>
      </c>
      <c r="J513" s="83">
        <v>3103.06</v>
      </c>
      <c r="K513" s="557">
        <v>2.0865715921725386E-4</v>
      </c>
      <c r="L513" s="420"/>
    </row>
    <row r="514" spans="1:13" s="92" customFormat="1" ht="39" customHeight="1" x14ac:dyDescent="0.3">
      <c r="A514" s="415" t="s">
        <v>3417</v>
      </c>
      <c r="B514" s="415" t="s">
        <v>259</v>
      </c>
      <c r="C514" s="415" t="s">
        <v>3751</v>
      </c>
      <c r="D514" s="416" t="s">
        <v>260</v>
      </c>
      <c r="E514" s="415" t="s">
        <v>421</v>
      </c>
      <c r="F514" s="100">
        <v>9126.6666666666679</v>
      </c>
      <c r="G514" s="101">
        <v>0.4</v>
      </c>
      <c r="H514" s="84">
        <v>0.2122</v>
      </c>
      <c r="I514" s="83">
        <v>0.48</v>
      </c>
      <c r="J514" s="83">
        <v>4380.8</v>
      </c>
      <c r="K514" s="557">
        <v>2.9457544588211177E-4</v>
      </c>
      <c r="L514" s="420"/>
    </row>
    <row r="515" spans="1:13" s="92" customFormat="1" ht="39" customHeight="1" x14ac:dyDescent="0.3">
      <c r="A515" s="415" t="s">
        <v>3418</v>
      </c>
      <c r="B515" s="415" t="s">
        <v>264</v>
      </c>
      <c r="C515" s="415" t="s">
        <v>3751</v>
      </c>
      <c r="D515" s="416" t="s">
        <v>265</v>
      </c>
      <c r="E515" s="415" t="s">
        <v>227</v>
      </c>
      <c r="F515" s="100">
        <v>273.8</v>
      </c>
      <c r="G515" s="101">
        <v>124.59</v>
      </c>
      <c r="H515" s="84">
        <v>0.2122</v>
      </c>
      <c r="I515" s="83">
        <v>151.03</v>
      </c>
      <c r="J515" s="83">
        <v>41352.01</v>
      </c>
      <c r="K515" s="557">
        <v>2.7806078305039135E-3</v>
      </c>
      <c r="L515" s="420"/>
    </row>
    <row r="516" spans="1:13" s="92" customFormat="1" ht="39" customHeight="1" x14ac:dyDescent="0.3">
      <c r="A516" s="415" t="s">
        <v>3419</v>
      </c>
      <c r="B516" s="415" t="s">
        <v>333</v>
      </c>
      <c r="C516" s="415" t="s">
        <v>115</v>
      </c>
      <c r="D516" s="416" t="s">
        <v>369</v>
      </c>
      <c r="E516" s="415" t="s">
        <v>421</v>
      </c>
      <c r="F516" s="100">
        <v>797.18000000000006</v>
      </c>
      <c r="G516" s="101">
        <v>10.38</v>
      </c>
      <c r="H516" s="84">
        <v>0.2122</v>
      </c>
      <c r="I516" s="83">
        <v>12.58</v>
      </c>
      <c r="J516" s="83">
        <v>10028.52</v>
      </c>
      <c r="K516" s="557">
        <v>6.7434161580936711E-4</v>
      </c>
      <c r="L516" s="420"/>
    </row>
    <row r="517" spans="1:13" s="92" customFormat="1" ht="39" customHeight="1" x14ac:dyDescent="0.3">
      <c r="A517" s="415" t="s">
        <v>3420</v>
      </c>
      <c r="B517" s="415" t="s">
        <v>266</v>
      </c>
      <c r="C517" s="415" t="s">
        <v>3751</v>
      </c>
      <c r="D517" s="416" t="s">
        <v>267</v>
      </c>
      <c r="E517" s="415" t="s">
        <v>262</v>
      </c>
      <c r="F517" s="100">
        <v>657.12</v>
      </c>
      <c r="G517" s="101">
        <v>188.17</v>
      </c>
      <c r="H517" s="84">
        <v>0.2122</v>
      </c>
      <c r="I517" s="83">
        <v>228.1</v>
      </c>
      <c r="J517" s="83">
        <v>149889.07</v>
      </c>
      <c r="K517" s="557">
        <v>1.0078898746371683E-2</v>
      </c>
      <c r="L517" s="420"/>
    </row>
    <row r="518" spans="1:13" s="92" customFormat="1" ht="39" customHeight="1" x14ac:dyDescent="0.3">
      <c r="A518" s="415" t="s">
        <v>3421</v>
      </c>
      <c r="B518" s="415" t="s">
        <v>3489</v>
      </c>
      <c r="C518" s="415" t="s">
        <v>3751</v>
      </c>
      <c r="D518" s="416" t="s">
        <v>268</v>
      </c>
      <c r="E518" s="415" t="s">
        <v>262</v>
      </c>
      <c r="F518" s="100">
        <v>41.549697599999995</v>
      </c>
      <c r="G518" s="101">
        <v>5274.22</v>
      </c>
      <c r="H518" s="84">
        <v>0.111</v>
      </c>
      <c r="I518" s="83">
        <v>5859.66</v>
      </c>
      <c r="J518" s="83">
        <v>243467.1</v>
      </c>
      <c r="K518" s="557">
        <v>1.6371308788377625E-2</v>
      </c>
      <c r="L518" s="420"/>
    </row>
    <row r="519" spans="1:13" s="92" customFormat="1" ht="39" customHeight="1" x14ac:dyDescent="0.3">
      <c r="A519" s="415" t="s">
        <v>3422</v>
      </c>
      <c r="B519" s="415" t="s">
        <v>3487</v>
      </c>
      <c r="C519" s="415" t="s">
        <v>3751</v>
      </c>
      <c r="D519" s="416" t="s">
        <v>258</v>
      </c>
      <c r="E519" s="415" t="s">
        <v>262</v>
      </c>
      <c r="F519" s="100">
        <v>4.1070000000000002</v>
      </c>
      <c r="G519" s="101">
        <v>4033.08</v>
      </c>
      <c r="H519" s="84">
        <v>0.111</v>
      </c>
      <c r="I519" s="83">
        <v>4480.75</v>
      </c>
      <c r="J519" s="83">
        <v>18402.439999999999</v>
      </c>
      <c r="K519" s="557">
        <v>1.2374239792546586E-3</v>
      </c>
      <c r="L519" s="420"/>
    </row>
    <row r="520" spans="1:13" s="92" customFormat="1" ht="39" customHeight="1" x14ac:dyDescent="0.3">
      <c r="A520" s="415" t="s">
        <v>3423</v>
      </c>
      <c r="B520" s="415" t="s">
        <v>3488</v>
      </c>
      <c r="C520" s="415" t="s">
        <v>3751</v>
      </c>
      <c r="D520" s="416" t="s">
        <v>261</v>
      </c>
      <c r="E520" s="415" t="s">
        <v>262</v>
      </c>
      <c r="F520" s="100">
        <v>11.864666666666668</v>
      </c>
      <c r="G520" s="101">
        <v>4291.21</v>
      </c>
      <c r="H520" s="84">
        <v>0.111</v>
      </c>
      <c r="I520" s="83">
        <v>4767.53</v>
      </c>
      <c r="J520" s="83">
        <v>56565.15</v>
      </c>
      <c r="K520" s="557">
        <v>3.8035756671472186E-3</v>
      </c>
      <c r="L520" s="420"/>
    </row>
    <row r="521" spans="1:13" s="92" customFormat="1" ht="39" customHeight="1" x14ac:dyDescent="0.3">
      <c r="A521" s="415" t="s">
        <v>3424</v>
      </c>
      <c r="B521" s="415" t="s">
        <v>263</v>
      </c>
      <c r="C521" s="415" t="s">
        <v>115</v>
      </c>
      <c r="D521" s="416" t="s">
        <v>388</v>
      </c>
      <c r="E521" s="415" t="s">
        <v>424</v>
      </c>
      <c r="F521" s="100">
        <v>999.36199999999997</v>
      </c>
      <c r="G521" s="101">
        <v>0.54</v>
      </c>
      <c r="H521" s="84">
        <v>0.111</v>
      </c>
      <c r="I521" s="83">
        <v>0.6</v>
      </c>
      <c r="J521" s="83">
        <v>599.61</v>
      </c>
      <c r="K521" s="557">
        <v>4.0319207246478508E-5</v>
      </c>
      <c r="L521" s="420"/>
    </row>
    <row r="522" spans="1:13" s="92" customFormat="1" ht="39" customHeight="1" x14ac:dyDescent="0.3">
      <c r="A522" s="415" t="s">
        <v>3425</v>
      </c>
      <c r="B522" s="415" t="s">
        <v>334</v>
      </c>
      <c r="C522" s="415" t="s">
        <v>19</v>
      </c>
      <c r="D522" s="416" t="s">
        <v>3820</v>
      </c>
      <c r="E522" s="415" t="s">
        <v>173</v>
      </c>
      <c r="F522" s="100">
        <v>2607.6000000000004</v>
      </c>
      <c r="G522" s="101">
        <v>48.36</v>
      </c>
      <c r="H522" s="84">
        <v>0.2122</v>
      </c>
      <c r="I522" s="83">
        <v>58.62</v>
      </c>
      <c r="J522" s="83">
        <v>152857.51</v>
      </c>
      <c r="K522" s="557">
        <v>1.0278503735545874E-2</v>
      </c>
      <c r="L522" s="420"/>
    </row>
    <row r="523" spans="1:13" s="89" customFormat="1" ht="24" customHeight="1" x14ac:dyDescent="0.3">
      <c r="A523" s="88" t="s">
        <v>3426</v>
      </c>
      <c r="B523" s="88" t="s">
        <v>402</v>
      </c>
      <c r="C523" s="88" t="s">
        <v>402</v>
      </c>
      <c r="D523" s="544" t="s">
        <v>335</v>
      </c>
      <c r="E523" s="544" t="s">
        <v>402</v>
      </c>
      <c r="F523" s="87"/>
      <c r="G523" s="86"/>
      <c r="H523" s="88"/>
      <c r="I523" s="85"/>
      <c r="J523" s="82">
        <v>252371</v>
      </c>
      <c r="K523" s="556">
        <v>1.6970028271711658E-2</v>
      </c>
      <c r="L523" s="420"/>
      <c r="M523" s="92"/>
    </row>
    <row r="524" spans="1:13" s="92" customFormat="1" ht="39" customHeight="1" x14ac:dyDescent="0.3">
      <c r="A524" s="415" t="s">
        <v>3427</v>
      </c>
      <c r="B524" s="415" t="s">
        <v>336</v>
      </c>
      <c r="C524" s="415" t="s">
        <v>115</v>
      </c>
      <c r="D524" s="416" t="s">
        <v>391</v>
      </c>
      <c r="E524" s="415" t="s">
        <v>421</v>
      </c>
      <c r="F524" s="100">
        <v>2.98</v>
      </c>
      <c r="G524" s="101">
        <v>501.28</v>
      </c>
      <c r="H524" s="84">
        <v>0.2122</v>
      </c>
      <c r="I524" s="83">
        <v>607.65</v>
      </c>
      <c r="J524" s="83">
        <v>1810.79</v>
      </c>
      <c r="K524" s="557">
        <v>1.2176184067952637E-4</v>
      </c>
      <c r="L524" s="420"/>
    </row>
    <row r="525" spans="1:13" s="92" customFormat="1" ht="39" customHeight="1" x14ac:dyDescent="0.3">
      <c r="A525" s="415" t="s">
        <v>3428</v>
      </c>
      <c r="B525" s="415" t="s">
        <v>337</v>
      </c>
      <c r="C525" s="415" t="s">
        <v>115</v>
      </c>
      <c r="D525" s="416" t="s">
        <v>3821</v>
      </c>
      <c r="E525" s="415" t="s">
        <v>81</v>
      </c>
      <c r="F525" s="100">
        <v>13</v>
      </c>
      <c r="G525" s="101">
        <v>509.43</v>
      </c>
      <c r="H525" s="84">
        <v>0.2122</v>
      </c>
      <c r="I525" s="83">
        <v>617.53</v>
      </c>
      <c r="J525" s="83">
        <v>8027.89</v>
      </c>
      <c r="K525" s="557">
        <v>5.3981448051555563E-4</v>
      </c>
      <c r="L525" s="420"/>
    </row>
    <row r="526" spans="1:13" s="92" customFormat="1" ht="39" customHeight="1" x14ac:dyDescent="0.3">
      <c r="A526" s="415" t="s">
        <v>3429</v>
      </c>
      <c r="B526" s="415" t="s">
        <v>338</v>
      </c>
      <c r="C526" s="415" t="s">
        <v>115</v>
      </c>
      <c r="D526" s="416" t="s">
        <v>392</v>
      </c>
      <c r="E526" s="415" t="s">
        <v>421</v>
      </c>
      <c r="F526" s="100">
        <v>4198.24</v>
      </c>
      <c r="G526" s="101">
        <v>47.66</v>
      </c>
      <c r="H526" s="84">
        <v>0.2122</v>
      </c>
      <c r="I526" s="83">
        <v>57.77</v>
      </c>
      <c r="J526" s="83">
        <v>242532.32</v>
      </c>
      <c r="K526" s="557">
        <v>1.6308451950516577E-2</v>
      </c>
      <c r="L526" s="420"/>
    </row>
    <row r="527" spans="1:13" s="89" customFormat="1" ht="24" customHeight="1" x14ac:dyDescent="0.3">
      <c r="A527" s="88" t="s">
        <v>3430</v>
      </c>
      <c r="B527" s="88" t="s">
        <v>402</v>
      </c>
      <c r="C527" s="88" t="s">
        <v>402</v>
      </c>
      <c r="D527" s="544" t="s">
        <v>348</v>
      </c>
      <c r="E527" s="544" t="s">
        <v>402</v>
      </c>
      <c r="F527" s="87"/>
      <c r="G527" s="86"/>
      <c r="H527" s="88"/>
      <c r="I527" s="85"/>
      <c r="J527" s="82">
        <v>84989.569999999978</v>
      </c>
      <c r="K527" s="556">
        <v>5.7149014970048718E-3</v>
      </c>
      <c r="L527" s="420"/>
      <c r="M527" s="92"/>
    </row>
    <row r="528" spans="1:13" s="92" customFormat="1" ht="39" customHeight="1" x14ac:dyDescent="0.3">
      <c r="A528" s="415" t="s">
        <v>3431</v>
      </c>
      <c r="B528" s="415" t="s">
        <v>179</v>
      </c>
      <c r="C528" s="415" t="s">
        <v>175</v>
      </c>
      <c r="D528" s="416" t="s">
        <v>180</v>
      </c>
      <c r="E528" s="415" t="s">
        <v>173</v>
      </c>
      <c r="F528" s="100">
        <v>475.19999999999993</v>
      </c>
      <c r="G528" s="101">
        <v>3.25</v>
      </c>
      <c r="H528" s="84">
        <v>0.2122</v>
      </c>
      <c r="I528" s="83">
        <v>3.94</v>
      </c>
      <c r="J528" s="83">
        <v>1872.28</v>
      </c>
      <c r="K528" s="557">
        <v>1.2589657501281963E-4</v>
      </c>
      <c r="L528" s="420"/>
    </row>
    <row r="529" spans="1:16" s="92" customFormat="1" ht="39" customHeight="1" x14ac:dyDescent="0.3">
      <c r="A529" s="415" t="s">
        <v>3432</v>
      </c>
      <c r="B529" s="415" t="s">
        <v>190</v>
      </c>
      <c r="C529" s="415" t="s">
        <v>19</v>
      </c>
      <c r="D529" s="416" t="s">
        <v>3551</v>
      </c>
      <c r="E529" s="415" t="s">
        <v>421</v>
      </c>
      <c r="F529" s="100">
        <v>213.83999999999995</v>
      </c>
      <c r="G529" s="101">
        <v>22.73</v>
      </c>
      <c r="H529" s="84">
        <v>0.2122</v>
      </c>
      <c r="I529" s="83">
        <v>27.55</v>
      </c>
      <c r="J529" s="83">
        <v>5891.29</v>
      </c>
      <c r="K529" s="557">
        <v>3.9614439795718274E-4</v>
      </c>
      <c r="L529" s="420"/>
    </row>
    <row r="530" spans="1:16" s="92" customFormat="1" ht="39" customHeight="1" x14ac:dyDescent="0.3">
      <c r="A530" s="415" t="s">
        <v>3433</v>
      </c>
      <c r="B530" s="415" t="s">
        <v>221</v>
      </c>
      <c r="C530" s="415" t="s">
        <v>19</v>
      </c>
      <c r="D530" s="416" t="s">
        <v>3795</v>
      </c>
      <c r="E530" s="415" t="s">
        <v>227</v>
      </c>
      <c r="F530" s="100">
        <v>45.444239999999958</v>
      </c>
      <c r="G530" s="101">
        <v>9.31</v>
      </c>
      <c r="H530" s="84">
        <v>0.2122</v>
      </c>
      <c r="I530" s="83">
        <v>11.29</v>
      </c>
      <c r="J530" s="83">
        <v>513.05999999999995</v>
      </c>
      <c r="K530" s="557">
        <v>3.4499378712626976E-5</v>
      </c>
      <c r="L530" s="420"/>
    </row>
    <row r="531" spans="1:16" s="92" customFormat="1" ht="39" customHeight="1" x14ac:dyDescent="0.3">
      <c r="A531" s="415" t="s">
        <v>3434</v>
      </c>
      <c r="B531" s="415" t="s">
        <v>222</v>
      </c>
      <c r="C531" s="415" t="s">
        <v>19</v>
      </c>
      <c r="D531" s="416" t="s">
        <v>3796</v>
      </c>
      <c r="E531" s="415" t="s">
        <v>227</v>
      </c>
      <c r="F531" s="100">
        <v>30.63420000000027</v>
      </c>
      <c r="G531" s="101">
        <v>8.6999999999999993</v>
      </c>
      <c r="H531" s="84">
        <v>0.2122</v>
      </c>
      <c r="I531" s="83">
        <v>10.55</v>
      </c>
      <c r="J531" s="83">
        <v>323.19</v>
      </c>
      <c r="K531" s="557">
        <v>2.1732066826753036E-5</v>
      </c>
      <c r="L531" s="420"/>
    </row>
    <row r="532" spans="1:16" s="92" customFormat="1" ht="39" customHeight="1" x14ac:dyDescent="0.3">
      <c r="A532" s="415" t="s">
        <v>3435</v>
      </c>
      <c r="B532" s="415" t="s">
        <v>318</v>
      </c>
      <c r="C532" s="415" t="s">
        <v>19</v>
      </c>
      <c r="D532" s="416" t="s">
        <v>319</v>
      </c>
      <c r="E532" s="415" t="s">
        <v>173</v>
      </c>
      <c r="F532" s="100">
        <v>23.481000000000069</v>
      </c>
      <c r="G532" s="101">
        <v>300.54000000000002</v>
      </c>
      <c r="H532" s="84">
        <v>0.2122</v>
      </c>
      <c r="I532" s="83">
        <v>364.31</v>
      </c>
      <c r="J532" s="83">
        <v>8554.36</v>
      </c>
      <c r="K532" s="557">
        <v>5.7521557962840161E-4</v>
      </c>
      <c r="L532" s="420"/>
    </row>
    <row r="533" spans="1:16" s="92" customFormat="1" ht="39" customHeight="1" x14ac:dyDescent="0.3">
      <c r="A533" s="415" t="s">
        <v>3436</v>
      </c>
      <c r="B533" s="415" t="s">
        <v>349</v>
      </c>
      <c r="C533" s="415" t="s">
        <v>188</v>
      </c>
      <c r="D533" s="416" t="s">
        <v>350</v>
      </c>
      <c r="E533" s="415" t="s">
        <v>81</v>
      </c>
      <c r="F533" s="100">
        <v>66</v>
      </c>
      <c r="G533" s="101">
        <v>541.14</v>
      </c>
      <c r="H533" s="84">
        <v>0.2122</v>
      </c>
      <c r="I533" s="83">
        <v>655.97</v>
      </c>
      <c r="J533" s="83">
        <v>43294.02</v>
      </c>
      <c r="K533" s="557">
        <v>2.9111932171130991E-3</v>
      </c>
      <c r="L533" s="420"/>
    </row>
    <row r="534" spans="1:16" s="92" customFormat="1" ht="39" customHeight="1" x14ac:dyDescent="0.3">
      <c r="A534" s="415" t="s">
        <v>3437</v>
      </c>
      <c r="B534" s="415" t="s">
        <v>264</v>
      </c>
      <c r="C534" s="415" t="s">
        <v>3751</v>
      </c>
      <c r="D534" s="416" t="s">
        <v>265</v>
      </c>
      <c r="E534" s="415" t="s">
        <v>227</v>
      </c>
      <c r="F534" s="100">
        <v>5.8553681891302967</v>
      </c>
      <c r="G534" s="101">
        <v>124.59</v>
      </c>
      <c r="H534" s="84">
        <v>0.2122</v>
      </c>
      <c r="I534" s="83">
        <v>151.03</v>
      </c>
      <c r="J534" s="83">
        <v>884.33</v>
      </c>
      <c r="K534" s="557">
        <v>5.9464459472454325E-5</v>
      </c>
      <c r="L534" s="420"/>
      <c r="P534" s="419"/>
    </row>
    <row r="535" spans="1:16" s="92" customFormat="1" ht="39" customHeight="1" x14ac:dyDescent="0.3">
      <c r="A535" s="415" t="s">
        <v>3438</v>
      </c>
      <c r="B535" s="415" t="s">
        <v>256</v>
      </c>
      <c r="C535" s="415" t="s">
        <v>3751</v>
      </c>
      <c r="D535" s="416" t="s">
        <v>257</v>
      </c>
      <c r="E535" s="415" t="s">
        <v>421</v>
      </c>
      <c r="F535" s="100">
        <v>195.17893963767673</v>
      </c>
      <c r="G535" s="101">
        <v>0.28000000000000003</v>
      </c>
      <c r="H535" s="84">
        <v>0.2122</v>
      </c>
      <c r="I535" s="83">
        <v>0.34</v>
      </c>
      <c r="J535" s="83">
        <v>66.36</v>
      </c>
      <c r="K535" s="557">
        <v>4.4622047545509809E-6</v>
      </c>
      <c r="L535" s="420"/>
      <c r="P535" s="419"/>
    </row>
    <row r="536" spans="1:16" s="92" customFormat="1" ht="39" customHeight="1" x14ac:dyDescent="0.3">
      <c r="A536" s="415" t="s">
        <v>3439</v>
      </c>
      <c r="B536" s="415" t="s">
        <v>259</v>
      </c>
      <c r="C536" s="415" t="s">
        <v>3751</v>
      </c>
      <c r="D536" s="416" t="s">
        <v>260</v>
      </c>
      <c r="E536" s="415" t="s">
        <v>421</v>
      </c>
      <c r="F536" s="100">
        <v>195.17893963767673</v>
      </c>
      <c r="G536" s="101">
        <v>0.4</v>
      </c>
      <c r="H536" s="84">
        <v>0.2122</v>
      </c>
      <c r="I536" s="83">
        <v>0.48</v>
      </c>
      <c r="J536" s="83">
        <v>93.68</v>
      </c>
      <c r="K536" s="557">
        <v>6.2992667481364664E-6</v>
      </c>
      <c r="L536" s="420"/>
      <c r="P536" s="419"/>
    </row>
    <row r="537" spans="1:16" s="92" customFormat="1" ht="39" customHeight="1" x14ac:dyDescent="0.3">
      <c r="A537" s="415" t="s">
        <v>3440</v>
      </c>
      <c r="B537" s="415" t="s">
        <v>255</v>
      </c>
      <c r="C537" s="415" t="s">
        <v>115</v>
      </c>
      <c r="D537" s="416" t="s">
        <v>387</v>
      </c>
      <c r="E537" s="415" t="s">
        <v>227</v>
      </c>
      <c r="F537" s="100">
        <v>25.595056402486247</v>
      </c>
      <c r="G537" s="101">
        <v>208.42</v>
      </c>
      <c r="H537" s="84">
        <v>0.2122</v>
      </c>
      <c r="I537" s="83">
        <v>252.65</v>
      </c>
      <c r="J537" s="83">
        <v>6466.59</v>
      </c>
      <c r="K537" s="557">
        <v>4.3482894279282439E-4</v>
      </c>
      <c r="L537" s="420"/>
      <c r="P537" s="419"/>
    </row>
    <row r="538" spans="1:16" s="92" customFormat="1" ht="39" customHeight="1" x14ac:dyDescent="0.3">
      <c r="A538" s="415" t="s">
        <v>3441</v>
      </c>
      <c r="B538" s="415" t="s">
        <v>253</v>
      </c>
      <c r="C538" s="415" t="s">
        <v>3751</v>
      </c>
      <c r="D538" s="416" t="s">
        <v>254</v>
      </c>
      <c r="E538" s="415" t="s">
        <v>227</v>
      </c>
      <c r="F538" s="100">
        <v>7.9609349318884588</v>
      </c>
      <c r="G538" s="101">
        <v>15.45</v>
      </c>
      <c r="H538" s="84">
        <v>0.2122</v>
      </c>
      <c r="I538" s="83">
        <v>18.73</v>
      </c>
      <c r="J538" s="83">
        <v>149.1</v>
      </c>
      <c r="K538" s="557">
        <v>1.002583979661771E-5</v>
      </c>
      <c r="L538" s="420"/>
      <c r="P538" s="419"/>
    </row>
    <row r="539" spans="1:16" s="92" customFormat="1" ht="39" customHeight="1" x14ac:dyDescent="0.3">
      <c r="A539" s="415" t="s">
        <v>3442</v>
      </c>
      <c r="B539" s="415" t="s">
        <v>3559</v>
      </c>
      <c r="C539" s="415" t="s">
        <v>3560</v>
      </c>
      <c r="D539" s="416" t="s">
        <v>3806</v>
      </c>
      <c r="E539" s="415" t="s">
        <v>227</v>
      </c>
      <c r="F539" s="100">
        <v>35.883352326720761</v>
      </c>
      <c r="G539" s="101">
        <v>56.12</v>
      </c>
      <c r="H539" s="84">
        <v>0.2122</v>
      </c>
      <c r="I539" s="83">
        <v>68.03</v>
      </c>
      <c r="J539" s="83">
        <v>2441.14</v>
      </c>
      <c r="K539" s="557">
        <v>1.6414807888072002E-4</v>
      </c>
      <c r="L539" s="420"/>
      <c r="P539" s="419"/>
    </row>
    <row r="540" spans="1:16" s="92" customFormat="1" ht="39" customHeight="1" x14ac:dyDescent="0.3">
      <c r="A540" s="415" t="s">
        <v>3443</v>
      </c>
      <c r="B540" s="415" t="s">
        <v>332</v>
      </c>
      <c r="C540" s="415" t="s">
        <v>115</v>
      </c>
      <c r="D540" s="416" t="s">
        <v>390</v>
      </c>
      <c r="E540" s="415" t="s">
        <v>227</v>
      </c>
      <c r="F540" s="100">
        <v>35.883352326720761</v>
      </c>
      <c r="G540" s="101">
        <v>8.59</v>
      </c>
      <c r="H540" s="84">
        <v>0.2122</v>
      </c>
      <c r="I540" s="83">
        <v>10.41</v>
      </c>
      <c r="J540" s="83">
        <v>373.54</v>
      </c>
      <c r="K540" s="557">
        <v>2.5117720976717503E-5</v>
      </c>
      <c r="L540" s="420"/>
      <c r="P540" s="419"/>
    </row>
    <row r="541" spans="1:16" s="92" customFormat="1" ht="39" customHeight="1" x14ac:dyDescent="0.3">
      <c r="A541" s="415" t="s">
        <v>3444</v>
      </c>
      <c r="B541" s="415" t="s">
        <v>107</v>
      </c>
      <c r="C541" s="415" t="s">
        <v>19</v>
      </c>
      <c r="D541" s="416" t="s">
        <v>108</v>
      </c>
      <c r="E541" s="415" t="s">
        <v>227</v>
      </c>
      <c r="F541" s="100">
        <v>6.4151999999999978</v>
      </c>
      <c r="G541" s="101">
        <v>8.81</v>
      </c>
      <c r="H541" s="84">
        <v>0.2122</v>
      </c>
      <c r="I541" s="83">
        <v>10.68</v>
      </c>
      <c r="J541" s="83">
        <v>68.510000000000005</v>
      </c>
      <c r="K541" s="557">
        <v>4.6067758850857097E-6</v>
      </c>
      <c r="L541" s="420"/>
      <c r="P541" s="419"/>
    </row>
    <row r="542" spans="1:16" s="92" customFormat="1" ht="39" customHeight="1" x14ac:dyDescent="0.3">
      <c r="A542" s="415" t="s">
        <v>3445</v>
      </c>
      <c r="B542" s="415" t="s">
        <v>116</v>
      </c>
      <c r="C542" s="415" t="s">
        <v>19</v>
      </c>
      <c r="D542" s="416" t="s">
        <v>117</v>
      </c>
      <c r="E542" s="415" t="s">
        <v>227</v>
      </c>
      <c r="F542" s="100">
        <v>32.234152741391007</v>
      </c>
      <c r="G542" s="101">
        <v>6.53</v>
      </c>
      <c r="H542" s="84">
        <v>0.2122</v>
      </c>
      <c r="I542" s="83">
        <v>7.92</v>
      </c>
      <c r="J542" s="83">
        <v>255.29</v>
      </c>
      <c r="K542" s="557">
        <v>1.7166308797307411E-5</v>
      </c>
      <c r="L542" s="420"/>
      <c r="P542" s="419"/>
    </row>
    <row r="543" spans="1:16" s="92" customFormat="1" ht="39" customHeight="1" x14ac:dyDescent="0.3">
      <c r="A543" s="415" t="s">
        <v>3446</v>
      </c>
      <c r="B543" s="415" t="s">
        <v>109</v>
      </c>
      <c r="C543" s="415" t="s">
        <v>19</v>
      </c>
      <c r="D543" s="416" t="s">
        <v>110</v>
      </c>
      <c r="E543" s="415" t="s">
        <v>111</v>
      </c>
      <c r="F543" s="100">
        <v>1159.4805822417302</v>
      </c>
      <c r="G543" s="101">
        <v>2.1</v>
      </c>
      <c r="H543" s="84">
        <v>0.2122</v>
      </c>
      <c r="I543" s="83">
        <v>2.5499999999999998</v>
      </c>
      <c r="J543" s="83">
        <v>2956.67</v>
      </c>
      <c r="K543" s="557">
        <v>1.9881354628749622E-4</v>
      </c>
      <c r="L543" s="420"/>
      <c r="P543" s="419"/>
    </row>
    <row r="544" spans="1:16" s="92" customFormat="1" ht="39" customHeight="1" x14ac:dyDescent="0.3">
      <c r="A544" s="415" t="s">
        <v>3447</v>
      </c>
      <c r="B544" s="415" t="s">
        <v>112</v>
      </c>
      <c r="C544" s="415" t="s">
        <v>19</v>
      </c>
      <c r="D544" s="416" t="s">
        <v>113</v>
      </c>
      <c r="E544" s="415" t="s">
        <v>111</v>
      </c>
      <c r="F544" s="100">
        <v>745.12592892775228</v>
      </c>
      <c r="G544" s="101">
        <v>0.85</v>
      </c>
      <c r="H544" s="84">
        <v>0.2122</v>
      </c>
      <c r="I544" s="83">
        <v>1.03</v>
      </c>
      <c r="J544" s="83">
        <v>767.47</v>
      </c>
      <c r="K544" s="557">
        <v>5.1606514209994599E-5</v>
      </c>
      <c r="L544" s="420"/>
      <c r="P544" s="419"/>
    </row>
    <row r="545" spans="1:16" s="92" customFormat="1" ht="39" customHeight="1" x14ac:dyDescent="0.3">
      <c r="A545" s="415" t="s">
        <v>3448</v>
      </c>
      <c r="B545" s="415" t="s">
        <v>266</v>
      </c>
      <c r="C545" s="415" t="s">
        <v>3751</v>
      </c>
      <c r="D545" s="416" t="s">
        <v>267</v>
      </c>
      <c r="E545" s="415" t="s">
        <v>262</v>
      </c>
      <c r="F545" s="100">
        <v>14.052883653912712</v>
      </c>
      <c r="G545" s="101">
        <v>188.17</v>
      </c>
      <c r="H545" s="84">
        <v>0.2122</v>
      </c>
      <c r="I545" s="83">
        <v>228.1</v>
      </c>
      <c r="J545" s="83">
        <v>3205.46</v>
      </c>
      <c r="K545" s="557">
        <v>2.1554277957388468E-4</v>
      </c>
      <c r="L545" s="420"/>
      <c r="P545" s="419"/>
    </row>
    <row r="546" spans="1:16" s="92" customFormat="1" ht="39" customHeight="1" x14ac:dyDescent="0.3">
      <c r="A546" s="415" t="s">
        <v>3449</v>
      </c>
      <c r="B546" s="415" t="s">
        <v>3489</v>
      </c>
      <c r="C546" s="415" t="s">
        <v>3751</v>
      </c>
      <c r="D546" s="416" t="s">
        <v>268</v>
      </c>
      <c r="E546" s="415" t="s">
        <v>262</v>
      </c>
      <c r="F546" s="100">
        <v>0.88856383343690071</v>
      </c>
      <c r="G546" s="101">
        <v>5274.22</v>
      </c>
      <c r="H546" s="84">
        <v>0.111</v>
      </c>
      <c r="I546" s="83">
        <v>5859.66</v>
      </c>
      <c r="J546" s="83">
        <v>5206.68</v>
      </c>
      <c r="K546" s="557">
        <v>3.5010958787561031E-4</v>
      </c>
      <c r="L546" s="420"/>
    </row>
    <row r="547" spans="1:16" s="92" customFormat="1" ht="39" customHeight="1" x14ac:dyDescent="0.3">
      <c r="A547" s="415" t="s">
        <v>3450</v>
      </c>
      <c r="B547" s="415" t="s">
        <v>3487</v>
      </c>
      <c r="C547" s="415" t="s">
        <v>3751</v>
      </c>
      <c r="D547" s="416" t="s">
        <v>258</v>
      </c>
      <c r="E547" s="415" t="s">
        <v>262</v>
      </c>
      <c r="F547" s="100">
        <v>8.7830522836954444E-2</v>
      </c>
      <c r="G547" s="101">
        <v>4033.08</v>
      </c>
      <c r="H547" s="84">
        <v>0.111</v>
      </c>
      <c r="I547" s="83">
        <v>4480.75</v>
      </c>
      <c r="J547" s="83">
        <v>393.54</v>
      </c>
      <c r="K547" s="557">
        <v>2.6462568702621957E-5</v>
      </c>
      <c r="L547" s="420"/>
    </row>
    <row r="548" spans="1:16" s="92" customFormat="1" ht="39" customHeight="1" x14ac:dyDescent="0.3">
      <c r="A548" s="415" t="s">
        <v>3451</v>
      </c>
      <c r="B548" s="415" t="s">
        <v>3488</v>
      </c>
      <c r="C548" s="415" t="s">
        <v>3751</v>
      </c>
      <c r="D548" s="416" t="s">
        <v>261</v>
      </c>
      <c r="E548" s="415" t="s">
        <v>262</v>
      </c>
      <c r="F548" s="100">
        <v>0.25373262152897957</v>
      </c>
      <c r="G548" s="101">
        <v>4291.21</v>
      </c>
      <c r="H548" s="84">
        <v>0.111</v>
      </c>
      <c r="I548" s="83">
        <v>4767.53</v>
      </c>
      <c r="J548" s="83">
        <v>1209.67</v>
      </c>
      <c r="K548" s="557">
        <v>8.1341097429742096E-5</v>
      </c>
      <c r="L548" s="420"/>
    </row>
    <row r="549" spans="1:16" s="92" customFormat="1" ht="39" customHeight="1" x14ac:dyDescent="0.3">
      <c r="A549" s="415" t="s">
        <v>3452</v>
      </c>
      <c r="B549" s="415" t="s">
        <v>263</v>
      </c>
      <c r="C549" s="415" t="s">
        <v>115</v>
      </c>
      <c r="D549" s="416" t="s">
        <v>388</v>
      </c>
      <c r="E549" s="415" t="s">
        <v>424</v>
      </c>
      <c r="F549" s="100">
        <v>5.5726544523219212</v>
      </c>
      <c r="G549" s="101">
        <v>0.54</v>
      </c>
      <c r="H549" s="84">
        <v>0.111</v>
      </c>
      <c r="I549" s="83">
        <v>0.6</v>
      </c>
      <c r="J549" s="83">
        <v>3.34</v>
      </c>
      <c r="K549" s="557">
        <v>2.2458957022604393E-7</v>
      </c>
      <c r="L549" s="420"/>
    </row>
    <row r="550" spans="1:16" s="92" customFormat="1" thickBot="1" x14ac:dyDescent="0.35">
      <c r="A550" s="104"/>
      <c r="B550" s="104"/>
      <c r="C550" s="104"/>
      <c r="D550" s="104"/>
      <c r="E550" s="104"/>
      <c r="F550" s="105"/>
      <c r="G550" s="104"/>
      <c r="H550" s="104"/>
      <c r="I550" s="104"/>
      <c r="J550" s="104"/>
    </row>
    <row r="551" spans="1:16" s="92" customFormat="1" ht="14" x14ac:dyDescent="0.3">
      <c r="A551" s="654"/>
      <c r="B551" s="655"/>
      <c r="C551" s="655"/>
      <c r="D551" s="618"/>
      <c r="E551" s="619"/>
      <c r="F551" s="656" t="s">
        <v>371</v>
      </c>
      <c r="G551" s="657"/>
      <c r="H551" s="620"/>
      <c r="I551" s="621">
        <v>12455208.453400459</v>
      </c>
      <c r="J551" s="622"/>
      <c r="K551" s="623"/>
    </row>
    <row r="552" spans="1:16" s="92" customFormat="1" ht="14" x14ac:dyDescent="0.3">
      <c r="A552" s="658"/>
      <c r="B552" s="659"/>
      <c r="C552" s="659"/>
      <c r="D552" s="624"/>
      <c r="E552" s="625"/>
      <c r="F552" s="660" t="s">
        <v>372</v>
      </c>
      <c r="G552" s="661"/>
      <c r="I552" s="626">
        <v>2416363.706599541</v>
      </c>
      <c r="J552" s="627"/>
      <c r="K552" s="628"/>
    </row>
    <row r="553" spans="1:16" s="92" customFormat="1" thickBot="1" x14ac:dyDescent="0.35">
      <c r="A553" s="662"/>
      <c r="B553" s="663"/>
      <c r="C553" s="663"/>
      <c r="D553" s="629"/>
      <c r="E553" s="630"/>
      <c r="F553" s="664" t="s">
        <v>373</v>
      </c>
      <c r="G553" s="665"/>
      <c r="H553" s="631"/>
      <c r="I553" s="632">
        <v>14871572.16</v>
      </c>
      <c r="J553" s="633"/>
      <c r="K553" s="634"/>
    </row>
    <row r="554" spans="1:16" customFormat="1" ht="70" customHeight="1" x14ac:dyDescent="0.3">
      <c r="A554" s="648"/>
      <c r="B554" s="648"/>
      <c r="C554" s="648"/>
      <c r="D554" s="648"/>
      <c r="E554" s="648"/>
      <c r="F554" s="648"/>
      <c r="G554" s="648"/>
      <c r="H554" s="648"/>
      <c r="I554" s="648"/>
      <c r="J554" s="648"/>
      <c r="K554" s="648"/>
    </row>
  </sheetData>
  <autoFilter ref="A4:P549" xr:uid="{27124D5A-95DD-4961-B9A7-F29A8909D5CF}"/>
  <dataConsolidate link="1"/>
  <mergeCells count="13">
    <mergeCell ref="E2:G2"/>
    <mergeCell ref="E1:G1"/>
    <mergeCell ref="H1:I1"/>
    <mergeCell ref="J1:K1"/>
    <mergeCell ref="H2:I2"/>
    <mergeCell ref="J2:K2"/>
    <mergeCell ref="A554:K554"/>
    <mergeCell ref="A551:C551"/>
    <mergeCell ref="F551:G551"/>
    <mergeCell ref="A552:C552"/>
    <mergeCell ref="F552:G552"/>
    <mergeCell ref="A553:C553"/>
    <mergeCell ref="F553:G553"/>
  </mergeCells>
  <phoneticPr fontId="36" type="noConversion"/>
  <conditionalFormatting sqref="A5:A549">
    <cfRule type="duplicateValues" dxfId="5" priority="73"/>
  </conditionalFormatting>
  <conditionalFormatting sqref="A550:A1048576 A1:A4">
    <cfRule type="duplicateValues" dxfId="4" priority="65"/>
  </conditionalFormatting>
  <conditionalFormatting sqref="A550:A1048576">
    <cfRule type="duplicateValues" dxfId="3" priority="64"/>
  </conditionalFormatting>
  <pageMargins left="0.70866141732283472" right="0.70866141732283472" top="0.74803149606299213" bottom="0.74803149606299213" header="0.31496062992125984" footer="0.31496062992125984"/>
  <pageSetup paperSize="8" scale="52" firstPageNumber="18" fitToHeight="0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94404-3EDC-4D23-935E-C72F7930896E}">
  <sheetPr codeName="Planilha5"/>
  <dimension ref="A1:O133"/>
  <sheetViews>
    <sheetView showGridLines="0" view="pageBreakPreview" topLeftCell="A97" zoomScaleNormal="100" zoomScaleSheetLayoutView="100" workbookViewId="0">
      <selection activeCell="A97" sqref="A1:XFD1048576"/>
    </sheetView>
  </sheetViews>
  <sheetFormatPr defaultColWidth="9" defaultRowHeight="10" x14ac:dyDescent="0.2"/>
  <cols>
    <col min="1" max="1" width="7" style="32" customWidth="1"/>
    <col min="2" max="2" width="8" style="33" hidden="1" customWidth="1"/>
    <col min="3" max="3" width="15.58203125" style="33" customWidth="1"/>
    <col min="4" max="4" width="15.58203125" style="32" customWidth="1"/>
    <col min="5" max="5" width="71.5" style="45" customWidth="1"/>
    <col min="6" max="6" width="5.83203125" style="38" customWidth="1"/>
    <col min="7" max="7" width="10.58203125" style="37" customWidth="1"/>
    <col min="8" max="8" width="11.75" style="37" customWidth="1"/>
    <col min="9" max="9" width="15.58203125" style="38" customWidth="1"/>
    <col min="10" max="10" width="8" style="46" customWidth="1"/>
    <col min="11" max="11" width="13.75" style="38" customWidth="1"/>
    <col min="12" max="12" width="9" style="38" customWidth="1"/>
    <col min="13" max="13" width="7.58203125" style="38" customWidth="1"/>
    <col min="14" max="14" width="15.58203125" style="38" customWidth="1"/>
    <col min="15" max="15" width="23.5" style="33" customWidth="1"/>
    <col min="16" max="16384" width="9" style="33"/>
  </cols>
  <sheetData>
    <row r="1" spans="1:15" ht="10.5" x14ac:dyDescent="0.25">
      <c r="E1" s="34" t="s">
        <v>0</v>
      </c>
      <c r="F1" s="36" t="s">
        <v>1</v>
      </c>
      <c r="I1" s="35" t="s">
        <v>3748</v>
      </c>
      <c r="J1" s="39" t="s">
        <v>2</v>
      </c>
      <c r="K1" s="35"/>
      <c r="L1" s="668" t="s">
        <v>407</v>
      </c>
      <c r="M1" s="669"/>
      <c r="N1" s="670"/>
    </row>
    <row r="2" spans="1:15" ht="20.149999999999999" customHeight="1" x14ac:dyDescent="0.2">
      <c r="E2" s="671" t="s">
        <v>3957</v>
      </c>
      <c r="F2" s="672" t="s">
        <v>3823</v>
      </c>
      <c r="G2" s="672"/>
      <c r="H2" s="672"/>
      <c r="I2" s="561" t="s">
        <v>3749</v>
      </c>
      <c r="J2" s="674" t="s">
        <v>3956</v>
      </c>
      <c r="K2" s="675"/>
      <c r="L2" s="41" t="s">
        <v>408</v>
      </c>
      <c r="M2" s="42">
        <v>0.49740719407146611</v>
      </c>
      <c r="N2" s="43">
        <v>6507949.5399999991</v>
      </c>
    </row>
    <row r="3" spans="1:15" ht="20.149999999999999" customHeight="1" x14ac:dyDescent="0.2">
      <c r="E3" s="671"/>
      <c r="F3" s="672"/>
      <c r="G3" s="672"/>
      <c r="H3" s="672"/>
      <c r="I3" s="40"/>
      <c r="J3" s="674"/>
      <c r="K3" s="675"/>
      <c r="L3" s="41" t="s">
        <v>409</v>
      </c>
      <c r="M3" s="42">
        <v>0.29564839751161454</v>
      </c>
      <c r="N3" s="43">
        <v>3868188.6300000004</v>
      </c>
    </row>
    <row r="4" spans="1:15" ht="20.149999999999999" customHeight="1" x14ac:dyDescent="0.2">
      <c r="E4" s="671"/>
      <c r="F4" s="672"/>
      <c r="G4" s="672"/>
      <c r="H4" s="672"/>
      <c r="I4" s="40"/>
      <c r="J4" s="674"/>
      <c r="K4" s="675"/>
      <c r="L4" s="41" t="s">
        <v>410</v>
      </c>
      <c r="M4" s="42">
        <v>0.2069444084169193</v>
      </c>
      <c r="N4" s="43">
        <v>2707608.1400000011</v>
      </c>
    </row>
    <row r="5" spans="1:15" s="51" customFormat="1" ht="53.25" customHeight="1" x14ac:dyDescent="0.3">
      <c r="A5" s="7"/>
      <c r="B5" s="7"/>
      <c r="C5" s="7"/>
      <c r="D5" s="7"/>
      <c r="E5" s="671"/>
      <c r="F5" s="673"/>
      <c r="G5" s="673"/>
      <c r="H5" s="673"/>
      <c r="I5" s="40"/>
      <c r="J5" s="676"/>
      <c r="K5" s="677"/>
      <c r="L5" s="41" t="s">
        <v>377</v>
      </c>
      <c r="M5" s="52">
        <v>1</v>
      </c>
      <c r="N5" s="43">
        <v>13083746.310000001</v>
      </c>
      <c r="O5" s="109"/>
    </row>
    <row r="6" spans="1:15" s="44" customFormat="1" ht="30.75" customHeight="1" x14ac:dyDescent="0.25">
      <c r="A6" s="53" t="s">
        <v>375</v>
      </c>
      <c r="B6" s="54" t="s">
        <v>411</v>
      </c>
      <c r="C6" s="54" t="s">
        <v>4</v>
      </c>
      <c r="D6" s="54" t="s">
        <v>5</v>
      </c>
      <c r="E6" s="55" t="s">
        <v>376</v>
      </c>
      <c r="F6" s="54" t="s">
        <v>412</v>
      </c>
      <c r="G6" s="56" t="s">
        <v>413</v>
      </c>
      <c r="H6" s="56" t="s">
        <v>414</v>
      </c>
      <c r="I6" s="54" t="s">
        <v>415</v>
      </c>
      <c r="J6" s="57" t="s">
        <v>416</v>
      </c>
      <c r="K6" s="54" t="s">
        <v>417</v>
      </c>
      <c r="L6" s="54" t="s">
        <v>418</v>
      </c>
      <c r="M6" s="54" t="s">
        <v>419</v>
      </c>
      <c r="N6" s="58" t="s">
        <v>420</v>
      </c>
    </row>
    <row r="7" spans="1:15" ht="20" x14ac:dyDescent="0.2">
      <c r="A7" s="59">
        <v>1</v>
      </c>
      <c r="B7" s="60">
        <v>112</v>
      </c>
      <c r="C7" s="60" t="s">
        <v>109</v>
      </c>
      <c r="D7" s="60" t="s">
        <v>19</v>
      </c>
      <c r="E7" s="61" t="s">
        <v>110</v>
      </c>
      <c r="F7" s="60" t="s">
        <v>111</v>
      </c>
      <c r="G7" s="62">
        <v>512343.38932169386</v>
      </c>
      <c r="H7" s="62">
        <v>2.1</v>
      </c>
      <c r="I7" s="62">
        <v>2.5499999999999998</v>
      </c>
      <c r="J7" s="63">
        <v>0.2122</v>
      </c>
      <c r="K7" s="62">
        <v>1306475.5299999998</v>
      </c>
      <c r="L7" s="63">
        <v>9.9854850365101569E-2</v>
      </c>
      <c r="M7" s="63">
        <v>9.9854850365101569E-2</v>
      </c>
      <c r="N7" s="64" t="s">
        <v>408</v>
      </c>
    </row>
    <row r="8" spans="1:15" ht="20" x14ac:dyDescent="0.2">
      <c r="A8" s="59">
        <v>2</v>
      </c>
      <c r="B8" s="60">
        <v>120</v>
      </c>
      <c r="C8" s="60" t="s">
        <v>3494</v>
      </c>
      <c r="D8" s="60" t="s">
        <v>19</v>
      </c>
      <c r="E8" s="61" t="s">
        <v>294</v>
      </c>
      <c r="F8" s="60" t="s">
        <v>173</v>
      </c>
      <c r="G8" s="62">
        <v>467.4</v>
      </c>
      <c r="H8" s="62">
        <v>1089.02</v>
      </c>
      <c r="I8" s="62">
        <v>1209.9000000000001</v>
      </c>
      <c r="J8" s="63">
        <v>0.111</v>
      </c>
      <c r="K8" s="62">
        <v>565507.25</v>
      </c>
      <c r="L8" s="63">
        <v>4.3222119766093199E-2</v>
      </c>
      <c r="M8" s="63">
        <v>0.14307697013119478</v>
      </c>
      <c r="N8" s="64" t="s">
        <v>408</v>
      </c>
    </row>
    <row r="9" spans="1:15" x14ac:dyDescent="0.2">
      <c r="A9" s="59">
        <v>3</v>
      </c>
      <c r="B9" s="60">
        <v>12</v>
      </c>
      <c r="C9" s="60" t="s">
        <v>255</v>
      </c>
      <c r="D9" s="60" t="s">
        <v>115</v>
      </c>
      <c r="E9" s="61" t="s">
        <v>387</v>
      </c>
      <c r="F9" s="60" t="s">
        <v>227</v>
      </c>
      <c r="G9" s="62">
        <v>2223.3886808314464</v>
      </c>
      <c r="H9" s="62">
        <v>208.42</v>
      </c>
      <c r="I9" s="62">
        <v>252.65</v>
      </c>
      <c r="J9" s="63">
        <v>0.2122</v>
      </c>
      <c r="K9" s="62">
        <v>561739.12</v>
      </c>
      <c r="L9" s="63">
        <v>4.2934118920561676E-2</v>
      </c>
      <c r="M9" s="63">
        <v>0.18601108905175645</v>
      </c>
      <c r="N9" s="64" t="s">
        <v>408</v>
      </c>
    </row>
    <row r="10" spans="1:15" x14ac:dyDescent="0.2">
      <c r="A10" s="59">
        <v>4</v>
      </c>
      <c r="B10" s="60">
        <v>25</v>
      </c>
      <c r="C10" s="60" t="s">
        <v>3489</v>
      </c>
      <c r="D10" s="60" t="s">
        <v>3751</v>
      </c>
      <c r="E10" s="61" t="s">
        <v>268</v>
      </c>
      <c r="F10" s="60" t="s">
        <v>262</v>
      </c>
      <c r="G10" s="62">
        <v>74.537257663946519</v>
      </c>
      <c r="H10" s="62">
        <v>5274.22</v>
      </c>
      <c r="I10" s="62">
        <v>5859.66</v>
      </c>
      <c r="J10" s="63">
        <v>0.111</v>
      </c>
      <c r="K10" s="62">
        <v>436762.97000000003</v>
      </c>
      <c r="L10" s="63">
        <v>3.3382103233397228E-2</v>
      </c>
      <c r="M10" s="63">
        <v>0.21939319228515369</v>
      </c>
      <c r="N10" s="64" t="s">
        <v>408</v>
      </c>
    </row>
    <row r="11" spans="1:15" x14ac:dyDescent="0.2">
      <c r="A11" s="59">
        <v>5</v>
      </c>
      <c r="B11" s="60">
        <v>2</v>
      </c>
      <c r="C11" s="60" t="s">
        <v>304</v>
      </c>
      <c r="D11" s="60" t="s">
        <v>115</v>
      </c>
      <c r="E11" s="61" t="s">
        <v>317</v>
      </c>
      <c r="F11" s="60" t="s">
        <v>424</v>
      </c>
      <c r="G11" s="62">
        <v>28712.23</v>
      </c>
      <c r="H11" s="62">
        <v>12.15</v>
      </c>
      <c r="I11" s="62">
        <v>14.73</v>
      </c>
      <c r="J11" s="63">
        <v>0.2122</v>
      </c>
      <c r="K11" s="62">
        <v>422931.12999999995</v>
      </c>
      <c r="L11" s="63">
        <v>3.2324925902663726E-2</v>
      </c>
      <c r="M11" s="63">
        <v>0.25171811818781742</v>
      </c>
      <c r="N11" s="64" t="s">
        <v>408</v>
      </c>
    </row>
    <row r="12" spans="1:15" ht="20" x14ac:dyDescent="0.2">
      <c r="A12" s="59">
        <v>6</v>
      </c>
      <c r="B12" s="60">
        <v>80</v>
      </c>
      <c r="C12" s="60" t="s">
        <v>307</v>
      </c>
      <c r="D12" s="60" t="s">
        <v>115</v>
      </c>
      <c r="E12" s="61" t="s">
        <v>3495</v>
      </c>
      <c r="F12" s="60" t="s">
        <v>421</v>
      </c>
      <c r="G12" s="62">
        <v>3492.05</v>
      </c>
      <c r="H12" s="62">
        <v>93.65</v>
      </c>
      <c r="I12" s="62">
        <v>113.52</v>
      </c>
      <c r="J12" s="63">
        <v>0.2122</v>
      </c>
      <c r="K12" s="62">
        <v>396417.51</v>
      </c>
      <c r="L12" s="63">
        <v>3.0298471141787218E-2</v>
      </c>
      <c r="M12" s="63">
        <v>0.28201658932960466</v>
      </c>
      <c r="N12" s="64" t="s">
        <v>408</v>
      </c>
    </row>
    <row r="13" spans="1:15" ht="20" x14ac:dyDescent="0.2">
      <c r="A13" s="59">
        <v>7</v>
      </c>
      <c r="B13" s="60">
        <v>111</v>
      </c>
      <c r="C13" s="60" t="s">
        <v>112</v>
      </c>
      <c r="D13" s="60" t="s">
        <v>19</v>
      </c>
      <c r="E13" s="61" t="s">
        <v>113</v>
      </c>
      <c r="F13" s="60" t="s">
        <v>111</v>
      </c>
      <c r="G13" s="62">
        <v>375753.57972795452</v>
      </c>
      <c r="H13" s="62">
        <v>0.85</v>
      </c>
      <c r="I13" s="62">
        <v>1.03</v>
      </c>
      <c r="J13" s="63">
        <v>0.2122</v>
      </c>
      <c r="K13" s="62">
        <v>387026.07000000007</v>
      </c>
      <c r="L13" s="63">
        <v>2.9580676728972747E-2</v>
      </c>
      <c r="M13" s="63">
        <v>0.3115972660585774</v>
      </c>
      <c r="N13" s="64" t="s">
        <v>408</v>
      </c>
    </row>
    <row r="14" spans="1:15" ht="20" x14ac:dyDescent="0.2">
      <c r="A14" s="59">
        <v>8</v>
      </c>
      <c r="B14" s="60">
        <v>119</v>
      </c>
      <c r="C14" s="60" t="s">
        <v>3493</v>
      </c>
      <c r="D14" s="60" t="s">
        <v>19</v>
      </c>
      <c r="E14" s="61" t="s">
        <v>355</v>
      </c>
      <c r="F14" s="60" t="s">
        <v>173</v>
      </c>
      <c r="G14" s="62">
        <v>457.39</v>
      </c>
      <c r="H14" s="62">
        <v>758.46</v>
      </c>
      <c r="I14" s="62">
        <v>842.65</v>
      </c>
      <c r="J14" s="63">
        <v>0.111</v>
      </c>
      <c r="K14" s="62">
        <v>385419.67</v>
      </c>
      <c r="L14" s="63">
        <v>2.9457898438876102E-2</v>
      </c>
      <c r="M14" s="63">
        <v>0.34105516449745349</v>
      </c>
      <c r="N14" s="64" t="s">
        <v>408</v>
      </c>
    </row>
    <row r="15" spans="1:15" ht="20" x14ac:dyDescent="0.2">
      <c r="A15" s="59">
        <v>9</v>
      </c>
      <c r="B15" s="60">
        <v>28</v>
      </c>
      <c r="C15" s="60" t="s">
        <v>162</v>
      </c>
      <c r="D15" s="60" t="s">
        <v>19</v>
      </c>
      <c r="E15" s="61" t="s">
        <v>163</v>
      </c>
      <c r="F15" s="60" t="s">
        <v>227</v>
      </c>
      <c r="G15" s="62">
        <v>667.01</v>
      </c>
      <c r="H15" s="62">
        <v>470.06</v>
      </c>
      <c r="I15" s="62">
        <v>569.80999999999995</v>
      </c>
      <c r="J15" s="63">
        <v>0.2122</v>
      </c>
      <c r="K15" s="62">
        <v>380068.93000000005</v>
      </c>
      <c r="L15" s="63">
        <v>2.9048937589802599E-2</v>
      </c>
      <c r="M15" s="63">
        <v>0.37010410208725608</v>
      </c>
      <c r="N15" s="64" t="s">
        <v>408</v>
      </c>
    </row>
    <row r="16" spans="1:15" x14ac:dyDescent="0.2">
      <c r="A16" s="59">
        <v>10</v>
      </c>
      <c r="B16" s="60">
        <v>103</v>
      </c>
      <c r="C16" s="60" t="s">
        <v>3559</v>
      </c>
      <c r="D16" s="60" t="s">
        <v>3560</v>
      </c>
      <c r="E16" s="61" t="s">
        <v>3806</v>
      </c>
      <c r="F16" s="60" t="s">
        <v>227</v>
      </c>
      <c r="G16" s="62">
        <v>5356.7614875204972</v>
      </c>
      <c r="H16" s="62">
        <v>56.12</v>
      </c>
      <c r="I16" s="62">
        <v>68.03</v>
      </c>
      <c r="J16" s="63">
        <v>0.2122</v>
      </c>
      <c r="K16" s="62">
        <v>364420.46</v>
      </c>
      <c r="L16" s="63">
        <v>2.7852913941129452E-2</v>
      </c>
      <c r="M16" s="63">
        <v>0.39795701602838551</v>
      </c>
      <c r="N16" s="64" t="s">
        <v>408</v>
      </c>
    </row>
    <row r="17" spans="1:14" ht="20" x14ac:dyDescent="0.2">
      <c r="A17" s="59">
        <v>11</v>
      </c>
      <c r="B17" s="60">
        <v>113</v>
      </c>
      <c r="C17" s="60" t="s">
        <v>277</v>
      </c>
      <c r="D17" s="60" t="s">
        <v>19</v>
      </c>
      <c r="E17" s="61" t="s">
        <v>278</v>
      </c>
      <c r="F17" s="60" t="s">
        <v>279</v>
      </c>
      <c r="G17" s="62">
        <v>107011.2072935699</v>
      </c>
      <c r="H17" s="62">
        <v>2.71</v>
      </c>
      <c r="I17" s="62">
        <v>3.29</v>
      </c>
      <c r="J17" s="63">
        <v>0.2122</v>
      </c>
      <c r="K17" s="62">
        <v>352066.86</v>
      </c>
      <c r="L17" s="63">
        <v>2.6908719540894244E-2</v>
      </c>
      <c r="M17" s="63">
        <v>0.42486573556927976</v>
      </c>
      <c r="N17" s="64" t="s">
        <v>408</v>
      </c>
    </row>
    <row r="18" spans="1:14" ht="20" x14ac:dyDescent="0.2">
      <c r="A18" s="59">
        <v>12</v>
      </c>
      <c r="B18" s="60">
        <v>1</v>
      </c>
      <c r="C18" s="60" t="s">
        <v>305</v>
      </c>
      <c r="D18" s="60" t="s">
        <v>19</v>
      </c>
      <c r="E18" s="61" t="s">
        <v>306</v>
      </c>
      <c r="F18" s="60" t="s">
        <v>421</v>
      </c>
      <c r="G18" s="62">
        <v>2038.39</v>
      </c>
      <c r="H18" s="62">
        <v>133.38</v>
      </c>
      <c r="I18" s="62">
        <v>161.68</v>
      </c>
      <c r="J18" s="63">
        <v>0.2122</v>
      </c>
      <c r="K18" s="62">
        <v>329566.88</v>
      </c>
      <c r="L18" s="63">
        <v>2.5189030128787326E-2</v>
      </c>
      <c r="M18" s="63">
        <v>0.45005476569806707</v>
      </c>
      <c r="N18" s="64" t="s">
        <v>408</v>
      </c>
    </row>
    <row r="19" spans="1:14" ht="20" x14ac:dyDescent="0.2">
      <c r="A19" s="59">
        <v>13</v>
      </c>
      <c r="B19" s="60">
        <v>84</v>
      </c>
      <c r="C19" s="60" t="s">
        <v>165</v>
      </c>
      <c r="D19" s="60" t="s">
        <v>19</v>
      </c>
      <c r="E19" s="61" t="s">
        <v>166</v>
      </c>
      <c r="F19" s="60" t="s">
        <v>227</v>
      </c>
      <c r="G19" s="62">
        <v>795.94999999999993</v>
      </c>
      <c r="H19" s="62">
        <v>326.63</v>
      </c>
      <c r="I19" s="62">
        <v>395.94</v>
      </c>
      <c r="J19" s="63">
        <v>0.2122</v>
      </c>
      <c r="K19" s="62">
        <v>315148.43</v>
      </c>
      <c r="L19" s="63">
        <v>2.4087017780154436E-2</v>
      </c>
      <c r="M19" s="63">
        <v>0.4741417834782215</v>
      </c>
      <c r="N19" s="64" t="s">
        <v>408</v>
      </c>
    </row>
    <row r="20" spans="1:14" ht="20" x14ac:dyDescent="0.2">
      <c r="A20" s="59">
        <v>14</v>
      </c>
      <c r="B20" s="60">
        <v>79</v>
      </c>
      <c r="C20" s="60" t="s">
        <v>367</v>
      </c>
      <c r="D20" s="60" t="s">
        <v>19</v>
      </c>
      <c r="E20" s="61" t="s">
        <v>368</v>
      </c>
      <c r="F20" s="60" t="s">
        <v>421</v>
      </c>
      <c r="G20" s="62">
        <v>2652.25</v>
      </c>
      <c r="H20" s="62">
        <v>94.68</v>
      </c>
      <c r="I20" s="62">
        <v>114.77</v>
      </c>
      <c r="J20" s="63">
        <v>0.2122</v>
      </c>
      <c r="K20" s="62">
        <v>304398.73</v>
      </c>
      <c r="L20" s="63">
        <v>2.3265410593244679E-2</v>
      </c>
      <c r="M20" s="63">
        <v>0.49740719407146616</v>
      </c>
      <c r="N20" s="64" t="s">
        <v>408</v>
      </c>
    </row>
    <row r="21" spans="1:14" ht="20" x14ac:dyDescent="0.2">
      <c r="A21" s="59">
        <v>15</v>
      </c>
      <c r="B21" s="60">
        <v>35</v>
      </c>
      <c r="C21" s="60" t="s">
        <v>195</v>
      </c>
      <c r="D21" s="60" t="s">
        <v>196</v>
      </c>
      <c r="E21" s="61" t="s">
        <v>3786</v>
      </c>
      <c r="F21" s="60" t="s">
        <v>227</v>
      </c>
      <c r="G21" s="62">
        <v>796.82033342099623</v>
      </c>
      <c r="H21" s="62">
        <v>310.31</v>
      </c>
      <c r="I21" s="62">
        <v>376.16</v>
      </c>
      <c r="J21" s="63">
        <v>0.2122</v>
      </c>
      <c r="K21" s="62">
        <v>299731.93</v>
      </c>
      <c r="L21" s="63">
        <v>2.2908723762926582E-2</v>
      </c>
      <c r="M21" s="63">
        <v>0.52031591783439279</v>
      </c>
      <c r="N21" s="64" t="s">
        <v>409</v>
      </c>
    </row>
    <row r="22" spans="1:14" ht="30" x14ac:dyDescent="0.2">
      <c r="A22" s="59">
        <v>16</v>
      </c>
      <c r="B22" s="60">
        <v>14</v>
      </c>
      <c r="C22" s="60" t="s">
        <v>3504</v>
      </c>
      <c r="D22" s="60" t="s">
        <v>3751</v>
      </c>
      <c r="E22" s="61" t="s">
        <v>2092</v>
      </c>
      <c r="F22" s="60" t="s">
        <v>173</v>
      </c>
      <c r="G22" s="62">
        <v>20.79</v>
      </c>
      <c r="H22" s="62">
        <v>11292.61</v>
      </c>
      <c r="I22" s="62">
        <v>13688.9</v>
      </c>
      <c r="J22" s="63">
        <v>0.2122</v>
      </c>
      <c r="K22" s="62">
        <v>284592.23</v>
      </c>
      <c r="L22" s="63">
        <v>2.175158576580502E-2</v>
      </c>
      <c r="M22" s="63">
        <v>0.54206750360019784</v>
      </c>
      <c r="N22" s="64" t="s">
        <v>409</v>
      </c>
    </row>
    <row r="23" spans="1:14" x14ac:dyDescent="0.2">
      <c r="A23" s="59">
        <v>17</v>
      </c>
      <c r="B23" s="60">
        <v>125</v>
      </c>
      <c r="C23" s="60" t="s">
        <v>266</v>
      </c>
      <c r="D23" s="60" t="s">
        <v>3751</v>
      </c>
      <c r="E23" s="61" t="s">
        <v>267</v>
      </c>
      <c r="F23" s="60" t="s">
        <v>262</v>
      </c>
      <c r="G23" s="62">
        <v>1178.8295724173101</v>
      </c>
      <c r="H23" s="62">
        <v>188.17</v>
      </c>
      <c r="I23" s="62">
        <v>228.1</v>
      </c>
      <c r="J23" s="63">
        <v>0.2122</v>
      </c>
      <c r="K23" s="62">
        <v>268891.00000000006</v>
      </c>
      <c r="L23" s="63">
        <v>2.0551529632952661E-2</v>
      </c>
      <c r="M23" s="63">
        <v>0.56261903323315055</v>
      </c>
      <c r="N23" s="64" t="s">
        <v>409</v>
      </c>
    </row>
    <row r="24" spans="1:14" ht="30" x14ac:dyDescent="0.2">
      <c r="A24" s="59">
        <v>18</v>
      </c>
      <c r="B24" s="60">
        <v>62</v>
      </c>
      <c r="C24" s="60" t="s">
        <v>241</v>
      </c>
      <c r="D24" s="60" t="s">
        <v>196</v>
      </c>
      <c r="E24" s="61" t="s">
        <v>3799</v>
      </c>
      <c r="F24" s="60" t="s">
        <v>421</v>
      </c>
      <c r="G24" s="62">
        <v>6212.8614402989242</v>
      </c>
      <c r="H24" s="62">
        <v>32.4</v>
      </c>
      <c r="I24" s="62">
        <v>39.28</v>
      </c>
      <c r="J24" s="63">
        <v>0.2122</v>
      </c>
      <c r="K24" s="62">
        <v>244041.18000000002</v>
      </c>
      <c r="L24" s="63">
        <v>1.8652240284839337E-2</v>
      </c>
      <c r="M24" s="63">
        <v>0.58127127351798991</v>
      </c>
      <c r="N24" s="64" t="s">
        <v>409</v>
      </c>
    </row>
    <row r="25" spans="1:14" x14ac:dyDescent="0.2">
      <c r="A25" s="59">
        <v>19</v>
      </c>
      <c r="B25" s="60">
        <v>93</v>
      </c>
      <c r="C25" s="60" t="s">
        <v>338</v>
      </c>
      <c r="D25" s="60" t="s">
        <v>115</v>
      </c>
      <c r="E25" s="61" t="s">
        <v>392</v>
      </c>
      <c r="F25" s="60" t="s">
        <v>421</v>
      </c>
      <c r="G25" s="62">
        <v>4198.24</v>
      </c>
      <c r="H25" s="62">
        <v>47.66</v>
      </c>
      <c r="I25" s="62">
        <v>57.77</v>
      </c>
      <c r="J25" s="63">
        <v>0.2122</v>
      </c>
      <c r="K25" s="62">
        <v>242532.32</v>
      </c>
      <c r="L25" s="63">
        <v>1.8536917046047492E-2</v>
      </c>
      <c r="M25" s="63">
        <v>0.59980819056403745</v>
      </c>
      <c r="N25" s="64" t="s">
        <v>409</v>
      </c>
    </row>
    <row r="26" spans="1:14" ht="20" x14ac:dyDescent="0.2">
      <c r="A26" s="59">
        <v>20</v>
      </c>
      <c r="B26" s="60">
        <v>65</v>
      </c>
      <c r="C26" s="60" t="s">
        <v>242</v>
      </c>
      <c r="D26" s="60" t="s">
        <v>196</v>
      </c>
      <c r="E26" s="61" t="s">
        <v>3800</v>
      </c>
      <c r="F26" s="60" t="s">
        <v>421</v>
      </c>
      <c r="G26" s="62">
        <v>4490.3241402989224</v>
      </c>
      <c r="H26" s="62">
        <v>41.58</v>
      </c>
      <c r="I26" s="62">
        <v>50.4</v>
      </c>
      <c r="J26" s="63">
        <v>0.2122</v>
      </c>
      <c r="K26" s="62">
        <v>226312.31</v>
      </c>
      <c r="L26" s="63">
        <v>1.7297210190251693E-2</v>
      </c>
      <c r="M26" s="63">
        <v>0.6171054007542891</v>
      </c>
      <c r="N26" s="64" t="s">
        <v>409</v>
      </c>
    </row>
    <row r="27" spans="1:14" ht="20" x14ac:dyDescent="0.2">
      <c r="A27" s="59">
        <v>21</v>
      </c>
      <c r="B27" s="60">
        <v>100</v>
      </c>
      <c r="C27" s="60" t="s">
        <v>251</v>
      </c>
      <c r="D27" s="60" t="s">
        <v>19</v>
      </c>
      <c r="E27" s="61" t="s">
        <v>252</v>
      </c>
      <c r="F27" s="60" t="s">
        <v>227</v>
      </c>
      <c r="G27" s="62">
        <v>803.47334402989225</v>
      </c>
      <c r="H27" s="62">
        <v>224.67</v>
      </c>
      <c r="I27" s="62">
        <v>272.33999999999997</v>
      </c>
      <c r="J27" s="63">
        <v>0.2122</v>
      </c>
      <c r="K27" s="62">
        <v>218817.91999999998</v>
      </c>
      <c r="L27" s="63">
        <v>1.6724408652952549E-2</v>
      </c>
      <c r="M27" s="63">
        <v>0.63382980940724165</v>
      </c>
      <c r="N27" s="64" t="s">
        <v>409</v>
      </c>
    </row>
    <row r="28" spans="1:14" ht="20" x14ac:dyDescent="0.2">
      <c r="A28" s="59">
        <v>22</v>
      </c>
      <c r="B28" s="60">
        <v>64</v>
      </c>
      <c r="C28" s="60" t="s">
        <v>237</v>
      </c>
      <c r="D28" s="60" t="s">
        <v>196</v>
      </c>
      <c r="E28" s="61" t="s">
        <v>238</v>
      </c>
      <c r="F28" s="60" t="s">
        <v>421</v>
      </c>
      <c r="G28" s="62">
        <v>7557.4092251564016</v>
      </c>
      <c r="H28" s="62">
        <v>23.05</v>
      </c>
      <c r="I28" s="62">
        <v>27.94</v>
      </c>
      <c r="J28" s="63">
        <v>0.2122</v>
      </c>
      <c r="K28" s="62">
        <v>211153.99</v>
      </c>
      <c r="L28" s="63">
        <v>1.61386490533383E-2</v>
      </c>
      <c r="M28" s="63">
        <v>0.64996845846057993</v>
      </c>
      <c r="N28" s="64" t="s">
        <v>409</v>
      </c>
    </row>
    <row r="29" spans="1:14" ht="20" x14ac:dyDescent="0.2">
      <c r="A29" s="59">
        <v>23</v>
      </c>
      <c r="B29" s="60">
        <v>117</v>
      </c>
      <c r="C29" s="60" t="s">
        <v>3500</v>
      </c>
      <c r="D29" s="60" t="s">
        <v>19</v>
      </c>
      <c r="E29" s="61" t="s">
        <v>354</v>
      </c>
      <c r="F29" s="60" t="s">
        <v>173</v>
      </c>
      <c r="G29" s="62">
        <v>445.70999999999992</v>
      </c>
      <c r="H29" s="62">
        <v>401.54</v>
      </c>
      <c r="I29" s="62">
        <v>446.11</v>
      </c>
      <c r="J29" s="63">
        <v>0.111</v>
      </c>
      <c r="K29" s="62">
        <v>198835.68</v>
      </c>
      <c r="L29" s="63">
        <v>1.5197151892805233E-2</v>
      </c>
      <c r="M29" s="63">
        <v>0.66516561035338517</v>
      </c>
      <c r="N29" s="64" t="s">
        <v>409</v>
      </c>
    </row>
    <row r="30" spans="1:14" ht="20" x14ac:dyDescent="0.2">
      <c r="A30" s="59">
        <v>24</v>
      </c>
      <c r="B30" s="60">
        <v>114</v>
      </c>
      <c r="C30" s="60" t="s">
        <v>3490</v>
      </c>
      <c r="D30" s="60" t="s">
        <v>19</v>
      </c>
      <c r="E30" s="61" t="s">
        <v>282</v>
      </c>
      <c r="F30" s="60" t="s">
        <v>173</v>
      </c>
      <c r="G30" s="62">
        <v>686.48524667224592</v>
      </c>
      <c r="H30" s="62">
        <v>241.33</v>
      </c>
      <c r="I30" s="62">
        <v>268.12</v>
      </c>
      <c r="J30" s="63">
        <v>0.111</v>
      </c>
      <c r="K30" s="62">
        <v>184060.41</v>
      </c>
      <c r="L30" s="63">
        <v>1.4067867538773763E-2</v>
      </c>
      <c r="M30" s="63">
        <v>0.67923347789215893</v>
      </c>
      <c r="N30" s="64" t="s">
        <v>409</v>
      </c>
    </row>
    <row r="31" spans="1:14" ht="20" x14ac:dyDescent="0.2">
      <c r="A31" s="59">
        <v>25</v>
      </c>
      <c r="B31" s="60">
        <v>118</v>
      </c>
      <c r="C31" s="60" t="s">
        <v>3492</v>
      </c>
      <c r="D31" s="60" t="s">
        <v>19</v>
      </c>
      <c r="E31" s="61" t="s">
        <v>289</v>
      </c>
      <c r="F31" s="60" t="s">
        <v>173</v>
      </c>
      <c r="G31" s="62">
        <v>318.97714676630767</v>
      </c>
      <c r="H31" s="62">
        <v>517.13</v>
      </c>
      <c r="I31" s="62">
        <v>574.53</v>
      </c>
      <c r="J31" s="63">
        <v>0.111</v>
      </c>
      <c r="K31" s="62">
        <v>183261.93</v>
      </c>
      <c r="L31" s="63">
        <v>1.4006839146669451E-2</v>
      </c>
      <c r="M31" s="63">
        <v>0.69324031703882838</v>
      </c>
      <c r="N31" s="64" t="s">
        <v>409</v>
      </c>
    </row>
    <row r="32" spans="1:14" ht="20" x14ac:dyDescent="0.2">
      <c r="A32" s="59">
        <v>26</v>
      </c>
      <c r="B32" s="60">
        <v>102</v>
      </c>
      <c r="C32" s="60" t="s">
        <v>269</v>
      </c>
      <c r="D32" s="60" t="s">
        <v>175</v>
      </c>
      <c r="E32" s="61" t="s">
        <v>270</v>
      </c>
      <c r="F32" s="60" t="s">
        <v>227</v>
      </c>
      <c r="G32" s="62">
        <v>12599.702275668051</v>
      </c>
      <c r="H32" s="62">
        <v>11.09</v>
      </c>
      <c r="I32" s="62">
        <v>13.44</v>
      </c>
      <c r="J32" s="63">
        <v>0.2122</v>
      </c>
      <c r="K32" s="62">
        <v>169339.97</v>
      </c>
      <c r="L32" s="63">
        <v>1.2942773880488057E-2</v>
      </c>
      <c r="M32" s="63">
        <v>0.70618309091931641</v>
      </c>
      <c r="N32" s="64" t="s">
        <v>409</v>
      </c>
    </row>
    <row r="33" spans="1:14" ht="20" x14ac:dyDescent="0.2">
      <c r="A33" s="59">
        <v>27</v>
      </c>
      <c r="B33" s="60">
        <v>36</v>
      </c>
      <c r="C33" s="60" t="s">
        <v>190</v>
      </c>
      <c r="D33" s="60" t="s">
        <v>19</v>
      </c>
      <c r="E33" s="61" t="s">
        <v>3551</v>
      </c>
      <c r="F33" s="60" t="s">
        <v>421</v>
      </c>
      <c r="G33" s="62">
        <v>6013.1642652722694</v>
      </c>
      <c r="H33" s="62">
        <v>22.73</v>
      </c>
      <c r="I33" s="62">
        <v>27.55</v>
      </c>
      <c r="J33" s="63">
        <v>0.2122</v>
      </c>
      <c r="K33" s="62">
        <v>165662.66</v>
      </c>
      <c r="L33" s="63">
        <v>1.2661714471900365E-2</v>
      </c>
      <c r="M33" s="63">
        <v>0.71884480539121676</v>
      </c>
      <c r="N33" s="64" t="s">
        <v>409</v>
      </c>
    </row>
    <row r="34" spans="1:14" ht="20" x14ac:dyDescent="0.2">
      <c r="A34" s="59">
        <v>28</v>
      </c>
      <c r="B34" s="60">
        <v>81</v>
      </c>
      <c r="C34" s="60" t="s">
        <v>316</v>
      </c>
      <c r="D34" s="60" t="s">
        <v>115</v>
      </c>
      <c r="E34" s="61" t="s">
        <v>3498</v>
      </c>
      <c r="F34" s="60" t="s">
        <v>421</v>
      </c>
      <c r="G34" s="62">
        <v>1733.9899999999998</v>
      </c>
      <c r="H34" s="62">
        <v>77.569999999999993</v>
      </c>
      <c r="I34" s="62">
        <v>94.03</v>
      </c>
      <c r="J34" s="63">
        <v>0.2122</v>
      </c>
      <c r="K34" s="62">
        <v>163047.06</v>
      </c>
      <c r="L34" s="63">
        <v>1.2461802310809249E-2</v>
      </c>
      <c r="M34" s="63">
        <v>0.73130660770202605</v>
      </c>
      <c r="N34" s="64" t="s">
        <v>409</v>
      </c>
    </row>
    <row r="35" spans="1:14" ht="30" x14ac:dyDescent="0.2">
      <c r="A35" s="59">
        <v>29</v>
      </c>
      <c r="B35" s="60">
        <v>3</v>
      </c>
      <c r="C35" s="60" t="s">
        <v>334</v>
      </c>
      <c r="D35" s="60" t="s">
        <v>19</v>
      </c>
      <c r="E35" s="61" t="s">
        <v>3820</v>
      </c>
      <c r="F35" s="60" t="s">
        <v>173</v>
      </c>
      <c r="G35" s="62">
        <v>2607.6000000000004</v>
      </c>
      <c r="H35" s="62">
        <v>48.36</v>
      </c>
      <c r="I35" s="62">
        <v>58.62</v>
      </c>
      <c r="J35" s="63">
        <v>0.2122</v>
      </c>
      <c r="K35" s="62">
        <v>152857.51</v>
      </c>
      <c r="L35" s="63">
        <v>1.1683007785252601E-2</v>
      </c>
      <c r="M35" s="63">
        <v>0.7429896154872786</v>
      </c>
      <c r="N35" s="64" t="s">
        <v>409</v>
      </c>
    </row>
    <row r="36" spans="1:14" ht="20" x14ac:dyDescent="0.2">
      <c r="A36" s="59">
        <v>30</v>
      </c>
      <c r="B36" s="60">
        <v>66</v>
      </c>
      <c r="C36" s="60" t="s">
        <v>245</v>
      </c>
      <c r="D36" s="60" t="s">
        <v>196</v>
      </c>
      <c r="E36" s="61" t="s">
        <v>3803</v>
      </c>
      <c r="F36" s="60" t="s">
        <v>421</v>
      </c>
      <c r="G36" s="62">
        <v>2086.4409999999998</v>
      </c>
      <c r="H36" s="62">
        <v>59.71</v>
      </c>
      <c r="I36" s="62">
        <v>72.38</v>
      </c>
      <c r="J36" s="63">
        <v>0.2122</v>
      </c>
      <c r="K36" s="62">
        <v>151016.59</v>
      </c>
      <c r="L36" s="63">
        <v>1.1542304965404055E-2</v>
      </c>
      <c r="M36" s="63">
        <v>0.75453192045268269</v>
      </c>
      <c r="N36" s="64" t="s">
        <v>409</v>
      </c>
    </row>
    <row r="37" spans="1:14" ht="20" x14ac:dyDescent="0.2">
      <c r="A37" s="59">
        <v>31</v>
      </c>
      <c r="B37" s="60">
        <v>67</v>
      </c>
      <c r="C37" s="60" t="s">
        <v>239</v>
      </c>
      <c r="D37" s="60" t="s">
        <v>196</v>
      </c>
      <c r="E37" s="61" t="s">
        <v>240</v>
      </c>
      <c r="F37" s="60" t="s">
        <v>421</v>
      </c>
      <c r="G37" s="62">
        <v>4033.9134308748062</v>
      </c>
      <c r="H37" s="62">
        <v>30.02</v>
      </c>
      <c r="I37" s="62">
        <v>36.39</v>
      </c>
      <c r="J37" s="63">
        <v>0.2122</v>
      </c>
      <c r="K37" s="62">
        <v>146794.09000000003</v>
      </c>
      <c r="L37" s="63">
        <v>1.1219576298862067E-2</v>
      </c>
      <c r="M37" s="63">
        <v>0.76575149675154475</v>
      </c>
      <c r="N37" s="64" t="s">
        <v>409</v>
      </c>
    </row>
    <row r="38" spans="1:14" ht="30" x14ac:dyDescent="0.2">
      <c r="A38" s="59">
        <v>32</v>
      </c>
      <c r="B38" s="60">
        <v>63</v>
      </c>
      <c r="C38" s="60" t="s">
        <v>244</v>
      </c>
      <c r="D38" s="60" t="s">
        <v>196</v>
      </c>
      <c r="E38" s="61" t="s">
        <v>3802</v>
      </c>
      <c r="F38" s="60" t="s">
        <v>421</v>
      </c>
      <c r="G38" s="62">
        <v>2355.54</v>
      </c>
      <c r="H38" s="62">
        <v>47.36</v>
      </c>
      <c r="I38" s="62">
        <v>57.41</v>
      </c>
      <c r="J38" s="63">
        <v>0.2122</v>
      </c>
      <c r="K38" s="62">
        <v>135231.54</v>
      </c>
      <c r="L38" s="63">
        <v>1.0335842410567193E-2</v>
      </c>
      <c r="M38" s="63">
        <v>0.77608733916211192</v>
      </c>
      <c r="N38" s="64" t="s">
        <v>409</v>
      </c>
    </row>
    <row r="39" spans="1:14" ht="30" x14ac:dyDescent="0.2">
      <c r="A39" s="59">
        <v>33</v>
      </c>
      <c r="B39" s="60">
        <v>45</v>
      </c>
      <c r="C39" s="60" t="s">
        <v>326</v>
      </c>
      <c r="D39" s="60" t="s">
        <v>19</v>
      </c>
      <c r="E39" s="61" t="s">
        <v>327</v>
      </c>
      <c r="F39" s="60" t="s">
        <v>227</v>
      </c>
      <c r="G39" s="62">
        <v>7228.76</v>
      </c>
      <c r="H39" s="62">
        <v>13.23</v>
      </c>
      <c r="I39" s="62">
        <v>16.04</v>
      </c>
      <c r="J39" s="63">
        <v>0.2122</v>
      </c>
      <c r="K39" s="62">
        <v>115949.31</v>
      </c>
      <c r="L39" s="63">
        <v>8.8620879106605047E-3</v>
      </c>
      <c r="M39" s="63">
        <v>0.78494942707277238</v>
      </c>
      <c r="N39" s="64" t="s">
        <v>409</v>
      </c>
    </row>
    <row r="40" spans="1:14" ht="30" x14ac:dyDescent="0.2">
      <c r="A40" s="59">
        <v>34</v>
      </c>
      <c r="B40" s="60">
        <v>6</v>
      </c>
      <c r="C40" s="60" t="s">
        <v>275</v>
      </c>
      <c r="D40" s="60" t="s">
        <v>19</v>
      </c>
      <c r="E40" s="61" t="s">
        <v>3811</v>
      </c>
      <c r="F40" s="60" t="s">
        <v>173</v>
      </c>
      <c r="G40" s="62">
        <v>506.48999999999995</v>
      </c>
      <c r="H40" s="62">
        <v>172.74</v>
      </c>
      <c r="I40" s="62">
        <v>209.4</v>
      </c>
      <c r="J40" s="63">
        <v>0.2122</v>
      </c>
      <c r="K40" s="62">
        <v>106059</v>
      </c>
      <c r="L40" s="63">
        <v>8.1061645103083623E-3</v>
      </c>
      <c r="M40" s="63">
        <v>0.7930555915830807</v>
      </c>
      <c r="N40" s="64" t="s">
        <v>409</v>
      </c>
    </row>
    <row r="41" spans="1:14" ht="20" x14ac:dyDescent="0.2">
      <c r="A41" s="59">
        <v>35</v>
      </c>
      <c r="B41" s="60">
        <v>20</v>
      </c>
      <c r="C41" s="60" t="s">
        <v>292</v>
      </c>
      <c r="D41" s="60" t="s">
        <v>293</v>
      </c>
      <c r="E41" s="61" t="s">
        <v>356</v>
      </c>
      <c r="F41" s="60" t="s">
        <v>262</v>
      </c>
      <c r="G41" s="62">
        <v>891.42239999999993</v>
      </c>
      <c r="H41" s="62">
        <v>94.99</v>
      </c>
      <c r="I41" s="62">
        <v>115.15</v>
      </c>
      <c r="J41" s="63">
        <v>0.2122</v>
      </c>
      <c r="K41" s="62">
        <v>102647.27</v>
      </c>
      <c r="L41" s="63">
        <v>7.8454035692778583E-3</v>
      </c>
      <c r="M41" s="63">
        <v>0.80090099515235857</v>
      </c>
      <c r="N41" s="64" t="s">
        <v>410</v>
      </c>
    </row>
    <row r="42" spans="1:14" x14ac:dyDescent="0.2">
      <c r="A42" s="59">
        <v>36</v>
      </c>
      <c r="B42" s="60">
        <v>34</v>
      </c>
      <c r="C42" s="60" t="s">
        <v>191</v>
      </c>
      <c r="D42" s="60" t="s">
        <v>115</v>
      </c>
      <c r="E42" s="61" t="s">
        <v>3785</v>
      </c>
      <c r="F42" s="60" t="s">
        <v>227</v>
      </c>
      <c r="G42" s="62">
        <v>127.6293977304077</v>
      </c>
      <c r="H42" s="62">
        <v>626.30999999999995</v>
      </c>
      <c r="I42" s="62">
        <v>759.21</v>
      </c>
      <c r="J42" s="63">
        <v>0.2122</v>
      </c>
      <c r="K42" s="62">
        <v>96897.5</v>
      </c>
      <c r="L42" s="63">
        <v>7.4059445746009729E-3</v>
      </c>
      <c r="M42" s="63">
        <v>0.80830693972695955</v>
      </c>
      <c r="N42" s="64" t="s">
        <v>410</v>
      </c>
    </row>
    <row r="43" spans="1:14" x14ac:dyDescent="0.2">
      <c r="A43" s="59">
        <v>37</v>
      </c>
      <c r="B43" s="60">
        <v>43</v>
      </c>
      <c r="C43" s="60" t="s">
        <v>209</v>
      </c>
      <c r="D43" s="60" t="s">
        <v>199</v>
      </c>
      <c r="E43" s="61" t="s">
        <v>210</v>
      </c>
      <c r="F43" s="60" t="s">
        <v>81</v>
      </c>
      <c r="G43" s="62">
        <v>35</v>
      </c>
      <c r="H43" s="62">
        <v>2241.29</v>
      </c>
      <c r="I43" s="62">
        <v>2716.89</v>
      </c>
      <c r="J43" s="63">
        <v>0.2122</v>
      </c>
      <c r="K43" s="62">
        <v>95091.15</v>
      </c>
      <c r="L43" s="63">
        <v>7.2678839643444595E-3</v>
      </c>
      <c r="M43" s="63">
        <v>0.81557482369130396</v>
      </c>
      <c r="N43" s="64" t="s">
        <v>410</v>
      </c>
    </row>
    <row r="44" spans="1:14" x14ac:dyDescent="0.2">
      <c r="A44" s="59">
        <v>38</v>
      </c>
      <c r="B44" s="60">
        <v>15</v>
      </c>
      <c r="C44" s="60" t="s">
        <v>263</v>
      </c>
      <c r="D44" s="60" t="s">
        <v>115</v>
      </c>
      <c r="E44" s="61" t="s">
        <v>388</v>
      </c>
      <c r="F44" s="60" t="s">
        <v>424</v>
      </c>
      <c r="G44" s="62">
        <v>154772.16005370399</v>
      </c>
      <c r="H44" s="62">
        <v>0.54</v>
      </c>
      <c r="I44" s="62">
        <v>0.6</v>
      </c>
      <c r="J44" s="63">
        <v>0.111</v>
      </c>
      <c r="K44" s="62">
        <v>92863.26</v>
      </c>
      <c r="L44" s="63">
        <v>7.0976047532367659E-3</v>
      </c>
      <c r="M44" s="63">
        <v>0.82267242844454069</v>
      </c>
      <c r="N44" s="64" t="s">
        <v>410</v>
      </c>
    </row>
    <row r="45" spans="1:14" x14ac:dyDescent="0.2">
      <c r="A45" s="59">
        <v>39</v>
      </c>
      <c r="B45" s="60">
        <v>41</v>
      </c>
      <c r="C45" s="60" t="s">
        <v>3488</v>
      </c>
      <c r="D45" s="60" t="s">
        <v>3751</v>
      </c>
      <c r="E45" s="61" t="s">
        <v>261</v>
      </c>
      <c r="F45" s="60" t="s">
        <v>262</v>
      </c>
      <c r="G45" s="62">
        <v>19.206021068236378</v>
      </c>
      <c r="H45" s="62">
        <v>4291.21</v>
      </c>
      <c r="I45" s="62">
        <v>4767.53</v>
      </c>
      <c r="J45" s="63">
        <v>0.111</v>
      </c>
      <c r="K45" s="62">
        <v>91565.24</v>
      </c>
      <c r="L45" s="63">
        <v>6.9983961650201092E-3</v>
      </c>
      <c r="M45" s="63">
        <v>0.82967082460956076</v>
      </c>
      <c r="N45" s="64" t="s">
        <v>410</v>
      </c>
    </row>
    <row r="46" spans="1:14" ht="20" x14ac:dyDescent="0.2">
      <c r="A46" s="59">
        <v>40</v>
      </c>
      <c r="B46" s="60">
        <v>44</v>
      </c>
      <c r="C46" s="60" t="s">
        <v>3951</v>
      </c>
      <c r="D46" s="60" t="s">
        <v>293</v>
      </c>
      <c r="E46" s="61" t="s">
        <v>3952</v>
      </c>
      <c r="F46" s="60" t="s">
        <v>227</v>
      </c>
      <c r="G46" s="62">
        <v>685.32471063731487</v>
      </c>
      <c r="H46" s="62">
        <v>109.28</v>
      </c>
      <c r="I46" s="62">
        <v>132.47</v>
      </c>
      <c r="J46" s="63">
        <v>0.2122</v>
      </c>
      <c r="K46" s="62">
        <v>90784.95</v>
      </c>
      <c r="L46" s="63">
        <v>6.9387580475029857E-3</v>
      </c>
      <c r="M46" s="63">
        <v>0.83660958265706376</v>
      </c>
      <c r="N46" s="64" t="s">
        <v>410</v>
      </c>
    </row>
    <row r="47" spans="1:14" ht="20" x14ac:dyDescent="0.2">
      <c r="A47" s="59">
        <v>41</v>
      </c>
      <c r="B47" s="60">
        <v>124</v>
      </c>
      <c r="C47" s="60" t="s">
        <v>3497</v>
      </c>
      <c r="D47" s="60" t="s">
        <v>19</v>
      </c>
      <c r="E47" s="61" t="s">
        <v>308</v>
      </c>
      <c r="F47" s="60" t="s">
        <v>173</v>
      </c>
      <c r="G47" s="62">
        <v>982.12</v>
      </c>
      <c r="H47" s="62">
        <v>68.3</v>
      </c>
      <c r="I47" s="62">
        <v>75.88</v>
      </c>
      <c r="J47" s="63">
        <v>0.111</v>
      </c>
      <c r="K47" s="62">
        <v>74523.25</v>
      </c>
      <c r="L47" s="63">
        <v>5.6958647954708013E-3</v>
      </c>
      <c r="M47" s="63">
        <v>0.84230544745253455</v>
      </c>
      <c r="N47" s="64" t="s">
        <v>410</v>
      </c>
    </row>
    <row r="48" spans="1:14" ht="20" x14ac:dyDescent="0.2">
      <c r="A48" s="59">
        <v>42</v>
      </c>
      <c r="B48" s="60">
        <v>31</v>
      </c>
      <c r="C48" s="60" t="s">
        <v>264</v>
      </c>
      <c r="D48" s="60" t="s">
        <v>3751</v>
      </c>
      <c r="E48" s="61" t="s">
        <v>265</v>
      </c>
      <c r="F48" s="60" t="s">
        <v>227</v>
      </c>
      <c r="G48" s="62">
        <v>491.17732184054597</v>
      </c>
      <c r="H48" s="62">
        <v>124.59</v>
      </c>
      <c r="I48" s="62">
        <v>151.03</v>
      </c>
      <c r="J48" s="63">
        <v>0.2122</v>
      </c>
      <c r="K48" s="62">
        <v>74182.48</v>
      </c>
      <c r="L48" s="63">
        <v>5.6698195029432664E-3</v>
      </c>
      <c r="M48" s="63">
        <v>0.84797526695547787</v>
      </c>
      <c r="N48" s="64" t="s">
        <v>410</v>
      </c>
    </row>
    <row r="49" spans="1:14" ht="30" x14ac:dyDescent="0.2">
      <c r="A49" s="59">
        <v>43</v>
      </c>
      <c r="B49" s="60">
        <v>5</v>
      </c>
      <c r="C49" s="60" t="s">
        <v>274</v>
      </c>
      <c r="D49" s="60" t="s">
        <v>19</v>
      </c>
      <c r="E49" s="61" t="s">
        <v>3810</v>
      </c>
      <c r="F49" s="60" t="s">
        <v>173</v>
      </c>
      <c r="G49" s="62">
        <v>457.39</v>
      </c>
      <c r="H49" s="62">
        <v>133.19</v>
      </c>
      <c r="I49" s="62">
        <v>161.44999999999999</v>
      </c>
      <c r="J49" s="63">
        <v>0.2122</v>
      </c>
      <c r="K49" s="62">
        <v>73845.61</v>
      </c>
      <c r="L49" s="63">
        <v>5.6440722901787907E-3</v>
      </c>
      <c r="M49" s="63">
        <v>0.85361933924565669</v>
      </c>
      <c r="N49" s="64" t="s">
        <v>410</v>
      </c>
    </row>
    <row r="50" spans="1:14" ht="20" x14ac:dyDescent="0.2">
      <c r="A50" s="59">
        <v>44</v>
      </c>
      <c r="B50" s="60">
        <v>115</v>
      </c>
      <c r="C50" s="60" t="s">
        <v>3502</v>
      </c>
      <c r="D50" s="60" t="s">
        <v>19</v>
      </c>
      <c r="E50" s="61" t="s">
        <v>288</v>
      </c>
      <c r="F50" s="60" t="s">
        <v>173</v>
      </c>
      <c r="G50" s="62">
        <v>137.27000000000001</v>
      </c>
      <c r="H50" s="62">
        <v>470.49</v>
      </c>
      <c r="I50" s="62">
        <v>522.71</v>
      </c>
      <c r="J50" s="63">
        <v>0.111</v>
      </c>
      <c r="K50" s="62">
        <v>71752.399999999994</v>
      </c>
      <c r="L50" s="63">
        <v>5.4840867668887105E-3</v>
      </c>
      <c r="M50" s="63">
        <v>0.85910342601254541</v>
      </c>
      <c r="N50" s="64" t="s">
        <v>410</v>
      </c>
    </row>
    <row r="51" spans="1:14" ht="20" x14ac:dyDescent="0.2">
      <c r="A51" s="59">
        <v>45</v>
      </c>
      <c r="B51" s="60">
        <v>82</v>
      </c>
      <c r="C51" s="60" t="s">
        <v>349</v>
      </c>
      <c r="D51" s="60" t="s">
        <v>188</v>
      </c>
      <c r="E51" s="61" t="s">
        <v>350</v>
      </c>
      <c r="F51" s="60" t="s">
        <v>81</v>
      </c>
      <c r="G51" s="62">
        <v>107</v>
      </c>
      <c r="H51" s="62">
        <v>541.14</v>
      </c>
      <c r="I51" s="62">
        <v>655.97</v>
      </c>
      <c r="J51" s="63">
        <v>0.2122</v>
      </c>
      <c r="K51" s="62">
        <v>70188.789999999994</v>
      </c>
      <c r="L51" s="63">
        <v>5.3645789468077807E-3</v>
      </c>
      <c r="M51" s="63">
        <v>0.86446800495935316</v>
      </c>
      <c r="N51" s="64" t="s">
        <v>410</v>
      </c>
    </row>
    <row r="52" spans="1:14" x14ac:dyDescent="0.2">
      <c r="A52" s="59">
        <v>46</v>
      </c>
      <c r="B52" s="60">
        <v>106</v>
      </c>
      <c r="C52" s="60" t="s">
        <v>202</v>
      </c>
      <c r="D52" s="60" t="s">
        <v>203</v>
      </c>
      <c r="E52" s="61" t="s">
        <v>204</v>
      </c>
      <c r="F52" s="60" t="s">
        <v>173</v>
      </c>
      <c r="G52" s="62">
        <v>683.48</v>
      </c>
      <c r="H52" s="62">
        <v>82.29</v>
      </c>
      <c r="I52" s="62">
        <v>99.75</v>
      </c>
      <c r="J52" s="63">
        <v>0.2122</v>
      </c>
      <c r="K52" s="62">
        <v>68177.13</v>
      </c>
      <c r="L52" s="63">
        <v>5.2108263477939603E-3</v>
      </c>
      <c r="M52" s="63">
        <v>0.86967883130714707</v>
      </c>
      <c r="N52" s="64" t="s">
        <v>410</v>
      </c>
    </row>
    <row r="53" spans="1:14" ht="30" x14ac:dyDescent="0.2">
      <c r="A53" s="59">
        <v>47</v>
      </c>
      <c r="B53" s="60">
        <v>7</v>
      </c>
      <c r="C53" s="60" t="s">
        <v>309</v>
      </c>
      <c r="D53" s="60" t="s">
        <v>19</v>
      </c>
      <c r="E53" s="61" t="s">
        <v>3817</v>
      </c>
      <c r="F53" s="60" t="s">
        <v>173</v>
      </c>
      <c r="G53" s="62">
        <v>1413.97</v>
      </c>
      <c r="H53" s="62">
        <v>38.11</v>
      </c>
      <c r="I53" s="62">
        <v>46.2</v>
      </c>
      <c r="J53" s="63">
        <v>0.2122</v>
      </c>
      <c r="K53" s="62">
        <v>65325.399999999994</v>
      </c>
      <c r="L53" s="63">
        <v>4.9928666035102898E-3</v>
      </c>
      <c r="M53" s="63">
        <v>0.87467169791065735</v>
      </c>
      <c r="N53" s="64" t="s">
        <v>410</v>
      </c>
    </row>
    <row r="54" spans="1:14" ht="20" x14ac:dyDescent="0.2">
      <c r="A54" s="59">
        <v>48</v>
      </c>
      <c r="B54" s="60">
        <v>60</v>
      </c>
      <c r="C54" s="60" t="s">
        <v>225</v>
      </c>
      <c r="D54" s="60" t="s">
        <v>3751</v>
      </c>
      <c r="E54" s="61" t="s">
        <v>226</v>
      </c>
      <c r="F54" s="60" t="s">
        <v>227</v>
      </c>
      <c r="G54" s="62">
        <v>4115.0074380102305</v>
      </c>
      <c r="H54" s="62">
        <v>13.06</v>
      </c>
      <c r="I54" s="62">
        <v>15.83</v>
      </c>
      <c r="J54" s="63">
        <v>0.2122</v>
      </c>
      <c r="K54" s="62">
        <v>65140.56</v>
      </c>
      <c r="L54" s="63">
        <v>4.9787391513554952E-3</v>
      </c>
      <c r="M54" s="63">
        <v>0.87965043706201285</v>
      </c>
      <c r="N54" s="64" t="s">
        <v>410</v>
      </c>
    </row>
    <row r="55" spans="1:14" ht="30" x14ac:dyDescent="0.2">
      <c r="A55" s="59">
        <v>49</v>
      </c>
      <c r="B55" s="60">
        <v>46</v>
      </c>
      <c r="C55" s="60" t="s">
        <v>221</v>
      </c>
      <c r="D55" s="60" t="s">
        <v>19</v>
      </c>
      <c r="E55" s="61" t="s">
        <v>3795</v>
      </c>
      <c r="F55" s="60" t="s">
        <v>227</v>
      </c>
      <c r="G55" s="62">
        <v>5749.1665802989237</v>
      </c>
      <c r="H55" s="62">
        <v>9.31</v>
      </c>
      <c r="I55" s="62">
        <v>11.29</v>
      </c>
      <c r="J55" s="63">
        <v>0.2122</v>
      </c>
      <c r="K55" s="62">
        <v>64908.06</v>
      </c>
      <c r="L55" s="63">
        <v>4.9609690116347105E-3</v>
      </c>
      <c r="M55" s="63">
        <v>0.88461140607364752</v>
      </c>
      <c r="N55" s="64" t="s">
        <v>410</v>
      </c>
    </row>
    <row r="56" spans="1:14" ht="20" x14ac:dyDescent="0.2">
      <c r="A56" s="59">
        <v>50</v>
      </c>
      <c r="B56" s="60">
        <v>101</v>
      </c>
      <c r="C56" s="60" t="s">
        <v>249</v>
      </c>
      <c r="D56" s="60" t="s">
        <v>19</v>
      </c>
      <c r="E56" s="61" t="s">
        <v>250</v>
      </c>
      <c r="F56" s="60" t="s">
        <v>227</v>
      </c>
      <c r="G56" s="62">
        <v>196.16139717396547</v>
      </c>
      <c r="H56" s="62">
        <v>271.92</v>
      </c>
      <c r="I56" s="62">
        <v>329.62</v>
      </c>
      <c r="J56" s="63">
        <v>0.2122</v>
      </c>
      <c r="K56" s="62">
        <v>64658.7</v>
      </c>
      <c r="L56" s="63">
        <v>4.9419102501690121E-3</v>
      </c>
      <c r="M56" s="63">
        <v>0.88955331632381651</v>
      </c>
      <c r="N56" s="64" t="s">
        <v>410</v>
      </c>
    </row>
    <row r="57" spans="1:14" ht="20" x14ac:dyDescent="0.2">
      <c r="A57" s="59">
        <v>51</v>
      </c>
      <c r="B57" s="60">
        <v>76</v>
      </c>
      <c r="C57" s="60" t="s">
        <v>303</v>
      </c>
      <c r="D57" s="60" t="s">
        <v>19</v>
      </c>
      <c r="E57" s="61" t="s">
        <v>3816</v>
      </c>
      <c r="F57" s="60" t="s">
        <v>173</v>
      </c>
      <c r="G57" s="62">
        <v>669.97</v>
      </c>
      <c r="H57" s="62">
        <v>77.209999999999994</v>
      </c>
      <c r="I57" s="62">
        <v>93.59</v>
      </c>
      <c r="J57" s="63">
        <v>0.2122</v>
      </c>
      <c r="K57" s="62">
        <v>62702.49</v>
      </c>
      <c r="L57" s="63">
        <v>4.7923957339402121E-3</v>
      </c>
      <c r="M57" s="63">
        <v>0.8943457120577567</v>
      </c>
      <c r="N57" s="64" t="s">
        <v>410</v>
      </c>
    </row>
    <row r="58" spans="1:14" ht="30" x14ac:dyDescent="0.2">
      <c r="A58" s="59">
        <v>52</v>
      </c>
      <c r="B58" s="60">
        <v>4</v>
      </c>
      <c r="C58" s="60" t="s">
        <v>273</v>
      </c>
      <c r="D58" s="60" t="s">
        <v>19</v>
      </c>
      <c r="E58" s="61" t="s">
        <v>3809</v>
      </c>
      <c r="F58" s="60" t="s">
        <v>173</v>
      </c>
      <c r="G58" s="62">
        <v>456.24714676630765</v>
      </c>
      <c r="H58" s="62">
        <v>108</v>
      </c>
      <c r="I58" s="62">
        <v>130.91999999999999</v>
      </c>
      <c r="J58" s="63">
        <v>0.2122</v>
      </c>
      <c r="K58" s="62">
        <v>59731.86</v>
      </c>
      <c r="L58" s="63">
        <v>4.5653483784186882E-3</v>
      </c>
      <c r="M58" s="63">
        <v>0.89891106043617541</v>
      </c>
      <c r="N58" s="64" t="s">
        <v>410</v>
      </c>
    </row>
    <row r="59" spans="1:14" ht="30" x14ac:dyDescent="0.2">
      <c r="A59" s="59">
        <v>53</v>
      </c>
      <c r="B59" s="60">
        <v>8</v>
      </c>
      <c r="C59" s="60" t="s">
        <v>271</v>
      </c>
      <c r="D59" s="60" t="s">
        <v>19</v>
      </c>
      <c r="E59" s="61" t="s">
        <v>3807</v>
      </c>
      <c r="F59" s="60" t="s">
        <v>173</v>
      </c>
      <c r="G59" s="62">
        <v>803.30640838546765</v>
      </c>
      <c r="H59" s="62">
        <v>60.45</v>
      </c>
      <c r="I59" s="62">
        <v>73.28</v>
      </c>
      <c r="J59" s="63">
        <v>0.2122</v>
      </c>
      <c r="K59" s="62">
        <v>58866.28</v>
      </c>
      <c r="L59" s="63">
        <v>4.4991914857756051E-3</v>
      </c>
      <c r="M59" s="63">
        <v>0.90341025192195101</v>
      </c>
      <c r="N59" s="64" t="s">
        <v>410</v>
      </c>
    </row>
    <row r="60" spans="1:14" x14ac:dyDescent="0.2">
      <c r="A60" s="59">
        <v>54</v>
      </c>
      <c r="B60" s="60">
        <v>89</v>
      </c>
      <c r="C60" s="60" t="s">
        <v>171</v>
      </c>
      <c r="D60" s="60" t="s">
        <v>19</v>
      </c>
      <c r="E60" s="61" t="s">
        <v>172</v>
      </c>
      <c r="F60" s="60" t="s">
        <v>173</v>
      </c>
      <c r="G60" s="62">
        <v>4671.4835551517754</v>
      </c>
      <c r="H60" s="62">
        <v>9.66</v>
      </c>
      <c r="I60" s="62">
        <v>11.71</v>
      </c>
      <c r="J60" s="63">
        <v>0.2122</v>
      </c>
      <c r="K60" s="62">
        <v>54703.06</v>
      </c>
      <c r="L60" s="63">
        <v>4.1809936316321008E-3</v>
      </c>
      <c r="M60" s="63">
        <v>0.90759124555358306</v>
      </c>
      <c r="N60" s="64" t="s">
        <v>410</v>
      </c>
    </row>
    <row r="61" spans="1:14" ht="30" x14ac:dyDescent="0.2">
      <c r="A61" s="59">
        <v>55</v>
      </c>
      <c r="B61" s="60">
        <v>69</v>
      </c>
      <c r="C61" s="60" t="s">
        <v>246</v>
      </c>
      <c r="D61" s="60" t="s">
        <v>196</v>
      </c>
      <c r="E61" s="61" t="s">
        <v>3804</v>
      </c>
      <c r="F61" s="60" t="s">
        <v>421</v>
      </c>
      <c r="G61" s="62">
        <v>1154.3921</v>
      </c>
      <c r="H61" s="62">
        <v>38.700000000000003</v>
      </c>
      <c r="I61" s="62">
        <v>46.91</v>
      </c>
      <c r="J61" s="63">
        <v>0.2122</v>
      </c>
      <c r="K61" s="62">
        <v>54152.53</v>
      </c>
      <c r="L61" s="63">
        <v>4.1389162336945371E-3</v>
      </c>
      <c r="M61" s="63">
        <v>0.91173016178727762</v>
      </c>
      <c r="N61" s="64" t="s">
        <v>410</v>
      </c>
    </row>
    <row r="62" spans="1:14" ht="30" x14ac:dyDescent="0.2">
      <c r="A62" s="59">
        <v>56</v>
      </c>
      <c r="B62" s="60">
        <v>17</v>
      </c>
      <c r="C62" s="60" t="s">
        <v>116</v>
      </c>
      <c r="D62" s="60" t="s">
        <v>19</v>
      </c>
      <c r="E62" s="61" t="s">
        <v>117</v>
      </c>
      <c r="F62" s="60" t="s">
        <v>227</v>
      </c>
      <c r="G62" s="62">
        <v>6832.1932713505603</v>
      </c>
      <c r="H62" s="62">
        <v>6.53</v>
      </c>
      <c r="I62" s="62">
        <v>7.92</v>
      </c>
      <c r="J62" s="63">
        <v>0.2122</v>
      </c>
      <c r="K62" s="62">
        <v>54110.92</v>
      </c>
      <c r="L62" s="63">
        <v>4.1357359519148297E-3</v>
      </c>
      <c r="M62" s="63">
        <v>0.91586589773919247</v>
      </c>
      <c r="N62" s="64" t="s">
        <v>410</v>
      </c>
    </row>
    <row r="63" spans="1:14" ht="30" x14ac:dyDescent="0.2">
      <c r="A63" s="59">
        <v>57</v>
      </c>
      <c r="B63" s="60">
        <v>9</v>
      </c>
      <c r="C63" s="60" t="s">
        <v>272</v>
      </c>
      <c r="D63" s="60" t="s">
        <v>19</v>
      </c>
      <c r="E63" s="61" t="s">
        <v>3808</v>
      </c>
      <c r="F63" s="60" t="s">
        <v>173</v>
      </c>
      <c r="G63" s="62">
        <v>495.52999999999992</v>
      </c>
      <c r="H63" s="62">
        <v>83.73</v>
      </c>
      <c r="I63" s="62">
        <v>101.5</v>
      </c>
      <c r="J63" s="63">
        <v>0.2122</v>
      </c>
      <c r="K63" s="62">
        <v>50296.29</v>
      </c>
      <c r="L63" s="63">
        <v>3.8441810784391461E-3</v>
      </c>
      <c r="M63" s="63">
        <v>0.91971007881763156</v>
      </c>
      <c r="N63" s="64" t="s">
        <v>410</v>
      </c>
    </row>
    <row r="64" spans="1:14" ht="30" x14ac:dyDescent="0.2">
      <c r="A64" s="59">
        <v>58</v>
      </c>
      <c r="B64" s="60">
        <v>48</v>
      </c>
      <c r="C64" s="60" t="s">
        <v>219</v>
      </c>
      <c r="D64" s="60" t="s">
        <v>19</v>
      </c>
      <c r="E64" s="61" t="s">
        <v>3793</v>
      </c>
      <c r="F64" s="60" t="s">
        <v>227</v>
      </c>
      <c r="G64" s="62">
        <v>3642.6684576094822</v>
      </c>
      <c r="H64" s="62">
        <v>10.49</v>
      </c>
      <c r="I64" s="62">
        <v>12.72</v>
      </c>
      <c r="J64" s="63">
        <v>0.2122</v>
      </c>
      <c r="K64" s="62">
        <v>46334.720000000001</v>
      </c>
      <c r="L64" s="63">
        <v>3.5413954766599261E-3</v>
      </c>
      <c r="M64" s="63">
        <v>0.92325147429429144</v>
      </c>
      <c r="N64" s="64" t="s">
        <v>410</v>
      </c>
    </row>
    <row r="65" spans="1:14" ht="20" x14ac:dyDescent="0.2">
      <c r="A65" s="59">
        <v>59</v>
      </c>
      <c r="B65" s="60">
        <v>61</v>
      </c>
      <c r="C65" s="60" t="s">
        <v>228</v>
      </c>
      <c r="D65" s="60" t="s">
        <v>3751</v>
      </c>
      <c r="E65" s="61" t="s">
        <v>229</v>
      </c>
      <c r="F65" s="60" t="s">
        <v>227</v>
      </c>
      <c r="G65" s="62">
        <v>2104.7613098930869</v>
      </c>
      <c r="H65" s="62">
        <v>17.96</v>
      </c>
      <c r="I65" s="62">
        <v>21.77</v>
      </c>
      <c r="J65" s="63">
        <v>0.2122</v>
      </c>
      <c r="K65" s="62">
        <v>45820.639999999999</v>
      </c>
      <c r="L65" s="63">
        <v>3.5021039780463305E-3</v>
      </c>
      <c r="M65" s="63">
        <v>0.92675357827233773</v>
      </c>
      <c r="N65" s="64" t="s">
        <v>410</v>
      </c>
    </row>
    <row r="66" spans="1:14" ht="20" x14ac:dyDescent="0.2">
      <c r="A66" s="59">
        <v>60</v>
      </c>
      <c r="B66" s="60">
        <v>116</v>
      </c>
      <c r="C66" s="60" t="s">
        <v>3503</v>
      </c>
      <c r="D66" s="60" t="s">
        <v>19</v>
      </c>
      <c r="E66" s="61" t="s">
        <v>364</v>
      </c>
      <c r="F66" s="60" t="s">
        <v>173</v>
      </c>
      <c r="G66" s="62">
        <v>39.090000000000003</v>
      </c>
      <c r="H66" s="62">
        <v>1018.04</v>
      </c>
      <c r="I66" s="62">
        <v>1131.04</v>
      </c>
      <c r="J66" s="63">
        <v>0.111</v>
      </c>
      <c r="K66" s="62">
        <v>44212.35</v>
      </c>
      <c r="L66" s="63">
        <v>3.3791812339106714E-3</v>
      </c>
      <c r="M66" s="63">
        <v>0.93013275950624841</v>
      </c>
      <c r="N66" s="64" t="s">
        <v>410</v>
      </c>
    </row>
    <row r="67" spans="1:14" ht="20" x14ac:dyDescent="0.2">
      <c r="A67" s="59">
        <v>61</v>
      </c>
      <c r="B67" s="60">
        <v>16</v>
      </c>
      <c r="C67" s="60" t="s">
        <v>107</v>
      </c>
      <c r="D67" s="60" t="s">
        <v>19</v>
      </c>
      <c r="E67" s="61" t="s">
        <v>108</v>
      </c>
      <c r="F67" s="60" t="s">
        <v>227</v>
      </c>
      <c r="G67" s="62">
        <v>4053.4906303319281</v>
      </c>
      <c r="H67" s="62">
        <v>8.81</v>
      </c>
      <c r="I67" s="62">
        <v>10.68</v>
      </c>
      <c r="J67" s="63">
        <v>0.2122</v>
      </c>
      <c r="K67" s="62">
        <v>43291.21</v>
      </c>
      <c r="L67" s="63">
        <v>3.3087778511046348E-3</v>
      </c>
      <c r="M67" s="63">
        <v>0.93344153735735302</v>
      </c>
      <c r="N67" s="64" t="s">
        <v>410</v>
      </c>
    </row>
    <row r="68" spans="1:14" x14ac:dyDescent="0.2">
      <c r="A68" s="59">
        <v>62</v>
      </c>
      <c r="B68" s="60">
        <v>107</v>
      </c>
      <c r="C68" s="60" t="s">
        <v>311</v>
      </c>
      <c r="D68" s="60" t="s">
        <v>196</v>
      </c>
      <c r="E68" s="61" t="s">
        <v>312</v>
      </c>
      <c r="F68" s="60" t="s">
        <v>227</v>
      </c>
      <c r="G68" s="62">
        <v>132.98000000000002</v>
      </c>
      <c r="H68" s="62">
        <v>262.95</v>
      </c>
      <c r="I68" s="62">
        <v>318.75</v>
      </c>
      <c r="J68" s="63">
        <v>0.2122</v>
      </c>
      <c r="K68" s="62">
        <v>42387.360000000001</v>
      </c>
      <c r="L68" s="63">
        <v>3.239695955248157E-3</v>
      </c>
      <c r="M68" s="63">
        <v>0.93668123331260122</v>
      </c>
      <c r="N68" s="64" t="s">
        <v>410</v>
      </c>
    </row>
    <row r="69" spans="1:14" ht="30" x14ac:dyDescent="0.2">
      <c r="A69" s="59">
        <v>63</v>
      </c>
      <c r="B69" s="60">
        <v>77</v>
      </c>
      <c r="C69" s="60" t="s">
        <v>253</v>
      </c>
      <c r="D69" s="60" t="s">
        <v>3751</v>
      </c>
      <c r="E69" s="61" t="s">
        <v>254</v>
      </c>
      <c r="F69" s="60" t="s">
        <v>227</v>
      </c>
      <c r="G69" s="62">
        <v>2241.2317654784711</v>
      </c>
      <c r="H69" s="62">
        <v>15.45</v>
      </c>
      <c r="I69" s="62">
        <v>18.73</v>
      </c>
      <c r="J69" s="63">
        <v>0.2122</v>
      </c>
      <c r="K69" s="62">
        <v>41978.229999999996</v>
      </c>
      <c r="L69" s="63">
        <v>3.2084258594891691E-3</v>
      </c>
      <c r="M69" s="63">
        <v>0.93988965917209044</v>
      </c>
      <c r="N69" s="64" t="s">
        <v>410</v>
      </c>
    </row>
    <row r="70" spans="1:14" ht="20" x14ac:dyDescent="0.2">
      <c r="A70" s="59">
        <v>64</v>
      </c>
      <c r="B70" s="60">
        <v>24</v>
      </c>
      <c r="C70" s="60" t="s">
        <v>318</v>
      </c>
      <c r="D70" s="60" t="s">
        <v>19</v>
      </c>
      <c r="E70" s="61" t="s">
        <v>319</v>
      </c>
      <c r="F70" s="60" t="s">
        <v>173</v>
      </c>
      <c r="G70" s="62">
        <v>114.92100000000006</v>
      </c>
      <c r="H70" s="62">
        <v>300.54000000000002</v>
      </c>
      <c r="I70" s="62">
        <v>364.31</v>
      </c>
      <c r="J70" s="63">
        <v>0.2122</v>
      </c>
      <c r="K70" s="62">
        <v>41866.850000000006</v>
      </c>
      <c r="L70" s="63">
        <v>3.1999130071790581E-3</v>
      </c>
      <c r="M70" s="63">
        <v>0.94308957217926948</v>
      </c>
      <c r="N70" s="64" t="s">
        <v>410</v>
      </c>
    </row>
    <row r="71" spans="1:14" x14ac:dyDescent="0.2">
      <c r="A71" s="59">
        <v>65</v>
      </c>
      <c r="B71" s="60">
        <v>26</v>
      </c>
      <c r="C71" s="60" t="s">
        <v>332</v>
      </c>
      <c r="D71" s="60" t="s">
        <v>115</v>
      </c>
      <c r="E71" s="61" t="s">
        <v>390</v>
      </c>
      <c r="F71" s="60" t="s">
        <v>227</v>
      </c>
      <c r="G71" s="62">
        <v>3854.2900727724168</v>
      </c>
      <c r="H71" s="62">
        <v>8.59</v>
      </c>
      <c r="I71" s="62">
        <v>10.41</v>
      </c>
      <c r="J71" s="63">
        <v>0.2122</v>
      </c>
      <c r="K71" s="62">
        <v>40123.14</v>
      </c>
      <c r="L71" s="63">
        <v>3.0666400165015122E-3</v>
      </c>
      <c r="M71" s="63">
        <v>0.94615621219577095</v>
      </c>
      <c r="N71" s="64" t="s">
        <v>410</v>
      </c>
    </row>
    <row r="72" spans="1:14" x14ac:dyDescent="0.2">
      <c r="A72" s="59">
        <v>66</v>
      </c>
      <c r="B72" s="60">
        <v>110</v>
      </c>
      <c r="C72" s="60" t="s">
        <v>179</v>
      </c>
      <c r="D72" s="60" t="s">
        <v>175</v>
      </c>
      <c r="E72" s="61" t="s">
        <v>180</v>
      </c>
      <c r="F72" s="60" t="s">
        <v>173</v>
      </c>
      <c r="G72" s="62">
        <v>10113.36711030355</v>
      </c>
      <c r="H72" s="62">
        <v>3.25</v>
      </c>
      <c r="I72" s="62">
        <v>3.94</v>
      </c>
      <c r="J72" s="63">
        <v>0.2122</v>
      </c>
      <c r="K72" s="62">
        <v>39846.620000000003</v>
      </c>
      <c r="L72" s="63">
        <v>3.0455053969935925E-3</v>
      </c>
      <c r="M72" s="63">
        <v>0.9492017175927645</v>
      </c>
      <c r="N72" s="64" t="s">
        <v>410</v>
      </c>
    </row>
    <row r="73" spans="1:14" ht="30" x14ac:dyDescent="0.2">
      <c r="A73" s="59">
        <v>67</v>
      </c>
      <c r="B73" s="60">
        <v>55</v>
      </c>
      <c r="C73" s="60" t="s">
        <v>222</v>
      </c>
      <c r="D73" s="60" t="s">
        <v>19</v>
      </c>
      <c r="E73" s="61" t="s">
        <v>3796</v>
      </c>
      <c r="F73" s="60" t="s">
        <v>227</v>
      </c>
      <c r="G73" s="62">
        <v>3480.07792940846</v>
      </c>
      <c r="H73" s="62">
        <v>8.6999999999999993</v>
      </c>
      <c r="I73" s="62">
        <v>10.55</v>
      </c>
      <c r="J73" s="63">
        <v>0.2122</v>
      </c>
      <c r="K73" s="62">
        <v>36714.800000000003</v>
      </c>
      <c r="L73" s="63">
        <v>2.8061381755727427E-3</v>
      </c>
      <c r="M73" s="63">
        <v>0.95200785576833724</v>
      </c>
      <c r="N73" s="64" t="s">
        <v>410</v>
      </c>
    </row>
    <row r="74" spans="1:14" ht="20" x14ac:dyDescent="0.2">
      <c r="A74" s="59">
        <v>68</v>
      </c>
      <c r="B74" s="60">
        <v>75</v>
      </c>
      <c r="C74" s="60" t="s">
        <v>201</v>
      </c>
      <c r="D74" s="60" t="s">
        <v>19</v>
      </c>
      <c r="E74" s="61" t="s">
        <v>3552</v>
      </c>
      <c r="F74" s="60" t="s">
        <v>227</v>
      </c>
      <c r="G74" s="62">
        <v>36.931299999999993</v>
      </c>
      <c r="H74" s="62">
        <v>767.76</v>
      </c>
      <c r="I74" s="62">
        <v>930.68</v>
      </c>
      <c r="J74" s="63">
        <v>0.2122</v>
      </c>
      <c r="K74" s="62">
        <v>34371.21</v>
      </c>
      <c r="L74" s="63">
        <v>2.6270159314943182E-3</v>
      </c>
      <c r="M74" s="63">
        <v>0.95463487169983152</v>
      </c>
      <c r="N74" s="64" t="s">
        <v>410</v>
      </c>
    </row>
    <row r="75" spans="1:14" ht="20" x14ac:dyDescent="0.2">
      <c r="A75" s="59">
        <v>69</v>
      </c>
      <c r="B75" s="60">
        <v>27</v>
      </c>
      <c r="C75" s="60" t="s">
        <v>314</v>
      </c>
      <c r="D75" s="60" t="s">
        <v>19</v>
      </c>
      <c r="E75" s="61" t="s">
        <v>315</v>
      </c>
      <c r="F75" s="60" t="s">
        <v>227</v>
      </c>
      <c r="G75" s="62">
        <v>65.52</v>
      </c>
      <c r="H75" s="62">
        <v>430.64</v>
      </c>
      <c r="I75" s="62">
        <v>522.02</v>
      </c>
      <c r="J75" s="63">
        <v>0.2122</v>
      </c>
      <c r="K75" s="62">
        <v>34202.729999999996</v>
      </c>
      <c r="L75" s="63">
        <v>2.6141388857301982E-3</v>
      </c>
      <c r="M75" s="63">
        <v>0.95724901058556167</v>
      </c>
      <c r="N75" s="64" t="s">
        <v>410</v>
      </c>
    </row>
    <row r="76" spans="1:14" ht="20" x14ac:dyDescent="0.2">
      <c r="A76" s="59">
        <v>70</v>
      </c>
      <c r="B76" s="60">
        <v>29</v>
      </c>
      <c r="C76" s="60" t="s">
        <v>160</v>
      </c>
      <c r="D76" s="60" t="s">
        <v>19</v>
      </c>
      <c r="E76" s="61" t="s">
        <v>161</v>
      </c>
      <c r="F76" s="60" t="s">
        <v>227</v>
      </c>
      <c r="G76" s="62">
        <v>63.429999999999993</v>
      </c>
      <c r="H76" s="62">
        <v>403.4</v>
      </c>
      <c r="I76" s="62">
        <v>489</v>
      </c>
      <c r="J76" s="63">
        <v>0.2122</v>
      </c>
      <c r="K76" s="62">
        <v>31017.270000000004</v>
      </c>
      <c r="L76" s="63">
        <v>2.3706719211066696E-3</v>
      </c>
      <c r="M76" s="63">
        <v>0.95961968250666829</v>
      </c>
      <c r="N76" s="64" t="s">
        <v>410</v>
      </c>
    </row>
    <row r="77" spans="1:14" ht="20" x14ac:dyDescent="0.2">
      <c r="A77" s="59">
        <v>71</v>
      </c>
      <c r="B77" s="60">
        <v>123</v>
      </c>
      <c r="C77" s="60" t="s">
        <v>3496</v>
      </c>
      <c r="D77" s="60" t="s">
        <v>19</v>
      </c>
      <c r="E77" s="61" t="s">
        <v>357</v>
      </c>
      <c r="F77" s="60" t="s">
        <v>173</v>
      </c>
      <c r="G77" s="62">
        <v>431.85</v>
      </c>
      <c r="H77" s="62">
        <v>62.21</v>
      </c>
      <c r="I77" s="62">
        <v>69.12</v>
      </c>
      <c r="J77" s="63">
        <v>0.111</v>
      </c>
      <c r="K77" s="62">
        <v>29849.46</v>
      </c>
      <c r="L77" s="63">
        <v>2.2814153754407364E-3</v>
      </c>
      <c r="M77" s="63">
        <v>0.96190109788210898</v>
      </c>
      <c r="N77" s="64" t="s">
        <v>410</v>
      </c>
    </row>
    <row r="78" spans="1:14" ht="30" x14ac:dyDescent="0.2">
      <c r="A78" s="59">
        <v>72</v>
      </c>
      <c r="B78" s="60">
        <v>68</v>
      </c>
      <c r="C78" s="60" t="s">
        <v>243</v>
      </c>
      <c r="D78" s="60" t="s">
        <v>196</v>
      </c>
      <c r="E78" s="61" t="s">
        <v>3801</v>
      </c>
      <c r="F78" s="60" t="s">
        <v>421</v>
      </c>
      <c r="G78" s="62">
        <v>1037.3066935319641</v>
      </c>
      <c r="H78" s="62">
        <v>23.69</v>
      </c>
      <c r="I78" s="62">
        <v>28.72</v>
      </c>
      <c r="J78" s="63">
        <v>0.2122</v>
      </c>
      <c r="K78" s="62">
        <v>29791.440000000002</v>
      </c>
      <c r="L78" s="63">
        <v>2.2769808657349304E-3</v>
      </c>
      <c r="M78" s="63">
        <v>0.96417807874784389</v>
      </c>
      <c r="N78" s="64" t="s">
        <v>410</v>
      </c>
    </row>
    <row r="79" spans="1:14" x14ac:dyDescent="0.2">
      <c r="A79" s="59">
        <v>73</v>
      </c>
      <c r="B79" s="60">
        <v>40</v>
      </c>
      <c r="C79" s="60" t="s">
        <v>3487</v>
      </c>
      <c r="D79" s="60" t="s">
        <v>3751</v>
      </c>
      <c r="E79" s="61" t="s">
        <v>258</v>
      </c>
      <c r="F79" s="60" t="s">
        <v>262</v>
      </c>
      <c r="G79" s="62">
        <v>6.6393919082356687</v>
      </c>
      <c r="H79" s="62">
        <v>4033.08</v>
      </c>
      <c r="I79" s="62">
        <v>4480.75</v>
      </c>
      <c r="J79" s="63">
        <v>0.111</v>
      </c>
      <c r="K79" s="62">
        <v>29749.42</v>
      </c>
      <c r="L79" s="63">
        <v>2.2737692473647477E-3</v>
      </c>
      <c r="M79" s="63">
        <v>0.96645184799520867</v>
      </c>
      <c r="N79" s="64" t="s">
        <v>410</v>
      </c>
    </row>
    <row r="80" spans="1:14" ht="20" x14ac:dyDescent="0.2">
      <c r="A80" s="59">
        <v>74</v>
      </c>
      <c r="B80" s="60">
        <v>121</v>
      </c>
      <c r="C80" s="60" t="s">
        <v>3491</v>
      </c>
      <c r="D80" s="60" t="s">
        <v>19</v>
      </c>
      <c r="E80" s="61" t="s">
        <v>353</v>
      </c>
      <c r="F80" s="60" t="s">
        <v>173</v>
      </c>
      <c r="G80" s="62">
        <v>116.82116171322166</v>
      </c>
      <c r="H80" s="62">
        <v>209.38</v>
      </c>
      <c r="I80" s="62">
        <v>232.62</v>
      </c>
      <c r="J80" s="63">
        <v>0.111</v>
      </c>
      <c r="K80" s="62">
        <v>27174.93</v>
      </c>
      <c r="L80" s="63">
        <v>2.0769991526991016E-3</v>
      </c>
      <c r="M80" s="63">
        <v>0.96852884714790777</v>
      </c>
      <c r="N80" s="64" t="s">
        <v>410</v>
      </c>
    </row>
    <row r="81" spans="1:14" x14ac:dyDescent="0.2">
      <c r="A81" s="59">
        <v>75</v>
      </c>
      <c r="B81" s="60">
        <v>13</v>
      </c>
      <c r="C81" s="60" t="s">
        <v>344</v>
      </c>
      <c r="D81" s="60" t="s">
        <v>196</v>
      </c>
      <c r="E81" s="61" t="s">
        <v>345</v>
      </c>
      <c r="F81" s="60" t="s">
        <v>81</v>
      </c>
      <c r="G81" s="62">
        <v>129</v>
      </c>
      <c r="H81" s="62">
        <v>165.13</v>
      </c>
      <c r="I81" s="62">
        <v>200.17</v>
      </c>
      <c r="J81" s="63">
        <v>0.2122</v>
      </c>
      <c r="K81" s="62">
        <v>25821.93</v>
      </c>
      <c r="L81" s="63">
        <v>1.9735884041304067E-3</v>
      </c>
      <c r="M81" s="63">
        <v>0.97050243555203819</v>
      </c>
      <c r="N81" s="64" t="s">
        <v>410</v>
      </c>
    </row>
    <row r="82" spans="1:14" x14ac:dyDescent="0.2">
      <c r="A82" s="59">
        <v>76</v>
      </c>
      <c r="B82" s="60">
        <v>74</v>
      </c>
      <c r="C82" s="60" t="s">
        <v>232</v>
      </c>
      <c r="D82" s="60" t="s">
        <v>19</v>
      </c>
      <c r="E82" s="61" t="s">
        <v>3798</v>
      </c>
      <c r="F82" s="60" t="s">
        <v>227</v>
      </c>
      <c r="G82" s="62">
        <v>15056.787013660876</v>
      </c>
      <c r="H82" s="62">
        <v>1.37</v>
      </c>
      <c r="I82" s="62">
        <v>1.66</v>
      </c>
      <c r="J82" s="63">
        <v>0.2122</v>
      </c>
      <c r="K82" s="62">
        <v>24994.239999999998</v>
      </c>
      <c r="L82" s="63">
        <v>1.9103274710314982E-3</v>
      </c>
      <c r="M82" s="63">
        <v>0.97241276302306967</v>
      </c>
      <c r="N82" s="64" t="s">
        <v>410</v>
      </c>
    </row>
    <row r="83" spans="1:14" ht="20" x14ac:dyDescent="0.2">
      <c r="A83" s="59">
        <v>77</v>
      </c>
      <c r="B83" s="60">
        <v>92</v>
      </c>
      <c r="C83" s="60" t="s">
        <v>313</v>
      </c>
      <c r="D83" s="60" t="s">
        <v>19</v>
      </c>
      <c r="E83" s="61" t="s">
        <v>3818</v>
      </c>
      <c r="F83" s="60" t="s">
        <v>227</v>
      </c>
      <c r="G83" s="62">
        <v>5.1999999999999993</v>
      </c>
      <c r="H83" s="62">
        <v>3512.27</v>
      </c>
      <c r="I83" s="62">
        <v>4257.57</v>
      </c>
      <c r="J83" s="63">
        <v>0.2122</v>
      </c>
      <c r="K83" s="62">
        <v>22139.350000000002</v>
      </c>
      <c r="L83" s="63">
        <v>1.6921262057090437E-3</v>
      </c>
      <c r="M83" s="63">
        <v>0.97410488922877869</v>
      </c>
      <c r="N83" s="64" t="s">
        <v>410</v>
      </c>
    </row>
    <row r="84" spans="1:14" ht="20" x14ac:dyDescent="0.2">
      <c r="A84" s="59">
        <v>78</v>
      </c>
      <c r="B84" s="60">
        <v>122</v>
      </c>
      <c r="C84" s="60" t="s">
        <v>3501</v>
      </c>
      <c r="D84" s="60" t="s">
        <v>19</v>
      </c>
      <c r="E84" s="61" t="s">
        <v>285</v>
      </c>
      <c r="F84" s="60" t="s">
        <v>173</v>
      </c>
      <c r="G84" s="62">
        <v>49.82</v>
      </c>
      <c r="H84" s="62">
        <v>390.38</v>
      </c>
      <c r="I84" s="62">
        <v>433.71</v>
      </c>
      <c r="J84" s="63">
        <v>0.111</v>
      </c>
      <c r="K84" s="62">
        <v>21607.43</v>
      </c>
      <c r="L84" s="63">
        <v>1.6514711832562275E-3</v>
      </c>
      <c r="M84" s="63">
        <v>0.97575636041203495</v>
      </c>
      <c r="N84" s="64" t="s">
        <v>410</v>
      </c>
    </row>
    <row r="85" spans="1:14" x14ac:dyDescent="0.2">
      <c r="A85" s="59">
        <v>79</v>
      </c>
      <c r="B85" s="60">
        <v>85</v>
      </c>
      <c r="C85" s="60" t="s">
        <v>321</v>
      </c>
      <c r="D85" s="60" t="s">
        <v>175</v>
      </c>
      <c r="E85" s="61" t="s">
        <v>322</v>
      </c>
      <c r="F85" s="60" t="s">
        <v>173</v>
      </c>
      <c r="G85" s="62">
        <v>3408.42</v>
      </c>
      <c r="H85" s="62">
        <v>5.19</v>
      </c>
      <c r="I85" s="62">
        <v>6.29</v>
      </c>
      <c r="J85" s="63">
        <v>0.2122</v>
      </c>
      <c r="K85" s="62">
        <v>21438.949999999997</v>
      </c>
      <c r="L85" s="63">
        <v>1.6385941374921077E-3</v>
      </c>
      <c r="M85" s="63">
        <v>0.97739495454952707</v>
      </c>
      <c r="N85" s="64" t="s">
        <v>410</v>
      </c>
    </row>
    <row r="86" spans="1:14" ht="20" x14ac:dyDescent="0.2">
      <c r="A86" s="59">
        <v>80</v>
      </c>
      <c r="B86" s="60">
        <v>22</v>
      </c>
      <c r="C86" s="60" t="s">
        <v>280</v>
      </c>
      <c r="D86" s="60" t="s">
        <v>19</v>
      </c>
      <c r="E86" s="61" t="s">
        <v>281</v>
      </c>
      <c r="F86" s="60" t="s">
        <v>262</v>
      </c>
      <c r="G86" s="62">
        <v>353.45481968960576</v>
      </c>
      <c r="H86" s="62">
        <v>44.31</v>
      </c>
      <c r="I86" s="62">
        <v>53.71</v>
      </c>
      <c r="J86" s="63">
        <v>0.2122</v>
      </c>
      <c r="K86" s="62">
        <v>18984.05</v>
      </c>
      <c r="L86" s="63">
        <v>1.4509643912531654E-3</v>
      </c>
      <c r="M86" s="63">
        <v>0.97884591894078021</v>
      </c>
      <c r="N86" s="64" t="s">
        <v>410</v>
      </c>
    </row>
    <row r="87" spans="1:14" ht="30" x14ac:dyDescent="0.2">
      <c r="A87" s="59">
        <v>81</v>
      </c>
      <c r="B87" s="60">
        <v>52</v>
      </c>
      <c r="C87" s="60" t="s">
        <v>220</v>
      </c>
      <c r="D87" s="60" t="s">
        <v>19</v>
      </c>
      <c r="E87" s="61" t="s">
        <v>3794</v>
      </c>
      <c r="F87" s="60" t="s">
        <v>227</v>
      </c>
      <c r="G87" s="62">
        <v>1573.1528574219158</v>
      </c>
      <c r="H87" s="62">
        <v>9.01</v>
      </c>
      <c r="I87" s="62">
        <v>10.92</v>
      </c>
      <c r="J87" s="63">
        <v>0.2122</v>
      </c>
      <c r="K87" s="62">
        <v>17178.810000000001</v>
      </c>
      <c r="L87" s="63">
        <v>1.3129886190830615E-3</v>
      </c>
      <c r="M87" s="63">
        <v>0.98015890755986324</v>
      </c>
      <c r="N87" s="64" t="s">
        <v>410</v>
      </c>
    </row>
    <row r="88" spans="1:14" ht="30" x14ac:dyDescent="0.2">
      <c r="A88" s="59">
        <v>82</v>
      </c>
      <c r="B88" s="60">
        <v>32</v>
      </c>
      <c r="C88" s="60" t="s">
        <v>198</v>
      </c>
      <c r="D88" s="60" t="s">
        <v>199</v>
      </c>
      <c r="E88" s="61" t="s">
        <v>3787</v>
      </c>
      <c r="F88" s="60" t="s">
        <v>200</v>
      </c>
      <c r="G88" s="62">
        <v>1148.2464</v>
      </c>
      <c r="H88" s="62">
        <v>11.96</v>
      </c>
      <c r="I88" s="62">
        <v>14.5</v>
      </c>
      <c r="J88" s="63">
        <v>0.2122</v>
      </c>
      <c r="K88" s="62">
        <v>16649.57</v>
      </c>
      <c r="L88" s="63">
        <v>1.2725384309289621E-3</v>
      </c>
      <c r="M88" s="63">
        <v>0.98143144599079224</v>
      </c>
      <c r="N88" s="64" t="s">
        <v>410</v>
      </c>
    </row>
    <row r="89" spans="1:14" x14ac:dyDescent="0.2">
      <c r="A89" s="59">
        <v>83</v>
      </c>
      <c r="B89" s="60">
        <v>96</v>
      </c>
      <c r="C89" s="60" t="s">
        <v>170</v>
      </c>
      <c r="D89" s="60" t="s">
        <v>3751</v>
      </c>
      <c r="E89" s="61" t="s">
        <v>133</v>
      </c>
      <c r="F89" s="60" t="s">
        <v>421</v>
      </c>
      <c r="G89" s="62">
        <v>24</v>
      </c>
      <c r="H89" s="62">
        <v>521.92999999999995</v>
      </c>
      <c r="I89" s="62">
        <v>632.67999999999995</v>
      </c>
      <c r="J89" s="63">
        <v>0.2122</v>
      </c>
      <c r="K89" s="62">
        <v>15184.32</v>
      </c>
      <c r="L89" s="63">
        <v>1.1605483353337809E-3</v>
      </c>
      <c r="M89" s="63">
        <v>0.98259199432612598</v>
      </c>
      <c r="N89" s="64" t="s">
        <v>410</v>
      </c>
    </row>
    <row r="90" spans="1:14" x14ac:dyDescent="0.2">
      <c r="A90" s="59">
        <v>84</v>
      </c>
      <c r="B90" s="60">
        <v>104</v>
      </c>
      <c r="C90" s="60" t="s">
        <v>205</v>
      </c>
      <c r="D90" s="60" t="s">
        <v>203</v>
      </c>
      <c r="E90" s="61" t="s">
        <v>3752</v>
      </c>
      <c r="F90" s="60" t="s">
        <v>173</v>
      </c>
      <c r="G90" s="62">
        <v>157.5</v>
      </c>
      <c r="H90" s="62">
        <v>69.680000000000007</v>
      </c>
      <c r="I90" s="62">
        <v>84.47</v>
      </c>
      <c r="J90" s="63">
        <v>0.2122</v>
      </c>
      <c r="K90" s="62">
        <v>13304.019999999999</v>
      </c>
      <c r="L90" s="63">
        <v>1.0168356741854312E-3</v>
      </c>
      <c r="M90" s="63">
        <v>0.98360883000031141</v>
      </c>
      <c r="N90" s="64" t="s">
        <v>410</v>
      </c>
    </row>
    <row r="91" spans="1:14" x14ac:dyDescent="0.2">
      <c r="A91" s="59">
        <v>85</v>
      </c>
      <c r="B91" s="60">
        <v>105</v>
      </c>
      <c r="C91" s="60" t="s">
        <v>331</v>
      </c>
      <c r="D91" s="60" t="s">
        <v>115</v>
      </c>
      <c r="E91" s="61" t="s">
        <v>389</v>
      </c>
      <c r="F91" s="60" t="s">
        <v>421</v>
      </c>
      <c r="G91" s="62">
        <v>9519.08</v>
      </c>
      <c r="H91" s="62">
        <v>1.1399999999999999</v>
      </c>
      <c r="I91" s="62">
        <v>1.38</v>
      </c>
      <c r="J91" s="63">
        <v>0.2122</v>
      </c>
      <c r="K91" s="62">
        <v>13136.33</v>
      </c>
      <c r="L91" s="63">
        <v>1.0040190086810083E-3</v>
      </c>
      <c r="M91" s="63">
        <v>0.98461284900899237</v>
      </c>
      <c r="N91" s="64" t="s">
        <v>410</v>
      </c>
    </row>
    <row r="92" spans="1:14" x14ac:dyDescent="0.2">
      <c r="A92" s="59">
        <v>86</v>
      </c>
      <c r="B92" s="60">
        <v>38</v>
      </c>
      <c r="C92" s="60" t="s">
        <v>341</v>
      </c>
      <c r="D92" s="60" t="s">
        <v>188</v>
      </c>
      <c r="E92" s="61" t="s">
        <v>342</v>
      </c>
      <c r="F92" s="60" t="s">
        <v>81</v>
      </c>
      <c r="G92" s="62">
        <v>288</v>
      </c>
      <c r="H92" s="62">
        <v>35.1</v>
      </c>
      <c r="I92" s="62">
        <v>42.55</v>
      </c>
      <c r="J92" s="63">
        <v>0.2122</v>
      </c>
      <c r="K92" s="62">
        <v>12254.4</v>
      </c>
      <c r="L92" s="63">
        <v>9.3661247395433484E-4</v>
      </c>
      <c r="M92" s="63">
        <v>0.98554946148294675</v>
      </c>
      <c r="N92" s="64" t="s">
        <v>410</v>
      </c>
    </row>
    <row r="93" spans="1:14" ht="20" x14ac:dyDescent="0.2">
      <c r="A93" s="59">
        <v>87</v>
      </c>
      <c r="B93" s="60">
        <v>23</v>
      </c>
      <c r="C93" s="60" t="s">
        <v>283</v>
      </c>
      <c r="D93" s="60" t="s">
        <v>19</v>
      </c>
      <c r="E93" s="61" t="s">
        <v>284</v>
      </c>
      <c r="F93" s="60" t="s">
        <v>262</v>
      </c>
      <c r="G93" s="62">
        <v>346.87099999999992</v>
      </c>
      <c r="H93" s="62">
        <v>26.01</v>
      </c>
      <c r="I93" s="62">
        <v>31.53</v>
      </c>
      <c r="J93" s="63">
        <v>0.2122</v>
      </c>
      <c r="K93" s="62">
        <v>10936.84</v>
      </c>
      <c r="L93" s="63">
        <v>8.3591042969404688E-4</v>
      </c>
      <c r="M93" s="63">
        <v>0.98638537191264075</v>
      </c>
      <c r="N93" s="64" t="s">
        <v>410</v>
      </c>
    </row>
    <row r="94" spans="1:14" ht="20" x14ac:dyDescent="0.2">
      <c r="A94" s="59">
        <v>88</v>
      </c>
      <c r="B94" s="60">
        <v>19</v>
      </c>
      <c r="C94" s="60" t="s">
        <v>290</v>
      </c>
      <c r="D94" s="60" t="s">
        <v>19</v>
      </c>
      <c r="E94" s="61" t="s">
        <v>291</v>
      </c>
      <c r="F94" s="60" t="s">
        <v>262</v>
      </c>
      <c r="G94" s="62">
        <v>530.57240000000002</v>
      </c>
      <c r="H94" s="62">
        <v>16.190000000000001</v>
      </c>
      <c r="I94" s="62">
        <v>19.63</v>
      </c>
      <c r="J94" s="63">
        <v>0.2122</v>
      </c>
      <c r="K94" s="62">
        <v>10415.130000000001</v>
      </c>
      <c r="L94" s="63">
        <v>7.9603576477477579E-4</v>
      </c>
      <c r="M94" s="63">
        <v>0.98718140767741558</v>
      </c>
      <c r="N94" s="64" t="s">
        <v>410</v>
      </c>
    </row>
    <row r="95" spans="1:14" x14ac:dyDescent="0.2">
      <c r="A95" s="59">
        <v>89</v>
      </c>
      <c r="B95" s="60">
        <v>42</v>
      </c>
      <c r="C95" s="60" t="s">
        <v>333</v>
      </c>
      <c r="D95" s="60" t="s">
        <v>115</v>
      </c>
      <c r="E95" s="61" t="s">
        <v>369</v>
      </c>
      <c r="F95" s="60" t="s">
        <v>421</v>
      </c>
      <c r="G95" s="62">
        <v>797.18000000000006</v>
      </c>
      <c r="H95" s="62">
        <v>10.38</v>
      </c>
      <c r="I95" s="62">
        <v>12.58</v>
      </c>
      <c r="J95" s="63">
        <v>0.2122</v>
      </c>
      <c r="K95" s="62">
        <v>10028.52</v>
      </c>
      <c r="L95" s="63">
        <v>7.6648688857067877E-4</v>
      </c>
      <c r="M95" s="63">
        <v>0.98794789456598631</v>
      </c>
      <c r="N95" s="64" t="s">
        <v>410</v>
      </c>
    </row>
    <row r="96" spans="1:14" ht="20" x14ac:dyDescent="0.2">
      <c r="A96" s="59">
        <v>90</v>
      </c>
      <c r="B96" s="60">
        <v>18</v>
      </c>
      <c r="C96" s="60" t="s">
        <v>286</v>
      </c>
      <c r="D96" s="60" t="s">
        <v>19</v>
      </c>
      <c r="E96" s="61" t="s">
        <v>287</v>
      </c>
      <c r="F96" s="60" t="s">
        <v>262</v>
      </c>
      <c r="G96" s="62">
        <v>459.30400264964186</v>
      </c>
      <c r="H96" s="62">
        <v>17.7</v>
      </c>
      <c r="I96" s="62">
        <v>21.46</v>
      </c>
      <c r="J96" s="63">
        <v>0.2122</v>
      </c>
      <c r="K96" s="62">
        <v>9856.65</v>
      </c>
      <c r="L96" s="63">
        <v>7.5335074270482393E-4</v>
      </c>
      <c r="M96" s="63">
        <v>0.98870124530869108</v>
      </c>
      <c r="N96" s="64" t="s">
        <v>410</v>
      </c>
    </row>
    <row r="97" spans="1:14" ht="30" x14ac:dyDescent="0.2">
      <c r="A97" s="59">
        <v>91</v>
      </c>
      <c r="B97" s="60">
        <v>49</v>
      </c>
      <c r="C97" s="60" t="s">
        <v>298</v>
      </c>
      <c r="D97" s="60" t="s">
        <v>19</v>
      </c>
      <c r="E97" s="61" t="s">
        <v>3812</v>
      </c>
      <c r="F97" s="60" t="s">
        <v>227</v>
      </c>
      <c r="G97" s="62">
        <v>552.25</v>
      </c>
      <c r="H97" s="62">
        <v>13.71</v>
      </c>
      <c r="I97" s="62">
        <v>16.62</v>
      </c>
      <c r="J97" s="63">
        <v>0.2122</v>
      </c>
      <c r="K97" s="62">
        <v>9178.39</v>
      </c>
      <c r="L97" s="63">
        <v>7.0151085037355784E-4</v>
      </c>
      <c r="M97" s="63">
        <v>0.98940275615906459</v>
      </c>
      <c r="N97" s="64" t="s">
        <v>410</v>
      </c>
    </row>
    <row r="98" spans="1:14" ht="30" x14ac:dyDescent="0.2">
      <c r="A98" s="59">
        <v>92</v>
      </c>
      <c r="B98" s="60">
        <v>53</v>
      </c>
      <c r="C98" s="60" t="s">
        <v>213</v>
      </c>
      <c r="D98" s="60" t="s">
        <v>19</v>
      </c>
      <c r="E98" s="61" t="s">
        <v>3788</v>
      </c>
      <c r="F98" s="60" t="s">
        <v>227</v>
      </c>
      <c r="G98" s="62">
        <v>639.85005296942359</v>
      </c>
      <c r="H98" s="62">
        <v>11.8</v>
      </c>
      <c r="I98" s="62">
        <v>14.3</v>
      </c>
      <c r="J98" s="63">
        <v>0.2122</v>
      </c>
      <c r="K98" s="62">
        <v>9149.83</v>
      </c>
      <c r="L98" s="63">
        <v>6.993279893394692E-4</v>
      </c>
      <c r="M98" s="63">
        <v>0.99010208414840406</v>
      </c>
      <c r="N98" s="64" t="s">
        <v>410</v>
      </c>
    </row>
    <row r="99" spans="1:14" ht="30" x14ac:dyDescent="0.2">
      <c r="A99" s="59">
        <v>93</v>
      </c>
      <c r="B99" s="60">
        <v>47</v>
      </c>
      <c r="C99" s="60" t="s">
        <v>214</v>
      </c>
      <c r="D99" s="60" t="s">
        <v>19</v>
      </c>
      <c r="E99" s="61" t="s">
        <v>3789</v>
      </c>
      <c r="F99" s="60" t="s">
        <v>227</v>
      </c>
      <c r="G99" s="62">
        <v>565.41999999999996</v>
      </c>
      <c r="H99" s="62">
        <v>12.18</v>
      </c>
      <c r="I99" s="62">
        <v>14.76</v>
      </c>
      <c r="J99" s="63">
        <v>0.2122</v>
      </c>
      <c r="K99" s="62">
        <v>8345.58</v>
      </c>
      <c r="L99" s="63">
        <v>6.3785859204724981E-4</v>
      </c>
      <c r="M99" s="63">
        <v>0.9907399427404513</v>
      </c>
      <c r="N99" s="64" t="s">
        <v>410</v>
      </c>
    </row>
    <row r="100" spans="1:14" ht="20" x14ac:dyDescent="0.2">
      <c r="A100" s="59">
        <v>94</v>
      </c>
      <c r="B100" s="60">
        <v>109</v>
      </c>
      <c r="C100" s="60" t="s">
        <v>337</v>
      </c>
      <c r="D100" s="60" t="s">
        <v>115</v>
      </c>
      <c r="E100" s="61" t="s">
        <v>3821</v>
      </c>
      <c r="F100" s="60" t="s">
        <v>81</v>
      </c>
      <c r="G100" s="62">
        <v>13</v>
      </c>
      <c r="H100" s="62">
        <v>509.43</v>
      </c>
      <c r="I100" s="62">
        <v>617.53</v>
      </c>
      <c r="J100" s="63">
        <v>0.2122</v>
      </c>
      <c r="K100" s="62">
        <v>8027.89</v>
      </c>
      <c r="L100" s="63">
        <v>6.1357732027135276E-4</v>
      </c>
      <c r="M100" s="63">
        <v>0.99135352006072264</v>
      </c>
      <c r="N100" s="64" t="s">
        <v>410</v>
      </c>
    </row>
    <row r="101" spans="1:14" ht="20" x14ac:dyDescent="0.2">
      <c r="A101" s="59">
        <v>95</v>
      </c>
      <c r="B101" s="60">
        <v>11</v>
      </c>
      <c r="C101" s="60" t="s">
        <v>185</v>
      </c>
      <c r="D101" s="60" t="s">
        <v>115</v>
      </c>
      <c r="E101" s="61" t="s">
        <v>3783</v>
      </c>
      <c r="F101" s="60" t="s">
        <v>422</v>
      </c>
      <c r="G101" s="62">
        <v>783</v>
      </c>
      <c r="H101" s="62">
        <v>8.06</v>
      </c>
      <c r="I101" s="62">
        <v>9.77</v>
      </c>
      <c r="J101" s="63">
        <v>0.2122</v>
      </c>
      <c r="K101" s="62">
        <v>7649.91</v>
      </c>
      <c r="L101" s="63">
        <v>5.846880410814079E-4</v>
      </c>
      <c r="M101" s="63">
        <v>0.991938208101804</v>
      </c>
      <c r="N101" s="64" t="s">
        <v>410</v>
      </c>
    </row>
    <row r="102" spans="1:14" ht="20" x14ac:dyDescent="0.2">
      <c r="A102" s="59">
        <v>96</v>
      </c>
      <c r="B102" s="60">
        <v>87</v>
      </c>
      <c r="C102" s="60" t="s">
        <v>132</v>
      </c>
      <c r="D102" s="60" t="s">
        <v>19</v>
      </c>
      <c r="E102" s="61" t="s">
        <v>3779</v>
      </c>
      <c r="F102" s="60" t="s">
        <v>421</v>
      </c>
      <c r="G102" s="62">
        <v>9517.74</v>
      </c>
      <c r="H102" s="62">
        <v>0.65</v>
      </c>
      <c r="I102" s="62">
        <v>0.79</v>
      </c>
      <c r="J102" s="63">
        <v>0.2122</v>
      </c>
      <c r="K102" s="62">
        <v>7519.01</v>
      </c>
      <c r="L102" s="63">
        <v>5.7468326134183509E-4</v>
      </c>
      <c r="M102" s="63">
        <v>0.9925128913631458</v>
      </c>
      <c r="N102" s="64" t="s">
        <v>410</v>
      </c>
    </row>
    <row r="103" spans="1:14" ht="20" x14ac:dyDescent="0.2">
      <c r="A103" s="59">
        <v>97</v>
      </c>
      <c r="B103" s="60">
        <v>95</v>
      </c>
      <c r="C103" s="60" t="s">
        <v>184</v>
      </c>
      <c r="D103" s="60" t="s">
        <v>115</v>
      </c>
      <c r="E103" s="61" t="s">
        <v>3782</v>
      </c>
      <c r="F103" s="60" t="s">
        <v>422</v>
      </c>
      <c r="G103" s="62">
        <v>1566</v>
      </c>
      <c r="H103" s="62">
        <v>3.95</v>
      </c>
      <c r="I103" s="62">
        <v>4.79</v>
      </c>
      <c r="J103" s="63">
        <v>0.2122</v>
      </c>
      <c r="K103" s="62">
        <v>7501.1399999999994</v>
      </c>
      <c r="L103" s="63">
        <v>5.7331744458136006E-4</v>
      </c>
      <c r="M103" s="63">
        <v>0.99308620880772713</v>
      </c>
      <c r="N103" s="64" t="s">
        <v>410</v>
      </c>
    </row>
    <row r="104" spans="1:14" x14ac:dyDescent="0.2">
      <c r="A104" s="59">
        <v>98</v>
      </c>
      <c r="B104" s="60">
        <v>83</v>
      </c>
      <c r="C104" s="60" t="s">
        <v>259</v>
      </c>
      <c r="D104" s="60" t="s">
        <v>3751</v>
      </c>
      <c r="E104" s="61" t="s">
        <v>260</v>
      </c>
      <c r="F104" s="60" t="s">
        <v>421</v>
      </c>
      <c r="G104" s="62">
        <v>14774.592394684867</v>
      </c>
      <c r="H104" s="62">
        <v>0.4</v>
      </c>
      <c r="I104" s="62">
        <v>0.48</v>
      </c>
      <c r="J104" s="63">
        <v>0.2122</v>
      </c>
      <c r="K104" s="62">
        <v>7091.77</v>
      </c>
      <c r="L104" s="63">
        <v>5.420290054523382E-4</v>
      </c>
      <c r="M104" s="63">
        <v>0.99362823781317944</v>
      </c>
      <c r="N104" s="64" t="s">
        <v>410</v>
      </c>
    </row>
    <row r="105" spans="1:14" ht="20" x14ac:dyDescent="0.2">
      <c r="A105" s="59">
        <v>99</v>
      </c>
      <c r="B105" s="60">
        <v>71</v>
      </c>
      <c r="C105" s="60" t="s">
        <v>302</v>
      </c>
      <c r="D105" s="60" t="s">
        <v>196</v>
      </c>
      <c r="E105" s="61" t="s">
        <v>3815</v>
      </c>
      <c r="F105" s="60" t="s">
        <v>421</v>
      </c>
      <c r="G105" s="62">
        <v>400.34</v>
      </c>
      <c r="H105" s="62">
        <v>14.37</v>
      </c>
      <c r="I105" s="62">
        <v>17.420000000000002</v>
      </c>
      <c r="J105" s="63">
        <v>0.2122</v>
      </c>
      <c r="K105" s="62">
        <v>6973.91</v>
      </c>
      <c r="L105" s="63">
        <v>5.3302088215129878E-4</v>
      </c>
      <c r="M105" s="63">
        <v>0.99416125869533079</v>
      </c>
      <c r="N105" s="64" t="s">
        <v>410</v>
      </c>
    </row>
    <row r="106" spans="1:14" ht="30" x14ac:dyDescent="0.2">
      <c r="A106" s="59">
        <v>100</v>
      </c>
      <c r="B106" s="60">
        <v>51</v>
      </c>
      <c r="C106" s="60" t="s">
        <v>224</v>
      </c>
      <c r="D106" s="60" t="s">
        <v>19</v>
      </c>
      <c r="E106" s="61" t="s">
        <v>3797</v>
      </c>
      <c r="F106" s="60" t="s">
        <v>227</v>
      </c>
      <c r="G106" s="62">
        <v>683.52694352596268</v>
      </c>
      <c r="H106" s="62">
        <v>8.36</v>
      </c>
      <c r="I106" s="62">
        <v>10.130000000000001</v>
      </c>
      <c r="J106" s="63">
        <v>0.2122</v>
      </c>
      <c r="K106" s="62">
        <v>6924.11</v>
      </c>
      <c r="L106" s="63">
        <v>5.2921463286916936E-4</v>
      </c>
      <c r="M106" s="63">
        <v>0.99469047332819993</v>
      </c>
      <c r="N106" s="64" t="s">
        <v>410</v>
      </c>
    </row>
    <row r="107" spans="1:14" ht="30" x14ac:dyDescent="0.2">
      <c r="A107" s="59">
        <v>101</v>
      </c>
      <c r="B107" s="60">
        <v>72</v>
      </c>
      <c r="C107" s="60" t="s">
        <v>247</v>
      </c>
      <c r="D107" s="60" t="s">
        <v>196</v>
      </c>
      <c r="E107" s="61" t="s">
        <v>3805</v>
      </c>
      <c r="F107" s="60" t="s">
        <v>421</v>
      </c>
      <c r="G107" s="62">
        <v>150.47740000000013</v>
      </c>
      <c r="H107" s="62">
        <v>35.18</v>
      </c>
      <c r="I107" s="62">
        <v>42.65</v>
      </c>
      <c r="J107" s="63">
        <v>0.2122</v>
      </c>
      <c r="K107" s="62">
        <v>6417.86</v>
      </c>
      <c r="L107" s="63">
        <v>4.9052158670294485E-4</v>
      </c>
      <c r="M107" s="63">
        <v>0.99518099491490286</v>
      </c>
      <c r="N107" s="64" t="s">
        <v>410</v>
      </c>
    </row>
    <row r="108" spans="1:14" ht="20" x14ac:dyDescent="0.2">
      <c r="A108" s="59">
        <v>102</v>
      </c>
      <c r="B108" s="60">
        <v>59</v>
      </c>
      <c r="C108" s="60" t="s">
        <v>230</v>
      </c>
      <c r="D108" s="60" t="s">
        <v>3751</v>
      </c>
      <c r="E108" s="61" t="s">
        <v>231</v>
      </c>
      <c r="F108" s="60" t="s">
        <v>227</v>
      </c>
      <c r="G108" s="62">
        <v>199.37329589352612</v>
      </c>
      <c r="H108" s="62">
        <v>26.13</v>
      </c>
      <c r="I108" s="62">
        <v>31.67</v>
      </c>
      <c r="J108" s="63">
        <v>0.2122</v>
      </c>
      <c r="K108" s="62">
        <v>6314.15</v>
      </c>
      <c r="L108" s="63">
        <v>4.8259495792684774E-4</v>
      </c>
      <c r="M108" s="63">
        <v>0.99566358987282966</v>
      </c>
      <c r="N108" s="64" t="s">
        <v>410</v>
      </c>
    </row>
    <row r="109" spans="1:14" ht="20" x14ac:dyDescent="0.2">
      <c r="A109" s="59">
        <v>103</v>
      </c>
      <c r="B109" s="60">
        <v>10</v>
      </c>
      <c r="C109" s="60" t="s">
        <v>187</v>
      </c>
      <c r="D109" s="60" t="s">
        <v>115</v>
      </c>
      <c r="E109" s="61" t="s">
        <v>3784</v>
      </c>
      <c r="F109" s="60" t="s">
        <v>422</v>
      </c>
      <c r="G109" s="62">
        <v>3915</v>
      </c>
      <c r="H109" s="62">
        <v>1.25</v>
      </c>
      <c r="I109" s="62">
        <v>1.52</v>
      </c>
      <c r="J109" s="63">
        <v>0.2122</v>
      </c>
      <c r="K109" s="62">
        <v>5950.8</v>
      </c>
      <c r="L109" s="63">
        <v>4.5482386000191406E-4</v>
      </c>
      <c r="M109" s="63">
        <v>0.99611841373283161</v>
      </c>
      <c r="N109" s="64" t="s">
        <v>410</v>
      </c>
    </row>
    <row r="110" spans="1:14" ht="20" x14ac:dyDescent="0.2">
      <c r="A110" s="59">
        <v>104</v>
      </c>
      <c r="B110" s="60">
        <v>99</v>
      </c>
      <c r="C110" s="60" t="s">
        <v>183</v>
      </c>
      <c r="D110" s="60" t="s">
        <v>115</v>
      </c>
      <c r="E110" s="61" t="s">
        <v>384</v>
      </c>
      <c r="F110" s="60" t="s">
        <v>422</v>
      </c>
      <c r="G110" s="62">
        <v>2349</v>
      </c>
      <c r="H110" s="62">
        <v>1.96</v>
      </c>
      <c r="I110" s="62">
        <v>2.38</v>
      </c>
      <c r="J110" s="63">
        <v>0.2122</v>
      </c>
      <c r="K110" s="62">
        <v>5590.62</v>
      </c>
      <c r="L110" s="63">
        <v>4.2729504742285086E-4</v>
      </c>
      <c r="M110" s="63">
        <v>0.9965457087802545</v>
      </c>
      <c r="N110" s="64" t="s">
        <v>410</v>
      </c>
    </row>
    <row r="111" spans="1:14" ht="30" x14ac:dyDescent="0.2">
      <c r="A111" s="59">
        <v>105</v>
      </c>
      <c r="B111" s="60">
        <v>54</v>
      </c>
      <c r="C111" s="60" t="s">
        <v>215</v>
      </c>
      <c r="D111" s="60" t="s">
        <v>19</v>
      </c>
      <c r="E111" s="61" t="s">
        <v>3790</v>
      </c>
      <c r="F111" s="60" t="s">
        <v>227</v>
      </c>
      <c r="G111" s="62">
        <v>393.01</v>
      </c>
      <c r="H111" s="62">
        <v>11.39</v>
      </c>
      <c r="I111" s="62">
        <v>13.81</v>
      </c>
      <c r="J111" s="63">
        <v>0.2122</v>
      </c>
      <c r="K111" s="62">
        <v>5427.46</v>
      </c>
      <c r="L111" s="63">
        <v>4.1482461302782625E-4</v>
      </c>
      <c r="M111" s="63">
        <v>0.99696053339328228</v>
      </c>
      <c r="N111" s="64" t="s">
        <v>410</v>
      </c>
    </row>
    <row r="112" spans="1:14" x14ac:dyDescent="0.2">
      <c r="A112" s="59">
        <v>106</v>
      </c>
      <c r="B112" s="60">
        <v>94</v>
      </c>
      <c r="C112" s="60" t="s">
        <v>256</v>
      </c>
      <c r="D112" s="60" t="s">
        <v>3751</v>
      </c>
      <c r="E112" s="61" t="s">
        <v>257</v>
      </c>
      <c r="F112" s="60" t="s">
        <v>421</v>
      </c>
      <c r="G112" s="62">
        <v>14774.592394684867</v>
      </c>
      <c r="H112" s="62">
        <v>0.28000000000000003</v>
      </c>
      <c r="I112" s="62">
        <v>0.34</v>
      </c>
      <c r="J112" s="63">
        <v>0.2122</v>
      </c>
      <c r="K112" s="62">
        <v>5023.33</v>
      </c>
      <c r="L112" s="63">
        <v>3.8393667081122116E-4</v>
      </c>
      <c r="M112" s="63">
        <v>0.99734447006409355</v>
      </c>
      <c r="N112" s="64" t="s">
        <v>410</v>
      </c>
    </row>
    <row r="113" spans="1:14" x14ac:dyDescent="0.2">
      <c r="A113" s="59">
        <v>107</v>
      </c>
      <c r="B113" s="60">
        <v>39</v>
      </c>
      <c r="C113" s="60" t="s">
        <v>3753</v>
      </c>
      <c r="D113" s="60" t="s">
        <v>3751</v>
      </c>
      <c r="E113" s="61" t="s">
        <v>208</v>
      </c>
      <c r="F113" s="60" t="s">
        <v>81</v>
      </c>
      <c r="G113" s="62">
        <v>35</v>
      </c>
      <c r="H113" s="62">
        <v>119.76</v>
      </c>
      <c r="I113" s="62">
        <v>133.05000000000001</v>
      </c>
      <c r="J113" s="63">
        <v>0.111</v>
      </c>
      <c r="K113" s="62">
        <v>4656.75</v>
      </c>
      <c r="L113" s="63">
        <v>3.5591870169790843E-4</v>
      </c>
      <c r="M113" s="63">
        <v>0.99770038876579148</v>
      </c>
      <c r="N113" s="64" t="s">
        <v>410</v>
      </c>
    </row>
    <row r="114" spans="1:14" ht="20" x14ac:dyDescent="0.2">
      <c r="A114" s="59">
        <v>108</v>
      </c>
      <c r="B114" s="60">
        <v>21</v>
      </c>
      <c r="C114" s="60" t="s">
        <v>3499</v>
      </c>
      <c r="D114" s="60" t="s">
        <v>19</v>
      </c>
      <c r="E114" s="61" t="s">
        <v>2090</v>
      </c>
      <c r="F114" s="60" t="s">
        <v>262</v>
      </c>
      <c r="G114" s="62">
        <v>93.655559999999994</v>
      </c>
      <c r="H114" s="62">
        <v>40.47</v>
      </c>
      <c r="I114" s="62">
        <v>49.06</v>
      </c>
      <c r="J114" s="63">
        <v>0.2122</v>
      </c>
      <c r="K114" s="62">
        <v>4594.74</v>
      </c>
      <c r="L114" s="63">
        <v>3.5117923346528104E-4</v>
      </c>
      <c r="M114" s="63">
        <v>0.99805156799925676</v>
      </c>
      <c r="N114" s="64" t="s">
        <v>410</v>
      </c>
    </row>
    <row r="115" spans="1:14" x14ac:dyDescent="0.2">
      <c r="A115" s="59">
        <v>109</v>
      </c>
      <c r="B115" s="60">
        <v>88</v>
      </c>
      <c r="C115" s="60" t="s">
        <v>346</v>
      </c>
      <c r="D115" s="60" t="s">
        <v>196</v>
      </c>
      <c r="E115" s="61" t="s">
        <v>347</v>
      </c>
      <c r="F115" s="60" t="s">
        <v>81</v>
      </c>
      <c r="G115" s="62">
        <v>129</v>
      </c>
      <c r="H115" s="62">
        <v>27.02</v>
      </c>
      <c r="I115" s="62">
        <v>32.75</v>
      </c>
      <c r="J115" s="63">
        <v>0.2122</v>
      </c>
      <c r="K115" s="62">
        <v>4224.75</v>
      </c>
      <c r="L115" s="63">
        <v>3.2290063563606347E-4</v>
      </c>
      <c r="M115" s="63">
        <v>0.99837446863489288</v>
      </c>
      <c r="N115" s="64" t="s">
        <v>410</v>
      </c>
    </row>
    <row r="116" spans="1:14" ht="20" x14ac:dyDescent="0.2">
      <c r="A116" s="59">
        <v>110</v>
      </c>
      <c r="B116" s="60">
        <v>30</v>
      </c>
      <c r="C116" s="60" t="s">
        <v>186</v>
      </c>
      <c r="D116" s="60" t="s">
        <v>115</v>
      </c>
      <c r="E116" s="61" t="s">
        <v>385</v>
      </c>
      <c r="F116" s="60" t="s">
        <v>422</v>
      </c>
      <c r="G116" s="62">
        <v>3915</v>
      </c>
      <c r="H116" s="62">
        <v>0.78</v>
      </c>
      <c r="I116" s="62">
        <v>0.95</v>
      </c>
      <c r="J116" s="63">
        <v>0.2122</v>
      </c>
      <c r="K116" s="62">
        <v>3719.25</v>
      </c>
      <c r="L116" s="63">
        <v>2.842649125011963E-4</v>
      </c>
      <c r="M116" s="63">
        <v>0.9986587335473941</v>
      </c>
      <c r="N116" s="64" t="s">
        <v>410</v>
      </c>
    </row>
    <row r="117" spans="1:14" ht="30" x14ac:dyDescent="0.2">
      <c r="A117" s="59">
        <v>111</v>
      </c>
      <c r="B117" s="60">
        <v>56</v>
      </c>
      <c r="C117" s="60" t="s">
        <v>300</v>
      </c>
      <c r="D117" s="60" t="s">
        <v>19</v>
      </c>
      <c r="E117" s="61" t="s">
        <v>3813</v>
      </c>
      <c r="F117" s="60" t="s">
        <v>227</v>
      </c>
      <c r="G117" s="62">
        <v>272.86753572643818</v>
      </c>
      <c r="H117" s="62">
        <v>11.17</v>
      </c>
      <c r="I117" s="62">
        <v>13.54</v>
      </c>
      <c r="J117" s="63">
        <v>0.2122</v>
      </c>
      <c r="K117" s="62">
        <v>3694.61</v>
      </c>
      <c r="L117" s="63">
        <v>2.8238165984433554E-4</v>
      </c>
      <c r="M117" s="63">
        <v>0.99894111520723838</v>
      </c>
      <c r="N117" s="64" t="s">
        <v>410</v>
      </c>
    </row>
    <row r="118" spans="1:14" x14ac:dyDescent="0.2">
      <c r="A118" s="59">
        <v>112</v>
      </c>
      <c r="B118" s="60">
        <v>37</v>
      </c>
      <c r="C118" s="60" t="s">
        <v>360</v>
      </c>
      <c r="D118" s="60" t="s">
        <v>361</v>
      </c>
      <c r="E118" s="61" t="s">
        <v>362</v>
      </c>
      <c r="F118" s="60" t="s">
        <v>227</v>
      </c>
      <c r="G118" s="62">
        <v>12.83</v>
      </c>
      <c r="H118" s="62">
        <v>223.83</v>
      </c>
      <c r="I118" s="62">
        <v>271.33</v>
      </c>
      <c r="J118" s="63">
        <v>0.2122</v>
      </c>
      <c r="K118" s="62">
        <v>3481.16</v>
      </c>
      <c r="L118" s="63">
        <v>2.6606752512002807E-4</v>
      </c>
      <c r="M118" s="63">
        <v>0.99920718273235842</v>
      </c>
      <c r="N118" s="64" t="s">
        <v>410</v>
      </c>
    </row>
    <row r="119" spans="1:14" x14ac:dyDescent="0.2">
      <c r="A119" s="59">
        <v>113</v>
      </c>
      <c r="B119" s="60">
        <v>98</v>
      </c>
      <c r="C119" s="60" t="s">
        <v>336</v>
      </c>
      <c r="D119" s="60" t="s">
        <v>115</v>
      </c>
      <c r="E119" s="61" t="s">
        <v>391</v>
      </c>
      <c r="F119" s="60" t="s">
        <v>421</v>
      </c>
      <c r="G119" s="62">
        <v>2.98</v>
      </c>
      <c r="H119" s="62">
        <v>501.28</v>
      </c>
      <c r="I119" s="62">
        <v>607.65</v>
      </c>
      <c r="J119" s="63">
        <v>0.2122</v>
      </c>
      <c r="K119" s="62">
        <v>1810.79</v>
      </c>
      <c r="L119" s="63">
        <v>1.3839996260214861E-4</v>
      </c>
      <c r="M119" s="63">
        <v>0.99934558269496054</v>
      </c>
      <c r="N119" s="64" t="s">
        <v>410</v>
      </c>
    </row>
    <row r="120" spans="1:14" ht="30" x14ac:dyDescent="0.2">
      <c r="A120" s="59">
        <v>114</v>
      </c>
      <c r="B120" s="60">
        <v>58</v>
      </c>
      <c r="C120" s="60" t="s">
        <v>218</v>
      </c>
      <c r="D120" s="60" t="s">
        <v>19</v>
      </c>
      <c r="E120" s="61" t="s">
        <v>3792</v>
      </c>
      <c r="F120" s="60" t="s">
        <v>227</v>
      </c>
      <c r="G120" s="62">
        <v>135.2088</v>
      </c>
      <c r="H120" s="62">
        <v>10.73</v>
      </c>
      <c r="I120" s="62">
        <v>13.01</v>
      </c>
      <c r="J120" s="63">
        <v>0.2122</v>
      </c>
      <c r="K120" s="62">
        <v>1759.06</v>
      </c>
      <c r="L120" s="63">
        <v>1.3444620205265963E-4</v>
      </c>
      <c r="M120" s="63">
        <v>0.99948002889701315</v>
      </c>
      <c r="N120" s="64" t="s">
        <v>410</v>
      </c>
    </row>
    <row r="121" spans="1:14" ht="20" x14ac:dyDescent="0.2">
      <c r="A121" s="59">
        <v>115</v>
      </c>
      <c r="B121" s="60">
        <v>70</v>
      </c>
      <c r="C121" s="60" t="s">
        <v>351</v>
      </c>
      <c r="D121" s="60" t="s">
        <v>196</v>
      </c>
      <c r="E121" s="61" t="s">
        <v>352</v>
      </c>
      <c r="F121" s="60" t="s">
        <v>421</v>
      </c>
      <c r="G121" s="62">
        <v>56.592791800027655</v>
      </c>
      <c r="H121" s="62">
        <v>20.14</v>
      </c>
      <c r="I121" s="62">
        <v>24.41</v>
      </c>
      <c r="J121" s="63">
        <v>0.2122</v>
      </c>
      <c r="K121" s="62">
        <v>1381.43</v>
      </c>
      <c r="L121" s="63">
        <v>1.0558367361068162E-4</v>
      </c>
      <c r="M121" s="63">
        <v>0.99958561257062384</v>
      </c>
      <c r="N121" s="64" t="s">
        <v>410</v>
      </c>
    </row>
    <row r="122" spans="1:14" ht="30" x14ac:dyDescent="0.2">
      <c r="A122" s="59">
        <v>116</v>
      </c>
      <c r="B122" s="60">
        <v>50</v>
      </c>
      <c r="C122" s="60" t="s">
        <v>217</v>
      </c>
      <c r="D122" s="60" t="s">
        <v>19</v>
      </c>
      <c r="E122" s="61" t="s">
        <v>3791</v>
      </c>
      <c r="F122" s="60" t="s">
        <v>227</v>
      </c>
      <c r="G122" s="62">
        <v>97.819200000000023</v>
      </c>
      <c r="H122" s="62">
        <v>10.96</v>
      </c>
      <c r="I122" s="62">
        <v>13.29</v>
      </c>
      <c r="J122" s="63">
        <v>0.2122</v>
      </c>
      <c r="K122" s="62">
        <v>1300.01</v>
      </c>
      <c r="L122" s="63">
        <v>9.9360685326525561E-5</v>
      </c>
      <c r="M122" s="63">
        <v>0.9996849732559504</v>
      </c>
      <c r="N122" s="64" t="s">
        <v>410</v>
      </c>
    </row>
    <row r="123" spans="1:14" ht="30" x14ac:dyDescent="0.2">
      <c r="A123" s="59">
        <v>117</v>
      </c>
      <c r="B123" s="60">
        <v>78</v>
      </c>
      <c r="C123" s="60" t="s">
        <v>329</v>
      </c>
      <c r="D123" s="60" t="s">
        <v>19</v>
      </c>
      <c r="E123" s="61" t="s">
        <v>3819</v>
      </c>
      <c r="F123" s="60" t="s">
        <v>227</v>
      </c>
      <c r="G123" s="62">
        <v>68.429999999999993</v>
      </c>
      <c r="H123" s="62">
        <v>12.17</v>
      </c>
      <c r="I123" s="62">
        <v>14.75</v>
      </c>
      <c r="J123" s="63">
        <v>0.2122</v>
      </c>
      <c r="K123" s="62">
        <v>1009.34</v>
      </c>
      <c r="L123" s="63">
        <v>7.7144571293663369E-5</v>
      </c>
      <c r="M123" s="63">
        <v>0.99976211782724411</v>
      </c>
      <c r="N123" s="64" t="s">
        <v>410</v>
      </c>
    </row>
    <row r="124" spans="1:14" x14ac:dyDescent="0.2">
      <c r="A124" s="59">
        <v>118</v>
      </c>
      <c r="B124" s="60">
        <v>90</v>
      </c>
      <c r="C124" s="60" t="s">
        <v>177</v>
      </c>
      <c r="D124" s="60" t="s">
        <v>175</v>
      </c>
      <c r="E124" s="61" t="s">
        <v>178</v>
      </c>
      <c r="F124" s="60" t="s">
        <v>421</v>
      </c>
      <c r="G124" s="62">
        <v>48</v>
      </c>
      <c r="H124" s="62">
        <v>11.96</v>
      </c>
      <c r="I124" s="62">
        <v>14.5</v>
      </c>
      <c r="J124" s="63">
        <v>0.2122</v>
      </c>
      <c r="K124" s="62">
        <v>696</v>
      </c>
      <c r="L124" s="63">
        <v>5.319577309963907E-5</v>
      </c>
      <c r="M124" s="63">
        <v>0.9998153136003437</v>
      </c>
      <c r="N124" s="64" t="s">
        <v>410</v>
      </c>
    </row>
    <row r="125" spans="1:14" x14ac:dyDescent="0.2">
      <c r="A125" s="59">
        <v>119</v>
      </c>
      <c r="B125" s="60">
        <v>91</v>
      </c>
      <c r="C125" s="60" t="s">
        <v>174</v>
      </c>
      <c r="D125" s="60" t="s">
        <v>175</v>
      </c>
      <c r="E125" s="61" t="s">
        <v>176</v>
      </c>
      <c r="F125" s="60" t="s">
        <v>421</v>
      </c>
      <c r="G125" s="62">
        <v>32</v>
      </c>
      <c r="H125" s="62">
        <v>17.21</v>
      </c>
      <c r="I125" s="62">
        <v>20.86</v>
      </c>
      <c r="J125" s="63">
        <v>0.2122</v>
      </c>
      <c r="K125" s="62">
        <v>667.52</v>
      </c>
      <c r="L125" s="63">
        <v>5.1019026522228553E-5</v>
      </c>
      <c r="M125" s="63">
        <v>0.99986633262686597</v>
      </c>
      <c r="N125" s="64" t="s">
        <v>410</v>
      </c>
    </row>
    <row r="126" spans="1:14" x14ac:dyDescent="0.2">
      <c r="A126" s="59">
        <v>120</v>
      </c>
      <c r="B126" s="60">
        <v>86</v>
      </c>
      <c r="C126" s="60" t="s">
        <v>359</v>
      </c>
      <c r="D126" s="60" t="s">
        <v>19</v>
      </c>
      <c r="E126" s="61" t="s">
        <v>3822</v>
      </c>
      <c r="F126" s="60" t="s">
        <v>421</v>
      </c>
      <c r="G126" s="62">
        <v>61.5</v>
      </c>
      <c r="H126" s="62">
        <v>4.9800000000000004</v>
      </c>
      <c r="I126" s="62">
        <v>6.04</v>
      </c>
      <c r="J126" s="63">
        <v>0.2122</v>
      </c>
      <c r="K126" s="62">
        <v>371.46000000000004</v>
      </c>
      <c r="L126" s="63">
        <v>2.8390950970678063E-5</v>
      </c>
      <c r="M126" s="63">
        <v>0.9998947235778366</v>
      </c>
      <c r="N126" s="64" t="s">
        <v>410</v>
      </c>
    </row>
    <row r="127" spans="1:14" x14ac:dyDescent="0.2">
      <c r="A127" s="59">
        <v>121</v>
      </c>
      <c r="B127" s="60">
        <v>73</v>
      </c>
      <c r="C127" s="60" t="s">
        <v>234</v>
      </c>
      <c r="D127" s="60" t="s">
        <v>115</v>
      </c>
      <c r="E127" s="61" t="s">
        <v>235</v>
      </c>
      <c r="F127" s="60" t="s">
        <v>423</v>
      </c>
      <c r="G127" s="62">
        <v>21.798800666666668</v>
      </c>
      <c r="H127" s="62">
        <v>13.66</v>
      </c>
      <c r="I127" s="62">
        <v>16.559999999999999</v>
      </c>
      <c r="J127" s="63">
        <v>0.2122</v>
      </c>
      <c r="K127" s="62">
        <v>360.96999999999997</v>
      </c>
      <c r="L127" s="63">
        <v>2.7589192838759646E-5</v>
      </c>
      <c r="M127" s="63">
        <v>0.99992231277067534</v>
      </c>
      <c r="N127" s="64" t="s">
        <v>410</v>
      </c>
    </row>
    <row r="128" spans="1:14" x14ac:dyDescent="0.2">
      <c r="A128" s="59">
        <v>122</v>
      </c>
      <c r="B128" s="60">
        <v>108</v>
      </c>
      <c r="C128" s="60" t="s">
        <v>181</v>
      </c>
      <c r="D128" s="60" t="s">
        <v>175</v>
      </c>
      <c r="E128" s="61" t="s">
        <v>182</v>
      </c>
      <c r="F128" s="60" t="s">
        <v>81</v>
      </c>
      <c r="G128" s="62">
        <v>96</v>
      </c>
      <c r="H128" s="62">
        <v>2.76</v>
      </c>
      <c r="I128" s="62">
        <v>3.35</v>
      </c>
      <c r="J128" s="63">
        <v>0.2122</v>
      </c>
      <c r="K128" s="62">
        <v>321.59999999999997</v>
      </c>
      <c r="L128" s="63">
        <v>2.4580115846040119E-5</v>
      </c>
      <c r="M128" s="63">
        <v>0.99994689288652139</v>
      </c>
      <c r="N128" s="64" t="s">
        <v>410</v>
      </c>
    </row>
    <row r="129" spans="1:14" ht="30" x14ac:dyDescent="0.2">
      <c r="A129" s="59">
        <v>123</v>
      </c>
      <c r="B129" s="60">
        <v>57</v>
      </c>
      <c r="C129" s="60" t="s">
        <v>301</v>
      </c>
      <c r="D129" s="60" t="s">
        <v>19</v>
      </c>
      <c r="E129" s="61" t="s">
        <v>3814</v>
      </c>
      <c r="F129" s="60" t="s">
        <v>227</v>
      </c>
      <c r="G129" s="62">
        <v>25.68</v>
      </c>
      <c r="H129" s="62">
        <v>8.5299999999999994</v>
      </c>
      <c r="I129" s="62">
        <v>10.34</v>
      </c>
      <c r="J129" s="63">
        <v>0.2122</v>
      </c>
      <c r="K129" s="62">
        <v>265.52</v>
      </c>
      <c r="L129" s="63">
        <v>2.0293881714678398E-5</v>
      </c>
      <c r="M129" s="63">
        <v>0.99996718676823604</v>
      </c>
      <c r="N129" s="64" t="s">
        <v>410</v>
      </c>
    </row>
    <row r="130" spans="1:14" ht="20" x14ac:dyDescent="0.2">
      <c r="A130" s="59">
        <v>124</v>
      </c>
      <c r="B130" s="60">
        <v>97</v>
      </c>
      <c r="C130" s="60" t="s">
        <v>296</v>
      </c>
      <c r="D130" s="60" t="s">
        <v>175</v>
      </c>
      <c r="E130" s="61" t="s">
        <v>297</v>
      </c>
      <c r="F130" s="60" t="s">
        <v>81</v>
      </c>
      <c r="G130" s="62">
        <v>26</v>
      </c>
      <c r="H130" s="62">
        <v>7.15</v>
      </c>
      <c r="I130" s="62">
        <v>8.67</v>
      </c>
      <c r="J130" s="63">
        <v>0.2122</v>
      </c>
      <c r="K130" s="62">
        <v>225.42</v>
      </c>
      <c r="L130" s="63">
        <v>1.7229010304771034E-5</v>
      </c>
      <c r="M130" s="63">
        <v>0.9999844157785408</v>
      </c>
      <c r="N130" s="64" t="s">
        <v>410</v>
      </c>
    </row>
    <row r="131" spans="1:14" ht="20.5" thickBot="1" x14ac:dyDescent="0.25">
      <c r="A131" s="59">
        <v>125</v>
      </c>
      <c r="B131" s="612">
        <v>33</v>
      </c>
      <c r="C131" s="612" t="s">
        <v>192</v>
      </c>
      <c r="D131" s="612" t="s">
        <v>19</v>
      </c>
      <c r="E131" s="613" t="s">
        <v>3554</v>
      </c>
      <c r="F131" s="612" t="s">
        <v>227</v>
      </c>
      <c r="G131" s="614">
        <v>2.6965232223557294</v>
      </c>
      <c r="H131" s="614">
        <v>62.38</v>
      </c>
      <c r="I131" s="614">
        <v>75.62</v>
      </c>
      <c r="J131" s="615">
        <v>0.2122</v>
      </c>
      <c r="K131" s="614">
        <v>203.9</v>
      </c>
      <c r="L131" s="615">
        <v>1.5584221458356907E-5</v>
      </c>
      <c r="M131" s="63">
        <v>0.99999999999999911</v>
      </c>
      <c r="N131" s="616" t="s">
        <v>410</v>
      </c>
    </row>
    <row r="132" spans="1:14" ht="30" customHeight="1" thickBot="1" x14ac:dyDescent="0.25">
      <c r="A132" s="678" t="s">
        <v>377</v>
      </c>
      <c r="B132" s="679"/>
      <c r="C132" s="679"/>
      <c r="D132" s="679"/>
      <c r="E132" s="679"/>
      <c r="F132" s="679"/>
      <c r="G132" s="679"/>
      <c r="H132" s="679"/>
      <c r="I132" s="679"/>
      <c r="J132" s="680"/>
      <c r="K132" s="617">
        <v>13083746.310000001</v>
      </c>
      <c r="L132" s="681"/>
      <c r="M132" s="682"/>
      <c r="N132" s="683"/>
    </row>
    <row r="133" spans="1:14" customFormat="1" ht="70" customHeight="1" x14ac:dyDescent="0.3">
      <c r="A133" s="648"/>
      <c r="B133" s="648"/>
      <c r="C133" s="648"/>
      <c r="D133" s="648"/>
      <c r="E133" s="648"/>
      <c r="F133" s="648"/>
      <c r="G133" s="648"/>
      <c r="H133" s="648"/>
      <c r="I133" s="648"/>
    </row>
  </sheetData>
  <sortState xmlns:xlrd2="http://schemas.microsoft.com/office/spreadsheetml/2017/richdata2" ref="A7:O131">
    <sortCondition descending="1" ref="K7:K131"/>
  </sortState>
  <mergeCells count="7">
    <mergeCell ref="L1:N1"/>
    <mergeCell ref="E2:E5"/>
    <mergeCell ref="F2:H5"/>
    <mergeCell ref="J2:K5"/>
    <mergeCell ref="A133:I133"/>
    <mergeCell ref="A132:J132"/>
    <mergeCell ref="L132:N132"/>
  </mergeCells>
  <conditionalFormatting sqref="A6 C6">
    <cfRule type="containsText" dxfId="2" priority="3" stopIfTrue="1" operator="containsText" text="sicro">
      <formula>NOT(ISERROR(SEARCH("sicro",A6)))</formula>
    </cfRule>
  </conditionalFormatting>
  <conditionalFormatting sqref="A133">
    <cfRule type="duplicateValues" dxfId="1" priority="1"/>
    <cfRule type="duplicateValues" dxfId="0" priority="2"/>
  </conditionalFormatting>
  <printOptions horizontalCentered="1"/>
  <pageMargins left="0.39370078740157483" right="0.39370078740157483" top="0.98425196850393704" bottom="0.59055118110236227" header="0.31496062992125984" footer="0.19685039370078741"/>
  <pageSetup paperSize="9" scale="59" firstPageNumber="45" orientation="landscape" useFirstPageNumber="1" horizontalDpi="300" verticalDpi="30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8858-7AC9-4DF9-81CC-E988018D15FB}">
  <sheetPr codeName="Planilha6">
    <pageSetUpPr fitToPage="1"/>
  </sheetPr>
  <dimension ref="A1:K5279"/>
  <sheetViews>
    <sheetView showGridLines="0" view="pageBreakPreview" topLeftCell="A5249" zoomScaleNormal="100" zoomScaleSheetLayoutView="100" workbookViewId="0">
      <selection activeCell="A5249" sqref="A1:XFD1048576"/>
    </sheetView>
  </sheetViews>
  <sheetFormatPr defaultRowHeight="14" x14ac:dyDescent="0.3"/>
  <cols>
    <col min="1" max="1" width="18.25" style="4" bestFit="1" customWidth="1"/>
    <col min="2" max="2" width="12" style="4" bestFit="1" customWidth="1"/>
    <col min="3" max="3" width="10" style="4" bestFit="1" customWidth="1"/>
    <col min="4" max="4" width="60" style="5" bestFit="1" customWidth="1"/>
    <col min="5" max="5" width="18.58203125" style="5" customWidth="1"/>
    <col min="6" max="6" width="14.58203125" style="5" customWidth="1"/>
    <col min="7" max="9" width="12" style="5" bestFit="1" customWidth="1"/>
    <col min="10" max="10" width="14" style="5" bestFit="1" customWidth="1"/>
    <col min="11" max="11" width="14" bestFit="1" customWidth="1"/>
    <col min="12" max="12" width="23.75" customWidth="1"/>
  </cols>
  <sheetData>
    <row r="1" spans="1:11" x14ac:dyDescent="0.3">
      <c r="A1" s="2"/>
      <c r="B1" s="2"/>
      <c r="C1" s="684" t="s">
        <v>425</v>
      </c>
      <c r="D1" s="684"/>
      <c r="E1" s="685" t="s">
        <v>1</v>
      </c>
      <c r="F1" s="685"/>
      <c r="G1" s="685" t="s">
        <v>3748</v>
      </c>
      <c r="H1" s="685"/>
      <c r="I1" s="565" t="s">
        <v>2</v>
      </c>
      <c r="J1" s="77"/>
    </row>
    <row r="2" spans="1:11" ht="128.15" customHeight="1" x14ac:dyDescent="0.3">
      <c r="A2" s="3"/>
      <c r="B2" s="3"/>
      <c r="C2" s="686" t="s">
        <v>3957</v>
      </c>
      <c r="D2" s="686"/>
      <c r="E2" s="685" t="s">
        <v>3823</v>
      </c>
      <c r="F2" s="685"/>
      <c r="G2" s="686" t="s">
        <v>3749</v>
      </c>
      <c r="H2" s="686"/>
      <c r="I2" s="687" t="s">
        <v>3956</v>
      </c>
      <c r="J2" s="687"/>
    </row>
    <row r="3" spans="1:11" x14ac:dyDescent="0.3">
      <c r="A3" s="696"/>
      <c r="B3" s="697"/>
      <c r="C3" s="697"/>
      <c r="D3" s="697"/>
      <c r="E3" s="697"/>
      <c r="F3" s="697"/>
      <c r="G3" s="697"/>
      <c r="H3" s="697"/>
      <c r="I3" s="697"/>
      <c r="J3" s="697"/>
    </row>
    <row r="4" spans="1:11" x14ac:dyDescent="0.3">
      <c r="A4" s="79" t="s">
        <v>426</v>
      </c>
      <c r="B4" s="80"/>
      <c r="C4" s="80"/>
      <c r="D4" s="80"/>
      <c r="E4" s="80"/>
      <c r="F4" s="80"/>
      <c r="G4" s="80"/>
      <c r="H4" s="80"/>
      <c r="I4" s="80"/>
      <c r="J4" s="80"/>
    </row>
    <row r="5" spans="1:11" x14ac:dyDescent="0.3">
      <c r="A5" s="553"/>
      <c r="B5" s="554" t="s">
        <v>4</v>
      </c>
      <c r="C5" s="553" t="s">
        <v>5</v>
      </c>
      <c r="D5" s="553" t="s">
        <v>6</v>
      </c>
      <c r="E5" s="691" t="s">
        <v>427</v>
      </c>
      <c r="F5" s="691"/>
      <c r="G5" s="555" t="s">
        <v>7</v>
      </c>
      <c r="H5" s="554" t="s">
        <v>8</v>
      </c>
      <c r="I5" s="554" t="s">
        <v>9</v>
      </c>
      <c r="J5" s="554" t="s">
        <v>11</v>
      </c>
    </row>
    <row r="6" spans="1:11" s="89" customFormat="1" ht="25" x14ac:dyDescent="0.3">
      <c r="A6" s="607" t="s">
        <v>428</v>
      </c>
      <c r="B6" s="608" t="s">
        <v>18</v>
      </c>
      <c r="C6" s="607" t="s">
        <v>19</v>
      </c>
      <c r="D6" s="607" t="s">
        <v>20</v>
      </c>
      <c r="E6" s="690" t="s">
        <v>429</v>
      </c>
      <c r="F6" s="690"/>
      <c r="G6" s="609" t="s">
        <v>21</v>
      </c>
      <c r="H6" s="610">
        <v>1</v>
      </c>
      <c r="I6" s="611">
        <v>34812.769999999997</v>
      </c>
      <c r="J6" s="611">
        <v>34812.769999999997</v>
      </c>
      <c r="K6" s="546"/>
    </row>
    <row r="7" spans="1:11" ht="25" x14ac:dyDescent="0.3">
      <c r="A7" s="547" t="s">
        <v>430</v>
      </c>
      <c r="B7" s="548" t="s">
        <v>431</v>
      </c>
      <c r="C7" s="547" t="s">
        <v>19</v>
      </c>
      <c r="D7" s="547" t="s">
        <v>432</v>
      </c>
      <c r="E7" s="688" t="s">
        <v>429</v>
      </c>
      <c r="F7" s="688"/>
      <c r="G7" s="549" t="s">
        <v>21</v>
      </c>
      <c r="H7" s="550">
        <v>1</v>
      </c>
      <c r="I7" s="551">
        <v>431.87</v>
      </c>
      <c r="J7" s="551">
        <v>431.87</v>
      </c>
      <c r="K7" s="552"/>
    </row>
    <row r="8" spans="1:11" x14ac:dyDescent="0.3">
      <c r="A8" s="547" t="s">
        <v>433</v>
      </c>
      <c r="B8" s="548" t="s">
        <v>434</v>
      </c>
      <c r="C8" s="547" t="s">
        <v>19</v>
      </c>
      <c r="D8" s="547" t="s">
        <v>435</v>
      </c>
      <c r="E8" s="688" t="s">
        <v>436</v>
      </c>
      <c r="F8" s="688"/>
      <c r="G8" s="549" t="s">
        <v>21</v>
      </c>
      <c r="H8" s="550">
        <v>1</v>
      </c>
      <c r="I8" s="551">
        <v>33978.99</v>
      </c>
      <c r="J8" s="551">
        <v>33978.99</v>
      </c>
      <c r="K8" s="552"/>
    </row>
    <row r="9" spans="1:11" ht="25" x14ac:dyDescent="0.3">
      <c r="A9" s="547" t="s">
        <v>433</v>
      </c>
      <c r="B9" s="548" t="s">
        <v>437</v>
      </c>
      <c r="C9" s="547" t="s">
        <v>19</v>
      </c>
      <c r="D9" s="547" t="s">
        <v>3505</v>
      </c>
      <c r="E9" s="688" t="s">
        <v>438</v>
      </c>
      <c r="F9" s="688"/>
      <c r="G9" s="549" t="s">
        <v>21</v>
      </c>
      <c r="H9" s="550">
        <v>1</v>
      </c>
      <c r="I9" s="551">
        <v>252.08</v>
      </c>
      <c r="J9" s="551">
        <v>252.08</v>
      </c>
      <c r="K9" s="552"/>
    </row>
    <row r="10" spans="1:11" ht="25" x14ac:dyDescent="0.3">
      <c r="A10" s="547" t="s">
        <v>433</v>
      </c>
      <c r="B10" s="548" t="s">
        <v>439</v>
      </c>
      <c r="C10" s="547" t="s">
        <v>19</v>
      </c>
      <c r="D10" s="547" t="s">
        <v>3506</v>
      </c>
      <c r="E10" s="688" t="s">
        <v>438</v>
      </c>
      <c r="F10" s="688"/>
      <c r="G10" s="549" t="s">
        <v>21</v>
      </c>
      <c r="H10" s="550">
        <v>1</v>
      </c>
      <c r="I10" s="551">
        <v>7.31</v>
      </c>
      <c r="J10" s="551">
        <v>7.31</v>
      </c>
      <c r="K10" s="552"/>
    </row>
    <row r="11" spans="1:11" ht="25" x14ac:dyDescent="0.3">
      <c r="A11" s="547" t="s">
        <v>433</v>
      </c>
      <c r="B11" s="548" t="s">
        <v>440</v>
      </c>
      <c r="C11" s="547" t="s">
        <v>19</v>
      </c>
      <c r="D11" s="547" t="s">
        <v>441</v>
      </c>
      <c r="E11" s="688" t="s">
        <v>442</v>
      </c>
      <c r="F11" s="688"/>
      <c r="G11" s="549" t="s">
        <v>21</v>
      </c>
      <c r="H11" s="550">
        <v>1</v>
      </c>
      <c r="I11" s="551">
        <v>2.29</v>
      </c>
      <c r="J11" s="551">
        <v>2.29</v>
      </c>
      <c r="K11" s="552"/>
    </row>
    <row r="12" spans="1:11" ht="25.5" thickBot="1" x14ac:dyDescent="0.35">
      <c r="A12" s="547" t="s">
        <v>433</v>
      </c>
      <c r="B12" s="548" t="s">
        <v>443</v>
      </c>
      <c r="C12" s="547" t="s">
        <v>19</v>
      </c>
      <c r="D12" s="547" t="s">
        <v>444</v>
      </c>
      <c r="E12" s="688" t="s">
        <v>442</v>
      </c>
      <c r="F12" s="688"/>
      <c r="G12" s="549" t="s">
        <v>21</v>
      </c>
      <c r="H12" s="550">
        <v>1</v>
      </c>
      <c r="I12" s="551">
        <v>140.22999999999999</v>
      </c>
      <c r="J12" s="551">
        <v>140.22999999999999</v>
      </c>
      <c r="K12" s="552"/>
    </row>
    <row r="13" spans="1:11" ht="14.5" thickTop="1" x14ac:dyDescent="0.3">
      <c r="A13" s="562"/>
      <c r="B13" s="562"/>
      <c r="C13" s="562"/>
      <c r="D13" s="562"/>
      <c r="E13" s="562"/>
      <c r="F13" s="562"/>
      <c r="G13" s="562"/>
      <c r="H13" s="562"/>
      <c r="I13" s="562"/>
      <c r="J13" s="562"/>
      <c r="K13" s="552"/>
    </row>
    <row r="14" spans="1:11" x14ac:dyDescent="0.3">
      <c r="A14" s="553"/>
      <c r="B14" s="554" t="s">
        <v>4</v>
      </c>
      <c r="C14" s="553" t="s">
        <v>5</v>
      </c>
      <c r="D14" s="553" t="s">
        <v>6</v>
      </c>
      <c r="E14" s="691" t="s">
        <v>427</v>
      </c>
      <c r="F14" s="691"/>
      <c r="G14" s="555" t="s">
        <v>7</v>
      </c>
      <c r="H14" s="554" t="s">
        <v>8</v>
      </c>
      <c r="I14" s="554" t="s">
        <v>9</v>
      </c>
      <c r="J14" s="554" t="s">
        <v>11</v>
      </c>
      <c r="K14" s="552"/>
    </row>
    <row r="15" spans="1:11" s="89" customFormat="1" ht="25" x14ac:dyDescent="0.3">
      <c r="A15" s="607" t="s">
        <v>428</v>
      </c>
      <c r="B15" s="608" t="s">
        <v>22</v>
      </c>
      <c r="C15" s="607" t="s">
        <v>19</v>
      </c>
      <c r="D15" s="607" t="s">
        <v>23</v>
      </c>
      <c r="E15" s="690" t="s">
        <v>429</v>
      </c>
      <c r="F15" s="690"/>
      <c r="G15" s="609" t="s">
        <v>21</v>
      </c>
      <c r="H15" s="610">
        <v>1</v>
      </c>
      <c r="I15" s="611">
        <v>24859.48</v>
      </c>
      <c r="J15" s="611">
        <v>24859.48</v>
      </c>
      <c r="K15" s="546"/>
    </row>
    <row r="16" spans="1:11" s="89" customFormat="1" ht="25" x14ac:dyDescent="0.3">
      <c r="A16" s="547" t="s">
        <v>430</v>
      </c>
      <c r="B16" s="548" t="s">
        <v>445</v>
      </c>
      <c r="C16" s="547" t="s">
        <v>19</v>
      </c>
      <c r="D16" s="547" t="s">
        <v>446</v>
      </c>
      <c r="E16" s="688" t="s">
        <v>429</v>
      </c>
      <c r="F16" s="688"/>
      <c r="G16" s="549" t="s">
        <v>21</v>
      </c>
      <c r="H16" s="550">
        <v>1</v>
      </c>
      <c r="I16" s="551">
        <v>306.95</v>
      </c>
      <c r="J16" s="551">
        <v>306.95</v>
      </c>
      <c r="K16" s="546"/>
    </row>
    <row r="17" spans="1:11" x14ac:dyDescent="0.3">
      <c r="A17" s="547" t="s">
        <v>433</v>
      </c>
      <c r="B17" s="548" t="s">
        <v>447</v>
      </c>
      <c r="C17" s="547" t="s">
        <v>19</v>
      </c>
      <c r="D17" s="547" t="s">
        <v>448</v>
      </c>
      <c r="E17" s="688" t="s">
        <v>436</v>
      </c>
      <c r="F17" s="688"/>
      <c r="G17" s="549" t="s">
        <v>21</v>
      </c>
      <c r="H17" s="550">
        <v>1</v>
      </c>
      <c r="I17" s="551">
        <v>24150.62</v>
      </c>
      <c r="J17" s="551">
        <v>24150.62</v>
      </c>
      <c r="K17" s="552"/>
    </row>
    <row r="18" spans="1:11" ht="25" x14ac:dyDescent="0.3">
      <c r="A18" s="547" t="s">
        <v>433</v>
      </c>
      <c r="B18" s="548" t="s">
        <v>437</v>
      </c>
      <c r="C18" s="547" t="s">
        <v>19</v>
      </c>
      <c r="D18" s="547" t="s">
        <v>3505</v>
      </c>
      <c r="E18" s="688" t="s">
        <v>438</v>
      </c>
      <c r="F18" s="688"/>
      <c r="G18" s="549" t="s">
        <v>21</v>
      </c>
      <c r="H18" s="550">
        <v>1</v>
      </c>
      <c r="I18" s="551">
        <v>252.08</v>
      </c>
      <c r="J18" s="551">
        <v>252.08</v>
      </c>
      <c r="K18" s="552"/>
    </row>
    <row r="19" spans="1:11" ht="25" x14ac:dyDescent="0.3">
      <c r="A19" s="547" t="s">
        <v>433</v>
      </c>
      <c r="B19" s="548" t="s">
        <v>439</v>
      </c>
      <c r="C19" s="547" t="s">
        <v>19</v>
      </c>
      <c r="D19" s="547" t="s">
        <v>3506</v>
      </c>
      <c r="E19" s="688" t="s">
        <v>438</v>
      </c>
      <c r="F19" s="688"/>
      <c r="G19" s="549" t="s">
        <v>21</v>
      </c>
      <c r="H19" s="550">
        <v>1</v>
      </c>
      <c r="I19" s="551">
        <v>7.31</v>
      </c>
      <c r="J19" s="551">
        <v>7.31</v>
      </c>
      <c r="K19" s="552"/>
    </row>
    <row r="20" spans="1:11" ht="25" x14ac:dyDescent="0.3">
      <c r="A20" s="547" t="s">
        <v>433</v>
      </c>
      <c r="B20" s="548" t="s">
        <v>440</v>
      </c>
      <c r="C20" s="547" t="s">
        <v>19</v>
      </c>
      <c r="D20" s="547" t="s">
        <v>441</v>
      </c>
      <c r="E20" s="688" t="s">
        <v>442</v>
      </c>
      <c r="F20" s="688"/>
      <c r="G20" s="549" t="s">
        <v>21</v>
      </c>
      <c r="H20" s="550">
        <v>1</v>
      </c>
      <c r="I20" s="551">
        <v>2.29</v>
      </c>
      <c r="J20" s="551">
        <v>2.29</v>
      </c>
      <c r="K20" s="552"/>
    </row>
    <row r="21" spans="1:11" ht="25.5" thickBot="1" x14ac:dyDescent="0.35">
      <c r="A21" s="547" t="s">
        <v>433</v>
      </c>
      <c r="B21" s="548" t="s">
        <v>443</v>
      </c>
      <c r="C21" s="547" t="s">
        <v>19</v>
      </c>
      <c r="D21" s="547" t="s">
        <v>444</v>
      </c>
      <c r="E21" s="688" t="s">
        <v>442</v>
      </c>
      <c r="F21" s="688"/>
      <c r="G21" s="549" t="s">
        <v>21</v>
      </c>
      <c r="H21" s="550">
        <v>1</v>
      </c>
      <c r="I21" s="551">
        <v>140.22999999999999</v>
      </c>
      <c r="J21" s="551">
        <v>140.22999999999999</v>
      </c>
      <c r="K21" s="552"/>
    </row>
    <row r="22" spans="1:11" s="89" customFormat="1" ht="14.5" thickTop="1" x14ac:dyDescent="0.3">
      <c r="A22" s="562"/>
      <c r="B22" s="562"/>
      <c r="C22" s="562"/>
      <c r="D22" s="562"/>
      <c r="E22" s="562"/>
      <c r="F22" s="562"/>
      <c r="G22" s="562"/>
      <c r="H22" s="562"/>
      <c r="I22" s="562"/>
      <c r="J22" s="562"/>
      <c r="K22" s="546"/>
    </row>
    <row r="23" spans="1:11" x14ac:dyDescent="0.3">
      <c r="A23" s="553"/>
      <c r="B23" s="554" t="s">
        <v>4</v>
      </c>
      <c r="C23" s="553" t="s">
        <v>5</v>
      </c>
      <c r="D23" s="553" t="s">
        <v>6</v>
      </c>
      <c r="E23" s="691" t="s">
        <v>427</v>
      </c>
      <c r="F23" s="691"/>
      <c r="G23" s="555" t="s">
        <v>7</v>
      </c>
      <c r="H23" s="554" t="s">
        <v>8</v>
      </c>
      <c r="I23" s="554" t="s">
        <v>9</v>
      </c>
      <c r="J23" s="554" t="s">
        <v>11</v>
      </c>
      <c r="K23" s="552"/>
    </row>
    <row r="24" spans="1:11" ht="14.25" customHeight="1" x14ac:dyDescent="0.3">
      <c r="A24" s="607" t="s">
        <v>428</v>
      </c>
      <c r="B24" s="608" t="s">
        <v>24</v>
      </c>
      <c r="C24" s="607" t="s">
        <v>19</v>
      </c>
      <c r="D24" s="607" t="s">
        <v>25</v>
      </c>
      <c r="E24" s="690" t="s">
        <v>429</v>
      </c>
      <c r="F24" s="690"/>
      <c r="G24" s="609" t="s">
        <v>21</v>
      </c>
      <c r="H24" s="610">
        <v>1</v>
      </c>
      <c r="I24" s="611">
        <v>3536.93</v>
      </c>
      <c r="J24" s="611">
        <v>3536.93</v>
      </c>
      <c r="K24" s="552"/>
    </row>
    <row r="25" spans="1:11" s="89" customFormat="1" ht="15" customHeight="1" x14ac:dyDescent="0.3">
      <c r="A25" s="547" t="s">
        <v>430</v>
      </c>
      <c r="B25" s="548" t="s">
        <v>449</v>
      </c>
      <c r="C25" s="547" t="s">
        <v>19</v>
      </c>
      <c r="D25" s="547" t="s">
        <v>450</v>
      </c>
      <c r="E25" s="688" t="s">
        <v>429</v>
      </c>
      <c r="F25" s="688"/>
      <c r="G25" s="549" t="s">
        <v>21</v>
      </c>
      <c r="H25" s="550">
        <v>1</v>
      </c>
      <c r="I25" s="551">
        <v>47.57</v>
      </c>
      <c r="J25" s="551">
        <v>47.57</v>
      </c>
      <c r="K25" s="546"/>
    </row>
    <row r="26" spans="1:11" ht="25" x14ac:dyDescent="0.3">
      <c r="A26" s="547" t="s">
        <v>433</v>
      </c>
      <c r="B26" s="548" t="s">
        <v>437</v>
      </c>
      <c r="C26" s="547" t="s">
        <v>19</v>
      </c>
      <c r="D26" s="547" t="s">
        <v>3505</v>
      </c>
      <c r="E26" s="688" t="s">
        <v>438</v>
      </c>
      <c r="F26" s="688"/>
      <c r="G26" s="549" t="s">
        <v>21</v>
      </c>
      <c r="H26" s="550">
        <v>1</v>
      </c>
      <c r="I26" s="551">
        <v>252.08</v>
      </c>
      <c r="J26" s="551">
        <v>252.08</v>
      </c>
      <c r="K26" s="552"/>
    </row>
    <row r="27" spans="1:11" s="89" customFormat="1" ht="25" x14ac:dyDescent="0.3">
      <c r="A27" s="547" t="s">
        <v>433</v>
      </c>
      <c r="B27" s="548" t="s">
        <v>439</v>
      </c>
      <c r="C27" s="547" t="s">
        <v>19</v>
      </c>
      <c r="D27" s="547" t="s">
        <v>3506</v>
      </c>
      <c r="E27" s="688" t="s">
        <v>438</v>
      </c>
      <c r="F27" s="688"/>
      <c r="G27" s="549" t="s">
        <v>21</v>
      </c>
      <c r="H27" s="550">
        <v>1</v>
      </c>
      <c r="I27" s="551">
        <v>7.31</v>
      </c>
      <c r="J27" s="551">
        <v>7.31</v>
      </c>
      <c r="K27" s="546"/>
    </row>
    <row r="28" spans="1:11" x14ac:dyDescent="0.3">
      <c r="A28" s="547" t="s">
        <v>433</v>
      </c>
      <c r="B28" s="548" t="s">
        <v>451</v>
      </c>
      <c r="C28" s="547" t="s">
        <v>19</v>
      </c>
      <c r="D28" s="547" t="s">
        <v>452</v>
      </c>
      <c r="E28" s="688" t="s">
        <v>436</v>
      </c>
      <c r="F28" s="688"/>
      <c r="G28" s="549" t="s">
        <v>21</v>
      </c>
      <c r="H28" s="550">
        <v>1</v>
      </c>
      <c r="I28" s="551">
        <v>3071.04</v>
      </c>
      <c r="J28" s="551">
        <v>3071.04</v>
      </c>
      <c r="K28" s="552"/>
    </row>
    <row r="29" spans="1:11" s="89" customFormat="1" ht="25" x14ac:dyDescent="0.3">
      <c r="A29" s="547" t="s">
        <v>433</v>
      </c>
      <c r="B29" s="548" t="s">
        <v>453</v>
      </c>
      <c r="C29" s="547" t="s">
        <v>19</v>
      </c>
      <c r="D29" s="547" t="s">
        <v>454</v>
      </c>
      <c r="E29" s="688" t="s">
        <v>442</v>
      </c>
      <c r="F29" s="688"/>
      <c r="G29" s="549" t="s">
        <v>21</v>
      </c>
      <c r="H29" s="550">
        <v>1</v>
      </c>
      <c r="I29" s="551">
        <v>10.89</v>
      </c>
      <c r="J29" s="551">
        <v>10.89</v>
      </c>
      <c r="K29" s="546"/>
    </row>
    <row r="30" spans="1:11" ht="25.5" thickBot="1" x14ac:dyDescent="0.35">
      <c r="A30" s="547" t="s">
        <v>433</v>
      </c>
      <c r="B30" s="548" t="s">
        <v>455</v>
      </c>
      <c r="C30" s="547" t="s">
        <v>19</v>
      </c>
      <c r="D30" s="547" t="s">
        <v>456</v>
      </c>
      <c r="E30" s="688" t="s">
        <v>442</v>
      </c>
      <c r="F30" s="688"/>
      <c r="G30" s="549" t="s">
        <v>21</v>
      </c>
      <c r="H30" s="550">
        <v>1</v>
      </c>
      <c r="I30" s="551">
        <v>148.04</v>
      </c>
      <c r="J30" s="551">
        <v>148.04</v>
      </c>
      <c r="K30" s="552"/>
    </row>
    <row r="31" spans="1:11" s="89" customFormat="1" ht="14.5" thickTop="1" x14ac:dyDescent="0.3">
      <c r="A31" s="562"/>
      <c r="B31" s="562"/>
      <c r="C31" s="562"/>
      <c r="D31" s="562"/>
      <c r="E31" s="562"/>
      <c r="F31" s="562"/>
      <c r="G31" s="562"/>
      <c r="H31" s="562"/>
      <c r="I31" s="562"/>
      <c r="J31" s="562"/>
      <c r="K31" s="546"/>
    </row>
    <row r="32" spans="1:11" s="89" customFormat="1" x14ac:dyDescent="0.3">
      <c r="A32" s="553"/>
      <c r="B32" s="554" t="s">
        <v>4</v>
      </c>
      <c r="C32" s="553" t="s">
        <v>5</v>
      </c>
      <c r="D32" s="553" t="s">
        <v>6</v>
      </c>
      <c r="E32" s="691" t="s">
        <v>427</v>
      </c>
      <c r="F32" s="691"/>
      <c r="G32" s="555" t="s">
        <v>7</v>
      </c>
      <c r="H32" s="554" t="s">
        <v>8</v>
      </c>
      <c r="I32" s="554" t="s">
        <v>9</v>
      </c>
      <c r="J32" s="554" t="s">
        <v>11</v>
      </c>
      <c r="K32" s="546"/>
    </row>
    <row r="33" spans="1:11" ht="25" x14ac:dyDescent="0.3">
      <c r="A33" s="607" t="s">
        <v>428</v>
      </c>
      <c r="B33" s="608" t="s">
        <v>3507</v>
      </c>
      <c r="C33" s="607" t="s">
        <v>26</v>
      </c>
      <c r="D33" s="607" t="s">
        <v>3508</v>
      </c>
      <c r="E33" s="690" t="s">
        <v>429</v>
      </c>
      <c r="F33" s="690"/>
      <c r="G33" s="609" t="s">
        <v>27</v>
      </c>
      <c r="H33" s="610">
        <v>1</v>
      </c>
      <c r="I33" s="611">
        <v>6723.27</v>
      </c>
      <c r="J33" s="611">
        <v>6723.27</v>
      </c>
      <c r="K33" s="552"/>
    </row>
    <row r="34" spans="1:11" s="89" customFormat="1" ht="25" x14ac:dyDescent="0.3">
      <c r="A34" s="547" t="s">
        <v>433</v>
      </c>
      <c r="B34" s="548" t="s">
        <v>457</v>
      </c>
      <c r="C34" s="547" t="s">
        <v>19</v>
      </c>
      <c r="D34" s="547" t="s">
        <v>458</v>
      </c>
      <c r="E34" s="688" t="s">
        <v>442</v>
      </c>
      <c r="F34" s="688"/>
      <c r="G34" s="549" t="s">
        <v>21</v>
      </c>
      <c r="H34" s="550">
        <v>1</v>
      </c>
      <c r="I34" s="551">
        <v>12.77</v>
      </c>
      <c r="J34" s="551">
        <v>12.77</v>
      </c>
      <c r="K34" s="546"/>
    </row>
    <row r="35" spans="1:11" ht="25" x14ac:dyDescent="0.3">
      <c r="A35" s="547" t="s">
        <v>433</v>
      </c>
      <c r="B35" s="548" t="s">
        <v>459</v>
      </c>
      <c r="C35" s="547" t="s">
        <v>19</v>
      </c>
      <c r="D35" s="547" t="s">
        <v>460</v>
      </c>
      <c r="E35" s="688" t="s">
        <v>442</v>
      </c>
      <c r="F35" s="688"/>
      <c r="G35" s="549" t="s">
        <v>21</v>
      </c>
      <c r="H35" s="550">
        <v>1</v>
      </c>
      <c r="I35" s="551">
        <v>132.94</v>
      </c>
      <c r="J35" s="551">
        <v>132.94</v>
      </c>
      <c r="K35" s="552"/>
    </row>
    <row r="36" spans="1:11" ht="25" x14ac:dyDescent="0.3">
      <c r="A36" s="547" t="s">
        <v>433</v>
      </c>
      <c r="B36" s="548" t="s">
        <v>437</v>
      </c>
      <c r="C36" s="547" t="s">
        <v>19</v>
      </c>
      <c r="D36" s="547" t="s">
        <v>3505</v>
      </c>
      <c r="E36" s="688" t="s">
        <v>438</v>
      </c>
      <c r="F36" s="688"/>
      <c r="G36" s="549" t="s">
        <v>21</v>
      </c>
      <c r="H36" s="550">
        <v>1</v>
      </c>
      <c r="I36" s="551">
        <v>252.08</v>
      </c>
      <c r="J36" s="551">
        <v>252.08</v>
      </c>
      <c r="K36" s="552"/>
    </row>
    <row r="37" spans="1:11" s="89" customFormat="1" ht="25" x14ac:dyDescent="0.3">
      <c r="A37" s="547" t="s">
        <v>433</v>
      </c>
      <c r="B37" s="548" t="s">
        <v>439</v>
      </c>
      <c r="C37" s="547" t="s">
        <v>19</v>
      </c>
      <c r="D37" s="547" t="s">
        <v>3506</v>
      </c>
      <c r="E37" s="688" t="s">
        <v>438</v>
      </c>
      <c r="F37" s="688"/>
      <c r="G37" s="549" t="s">
        <v>21</v>
      </c>
      <c r="H37" s="550">
        <v>1</v>
      </c>
      <c r="I37" s="551">
        <v>7.31</v>
      </c>
      <c r="J37" s="551">
        <v>7.31</v>
      </c>
      <c r="K37" s="546"/>
    </row>
    <row r="38" spans="1:11" ht="25" x14ac:dyDescent="0.3">
      <c r="A38" s="547" t="s">
        <v>433</v>
      </c>
      <c r="B38" s="548" t="s">
        <v>3824</v>
      </c>
      <c r="C38" s="547" t="s">
        <v>26</v>
      </c>
      <c r="D38" s="547" t="s">
        <v>3509</v>
      </c>
      <c r="E38" s="688" t="s">
        <v>436</v>
      </c>
      <c r="F38" s="688"/>
      <c r="G38" s="549" t="s">
        <v>27</v>
      </c>
      <c r="H38" s="550">
        <v>1</v>
      </c>
      <c r="I38" s="551">
        <v>3682.16</v>
      </c>
      <c r="J38" s="551">
        <v>3682.16</v>
      </c>
      <c r="K38" s="552"/>
    </row>
    <row r="39" spans="1:11" s="89" customFormat="1" ht="25" x14ac:dyDescent="0.3">
      <c r="A39" s="547" t="s">
        <v>433</v>
      </c>
      <c r="B39" s="548" t="s">
        <v>3824</v>
      </c>
      <c r="C39" s="547" t="s">
        <v>26</v>
      </c>
      <c r="D39" s="547" t="s">
        <v>3509</v>
      </c>
      <c r="E39" s="688" t="s">
        <v>436</v>
      </c>
      <c r="F39" s="688"/>
      <c r="G39" s="549" t="s">
        <v>27</v>
      </c>
      <c r="H39" s="550">
        <v>1.549E-2</v>
      </c>
      <c r="I39" s="551">
        <v>3682.16</v>
      </c>
      <c r="J39" s="551">
        <v>57.03</v>
      </c>
      <c r="K39" s="546"/>
    </row>
    <row r="40" spans="1:11" ht="25.5" thickBot="1" x14ac:dyDescent="0.35">
      <c r="A40" s="547" t="s">
        <v>433</v>
      </c>
      <c r="B40" s="548" t="s">
        <v>3824</v>
      </c>
      <c r="C40" s="547" t="s">
        <v>26</v>
      </c>
      <c r="D40" s="547" t="s">
        <v>3509</v>
      </c>
      <c r="E40" s="688" t="s">
        <v>436</v>
      </c>
      <c r="F40" s="688"/>
      <c r="G40" s="549" t="s">
        <v>27</v>
      </c>
      <c r="H40" s="550">
        <v>0.70040000000000002</v>
      </c>
      <c r="I40" s="551">
        <v>3682.16</v>
      </c>
      <c r="J40" s="551">
        <v>2578.98</v>
      </c>
      <c r="K40" s="552"/>
    </row>
    <row r="41" spans="1:11" ht="14.5" thickTop="1" x14ac:dyDescent="0.3">
      <c r="A41" s="562"/>
      <c r="B41" s="562"/>
      <c r="C41" s="562"/>
      <c r="D41" s="562"/>
      <c r="E41" s="562"/>
      <c r="F41" s="562"/>
      <c r="G41" s="562"/>
      <c r="H41" s="562"/>
      <c r="I41" s="562"/>
      <c r="J41" s="562"/>
      <c r="K41" s="552"/>
    </row>
    <row r="42" spans="1:11" x14ac:dyDescent="0.3">
      <c r="A42" s="553"/>
      <c r="B42" s="554" t="s">
        <v>4</v>
      </c>
      <c r="C42" s="553" t="s">
        <v>5</v>
      </c>
      <c r="D42" s="553" t="s">
        <v>6</v>
      </c>
      <c r="E42" s="691" t="s">
        <v>427</v>
      </c>
      <c r="F42" s="691"/>
      <c r="G42" s="555" t="s">
        <v>7</v>
      </c>
      <c r="H42" s="554" t="s">
        <v>8</v>
      </c>
      <c r="I42" s="554" t="s">
        <v>9</v>
      </c>
      <c r="J42" s="554" t="s">
        <v>11</v>
      </c>
      <c r="K42" s="552"/>
    </row>
    <row r="43" spans="1:11" ht="14.25" customHeight="1" x14ac:dyDescent="0.3">
      <c r="A43" s="607" t="s">
        <v>428</v>
      </c>
      <c r="B43" s="608" t="s">
        <v>31</v>
      </c>
      <c r="C43" s="607" t="s">
        <v>26</v>
      </c>
      <c r="D43" s="607" t="s">
        <v>32</v>
      </c>
      <c r="E43" s="690" t="s">
        <v>461</v>
      </c>
      <c r="F43" s="690"/>
      <c r="G43" s="609" t="s">
        <v>27</v>
      </c>
      <c r="H43" s="610">
        <v>1</v>
      </c>
      <c r="I43" s="611">
        <v>2727.71</v>
      </c>
      <c r="J43" s="611">
        <v>2727.71</v>
      </c>
      <c r="K43" s="552"/>
    </row>
    <row r="44" spans="1:11" s="89" customFormat="1" ht="15" customHeight="1" x14ac:dyDescent="0.3">
      <c r="A44" s="691" t="s">
        <v>408</v>
      </c>
      <c r="B44" s="692" t="s">
        <v>4</v>
      </c>
      <c r="C44" s="691" t="s">
        <v>5</v>
      </c>
      <c r="D44" s="691" t="s">
        <v>462</v>
      </c>
      <c r="E44" s="692" t="s">
        <v>463</v>
      </c>
      <c r="F44" s="694" t="s">
        <v>464</v>
      </c>
      <c r="G44" s="692"/>
      <c r="H44" s="694" t="s">
        <v>465</v>
      </c>
      <c r="I44" s="692"/>
      <c r="J44" s="692" t="s">
        <v>466</v>
      </c>
      <c r="K44" s="546"/>
    </row>
    <row r="45" spans="1:11" x14ac:dyDescent="0.3">
      <c r="A45" s="692"/>
      <c r="B45" s="692"/>
      <c r="C45" s="692"/>
      <c r="D45" s="692"/>
      <c r="E45" s="692"/>
      <c r="F45" s="554" t="s">
        <v>467</v>
      </c>
      <c r="G45" s="554" t="s">
        <v>468</v>
      </c>
      <c r="H45" s="554" t="s">
        <v>467</v>
      </c>
      <c r="I45" s="554" t="s">
        <v>468</v>
      </c>
      <c r="J45" s="692"/>
      <c r="K45" s="552"/>
    </row>
    <row r="46" spans="1:11" x14ac:dyDescent="0.3">
      <c r="A46" s="547" t="s">
        <v>433</v>
      </c>
      <c r="B46" s="548" t="s">
        <v>469</v>
      </c>
      <c r="C46" s="547" t="s">
        <v>115</v>
      </c>
      <c r="D46" s="547" t="s">
        <v>470</v>
      </c>
      <c r="E46" s="550">
        <v>1</v>
      </c>
      <c r="F46" s="551">
        <v>44</v>
      </c>
      <c r="G46" s="551">
        <v>176</v>
      </c>
      <c r="H46" s="563">
        <v>36.5379</v>
      </c>
      <c r="I46" s="563">
        <v>6.3639000000000001</v>
      </c>
      <c r="J46" s="563">
        <v>2727.7139999999999</v>
      </c>
      <c r="K46" s="552"/>
    </row>
    <row r="47" spans="1:11" s="89" customFormat="1" ht="15" customHeight="1" x14ac:dyDescent="0.3">
      <c r="A47" s="689"/>
      <c r="B47" s="689"/>
      <c r="C47" s="689"/>
      <c r="D47" s="689"/>
      <c r="E47" s="689"/>
      <c r="F47" s="689" t="s">
        <v>471</v>
      </c>
      <c r="G47" s="689"/>
      <c r="H47" s="689"/>
      <c r="I47" s="689"/>
      <c r="J47" s="564">
        <v>2727.7139999999999</v>
      </c>
      <c r="K47" s="546"/>
    </row>
    <row r="48" spans="1:11" ht="14.25" customHeight="1" x14ac:dyDescent="0.3">
      <c r="A48" s="689"/>
      <c r="B48" s="689"/>
      <c r="C48" s="689"/>
      <c r="D48" s="689"/>
      <c r="E48" s="689"/>
      <c r="F48" s="689" t="s">
        <v>472</v>
      </c>
      <c r="G48" s="689"/>
      <c r="H48" s="689"/>
      <c r="I48" s="689"/>
      <c r="J48" s="564">
        <v>2727.7139999999999</v>
      </c>
      <c r="K48" s="552"/>
    </row>
    <row r="49" spans="1:11" s="89" customFormat="1" ht="15" customHeight="1" x14ac:dyDescent="0.3">
      <c r="A49" s="689"/>
      <c r="B49" s="689"/>
      <c r="C49" s="689"/>
      <c r="D49" s="689"/>
      <c r="E49" s="689"/>
      <c r="F49" s="689" t="s">
        <v>473</v>
      </c>
      <c r="G49" s="689"/>
      <c r="H49" s="689"/>
      <c r="I49" s="689"/>
      <c r="J49" s="564">
        <v>0</v>
      </c>
      <c r="K49" s="546"/>
    </row>
    <row r="50" spans="1:11" x14ac:dyDescent="0.3">
      <c r="A50" s="689"/>
      <c r="B50" s="689"/>
      <c r="C50" s="689"/>
      <c r="D50" s="689"/>
      <c r="E50" s="689"/>
      <c r="F50" s="689" t="s">
        <v>474</v>
      </c>
      <c r="G50" s="689"/>
      <c r="H50" s="689"/>
      <c r="I50" s="689"/>
      <c r="J50" s="564">
        <v>0</v>
      </c>
      <c r="K50" s="552"/>
    </row>
    <row r="51" spans="1:11" ht="14.25" customHeight="1" x14ac:dyDescent="0.3">
      <c r="A51" s="689"/>
      <c r="B51" s="689"/>
      <c r="C51" s="689"/>
      <c r="D51" s="689"/>
      <c r="E51" s="689"/>
      <c r="F51" s="689" t="s">
        <v>475</v>
      </c>
      <c r="G51" s="689"/>
      <c r="H51" s="689"/>
      <c r="I51" s="689"/>
      <c r="J51" s="564">
        <v>1</v>
      </c>
      <c r="K51" s="552"/>
    </row>
    <row r="52" spans="1:11" ht="14.25" customHeight="1" x14ac:dyDescent="0.3">
      <c r="A52" s="689"/>
      <c r="B52" s="689"/>
      <c r="C52" s="689"/>
      <c r="D52" s="689"/>
      <c r="E52" s="689"/>
      <c r="F52" s="689" t="s">
        <v>476</v>
      </c>
      <c r="G52" s="689"/>
      <c r="H52" s="689"/>
      <c r="I52" s="689"/>
      <c r="J52" s="564">
        <v>2727.7139999999999</v>
      </c>
      <c r="K52" s="552"/>
    </row>
    <row r="53" spans="1:11" s="89" customFormat="1" x14ac:dyDescent="0.3">
      <c r="A53" s="686" t="s">
        <v>3754</v>
      </c>
      <c r="B53" s="686"/>
      <c r="C53" s="686"/>
      <c r="D53" s="686"/>
      <c r="E53" s="686"/>
      <c r="F53" s="686"/>
      <c r="G53" s="686"/>
      <c r="H53" s="686"/>
      <c r="I53" s="686"/>
      <c r="J53" s="686"/>
      <c r="K53" s="546"/>
    </row>
    <row r="54" spans="1:11" s="89" customFormat="1" ht="14.5" thickBot="1" x14ac:dyDescent="0.35">
      <c r="A54" s="695" t="s">
        <v>3755</v>
      </c>
      <c r="B54" s="695"/>
      <c r="C54" s="695"/>
      <c r="D54" s="695"/>
      <c r="E54" s="695"/>
      <c r="F54" s="695"/>
      <c r="G54" s="695"/>
      <c r="H54" s="695"/>
      <c r="I54" s="695"/>
      <c r="J54" s="695"/>
      <c r="K54" s="546"/>
    </row>
    <row r="55" spans="1:11" ht="14.5" thickTop="1" x14ac:dyDescent="0.3">
      <c r="A55" s="562"/>
      <c r="B55" s="562"/>
      <c r="C55" s="562"/>
      <c r="D55" s="562"/>
      <c r="E55" s="562"/>
      <c r="F55" s="562"/>
      <c r="G55" s="562"/>
      <c r="H55" s="562"/>
      <c r="I55" s="562"/>
      <c r="J55" s="562"/>
      <c r="K55" s="552"/>
    </row>
    <row r="56" spans="1:11" s="89" customFormat="1" x14ac:dyDescent="0.3">
      <c r="A56" s="553"/>
      <c r="B56" s="554" t="s">
        <v>4</v>
      </c>
      <c r="C56" s="553" t="s">
        <v>5</v>
      </c>
      <c r="D56" s="553" t="s">
        <v>6</v>
      </c>
      <c r="E56" s="691" t="s">
        <v>427</v>
      </c>
      <c r="F56" s="691"/>
      <c r="G56" s="555" t="s">
        <v>7</v>
      </c>
      <c r="H56" s="554" t="s">
        <v>8</v>
      </c>
      <c r="I56" s="554" t="s">
        <v>9</v>
      </c>
      <c r="J56" s="554" t="s">
        <v>11</v>
      </c>
      <c r="K56" s="546"/>
    </row>
    <row r="57" spans="1:11" ht="14.25" customHeight="1" x14ac:dyDescent="0.3">
      <c r="A57" s="607" t="s">
        <v>428</v>
      </c>
      <c r="B57" s="608" t="s">
        <v>36</v>
      </c>
      <c r="C57" s="607" t="s">
        <v>19</v>
      </c>
      <c r="D57" s="607" t="s">
        <v>37</v>
      </c>
      <c r="E57" s="690" t="s">
        <v>429</v>
      </c>
      <c r="F57" s="690"/>
      <c r="G57" s="609" t="s">
        <v>21</v>
      </c>
      <c r="H57" s="610">
        <v>1</v>
      </c>
      <c r="I57" s="611">
        <v>5032.17</v>
      </c>
      <c r="J57" s="611">
        <v>5032.17</v>
      </c>
      <c r="K57" s="552"/>
    </row>
    <row r="58" spans="1:11" s="89" customFormat="1" ht="15" customHeight="1" x14ac:dyDescent="0.3">
      <c r="A58" s="547" t="s">
        <v>430</v>
      </c>
      <c r="B58" s="548" t="s">
        <v>477</v>
      </c>
      <c r="C58" s="547" t="s">
        <v>19</v>
      </c>
      <c r="D58" s="547" t="s">
        <v>478</v>
      </c>
      <c r="E58" s="688" t="s">
        <v>429</v>
      </c>
      <c r="F58" s="688"/>
      <c r="G58" s="549" t="s">
        <v>21</v>
      </c>
      <c r="H58" s="550">
        <v>1</v>
      </c>
      <c r="I58" s="551">
        <v>20.12</v>
      </c>
      <c r="J58" s="551">
        <v>20.12</v>
      </c>
      <c r="K58" s="546"/>
    </row>
    <row r="59" spans="1:11" x14ac:dyDescent="0.3">
      <c r="A59" s="547" t="s">
        <v>433</v>
      </c>
      <c r="B59" s="548" t="s">
        <v>479</v>
      </c>
      <c r="C59" s="547" t="s">
        <v>19</v>
      </c>
      <c r="D59" s="547" t="s">
        <v>480</v>
      </c>
      <c r="E59" s="688" t="s">
        <v>436</v>
      </c>
      <c r="F59" s="688"/>
      <c r="G59" s="549" t="s">
        <v>21</v>
      </c>
      <c r="H59" s="550">
        <v>1</v>
      </c>
      <c r="I59" s="551">
        <v>4593.7299999999996</v>
      </c>
      <c r="J59" s="551">
        <v>4593.7299999999996</v>
      </c>
      <c r="K59" s="552"/>
    </row>
    <row r="60" spans="1:11" s="89" customFormat="1" ht="25" x14ac:dyDescent="0.3">
      <c r="A60" s="547" t="s">
        <v>433</v>
      </c>
      <c r="B60" s="548" t="s">
        <v>437</v>
      </c>
      <c r="C60" s="547" t="s">
        <v>19</v>
      </c>
      <c r="D60" s="547" t="s">
        <v>3505</v>
      </c>
      <c r="E60" s="688" t="s">
        <v>438</v>
      </c>
      <c r="F60" s="688"/>
      <c r="G60" s="549" t="s">
        <v>21</v>
      </c>
      <c r="H60" s="550">
        <v>1</v>
      </c>
      <c r="I60" s="551">
        <v>252.08</v>
      </c>
      <c r="J60" s="551">
        <v>252.08</v>
      </c>
      <c r="K60" s="546"/>
    </row>
    <row r="61" spans="1:11" ht="25" x14ac:dyDescent="0.3">
      <c r="A61" s="547" t="s">
        <v>433</v>
      </c>
      <c r="B61" s="548" t="s">
        <v>439</v>
      </c>
      <c r="C61" s="547" t="s">
        <v>19</v>
      </c>
      <c r="D61" s="547" t="s">
        <v>3506</v>
      </c>
      <c r="E61" s="688" t="s">
        <v>438</v>
      </c>
      <c r="F61" s="688"/>
      <c r="G61" s="549" t="s">
        <v>21</v>
      </c>
      <c r="H61" s="550">
        <v>1</v>
      </c>
      <c r="I61" s="551">
        <v>7.31</v>
      </c>
      <c r="J61" s="551">
        <v>7.31</v>
      </c>
      <c r="K61" s="552"/>
    </row>
    <row r="62" spans="1:11" s="89" customFormat="1" ht="25" x14ac:dyDescent="0.3">
      <c r="A62" s="547" t="s">
        <v>433</v>
      </c>
      <c r="B62" s="548" t="s">
        <v>453</v>
      </c>
      <c r="C62" s="547" t="s">
        <v>19</v>
      </c>
      <c r="D62" s="547" t="s">
        <v>454</v>
      </c>
      <c r="E62" s="688" t="s">
        <v>442</v>
      </c>
      <c r="F62" s="688"/>
      <c r="G62" s="549" t="s">
        <v>21</v>
      </c>
      <c r="H62" s="550">
        <v>1</v>
      </c>
      <c r="I62" s="551">
        <v>10.89</v>
      </c>
      <c r="J62" s="551">
        <v>10.89</v>
      </c>
      <c r="K62" s="546"/>
    </row>
    <row r="63" spans="1:11" ht="25.5" thickBot="1" x14ac:dyDescent="0.35">
      <c r="A63" s="547" t="s">
        <v>433</v>
      </c>
      <c r="B63" s="548" t="s">
        <v>455</v>
      </c>
      <c r="C63" s="547" t="s">
        <v>19</v>
      </c>
      <c r="D63" s="547" t="s">
        <v>456</v>
      </c>
      <c r="E63" s="688" t="s">
        <v>442</v>
      </c>
      <c r="F63" s="688"/>
      <c r="G63" s="549" t="s">
        <v>21</v>
      </c>
      <c r="H63" s="550">
        <v>1</v>
      </c>
      <c r="I63" s="551">
        <v>148.04</v>
      </c>
      <c r="J63" s="551">
        <v>148.04</v>
      </c>
      <c r="K63" s="552"/>
    </row>
    <row r="64" spans="1:11" ht="14.5" thickTop="1" x14ac:dyDescent="0.3">
      <c r="A64" s="562"/>
      <c r="B64" s="562"/>
      <c r="C64" s="562"/>
      <c r="D64" s="562"/>
      <c r="E64" s="562"/>
      <c r="F64" s="562"/>
      <c r="G64" s="562"/>
      <c r="H64" s="562"/>
      <c r="I64" s="562"/>
      <c r="J64" s="562"/>
      <c r="K64" s="552"/>
    </row>
    <row r="65" spans="1:11" s="89" customFormat="1" x14ac:dyDescent="0.3">
      <c r="A65" s="553"/>
      <c r="B65" s="554" t="s">
        <v>4</v>
      </c>
      <c r="C65" s="553" t="s">
        <v>5</v>
      </c>
      <c r="D65" s="553" t="s">
        <v>6</v>
      </c>
      <c r="E65" s="691" t="s">
        <v>427</v>
      </c>
      <c r="F65" s="691"/>
      <c r="G65" s="555" t="s">
        <v>7</v>
      </c>
      <c r="H65" s="554" t="s">
        <v>8</v>
      </c>
      <c r="I65" s="554" t="s">
        <v>9</v>
      </c>
      <c r="J65" s="554" t="s">
        <v>11</v>
      </c>
      <c r="K65" s="546"/>
    </row>
    <row r="66" spans="1:11" ht="25" x14ac:dyDescent="0.3">
      <c r="A66" s="607" t="s">
        <v>428</v>
      </c>
      <c r="B66" s="608" t="s">
        <v>39</v>
      </c>
      <c r="C66" s="607" t="s">
        <v>26</v>
      </c>
      <c r="D66" s="607" t="s">
        <v>40</v>
      </c>
      <c r="E66" s="690" t="s">
        <v>481</v>
      </c>
      <c r="F66" s="690"/>
      <c r="G66" s="609" t="s">
        <v>27</v>
      </c>
      <c r="H66" s="610">
        <v>1</v>
      </c>
      <c r="I66" s="611">
        <v>5590.7</v>
      </c>
      <c r="J66" s="611">
        <v>5590.7</v>
      </c>
      <c r="K66" s="552"/>
    </row>
    <row r="67" spans="1:11" s="89" customFormat="1" ht="15" customHeight="1" x14ac:dyDescent="0.3">
      <c r="A67" s="547" t="s">
        <v>430</v>
      </c>
      <c r="B67" s="548" t="s">
        <v>42</v>
      </c>
      <c r="C67" s="547" t="s">
        <v>19</v>
      </c>
      <c r="D67" s="547" t="s">
        <v>43</v>
      </c>
      <c r="E67" s="688" t="s">
        <v>429</v>
      </c>
      <c r="F67" s="688"/>
      <c r="G67" s="549" t="s">
        <v>21</v>
      </c>
      <c r="H67" s="550">
        <v>1</v>
      </c>
      <c r="I67" s="551">
        <v>4376.49</v>
      </c>
      <c r="J67" s="551">
        <v>4376.49</v>
      </c>
      <c r="K67" s="546"/>
    </row>
    <row r="68" spans="1:11" ht="14.25" customHeight="1" x14ac:dyDescent="0.3">
      <c r="A68" s="547" t="s">
        <v>430</v>
      </c>
      <c r="B68" s="548" t="s">
        <v>482</v>
      </c>
      <c r="C68" s="547" t="s">
        <v>26</v>
      </c>
      <c r="D68" s="547" t="s">
        <v>483</v>
      </c>
      <c r="E68" s="688" t="s">
        <v>429</v>
      </c>
      <c r="F68" s="688"/>
      <c r="G68" s="549" t="s">
        <v>81</v>
      </c>
      <c r="H68" s="550">
        <v>1</v>
      </c>
      <c r="I68" s="551">
        <v>822.45</v>
      </c>
      <c r="J68" s="551">
        <v>822.45</v>
      </c>
      <c r="K68" s="552"/>
    </row>
    <row r="69" spans="1:11" s="89" customFormat="1" ht="25.5" thickBot="1" x14ac:dyDescent="0.35">
      <c r="A69" s="547" t="s">
        <v>430</v>
      </c>
      <c r="B69" s="548" t="s">
        <v>484</v>
      </c>
      <c r="C69" s="547" t="s">
        <v>26</v>
      </c>
      <c r="D69" s="547" t="s">
        <v>485</v>
      </c>
      <c r="E69" s="688" t="s">
        <v>429</v>
      </c>
      <c r="F69" s="688"/>
      <c r="G69" s="549" t="s">
        <v>81</v>
      </c>
      <c r="H69" s="550">
        <v>1</v>
      </c>
      <c r="I69" s="551">
        <v>391.76</v>
      </c>
      <c r="J69" s="551">
        <v>391.76</v>
      </c>
      <c r="K69" s="546"/>
    </row>
    <row r="70" spans="1:11" ht="14.5" thickTop="1" x14ac:dyDescent="0.3">
      <c r="A70" s="562"/>
      <c r="B70" s="562"/>
      <c r="C70" s="562"/>
      <c r="D70" s="562"/>
      <c r="E70" s="562"/>
      <c r="F70" s="562"/>
      <c r="G70" s="562"/>
      <c r="H70" s="562"/>
      <c r="I70" s="562"/>
      <c r="J70" s="562"/>
      <c r="K70" s="552"/>
    </row>
    <row r="71" spans="1:11" x14ac:dyDescent="0.3">
      <c r="A71" s="553"/>
      <c r="B71" s="554" t="s">
        <v>4</v>
      </c>
      <c r="C71" s="553" t="s">
        <v>5</v>
      </c>
      <c r="D71" s="553" t="s">
        <v>6</v>
      </c>
      <c r="E71" s="691" t="s">
        <v>427</v>
      </c>
      <c r="F71" s="691"/>
      <c r="G71" s="555" t="s">
        <v>7</v>
      </c>
      <c r="H71" s="554" t="s">
        <v>8</v>
      </c>
      <c r="I71" s="554" t="s">
        <v>9</v>
      </c>
      <c r="J71" s="554" t="s">
        <v>11</v>
      </c>
      <c r="K71" s="552"/>
    </row>
    <row r="72" spans="1:11" ht="14.25" customHeight="1" x14ac:dyDescent="0.3">
      <c r="A72" s="607" t="s">
        <v>428</v>
      </c>
      <c r="B72" s="608" t="s">
        <v>42</v>
      </c>
      <c r="C72" s="607" t="s">
        <v>19</v>
      </c>
      <c r="D72" s="607" t="s">
        <v>43</v>
      </c>
      <c r="E72" s="690" t="s">
        <v>429</v>
      </c>
      <c r="F72" s="690"/>
      <c r="G72" s="609" t="s">
        <v>21</v>
      </c>
      <c r="H72" s="610">
        <v>1</v>
      </c>
      <c r="I72" s="611">
        <v>4376.49</v>
      </c>
      <c r="J72" s="611">
        <v>4376.49</v>
      </c>
      <c r="K72" s="552"/>
    </row>
    <row r="73" spans="1:11" s="89" customFormat="1" ht="15" customHeight="1" x14ac:dyDescent="0.3">
      <c r="A73" s="547" t="s">
        <v>430</v>
      </c>
      <c r="B73" s="548" t="s">
        <v>486</v>
      </c>
      <c r="C73" s="547" t="s">
        <v>19</v>
      </c>
      <c r="D73" s="547" t="s">
        <v>487</v>
      </c>
      <c r="E73" s="688" t="s">
        <v>429</v>
      </c>
      <c r="F73" s="688"/>
      <c r="G73" s="549" t="s">
        <v>21</v>
      </c>
      <c r="H73" s="550">
        <v>1</v>
      </c>
      <c r="I73" s="551">
        <v>12</v>
      </c>
      <c r="J73" s="551">
        <v>12</v>
      </c>
      <c r="K73" s="546"/>
    </row>
    <row r="74" spans="1:11" ht="25" x14ac:dyDescent="0.3">
      <c r="A74" s="547" t="s">
        <v>433</v>
      </c>
      <c r="B74" s="548" t="s">
        <v>488</v>
      </c>
      <c r="C74" s="547" t="s">
        <v>19</v>
      </c>
      <c r="D74" s="547" t="s">
        <v>3510</v>
      </c>
      <c r="E74" s="688" t="s">
        <v>438</v>
      </c>
      <c r="F74" s="688"/>
      <c r="G74" s="549" t="s">
        <v>21</v>
      </c>
      <c r="H74" s="550">
        <v>1</v>
      </c>
      <c r="I74" s="551">
        <v>282.98</v>
      </c>
      <c r="J74" s="551">
        <v>282.98</v>
      </c>
      <c r="K74" s="552"/>
    </row>
    <row r="75" spans="1:11" ht="25" x14ac:dyDescent="0.3">
      <c r="A75" s="547" t="s">
        <v>433</v>
      </c>
      <c r="B75" s="548" t="s">
        <v>489</v>
      </c>
      <c r="C75" s="547" t="s">
        <v>19</v>
      </c>
      <c r="D75" s="547" t="s">
        <v>3511</v>
      </c>
      <c r="E75" s="688" t="s">
        <v>438</v>
      </c>
      <c r="F75" s="688"/>
      <c r="G75" s="549" t="s">
        <v>21</v>
      </c>
      <c r="H75" s="550">
        <v>1</v>
      </c>
      <c r="I75" s="551">
        <v>715.63</v>
      </c>
      <c r="J75" s="551">
        <v>715.63</v>
      </c>
      <c r="K75" s="552"/>
    </row>
    <row r="76" spans="1:11" s="89" customFormat="1" ht="25" x14ac:dyDescent="0.3">
      <c r="A76" s="547" t="s">
        <v>433</v>
      </c>
      <c r="B76" s="548" t="s">
        <v>437</v>
      </c>
      <c r="C76" s="547" t="s">
        <v>19</v>
      </c>
      <c r="D76" s="547" t="s">
        <v>3505</v>
      </c>
      <c r="E76" s="688" t="s">
        <v>438</v>
      </c>
      <c r="F76" s="688"/>
      <c r="G76" s="549" t="s">
        <v>21</v>
      </c>
      <c r="H76" s="550">
        <v>1</v>
      </c>
      <c r="I76" s="551">
        <v>252.08</v>
      </c>
      <c r="J76" s="551">
        <v>252.08</v>
      </c>
      <c r="K76" s="546"/>
    </row>
    <row r="77" spans="1:11" s="89" customFormat="1" ht="25" x14ac:dyDescent="0.3">
      <c r="A77" s="547" t="s">
        <v>433</v>
      </c>
      <c r="B77" s="548" t="s">
        <v>439</v>
      </c>
      <c r="C77" s="547" t="s">
        <v>19</v>
      </c>
      <c r="D77" s="547" t="s">
        <v>3506</v>
      </c>
      <c r="E77" s="688" t="s">
        <v>438</v>
      </c>
      <c r="F77" s="688"/>
      <c r="G77" s="549" t="s">
        <v>21</v>
      </c>
      <c r="H77" s="550">
        <v>1</v>
      </c>
      <c r="I77" s="551">
        <v>7.31</v>
      </c>
      <c r="J77" s="551">
        <v>7.31</v>
      </c>
      <c r="K77" s="546"/>
    </row>
    <row r="78" spans="1:11" s="89" customFormat="1" x14ac:dyDescent="0.3">
      <c r="A78" s="547" t="s">
        <v>433</v>
      </c>
      <c r="B78" s="548" t="s">
        <v>490</v>
      </c>
      <c r="C78" s="547" t="s">
        <v>19</v>
      </c>
      <c r="D78" s="547" t="s">
        <v>491</v>
      </c>
      <c r="E78" s="688" t="s">
        <v>436</v>
      </c>
      <c r="F78" s="688"/>
      <c r="G78" s="549" t="s">
        <v>21</v>
      </c>
      <c r="H78" s="550">
        <v>1</v>
      </c>
      <c r="I78" s="551">
        <v>2741.53</v>
      </c>
      <c r="J78" s="551">
        <v>2741.53</v>
      </c>
      <c r="K78" s="546"/>
    </row>
    <row r="79" spans="1:11" ht="25" x14ac:dyDescent="0.3">
      <c r="A79" s="547" t="s">
        <v>433</v>
      </c>
      <c r="B79" s="548" t="s">
        <v>492</v>
      </c>
      <c r="C79" s="547" t="s">
        <v>19</v>
      </c>
      <c r="D79" s="547" t="s">
        <v>493</v>
      </c>
      <c r="E79" s="688" t="s">
        <v>442</v>
      </c>
      <c r="F79" s="688"/>
      <c r="G79" s="549" t="s">
        <v>21</v>
      </c>
      <c r="H79" s="550">
        <v>1</v>
      </c>
      <c r="I79" s="551">
        <v>114.72</v>
      </c>
      <c r="J79" s="551">
        <v>114.72</v>
      </c>
      <c r="K79" s="552"/>
    </row>
    <row r="80" spans="1:11" ht="25.5" thickBot="1" x14ac:dyDescent="0.35">
      <c r="A80" s="547" t="s">
        <v>433</v>
      </c>
      <c r="B80" s="548" t="s">
        <v>494</v>
      </c>
      <c r="C80" s="547" t="s">
        <v>19</v>
      </c>
      <c r="D80" s="547" t="s">
        <v>495</v>
      </c>
      <c r="E80" s="688" t="s">
        <v>442</v>
      </c>
      <c r="F80" s="688"/>
      <c r="G80" s="549" t="s">
        <v>21</v>
      </c>
      <c r="H80" s="550">
        <v>1</v>
      </c>
      <c r="I80" s="551">
        <v>250.24</v>
      </c>
      <c r="J80" s="551">
        <v>250.24</v>
      </c>
      <c r="K80" s="552"/>
    </row>
    <row r="81" spans="1:11" ht="14.5" thickTop="1" x14ac:dyDescent="0.3">
      <c r="A81" s="562"/>
      <c r="B81" s="562"/>
      <c r="C81" s="562"/>
      <c r="D81" s="562"/>
      <c r="E81" s="562"/>
      <c r="F81" s="562"/>
      <c r="G81" s="562"/>
      <c r="H81" s="562"/>
      <c r="I81" s="562"/>
      <c r="J81" s="562"/>
      <c r="K81" s="552"/>
    </row>
    <row r="82" spans="1:11" x14ac:dyDescent="0.3">
      <c r="A82" s="553"/>
      <c r="B82" s="554" t="s">
        <v>4</v>
      </c>
      <c r="C82" s="553" t="s">
        <v>5</v>
      </c>
      <c r="D82" s="553" t="s">
        <v>6</v>
      </c>
      <c r="E82" s="691" t="s">
        <v>427</v>
      </c>
      <c r="F82" s="691"/>
      <c r="G82" s="555" t="s">
        <v>7</v>
      </c>
      <c r="H82" s="554" t="s">
        <v>8</v>
      </c>
      <c r="I82" s="554" t="s">
        <v>9</v>
      </c>
      <c r="J82" s="554" t="s">
        <v>11</v>
      </c>
      <c r="K82" s="552"/>
    </row>
    <row r="83" spans="1:11" s="89" customFormat="1" ht="25" x14ac:dyDescent="0.3">
      <c r="A83" s="607" t="s">
        <v>428</v>
      </c>
      <c r="B83" s="608" t="s">
        <v>47</v>
      </c>
      <c r="C83" s="607" t="s">
        <v>19</v>
      </c>
      <c r="D83" s="607" t="s">
        <v>48</v>
      </c>
      <c r="E83" s="690" t="s">
        <v>429</v>
      </c>
      <c r="F83" s="690"/>
      <c r="G83" s="609" t="s">
        <v>21</v>
      </c>
      <c r="H83" s="610">
        <v>1</v>
      </c>
      <c r="I83" s="611">
        <v>4472.0200000000004</v>
      </c>
      <c r="J83" s="611">
        <v>4472.0200000000004</v>
      </c>
      <c r="K83" s="546"/>
    </row>
    <row r="84" spans="1:11" s="89" customFormat="1" ht="15" customHeight="1" x14ac:dyDescent="0.3">
      <c r="A84" s="547" t="s">
        <v>430</v>
      </c>
      <c r="B84" s="548" t="s">
        <v>496</v>
      </c>
      <c r="C84" s="547" t="s">
        <v>19</v>
      </c>
      <c r="D84" s="547" t="s">
        <v>497</v>
      </c>
      <c r="E84" s="688" t="s">
        <v>429</v>
      </c>
      <c r="F84" s="688"/>
      <c r="G84" s="549" t="s">
        <v>21</v>
      </c>
      <c r="H84" s="550">
        <v>1</v>
      </c>
      <c r="I84" s="551">
        <v>70.97</v>
      </c>
      <c r="J84" s="551">
        <v>70.97</v>
      </c>
      <c r="K84" s="546"/>
    </row>
    <row r="85" spans="1:11" s="89" customFormat="1" x14ac:dyDescent="0.3">
      <c r="A85" s="547" t="s">
        <v>433</v>
      </c>
      <c r="B85" s="548" t="s">
        <v>498</v>
      </c>
      <c r="C85" s="547" t="s">
        <v>19</v>
      </c>
      <c r="D85" s="547" t="s">
        <v>499</v>
      </c>
      <c r="E85" s="688" t="s">
        <v>436</v>
      </c>
      <c r="F85" s="688"/>
      <c r="G85" s="549" t="s">
        <v>21</v>
      </c>
      <c r="H85" s="550">
        <v>1</v>
      </c>
      <c r="I85" s="551">
        <v>3886.77</v>
      </c>
      <c r="J85" s="551">
        <v>3886.77</v>
      </c>
      <c r="K85" s="546"/>
    </row>
    <row r="86" spans="1:11" ht="25" x14ac:dyDescent="0.3">
      <c r="A86" s="547" t="s">
        <v>433</v>
      </c>
      <c r="B86" s="548" t="s">
        <v>437</v>
      </c>
      <c r="C86" s="547" t="s">
        <v>19</v>
      </c>
      <c r="D86" s="547" t="s">
        <v>3505</v>
      </c>
      <c r="E86" s="688" t="s">
        <v>438</v>
      </c>
      <c r="F86" s="688"/>
      <c r="G86" s="549" t="s">
        <v>21</v>
      </c>
      <c r="H86" s="550">
        <v>1</v>
      </c>
      <c r="I86" s="551">
        <v>252.08</v>
      </c>
      <c r="J86" s="551">
        <v>252.08</v>
      </c>
      <c r="K86" s="552"/>
    </row>
    <row r="87" spans="1:11" ht="25" x14ac:dyDescent="0.3">
      <c r="A87" s="547" t="s">
        <v>433</v>
      </c>
      <c r="B87" s="548" t="s">
        <v>439</v>
      </c>
      <c r="C87" s="547" t="s">
        <v>19</v>
      </c>
      <c r="D87" s="547" t="s">
        <v>3506</v>
      </c>
      <c r="E87" s="688" t="s">
        <v>438</v>
      </c>
      <c r="F87" s="688"/>
      <c r="G87" s="549" t="s">
        <v>21</v>
      </c>
      <c r="H87" s="550">
        <v>1</v>
      </c>
      <c r="I87" s="551">
        <v>7.31</v>
      </c>
      <c r="J87" s="551">
        <v>7.31</v>
      </c>
      <c r="K87" s="552"/>
    </row>
    <row r="88" spans="1:11" ht="25" x14ac:dyDescent="0.3">
      <c r="A88" s="547" t="s">
        <v>433</v>
      </c>
      <c r="B88" s="548" t="s">
        <v>500</v>
      </c>
      <c r="C88" s="547" t="s">
        <v>19</v>
      </c>
      <c r="D88" s="547" t="s">
        <v>501</v>
      </c>
      <c r="E88" s="688" t="s">
        <v>442</v>
      </c>
      <c r="F88" s="688"/>
      <c r="G88" s="549" t="s">
        <v>21</v>
      </c>
      <c r="H88" s="550">
        <v>1</v>
      </c>
      <c r="I88" s="551">
        <v>18.73</v>
      </c>
      <c r="J88" s="551">
        <v>18.73</v>
      </c>
      <c r="K88" s="552"/>
    </row>
    <row r="89" spans="1:11" ht="25.5" thickBot="1" x14ac:dyDescent="0.35">
      <c r="A89" s="547" t="s">
        <v>433</v>
      </c>
      <c r="B89" s="548" t="s">
        <v>502</v>
      </c>
      <c r="C89" s="547" t="s">
        <v>19</v>
      </c>
      <c r="D89" s="547" t="s">
        <v>503</v>
      </c>
      <c r="E89" s="688" t="s">
        <v>442</v>
      </c>
      <c r="F89" s="688"/>
      <c r="G89" s="549" t="s">
        <v>21</v>
      </c>
      <c r="H89" s="550">
        <v>1</v>
      </c>
      <c r="I89" s="551">
        <v>236.16</v>
      </c>
      <c r="J89" s="551">
        <v>236.16</v>
      </c>
      <c r="K89" s="552"/>
    </row>
    <row r="90" spans="1:11" ht="14.5" thickTop="1" x14ac:dyDescent="0.3">
      <c r="A90" s="562"/>
      <c r="B90" s="562"/>
      <c r="C90" s="562"/>
      <c r="D90" s="562"/>
      <c r="E90" s="562"/>
      <c r="F90" s="562"/>
      <c r="G90" s="562"/>
      <c r="H90" s="562"/>
      <c r="I90" s="562"/>
      <c r="J90" s="562"/>
      <c r="K90" s="552"/>
    </row>
    <row r="91" spans="1:11" x14ac:dyDescent="0.3">
      <c r="A91" s="553"/>
      <c r="B91" s="554" t="s">
        <v>4</v>
      </c>
      <c r="C91" s="553" t="s">
        <v>5</v>
      </c>
      <c r="D91" s="553" t="s">
        <v>6</v>
      </c>
      <c r="E91" s="691" t="s">
        <v>427</v>
      </c>
      <c r="F91" s="691"/>
      <c r="G91" s="555" t="s">
        <v>7</v>
      </c>
      <c r="H91" s="554" t="s">
        <v>8</v>
      </c>
      <c r="I91" s="554" t="s">
        <v>9</v>
      </c>
      <c r="J91" s="554" t="s">
        <v>11</v>
      </c>
      <c r="K91" s="552"/>
    </row>
    <row r="92" spans="1:11" s="89" customFormat="1" ht="15" customHeight="1" x14ac:dyDescent="0.3">
      <c r="A92" s="607" t="s">
        <v>428</v>
      </c>
      <c r="B92" s="608" t="s">
        <v>50</v>
      </c>
      <c r="C92" s="607" t="s">
        <v>19</v>
      </c>
      <c r="D92" s="607" t="s">
        <v>51</v>
      </c>
      <c r="E92" s="690" t="s">
        <v>429</v>
      </c>
      <c r="F92" s="690"/>
      <c r="G92" s="609" t="s">
        <v>21</v>
      </c>
      <c r="H92" s="610">
        <v>1</v>
      </c>
      <c r="I92" s="611">
        <v>6409.08</v>
      </c>
      <c r="J92" s="611">
        <v>6409.08</v>
      </c>
      <c r="K92" s="546"/>
    </row>
    <row r="93" spans="1:11" s="89" customFormat="1" ht="15" customHeight="1" x14ac:dyDescent="0.3">
      <c r="A93" s="547" t="s">
        <v>430</v>
      </c>
      <c r="B93" s="548" t="s">
        <v>504</v>
      </c>
      <c r="C93" s="547" t="s">
        <v>19</v>
      </c>
      <c r="D93" s="547" t="s">
        <v>505</v>
      </c>
      <c r="E93" s="688" t="s">
        <v>429</v>
      </c>
      <c r="F93" s="688"/>
      <c r="G93" s="549" t="s">
        <v>21</v>
      </c>
      <c r="H93" s="550">
        <v>1</v>
      </c>
      <c r="I93" s="551">
        <v>107.42</v>
      </c>
      <c r="J93" s="551">
        <v>107.42</v>
      </c>
      <c r="K93" s="546"/>
    </row>
    <row r="94" spans="1:11" x14ac:dyDescent="0.3">
      <c r="A94" s="547" t="s">
        <v>433</v>
      </c>
      <c r="B94" s="548" t="s">
        <v>506</v>
      </c>
      <c r="C94" s="547" t="s">
        <v>19</v>
      </c>
      <c r="D94" s="547" t="s">
        <v>507</v>
      </c>
      <c r="E94" s="688" t="s">
        <v>436</v>
      </c>
      <c r="F94" s="688"/>
      <c r="G94" s="549" t="s">
        <v>21</v>
      </c>
      <c r="H94" s="550">
        <v>1</v>
      </c>
      <c r="I94" s="551">
        <v>5883.34</v>
      </c>
      <c r="J94" s="551">
        <v>5883.34</v>
      </c>
      <c r="K94" s="552"/>
    </row>
    <row r="95" spans="1:11" ht="25" x14ac:dyDescent="0.3">
      <c r="A95" s="547" t="s">
        <v>433</v>
      </c>
      <c r="B95" s="548" t="s">
        <v>437</v>
      </c>
      <c r="C95" s="547" t="s">
        <v>19</v>
      </c>
      <c r="D95" s="547" t="s">
        <v>3505</v>
      </c>
      <c r="E95" s="688" t="s">
        <v>438</v>
      </c>
      <c r="F95" s="688"/>
      <c r="G95" s="549" t="s">
        <v>21</v>
      </c>
      <c r="H95" s="550">
        <v>1</v>
      </c>
      <c r="I95" s="551">
        <v>252.08</v>
      </c>
      <c r="J95" s="551">
        <v>252.08</v>
      </c>
      <c r="K95" s="552"/>
    </row>
    <row r="96" spans="1:11" s="89" customFormat="1" ht="25" x14ac:dyDescent="0.3">
      <c r="A96" s="547" t="s">
        <v>433</v>
      </c>
      <c r="B96" s="548" t="s">
        <v>439</v>
      </c>
      <c r="C96" s="547" t="s">
        <v>19</v>
      </c>
      <c r="D96" s="547" t="s">
        <v>3506</v>
      </c>
      <c r="E96" s="688" t="s">
        <v>438</v>
      </c>
      <c r="F96" s="688"/>
      <c r="G96" s="549" t="s">
        <v>21</v>
      </c>
      <c r="H96" s="550">
        <v>1</v>
      </c>
      <c r="I96" s="551">
        <v>7.31</v>
      </c>
      <c r="J96" s="551">
        <v>7.31</v>
      </c>
      <c r="K96" s="546"/>
    </row>
    <row r="97" spans="1:11" ht="25" x14ac:dyDescent="0.3">
      <c r="A97" s="547" t="s">
        <v>433</v>
      </c>
      <c r="B97" s="548" t="s">
        <v>453</v>
      </c>
      <c r="C97" s="547" t="s">
        <v>19</v>
      </c>
      <c r="D97" s="547" t="s">
        <v>454</v>
      </c>
      <c r="E97" s="688" t="s">
        <v>442</v>
      </c>
      <c r="F97" s="688"/>
      <c r="G97" s="549" t="s">
        <v>21</v>
      </c>
      <c r="H97" s="550">
        <v>1</v>
      </c>
      <c r="I97" s="551">
        <v>10.89</v>
      </c>
      <c r="J97" s="551">
        <v>10.89</v>
      </c>
      <c r="K97" s="552"/>
    </row>
    <row r="98" spans="1:11" ht="25.5" thickBot="1" x14ac:dyDescent="0.35">
      <c r="A98" s="547" t="s">
        <v>433</v>
      </c>
      <c r="B98" s="548" t="s">
        <v>455</v>
      </c>
      <c r="C98" s="547" t="s">
        <v>19</v>
      </c>
      <c r="D98" s="547" t="s">
        <v>456</v>
      </c>
      <c r="E98" s="688" t="s">
        <v>442</v>
      </c>
      <c r="F98" s="688"/>
      <c r="G98" s="549" t="s">
        <v>21</v>
      </c>
      <c r="H98" s="550">
        <v>1</v>
      </c>
      <c r="I98" s="551">
        <v>148.04</v>
      </c>
      <c r="J98" s="551">
        <v>148.04</v>
      </c>
      <c r="K98" s="552"/>
    </row>
    <row r="99" spans="1:11" s="89" customFormat="1" ht="14.5" thickTop="1" x14ac:dyDescent="0.3">
      <c r="A99" s="562"/>
      <c r="B99" s="562"/>
      <c r="C99" s="562"/>
      <c r="D99" s="562"/>
      <c r="E99" s="562"/>
      <c r="F99" s="562"/>
      <c r="G99" s="562"/>
      <c r="H99" s="562"/>
      <c r="I99" s="562"/>
      <c r="J99" s="562"/>
      <c r="K99" s="546"/>
    </row>
    <row r="100" spans="1:11" x14ac:dyDescent="0.3">
      <c r="A100" s="553"/>
      <c r="B100" s="554" t="s">
        <v>4</v>
      </c>
      <c r="C100" s="553" t="s">
        <v>5</v>
      </c>
      <c r="D100" s="553" t="s">
        <v>6</v>
      </c>
      <c r="E100" s="691" t="s">
        <v>427</v>
      </c>
      <c r="F100" s="691"/>
      <c r="G100" s="555" t="s">
        <v>7</v>
      </c>
      <c r="H100" s="554" t="s">
        <v>8</v>
      </c>
      <c r="I100" s="554" t="s">
        <v>9</v>
      </c>
      <c r="J100" s="554" t="s">
        <v>11</v>
      </c>
      <c r="K100" s="552"/>
    </row>
    <row r="101" spans="1:11" ht="14.25" customHeight="1" x14ac:dyDescent="0.3">
      <c r="A101" s="607" t="s">
        <v>428</v>
      </c>
      <c r="B101" s="608" t="s">
        <v>53</v>
      </c>
      <c r="C101" s="607" t="s">
        <v>19</v>
      </c>
      <c r="D101" s="607" t="s">
        <v>54</v>
      </c>
      <c r="E101" s="690" t="s">
        <v>429</v>
      </c>
      <c r="F101" s="690"/>
      <c r="G101" s="609" t="s">
        <v>21</v>
      </c>
      <c r="H101" s="610">
        <v>1</v>
      </c>
      <c r="I101" s="611">
        <v>6625.31</v>
      </c>
      <c r="J101" s="611">
        <v>6625.31</v>
      </c>
      <c r="K101" s="552"/>
    </row>
    <row r="102" spans="1:11" s="89" customFormat="1" ht="15" customHeight="1" x14ac:dyDescent="0.3">
      <c r="A102" s="547" t="s">
        <v>430</v>
      </c>
      <c r="B102" s="548" t="s">
        <v>508</v>
      </c>
      <c r="C102" s="547" t="s">
        <v>19</v>
      </c>
      <c r="D102" s="547" t="s">
        <v>509</v>
      </c>
      <c r="E102" s="688" t="s">
        <v>429</v>
      </c>
      <c r="F102" s="688"/>
      <c r="G102" s="549" t="s">
        <v>21</v>
      </c>
      <c r="H102" s="550">
        <v>1</v>
      </c>
      <c r="I102" s="551">
        <v>27.06</v>
      </c>
      <c r="J102" s="551">
        <v>27.06</v>
      </c>
      <c r="K102" s="546"/>
    </row>
    <row r="103" spans="1:11" x14ac:dyDescent="0.3">
      <c r="A103" s="547" t="s">
        <v>433</v>
      </c>
      <c r="B103" s="548" t="s">
        <v>510</v>
      </c>
      <c r="C103" s="547" t="s">
        <v>19</v>
      </c>
      <c r="D103" s="547" t="s">
        <v>511</v>
      </c>
      <c r="E103" s="688" t="s">
        <v>436</v>
      </c>
      <c r="F103" s="688"/>
      <c r="G103" s="549" t="s">
        <v>21</v>
      </c>
      <c r="H103" s="550">
        <v>1</v>
      </c>
      <c r="I103" s="551">
        <v>6179.93</v>
      </c>
      <c r="J103" s="551">
        <v>6179.93</v>
      </c>
      <c r="K103" s="552"/>
    </row>
    <row r="104" spans="1:11" s="89" customFormat="1" ht="25" x14ac:dyDescent="0.3">
      <c r="A104" s="547" t="s">
        <v>433</v>
      </c>
      <c r="B104" s="548" t="s">
        <v>437</v>
      </c>
      <c r="C104" s="547" t="s">
        <v>19</v>
      </c>
      <c r="D104" s="547" t="s">
        <v>3505</v>
      </c>
      <c r="E104" s="688" t="s">
        <v>438</v>
      </c>
      <c r="F104" s="688"/>
      <c r="G104" s="549" t="s">
        <v>21</v>
      </c>
      <c r="H104" s="550">
        <v>1</v>
      </c>
      <c r="I104" s="551">
        <v>252.08</v>
      </c>
      <c r="J104" s="551">
        <v>252.08</v>
      </c>
      <c r="K104" s="546"/>
    </row>
    <row r="105" spans="1:11" ht="25" x14ac:dyDescent="0.3">
      <c r="A105" s="547" t="s">
        <v>433</v>
      </c>
      <c r="B105" s="548" t="s">
        <v>439</v>
      </c>
      <c r="C105" s="547" t="s">
        <v>19</v>
      </c>
      <c r="D105" s="547" t="s">
        <v>3506</v>
      </c>
      <c r="E105" s="688" t="s">
        <v>438</v>
      </c>
      <c r="F105" s="688"/>
      <c r="G105" s="549" t="s">
        <v>21</v>
      </c>
      <c r="H105" s="550">
        <v>1</v>
      </c>
      <c r="I105" s="551">
        <v>7.31</v>
      </c>
      <c r="J105" s="551">
        <v>7.31</v>
      </c>
      <c r="K105" s="552"/>
    </row>
    <row r="106" spans="1:11" s="89" customFormat="1" ht="25" x14ac:dyDescent="0.3">
      <c r="A106" s="547" t="s">
        <v>433</v>
      </c>
      <c r="B106" s="548" t="s">
        <v>453</v>
      </c>
      <c r="C106" s="547" t="s">
        <v>19</v>
      </c>
      <c r="D106" s="547" t="s">
        <v>454</v>
      </c>
      <c r="E106" s="688" t="s">
        <v>442</v>
      </c>
      <c r="F106" s="688"/>
      <c r="G106" s="549" t="s">
        <v>21</v>
      </c>
      <c r="H106" s="550">
        <v>1</v>
      </c>
      <c r="I106" s="551">
        <v>10.89</v>
      </c>
      <c r="J106" s="551">
        <v>10.89</v>
      </c>
      <c r="K106" s="546"/>
    </row>
    <row r="107" spans="1:11" ht="25.5" thickBot="1" x14ac:dyDescent="0.35">
      <c r="A107" s="547" t="s">
        <v>433</v>
      </c>
      <c r="B107" s="548" t="s">
        <v>455</v>
      </c>
      <c r="C107" s="547" t="s">
        <v>19</v>
      </c>
      <c r="D107" s="547" t="s">
        <v>456</v>
      </c>
      <c r="E107" s="688" t="s">
        <v>442</v>
      </c>
      <c r="F107" s="688"/>
      <c r="G107" s="549" t="s">
        <v>21</v>
      </c>
      <c r="H107" s="550">
        <v>1</v>
      </c>
      <c r="I107" s="551">
        <v>148.04</v>
      </c>
      <c r="J107" s="551">
        <v>148.04</v>
      </c>
      <c r="K107" s="552"/>
    </row>
    <row r="108" spans="1:11" s="89" customFormat="1" ht="14.5" thickTop="1" x14ac:dyDescent="0.3">
      <c r="A108" s="562"/>
      <c r="B108" s="562"/>
      <c r="C108" s="562"/>
      <c r="D108" s="562"/>
      <c r="E108" s="562"/>
      <c r="F108" s="562"/>
      <c r="G108" s="562"/>
      <c r="H108" s="562"/>
      <c r="I108" s="562"/>
      <c r="J108" s="562"/>
      <c r="K108" s="546"/>
    </row>
    <row r="109" spans="1:11" s="89" customFormat="1" x14ac:dyDescent="0.3">
      <c r="A109" s="553"/>
      <c r="B109" s="554" t="s">
        <v>4</v>
      </c>
      <c r="C109" s="553" t="s">
        <v>5</v>
      </c>
      <c r="D109" s="553" t="s">
        <v>6</v>
      </c>
      <c r="E109" s="691" t="s">
        <v>427</v>
      </c>
      <c r="F109" s="691"/>
      <c r="G109" s="555" t="s">
        <v>7</v>
      </c>
      <c r="H109" s="554" t="s">
        <v>8</v>
      </c>
      <c r="I109" s="554" t="s">
        <v>9</v>
      </c>
      <c r="J109" s="554" t="s">
        <v>11</v>
      </c>
      <c r="K109" s="546"/>
    </row>
    <row r="110" spans="1:11" ht="14.25" customHeight="1" x14ac:dyDescent="0.3">
      <c r="A110" s="607" t="s">
        <v>428</v>
      </c>
      <c r="B110" s="608" t="s">
        <v>56</v>
      </c>
      <c r="C110" s="607" t="s">
        <v>19</v>
      </c>
      <c r="D110" s="607" t="s">
        <v>57</v>
      </c>
      <c r="E110" s="690" t="s">
        <v>429</v>
      </c>
      <c r="F110" s="690"/>
      <c r="G110" s="609" t="s">
        <v>21</v>
      </c>
      <c r="H110" s="610">
        <v>1</v>
      </c>
      <c r="I110" s="611">
        <v>3141.1</v>
      </c>
      <c r="J110" s="611">
        <v>3141.1</v>
      </c>
      <c r="K110" s="552"/>
    </row>
    <row r="111" spans="1:11" s="89" customFormat="1" ht="15" customHeight="1" x14ac:dyDescent="0.3">
      <c r="A111" s="547" t="s">
        <v>430</v>
      </c>
      <c r="B111" s="548" t="s">
        <v>512</v>
      </c>
      <c r="C111" s="547" t="s">
        <v>19</v>
      </c>
      <c r="D111" s="547" t="s">
        <v>513</v>
      </c>
      <c r="E111" s="688" t="s">
        <v>429</v>
      </c>
      <c r="F111" s="688"/>
      <c r="G111" s="549" t="s">
        <v>21</v>
      </c>
      <c r="H111" s="550">
        <v>1</v>
      </c>
      <c r="I111" s="551">
        <v>11.87</v>
      </c>
      <c r="J111" s="551">
        <v>11.87</v>
      </c>
      <c r="K111" s="546"/>
    </row>
    <row r="112" spans="1:11" ht="25" x14ac:dyDescent="0.3">
      <c r="A112" s="547" t="s">
        <v>433</v>
      </c>
      <c r="B112" s="548" t="s">
        <v>437</v>
      </c>
      <c r="C112" s="547" t="s">
        <v>19</v>
      </c>
      <c r="D112" s="547" t="s">
        <v>3505</v>
      </c>
      <c r="E112" s="688" t="s">
        <v>438</v>
      </c>
      <c r="F112" s="688"/>
      <c r="G112" s="549" t="s">
        <v>21</v>
      </c>
      <c r="H112" s="550">
        <v>1</v>
      </c>
      <c r="I112" s="551">
        <v>252.08</v>
      </c>
      <c r="J112" s="551">
        <v>252.08</v>
      </c>
      <c r="K112" s="552"/>
    </row>
    <row r="113" spans="1:11" s="89" customFormat="1" ht="25" x14ac:dyDescent="0.3">
      <c r="A113" s="547" t="s">
        <v>433</v>
      </c>
      <c r="B113" s="548" t="s">
        <v>439</v>
      </c>
      <c r="C113" s="547" t="s">
        <v>19</v>
      </c>
      <c r="D113" s="547" t="s">
        <v>3506</v>
      </c>
      <c r="E113" s="688" t="s">
        <v>438</v>
      </c>
      <c r="F113" s="688"/>
      <c r="G113" s="549" t="s">
        <v>21</v>
      </c>
      <c r="H113" s="550">
        <v>1</v>
      </c>
      <c r="I113" s="551">
        <v>7.31</v>
      </c>
      <c r="J113" s="551">
        <v>7.31</v>
      </c>
      <c r="K113" s="546"/>
    </row>
    <row r="114" spans="1:11" ht="25" x14ac:dyDescent="0.3">
      <c r="A114" s="547" t="s">
        <v>433</v>
      </c>
      <c r="B114" s="548" t="s">
        <v>453</v>
      </c>
      <c r="C114" s="547" t="s">
        <v>19</v>
      </c>
      <c r="D114" s="547" t="s">
        <v>454</v>
      </c>
      <c r="E114" s="688" t="s">
        <v>442</v>
      </c>
      <c r="F114" s="688"/>
      <c r="G114" s="549" t="s">
        <v>21</v>
      </c>
      <c r="H114" s="550">
        <v>1</v>
      </c>
      <c r="I114" s="551">
        <v>10.89</v>
      </c>
      <c r="J114" s="551">
        <v>10.89</v>
      </c>
      <c r="K114" s="552"/>
    </row>
    <row r="115" spans="1:11" s="89" customFormat="1" ht="25" x14ac:dyDescent="0.3">
      <c r="A115" s="547" t="s">
        <v>433</v>
      </c>
      <c r="B115" s="548" t="s">
        <v>455</v>
      </c>
      <c r="C115" s="547" t="s">
        <v>19</v>
      </c>
      <c r="D115" s="547" t="s">
        <v>456</v>
      </c>
      <c r="E115" s="688" t="s">
        <v>442</v>
      </c>
      <c r="F115" s="688"/>
      <c r="G115" s="549" t="s">
        <v>21</v>
      </c>
      <c r="H115" s="550">
        <v>1</v>
      </c>
      <c r="I115" s="551">
        <v>148.04</v>
      </c>
      <c r="J115" s="551">
        <v>148.04</v>
      </c>
      <c r="K115" s="546"/>
    </row>
    <row r="116" spans="1:11" ht="14.5" thickBot="1" x14ac:dyDescent="0.35">
      <c r="A116" s="547" t="s">
        <v>433</v>
      </c>
      <c r="B116" s="548" t="s">
        <v>3825</v>
      </c>
      <c r="C116" s="547" t="s">
        <v>19</v>
      </c>
      <c r="D116" s="547" t="s">
        <v>3826</v>
      </c>
      <c r="E116" s="688" t="s">
        <v>436</v>
      </c>
      <c r="F116" s="688"/>
      <c r="G116" s="549" t="s">
        <v>21</v>
      </c>
      <c r="H116" s="550">
        <v>1</v>
      </c>
      <c r="I116" s="551">
        <v>2710.91</v>
      </c>
      <c r="J116" s="551">
        <v>2710.91</v>
      </c>
      <c r="K116" s="552"/>
    </row>
    <row r="117" spans="1:11" ht="14.5" thickTop="1" x14ac:dyDescent="0.3">
      <c r="A117" s="562"/>
      <c r="B117" s="562"/>
      <c r="C117" s="562"/>
      <c r="D117" s="562"/>
      <c r="E117" s="562"/>
      <c r="F117" s="562"/>
      <c r="G117" s="562"/>
      <c r="H117" s="562"/>
      <c r="I117" s="562"/>
      <c r="J117" s="562"/>
      <c r="K117" s="552"/>
    </row>
    <row r="118" spans="1:11" x14ac:dyDescent="0.3">
      <c r="A118" s="553"/>
      <c r="B118" s="554" t="s">
        <v>4</v>
      </c>
      <c r="C118" s="553" t="s">
        <v>5</v>
      </c>
      <c r="D118" s="553" t="s">
        <v>6</v>
      </c>
      <c r="E118" s="691" t="s">
        <v>427</v>
      </c>
      <c r="F118" s="691"/>
      <c r="G118" s="555" t="s">
        <v>7</v>
      </c>
      <c r="H118" s="554" t="s">
        <v>8</v>
      </c>
      <c r="I118" s="554" t="s">
        <v>9</v>
      </c>
      <c r="J118" s="554" t="s">
        <v>11</v>
      </c>
      <c r="K118" s="552"/>
    </row>
    <row r="119" spans="1:11" ht="14.25" customHeight="1" x14ac:dyDescent="0.3">
      <c r="A119" s="607" t="s">
        <v>428</v>
      </c>
      <c r="B119" s="608" t="s">
        <v>63</v>
      </c>
      <c r="C119" s="607" t="s">
        <v>19</v>
      </c>
      <c r="D119" s="607" t="s">
        <v>64</v>
      </c>
      <c r="E119" s="690" t="s">
        <v>429</v>
      </c>
      <c r="F119" s="690"/>
      <c r="G119" s="609" t="s">
        <v>21</v>
      </c>
      <c r="H119" s="610">
        <v>1</v>
      </c>
      <c r="I119" s="611">
        <v>4319.6899999999996</v>
      </c>
      <c r="J119" s="611">
        <v>4319.6899999999996</v>
      </c>
      <c r="K119" s="552"/>
    </row>
    <row r="120" spans="1:11" s="89" customFormat="1" ht="15" customHeight="1" x14ac:dyDescent="0.3">
      <c r="A120" s="547" t="s">
        <v>430</v>
      </c>
      <c r="B120" s="548" t="s">
        <v>514</v>
      </c>
      <c r="C120" s="547" t="s">
        <v>19</v>
      </c>
      <c r="D120" s="547" t="s">
        <v>515</v>
      </c>
      <c r="E120" s="688" t="s">
        <v>429</v>
      </c>
      <c r="F120" s="688"/>
      <c r="G120" s="549" t="s">
        <v>21</v>
      </c>
      <c r="H120" s="550">
        <v>1</v>
      </c>
      <c r="I120" s="551">
        <v>27.82</v>
      </c>
      <c r="J120" s="551">
        <v>27.82</v>
      </c>
      <c r="K120" s="546"/>
    </row>
    <row r="121" spans="1:11" x14ac:dyDescent="0.3">
      <c r="A121" s="547" t="s">
        <v>433</v>
      </c>
      <c r="B121" s="548" t="s">
        <v>516</v>
      </c>
      <c r="C121" s="547" t="s">
        <v>19</v>
      </c>
      <c r="D121" s="547" t="s">
        <v>517</v>
      </c>
      <c r="E121" s="688" t="s">
        <v>436</v>
      </c>
      <c r="F121" s="688"/>
      <c r="G121" s="549" t="s">
        <v>21</v>
      </c>
      <c r="H121" s="550">
        <v>1</v>
      </c>
      <c r="I121" s="551">
        <v>3886.77</v>
      </c>
      <c r="J121" s="551">
        <v>3886.77</v>
      </c>
      <c r="K121" s="552"/>
    </row>
    <row r="122" spans="1:11" s="89" customFormat="1" ht="25" x14ac:dyDescent="0.3">
      <c r="A122" s="547" t="s">
        <v>433</v>
      </c>
      <c r="B122" s="548" t="s">
        <v>437</v>
      </c>
      <c r="C122" s="547" t="s">
        <v>19</v>
      </c>
      <c r="D122" s="547" t="s">
        <v>3505</v>
      </c>
      <c r="E122" s="688" t="s">
        <v>438</v>
      </c>
      <c r="F122" s="688"/>
      <c r="G122" s="549" t="s">
        <v>21</v>
      </c>
      <c r="H122" s="550">
        <v>1</v>
      </c>
      <c r="I122" s="551">
        <v>252.08</v>
      </c>
      <c r="J122" s="551">
        <v>252.08</v>
      </c>
      <c r="K122" s="546"/>
    </row>
    <row r="123" spans="1:11" s="89" customFormat="1" ht="25" x14ac:dyDescent="0.3">
      <c r="A123" s="547" t="s">
        <v>433</v>
      </c>
      <c r="B123" s="548" t="s">
        <v>439</v>
      </c>
      <c r="C123" s="547" t="s">
        <v>19</v>
      </c>
      <c r="D123" s="547" t="s">
        <v>3506</v>
      </c>
      <c r="E123" s="688" t="s">
        <v>438</v>
      </c>
      <c r="F123" s="688"/>
      <c r="G123" s="549" t="s">
        <v>21</v>
      </c>
      <c r="H123" s="550">
        <v>1</v>
      </c>
      <c r="I123" s="551">
        <v>7.31</v>
      </c>
      <c r="J123" s="551">
        <v>7.31</v>
      </c>
      <c r="K123" s="546"/>
    </row>
    <row r="124" spans="1:11" ht="25" x14ac:dyDescent="0.3">
      <c r="A124" s="547" t="s">
        <v>433</v>
      </c>
      <c r="B124" s="548" t="s">
        <v>457</v>
      </c>
      <c r="C124" s="547" t="s">
        <v>19</v>
      </c>
      <c r="D124" s="547" t="s">
        <v>458</v>
      </c>
      <c r="E124" s="688" t="s">
        <v>442</v>
      </c>
      <c r="F124" s="688"/>
      <c r="G124" s="549" t="s">
        <v>21</v>
      </c>
      <c r="H124" s="550">
        <v>1</v>
      </c>
      <c r="I124" s="551">
        <v>12.77</v>
      </c>
      <c r="J124" s="551">
        <v>12.77</v>
      </c>
      <c r="K124" s="552"/>
    </row>
    <row r="125" spans="1:11" s="89" customFormat="1" ht="25.5" thickBot="1" x14ac:dyDescent="0.35">
      <c r="A125" s="547" t="s">
        <v>433</v>
      </c>
      <c r="B125" s="548" t="s">
        <v>459</v>
      </c>
      <c r="C125" s="547" t="s">
        <v>19</v>
      </c>
      <c r="D125" s="547" t="s">
        <v>460</v>
      </c>
      <c r="E125" s="688" t="s">
        <v>442</v>
      </c>
      <c r="F125" s="688"/>
      <c r="G125" s="549" t="s">
        <v>21</v>
      </c>
      <c r="H125" s="550">
        <v>1</v>
      </c>
      <c r="I125" s="551">
        <v>132.94</v>
      </c>
      <c r="J125" s="551">
        <v>132.94</v>
      </c>
      <c r="K125" s="546"/>
    </row>
    <row r="126" spans="1:11" s="89" customFormat="1" ht="14.5" thickTop="1" x14ac:dyDescent="0.3">
      <c r="A126" s="562"/>
      <c r="B126" s="562"/>
      <c r="C126" s="562"/>
      <c r="D126" s="562"/>
      <c r="E126" s="562"/>
      <c r="F126" s="562"/>
      <c r="G126" s="562"/>
      <c r="H126" s="562"/>
      <c r="I126" s="562"/>
      <c r="J126" s="562"/>
      <c r="K126" s="546"/>
    </row>
    <row r="127" spans="1:11" x14ac:dyDescent="0.3">
      <c r="A127" s="553"/>
      <c r="B127" s="554" t="s">
        <v>4</v>
      </c>
      <c r="C127" s="553" t="s">
        <v>5</v>
      </c>
      <c r="D127" s="553" t="s">
        <v>6</v>
      </c>
      <c r="E127" s="691" t="s">
        <v>427</v>
      </c>
      <c r="F127" s="691"/>
      <c r="G127" s="555" t="s">
        <v>7</v>
      </c>
      <c r="H127" s="554" t="s">
        <v>8</v>
      </c>
      <c r="I127" s="554" t="s">
        <v>9</v>
      </c>
      <c r="J127" s="554" t="s">
        <v>11</v>
      </c>
      <c r="K127" s="552"/>
    </row>
    <row r="128" spans="1:11" ht="14.25" customHeight="1" x14ac:dyDescent="0.3">
      <c r="A128" s="607" t="s">
        <v>428</v>
      </c>
      <c r="B128" s="608" t="s">
        <v>66</v>
      </c>
      <c r="C128" s="607" t="s">
        <v>19</v>
      </c>
      <c r="D128" s="607" t="s">
        <v>67</v>
      </c>
      <c r="E128" s="690" t="s">
        <v>429</v>
      </c>
      <c r="F128" s="690"/>
      <c r="G128" s="609" t="s">
        <v>21</v>
      </c>
      <c r="H128" s="610">
        <v>1</v>
      </c>
      <c r="I128" s="611">
        <v>2166.77</v>
      </c>
      <c r="J128" s="611">
        <v>2166.77</v>
      </c>
      <c r="K128" s="552"/>
    </row>
    <row r="129" spans="1:11" s="89" customFormat="1" ht="15" customHeight="1" x14ac:dyDescent="0.3">
      <c r="A129" s="547" t="s">
        <v>430</v>
      </c>
      <c r="B129" s="548" t="s">
        <v>518</v>
      </c>
      <c r="C129" s="547" t="s">
        <v>19</v>
      </c>
      <c r="D129" s="547" t="s">
        <v>519</v>
      </c>
      <c r="E129" s="688" t="s">
        <v>429</v>
      </c>
      <c r="F129" s="688"/>
      <c r="G129" s="549" t="s">
        <v>21</v>
      </c>
      <c r="H129" s="550">
        <v>1</v>
      </c>
      <c r="I129" s="551">
        <v>12.52</v>
      </c>
      <c r="J129" s="551">
        <v>12.52</v>
      </c>
      <c r="K129" s="546"/>
    </row>
    <row r="130" spans="1:11" s="89" customFormat="1" ht="25" x14ac:dyDescent="0.3">
      <c r="A130" s="547" t="s">
        <v>433</v>
      </c>
      <c r="B130" s="548" t="s">
        <v>437</v>
      </c>
      <c r="C130" s="547" t="s">
        <v>19</v>
      </c>
      <c r="D130" s="547" t="s">
        <v>3505</v>
      </c>
      <c r="E130" s="688" t="s">
        <v>438</v>
      </c>
      <c r="F130" s="688"/>
      <c r="G130" s="549" t="s">
        <v>21</v>
      </c>
      <c r="H130" s="550">
        <v>1</v>
      </c>
      <c r="I130" s="551">
        <v>252.08</v>
      </c>
      <c r="J130" s="551">
        <v>252.08</v>
      </c>
      <c r="K130" s="546"/>
    </row>
    <row r="131" spans="1:11" ht="25" x14ac:dyDescent="0.3">
      <c r="A131" s="547" t="s">
        <v>433</v>
      </c>
      <c r="B131" s="548" t="s">
        <v>439</v>
      </c>
      <c r="C131" s="547" t="s">
        <v>19</v>
      </c>
      <c r="D131" s="547" t="s">
        <v>3506</v>
      </c>
      <c r="E131" s="688" t="s">
        <v>438</v>
      </c>
      <c r="F131" s="688"/>
      <c r="G131" s="549" t="s">
        <v>21</v>
      </c>
      <c r="H131" s="550">
        <v>1</v>
      </c>
      <c r="I131" s="551">
        <v>7.31</v>
      </c>
      <c r="J131" s="551">
        <v>7.31</v>
      </c>
      <c r="K131" s="552"/>
    </row>
    <row r="132" spans="1:11" s="89" customFormat="1" x14ac:dyDescent="0.3">
      <c r="A132" s="547" t="s">
        <v>433</v>
      </c>
      <c r="B132" s="548" t="s">
        <v>520</v>
      </c>
      <c r="C132" s="547" t="s">
        <v>19</v>
      </c>
      <c r="D132" s="547" t="s">
        <v>521</v>
      </c>
      <c r="E132" s="688" t="s">
        <v>436</v>
      </c>
      <c r="F132" s="688"/>
      <c r="G132" s="549" t="s">
        <v>21</v>
      </c>
      <c r="H132" s="550">
        <v>1</v>
      </c>
      <c r="I132" s="551">
        <v>1749.15</v>
      </c>
      <c r="J132" s="551">
        <v>1749.15</v>
      </c>
      <c r="K132" s="546"/>
    </row>
    <row r="133" spans="1:11" ht="25" x14ac:dyDescent="0.3">
      <c r="A133" s="547" t="s">
        <v>433</v>
      </c>
      <c r="B133" s="548" t="s">
        <v>457</v>
      </c>
      <c r="C133" s="547" t="s">
        <v>19</v>
      </c>
      <c r="D133" s="547" t="s">
        <v>458</v>
      </c>
      <c r="E133" s="688" t="s">
        <v>442</v>
      </c>
      <c r="F133" s="688"/>
      <c r="G133" s="549" t="s">
        <v>21</v>
      </c>
      <c r="H133" s="550">
        <v>1</v>
      </c>
      <c r="I133" s="551">
        <v>12.77</v>
      </c>
      <c r="J133" s="551">
        <v>12.77</v>
      </c>
      <c r="K133" s="552"/>
    </row>
    <row r="134" spans="1:11" s="89" customFormat="1" ht="25.5" thickBot="1" x14ac:dyDescent="0.35">
      <c r="A134" s="547" t="s">
        <v>433</v>
      </c>
      <c r="B134" s="548" t="s">
        <v>459</v>
      </c>
      <c r="C134" s="547" t="s">
        <v>19</v>
      </c>
      <c r="D134" s="547" t="s">
        <v>460</v>
      </c>
      <c r="E134" s="688" t="s">
        <v>442</v>
      </c>
      <c r="F134" s="688"/>
      <c r="G134" s="549" t="s">
        <v>21</v>
      </c>
      <c r="H134" s="550">
        <v>1</v>
      </c>
      <c r="I134" s="551">
        <v>132.94</v>
      </c>
      <c r="J134" s="551">
        <v>132.94</v>
      </c>
      <c r="K134" s="546"/>
    </row>
    <row r="135" spans="1:11" ht="14.5" thickTop="1" x14ac:dyDescent="0.3">
      <c r="A135" s="562"/>
      <c r="B135" s="562"/>
      <c r="C135" s="562"/>
      <c r="D135" s="562"/>
      <c r="E135" s="562"/>
      <c r="F135" s="562"/>
      <c r="G135" s="562"/>
      <c r="H135" s="562"/>
      <c r="I135" s="562"/>
      <c r="J135" s="562"/>
      <c r="K135" s="552"/>
    </row>
    <row r="136" spans="1:11" s="89" customFormat="1" x14ac:dyDescent="0.3">
      <c r="A136" s="553"/>
      <c r="B136" s="554" t="s">
        <v>4</v>
      </c>
      <c r="C136" s="553" t="s">
        <v>5</v>
      </c>
      <c r="D136" s="553" t="s">
        <v>6</v>
      </c>
      <c r="E136" s="691" t="s">
        <v>427</v>
      </c>
      <c r="F136" s="691"/>
      <c r="G136" s="555" t="s">
        <v>7</v>
      </c>
      <c r="H136" s="554" t="s">
        <v>8</v>
      </c>
      <c r="I136" s="554" t="s">
        <v>9</v>
      </c>
      <c r="J136" s="554" t="s">
        <v>11</v>
      </c>
      <c r="K136" s="546"/>
    </row>
    <row r="137" spans="1:11" ht="14.25" customHeight="1" x14ac:dyDescent="0.3">
      <c r="A137" s="607" t="s">
        <v>428</v>
      </c>
      <c r="B137" s="608" t="s">
        <v>3512</v>
      </c>
      <c r="C137" s="607" t="s">
        <v>26</v>
      </c>
      <c r="D137" s="607" t="s">
        <v>71</v>
      </c>
      <c r="E137" s="690" t="s">
        <v>461</v>
      </c>
      <c r="F137" s="690"/>
      <c r="G137" s="609" t="s">
        <v>27</v>
      </c>
      <c r="H137" s="610">
        <v>1</v>
      </c>
      <c r="I137" s="611">
        <v>11551.5</v>
      </c>
      <c r="J137" s="611">
        <v>11551.5</v>
      </c>
      <c r="K137" s="552"/>
    </row>
    <row r="138" spans="1:11" s="89" customFormat="1" ht="15" customHeight="1" x14ac:dyDescent="0.3">
      <c r="A138" s="691" t="s">
        <v>408</v>
      </c>
      <c r="B138" s="692" t="s">
        <v>4</v>
      </c>
      <c r="C138" s="691" t="s">
        <v>5</v>
      </c>
      <c r="D138" s="691" t="s">
        <v>462</v>
      </c>
      <c r="E138" s="692" t="s">
        <v>463</v>
      </c>
      <c r="F138" s="694" t="s">
        <v>464</v>
      </c>
      <c r="G138" s="692"/>
      <c r="H138" s="694" t="s">
        <v>465</v>
      </c>
      <c r="I138" s="692"/>
      <c r="J138" s="692" t="s">
        <v>466</v>
      </c>
      <c r="K138" s="546"/>
    </row>
    <row r="139" spans="1:11" x14ac:dyDescent="0.3">
      <c r="A139" s="692"/>
      <c r="B139" s="692"/>
      <c r="C139" s="692"/>
      <c r="D139" s="692"/>
      <c r="E139" s="692"/>
      <c r="F139" s="554" t="s">
        <v>467</v>
      </c>
      <c r="G139" s="554" t="s">
        <v>468</v>
      </c>
      <c r="H139" s="554" t="s">
        <v>467</v>
      </c>
      <c r="I139" s="554" t="s">
        <v>468</v>
      </c>
      <c r="J139" s="692"/>
      <c r="K139" s="552"/>
    </row>
    <row r="140" spans="1:11" x14ac:dyDescent="0.3">
      <c r="A140" s="547" t="s">
        <v>433</v>
      </c>
      <c r="B140" s="548" t="s">
        <v>522</v>
      </c>
      <c r="C140" s="547" t="s">
        <v>115</v>
      </c>
      <c r="D140" s="547" t="s">
        <v>523</v>
      </c>
      <c r="E140" s="550">
        <v>1</v>
      </c>
      <c r="F140" s="551">
        <v>44</v>
      </c>
      <c r="G140" s="551">
        <v>176</v>
      </c>
      <c r="H140" s="563">
        <v>81.808599999999998</v>
      </c>
      <c r="I140" s="563">
        <v>45.181399999999996</v>
      </c>
      <c r="J140" s="563">
        <v>11551.504800000001</v>
      </c>
      <c r="K140" s="552"/>
    </row>
    <row r="141" spans="1:11" ht="14.25" customHeight="1" x14ac:dyDescent="0.3">
      <c r="A141" s="689"/>
      <c r="B141" s="689"/>
      <c r="C141" s="689"/>
      <c r="D141" s="689"/>
      <c r="E141" s="689"/>
      <c r="F141" s="689" t="s">
        <v>471</v>
      </c>
      <c r="G141" s="689"/>
      <c r="H141" s="689"/>
      <c r="I141" s="689"/>
      <c r="J141" s="564">
        <v>11551.504800000001</v>
      </c>
      <c r="K141" s="552"/>
    </row>
    <row r="142" spans="1:11" ht="14.25" customHeight="1" x14ac:dyDescent="0.3">
      <c r="A142" s="689"/>
      <c r="B142" s="689"/>
      <c r="C142" s="689"/>
      <c r="D142" s="689"/>
      <c r="E142" s="689"/>
      <c r="F142" s="689" t="s">
        <v>472</v>
      </c>
      <c r="G142" s="689"/>
      <c r="H142" s="689"/>
      <c r="I142" s="689"/>
      <c r="J142" s="564">
        <v>11551.504800000001</v>
      </c>
      <c r="K142" s="552"/>
    </row>
    <row r="143" spans="1:11" s="89" customFormat="1" ht="15" customHeight="1" x14ac:dyDescent="0.3">
      <c r="A143" s="689"/>
      <c r="B143" s="689"/>
      <c r="C143" s="689"/>
      <c r="D143" s="689"/>
      <c r="E143" s="689"/>
      <c r="F143" s="689" t="s">
        <v>473</v>
      </c>
      <c r="G143" s="689"/>
      <c r="H143" s="689"/>
      <c r="I143" s="689"/>
      <c r="J143" s="564">
        <v>0</v>
      </c>
      <c r="K143" s="546"/>
    </row>
    <row r="144" spans="1:11" x14ac:dyDescent="0.3">
      <c r="A144" s="689"/>
      <c r="B144" s="689"/>
      <c r="C144" s="689"/>
      <c r="D144" s="689"/>
      <c r="E144" s="689"/>
      <c r="F144" s="689" t="s">
        <v>474</v>
      </c>
      <c r="G144" s="689"/>
      <c r="H144" s="689"/>
      <c r="I144" s="689"/>
      <c r="J144" s="564">
        <v>0</v>
      </c>
      <c r="K144" s="552"/>
    </row>
    <row r="145" spans="1:11" s="89" customFormat="1" ht="15" customHeight="1" x14ac:dyDescent="0.3">
      <c r="A145" s="689"/>
      <c r="B145" s="689"/>
      <c r="C145" s="689"/>
      <c r="D145" s="689"/>
      <c r="E145" s="689"/>
      <c r="F145" s="689" t="s">
        <v>475</v>
      </c>
      <c r="G145" s="689"/>
      <c r="H145" s="689"/>
      <c r="I145" s="689"/>
      <c r="J145" s="564">
        <v>1</v>
      </c>
      <c r="K145" s="546"/>
    </row>
    <row r="146" spans="1:11" ht="14.25" customHeight="1" x14ac:dyDescent="0.3">
      <c r="A146" s="689"/>
      <c r="B146" s="689"/>
      <c r="C146" s="689"/>
      <c r="D146" s="689"/>
      <c r="E146" s="689"/>
      <c r="F146" s="689" t="s">
        <v>476</v>
      </c>
      <c r="G146" s="689"/>
      <c r="H146" s="689"/>
      <c r="I146" s="689"/>
      <c r="J146" s="564">
        <v>11551.504800000001</v>
      </c>
      <c r="K146" s="552"/>
    </row>
    <row r="147" spans="1:11" s="89" customFormat="1" x14ac:dyDescent="0.3">
      <c r="A147" s="686" t="s">
        <v>3754</v>
      </c>
      <c r="B147" s="686"/>
      <c r="C147" s="686"/>
      <c r="D147" s="686"/>
      <c r="E147" s="686"/>
      <c r="F147" s="686"/>
      <c r="G147" s="686"/>
      <c r="H147" s="686"/>
      <c r="I147" s="686"/>
      <c r="J147" s="686"/>
      <c r="K147" s="546"/>
    </row>
    <row r="148" spans="1:11" ht="15" customHeight="1" thickBot="1" x14ac:dyDescent="0.35">
      <c r="A148" s="695" t="s">
        <v>3756</v>
      </c>
      <c r="B148" s="695"/>
      <c r="C148" s="695"/>
      <c r="D148" s="695"/>
      <c r="E148" s="695"/>
      <c r="F148" s="695"/>
      <c r="G148" s="695"/>
      <c r="H148" s="695"/>
      <c r="I148" s="695"/>
      <c r="J148" s="695"/>
      <c r="K148" s="552"/>
    </row>
    <row r="149" spans="1:11" s="89" customFormat="1" ht="14.5" thickTop="1" x14ac:dyDescent="0.3">
      <c r="A149" s="562"/>
      <c r="B149" s="562"/>
      <c r="C149" s="562"/>
      <c r="D149" s="562"/>
      <c r="E149" s="562"/>
      <c r="F149" s="562"/>
      <c r="G149" s="562"/>
      <c r="H149" s="562"/>
      <c r="I149" s="562"/>
      <c r="J149" s="562"/>
      <c r="K149" s="546"/>
    </row>
    <row r="150" spans="1:11" x14ac:dyDescent="0.3">
      <c r="A150" s="553"/>
      <c r="B150" s="554" t="s">
        <v>4</v>
      </c>
      <c r="C150" s="553" t="s">
        <v>5</v>
      </c>
      <c r="D150" s="553" t="s">
        <v>6</v>
      </c>
      <c r="E150" s="691" t="s">
        <v>427</v>
      </c>
      <c r="F150" s="691"/>
      <c r="G150" s="555" t="s">
        <v>7</v>
      </c>
      <c r="H150" s="554" t="s">
        <v>8</v>
      </c>
      <c r="I150" s="554" t="s">
        <v>9</v>
      </c>
      <c r="J150" s="554" t="s">
        <v>11</v>
      </c>
      <c r="K150" s="552"/>
    </row>
    <row r="151" spans="1:11" s="89" customFormat="1" ht="15" customHeight="1" x14ac:dyDescent="0.3">
      <c r="A151" s="607" t="s">
        <v>428</v>
      </c>
      <c r="B151" s="608" t="s">
        <v>76</v>
      </c>
      <c r="C151" s="607" t="s">
        <v>19</v>
      </c>
      <c r="D151" s="607" t="s">
        <v>77</v>
      </c>
      <c r="E151" s="690" t="s">
        <v>429</v>
      </c>
      <c r="F151" s="690"/>
      <c r="G151" s="609" t="s">
        <v>21</v>
      </c>
      <c r="H151" s="610">
        <v>1</v>
      </c>
      <c r="I151" s="611">
        <v>3263.02</v>
      </c>
      <c r="J151" s="611">
        <v>3263.02</v>
      </c>
      <c r="K151" s="546"/>
    </row>
    <row r="152" spans="1:11" s="89" customFormat="1" ht="15" customHeight="1" x14ac:dyDescent="0.3">
      <c r="A152" s="547" t="s">
        <v>430</v>
      </c>
      <c r="B152" s="548" t="s">
        <v>524</v>
      </c>
      <c r="C152" s="547" t="s">
        <v>19</v>
      </c>
      <c r="D152" s="547" t="s">
        <v>525</v>
      </c>
      <c r="E152" s="688" t="s">
        <v>429</v>
      </c>
      <c r="F152" s="688"/>
      <c r="G152" s="549" t="s">
        <v>21</v>
      </c>
      <c r="H152" s="550">
        <v>1</v>
      </c>
      <c r="I152" s="551">
        <v>12.46</v>
      </c>
      <c r="J152" s="551">
        <v>12.46</v>
      </c>
      <c r="K152" s="546"/>
    </row>
    <row r="153" spans="1:11" ht="25" x14ac:dyDescent="0.3">
      <c r="A153" s="547" t="s">
        <v>433</v>
      </c>
      <c r="B153" s="548" t="s">
        <v>437</v>
      </c>
      <c r="C153" s="547" t="s">
        <v>19</v>
      </c>
      <c r="D153" s="547" t="s">
        <v>3505</v>
      </c>
      <c r="E153" s="688" t="s">
        <v>438</v>
      </c>
      <c r="F153" s="688"/>
      <c r="G153" s="549" t="s">
        <v>21</v>
      </c>
      <c r="H153" s="550">
        <v>1</v>
      </c>
      <c r="I153" s="551">
        <v>252.08</v>
      </c>
      <c r="J153" s="551">
        <v>252.08</v>
      </c>
      <c r="K153" s="552"/>
    </row>
    <row r="154" spans="1:11" s="89" customFormat="1" ht="25" x14ac:dyDescent="0.3">
      <c r="A154" s="547" t="s">
        <v>433</v>
      </c>
      <c r="B154" s="548" t="s">
        <v>439</v>
      </c>
      <c r="C154" s="547" t="s">
        <v>19</v>
      </c>
      <c r="D154" s="547" t="s">
        <v>3506</v>
      </c>
      <c r="E154" s="688" t="s">
        <v>438</v>
      </c>
      <c r="F154" s="688"/>
      <c r="G154" s="549" t="s">
        <v>21</v>
      </c>
      <c r="H154" s="550">
        <v>1</v>
      </c>
      <c r="I154" s="551">
        <v>7.31</v>
      </c>
      <c r="J154" s="551">
        <v>7.31</v>
      </c>
      <c r="K154" s="546"/>
    </row>
    <row r="155" spans="1:11" ht="25" x14ac:dyDescent="0.3">
      <c r="A155" s="547" t="s">
        <v>433</v>
      </c>
      <c r="B155" s="548" t="s">
        <v>457</v>
      </c>
      <c r="C155" s="547" t="s">
        <v>19</v>
      </c>
      <c r="D155" s="547" t="s">
        <v>458</v>
      </c>
      <c r="E155" s="688" t="s">
        <v>442</v>
      </c>
      <c r="F155" s="688"/>
      <c r="G155" s="549" t="s">
        <v>21</v>
      </c>
      <c r="H155" s="550">
        <v>1</v>
      </c>
      <c r="I155" s="551">
        <v>12.77</v>
      </c>
      <c r="J155" s="551">
        <v>12.77</v>
      </c>
      <c r="K155" s="552"/>
    </row>
    <row r="156" spans="1:11" s="89" customFormat="1" ht="25" x14ac:dyDescent="0.3">
      <c r="A156" s="547" t="s">
        <v>433</v>
      </c>
      <c r="B156" s="548" t="s">
        <v>459</v>
      </c>
      <c r="C156" s="547" t="s">
        <v>19</v>
      </c>
      <c r="D156" s="547" t="s">
        <v>460</v>
      </c>
      <c r="E156" s="688" t="s">
        <v>442</v>
      </c>
      <c r="F156" s="688"/>
      <c r="G156" s="549" t="s">
        <v>21</v>
      </c>
      <c r="H156" s="550">
        <v>1</v>
      </c>
      <c r="I156" s="551">
        <v>132.94</v>
      </c>
      <c r="J156" s="551">
        <v>132.94</v>
      </c>
      <c r="K156" s="546"/>
    </row>
    <row r="157" spans="1:11" s="89" customFormat="1" ht="14.5" thickBot="1" x14ac:dyDescent="0.35">
      <c r="A157" s="547" t="s">
        <v>433</v>
      </c>
      <c r="B157" s="548" t="s">
        <v>3827</v>
      </c>
      <c r="C157" s="547" t="s">
        <v>19</v>
      </c>
      <c r="D157" s="547" t="s">
        <v>3828</v>
      </c>
      <c r="E157" s="688" t="s">
        <v>436</v>
      </c>
      <c r="F157" s="688"/>
      <c r="G157" s="549" t="s">
        <v>21</v>
      </c>
      <c r="H157" s="550">
        <v>1</v>
      </c>
      <c r="I157" s="551">
        <v>2845.46</v>
      </c>
      <c r="J157" s="551">
        <v>2845.46</v>
      </c>
      <c r="K157" s="546"/>
    </row>
    <row r="158" spans="1:11" ht="14.5" thickTop="1" x14ac:dyDescent="0.3">
      <c r="A158" s="562"/>
      <c r="B158" s="562"/>
      <c r="C158" s="562"/>
      <c r="D158" s="562"/>
      <c r="E158" s="562"/>
      <c r="F158" s="562"/>
      <c r="G158" s="562"/>
      <c r="H158" s="562"/>
      <c r="I158" s="562"/>
      <c r="J158" s="562"/>
      <c r="K158" s="552"/>
    </row>
    <row r="159" spans="1:11" s="89" customFormat="1" x14ac:dyDescent="0.3">
      <c r="A159" s="553"/>
      <c r="B159" s="554" t="s">
        <v>4</v>
      </c>
      <c r="C159" s="553" t="s">
        <v>5</v>
      </c>
      <c r="D159" s="553" t="s">
        <v>6</v>
      </c>
      <c r="E159" s="691" t="s">
        <v>427</v>
      </c>
      <c r="F159" s="691"/>
      <c r="G159" s="555" t="s">
        <v>7</v>
      </c>
      <c r="H159" s="554" t="s">
        <v>8</v>
      </c>
      <c r="I159" s="554" t="s">
        <v>9</v>
      </c>
      <c r="J159" s="554" t="s">
        <v>11</v>
      </c>
      <c r="K159" s="546"/>
    </row>
    <row r="160" spans="1:11" s="89" customFormat="1" ht="15" customHeight="1" x14ac:dyDescent="0.3">
      <c r="A160" s="607" t="s">
        <v>428</v>
      </c>
      <c r="B160" s="608" t="s">
        <v>85</v>
      </c>
      <c r="C160" s="607" t="s">
        <v>26</v>
      </c>
      <c r="D160" s="607" t="s">
        <v>86</v>
      </c>
      <c r="E160" s="690" t="s">
        <v>481</v>
      </c>
      <c r="F160" s="690"/>
      <c r="G160" s="609" t="s">
        <v>27</v>
      </c>
      <c r="H160" s="610">
        <v>1</v>
      </c>
      <c r="I160" s="611">
        <v>2096.44</v>
      </c>
      <c r="J160" s="611">
        <v>2096.44</v>
      </c>
      <c r="K160" s="546"/>
    </row>
    <row r="161" spans="1:11" s="89" customFormat="1" ht="15" customHeight="1" x14ac:dyDescent="0.3">
      <c r="A161" s="547" t="s">
        <v>433</v>
      </c>
      <c r="B161" s="548" t="s">
        <v>526</v>
      </c>
      <c r="C161" s="547" t="s">
        <v>19</v>
      </c>
      <c r="D161" s="547" t="s">
        <v>527</v>
      </c>
      <c r="E161" s="688" t="s">
        <v>438</v>
      </c>
      <c r="F161" s="688"/>
      <c r="G161" s="549" t="s">
        <v>528</v>
      </c>
      <c r="H161" s="550">
        <v>2833.03</v>
      </c>
      <c r="I161" s="551">
        <v>0.74</v>
      </c>
      <c r="J161" s="551">
        <v>2096.44</v>
      </c>
      <c r="K161" s="546"/>
    </row>
    <row r="162" spans="1:11" x14ac:dyDescent="0.3">
      <c r="A162" s="686" t="s">
        <v>3754</v>
      </c>
      <c r="B162" s="686"/>
      <c r="C162" s="686"/>
      <c r="D162" s="686"/>
      <c r="E162" s="686"/>
      <c r="F162" s="686"/>
      <c r="G162" s="686"/>
      <c r="H162" s="686"/>
      <c r="I162" s="686"/>
      <c r="J162" s="686"/>
      <c r="K162" s="552"/>
    </row>
    <row r="163" spans="1:11" ht="15" customHeight="1" thickBot="1" x14ac:dyDescent="0.35">
      <c r="A163" s="695" t="s">
        <v>3757</v>
      </c>
      <c r="B163" s="695"/>
      <c r="C163" s="695"/>
      <c r="D163" s="695"/>
      <c r="E163" s="695"/>
      <c r="F163" s="695"/>
      <c r="G163" s="695"/>
      <c r="H163" s="695"/>
      <c r="I163" s="695"/>
      <c r="J163" s="695"/>
      <c r="K163" s="552"/>
    </row>
    <row r="164" spans="1:11" s="89" customFormat="1" ht="14.5" thickTop="1" x14ac:dyDescent="0.3">
      <c r="A164" s="562"/>
      <c r="B164" s="562"/>
      <c r="C164" s="562"/>
      <c r="D164" s="562"/>
      <c r="E164" s="562"/>
      <c r="F164" s="562"/>
      <c r="G164" s="562"/>
      <c r="H164" s="562"/>
      <c r="I164" s="562"/>
      <c r="J164" s="562"/>
      <c r="K164" s="546"/>
    </row>
    <row r="165" spans="1:11" x14ac:dyDescent="0.3">
      <c r="A165" s="553"/>
      <c r="B165" s="554" t="s">
        <v>4</v>
      </c>
      <c r="C165" s="553" t="s">
        <v>5</v>
      </c>
      <c r="D165" s="553" t="s">
        <v>6</v>
      </c>
      <c r="E165" s="691" t="s">
        <v>427</v>
      </c>
      <c r="F165" s="691"/>
      <c r="G165" s="555" t="s">
        <v>7</v>
      </c>
      <c r="H165" s="554" t="s">
        <v>8</v>
      </c>
      <c r="I165" s="554" t="s">
        <v>9</v>
      </c>
      <c r="J165" s="554" t="s">
        <v>11</v>
      </c>
      <c r="K165" s="552"/>
    </row>
    <row r="166" spans="1:11" ht="14.25" customHeight="1" x14ac:dyDescent="0.3">
      <c r="A166" s="607" t="s">
        <v>428</v>
      </c>
      <c r="B166" s="608" t="s">
        <v>88</v>
      </c>
      <c r="C166" s="607" t="s">
        <v>26</v>
      </c>
      <c r="D166" s="607" t="s">
        <v>89</v>
      </c>
      <c r="E166" s="690" t="s">
        <v>481</v>
      </c>
      <c r="F166" s="690"/>
      <c r="G166" s="609" t="s">
        <v>27</v>
      </c>
      <c r="H166" s="610">
        <v>1</v>
      </c>
      <c r="I166" s="611">
        <v>1386</v>
      </c>
      <c r="J166" s="611">
        <v>1386</v>
      </c>
      <c r="K166" s="552"/>
    </row>
    <row r="167" spans="1:11" s="89" customFormat="1" x14ac:dyDescent="0.3">
      <c r="A167" s="547" t="s">
        <v>433</v>
      </c>
      <c r="B167" s="548" t="s">
        <v>529</v>
      </c>
      <c r="C167" s="547" t="s">
        <v>19</v>
      </c>
      <c r="D167" s="547" t="s">
        <v>530</v>
      </c>
      <c r="E167" s="688" t="s">
        <v>531</v>
      </c>
      <c r="F167" s="688"/>
      <c r="G167" s="549" t="s">
        <v>532</v>
      </c>
      <c r="H167" s="550">
        <v>99</v>
      </c>
      <c r="I167" s="551">
        <v>14</v>
      </c>
      <c r="J167" s="551">
        <v>1386</v>
      </c>
      <c r="K167" s="546"/>
    </row>
    <row r="168" spans="1:11" x14ac:dyDescent="0.3">
      <c r="A168" s="686" t="s">
        <v>3754</v>
      </c>
      <c r="B168" s="686"/>
      <c r="C168" s="686"/>
      <c r="D168" s="686"/>
      <c r="E168" s="686"/>
      <c r="F168" s="686"/>
      <c r="G168" s="686"/>
      <c r="H168" s="686"/>
      <c r="I168" s="686"/>
      <c r="J168" s="686"/>
      <c r="K168" s="552"/>
    </row>
    <row r="169" spans="1:11" ht="15" customHeight="1" thickBot="1" x14ac:dyDescent="0.35">
      <c r="A169" s="695" t="s">
        <v>3758</v>
      </c>
      <c r="B169" s="695"/>
      <c r="C169" s="695"/>
      <c r="D169" s="695"/>
      <c r="E169" s="695"/>
      <c r="F169" s="695"/>
      <c r="G169" s="695"/>
      <c r="H169" s="695"/>
      <c r="I169" s="695"/>
      <c r="J169" s="695"/>
      <c r="K169" s="552"/>
    </row>
    <row r="170" spans="1:11" s="89" customFormat="1" ht="14.5" thickTop="1" x14ac:dyDescent="0.3">
      <c r="A170" s="562"/>
      <c r="B170" s="562"/>
      <c r="C170" s="562"/>
      <c r="D170" s="562"/>
      <c r="E170" s="562"/>
      <c r="F170" s="562"/>
      <c r="G170" s="562"/>
      <c r="H170" s="562"/>
      <c r="I170" s="562"/>
      <c r="J170" s="562"/>
      <c r="K170" s="546"/>
    </row>
    <row r="171" spans="1:11" x14ac:dyDescent="0.3">
      <c r="A171" s="553"/>
      <c r="B171" s="554" t="s">
        <v>4</v>
      </c>
      <c r="C171" s="553" t="s">
        <v>5</v>
      </c>
      <c r="D171" s="553" t="s">
        <v>6</v>
      </c>
      <c r="E171" s="691" t="s">
        <v>427</v>
      </c>
      <c r="F171" s="691"/>
      <c r="G171" s="555" t="s">
        <v>7</v>
      </c>
      <c r="H171" s="554" t="s">
        <v>8</v>
      </c>
      <c r="I171" s="554" t="s">
        <v>9</v>
      </c>
      <c r="J171" s="554" t="s">
        <v>11</v>
      </c>
      <c r="K171" s="552"/>
    </row>
    <row r="172" spans="1:11" s="89" customFormat="1" ht="50" x14ac:dyDescent="0.3">
      <c r="A172" s="607" t="s">
        <v>428</v>
      </c>
      <c r="B172" s="608" t="s">
        <v>93</v>
      </c>
      <c r="C172" s="607" t="s">
        <v>19</v>
      </c>
      <c r="D172" s="607" t="s">
        <v>94</v>
      </c>
      <c r="E172" s="690" t="s">
        <v>461</v>
      </c>
      <c r="F172" s="690"/>
      <c r="G172" s="609" t="s">
        <v>95</v>
      </c>
      <c r="H172" s="610">
        <v>1</v>
      </c>
      <c r="I172" s="611">
        <v>241.54</v>
      </c>
      <c r="J172" s="611">
        <v>241.54</v>
      </c>
      <c r="K172" s="546"/>
    </row>
    <row r="173" spans="1:11" s="89" customFormat="1" ht="50" x14ac:dyDescent="0.3">
      <c r="A173" s="547" t="s">
        <v>430</v>
      </c>
      <c r="B173" s="548" t="s">
        <v>533</v>
      </c>
      <c r="C173" s="547" t="s">
        <v>19</v>
      </c>
      <c r="D173" s="547" t="s">
        <v>534</v>
      </c>
      <c r="E173" s="688" t="s">
        <v>461</v>
      </c>
      <c r="F173" s="688"/>
      <c r="G173" s="549" t="s">
        <v>423</v>
      </c>
      <c r="H173" s="550">
        <v>1</v>
      </c>
      <c r="I173" s="551">
        <v>36.880000000000003</v>
      </c>
      <c r="J173" s="551">
        <v>36.880000000000003</v>
      </c>
      <c r="K173" s="546"/>
    </row>
    <row r="174" spans="1:11" ht="50" x14ac:dyDescent="0.3">
      <c r="A174" s="547" t="s">
        <v>430</v>
      </c>
      <c r="B174" s="548" t="s">
        <v>535</v>
      </c>
      <c r="C174" s="547" t="s">
        <v>19</v>
      </c>
      <c r="D174" s="547" t="s">
        <v>536</v>
      </c>
      <c r="E174" s="688" t="s">
        <v>461</v>
      </c>
      <c r="F174" s="688"/>
      <c r="G174" s="549" t="s">
        <v>423</v>
      </c>
      <c r="H174" s="550">
        <v>1</v>
      </c>
      <c r="I174" s="551">
        <v>142.9</v>
      </c>
      <c r="J174" s="551">
        <v>142.9</v>
      </c>
      <c r="K174" s="552"/>
    </row>
    <row r="175" spans="1:11" ht="14.25" customHeight="1" x14ac:dyDescent="0.3">
      <c r="A175" s="547" t="s">
        <v>430</v>
      </c>
      <c r="B175" s="548" t="s">
        <v>537</v>
      </c>
      <c r="C175" s="547" t="s">
        <v>19</v>
      </c>
      <c r="D175" s="547" t="s">
        <v>538</v>
      </c>
      <c r="E175" s="688" t="s">
        <v>429</v>
      </c>
      <c r="F175" s="688"/>
      <c r="G175" s="549" t="s">
        <v>423</v>
      </c>
      <c r="H175" s="550">
        <v>1</v>
      </c>
      <c r="I175" s="551">
        <v>29.5</v>
      </c>
      <c r="J175" s="551">
        <v>29.5</v>
      </c>
      <c r="K175" s="552"/>
    </row>
    <row r="176" spans="1:11" ht="14.25" customHeight="1" x14ac:dyDescent="0.3">
      <c r="A176" s="547" t="s">
        <v>430</v>
      </c>
      <c r="B176" s="548" t="s">
        <v>539</v>
      </c>
      <c r="C176" s="547" t="s">
        <v>19</v>
      </c>
      <c r="D176" s="547" t="s">
        <v>540</v>
      </c>
      <c r="E176" s="688" t="s">
        <v>461</v>
      </c>
      <c r="F176" s="688"/>
      <c r="G176" s="549" t="s">
        <v>423</v>
      </c>
      <c r="H176" s="550">
        <v>1</v>
      </c>
      <c r="I176" s="551">
        <v>20.99</v>
      </c>
      <c r="J176" s="551">
        <v>20.99</v>
      </c>
      <c r="K176" s="552"/>
    </row>
    <row r="177" spans="1:11" s="89" customFormat="1" ht="38.25" customHeight="1" x14ac:dyDescent="0.3">
      <c r="A177" s="547" t="s">
        <v>430</v>
      </c>
      <c r="B177" s="548" t="s">
        <v>541</v>
      </c>
      <c r="C177" s="547" t="s">
        <v>19</v>
      </c>
      <c r="D177" s="547" t="s">
        <v>542</v>
      </c>
      <c r="E177" s="688" t="s">
        <v>461</v>
      </c>
      <c r="F177" s="688"/>
      <c r="G177" s="549" t="s">
        <v>423</v>
      </c>
      <c r="H177" s="550">
        <v>1</v>
      </c>
      <c r="I177" s="551">
        <v>8.0299999999999994</v>
      </c>
      <c r="J177" s="551">
        <v>8.0299999999999994</v>
      </c>
      <c r="K177" s="546"/>
    </row>
    <row r="178" spans="1:11" ht="38.25" customHeight="1" thickBot="1" x14ac:dyDescent="0.35">
      <c r="A178" s="547" t="s">
        <v>430</v>
      </c>
      <c r="B178" s="548" t="s">
        <v>543</v>
      </c>
      <c r="C178" s="547" t="s">
        <v>19</v>
      </c>
      <c r="D178" s="547" t="s">
        <v>544</v>
      </c>
      <c r="E178" s="688" t="s">
        <v>461</v>
      </c>
      <c r="F178" s="688"/>
      <c r="G178" s="549" t="s">
        <v>423</v>
      </c>
      <c r="H178" s="550">
        <v>1</v>
      </c>
      <c r="I178" s="551">
        <v>3.24</v>
      </c>
      <c r="J178" s="551">
        <v>3.24</v>
      </c>
      <c r="K178" s="552"/>
    </row>
    <row r="179" spans="1:11" ht="14.5" thickTop="1" x14ac:dyDescent="0.3">
      <c r="A179" s="562"/>
      <c r="B179" s="562"/>
      <c r="C179" s="562"/>
      <c r="D179" s="562"/>
      <c r="E179" s="562"/>
      <c r="F179" s="562"/>
      <c r="G179" s="562"/>
      <c r="H179" s="562"/>
      <c r="I179" s="562"/>
      <c r="J179" s="562"/>
      <c r="K179" s="552"/>
    </row>
    <row r="180" spans="1:11" x14ac:dyDescent="0.3">
      <c r="A180" s="553"/>
      <c r="B180" s="554" t="s">
        <v>4</v>
      </c>
      <c r="C180" s="553" t="s">
        <v>5</v>
      </c>
      <c r="D180" s="553" t="s">
        <v>6</v>
      </c>
      <c r="E180" s="691" t="s">
        <v>427</v>
      </c>
      <c r="F180" s="691"/>
      <c r="G180" s="555" t="s">
        <v>7</v>
      </c>
      <c r="H180" s="554" t="s">
        <v>8</v>
      </c>
      <c r="I180" s="554" t="s">
        <v>9</v>
      </c>
      <c r="J180" s="554" t="s">
        <v>11</v>
      </c>
      <c r="K180" s="552"/>
    </row>
    <row r="181" spans="1:11" s="89" customFormat="1" ht="25.5" customHeight="1" x14ac:dyDescent="0.3">
      <c r="A181" s="607" t="s">
        <v>428</v>
      </c>
      <c r="B181" s="608" t="s">
        <v>97</v>
      </c>
      <c r="C181" s="607" t="s">
        <v>19</v>
      </c>
      <c r="D181" s="607" t="s">
        <v>98</v>
      </c>
      <c r="E181" s="690" t="s">
        <v>461</v>
      </c>
      <c r="F181" s="690"/>
      <c r="G181" s="609" t="s">
        <v>95</v>
      </c>
      <c r="H181" s="610">
        <v>1</v>
      </c>
      <c r="I181" s="611">
        <v>174.49</v>
      </c>
      <c r="J181" s="611">
        <v>174.49</v>
      </c>
      <c r="K181" s="546"/>
    </row>
    <row r="182" spans="1:11" s="89" customFormat="1" ht="25.5" customHeight="1" x14ac:dyDescent="0.3">
      <c r="A182" s="547" t="s">
        <v>430</v>
      </c>
      <c r="B182" s="548" t="s">
        <v>545</v>
      </c>
      <c r="C182" s="547" t="s">
        <v>19</v>
      </c>
      <c r="D182" s="547" t="s">
        <v>546</v>
      </c>
      <c r="E182" s="688" t="s">
        <v>461</v>
      </c>
      <c r="F182" s="688"/>
      <c r="G182" s="549" t="s">
        <v>423</v>
      </c>
      <c r="H182" s="550">
        <v>1</v>
      </c>
      <c r="I182" s="551">
        <v>7.15</v>
      </c>
      <c r="J182" s="551">
        <v>7.15</v>
      </c>
      <c r="K182" s="546"/>
    </row>
    <row r="183" spans="1:11" ht="25.5" customHeight="1" x14ac:dyDescent="0.3">
      <c r="A183" s="547" t="s">
        <v>430</v>
      </c>
      <c r="B183" s="548" t="s">
        <v>547</v>
      </c>
      <c r="C183" s="547" t="s">
        <v>19</v>
      </c>
      <c r="D183" s="547" t="s">
        <v>548</v>
      </c>
      <c r="E183" s="688" t="s">
        <v>461</v>
      </c>
      <c r="F183" s="688"/>
      <c r="G183" s="549" t="s">
        <v>423</v>
      </c>
      <c r="H183" s="550">
        <v>1</v>
      </c>
      <c r="I183" s="551">
        <v>6.38</v>
      </c>
      <c r="J183" s="551">
        <v>6.38</v>
      </c>
      <c r="K183" s="552"/>
    </row>
    <row r="184" spans="1:11" ht="25.5" customHeight="1" thickBot="1" x14ac:dyDescent="0.35">
      <c r="A184" s="547" t="s">
        <v>430</v>
      </c>
      <c r="B184" s="548" t="s">
        <v>549</v>
      </c>
      <c r="C184" s="547" t="s">
        <v>19</v>
      </c>
      <c r="D184" s="547" t="s">
        <v>550</v>
      </c>
      <c r="E184" s="688" t="s">
        <v>461</v>
      </c>
      <c r="F184" s="688"/>
      <c r="G184" s="549" t="s">
        <v>423</v>
      </c>
      <c r="H184" s="550">
        <v>1</v>
      </c>
      <c r="I184" s="551">
        <v>160.96</v>
      </c>
      <c r="J184" s="551">
        <v>160.96</v>
      </c>
      <c r="K184" s="552"/>
    </row>
    <row r="185" spans="1:11" ht="26.25" customHeight="1" thickTop="1" x14ac:dyDescent="0.3">
      <c r="A185" s="562"/>
      <c r="B185" s="562"/>
      <c r="C185" s="562"/>
      <c r="D185" s="562"/>
      <c r="E185" s="562"/>
      <c r="F185" s="562"/>
      <c r="G185" s="562"/>
      <c r="H185" s="562"/>
      <c r="I185" s="562"/>
      <c r="J185" s="562"/>
      <c r="K185" s="552"/>
    </row>
    <row r="186" spans="1:11" x14ac:dyDescent="0.3">
      <c r="A186" s="553"/>
      <c r="B186" s="554" t="s">
        <v>4</v>
      </c>
      <c r="C186" s="553" t="s">
        <v>5</v>
      </c>
      <c r="D186" s="553" t="s">
        <v>6</v>
      </c>
      <c r="E186" s="691" t="s">
        <v>427</v>
      </c>
      <c r="F186" s="691"/>
      <c r="G186" s="555" t="s">
        <v>7</v>
      </c>
      <c r="H186" s="554" t="s">
        <v>8</v>
      </c>
      <c r="I186" s="554" t="s">
        <v>9</v>
      </c>
      <c r="J186" s="554" t="s">
        <v>11</v>
      </c>
      <c r="K186" s="552"/>
    </row>
    <row r="187" spans="1:11" ht="25.5" customHeight="1" x14ac:dyDescent="0.3">
      <c r="A187" s="607" t="s">
        <v>428</v>
      </c>
      <c r="B187" s="608" t="s">
        <v>100</v>
      </c>
      <c r="C187" s="607" t="s">
        <v>19</v>
      </c>
      <c r="D187" s="607" t="s">
        <v>101</v>
      </c>
      <c r="E187" s="690" t="s">
        <v>461</v>
      </c>
      <c r="F187" s="690"/>
      <c r="G187" s="609" t="s">
        <v>102</v>
      </c>
      <c r="H187" s="610">
        <v>1</v>
      </c>
      <c r="I187" s="611">
        <v>8.6</v>
      </c>
      <c r="J187" s="611">
        <v>8.6</v>
      </c>
      <c r="K187" s="552"/>
    </row>
    <row r="188" spans="1:11" s="89" customFormat="1" ht="25.5" customHeight="1" x14ac:dyDescent="0.3">
      <c r="A188" s="547" t="s">
        <v>430</v>
      </c>
      <c r="B188" s="548" t="s">
        <v>551</v>
      </c>
      <c r="C188" s="547" t="s">
        <v>19</v>
      </c>
      <c r="D188" s="547" t="s">
        <v>552</v>
      </c>
      <c r="E188" s="688" t="s">
        <v>461</v>
      </c>
      <c r="F188" s="688"/>
      <c r="G188" s="549" t="s">
        <v>423</v>
      </c>
      <c r="H188" s="550">
        <v>1</v>
      </c>
      <c r="I188" s="551">
        <v>6.36</v>
      </c>
      <c r="J188" s="551">
        <v>6.36</v>
      </c>
      <c r="K188" s="546"/>
    </row>
    <row r="189" spans="1:11" ht="25.5" customHeight="1" thickBot="1" x14ac:dyDescent="0.35">
      <c r="A189" s="547" t="s">
        <v>430</v>
      </c>
      <c r="B189" s="548" t="s">
        <v>553</v>
      </c>
      <c r="C189" s="547" t="s">
        <v>19</v>
      </c>
      <c r="D189" s="547" t="s">
        <v>554</v>
      </c>
      <c r="E189" s="688" t="s">
        <v>461</v>
      </c>
      <c r="F189" s="688"/>
      <c r="G189" s="549" t="s">
        <v>423</v>
      </c>
      <c r="H189" s="550">
        <v>1</v>
      </c>
      <c r="I189" s="551">
        <v>2.2400000000000002</v>
      </c>
      <c r="J189" s="551">
        <v>2.2400000000000002</v>
      </c>
      <c r="K189" s="552"/>
    </row>
    <row r="190" spans="1:11" s="89" customFormat="1" ht="26.25" customHeight="1" thickTop="1" x14ac:dyDescent="0.3">
      <c r="A190" s="562"/>
      <c r="B190" s="562"/>
      <c r="C190" s="562"/>
      <c r="D190" s="562"/>
      <c r="E190" s="562"/>
      <c r="F190" s="562"/>
      <c r="G190" s="562"/>
      <c r="H190" s="562"/>
      <c r="I190" s="562"/>
      <c r="J190" s="562"/>
      <c r="K190" s="546"/>
    </row>
    <row r="191" spans="1:11" x14ac:dyDescent="0.3">
      <c r="A191" s="553"/>
      <c r="B191" s="554" t="s">
        <v>4</v>
      </c>
      <c r="C191" s="553" t="s">
        <v>5</v>
      </c>
      <c r="D191" s="553" t="s">
        <v>6</v>
      </c>
      <c r="E191" s="691" t="s">
        <v>427</v>
      </c>
      <c r="F191" s="691"/>
      <c r="G191" s="555" t="s">
        <v>7</v>
      </c>
      <c r="H191" s="554" t="s">
        <v>8</v>
      </c>
      <c r="I191" s="554" t="s">
        <v>9</v>
      </c>
      <c r="J191" s="554" t="s">
        <v>11</v>
      </c>
      <c r="K191" s="552"/>
    </row>
    <row r="192" spans="1:11" ht="25" x14ac:dyDescent="0.3">
      <c r="A192" s="607" t="s">
        <v>428</v>
      </c>
      <c r="B192" s="608" t="s">
        <v>106</v>
      </c>
      <c r="C192" s="607" t="s">
        <v>19</v>
      </c>
      <c r="D192" s="607" t="s">
        <v>3513</v>
      </c>
      <c r="E192" s="690" t="s">
        <v>555</v>
      </c>
      <c r="F192" s="690"/>
      <c r="G192" s="609" t="s">
        <v>556</v>
      </c>
      <c r="H192" s="610">
        <v>1</v>
      </c>
      <c r="I192" s="611">
        <v>3.07</v>
      </c>
      <c r="J192" s="611">
        <v>3.07</v>
      </c>
      <c r="K192" s="552"/>
    </row>
    <row r="193" spans="1:11" s="89" customFormat="1" ht="25" x14ac:dyDescent="0.3">
      <c r="A193" s="547" t="s">
        <v>430</v>
      </c>
      <c r="B193" s="548" t="s">
        <v>557</v>
      </c>
      <c r="C193" s="547" t="s">
        <v>19</v>
      </c>
      <c r="D193" s="547" t="s">
        <v>558</v>
      </c>
      <c r="E193" s="688" t="s">
        <v>429</v>
      </c>
      <c r="F193" s="688"/>
      <c r="G193" s="549" t="s">
        <v>423</v>
      </c>
      <c r="H193" s="550">
        <v>3.3700000000000001E-2</v>
      </c>
      <c r="I193" s="551">
        <v>25.36</v>
      </c>
      <c r="J193" s="551">
        <v>0.85</v>
      </c>
      <c r="K193" s="546"/>
    </row>
    <row r="194" spans="1:11" ht="15" customHeight="1" thickBot="1" x14ac:dyDescent="0.35">
      <c r="A194" s="547" t="s">
        <v>430</v>
      </c>
      <c r="B194" s="548" t="s">
        <v>559</v>
      </c>
      <c r="C194" s="547" t="s">
        <v>19</v>
      </c>
      <c r="D194" s="547" t="s">
        <v>560</v>
      </c>
      <c r="E194" s="688" t="s">
        <v>429</v>
      </c>
      <c r="F194" s="688"/>
      <c r="G194" s="549" t="s">
        <v>423</v>
      </c>
      <c r="H194" s="550">
        <v>9.5200000000000007E-2</v>
      </c>
      <c r="I194" s="551">
        <v>23.4</v>
      </c>
      <c r="J194" s="551">
        <v>2.2200000000000002</v>
      </c>
      <c r="K194" s="552"/>
    </row>
    <row r="195" spans="1:11" s="89" customFormat="1" ht="14.5" thickTop="1" x14ac:dyDescent="0.3">
      <c r="A195" s="562"/>
      <c r="B195" s="562"/>
      <c r="C195" s="562"/>
      <c r="D195" s="562"/>
      <c r="E195" s="562"/>
      <c r="F195" s="562"/>
      <c r="G195" s="562"/>
      <c r="H195" s="562"/>
      <c r="I195" s="562"/>
      <c r="J195" s="562"/>
      <c r="K195" s="546"/>
    </row>
    <row r="196" spans="1:11" x14ac:dyDescent="0.3">
      <c r="A196" s="553"/>
      <c r="B196" s="554" t="s">
        <v>4</v>
      </c>
      <c r="C196" s="553" t="s">
        <v>5</v>
      </c>
      <c r="D196" s="553" t="s">
        <v>6</v>
      </c>
      <c r="E196" s="691" t="s">
        <v>427</v>
      </c>
      <c r="F196" s="691"/>
      <c r="G196" s="555" t="s">
        <v>7</v>
      </c>
      <c r="H196" s="554" t="s">
        <v>8</v>
      </c>
      <c r="I196" s="554" t="s">
        <v>9</v>
      </c>
      <c r="J196" s="554" t="s">
        <v>11</v>
      </c>
      <c r="K196" s="552"/>
    </row>
    <row r="197" spans="1:11" ht="50" x14ac:dyDescent="0.3">
      <c r="A197" s="607" t="s">
        <v>428</v>
      </c>
      <c r="B197" s="608" t="s">
        <v>107</v>
      </c>
      <c r="C197" s="607" t="s">
        <v>19</v>
      </c>
      <c r="D197" s="607" t="s">
        <v>108</v>
      </c>
      <c r="E197" s="690" t="s">
        <v>561</v>
      </c>
      <c r="F197" s="690"/>
      <c r="G197" s="609" t="s">
        <v>532</v>
      </c>
      <c r="H197" s="610">
        <v>1</v>
      </c>
      <c r="I197" s="611">
        <v>8.81</v>
      </c>
      <c r="J197" s="611">
        <v>8.81</v>
      </c>
      <c r="K197" s="552"/>
    </row>
    <row r="198" spans="1:11" s="89" customFormat="1" ht="38.25" customHeight="1" x14ac:dyDescent="0.3">
      <c r="A198" s="547" t="s">
        <v>430</v>
      </c>
      <c r="B198" s="548" t="s">
        <v>562</v>
      </c>
      <c r="C198" s="547" t="s">
        <v>19</v>
      </c>
      <c r="D198" s="547" t="s">
        <v>563</v>
      </c>
      <c r="E198" s="688" t="s">
        <v>461</v>
      </c>
      <c r="F198" s="688"/>
      <c r="G198" s="549" t="s">
        <v>95</v>
      </c>
      <c r="H198" s="550">
        <v>8.3000000000000001E-3</v>
      </c>
      <c r="I198" s="551">
        <v>204.43</v>
      </c>
      <c r="J198" s="551">
        <v>1.69</v>
      </c>
      <c r="K198" s="546"/>
    </row>
    <row r="199" spans="1:11" ht="38.25" customHeight="1" x14ac:dyDescent="0.3">
      <c r="A199" s="547" t="s">
        <v>430</v>
      </c>
      <c r="B199" s="548" t="s">
        <v>564</v>
      </c>
      <c r="C199" s="547" t="s">
        <v>19</v>
      </c>
      <c r="D199" s="547" t="s">
        <v>565</v>
      </c>
      <c r="E199" s="688" t="s">
        <v>461</v>
      </c>
      <c r="F199" s="688"/>
      <c r="G199" s="549" t="s">
        <v>102</v>
      </c>
      <c r="H199" s="550">
        <v>8.5000000000000006E-3</v>
      </c>
      <c r="I199" s="551">
        <v>88.26</v>
      </c>
      <c r="J199" s="551">
        <v>0.75</v>
      </c>
      <c r="K199" s="552"/>
    </row>
    <row r="200" spans="1:11" ht="38.25" customHeight="1" x14ac:dyDescent="0.3">
      <c r="A200" s="547" t="s">
        <v>430</v>
      </c>
      <c r="B200" s="548" t="s">
        <v>566</v>
      </c>
      <c r="C200" s="547" t="s">
        <v>19</v>
      </c>
      <c r="D200" s="547" t="s">
        <v>567</v>
      </c>
      <c r="E200" s="688" t="s">
        <v>461</v>
      </c>
      <c r="F200" s="688"/>
      <c r="G200" s="549" t="s">
        <v>95</v>
      </c>
      <c r="H200" s="550">
        <v>1.6899999999999998E-2</v>
      </c>
      <c r="I200" s="551">
        <v>318.89</v>
      </c>
      <c r="J200" s="551">
        <v>5.38</v>
      </c>
      <c r="K200" s="552"/>
    </row>
    <row r="201" spans="1:11" ht="50.5" thickBot="1" x14ac:dyDescent="0.35">
      <c r="A201" s="547" t="s">
        <v>430</v>
      </c>
      <c r="B201" s="548" t="s">
        <v>568</v>
      </c>
      <c r="C201" s="547" t="s">
        <v>19</v>
      </c>
      <c r="D201" s="547" t="s">
        <v>569</v>
      </c>
      <c r="E201" s="688" t="s">
        <v>461</v>
      </c>
      <c r="F201" s="688"/>
      <c r="G201" s="549" t="s">
        <v>102</v>
      </c>
      <c r="H201" s="550">
        <v>1.0999999999999999E-2</v>
      </c>
      <c r="I201" s="551">
        <v>90.58</v>
      </c>
      <c r="J201" s="551">
        <v>0.99</v>
      </c>
      <c r="K201" s="552"/>
    </row>
    <row r="202" spans="1:11" ht="14.5" thickTop="1" x14ac:dyDescent="0.3">
      <c r="A202" s="562"/>
      <c r="B202" s="562"/>
      <c r="C202" s="562"/>
      <c r="D202" s="562"/>
      <c r="E202" s="562"/>
      <c r="F202" s="562"/>
      <c r="G202" s="562"/>
      <c r="H202" s="562"/>
      <c r="I202" s="562"/>
      <c r="J202" s="562"/>
      <c r="K202" s="552"/>
    </row>
    <row r="203" spans="1:11" x14ac:dyDescent="0.3">
      <c r="A203" s="553"/>
      <c r="B203" s="554" t="s">
        <v>4</v>
      </c>
      <c r="C203" s="553" t="s">
        <v>5</v>
      </c>
      <c r="D203" s="553" t="s">
        <v>6</v>
      </c>
      <c r="E203" s="691" t="s">
        <v>427</v>
      </c>
      <c r="F203" s="691"/>
      <c r="G203" s="555" t="s">
        <v>7</v>
      </c>
      <c r="H203" s="554" t="s">
        <v>8</v>
      </c>
      <c r="I203" s="554" t="s">
        <v>9</v>
      </c>
      <c r="J203" s="554" t="s">
        <v>11</v>
      </c>
      <c r="K203" s="552"/>
    </row>
    <row r="204" spans="1:11" s="89" customFormat="1" ht="25.5" customHeight="1" x14ac:dyDescent="0.3">
      <c r="A204" s="607" t="s">
        <v>428</v>
      </c>
      <c r="B204" s="608" t="s">
        <v>109</v>
      </c>
      <c r="C204" s="607" t="s">
        <v>19</v>
      </c>
      <c r="D204" s="607" t="s">
        <v>110</v>
      </c>
      <c r="E204" s="690" t="s">
        <v>561</v>
      </c>
      <c r="F204" s="690"/>
      <c r="G204" s="609" t="s">
        <v>111</v>
      </c>
      <c r="H204" s="610">
        <v>1</v>
      </c>
      <c r="I204" s="611">
        <v>2.1</v>
      </c>
      <c r="J204" s="611">
        <v>2.1</v>
      </c>
      <c r="K204" s="546"/>
    </row>
    <row r="205" spans="1:11" s="89" customFormat="1" ht="25.5" customHeight="1" x14ac:dyDescent="0.3">
      <c r="A205" s="547" t="s">
        <v>430</v>
      </c>
      <c r="B205" s="548" t="s">
        <v>566</v>
      </c>
      <c r="C205" s="547" t="s">
        <v>19</v>
      </c>
      <c r="D205" s="547" t="s">
        <v>567</v>
      </c>
      <c r="E205" s="688" t="s">
        <v>461</v>
      </c>
      <c r="F205" s="688"/>
      <c r="G205" s="549" t="s">
        <v>95</v>
      </c>
      <c r="H205" s="550">
        <v>5.8999999999999999E-3</v>
      </c>
      <c r="I205" s="551">
        <v>318.89</v>
      </c>
      <c r="J205" s="551">
        <v>1.88</v>
      </c>
      <c r="K205" s="546"/>
    </row>
    <row r="206" spans="1:11" s="89" customFormat="1" ht="50.5" thickBot="1" x14ac:dyDescent="0.35">
      <c r="A206" s="547" t="s">
        <v>430</v>
      </c>
      <c r="B206" s="548" t="s">
        <v>568</v>
      </c>
      <c r="C206" s="547" t="s">
        <v>19</v>
      </c>
      <c r="D206" s="547" t="s">
        <v>569</v>
      </c>
      <c r="E206" s="688" t="s">
        <v>461</v>
      </c>
      <c r="F206" s="688"/>
      <c r="G206" s="549" t="s">
        <v>102</v>
      </c>
      <c r="H206" s="550">
        <v>2.5000000000000001E-3</v>
      </c>
      <c r="I206" s="551">
        <v>90.58</v>
      </c>
      <c r="J206" s="551">
        <v>0.22</v>
      </c>
      <c r="K206" s="546"/>
    </row>
    <row r="207" spans="1:11" ht="14.5" thickTop="1" x14ac:dyDescent="0.3">
      <c r="A207" s="562"/>
      <c r="B207" s="562"/>
      <c r="C207" s="562"/>
      <c r="D207" s="562"/>
      <c r="E207" s="562"/>
      <c r="F207" s="562"/>
      <c r="G207" s="562"/>
      <c r="H207" s="562"/>
      <c r="I207" s="562"/>
      <c r="J207" s="562"/>
      <c r="K207" s="552"/>
    </row>
    <row r="208" spans="1:11" x14ac:dyDescent="0.3">
      <c r="A208" s="553"/>
      <c r="B208" s="554" t="s">
        <v>4</v>
      </c>
      <c r="C208" s="553" t="s">
        <v>5</v>
      </c>
      <c r="D208" s="553" t="s">
        <v>6</v>
      </c>
      <c r="E208" s="691" t="s">
        <v>427</v>
      </c>
      <c r="F208" s="691"/>
      <c r="G208" s="555" t="s">
        <v>7</v>
      </c>
      <c r="H208" s="554" t="s">
        <v>8</v>
      </c>
      <c r="I208" s="554" t="s">
        <v>9</v>
      </c>
      <c r="J208" s="554" t="s">
        <v>11</v>
      </c>
      <c r="K208" s="552"/>
    </row>
    <row r="209" spans="1:11" s="89" customFormat="1" ht="38.25" customHeight="1" x14ac:dyDescent="0.3">
      <c r="A209" s="607" t="s">
        <v>428</v>
      </c>
      <c r="B209" s="608" t="s">
        <v>112</v>
      </c>
      <c r="C209" s="607" t="s">
        <v>19</v>
      </c>
      <c r="D209" s="607" t="s">
        <v>113</v>
      </c>
      <c r="E209" s="690" t="s">
        <v>561</v>
      </c>
      <c r="F209" s="690"/>
      <c r="G209" s="609" t="s">
        <v>111</v>
      </c>
      <c r="H209" s="610">
        <v>1</v>
      </c>
      <c r="I209" s="611">
        <v>0.85</v>
      </c>
      <c r="J209" s="611">
        <v>0.85</v>
      </c>
      <c r="K209" s="546"/>
    </row>
    <row r="210" spans="1:11" s="89" customFormat="1" ht="38.25" customHeight="1" x14ac:dyDescent="0.3">
      <c r="A210" s="547" t="s">
        <v>430</v>
      </c>
      <c r="B210" s="548" t="s">
        <v>566</v>
      </c>
      <c r="C210" s="547" t="s">
        <v>19</v>
      </c>
      <c r="D210" s="547" t="s">
        <v>567</v>
      </c>
      <c r="E210" s="688" t="s">
        <v>461</v>
      </c>
      <c r="F210" s="688"/>
      <c r="G210" s="549" t="s">
        <v>95</v>
      </c>
      <c r="H210" s="550">
        <v>2.3999999999999998E-3</v>
      </c>
      <c r="I210" s="551">
        <v>318.89</v>
      </c>
      <c r="J210" s="551">
        <v>0.76</v>
      </c>
      <c r="K210" s="546"/>
    </row>
    <row r="211" spans="1:11" ht="50.5" thickBot="1" x14ac:dyDescent="0.35">
      <c r="A211" s="547" t="s">
        <v>430</v>
      </c>
      <c r="B211" s="548" t="s">
        <v>568</v>
      </c>
      <c r="C211" s="547" t="s">
        <v>19</v>
      </c>
      <c r="D211" s="547" t="s">
        <v>569</v>
      </c>
      <c r="E211" s="688" t="s">
        <v>461</v>
      </c>
      <c r="F211" s="688"/>
      <c r="G211" s="549" t="s">
        <v>102</v>
      </c>
      <c r="H211" s="550">
        <v>1E-3</v>
      </c>
      <c r="I211" s="551">
        <v>90.58</v>
      </c>
      <c r="J211" s="551">
        <v>0.09</v>
      </c>
      <c r="K211" s="552"/>
    </row>
    <row r="212" spans="1:11" ht="14.5" thickTop="1" x14ac:dyDescent="0.3">
      <c r="A212" s="562"/>
      <c r="B212" s="562"/>
      <c r="C212" s="562"/>
      <c r="D212" s="562"/>
      <c r="E212" s="562"/>
      <c r="F212" s="562"/>
      <c r="G212" s="562"/>
      <c r="H212" s="562"/>
      <c r="I212" s="562"/>
      <c r="J212" s="562"/>
      <c r="K212" s="552"/>
    </row>
    <row r="213" spans="1:11" x14ac:dyDescent="0.3">
      <c r="A213" s="553"/>
      <c r="B213" s="554" t="s">
        <v>4</v>
      </c>
      <c r="C213" s="553" t="s">
        <v>5</v>
      </c>
      <c r="D213" s="553" t="s">
        <v>6</v>
      </c>
      <c r="E213" s="691" t="s">
        <v>427</v>
      </c>
      <c r="F213" s="691"/>
      <c r="G213" s="555" t="s">
        <v>7</v>
      </c>
      <c r="H213" s="554" t="s">
        <v>8</v>
      </c>
      <c r="I213" s="554" t="s">
        <v>9</v>
      </c>
      <c r="J213" s="554" t="s">
        <v>11</v>
      </c>
      <c r="K213" s="552"/>
    </row>
    <row r="214" spans="1:11" s="89" customFormat="1" x14ac:dyDescent="0.3">
      <c r="A214" s="607" t="s">
        <v>428</v>
      </c>
      <c r="B214" s="608" t="s">
        <v>114</v>
      </c>
      <c r="C214" s="607" t="s">
        <v>115</v>
      </c>
      <c r="D214" s="607" t="s">
        <v>570</v>
      </c>
      <c r="E214" s="690" t="s">
        <v>402</v>
      </c>
      <c r="F214" s="690"/>
      <c r="G214" s="609" t="s">
        <v>532</v>
      </c>
      <c r="H214" s="610">
        <v>1</v>
      </c>
      <c r="I214" s="611">
        <v>7.29</v>
      </c>
      <c r="J214" s="611">
        <v>7.29</v>
      </c>
      <c r="K214" s="546"/>
    </row>
    <row r="215" spans="1:11" s="89" customFormat="1" ht="15" customHeight="1" x14ac:dyDescent="0.3">
      <c r="A215" s="691" t="s">
        <v>408</v>
      </c>
      <c r="B215" s="692" t="s">
        <v>4</v>
      </c>
      <c r="C215" s="691" t="s">
        <v>5</v>
      </c>
      <c r="D215" s="691" t="s">
        <v>462</v>
      </c>
      <c r="E215" s="692" t="s">
        <v>463</v>
      </c>
      <c r="F215" s="694" t="s">
        <v>464</v>
      </c>
      <c r="G215" s="692"/>
      <c r="H215" s="694" t="s">
        <v>465</v>
      </c>
      <c r="I215" s="692"/>
      <c r="J215" s="692" t="s">
        <v>466</v>
      </c>
      <c r="K215" s="546"/>
    </row>
    <row r="216" spans="1:11" x14ac:dyDescent="0.3">
      <c r="A216" s="692"/>
      <c r="B216" s="692"/>
      <c r="C216" s="692"/>
      <c r="D216" s="692"/>
      <c r="E216" s="692"/>
      <c r="F216" s="554" t="s">
        <v>467</v>
      </c>
      <c r="G216" s="554" t="s">
        <v>468</v>
      </c>
      <c r="H216" s="554" t="s">
        <v>467</v>
      </c>
      <c r="I216" s="554" t="s">
        <v>468</v>
      </c>
      <c r="J216" s="692"/>
      <c r="K216" s="552"/>
    </row>
    <row r="217" spans="1:11" s="89" customFormat="1" x14ac:dyDescent="0.3">
      <c r="A217" s="547" t="s">
        <v>433</v>
      </c>
      <c r="B217" s="548" t="s">
        <v>571</v>
      </c>
      <c r="C217" s="547" t="s">
        <v>115</v>
      </c>
      <c r="D217" s="547" t="s">
        <v>572</v>
      </c>
      <c r="E217" s="550">
        <v>1</v>
      </c>
      <c r="F217" s="551">
        <v>1</v>
      </c>
      <c r="G217" s="551">
        <v>0</v>
      </c>
      <c r="H217" s="563">
        <v>283.4787</v>
      </c>
      <c r="I217" s="563">
        <v>121.99</v>
      </c>
      <c r="J217" s="563">
        <v>283.4787</v>
      </c>
      <c r="K217" s="546"/>
    </row>
    <row r="218" spans="1:11" s="89" customFormat="1" ht="15" customHeight="1" x14ac:dyDescent="0.3">
      <c r="A218" s="689"/>
      <c r="B218" s="689"/>
      <c r="C218" s="689"/>
      <c r="D218" s="689"/>
      <c r="E218" s="689"/>
      <c r="F218" s="689" t="s">
        <v>471</v>
      </c>
      <c r="G218" s="689"/>
      <c r="H218" s="689"/>
      <c r="I218" s="689"/>
      <c r="J218" s="564">
        <v>283.4787</v>
      </c>
      <c r="K218" s="546"/>
    </row>
    <row r="219" spans="1:11" ht="14.25" customHeight="1" x14ac:dyDescent="0.3">
      <c r="A219" s="689"/>
      <c r="B219" s="689"/>
      <c r="C219" s="689"/>
      <c r="D219" s="689"/>
      <c r="E219" s="689"/>
      <c r="F219" s="689" t="s">
        <v>472</v>
      </c>
      <c r="G219" s="689"/>
      <c r="H219" s="689"/>
      <c r="I219" s="689"/>
      <c r="J219" s="564">
        <v>283.4787</v>
      </c>
      <c r="K219" s="552"/>
    </row>
    <row r="220" spans="1:11" s="89" customFormat="1" ht="15" customHeight="1" x14ac:dyDescent="0.3">
      <c r="A220" s="689"/>
      <c r="B220" s="689"/>
      <c r="C220" s="689"/>
      <c r="D220" s="689"/>
      <c r="E220" s="689"/>
      <c r="F220" s="689" t="s">
        <v>473</v>
      </c>
      <c r="G220" s="689"/>
      <c r="H220" s="689"/>
      <c r="I220" s="689"/>
      <c r="J220" s="564">
        <v>2.24E-2</v>
      </c>
      <c r="K220" s="546"/>
    </row>
    <row r="221" spans="1:11" x14ac:dyDescent="0.3">
      <c r="A221" s="689"/>
      <c r="B221" s="689"/>
      <c r="C221" s="689"/>
      <c r="D221" s="689"/>
      <c r="E221" s="689"/>
      <c r="F221" s="689" t="s">
        <v>474</v>
      </c>
      <c r="G221" s="689"/>
      <c r="H221" s="689"/>
      <c r="I221" s="689"/>
      <c r="J221" s="564">
        <v>2.7799999999999998E-2</v>
      </c>
      <c r="K221" s="552"/>
    </row>
    <row r="222" spans="1:11" ht="14.25" customHeight="1" x14ac:dyDescent="0.3">
      <c r="A222" s="689"/>
      <c r="B222" s="689"/>
      <c r="C222" s="689"/>
      <c r="D222" s="689"/>
      <c r="E222" s="689"/>
      <c r="F222" s="689" t="s">
        <v>475</v>
      </c>
      <c r="G222" s="689"/>
      <c r="H222" s="689"/>
      <c r="I222" s="689"/>
      <c r="J222" s="564">
        <v>228.21</v>
      </c>
      <c r="K222" s="552"/>
    </row>
    <row r="223" spans="1:11" ht="14.25" customHeight="1" x14ac:dyDescent="0.3">
      <c r="A223" s="689"/>
      <c r="B223" s="689"/>
      <c r="C223" s="689"/>
      <c r="D223" s="689"/>
      <c r="E223" s="689"/>
      <c r="F223" s="689" t="s">
        <v>476</v>
      </c>
      <c r="G223" s="689"/>
      <c r="H223" s="689"/>
      <c r="I223" s="689"/>
      <c r="J223" s="564">
        <v>1.2422</v>
      </c>
      <c r="K223" s="552"/>
    </row>
    <row r="224" spans="1:11" s="89" customFormat="1" ht="15" customHeight="1" x14ac:dyDescent="0.3">
      <c r="A224" s="553" t="s">
        <v>573</v>
      </c>
      <c r="B224" s="554" t="s">
        <v>5</v>
      </c>
      <c r="C224" s="553" t="s">
        <v>4</v>
      </c>
      <c r="D224" s="553" t="s">
        <v>574</v>
      </c>
      <c r="E224" s="554" t="s">
        <v>463</v>
      </c>
      <c r="F224" s="554" t="s">
        <v>575</v>
      </c>
      <c r="G224" s="692" t="s">
        <v>576</v>
      </c>
      <c r="H224" s="692"/>
      <c r="I224" s="692"/>
      <c r="J224" s="554" t="s">
        <v>466</v>
      </c>
      <c r="K224" s="546"/>
    </row>
    <row r="225" spans="1:11" ht="15" customHeight="1" x14ac:dyDescent="0.3">
      <c r="A225" s="547" t="s">
        <v>577</v>
      </c>
      <c r="B225" s="548" t="s">
        <v>19</v>
      </c>
      <c r="C225" s="547">
        <v>88316</v>
      </c>
      <c r="D225" s="547" t="s">
        <v>560</v>
      </c>
      <c r="E225" s="550">
        <v>1.75277E-2</v>
      </c>
      <c r="F225" s="549" t="s">
        <v>423</v>
      </c>
      <c r="G225" s="693">
        <v>23.4</v>
      </c>
      <c r="H225" s="693"/>
      <c r="I225" s="688"/>
      <c r="J225" s="563">
        <v>0.41010000000000002</v>
      </c>
      <c r="K225" s="552"/>
    </row>
    <row r="226" spans="1:11" s="89" customFormat="1" ht="15" customHeight="1" x14ac:dyDescent="0.3">
      <c r="A226" s="689"/>
      <c r="B226" s="689"/>
      <c r="C226" s="689"/>
      <c r="D226" s="689"/>
      <c r="E226" s="689"/>
      <c r="F226" s="689" t="s">
        <v>578</v>
      </c>
      <c r="G226" s="689"/>
      <c r="H226" s="689"/>
      <c r="I226" s="689"/>
      <c r="J226" s="564">
        <v>0.41010000000000002</v>
      </c>
      <c r="K226" s="546"/>
    </row>
    <row r="227" spans="1:11" ht="14.25" customHeight="1" x14ac:dyDescent="0.3">
      <c r="A227" s="553" t="s">
        <v>579</v>
      </c>
      <c r="B227" s="554" t="s">
        <v>5</v>
      </c>
      <c r="C227" s="553" t="s">
        <v>433</v>
      </c>
      <c r="D227" s="553" t="s">
        <v>580</v>
      </c>
      <c r="E227" s="554" t="s">
        <v>4</v>
      </c>
      <c r="F227" s="554" t="s">
        <v>463</v>
      </c>
      <c r="G227" s="555" t="s">
        <v>575</v>
      </c>
      <c r="H227" s="692" t="s">
        <v>576</v>
      </c>
      <c r="I227" s="692"/>
      <c r="J227" s="554" t="s">
        <v>466</v>
      </c>
      <c r="K227" s="552"/>
    </row>
    <row r="228" spans="1:11" ht="15" customHeight="1" x14ac:dyDescent="0.3">
      <c r="A228" s="547" t="s">
        <v>581</v>
      </c>
      <c r="B228" s="548" t="s">
        <v>115</v>
      </c>
      <c r="C228" s="547" t="s">
        <v>582</v>
      </c>
      <c r="D228" s="547" t="s">
        <v>583</v>
      </c>
      <c r="E228" s="548">
        <v>5915399</v>
      </c>
      <c r="F228" s="550">
        <v>2.0630000000000002</v>
      </c>
      <c r="G228" s="549" t="s">
        <v>584</v>
      </c>
      <c r="H228" s="693">
        <v>2.72</v>
      </c>
      <c r="I228" s="688"/>
      <c r="J228" s="563">
        <v>5.6113999999999997</v>
      </c>
      <c r="K228" s="552"/>
    </row>
    <row r="229" spans="1:11" ht="14.25" customHeight="1" x14ac:dyDescent="0.3">
      <c r="A229" s="689"/>
      <c r="B229" s="689"/>
      <c r="C229" s="689"/>
      <c r="D229" s="689"/>
      <c r="E229" s="689"/>
      <c r="F229" s="689" t="s">
        <v>585</v>
      </c>
      <c r="G229" s="689"/>
      <c r="H229" s="689"/>
      <c r="I229" s="689"/>
      <c r="J229" s="564">
        <v>5.6113999999999997</v>
      </c>
      <c r="K229" s="552"/>
    </row>
    <row r="230" spans="1:11" ht="14.25" customHeight="1" x14ac:dyDescent="0.3">
      <c r="A230" s="553" t="s">
        <v>586</v>
      </c>
      <c r="B230" s="554" t="s">
        <v>5</v>
      </c>
      <c r="C230" s="553" t="s">
        <v>433</v>
      </c>
      <c r="D230" s="553" t="s">
        <v>587</v>
      </c>
      <c r="E230" s="554" t="s">
        <v>463</v>
      </c>
      <c r="F230" s="554" t="s">
        <v>575</v>
      </c>
      <c r="G230" s="694" t="s">
        <v>588</v>
      </c>
      <c r="H230" s="692"/>
      <c r="I230" s="692"/>
      <c r="J230" s="554" t="s">
        <v>466</v>
      </c>
      <c r="K230" s="552"/>
    </row>
    <row r="231" spans="1:11" s="89" customFormat="1" x14ac:dyDescent="0.3">
      <c r="A231" s="555"/>
      <c r="B231" s="555"/>
      <c r="C231" s="555"/>
      <c r="D231" s="555"/>
      <c r="E231" s="555"/>
      <c r="F231" s="555"/>
      <c r="G231" s="555" t="s">
        <v>589</v>
      </c>
      <c r="H231" s="555" t="s">
        <v>590</v>
      </c>
      <c r="I231" s="555" t="s">
        <v>591</v>
      </c>
      <c r="J231" s="555"/>
      <c r="K231" s="546"/>
    </row>
    <row r="232" spans="1:11" ht="37.5" x14ac:dyDescent="0.3">
      <c r="A232" s="547" t="s">
        <v>587</v>
      </c>
      <c r="B232" s="548" t="s">
        <v>115</v>
      </c>
      <c r="C232" s="547" t="s">
        <v>582</v>
      </c>
      <c r="D232" s="547" t="s">
        <v>592</v>
      </c>
      <c r="E232" s="550">
        <v>2.0630000000000002</v>
      </c>
      <c r="F232" s="549" t="s">
        <v>593</v>
      </c>
      <c r="G232" s="548" t="s">
        <v>3829</v>
      </c>
      <c r="H232" s="548" t="s">
        <v>3830</v>
      </c>
      <c r="I232" s="548" t="s">
        <v>3831</v>
      </c>
      <c r="J232" s="563">
        <v>0</v>
      </c>
      <c r="K232" s="552"/>
    </row>
    <row r="233" spans="1:11" s="89" customFormat="1" ht="15.75" customHeight="1" thickBot="1" x14ac:dyDescent="0.35">
      <c r="A233" s="689"/>
      <c r="B233" s="689"/>
      <c r="C233" s="689"/>
      <c r="D233" s="689"/>
      <c r="E233" s="689"/>
      <c r="F233" s="689" t="s">
        <v>594</v>
      </c>
      <c r="G233" s="689"/>
      <c r="H233" s="689"/>
      <c r="I233" s="689"/>
      <c r="J233" s="564">
        <v>0</v>
      </c>
      <c r="K233" s="546"/>
    </row>
    <row r="234" spans="1:11" ht="14.5" thickTop="1" x14ac:dyDescent="0.3">
      <c r="A234" s="562"/>
      <c r="B234" s="562"/>
      <c r="C234" s="562"/>
      <c r="D234" s="562"/>
      <c r="E234" s="562"/>
      <c r="F234" s="562"/>
      <c r="G234" s="562"/>
      <c r="H234" s="562"/>
      <c r="I234" s="562"/>
      <c r="J234" s="562"/>
      <c r="K234" s="552"/>
    </row>
    <row r="235" spans="1:11" x14ac:dyDescent="0.3">
      <c r="A235" s="553"/>
      <c r="B235" s="554" t="s">
        <v>4</v>
      </c>
      <c r="C235" s="553" t="s">
        <v>5</v>
      </c>
      <c r="D235" s="553" t="s">
        <v>6</v>
      </c>
      <c r="E235" s="691" t="s">
        <v>427</v>
      </c>
      <c r="F235" s="691"/>
      <c r="G235" s="555" t="s">
        <v>7</v>
      </c>
      <c r="H235" s="554" t="s">
        <v>8</v>
      </c>
      <c r="I235" s="554" t="s">
        <v>9</v>
      </c>
      <c r="J235" s="554" t="s">
        <v>11</v>
      </c>
      <c r="K235" s="552"/>
    </row>
    <row r="236" spans="1:11" ht="50" x14ac:dyDescent="0.3">
      <c r="A236" s="607" t="s">
        <v>428</v>
      </c>
      <c r="B236" s="608" t="s">
        <v>116</v>
      </c>
      <c r="C236" s="607" t="s">
        <v>19</v>
      </c>
      <c r="D236" s="607" t="s">
        <v>117</v>
      </c>
      <c r="E236" s="690" t="s">
        <v>561</v>
      </c>
      <c r="F236" s="690"/>
      <c r="G236" s="609" t="s">
        <v>532</v>
      </c>
      <c r="H236" s="610">
        <v>1</v>
      </c>
      <c r="I236" s="611">
        <v>6.53</v>
      </c>
      <c r="J236" s="611">
        <v>6.53</v>
      </c>
      <c r="K236" s="552"/>
    </row>
    <row r="237" spans="1:11" s="89" customFormat="1" ht="38.25" customHeight="1" x14ac:dyDescent="0.3">
      <c r="A237" s="547" t="s">
        <v>430</v>
      </c>
      <c r="B237" s="548" t="s">
        <v>595</v>
      </c>
      <c r="C237" s="547" t="s">
        <v>19</v>
      </c>
      <c r="D237" s="547" t="s">
        <v>596</v>
      </c>
      <c r="E237" s="688" t="s">
        <v>461</v>
      </c>
      <c r="F237" s="688"/>
      <c r="G237" s="549" t="s">
        <v>95</v>
      </c>
      <c r="H237" s="550">
        <v>4.1999999999999997E-3</v>
      </c>
      <c r="I237" s="551">
        <v>242.79</v>
      </c>
      <c r="J237" s="551">
        <v>1.01</v>
      </c>
      <c r="K237" s="546"/>
    </row>
    <row r="238" spans="1:11" ht="38.25" customHeight="1" x14ac:dyDescent="0.3">
      <c r="A238" s="547" t="s">
        <v>430</v>
      </c>
      <c r="B238" s="548" t="s">
        <v>597</v>
      </c>
      <c r="C238" s="547" t="s">
        <v>19</v>
      </c>
      <c r="D238" s="547" t="s">
        <v>598</v>
      </c>
      <c r="E238" s="688" t="s">
        <v>461</v>
      </c>
      <c r="F238" s="688"/>
      <c r="G238" s="549" t="s">
        <v>102</v>
      </c>
      <c r="H238" s="550">
        <v>6.7000000000000002E-3</v>
      </c>
      <c r="I238" s="551">
        <v>95.97</v>
      </c>
      <c r="J238" s="551">
        <v>0.64</v>
      </c>
      <c r="K238" s="552"/>
    </row>
    <row r="239" spans="1:11" s="89" customFormat="1" ht="38.25" customHeight="1" x14ac:dyDescent="0.3">
      <c r="A239" s="547" t="s">
        <v>430</v>
      </c>
      <c r="B239" s="548" t="s">
        <v>566</v>
      </c>
      <c r="C239" s="547" t="s">
        <v>19</v>
      </c>
      <c r="D239" s="547" t="s">
        <v>567</v>
      </c>
      <c r="E239" s="688" t="s">
        <v>461</v>
      </c>
      <c r="F239" s="688"/>
      <c r="G239" s="549" t="s">
        <v>95</v>
      </c>
      <c r="H239" s="550">
        <v>1.2699999999999999E-2</v>
      </c>
      <c r="I239" s="551">
        <v>318.89</v>
      </c>
      <c r="J239" s="551">
        <v>4.04</v>
      </c>
      <c r="K239" s="546"/>
    </row>
    <row r="240" spans="1:11" ht="50.5" thickBot="1" x14ac:dyDescent="0.35">
      <c r="A240" s="547" t="s">
        <v>430</v>
      </c>
      <c r="B240" s="548" t="s">
        <v>568</v>
      </c>
      <c r="C240" s="547" t="s">
        <v>19</v>
      </c>
      <c r="D240" s="547" t="s">
        <v>569</v>
      </c>
      <c r="E240" s="688" t="s">
        <v>461</v>
      </c>
      <c r="F240" s="688"/>
      <c r="G240" s="549" t="s">
        <v>102</v>
      </c>
      <c r="H240" s="550">
        <v>9.2999999999999992E-3</v>
      </c>
      <c r="I240" s="551">
        <v>90.58</v>
      </c>
      <c r="J240" s="551">
        <v>0.84</v>
      </c>
      <c r="K240" s="552"/>
    </row>
    <row r="241" spans="1:11" s="89" customFormat="1" ht="14.5" thickTop="1" x14ac:dyDescent="0.3">
      <c r="A241" s="562"/>
      <c r="B241" s="562"/>
      <c r="C241" s="562"/>
      <c r="D241" s="562"/>
      <c r="E241" s="562"/>
      <c r="F241" s="562"/>
      <c r="G241" s="562"/>
      <c r="H241" s="562"/>
      <c r="I241" s="562"/>
      <c r="J241" s="562"/>
      <c r="K241" s="546"/>
    </row>
    <row r="242" spans="1:11" x14ac:dyDescent="0.3">
      <c r="A242" s="553"/>
      <c r="B242" s="554" t="s">
        <v>4</v>
      </c>
      <c r="C242" s="553" t="s">
        <v>5</v>
      </c>
      <c r="D242" s="553" t="s">
        <v>6</v>
      </c>
      <c r="E242" s="691" t="s">
        <v>427</v>
      </c>
      <c r="F242" s="691"/>
      <c r="G242" s="555" t="s">
        <v>7</v>
      </c>
      <c r="H242" s="554" t="s">
        <v>8</v>
      </c>
      <c r="I242" s="554" t="s">
        <v>9</v>
      </c>
      <c r="J242" s="554" t="s">
        <v>11</v>
      </c>
      <c r="K242" s="552"/>
    </row>
    <row r="243" spans="1:11" x14ac:dyDescent="0.3">
      <c r="A243" s="607" t="s">
        <v>428</v>
      </c>
      <c r="B243" s="608" t="s">
        <v>118</v>
      </c>
      <c r="C243" s="607" t="s">
        <v>115</v>
      </c>
      <c r="D243" s="607" t="s">
        <v>599</v>
      </c>
      <c r="E243" s="690" t="s">
        <v>402</v>
      </c>
      <c r="F243" s="690"/>
      <c r="G243" s="609" t="s">
        <v>532</v>
      </c>
      <c r="H243" s="610">
        <v>1</v>
      </c>
      <c r="I243" s="611">
        <v>1.97</v>
      </c>
      <c r="J243" s="611">
        <v>1.97</v>
      </c>
      <c r="K243" s="552"/>
    </row>
    <row r="244" spans="1:11" s="89" customFormat="1" ht="15" customHeight="1" x14ac:dyDescent="0.3">
      <c r="A244" s="691" t="s">
        <v>408</v>
      </c>
      <c r="B244" s="692" t="s">
        <v>4</v>
      </c>
      <c r="C244" s="691" t="s">
        <v>5</v>
      </c>
      <c r="D244" s="691" t="s">
        <v>462</v>
      </c>
      <c r="E244" s="692" t="s">
        <v>463</v>
      </c>
      <c r="F244" s="694" t="s">
        <v>464</v>
      </c>
      <c r="G244" s="692"/>
      <c r="H244" s="694" t="s">
        <v>465</v>
      </c>
      <c r="I244" s="692"/>
      <c r="J244" s="692" t="s">
        <v>466</v>
      </c>
      <c r="K244" s="546"/>
    </row>
    <row r="245" spans="1:11" x14ac:dyDescent="0.3">
      <c r="A245" s="692"/>
      <c r="B245" s="692"/>
      <c r="C245" s="692"/>
      <c r="D245" s="692"/>
      <c r="E245" s="692"/>
      <c r="F245" s="554" t="s">
        <v>467</v>
      </c>
      <c r="G245" s="554" t="s">
        <v>468</v>
      </c>
      <c r="H245" s="554" t="s">
        <v>467</v>
      </c>
      <c r="I245" s="554" t="s">
        <v>468</v>
      </c>
      <c r="J245" s="692"/>
      <c r="K245" s="552"/>
    </row>
    <row r="246" spans="1:11" x14ac:dyDescent="0.3">
      <c r="A246" s="547" t="s">
        <v>433</v>
      </c>
      <c r="B246" s="548" t="s">
        <v>600</v>
      </c>
      <c r="C246" s="547" t="s">
        <v>115</v>
      </c>
      <c r="D246" s="547" t="s">
        <v>601</v>
      </c>
      <c r="E246" s="550">
        <v>1</v>
      </c>
      <c r="F246" s="551">
        <v>1</v>
      </c>
      <c r="G246" s="551">
        <v>0</v>
      </c>
      <c r="H246" s="563">
        <v>318.10449999999997</v>
      </c>
      <c r="I246" s="563">
        <v>127.1142</v>
      </c>
      <c r="J246" s="563">
        <v>318.10449999999997</v>
      </c>
      <c r="K246" s="552"/>
    </row>
    <row r="247" spans="1:11" ht="14.25" customHeight="1" x14ac:dyDescent="0.3">
      <c r="A247" s="689"/>
      <c r="B247" s="689"/>
      <c r="C247" s="689"/>
      <c r="D247" s="689"/>
      <c r="E247" s="689"/>
      <c r="F247" s="689" t="s">
        <v>471</v>
      </c>
      <c r="G247" s="689"/>
      <c r="H247" s="689"/>
      <c r="I247" s="689"/>
      <c r="J247" s="564">
        <v>318.10449999999997</v>
      </c>
      <c r="K247" s="552"/>
    </row>
    <row r="248" spans="1:11" ht="14.25" customHeight="1" x14ac:dyDescent="0.3">
      <c r="A248" s="689"/>
      <c r="B248" s="689"/>
      <c r="C248" s="689"/>
      <c r="D248" s="689"/>
      <c r="E248" s="689"/>
      <c r="F248" s="689" t="s">
        <v>472</v>
      </c>
      <c r="G248" s="689"/>
      <c r="H248" s="689"/>
      <c r="I248" s="689"/>
      <c r="J248" s="564">
        <v>318.10449999999997</v>
      </c>
      <c r="K248" s="552"/>
    </row>
    <row r="249" spans="1:11" s="89" customFormat="1" ht="15" customHeight="1" x14ac:dyDescent="0.3">
      <c r="A249" s="689"/>
      <c r="B249" s="689"/>
      <c r="C249" s="689"/>
      <c r="D249" s="689"/>
      <c r="E249" s="689"/>
      <c r="F249" s="689" t="s">
        <v>473</v>
      </c>
      <c r="G249" s="689"/>
      <c r="H249" s="689"/>
      <c r="I249" s="689"/>
      <c r="J249" s="564">
        <v>2.24E-2</v>
      </c>
      <c r="K249" s="546"/>
    </row>
    <row r="250" spans="1:11" x14ac:dyDescent="0.3">
      <c r="A250" s="689"/>
      <c r="B250" s="689"/>
      <c r="C250" s="689"/>
      <c r="D250" s="689"/>
      <c r="E250" s="689"/>
      <c r="F250" s="689" t="s">
        <v>474</v>
      </c>
      <c r="G250" s="689"/>
      <c r="H250" s="689"/>
      <c r="I250" s="689"/>
      <c r="J250" s="564">
        <v>4.0300000000000002E-2</v>
      </c>
      <c r="K250" s="552"/>
    </row>
    <row r="251" spans="1:11" s="89" customFormat="1" ht="15" customHeight="1" x14ac:dyDescent="0.3">
      <c r="A251" s="689"/>
      <c r="B251" s="689"/>
      <c r="C251" s="689"/>
      <c r="D251" s="689"/>
      <c r="E251" s="689"/>
      <c r="F251" s="689" t="s">
        <v>475</v>
      </c>
      <c r="G251" s="689"/>
      <c r="H251" s="689"/>
      <c r="I251" s="689"/>
      <c r="J251" s="564">
        <v>176.81</v>
      </c>
      <c r="K251" s="546"/>
    </row>
    <row r="252" spans="1:11" ht="14.25" customHeight="1" x14ac:dyDescent="0.3">
      <c r="A252" s="689"/>
      <c r="B252" s="689"/>
      <c r="C252" s="689"/>
      <c r="D252" s="689"/>
      <c r="E252" s="689"/>
      <c r="F252" s="689" t="s">
        <v>476</v>
      </c>
      <c r="G252" s="689"/>
      <c r="H252" s="689"/>
      <c r="I252" s="689"/>
      <c r="J252" s="564">
        <v>1.7990999999999999</v>
      </c>
      <c r="K252" s="552"/>
    </row>
    <row r="253" spans="1:11" ht="14.25" customHeight="1" x14ac:dyDescent="0.3">
      <c r="A253" s="553" t="s">
        <v>573</v>
      </c>
      <c r="B253" s="554" t="s">
        <v>5</v>
      </c>
      <c r="C253" s="553" t="s">
        <v>4</v>
      </c>
      <c r="D253" s="553" t="s">
        <v>574</v>
      </c>
      <c r="E253" s="554" t="s">
        <v>463</v>
      </c>
      <c r="F253" s="554" t="s">
        <v>575</v>
      </c>
      <c r="G253" s="692" t="s">
        <v>576</v>
      </c>
      <c r="H253" s="692"/>
      <c r="I253" s="692"/>
      <c r="J253" s="554" t="s">
        <v>466</v>
      </c>
      <c r="K253" s="552"/>
    </row>
    <row r="254" spans="1:11" ht="15" customHeight="1" x14ac:dyDescent="0.3">
      <c r="A254" s="547" t="s">
        <v>577</v>
      </c>
      <c r="B254" s="548" t="s">
        <v>19</v>
      </c>
      <c r="C254" s="547">
        <v>88316</v>
      </c>
      <c r="D254" s="547" t="s">
        <v>560</v>
      </c>
      <c r="E254" s="550">
        <v>5.6557999999999999E-3</v>
      </c>
      <c r="F254" s="549" t="s">
        <v>423</v>
      </c>
      <c r="G254" s="693">
        <v>23.4</v>
      </c>
      <c r="H254" s="693"/>
      <c r="I254" s="688"/>
      <c r="J254" s="563">
        <v>0.1323</v>
      </c>
      <c r="K254" s="552"/>
    </row>
    <row r="255" spans="1:11" s="89" customFormat="1" ht="15.75" customHeight="1" thickBot="1" x14ac:dyDescent="0.35">
      <c r="A255" s="689"/>
      <c r="B255" s="689"/>
      <c r="C255" s="689"/>
      <c r="D255" s="689"/>
      <c r="E255" s="689"/>
      <c r="F255" s="689" t="s">
        <v>578</v>
      </c>
      <c r="G255" s="689"/>
      <c r="H255" s="689"/>
      <c r="I255" s="689"/>
      <c r="J255" s="564">
        <v>0.1323</v>
      </c>
      <c r="K255" s="546"/>
    </row>
    <row r="256" spans="1:11" ht="14.5" thickTop="1" x14ac:dyDescent="0.3">
      <c r="A256" s="562"/>
      <c r="B256" s="562"/>
      <c r="C256" s="562"/>
      <c r="D256" s="562"/>
      <c r="E256" s="562"/>
      <c r="F256" s="562"/>
      <c r="G256" s="562"/>
      <c r="H256" s="562"/>
      <c r="I256" s="562"/>
      <c r="J256" s="562"/>
      <c r="K256" s="552"/>
    </row>
    <row r="257" spans="1:11" x14ac:dyDescent="0.3">
      <c r="A257" s="553"/>
      <c r="B257" s="554" t="s">
        <v>4</v>
      </c>
      <c r="C257" s="553" t="s">
        <v>5</v>
      </c>
      <c r="D257" s="553" t="s">
        <v>6</v>
      </c>
      <c r="E257" s="691" t="s">
        <v>427</v>
      </c>
      <c r="F257" s="691"/>
      <c r="G257" s="555" t="s">
        <v>7</v>
      </c>
      <c r="H257" s="554" t="s">
        <v>8</v>
      </c>
      <c r="I257" s="554" t="s">
        <v>9</v>
      </c>
      <c r="J257" s="554" t="s">
        <v>11</v>
      </c>
      <c r="K257" s="552"/>
    </row>
    <row r="258" spans="1:11" s="89" customFormat="1" x14ac:dyDescent="0.3">
      <c r="A258" s="607" t="s">
        <v>428</v>
      </c>
      <c r="B258" s="608" t="s">
        <v>119</v>
      </c>
      <c r="C258" s="607" t="s">
        <v>19</v>
      </c>
      <c r="D258" s="607" t="s">
        <v>3775</v>
      </c>
      <c r="E258" s="690" t="s">
        <v>602</v>
      </c>
      <c r="F258" s="690"/>
      <c r="G258" s="609" t="s">
        <v>556</v>
      </c>
      <c r="H258" s="610">
        <v>1</v>
      </c>
      <c r="I258" s="611">
        <v>4.04</v>
      </c>
      <c r="J258" s="611">
        <v>4.04</v>
      </c>
      <c r="K258" s="546"/>
    </row>
    <row r="259" spans="1:11" s="89" customFormat="1" ht="15" customHeight="1" x14ac:dyDescent="0.3">
      <c r="A259" s="547" t="s">
        <v>430</v>
      </c>
      <c r="B259" s="548" t="s">
        <v>559</v>
      </c>
      <c r="C259" s="547" t="s">
        <v>19</v>
      </c>
      <c r="D259" s="547" t="s">
        <v>560</v>
      </c>
      <c r="E259" s="688" t="s">
        <v>429</v>
      </c>
      <c r="F259" s="688"/>
      <c r="G259" s="549" t="s">
        <v>423</v>
      </c>
      <c r="H259" s="550">
        <v>0.14000000000000001</v>
      </c>
      <c r="I259" s="551">
        <v>23.4</v>
      </c>
      <c r="J259" s="551">
        <v>3.27</v>
      </c>
      <c r="K259" s="546"/>
    </row>
    <row r="260" spans="1:11" s="89" customFormat="1" ht="15" customHeight="1" thickBot="1" x14ac:dyDescent="0.35">
      <c r="A260" s="547" t="s">
        <v>430</v>
      </c>
      <c r="B260" s="548" t="s">
        <v>603</v>
      </c>
      <c r="C260" s="547" t="s">
        <v>19</v>
      </c>
      <c r="D260" s="547" t="s">
        <v>604</v>
      </c>
      <c r="E260" s="688" t="s">
        <v>429</v>
      </c>
      <c r="F260" s="688"/>
      <c r="G260" s="549" t="s">
        <v>423</v>
      </c>
      <c r="H260" s="550">
        <v>2.8000000000000001E-2</v>
      </c>
      <c r="I260" s="551">
        <v>27.63</v>
      </c>
      <c r="J260" s="551">
        <v>0.77</v>
      </c>
      <c r="K260" s="546"/>
    </row>
    <row r="261" spans="1:11" ht="14.5" thickTop="1" x14ac:dyDescent="0.3">
      <c r="A261" s="562"/>
      <c r="B261" s="562"/>
      <c r="C261" s="562"/>
      <c r="D261" s="562"/>
      <c r="E261" s="562"/>
      <c r="F261" s="562"/>
      <c r="G261" s="562"/>
      <c r="H261" s="562"/>
      <c r="I261" s="562"/>
      <c r="J261" s="562"/>
      <c r="K261" s="552"/>
    </row>
    <row r="262" spans="1:11" x14ac:dyDescent="0.3">
      <c r="A262" s="553"/>
      <c r="B262" s="554" t="s">
        <v>4</v>
      </c>
      <c r="C262" s="553" t="s">
        <v>5</v>
      </c>
      <c r="D262" s="553" t="s">
        <v>6</v>
      </c>
      <c r="E262" s="691" t="s">
        <v>427</v>
      </c>
      <c r="F262" s="691"/>
      <c r="G262" s="555" t="s">
        <v>7</v>
      </c>
      <c r="H262" s="554" t="s">
        <v>8</v>
      </c>
      <c r="I262" s="554" t="s">
        <v>9</v>
      </c>
      <c r="J262" s="554" t="s">
        <v>11</v>
      </c>
      <c r="K262" s="552"/>
    </row>
    <row r="263" spans="1:11" x14ac:dyDescent="0.3">
      <c r="A263" s="607" t="s">
        <v>428</v>
      </c>
      <c r="B263" s="608" t="s">
        <v>120</v>
      </c>
      <c r="C263" s="607" t="s">
        <v>19</v>
      </c>
      <c r="D263" s="607" t="s">
        <v>3776</v>
      </c>
      <c r="E263" s="690" t="s">
        <v>602</v>
      </c>
      <c r="F263" s="690"/>
      <c r="G263" s="609" t="s">
        <v>556</v>
      </c>
      <c r="H263" s="610">
        <v>1</v>
      </c>
      <c r="I263" s="611">
        <v>5.38</v>
      </c>
      <c r="J263" s="611">
        <v>5.38</v>
      </c>
      <c r="K263" s="552"/>
    </row>
    <row r="264" spans="1:11" s="89" customFormat="1" ht="15" customHeight="1" x14ac:dyDescent="0.3">
      <c r="A264" s="547" t="s">
        <v>430</v>
      </c>
      <c r="B264" s="548" t="s">
        <v>559</v>
      </c>
      <c r="C264" s="547" t="s">
        <v>19</v>
      </c>
      <c r="D264" s="547" t="s">
        <v>560</v>
      </c>
      <c r="E264" s="688" t="s">
        <v>429</v>
      </c>
      <c r="F264" s="688"/>
      <c r="G264" s="549" t="s">
        <v>423</v>
      </c>
      <c r="H264" s="550">
        <v>5.5800000000000002E-2</v>
      </c>
      <c r="I264" s="551">
        <v>23.4</v>
      </c>
      <c r="J264" s="551">
        <v>1.3</v>
      </c>
      <c r="K264" s="546"/>
    </row>
    <row r="265" spans="1:11" ht="14.25" customHeight="1" x14ac:dyDescent="0.3">
      <c r="A265" s="547" t="s">
        <v>430</v>
      </c>
      <c r="B265" s="548" t="s">
        <v>603</v>
      </c>
      <c r="C265" s="547" t="s">
        <v>19</v>
      </c>
      <c r="D265" s="547" t="s">
        <v>604</v>
      </c>
      <c r="E265" s="688" t="s">
        <v>429</v>
      </c>
      <c r="F265" s="688"/>
      <c r="G265" s="549" t="s">
        <v>423</v>
      </c>
      <c r="H265" s="550">
        <v>1.12E-2</v>
      </c>
      <c r="I265" s="551">
        <v>27.63</v>
      </c>
      <c r="J265" s="551">
        <v>0.3</v>
      </c>
      <c r="K265" s="552"/>
    </row>
    <row r="266" spans="1:11" x14ac:dyDescent="0.3">
      <c r="A266" s="547" t="s">
        <v>433</v>
      </c>
      <c r="B266" s="548" t="s">
        <v>605</v>
      </c>
      <c r="C266" s="547" t="s">
        <v>19</v>
      </c>
      <c r="D266" s="547" t="s">
        <v>606</v>
      </c>
      <c r="E266" s="688" t="s">
        <v>438</v>
      </c>
      <c r="F266" s="688"/>
      <c r="G266" s="549" t="s">
        <v>424</v>
      </c>
      <c r="H266" s="550">
        <v>0.125</v>
      </c>
      <c r="I266" s="551">
        <v>3.14</v>
      </c>
      <c r="J266" s="551">
        <v>0.39</v>
      </c>
      <c r="K266" s="552"/>
    </row>
    <row r="267" spans="1:11" ht="14.5" thickBot="1" x14ac:dyDescent="0.35">
      <c r="A267" s="547" t="s">
        <v>433</v>
      </c>
      <c r="B267" s="548" t="s">
        <v>607</v>
      </c>
      <c r="C267" s="547" t="s">
        <v>19</v>
      </c>
      <c r="D267" s="547" t="s">
        <v>608</v>
      </c>
      <c r="E267" s="688" t="s">
        <v>438</v>
      </c>
      <c r="F267" s="688"/>
      <c r="G267" s="549" t="s">
        <v>424</v>
      </c>
      <c r="H267" s="550">
        <v>2.6526000000000001</v>
      </c>
      <c r="I267" s="551">
        <v>1.28</v>
      </c>
      <c r="J267" s="551">
        <v>3.39</v>
      </c>
      <c r="K267" s="552"/>
    </row>
    <row r="268" spans="1:11" s="89" customFormat="1" ht="14.5" thickTop="1" x14ac:dyDescent="0.3">
      <c r="A268" s="562"/>
      <c r="B268" s="562"/>
      <c r="C268" s="562"/>
      <c r="D268" s="562"/>
      <c r="E268" s="562"/>
      <c r="F268" s="562"/>
      <c r="G268" s="562"/>
      <c r="H268" s="562"/>
      <c r="I268" s="562"/>
      <c r="J268" s="562"/>
      <c r="K268" s="546"/>
    </row>
    <row r="269" spans="1:11" x14ac:dyDescent="0.3">
      <c r="A269" s="553"/>
      <c r="B269" s="554" t="s">
        <v>4</v>
      </c>
      <c r="C269" s="553" t="s">
        <v>5</v>
      </c>
      <c r="D269" s="553" t="s">
        <v>6</v>
      </c>
      <c r="E269" s="691" t="s">
        <v>427</v>
      </c>
      <c r="F269" s="691"/>
      <c r="G269" s="555" t="s">
        <v>7</v>
      </c>
      <c r="H269" s="554" t="s">
        <v>8</v>
      </c>
      <c r="I269" s="554" t="s">
        <v>9</v>
      </c>
      <c r="J269" s="554" t="s">
        <v>11</v>
      </c>
      <c r="K269" s="552"/>
    </row>
    <row r="270" spans="1:11" ht="25" x14ac:dyDescent="0.3">
      <c r="A270" s="607" t="s">
        <v>428</v>
      </c>
      <c r="B270" s="608" t="s">
        <v>121</v>
      </c>
      <c r="C270" s="607" t="s">
        <v>19</v>
      </c>
      <c r="D270" s="607" t="s">
        <v>3777</v>
      </c>
      <c r="E270" s="690" t="s">
        <v>602</v>
      </c>
      <c r="F270" s="690"/>
      <c r="G270" s="609" t="s">
        <v>556</v>
      </c>
      <c r="H270" s="610">
        <v>1</v>
      </c>
      <c r="I270" s="611">
        <v>0.4</v>
      </c>
      <c r="J270" s="611">
        <v>0.4</v>
      </c>
      <c r="K270" s="552"/>
    </row>
    <row r="271" spans="1:11" s="89" customFormat="1" ht="15" customHeight="1" x14ac:dyDescent="0.3">
      <c r="A271" s="547" t="s">
        <v>430</v>
      </c>
      <c r="B271" s="548" t="s">
        <v>559</v>
      </c>
      <c r="C271" s="547" t="s">
        <v>19</v>
      </c>
      <c r="D271" s="547" t="s">
        <v>560</v>
      </c>
      <c r="E271" s="688" t="s">
        <v>429</v>
      </c>
      <c r="F271" s="688"/>
      <c r="G271" s="549" t="s">
        <v>423</v>
      </c>
      <c r="H271" s="550">
        <v>1.1599999999999999E-2</v>
      </c>
      <c r="I271" s="551">
        <v>23.4</v>
      </c>
      <c r="J271" s="551">
        <v>0.27</v>
      </c>
      <c r="K271" s="546"/>
    </row>
    <row r="272" spans="1:11" ht="14.25" customHeight="1" x14ac:dyDescent="0.3">
      <c r="A272" s="547" t="s">
        <v>430</v>
      </c>
      <c r="B272" s="548" t="s">
        <v>603</v>
      </c>
      <c r="C272" s="547" t="s">
        <v>19</v>
      </c>
      <c r="D272" s="547" t="s">
        <v>604</v>
      </c>
      <c r="E272" s="688" t="s">
        <v>429</v>
      </c>
      <c r="F272" s="688"/>
      <c r="G272" s="549" t="s">
        <v>423</v>
      </c>
      <c r="H272" s="550">
        <v>2.3E-3</v>
      </c>
      <c r="I272" s="551">
        <v>27.63</v>
      </c>
      <c r="J272" s="551">
        <v>0.06</v>
      </c>
      <c r="K272" s="552"/>
    </row>
    <row r="273" spans="1:11" ht="14.25" customHeight="1" thickBot="1" x14ac:dyDescent="0.35">
      <c r="A273" s="547" t="s">
        <v>433</v>
      </c>
      <c r="B273" s="548" t="s">
        <v>609</v>
      </c>
      <c r="C273" s="547" t="s">
        <v>19</v>
      </c>
      <c r="D273" s="547" t="s">
        <v>610</v>
      </c>
      <c r="E273" s="688" t="s">
        <v>438</v>
      </c>
      <c r="F273" s="688"/>
      <c r="G273" s="549" t="s">
        <v>424</v>
      </c>
      <c r="H273" s="550">
        <v>0.25</v>
      </c>
      <c r="I273" s="551">
        <v>0.3</v>
      </c>
      <c r="J273" s="551">
        <v>7.0000000000000007E-2</v>
      </c>
      <c r="K273" s="552"/>
    </row>
    <row r="274" spans="1:11" s="89" customFormat="1" ht="14.5" thickTop="1" x14ac:dyDescent="0.3">
      <c r="A274" s="562"/>
      <c r="B274" s="562"/>
      <c r="C274" s="562"/>
      <c r="D274" s="562"/>
      <c r="E274" s="562"/>
      <c r="F274" s="562"/>
      <c r="G274" s="562"/>
      <c r="H274" s="562"/>
      <c r="I274" s="562"/>
      <c r="J274" s="562"/>
      <c r="K274" s="546"/>
    </row>
    <row r="275" spans="1:11" x14ac:dyDescent="0.3">
      <c r="A275" s="553"/>
      <c r="B275" s="554" t="s">
        <v>4</v>
      </c>
      <c r="C275" s="553" t="s">
        <v>5</v>
      </c>
      <c r="D275" s="553" t="s">
        <v>6</v>
      </c>
      <c r="E275" s="691" t="s">
        <v>427</v>
      </c>
      <c r="F275" s="691"/>
      <c r="G275" s="555" t="s">
        <v>7</v>
      </c>
      <c r="H275" s="554" t="s">
        <v>8</v>
      </c>
      <c r="I275" s="554" t="s">
        <v>9</v>
      </c>
      <c r="J275" s="554" t="s">
        <v>11</v>
      </c>
      <c r="K275" s="552"/>
    </row>
    <row r="276" spans="1:11" x14ac:dyDescent="0.3">
      <c r="A276" s="607" t="s">
        <v>428</v>
      </c>
      <c r="B276" s="608" t="s">
        <v>122</v>
      </c>
      <c r="C276" s="607" t="s">
        <v>19</v>
      </c>
      <c r="D276" s="607" t="s">
        <v>3778</v>
      </c>
      <c r="E276" s="690" t="s">
        <v>602</v>
      </c>
      <c r="F276" s="690"/>
      <c r="G276" s="609" t="s">
        <v>556</v>
      </c>
      <c r="H276" s="610">
        <v>1</v>
      </c>
      <c r="I276" s="611">
        <v>16.14</v>
      </c>
      <c r="J276" s="611">
        <v>16.14</v>
      </c>
      <c r="K276" s="552"/>
    </row>
    <row r="277" spans="1:11" s="89" customFormat="1" ht="15" customHeight="1" x14ac:dyDescent="0.3">
      <c r="A277" s="547" t="s">
        <v>430</v>
      </c>
      <c r="B277" s="548" t="s">
        <v>559</v>
      </c>
      <c r="C277" s="547" t="s">
        <v>19</v>
      </c>
      <c r="D277" s="547" t="s">
        <v>560</v>
      </c>
      <c r="E277" s="688" t="s">
        <v>429</v>
      </c>
      <c r="F277" s="688"/>
      <c r="G277" s="549" t="s">
        <v>423</v>
      </c>
      <c r="H277" s="550">
        <v>0.1386</v>
      </c>
      <c r="I277" s="551">
        <v>23.4</v>
      </c>
      <c r="J277" s="551">
        <v>3.24</v>
      </c>
      <c r="K277" s="546"/>
    </row>
    <row r="278" spans="1:11" ht="14.25" customHeight="1" x14ac:dyDescent="0.3">
      <c r="A278" s="547" t="s">
        <v>430</v>
      </c>
      <c r="B278" s="548" t="s">
        <v>603</v>
      </c>
      <c r="C278" s="547" t="s">
        <v>19</v>
      </c>
      <c r="D278" s="547" t="s">
        <v>604</v>
      </c>
      <c r="E278" s="688" t="s">
        <v>429</v>
      </c>
      <c r="F278" s="688"/>
      <c r="G278" s="549" t="s">
        <v>423</v>
      </c>
      <c r="H278" s="550">
        <v>2.7699999999999999E-2</v>
      </c>
      <c r="I278" s="551">
        <v>27.63</v>
      </c>
      <c r="J278" s="551">
        <v>0.76</v>
      </c>
      <c r="K278" s="552"/>
    </row>
    <row r="279" spans="1:11" ht="14.25" customHeight="1" thickBot="1" x14ac:dyDescent="0.35">
      <c r="A279" s="547" t="s">
        <v>433</v>
      </c>
      <c r="B279" s="548" t="s">
        <v>611</v>
      </c>
      <c r="C279" s="547" t="s">
        <v>19</v>
      </c>
      <c r="D279" s="547" t="s">
        <v>612</v>
      </c>
      <c r="E279" s="688" t="s">
        <v>438</v>
      </c>
      <c r="F279" s="688"/>
      <c r="G279" s="549" t="s">
        <v>556</v>
      </c>
      <c r="H279" s="550">
        <v>1</v>
      </c>
      <c r="I279" s="551">
        <v>12.14</v>
      </c>
      <c r="J279" s="551">
        <v>12.14</v>
      </c>
      <c r="K279" s="552"/>
    </row>
    <row r="280" spans="1:11" ht="14.5" thickTop="1" x14ac:dyDescent="0.3">
      <c r="A280" s="562"/>
      <c r="B280" s="562"/>
      <c r="C280" s="562"/>
      <c r="D280" s="562"/>
      <c r="E280" s="562"/>
      <c r="F280" s="562"/>
      <c r="G280" s="562"/>
      <c r="H280" s="562"/>
      <c r="I280" s="562"/>
      <c r="J280" s="562"/>
      <c r="K280" s="552"/>
    </row>
    <row r="281" spans="1:11" x14ac:dyDescent="0.3">
      <c r="A281" s="553"/>
      <c r="B281" s="554" t="s">
        <v>4</v>
      </c>
      <c r="C281" s="553" t="s">
        <v>5</v>
      </c>
      <c r="D281" s="553" t="s">
        <v>6</v>
      </c>
      <c r="E281" s="691" t="s">
        <v>427</v>
      </c>
      <c r="F281" s="691"/>
      <c r="G281" s="555" t="s">
        <v>7</v>
      </c>
      <c r="H281" s="554" t="s">
        <v>8</v>
      </c>
      <c r="I281" s="554" t="s">
        <v>9</v>
      </c>
      <c r="J281" s="554" t="s">
        <v>11</v>
      </c>
      <c r="K281" s="552"/>
    </row>
    <row r="282" spans="1:11" ht="37.5" x14ac:dyDescent="0.3">
      <c r="A282" s="607" t="s">
        <v>428</v>
      </c>
      <c r="B282" s="608" t="s">
        <v>132</v>
      </c>
      <c r="C282" s="607" t="s">
        <v>19</v>
      </c>
      <c r="D282" s="607" t="s">
        <v>3779</v>
      </c>
      <c r="E282" s="690" t="s">
        <v>602</v>
      </c>
      <c r="F282" s="690"/>
      <c r="G282" s="609" t="s">
        <v>556</v>
      </c>
      <c r="H282" s="610">
        <v>1</v>
      </c>
      <c r="I282" s="611">
        <v>0.65</v>
      </c>
      <c r="J282" s="611">
        <v>0.65</v>
      </c>
      <c r="K282" s="552"/>
    </row>
    <row r="283" spans="1:11" s="89" customFormat="1" ht="15" customHeight="1" x14ac:dyDescent="0.3">
      <c r="A283" s="547" t="s">
        <v>430</v>
      </c>
      <c r="B283" s="548" t="s">
        <v>603</v>
      </c>
      <c r="C283" s="547" t="s">
        <v>19</v>
      </c>
      <c r="D283" s="547" t="s">
        <v>604</v>
      </c>
      <c r="E283" s="688" t="s">
        <v>429</v>
      </c>
      <c r="F283" s="688"/>
      <c r="G283" s="549" t="s">
        <v>423</v>
      </c>
      <c r="H283" s="550">
        <v>4.5999999999999999E-3</v>
      </c>
      <c r="I283" s="551">
        <v>27.63</v>
      </c>
      <c r="J283" s="551">
        <v>0.12</v>
      </c>
      <c r="K283" s="546"/>
    </row>
    <row r="284" spans="1:11" ht="14.25" customHeight="1" x14ac:dyDescent="0.3">
      <c r="A284" s="547" t="s">
        <v>430</v>
      </c>
      <c r="B284" s="548" t="s">
        <v>613</v>
      </c>
      <c r="C284" s="547" t="s">
        <v>19</v>
      </c>
      <c r="D284" s="547" t="s">
        <v>614</v>
      </c>
      <c r="E284" s="688" t="s">
        <v>461</v>
      </c>
      <c r="F284" s="688"/>
      <c r="G284" s="549" t="s">
        <v>102</v>
      </c>
      <c r="H284" s="550">
        <v>2.8999999999999998E-3</v>
      </c>
      <c r="I284" s="551">
        <v>74.150000000000006</v>
      </c>
      <c r="J284" s="551">
        <v>0.21</v>
      </c>
      <c r="K284" s="552"/>
    </row>
    <row r="285" spans="1:11" ht="14.25" customHeight="1" thickBot="1" x14ac:dyDescent="0.35">
      <c r="A285" s="547" t="s">
        <v>430</v>
      </c>
      <c r="B285" s="548" t="s">
        <v>615</v>
      </c>
      <c r="C285" s="547" t="s">
        <v>19</v>
      </c>
      <c r="D285" s="547" t="s">
        <v>616</v>
      </c>
      <c r="E285" s="688" t="s">
        <v>461</v>
      </c>
      <c r="F285" s="688"/>
      <c r="G285" s="549" t="s">
        <v>95</v>
      </c>
      <c r="H285" s="550">
        <v>1.6999999999999999E-3</v>
      </c>
      <c r="I285" s="551">
        <v>190.63</v>
      </c>
      <c r="J285" s="551">
        <v>0.32</v>
      </c>
      <c r="K285" s="552"/>
    </row>
    <row r="286" spans="1:11" ht="25.5" customHeight="1" thickTop="1" x14ac:dyDescent="0.3">
      <c r="A286" s="562"/>
      <c r="B286" s="562"/>
      <c r="C286" s="562"/>
      <c r="D286" s="562"/>
      <c r="E286" s="562"/>
      <c r="F286" s="562"/>
      <c r="G286" s="562"/>
      <c r="H286" s="562"/>
      <c r="I286" s="562"/>
      <c r="J286" s="562"/>
      <c r="K286" s="552"/>
    </row>
    <row r="287" spans="1:11" s="89" customFormat="1" ht="26.25" customHeight="1" x14ac:dyDescent="0.3">
      <c r="A287" s="553"/>
      <c r="B287" s="554" t="s">
        <v>4</v>
      </c>
      <c r="C287" s="553" t="s">
        <v>5</v>
      </c>
      <c r="D287" s="553" t="s">
        <v>6</v>
      </c>
      <c r="E287" s="691" t="s">
        <v>427</v>
      </c>
      <c r="F287" s="691"/>
      <c r="G287" s="555" t="s">
        <v>7</v>
      </c>
      <c r="H287" s="554" t="s">
        <v>8</v>
      </c>
      <c r="I287" s="554" t="s">
        <v>9</v>
      </c>
      <c r="J287" s="554" t="s">
        <v>11</v>
      </c>
      <c r="K287" s="546"/>
    </row>
    <row r="288" spans="1:11" ht="14.25" customHeight="1" x14ac:dyDescent="0.3">
      <c r="A288" s="607" t="s">
        <v>428</v>
      </c>
      <c r="B288" s="608" t="s">
        <v>170</v>
      </c>
      <c r="C288" s="607" t="s">
        <v>26</v>
      </c>
      <c r="D288" s="607" t="s">
        <v>133</v>
      </c>
      <c r="E288" s="690" t="s">
        <v>481</v>
      </c>
      <c r="F288" s="690"/>
      <c r="G288" s="609" t="s">
        <v>556</v>
      </c>
      <c r="H288" s="610">
        <v>1</v>
      </c>
      <c r="I288" s="611">
        <v>521.92999999999995</v>
      </c>
      <c r="J288" s="611">
        <v>521.92999999999995</v>
      </c>
      <c r="K288" s="552"/>
    </row>
    <row r="289" spans="1:11" ht="14.25" customHeight="1" x14ac:dyDescent="0.3">
      <c r="A289" s="547" t="s">
        <v>430</v>
      </c>
      <c r="B289" s="548" t="s">
        <v>620</v>
      </c>
      <c r="C289" s="547" t="s">
        <v>19</v>
      </c>
      <c r="D289" s="547" t="s">
        <v>621</v>
      </c>
      <c r="E289" s="688" t="s">
        <v>429</v>
      </c>
      <c r="F289" s="688"/>
      <c r="G289" s="549" t="s">
        <v>423</v>
      </c>
      <c r="H289" s="550">
        <v>1</v>
      </c>
      <c r="I289" s="551">
        <v>30.71</v>
      </c>
      <c r="J289" s="551">
        <v>30.71</v>
      </c>
      <c r="K289" s="552"/>
    </row>
    <row r="290" spans="1:11" s="89" customFormat="1" ht="15" customHeight="1" x14ac:dyDescent="0.3">
      <c r="A290" s="547" t="s">
        <v>430</v>
      </c>
      <c r="B290" s="548" t="s">
        <v>559</v>
      </c>
      <c r="C290" s="547" t="s">
        <v>19</v>
      </c>
      <c r="D290" s="547" t="s">
        <v>560</v>
      </c>
      <c r="E290" s="688" t="s">
        <v>429</v>
      </c>
      <c r="F290" s="688"/>
      <c r="G290" s="549" t="s">
        <v>423</v>
      </c>
      <c r="H290" s="550">
        <v>2</v>
      </c>
      <c r="I290" s="551">
        <v>23.4</v>
      </c>
      <c r="J290" s="551">
        <v>46.8</v>
      </c>
      <c r="K290" s="546"/>
    </row>
    <row r="291" spans="1:11" ht="14.25" customHeight="1" x14ac:dyDescent="0.3">
      <c r="A291" s="547" t="s">
        <v>430</v>
      </c>
      <c r="B291" s="548" t="s">
        <v>617</v>
      </c>
      <c r="C291" s="547" t="s">
        <v>19</v>
      </c>
      <c r="D291" s="547" t="s">
        <v>618</v>
      </c>
      <c r="E291" s="688" t="s">
        <v>619</v>
      </c>
      <c r="F291" s="688"/>
      <c r="G291" s="549" t="s">
        <v>532</v>
      </c>
      <c r="H291" s="550">
        <v>0.01</v>
      </c>
      <c r="I291" s="551">
        <v>407.78</v>
      </c>
      <c r="J291" s="551">
        <v>4.07</v>
      </c>
      <c r="K291" s="552"/>
    </row>
    <row r="292" spans="1:11" ht="14.25" customHeight="1" x14ac:dyDescent="0.3">
      <c r="A292" s="547" t="s">
        <v>433</v>
      </c>
      <c r="B292" s="548" t="s">
        <v>628</v>
      </c>
      <c r="C292" s="547" t="s">
        <v>19</v>
      </c>
      <c r="D292" s="547" t="s">
        <v>3514</v>
      </c>
      <c r="E292" s="688" t="s">
        <v>438</v>
      </c>
      <c r="F292" s="688"/>
      <c r="G292" s="549" t="s">
        <v>173</v>
      </c>
      <c r="H292" s="550">
        <v>1</v>
      </c>
      <c r="I292" s="551">
        <v>7.05</v>
      </c>
      <c r="J292" s="551">
        <v>7.05</v>
      </c>
      <c r="K292" s="552"/>
    </row>
    <row r="293" spans="1:11" ht="25" x14ac:dyDescent="0.3">
      <c r="A293" s="547" t="s">
        <v>433</v>
      </c>
      <c r="B293" s="548" t="s">
        <v>624</v>
      </c>
      <c r="C293" s="547" t="s">
        <v>19</v>
      </c>
      <c r="D293" s="547" t="s">
        <v>625</v>
      </c>
      <c r="E293" s="688" t="s">
        <v>438</v>
      </c>
      <c r="F293" s="688"/>
      <c r="G293" s="549" t="s">
        <v>173</v>
      </c>
      <c r="H293" s="550">
        <v>4</v>
      </c>
      <c r="I293" s="551">
        <v>7.78</v>
      </c>
      <c r="J293" s="551">
        <v>31.12</v>
      </c>
      <c r="K293" s="552"/>
    </row>
    <row r="294" spans="1:11" ht="25" x14ac:dyDescent="0.3">
      <c r="A294" s="547" t="s">
        <v>433</v>
      </c>
      <c r="B294" s="548" t="s">
        <v>622</v>
      </c>
      <c r="C294" s="547" t="s">
        <v>19</v>
      </c>
      <c r="D294" s="547" t="s">
        <v>623</v>
      </c>
      <c r="E294" s="688" t="s">
        <v>438</v>
      </c>
      <c r="F294" s="688"/>
      <c r="G294" s="549" t="s">
        <v>556</v>
      </c>
      <c r="H294" s="550">
        <v>1</v>
      </c>
      <c r="I294" s="551">
        <v>400</v>
      </c>
      <c r="J294" s="551">
        <v>400</v>
      </c>
      <c r="K294" s="552"/>
    </row>
    <row r="295" spans="1:11" s="89" customFormat="1" ht="14.5" thickBot="1" x14ac:dyDescent="0.35">
      <c r="A295" s="547" t="s">
        <v>433</v>
      </c>
      <c r="B295" s="548" t="s">
        <v>626</v>
      </c>
      <c r="C295" s="547" t="s">
        <v>19</v>
      </c>
      <c r="D295" s="547" t="s">
        <v>627</v>
      </c>
      <c r="E295" s="688" t="s">
        <v>438</v>
      </c>
      <c r="F295" s="688"/>
      <c r="G295" s="549" t="s">
        <v>424</v>
      </c>
      <c r="H295" s="550">
        <v>0.11</v>
      </c>
      <c r="I295" s="551">
        <v>19.84</v>
      </c>
      <c r="J295" s="551">
        <v>2.1800000000000002</v>
      </c>
      <c r="K295" s="546"/>
    </row>
    <row r="296" spans="1:11" ht="14.5" thickTop="1" x14ac:dyDescent="0.3">
      <c r="A296" s="562"/>
      <c r="B296" s="562"/>
      <c r="C296" s="562"/>
      <c r="D296" s="562"/>
      <c r="E296" s="562"/>
      <c r="F296" s="562"/>
      <c r="G296" s="562"/>
      <c r="H296" s="562"/>
      <c r="I296" s="562"/>
      <c r="J296" s="562"/>
      <c r="K296" s="552"/>
    </row>
    <row r="297" spans="1:11" x14ac:dyDescent="0.3">
      <c r="A297" s="553"/>
      <c r="B297" s="554" t="s">
        <v>4</v>
      </c>
      <c r="C297" s="553" t="s">
        <v>5</v>
      </c>
      <c r="D297" s="553" t="s">
        <v>6</v>
      </c>
      <c r="E297" s="691" t="s">
        <v>427</v>
      </c>
      <c r="F297" s="691"/>
      <c r="G297" s="555" t="s">
        <v>7</v>
      </c>
      <c r="H297" s="554" t="s">
        <v>8</v>
      </c>
      <c r="I297" s="554" t="s">
        <v>9</v>
      </c>
      <c r="J297" s="554" t="s">
        <v>11</v>
      </c>
      <c r="K297" s="552"/>
    </row>
    <row r="298" spans="1:11" ht="14.25" customHeight="1" x14ac:dyDescent="0.3">
      <c r="A298" s="607" t="s">
        <v>428</v>
      </c>
      <c r="B298" s="608" t="s">
        <v>134</v>
      </c>
      <c r="C298" s="607" t="s">
        <v>19</v>
      </c>
      <c r="D298" s="607" t="s">
        <v>3832</v>
      </c>
      <c r="E298" s="690" t="s">
        <v>481</v>
      </c>
      <c r="F298" s="690"/>
      <c r="G298" s="609" t="s">
        <v>556</v>
      </c>
      <c r="H298" s="610">
        <v>1</v>
      </c>
      <c r="I298" s="611">
        <v>89.42</v>
      </c>
      <c r="J298" s="611">
        <v>89.42</v>
      </c>
      <c r="K298" s="552"/>
    </row>
    <row r="299" spans="1:11" ht="14.25" customHeight="1" x14ac:dyDescent="0.3">
      <c r="A299" s="547" t="s">
        <v>430</v>
      </c>
      <c r="B299" s="548" t="s">
        <v>629</v>
      </c>
      <c r="C299" s="547" t="s">
        <v>19</v>
      </c>
      <c r="D299" s="547" t="s">
        <v>630</v>
      </c>
      <c r="E299" s="688" t="s">
        <v>429</v>
      </c>
      <c r="F299" s="688"/>
      <c r="G299" s="549" t="s">
        <v>423</v>
      </c>
      <c r="H299" s="550">
        <v>0.49199999999999999</v>
      </c>
      <c r="I299" s="551">
        <v>24.12</v>
      </c>
      <c r="J299" s="551">
        <v>11.86</v>
      </c>
      <c r="K299" s="552"/>
    </row>
    <row r="300" spans="1:11" s="89" customFormat="1" ht="15" customHeight="1" x14ac:dyDescent="0.3">
      <c r="A300" s="547" t="s">
        <v>430</v>
      </c>
      <c r="B300" s="548" t="s">
        <v>620</v>
      </c>
      <c r="C300" s="547" t="s">
        <v>19</v>
      </c>
      <c r="D300" s="547" t="s">
        <v>621</v>
      </c>
      <c r="E300" s="688" t="s">
        <v>429</v>
      </c>
      <c r="F300" s="688"/>
      <c r="G300" s="549" t="s">
        <v>423</v>
      </c>
      <c r="H300" s="550">
        <v>0.73499999999999999</v>
      </c>
      <c r="I300" s="551">
        <v>30.71</v>
      </c>
      <c r="J300" s="551">
        <v>22.57</v>
      </c>
      <c r="K300" s="546"/>
    </row>
    <row r="301" spans="1:11" ht="14.25" customHeight="1" x14ac:dyDescent="0.3">
      <c r="A301" s="547" t="s">
        <v>430</v>
      </c>
      <c r="B301" s="548" t="s">
        <v>631</v>
      </c>
      <c r="C301" s="547" t="s">
        <v>19</v>
      </c>
      <c r="D301" s="547" t="s">
        <v>632</v>
      </c>
      <c r="E301" s="688" t="s">
        <v>461</v>
      </c>
      <c r="F301" s="688"/>
      <c r="G301" s="549" t="s">
        <v>95</v>
      </c>
      <c r="H301" s="550">
        <v>6.6E-3</v>
      </c>
      <c r="I301" s="551">
        <v>26.94</v>
      </c>
      <c r="J301" s="551">
        <v>0.17</v>
      </c>
      <c r="K301" s="552"/>
    </row>
    <row r="302" spans="1:11" ht="14.25" customHeight="1" x14ac:dyDescent="0.3">
      <c r="A302" s="547" t="s">
        <v>430</v>
      </c>
      <c r="B302" s="548" t="s">
        <v>633</v>
      </c>
      <c r="C302" s="547" t="s">
        <v>19</v>
      </c>
      <c r="D302" s="547" t="s">
        <v>634</v>
      </c>
      <c r="E302" s="688" t="s">
        <v>461</v>
      </c>
      <c r="F302" s="688"/>
      <c r="G302" s="549" t="s">
        <v>102</v>
      </c>
      <c r="H302" s="550">
        <v>2.64E-2</v>
      </c>
      <c r="I302" s="551">
        <v>25.9</v>
      </c>
      <c r="J302" s="551">
        <v>0.68</v>
      </c>
      <c r="K302" s="552"/>
    </row>
    <row r="303" spans="1:11" ht="25" x14ac:dyDescent="0.3">
      <c r="A303" s="547" t="s">
        <v>430</v>
      </c>
      <c r="B303" s="548" t="s">
        <v>635</v>
      </c>
      <c r="C303" s="547" t="s">
        <v>19</v>
      </c>
      <c r="D303" s="547" t="s">
        <v>636</v>
      </c>
      <c r="E303" s="688" t="s">
        <v>619</v>
      </c>
      <c r="F303" s="688"/>
      <c r="G303" s="549" t="s">
        <v>532</v>
      </c>
      <c r="H303" s="550">
        <v>6.1000000000000004E-3</v>
      </c>
      <c r="I303" s="551">
        <v>470.61</v>
      </c>
      <c r="J303" s="551">
        <v>2.87</v>
      </c>
      <c r="K303" s="552"/>
    </row>
    <row r="304" spans="1:11" s="89" customFormat="1" ht="25" x14ac:dyDescent="0.3">
      <c r="A304" s="547" t="s">
        <v>433</v>
      </c>
      <c r="B304" s="548" t="s">
        <v>624</v>
      </c>
      <c r="C304" s="547" t="s">
        <v>19</v>
      </c>
      <c r="D304" s="547" t="s">
        <v>625</v>
      </c>
      <c r="E304" s="688" t="s">
        <v>438</v>
      </c>
      <c r="F304" s="688"/>
      <c r="G304" s="549" t="s">
        <v>173</v>
      </c>
      <c r="H304" s="550">
        <v>1.2273000000000001</v>
      </c>
      <c r="I304" s="551">
        <v>7.78</v>
      </c>
      <c r="J304" s="551">
        <v>9.5399999999999991</v>
      </c>
      <c r="K304" s="546"/>
    </row>
    <row r="305" spans="1:11" x14ac:dyDescent="0.3">
      <c r="A305" s="547" t="s">
        <v>433</v>
      </c>
      <c r="B305" s="548" t="s">
        <v>639</v>
      </c>
      <c r="C305" s="547" t="s">
        <v>19</v>
      </c>
      <c r="D305" s="547" t="s">
        <v>640</v>
      </c>
      <c r="E305" s="688" t="s">
        <v>438</v>
      </c>
      <c r="F305" s="688"/>
      <c r="G305" s="549" t="s">
        <v>424</v>
      </c>
      <c r="H305" s="550">
        <v>6.8000000000000005E-2</v>
      </c>
      <c r="I305" s="551">
        <v>19.5</v>
      </c>
      <c r="J305" s="551">
        <v>1.32</v>
      </c>
      <c r="K305" s="552"/>
    </row>
    <row r="306" spans="1:11" ht="25" x14ac:dyDescent="0.3">
      <c r="A306" s="547" t="s">
        <v>433</v>
      </c>
      <c r="B306" s="548" t="s">
        <v>3833</v>
      </c>
      <c r="C306" s="547" t="s">
        <v>19</v>
      </c>
      <c r="D306" s="547" t="s">
        <v>3834</v>
      </c>
      <c r="E306" s="688" t="s">
        <v>438</v>
      </c>
      <c r="F306" s="688"/>
      <c r="G306" s="549" t="s">
        <v>173</v>
      </c>
      <c r="H306" s="550">
        <v>2</v>
      </c>
      <c r="I306" s="551">
        <v>5.55</v>
      </c>
      <c r="J306" s="551">
        <v>11.1</v>
      </c>
      <c r="K306" s="552"/>
    </row>
    <row r="307" spans="1:11" ht="38" thickBot="1" x14ac:dyDescent="0.35">
      <c r="A307" s="547" t="s">
        <v>433</v>
      </c>
      <c r="B307" s="548" t="s">
        <v>641</v>
      </c>
      <c r="C307" s="547" t="s">
        <v>19</v>
      </c>
      <c r="D307" s="547" t="s">
        <v>642</v>
      </c>
      <c r="E307" s="688" t="s">
        <v>438</v>
      </c>
      <c r="F307" s="688"/>
      <c r="G307" s="549" t="s">
        <v>556</v>
      </c>
      <c r="H307" s="550">
        <v>0.58530000000000004</v>
      </c>
      <c r="I307" s="551">
        <v>50.09</v>
      </c>
      <c r="J307" s="551">
        <v>29.31</v>
      </c>
      <c r="K307" s="552"/>
    </row>
    <row r="308" spans="1:11" ht="14.5" thickTop="1" x14ac:dyDescent="0.3">
      <c r="A308" s="562"/>
      <c r="B308" s="562"/>
      <c r="C308" s="562"/>
      <c r="D308" s="562"/>
      <c r="E308" s="562"/>
      <c r="F308" s="562"/>
      <c r="G308" s="562"/>
      <c r="H308" s="562"/>
      <c r="I308" s="562"/>
      <c r="J308" s="562"/>
      <c r="K308" s="552"/>
    </row>
    <row r="309" spans="1:11" x14ac:dyDescent="0.3">
      <c r="A309" s="553"/>
      <c r="B309" s="554" t="s">
        <v>4</v>
      </c>
      <c r="C309" s="553" t="s">
        <v>5</v>
      </c>
      <c r="D309" s="553" t="s">
        <v>6</v>
      </c>
      <c r="E309" s="691" t="s">
        <v>427</v>
      </c>
      <c r="F309" s="691"/>
      <c r="G309" s="555" t="s">
        <v>7</v>
      </c>
      <c r="H309" s="554" t="s">
        <v>8</v>
      </c>
      <c r="I309" s="554" t="s">
        <v>9</v>
      </c>
      <c r="J309" s="554" t="s">
        <v>11</v>
      </c>
      <c r="K309" s="552"/>
    </row>
    <row r="310" spans="1:11" s="89" customFormat="1" ht="25.5" customHeight="1" x14ac:dyDescent="0.3">
      <c r="A310" s="607" t="s">
        <v>428</v>
      </c>
      <c r="B310" s="608" t="s">
        <v>3517</v>
      </c>
      <c r="C310" s="607" t="s">
        <v>26</v>
      </c>
      <c r="D310" s="607" t="s">
        <v>135</v>
      </c>
      <c r="E310" s="690" t="s">
        <v>643</v>
      </c>
      <c r="F310" s="690"/>
      <c r="G310" s="609" t="s">
        <v>81</v>
      </c>
      <c r="H310" s="610">
        <v>1</v>
      </c>
      <c r="I310" s="611">
        <v>853.51</v>
      </c>
      <c r="J310" s="611">
        <v>853.51</v>
      </c>
      <c r="K310" s="546"/>
    </row>
    <row r="311" spans="1:11" s="89" customFormat="1" ht="15" customHeight="1" x14ac:dyDescent="0.3">
      <c r="A311" s="547" t="s">
        <v>430</v>
      </c>
      <c r="B311" s="548" t="s">
        <v>559</v>
      </c>
      <c r="C311" s="547" t="s">
        <v>19</v>
      </c>
      <c r="D311" s="547" t="s">
        <v>560</v>
      </c>
      <c r="E311" s="688" t="s">
        <v>429</v>
      </c>
      <c r="F311" s="688"/>
      <c r="G311" s="549" t="s">
        <v>423</v>
      </c>
      <c r="H311" s="550">
        <v>6.2</v>
      </c>
      <c r="I311" s="551">
        <v>23.4</v>
      </c>
      <c r="J311" s="551">
        <v>145.08000000000001</v>
      </c>
      <c r="K311" s="546"/>
    </row>
    <row r="312" spans="1:11" s="89" customFormat="1" ht="15" customHeight="1" x14ac:dyDescent="0.3">
      <c r="A312" s="547" t="s">
        <v>430</v>
      </c>
      <c r="B312" s="548" t="s">
        <v>644</v>
      </c>
      <c r="C312" s="547" t="s">
        <v>19</v>
      </c>
      <c r="D312" s="547" t="s">
        <v>645</v>
      </c>
      <c r="E312" s="688" t="s">
        <v>429</v>
      </c>
      <c r="F312" s="688"/>
      <c r="G312" s="549" t="s">
        <v>423</v>
      </c>
      <c r="H312" s="550">
        <v>6.2</v>
      </c>
      <c r="I312" s="551">
        <v>31.81</v>
      </c>
      <c r="J312" s="551">
        <v>197.22</v>
      </c>
      <c r="K312" s="546"/>
    </row>
    <row r="313" spans="1:11" ht="14.25" customHeight="1" x14ac:dyDescent="0.3">
      <c r="A313" s="547" t="s">
        <v>433</v>
      </c>
      <c r="B313" s="548" t="s">
        <v>646</v>
      </c>
      <c r="C313" s="547" t="s">
        <v>19</v>
      </c>
      <c r="D313" s="547" t="s">
        <v>3518</v>
      </c>
      <c r="E313" s="688" t="s">
        <v>438</v>
      </c>
      <c r="F313" s="688"/>
      <c r="G313" s="549" t="s">
        <v>173</v>
      </c>
      <c r="H313" s="550">
        <v>1.6</v>
      </c>
      <c r="I313" s="551">
        <v>13.6</v>
      </c>
      <c r="J313" s="551">
        <v>21.76</v>
      </c>
      <c r="K313" s="552"/>
    </row>
    <row r="314" spans="1:11" ht="14.25" customHeight="1" x14ac:dyDescent="0.3">
      <c r="A314" s="547" t="s">
        <v>433</v>
      </c>
      <c r="B314" s="548" t="s">
        <v>651</v>
      </c>
      <c r="C314" s="547" t="s">
        <v>19</v>
      </c>
      <c r="D314" s="547" t="s">
        <v>652</v>
      </c>
      <c r="E314" s="688" t="s">
        <v>438</v>
      </c>
      <c r="F314" s="688"/>
      <c r="G314" s="549" t="s">
        <v>173</v>
      </c>
      <c r="H314" s="550">
        <v>9</v>
      </c>
      <c r="I314" s="551">
        <v>18.97</v>
      </c>
      <c r="J314" s="551">
        <v>170.73</v>
      </c>
      <c r="K314" s="552"/>
    </row>
    <row r="315" spans="1:11" x14ac:dyDescent="0.3">
      <c r="A315" s="547" t="s">
        <v>433</v>
      </c>
      <c r="B315" s="548" t="s">
        <v>647</v>
      </c>
      <c r="C315" s="547" t="s">
        <v>19</v>
      </c>
      <c r="D315" s="547" t="s">
        <v>648</v>
      </c>
      <c r="E315" s="688" t="s">
        <v>438</v>
      </c>
      <c r="F315" s="688"/>
      <c r="G315" s="549" t="s">
        <v>424</v>
      </c>
      <c r="H315" s="550">
        <v>0.3</v>
      </c>
      <c r="I315" s="551">
        <v>46.12</v>
      </c>
      <c r="J315" s="551">
        <v>13.83</v>
      </c>
      <c r="K315" s="552"/>
    </row>
    <row r="316" spans="1:11" ht="25" x14ac:dyDescent="0.3">
      <c r="A316" s="547" t="s">
        <v>433</v>
      </c>
      <c r="B316" s="548" t="s">
        <v>649</v>
      </c>
      <c r="C316" s="547" t="s">
        <v>19</v>
      </c>
      <c r="D316" s="547" t="s">
        <v>650</v>
      </c>
      <c r="E316" s="688" t="s">
        <v>438</v>
      </c>
      <c r="F316" s="688"/>
      <c r="G316" s="549" t="s">
        <v>173</v>
      </c>
      <c r="H316" s="550">
        <v>8</v>
      </c>
      <c r="I316" s="551">
        <v>32.35</v>
      </c>
      <c r="J316" s="551">
        <v>258.8</v>
      </c>
      <c r="K316" s="552"/>
    </row>
    <row r="317" spans="1:11" x14ac:dyDescent="0.3">
      <c r="A317" s="547" t="s">
        <v>433</v>
      </c>
      <c r="B317" s="548" t="s">
        <v>653</v>
      </c>
      <c r="C317" s="547" t="s">
        <v>115</v>
      </c>
      <c r="D317" s="547" t="s">
        <v>654</v>
      </c>
      <c r="E317" s="688" t="s">
        <v>438</v>
      </c>
      <c r="F317" s="688"/>
      <c r="G317" s="549" t="s">
        <v>655</v>
      </c>
      <c r="H317" s="550">
        <v>0.56000000000000005</v>
      </c>
      <c r="I317" s="551">
        <v>6.3659999999999997</v>
      </c>
      <c r="J317" s="551">
        <v>3.56</v>
      </c>
      <c r="K317" s="552"/>
    </row>
    <row r="318" spans="1:11" ht="37.5" x14ac:dyDescent="0.3">
      <c r="A318" s="547" t="s">
        <v>433</v>
      </c>
      <c r="B318" s="548" t="s">
        <v>656</v>
      </c>
      <c r="C318" s="547" t="s">
        <v>19</v>
      </c>
      <c r="D318" s="547" t="s">
        <v>657</v>
      </c>
      <c r="E318" s="688" t="s">
        <v>438</v>
      </c>
      <c r="F318" s="688"/>
      <c r="G318" s="549" t="s">
        <v>81</v>
      </c>
      <c r="H318" s="550">
        <v>1</v>
      </c>
      <c r="I318" s="551">
        <v>42.53</v>
      </c>
      <c r="J318" s="551">
        <v>42.53</v>
      </c>
      <c r="K318" s="552"/>
    </row>
    <row r="319" spans="1:11" x14ac:dyDescent="0.3">
      <c r="A319" s="686" t="s">
        <v>3754</v>
      </c>
      <c r="B319" s="686"/>
      <c r="C319" s="686"/>
      <c r="D319" s="686"/>
      <c r="E319" s="686"/>
      <c r="F319" s="686"/>
      <c r="G319" s="686"/>
      <c r="H319" s="686"/>
      <c r="I319" s="686"/>
      <c r="J319" s="686"/>
      <c r="K319" s="552"/>
    </row>
    <row r="320" spans="1:11" ht="15" customHeight="1" thickBot="1" x14ac:dyDescent="0.35">
      <c r="A320" s="695" t="s">
        <v>3759</v>
      </c>
      <c r="B320" s="695"/>
      <c r="C320" s="695"/>
      <c r="D320" s="695"/>
      <c r="E320" s="695"/>
      <c r="F320" s="695"/>
      <c r="G320" s="695"/>
      <c r="H320" s="695"/>
      <c r="I320" s="695"/>
      <c r="J320" s="695"/>
      <c r="K320" s="552"/>
    </row>
    <row r="321" spans="1:11" ht="14.5" thickTop="1" x14ac:dyDescent="0.3">
      <c r="A321" s="562"/>
      <c r="B321" s="562"/>
      <c r="C321" s="562"/>
      <c r="D321" s="562"/>
      <c r="E321" s="562"/>
      <c r="F321" s="562"/>
      <c r="G321" s="562"/>
      <c r="H321" s="562"/>
      <c r="I321" s="562"/>
      <c r="J321" s="562"/>
      <c r="K321" s="552"/>
    </row>
    <row r="322" spans="1:11" x14ac:dyDescent="0.3">
      <c r="A322" s="553"/>
      <c r="B322" s="554" t="s">
        <v>4</v>
      </c>
      <c r="C322" s="553" t="s">
        <v>5</v>
      </c>
      <c r="D322" s="553" t="s">
        <v>6</v>
      </c>
      <c r="E322" s="691" t="s">
        <v>427</v>
      </c>
      <c r="F322" s="691"/>
      <c r="G322" s="555" t="s">
        <v>7</v>
      </c>
      <c r="H322" s="554" t="s">
        <v>8</v>
      </c>
      <c r="I322" s="554" t="s">
        <v>9</v>
      </c>
      <c r="J322" s="554" t="s">
        <v>11</v>
      </c>
      <c r="K322" s="552"/>
    </row>
    <row r="323" spans="1:11" s="89" customFormat="1" ht="25.5" customHeight="1" x14ac:dyDescent="0.3">
      <c r="A323" s="607" t="s">
        <v>428</v>
      </c>
      <c r="B323" s="608" t="s">
        <v>3519</v>
      </c>
      <c r="C323" s="607" t="s">
        <v>26</v>
      </c>
      <c r="D323" s="607" t="s">
        <v>136</v>
      </c>
      <c r="E323" s="690" t="s">
        <v>643</v>
      </c>
      <c r="F323" s="690"/>
      <c r="G323" s="609" t="s">
        <v>81</v>
      </c>
      <c r="H323" s="610">
        <v>1</v>
      </c>
      <c r="I323" s="611">
        <v>1927.88</v>
      </c>
      <c r="J323" s="611">
        <v>1927.88</v>
      </c>
      <c r="K323" s="546"/>
    </row>
    <row r="324" spans="1:11" ht="14.25" customHeight="1" x14ac:dyDescent="0.3">
      <c r="A324" s="547" t="s">
        <v>430</v>
      </c>
      <c r="B324" s="548" t="s">
        <v>559</v>
      </c>
      <c r="C324" s="547" t="s">
        <v>19</v>
      </c>
      <c r="D324" s="547" t="s">
        <v>560</v>
      </c>
      <c r="E324" s="688" t="s">
        <v>429</v>
      </c>
      <c r="F324" s="688"/>
      <c r="G324" s="549" t="s">
        <v>423</v>
      </c>
      <c r="H324" s="550">
        <v>10</v>
      </c>
      <c r="I324" s="551">
        <v>23.4</v>
      </c>
      <c r="J324" s="551">
        <v>234</v>
      </c>
      <c r="K324" s="552"/>
    </row>
    <row r="325" spans="1:11" s="89" customFormat="1" ht="15" customHeight="1" x14ac:dyDescent="0.3">
      <c r="A325" s="547" t="s">
        <v>430</v>
      </c>
      <c r="B325" s="548" t="s">
        <v>644</v>
      </c>
      <c r="C325" s="547" t="s">
        <v>19</v>
      </c>
      <c r="D325" s="547" t="s">
        <v>645</v>
      </c>
      <c r="E325" s="688" t="s">
        <v>429</v>
      </c>
      <c r="F325" s="688"/>
      <c r="G325" s="549" t="s">
        <v>423</v>
      </c>
      <c r="H325" s="550">
        <v>10</v>
      </c>
      <c r="I325" s="551">
        <v>31.81</v>
      </c>
      <c r="J325" s="551">
        <v>318.10000000000002</v>
      </c>
      <c r="K325" s="546"/>
    </row>
    <row r="326" spans="1:11" ht="14.25" customHeight="1" x14ac:dyDescent="0.3">
      <c r="A326" s="547" t="s">
        <v>433</v>
      </c>
      <c r="B326" s="548" t="s">
        <v>646</v>
      </c>
      <c r="C326" s="547" t="s">
        <v>19</v>
      </c>
      <c r="D326" s="547" t="s">
        <v>3518</v>
      </c>
      <c r="E326" s="688" t="s">
        <v>438</v>
      </c>
      <c r="F326" s="688"/>
      <c r="G326" s="549" t="s">
        <v>173</v>
      </c>
      <c r="H326" s="550">
        <v>1.2</v>
      </c>
      <c r="I326" s="551">
        <v>13.6</v>
      </c>
      <c r="J326" s="551">
        <v>16.32</v>
      </c>
      <c r="K326" s="552"/>
    </row>
    <row r="327" spans="1:11" ht="14.25" customHeight="1" x14ac:dyDescent="0.3">
      <c r="A327" s="547" t="s">
        <v>433</v>
      </c>
      <c r="B327" s="548" t="s">
        <v>651</v>
      </c>
      <c r="C327" s="547" t="s">
        <v>19</v>
      </c>
      <c r="D327" s="547" t="s">
        <v>652</v>
      </c>
      <c r="E327" s="688" t="s">
        <v>438</v>
      </c>
      <c r="F327" s="688"/>
      <c r="G327" s="549" t="s">
        <v>173</v>
      </c>
      <c r="H327" s="550">
        <v>28</v>
      </c>
      <c r="I327" s="551">
        <v>18.97</v>
      </c>
      <c r="J327" s="551">
        <v>531.16</v>
      </c>
      <c r="K327" s="552"/>
    </row>
    <row r="328" spans="1:11" ht="25" x14ac:dyDescent="0.3">
      <c r="A328" s="547" t="s">
        <v>433</v>
      </c>
      <c r="B328" s="548" t="s">
        <v>658</v>
      </c>
      <c r="C328" s="547" t="s">
        <v>19</v>
      </c>
      <c r="D328" s="547" t="s">
        <v>659</v>
      </c>
      <c r="E328" s="688" t="s">
        <v>438</v>
      </c>
      <c r="F328" s="688"/>
      <c r="G328" s="549" t="s">
        <v>173</v>
      </c>
      <c r="H328" s="550">
        <v>13</v>
      </c>
      <c r="I328" s="551">
        <v>44.89</v>
      </c>
      <c r="J328" s="551">
        <v>583.57000000000005</v>
      </c>
      <c r="K328" s="552"/>
    </row>
    <row r="329" spans="1:11" x14ac:dyDescent="0.3">
      <c r="A329" s="547" t="s">
        <v>433</v>
      </c>
      <c r="B329" s="548" t="s">
        <v>647</v>
      </c>
      <c r="C329" s="547" t="s">
        <v>19</v>
      </c>
      <c r="D329" s="547" t="s">
        <v>648</v>
      </c>
      <c r="E329" s="688" t="s">
        <v>438</v>
      </c>
      <c r="F329" s="688"/>
      <c r="G329" s="549" t="s">
        <v>424</v>
      </c>
      <c r="H329" s="550">
        <v>0.8</v>
      </c>
      <c r="I329" s="551">
        <v>46.12</v>
      </c>
      <c r="J329" s="551">
        <v>36.89</v>
      </c>
      <c r="K329" s="552"/>
    </row>
    <row r="330" spans="1:11" ht="25" x14ac:dyDescent="0.3">
      <c r="A330" s="547" t="s">
        <v>433</v>
      </c>
      <c r="B330" s="548" t="s">
        <v>649</v>
      </c>
      <c r="C330" s="547" t="s">
        <v>19</v>
      </c>
      <c r="D330" s="547" t="s">
        <v>650</v>
      </c>
      <c r="E330" s="688" t="s">
        <v>438</v>
      </c>
      <c r="F330" s="688"/>
      <c r="G330" s="549" t="s">
        <v>173</v>
      </c>
      <c r="H330" s="550">
        <v>5</v>
      </c>
      <c r="I330" s="551">
        <v>32.35</v>
      </c>
      <c r="J330" s="551">
        <v>161.75</v>
      </c>
      <c r="K330" s="552"/>
    </row>
    <row r="331" spans="1:11" ht="37.5" x14ac:dyDescent="0.3">
      <c r="A331" s="547" t="s">
        <v>433</v>
      </c>
      <c r="B331" s="548" t="s">
        <v>656</v>
      </c>
      <c r="C331" s="547" t="s">
        <v>19</v>
      </c>
      <c r="D331" s="547" t="s">
        <v>657</v>
      </c>
      <c r="E331" s="688" t="s">
        <v>438</v>
      </c>
      <c r="F331" s="688"/>
      <c r="G331" s="549" t="s">
        <v>81</v>
      </c>
      <c r="H331" s="550">
        <v>1</v>
      </c>
      <c r="I331" s="551">
        <v>42.53</v>
      </c>
      <c r="J331" s="551">
        <v>42.53</v>
      </c>
      <c r="K331" s="552"/>
    </row>
    <row r="332" spans="1:11" x14ac:dyDescent="0.3">
      <c r="A332" s="547" t="s">
        <v>433</v>
      </c>
      <c r="B332" s="548" t="s">
        <v>653</v>
      </c>
      <c r="C332" s="547" t="s">
        <v>115</v>
      </c>
      <c r="D332" s="547" t="s">
        <v>654</v>
      </c>
      <c r="E332" s="688" t="s">
        <v>438</v>
      </c>
      <c r="F332" s="688"/>
      <c r="G332" s="549" t="s">
        <v>655</v>
      </c>
      <c r="H332" s="550">
        <v>0.56000000000000005</v>
      </c>
      <c r="I332" s="551">
        <v>6.3659999999999997</v>
      </c>
      <c r="J332" s="551">
        <v>3.56</v>
      </c>
      <c r="K332" s="552"/>
    </row>
    <row r="333" spans="1:11" x14ac:dyDescent="0.3">
      <c r="A333" s="686" t="s">
        <v>3754</v>
      </c>
      <c r="B333" s="686"/>
      <c r="C333" s="686"/>
      <c r="D333" s="686"/>
      <c r="E333" s="686"/>
      <c r="F333" s="686"/>
      <c r="G333" s="686"/>
      <c r="H333" s="686"/>
      <c r="I333" s="686"/>
      <c r="J333" s="686"/>
      <c r="K333" s="552"/>
    </row>
    <row r="334" spans="1:11" ht="15" customHeight="1" thickBot="1" x14ac:dyDescent="0.35">
      <c r="A334" s="695" t="s">
        <v>3760</v>
      </c>
      <c r="B334" s="695"/>
      <c r="C334" s="695"/>
      <c r="D334" s="695"/>
      <c r="E334" s="695"/>
      <c r="F334" s="695"/>
      <c r="G334" s="695"/>
      <c r="H334" s="695"/>
      <c r="I334" s="695"/>
      <c r="J334" s="695"/>
      <c r="K334" s="552"/>
    </row>
    <row r="335" spans="1:11" s="89" customFormat="1" ht="14.5" thickTop="1" x14ac:dyDescent="0.3">
      <c r="A335" s="562"/>
      <c r="B335" s="562"/>
      <c r="C335" s="562"/>
      <c r="D335" s="562"/>
      <c r="E335" s="562"/>
      <c r="F335" s="562"/>
      <c r="G335" s="562"/>
      <c r="H335" s="562"/>
      <c r="I335" s="562"/>
      <c r="J335" s="562"/>
      <c r="K335" s="546"/>
    </row>
    <row r="336" spans="1:11" x14ac:dyDescent="0.3">
      <c r="A336" s="553"/>
      <c r="B336" s="554" t="s">
        <v>4</v>
      </c>
      <c r="C336" s="553" t="s">
        <v>5</v>
      </c>
      <c r="D336" s="553" t="s">
        <v>6</v>
      </c>
      <c r="E336" s="691" t="s">
        <v>427</v>
      </c>
      <c r="F336" s="691"/>
      <c r="G336" s="555" t="s">
        <v>7</v>
      </c>
      <c r="H336" s="554" t="s">
        <v>8</v>
      </c>
      <c r="I336" s="554" t="s">
        <v>9</v>
      </c>
      <c r="J336" s="554" t="s">
        <v>11</v>
      </c>
      <c r="K336" s="552"/>
    </row>
    <row r="337" spans="1:11" ht="25" x14ac:dyDescent="0.3">
      <c r="A337" s="607" t="s">
        <v>428</v>
      </c>
      <c r="B337" s="608" t="s">
        <v>137</v>
      </c>
      <c r="C337" s="607" t="s">
        <v>19</v>
      </c>
      <c r="D337" s="607" t="s">
        <v>138</v>
      </c>
      <c r="E337" s="690" t="s">
        <v>481</v>
      </c>
      <c r="F337" s="690"/>
      <c r="G337" s="609" t="s">
        <v>556</v>
      </c>
      <c r="H337" s="610">
        <v>1</v>
      </c>
      <c r="I337" s="611">
        <v>956.67</v>
      </c>
      <c r="J337" s="611">
        <v>956.67</v>
      </c>
      <c r="K337" s="552"/>
    </row>
    <row r="338" spans="1:11" ht="62.5" x14ac:dyDescent="0.3">
      <c r="A338" s="547" t="s">
        <v>430</v>
      </c>
      <c r="B338" s="548" t="s">
        <v>660</v>
      </c>
      <c r="C338" s="547" t="s">
        <v>19</v>
      </c>
      <c r="D338" s="547" t="s">
        <v>661</v>
      </c>
      <c r="E338" s="688" t="s">
        <v>643</v>
      </c>
      <c r="F338" s="688"/>
      <c r="G338" s="549" t="s">
        <v>556</v>
      </c>
      <c r="H338" s="550">
        <v>0.19309999999999999</v>
      </c>
      <c r="I338" s="551">
        <v>793.12</v>
      </c>
      <c r="J338" s="551">
        <v>153.15</v>
      </c>
      <c r="K338" s="552"/>
    </row>
    <row r="339" spans="1:11" s="89" customFormat="1" ht="25.5" customHeight="1" x14ac:dyDescent="0.3">
      <c r="A339" s="547" t="s">
        <v>430</v>
      </c>
      <c r="B339" s="548" t="s">
        <v>662</v>
      </c>
      <c r="C339" s="547" t="s">
        <v>19</v>
      </c>
      <c r="D339" s="547" t="s">
        <v>663</v>
      </c>
      <c r="E339" s="688" t="s">
        <v>664</v>
      </c>
      <c r="F339" s="688"/>
      <c r="G339" s="549" t="s">
        <v>81</v>
      </c>
      <c r="H339" s="550">
        <v>0.19309999999999999</v>
      </c>
      <c r="I339" s="551">
        <v>18.989999999999998</v>
      </c>
      <c r="J339" s="551">
        <v>3.66</v>
      </c>
      <c r="K339" s="546"/>
    </row>
    <row r="340" spans="1:11" ht="25" x14ac:dyDescent="0.3">
      <c r="A340" s="547" t="s">
        <v>430</v>
      </c>
      <c r="B340" s="548" t="s">
        <v>665</v>
      </c>
      <c r="C340" s="547" t="s">
        <v>19</v>
      </c>
      <c r="D340" s="547" t="s">
        <v>3520</v>
      </c>
      <c r="E340" s="688" t="s">
        <v>666</v>
      </c>
      <c r="F340" s="688"/>
      <c r="G340" s="549" t="s">
        <v>556</v>
      </c>
      <c r="H340" s="550">
        <v>3.7181000000000002</v>
      </c>
      <c r="I340" s="551">
        <v>13.83</v>
      </c>
      <c r="J340" s="551">
        <v>51.42</v>
      </c>
      <c r="K340" s="552"/>
    </row>
    <row r="341" spans="1:11" ht="25.5" customHeight="1" x14ac:dyDescent="0.3">
      <c r="A341" s="547" t="s">
        <v>430</v>
      </c>
      <c r="B341" s="548" t="s">
        <v>667</v>
      </c>
      <c r="C341" s="547" t="s">
        <v>19</v>
      </c>
      <c r="D341" s="547" t="s">
        <v>668</v>
      </c>
      <c r="E341" s="688" t="s">
        <v>643</v>
      </c>
      <c r="F341" s="688"/>
      <c r="G341" s="549" t="s">
        <v>81</v>
      </c>
      <c r="H341" s="550">
        <v>0.19309999999999999</v>
      </c>
      <c r="I341" s="551">
        <v>398.03</v>
      </c>
      <c r="J341" s="551">
        <v>76.849999999999994</v>
      </c>
      <c r="K341" s="552"/>
    </row>
    <row r="342" spans="1:11" ht="50" x14ac:dyDescent="0.3">
      <c r="A342" s="547" t="s">
        <v>430</v>
      </c>
      <c r="B342" s="548" t="s">
        <v>669</v>
      </c>
      <c r="C342" s="547" t="s">
        <v>19</v>
      </c>
      <c r="D342" s="547" t="s">
        <v>3521</v>
      </c>
      <c r="E342" s="688" t="s">
        <v>670</v>
      </c>
      <c r="F342" s="688"/>
      <c r="G342" s="549" t="s">
        <v>173</v>
      </c>
      <c r="H342" s="550">
        <v>0.21240000000000001</v>
      </c>
      <c r="I342" s="551">
        <v>10.73</v>
      </c>
      <c r="J342" s="551">
        <v>2.27</v>
      </c>
      <c r="K342" s="552"/>
    </row>
    <row r="343" spans="1:11" ht="50" x14ac:dyDescent="0.3">
      <c r="A343" s="547" t="s">
        <v>430</v>
      </c>
      <c r="B343" s="548" t="s">
        <v>671</v>
      </c>
      <c r="C343" s="547" t="s">
        <v>19</v>
      </c>
      <c r="D343" s="547" t="s">
        <v>3522</v>
      </c>
      <c r="E343" s="688" t="s">
        <v>670</v>
      </c>
      <c r="F343" s="688"/>
      <c r="G343" s="549" t="s">
        <v>173</v>
      </c>
      <c r="H343" s="550">
        <v>0.47299999999999998</v>
      </c>
      <c r="I343" s="551">
        <v>4</v>
      </c>
      <c r="J343" s="551">
        <v>1.89</v>
      </c>
      <c r="K343" s="552"/>
    </row>
    <row r="344" spans="1:11" ht="38.25" customHeight="1" x14ac:dyDescent="0.3">
      <c r="A344" s="547" t="s">
        <v>430</v>
      </c>
      <c r="B344" s="548" t="s">
        <v>672</v>
      </c>
      <c r="C344" s="547" t="s">
        <v>19</v>
      </c>
      <c r="D344" s="547" t="s">
        <v>3523</v>
      </c>
      <c r="E344" s="688" t="s">
        <v>664</v>
      </c>
      <c r="F344" s="688"/>
      <c r="G344" s="549" t="s">
        <v>173</v>
      </c>
      <c r="H344" s="550">
        <v>0.19309999999999999</v>
      </c>
      <c r="I344" s="551">
        <v>9.9499999999999993</v>
      </c>
      <c r="J344" s="551">
        <v>1.92</v>
      </c>
      <c r="K344" s="552"/>
    </row>
    <row r="345" spans="1:11" s="89" customFormat="1" ht="38.25" customHeight="1" x14ac:dyDescent="0.3">
      <c r="A345" s="547" t="s">
        <v>430</v>
      </c>
      <c r="B345" s="548" t="s">
        <v>673</v>
      </c>
      <c r="C345" s="547" t="s">
        <v>19</v>
      </c>
      <c r="D345" s="547" t="s">
        <v>3524</v>
      </c>
      <c r="E345" s="688" t="s">
        <v>664</v>
      </c>
      <c r="F345" s="688"/>
      <c r="G345" s="549" t="s">
        <v>173</v>
      </c>
      <c r="H345" s="550">
        <v>0.21240000000000001</v>
      </c>
      <c r="I345" s="551">
        <v>10.85</v>
      </c>
      <c r="J345" s="551">
        <v>2.2999999999999998</v>
      </c>
      <c r="K345" s="546"/>
    </row>
    <row r="346" spans="1:11" ht="38.25" customHeight="1" x14ac:dyDescent="0.3">
      <c r="A346" s="547" t="s">
        <v>430</v>
      </c>
      <c r="B346" s="548" t="s">
        <v>674</v>
      </c>
      <c r="C346" s="547" t="s">
        <v>19</v>
      </c>
      <c r="D346" s="547" t="s">
        <v>3525</v>
      </c>
      <c r="E346" s="688" t="s">
        <v>664</v>
      </c>
      <c r="F346" s="688"/>
      <c r="G346" s="549" t="s">
        <v>173</v>
      </c>
      <c r="H346" s="550">
        <v>0.48259999999999997</v>
      </c>
      <c r="I346" s="551">
        <v>14.11</v>
      </c>
      <c r="J346" s="551">
        <v>6.8</v>
      </c>
      <c r="K346" s="552"/>
    </row>
    <row r="347" spans="1:11" ht="38.25" customHeight="1" x14ac:dyDescent="0.3">
      <c r="A347" s="547" t="s">
        <v>430</v>
      </c>
      <c r="B347" s="548" t="s">
        <v>675</v>
      </c>
      <c r="C347" s="547" t="s">
        <v>19</v>
      </c>
      <c r="D347" s="547" t="s">
        <v>3526</v>
      </c>
      <c r="E347" s="688" t="s">
        <v>664</v>
      </c>
      <c r="F347" s="688"/>
      <c r="G347" s="549" t="s">
        <v>173</v>
      </c>
      <c r="H347" s="550">
        <v>2.1429</v>
      </c>
      <c r="I347" s="551">
        <v>5.0999999999999996</v>
      </c>
      <c r="J347" s="551">
        <v>10.92</v>
      </c>
      <c r="K347" s="552"/>
    </row>
    <row r="348" spans="1:11" ht="38.25" customHeight="1" x14ac:dyDescent="0.3">
      <c r="A348" s="547" t="s">
        <v>430</v>
      </c>
      <c r="B348" s="548" t="s">
        <v>676</v>
      </c>
      <c r="C348" s="547" t="s">
        <v>19</v>
      </c>
      <c r="D348" s="547" t="s">
        <v>3527</v>
      </c>
      <c r="E348" s="688" t="s">
        <v>664</v>
      </c>
      <c r="F348" s="688"/>
      <c r="G348" s="549" t="s">
        <v>81</v>
      </c>
      <c r="H348" s="550">
        <v>0.19309999999999999</v>
      </c>
      <c r="I348" s="551">
        <v>76.37</v>
      </c>
      <c r="J348" s="551">
        <v>14.74</v>
      </c>
      <c r="K348" s="552"/>
    </row>
    <row r="349" spans="1:11" ht="38.25" customHeight="1" x14ac:dyDescent="0.3">
      <c r="A349" s="547" t="s">
        <v>430</v>
      </c>
      <c r="B349" s="548" t="s">
        <v>677</v>
      </c>
      <c r="C349" s="547" t="s">
        <v>19</v>
      </c>
      <c r="D349" s="547" t="s">
        <v>678</v>
      </c>
      <c r="E349" s="688" t="s">
        <v>679</v>
      </c>
      <c r="F349" s="688"/>
      <c r="G349" s="549" t="s">
        <v>556</v>
      </c>
      <c r="H349" s="550">
        <v>1.5965</v>
      </c>
      <c r="I349" s="551">
        <v>23.44</v>
      </c>
      <c r="J349" s="551">
        <v>37.42</v>
      </c>
      <c r="K349" s="552"/>
    </row>
    <row r="350" spans="1:11" ht="38.25" customHeight="1" x14ac:dyDescent="0.3">
      <c r="A350" s="547" t="s">
        <v>430</v>
      </c>
      <c r="B350" s="548" t="s">
        <v>680</v>
      </c>
      <c r="C350" s="547" t="s">
        <v>19</v>
      </c>
      <c r="D350" s="547" t="s">
        <v>681</v>
      </c>
      <c r="E350" s="688" t="s">
        <v>679</v>
      </c>
      <c r="F350" s="688"/>
      <c r="G350" s="549" t="s">
        <v>556</v>
      </c>
      <c r="H350" s="550">
        <v>1.5965</v>
      </c>
      <c r="I350" s="551">
        <v>44.7</v>
      </c>
      <c r="J350" s="551">
        <v>71.36</v>
      </c>
      <c r="K350" s="552"/>
    </row>
    <row r="351" spans="1:11" ht="25" x14ac:dyDescent="0.3">
      <c r="A351" s="547" t="s">
        <v>430</v>
      </c>
      <c r="B351" s="548" t="s">
        <v>682</v>
      </c>
      <c r="C351" s="547" t="s">
        <v>19</v>
      </c>
      <c r="D351" s="547" t="s">
        <v>683</v>
      </c>
      <c r="E351" s="688" t="s">
        <v>619</v>
      </c>
      <c r="F351" s="688"/>
      <c r="G351" s="549" t="s">
        <v>556</v>
      </c>
      <c r="H351" s="550">
        <v>1.8263</v>
      </c>
      <c r="I351" s="551">
        <v>19.77</v>
      </c>
      <c r="J351" s="551">
        <v>36.1</v>
      </c>
      <c r="K351" s="552"/>
    </row>
    <row r="352" spans="1:11" ht="38.25" customHeight="1" x14ac:dyDescent="0.3">
      <c r="A352" s="547" t="s">
        <v>430</v>
      </c>
      <c r="B352" s="548" t="s">
        <v>684</v>
      </c>
      <c r="C352" s="547" t="s">
        <v>19</v>
      </c>
      <c r="D352" s="547" t="s">
        <v>3528</v>
      </c>
      <c r="E352" s="688" t="s">
        <v>664</v>
      </c>
      <c r="F352" s="688"/>
      <c r="G352" s="549" t="s">
        <v>81</v>
      </c>
      <c r="H352" s="550">
        <v>0.3861</v>
      </c>
      <c r="I352" s="551">
        <v>20.95</v>
      </c>
      <c r="J352" s="551">
        <v>8.08</v>
      </c>
      <c r="K352" s="552"/>
    </row>
    <row r="353" spans="1:11" ht="38.25" customHeight="1" x14ac:dyDescent="0.3">
      <c r="A353" s="547" t="s">
        <v>430</v>
      </c>
      <c r="B353" s="548" t="s">
        <v>685</v>
      </c>
      <c r="C353" s="547" t="s">
        <v>19</v>
      </c>
      <c r="D353" s="547" t="s">
        <v>686</v>
      </c>
      <c r="E353" s="688" t="s">
        <v>664</v>
      </c>
      <c r="F353" s="688"/>
      <c r="G353" s="549" t="s">
        <v>81</v>
      </c>
      <c r="H353" s="550">
        <v>0.19309999999999999</v>
      </c>
      <c r="I353" s="551">
        <v>131.19999999999999</v>
      </c>
      <c r="J353" s="551">
        <v>25.33</v>
      </c>
      <c r="K353" s="552"/>
    </row>
    <row r="354" spans="1:11" ht="38.25" customHeight="1" x14ac:dyDescent="0.3">
      <c r="A354" s="547" t="s">
        <v>430</v>
      </c>
      <c r="B354" s="548" t="s">
        <v>687</v>
      </c>
      <c r="C354" s="547" t="s">
        <v>19</v>
      </c>
      <c r="D354" s="547" t="s">
        <v>688</v>
      </c>
      <c r="E354" s="688" t="s">
        <v>689</v>
      </c>
      <c r="F354" s="688"/>
      <c r="G354" s="549" t="s">
        <v>81</v>
      </c>
      <c r="H354" s="550">
        <v>0.19309999999999999</v>
      </c>
      <c r="I354" s="551">
        <v>36.81</v>
      </c>
      <c r="J354" s="551">
        <v>7.1</v>
      </c>
      <c r="K354" s="552"/>
    </row>
    <row r="355" spans="1:11" ht="37.5" x14ac:dyDescent="0.3">
      <c r="A355" s="547" t="s">
        <v>430</v>
      </c>
      <c r="B355" s="548" t="s">
        <v>690</v>
      </c>
      <c r="C355" s="547" t="s">
        <v>19</v>
      </c>
      <c r="D355" s="547" t="s">
        <v>691</v>
      </c>
      <c r="E355" s="688" t="s">
        <v>481</v>
      </c>
      <c r="F355" s="688"/>
      <c r="G355" s="549" t="s">
        <v>556</v>
      </c>
      <c r="H355" s="550">
        <v>0.754</v>
      </c>
      <c r="I355" s="551">
        <v>86.04</v>
      </c>
      <c r="J355" s="551">
        <v>64.87</v>
      </c>
      <c r="K355" s="552"/>
    </row>
    <row r="356" spans="1:11" ht="37.5" x14ac:dyDescent="0.3">
      <c r="A356" s="547" t="s">
        <v>430</v>
      </c>
      <c r="B356" s="548" t="s">
        <v>692</v>
      </c>
      <c r="C356" s="547" t="s">
        <v>19</v>
      </c>
      <c r="D356" s="547" t="s">
        <v>693</v>
      </c>
      <c r="E356" s="688" t="s">
        <v>481</v>
      </c>
      <c r="F356" s="688"/>
      <c r="G356" s="549" t="s">
        <v>556</v>
      </c>
      <c r="H356" s="550">
        <v>0.86780000000000002</v>
      </c>
      <c r="I356" s="551">
        <v>141.79</v>
      </c>
      <c r="J356" s="551">
        <v>123.04</v>
      </c>
      <c r="K356" s="552"/>
    </row>
    <row r="357" spans="1:11" ht="37.5" x14ac:dyDescent="0.3">
      <c r="A357" s="547" t="s">
        <v>430</v>
      </c>
      <c r="B357" s="548" t="s">
        <v>694</v>
      </c>
      <c r="C357" s="547" t="s">
        <v>19</v>
      </c>
      <c r="D357" s="547" t="s">
        <v>695</v>
      </c>
      <c r="E357" s="688" t="s">
        <v>481</v>
      </c>
      <c r="F357" s="688"/>
      <c r="G357" s="549" t="s">
        <v>556</v>
      </c>
      <c r="H357" s="550">
        <v>1.1778999999999999</v>
      </c>
      <c r="I357" s="551">
        <v>102.51</v>
      </c>
      <c r="J357" s="551">
        <v>120.74</v>
      </c>
      <c r="K357" s="552"/>
    </row>
    <row r="358" spans="1:11" ht="37.5" x14ac:dyDescent="0.3">
      <c r="A358" s="547" t="s">
        <v>430</v>
      </c>
      <c r="B358" s="548" t="s">
        <v>696</v>
      </c>
      <c r="C358" s="547" t="s">
        <v>19</v>
      </c>
      <c r="D358" s="547" t="s">
        <v>697</v>
      </c>
      <c r="E358" s="688" t="s">
        <v>481</v>
      </c>
      <c r="F358" s="688"/>
      <c r="G358" s="549" t="s">
        <v>556</v>
      </c>
      <c r="H358" s="550">
        <v>0.91839999999999999</v>
      </c>
      <c r="I358" s="551">
        <v>133.46</v>
      </c>
      <c r="J358" s="551">
        <v>122.56</v>
      </c>
      <c r="K358" s="552"/>
    </row>
    <row r="359" spans="1:11" ht="50.5" thickBot="1" x14ac:dyDescent="0.35">
      <c r="A359" s="547" t="s">
        <v>433</v>
      </c>
      <c r="B359" s="548" t="s">
        <v>698</v>
      </c>
      <c r="C359" s="547" t="s">
        <v>19</v>
      </c>
      <c r="D359" s="547" t="s">
        <v>699</v>
      </c>
      <c r="E359" s="688" t="s">
        <v>438</v>
      </c>
      <c r="F359" s="688"/>
      <c r="G359" s="549" t="s">
        <v>700</v>
      </c>
      <c r="H359" s="550">
        <v>0.19309999999999999</v>
      </c>
      <c r="I359" s="551">
        <v>73.319999999999993</v>
      </c>
      <c r="J359" s="551">
        <v>14.15</v>
      </c>
      <c r="K359" s="552"/>
    </row>
    <row r="360" spans="1:11" s="89" customFormat="1" ht="14.5" thickTop="1" x14ac:dyDescent="0.3">
      <c r="A360" s="562"/>
      <c r="B360" s="562"/>
      <c r="C360" s="562"/>
      <c r="D360" s="562"/>
      <c r="E360" s="562"/>
      <c r="F360" s="562"/>
      <c r="G360" s="562"/>
      <c r="H360" s="562"/>
      <c r="I360" s="562"/>
      <c r="J360" s="562"/>
      <c r="K360" s="546"/>
    </row>
    <row r="361" spans="1:11" x14ac:dyDescent="0.3">
      <c r="A361" s="553"/>
      <c r="B361" s="554" t="s">
        <v>4</v>
      </c>
      <c r="C361" s="553" t="s">
        <v>5</v>
      </c>
      <c r="D361" s="553" t="s">
        <v>6</v>
      </c>
      <c r="E361" s="691" t="s">
        <v>427</v>
      </c>
      <c r="F361" s="691"/>
      <c r="G361" s="555" t="s">
        <v>7</v>
      </c>
      <c r="H361" s="554" t="s">
        <v>8</v>
      </c>
      <c r="I361" s="554" t="s">
        <v>9</v>
      </c>
      <c r="J361" s="554" t="s">
        <v>11</v>
      </c>
      <c r="K361" s="552"/>
    </row>
    <row r="362" spans="1:11" s="89" customFormat="1" ht="25" x14ac:dyDescent="0.3">
      <c r="A362" s="607" t="s">
        <v>428</v>
      </c>
      <c r="B362" s="608" t="s">
        <v>145</v>
      </c>
      <c r="C362" s="607" t="s">
        <v>19</v>
      </c>
      <c r="D362" s="607" t="s">
        <v>146</v>
      </c>
      <c r="E362" s="690" t="s">
        <v>481</v>
      </c>
      <c r="F362" s="690"/>
      <c r="G362" s="609" t="s">
        <v>556</v>
      </c>
      <c r="H362" s="610">
        <v>1</v>
      </c>
      <c r="I362" s="611">
        <v>755.68</v>
      </c>
      <c r="J362" s="611">
        <v>755.68</v>
      </c>
      <c r="K362" s="546"/>
    </row>
    <row r="363" spans="1:11" ht="37.5" x14ac:dyDescent="0.3">
      <c r="A363" s="547" t="s">
        <v>430</v>
      </c>
      <c r="B363" s="548" t="s">
        <v>701</v>
      </c>
      <c r="C363" s="547" t="s">
        <v>19</v>
      </c>
      <c r="D363" s="547" t="s">
        <v>702</v>
      </c>
      <c r="E363" s="688" t="s">
        <v>619</v>
      </c>
      <c r="F363" s="688"/>
      <c r="G363" s="549" t="s">
        <v>532</v>
      </c>
      <c r="H363" s="550">
        <v>4.1700000000000001E-2</v>
      </c>
      <c r="I363" s="551">
        <v>1099.54</v>
      </c>
      <c r="J363" s="551">
        <v>45.85</v>
      </c>
      <c r="K363" s="552"/>
    </row>
    <row r="364" spans="1:11" s="89" customFormat="1" ht="25" x14ac:dyDescent="0.3">
      <c r="A364" s="547" t="s">
        <v>430</v>
      </c>
      <c r="B364" s="548" t="s">
        <v>665</v>
      </c>
      <c r="C364" s="547" t="s">
        <v>19</v>
      </c>
      <c r="D364" s="547" t="s">
        <v>3520</v>
      </c>
      <c r="E364" s="688" t="s">
        <v>666</v>
      </c>
      <c r="F364" s="688"/>
      <c r="G364" s="549" t="s">
        <v>556</v>
      </c>
      <c r="H364" s="550">
        <v>5.0648999999999997</v>
      </c>
      <c r="I364" s="551">
        <v>13.83</v>
      </c>
      <c r="J364" s="551">
        <v>70.040000000000006</v>
      </c>
      <c r="K364" s="546"/>
    </row>
    <row r="365" spans="1:11" ht="50" x14ac:dyDescent="0.3">
      <c r="A365" s="547" t="s">
        <v>430</v>
      </c>
      <c r="B365" s="548" t="s">
        <v>669</v>
      </c>
      <c r="C365" s="547" t="s">
        <v>19</v>
      </c>
      <c r="D365" s="547" t="s">
        <v>3521</v>
      </c>
      <c r="E365" s="688" t="s">
        <v>670</v>
      </c>
      <c r="F365" s="688"/>
      <c r="G365" s="549" t="s">
        <v>173</v>
      </c>
      <c r="H365" s="550">
        <v>0.13250000000000001</v>
      </c>
      <c r="I365" s="551">
        <v>10.73</v>
      </c>
      <c r="J365" s="551">
        <v>1.42</v>
      </c>
      <c r="K365" s="552"/>
    </row>
    <row r="366" spans="1:11" ht="50" x14ac:dyDescent="0.3">
      <c r="A366" s="547" t="s">
        <v>430</v>
      </c>
      <c r="B366" s="548" t="s">
        <v>671</v>
      </c>
      <c r="C366" s="547" t="s">
        <v>19</v>
      </c>
      <c r="D366" s="547" t="s">
        <v>3522</v>
      </c>
      <c r="E366" s="688" t="s">
        <v>670</v>
      </c>
      <c r="F366" s="688"/>
      <c r="G366" s="549" t="s">
        <v>173</v>
      </c>
      <c r="H366" s="550">
        <v>0.17219999999999999</v>
      </c>
      <c r="I366" s="551">
        <v>4</v>
      </c>
      <c r="J366" s="551">
        <v>0.68</v>
      </c>
      <c r="K366" s="552"/>
    </row>
    <row r="367" spans="1:11" ht="37.5" x14ac:dyDescent="0.3">
      <c r="A367" s="547" t="s">
        <v>430</v>
      </c>
      <c r="B367" s="548" t="s">
        <v>703</v>
      </c>
      <c r="C367" s="547" t="s">
        <v>19</v>
      </c>
      <c r="D367" s="547" t="s">
        <v>704</v>
      </c>
      <c r="E367" s="688" t="s">
        <v>643</v>
      </c>
      <c r="F367" s="688"/>
      <c r="G367" s="549" t="s">
        <v>556</v>
      </c>
      <c r="H367" s="550">
        <v>0.153</v>
      </c>
      <c r="I367" s="551">
        <v>619.99</v>
      </c>
      <c r="J367" s="551">
        <v>94.85</v>
      </c>
      <c r="K367" s="552"/>
    </row>
    <row r="368" spans="1:11" ht="38.25" customHeight="1" x14ac:dyDescent="0.3">
      <c r="A368" s="547" t="s">
        <v>430</v>
      </c>
      <c r="B368" s="548" t="s">
        <v>672</v>
      </c>
      <c r="C368" s="547" t="s">
        <v>19</v>
      </c>
      <c r="D368" s="547" t="s">
        <v>3523</v>
      </c>
      <c r="E368" s="688" t="s">
        <v>664</v>
      </c>
      <c r="F368" s="688"/>
      <c r="G368" s="549" t="s">
        <v>173</v>
      </c>
      <c r="H368" s="550">
        <v>6.6199999999999995E-2</v>
      </c>
      <c r="I368" s="551">
        <v>9.9499999999999993</v>
      </c>
      <c r="J368" s="551">
        <v>0.65</v>
      </c>
      <c r="K368" s="552"/>
    </row>
    <row r="369" spans="1:11" ht="38.25" customHeight="1" x14ac:dyDescent="0.3">
      <c r="A369" s="547" t="s">
        <v>430</v>
      </c>
      <c r="B369" s="548" t="s">
        <v>673</v>
      </c>
      <c r="C369" s="547" t="s">
        <v>19</v>
      </c>
      <c r="D369" s="547" t="s">
        <v>3524</v>
      </c>
      <c r="E369" s="688" t="s">
        <v>664</v>
      </c>
      <c r="F369" s="688"/>
      <c r="G369" s="549" t="s">
        <v>173</v>
      </c>
      <c r="H369" s="550">
        <v>0.13250000000000001</v>
      </c>
      <c r="I369" s="551">
        <v>10.85</v>
      </c>
      <c r="J369" s="551">
        <v>1.43</v>
      </c>
      <c r="K369" s="552"/>
    </row>
    <row r="370" spans="1:11" ht="38.25" customHeight="1" x14ac:dyDescent="0.3">
      <c r="A370" s="547" t="s">
        <v>430</v>
      </c>
      <c r="B370" s="548" t="s">
        <v>674</v>
      </c>
      <c r="C370" s="547" t="s">
        <v>19</v>
      </c>
      <c r="D370" s="547" t="s">
        <v>3525</v>
      </c>
      <c r="E370" s="688" t="s">
        <v>664</v>
      </c>
      <c r="F370" s="688"/>
      <c r="G370" s="549" t="s">
        <v>173</v>
      </c>
      <c r="H370" s="550">
        <v>0.17219999999999999</v>
      </c>
      <c r="I370" s="551">
        <v>14.11</v>
      </c>
      <c r="J370" s="551">
        <v>2.42</v>
      </c>
      <c r="K370" s="552"/>
    </row>
    <row r="371" spans="1:11" s="89" customFormat="1" ht="38.25" customHeight="1" x14ac:dyDescent="0.3">
      <c r="A371" s="547" t="s">
        <v>430</v>
      </c>
      <c r="B371" s="548" t="s">
        <v>705</v>
      </c>
      <c r="C371" s="547" t="s">
        <v>19</v>
      </c>
      <c r="D371" s="547" t="s">
        <v>3529</v>
      </c>
      <c r="E371" s="688" t="s">
        <v>664</v>
      </c>
      <c r="F371" s="688"/>
      <c r="G371" s="549" t="s">
        <v>173</v>
      </c>
      <c r="H371" s="550">
        <v>0.67549999999999999</v>
      </c>
      <c r="I371" s="551">
        <v>3.49</v>
      </c>
      <c r="J371" s="551">
        <v>2.35</v>
      </c>
      <c r="K371" s="546"/>
    </row>
    <row r="372" spans="1:11" ht="38.25" customHeight="1" x14ac:dyDescent="0.3">
      <c r="A372" s="547" t="s">
        <v>430</v>
      </c>
      <c r="B372" s="548" t="s">
        <v>706</v>
      </c>
      <c r="C372" s="547" t="s">
        <v>19</v>
      </c>
      <c r="D372" s="547" t="s">
        <v>3530</v>
      </c>
      <c r="E372" s="688" t="s">
        <v>664</v>
      </c>
      <c r="F372" s="688"/>
      <c r="G372" s="549" t="s">
        <v>81</v>
      </c>
      <c r="H372" s="550">
        <v>6.6199999999999995E-2</v>
      </c>
      <c r="I372" s="551">
        <v>58.26</v>
      </c>
      <c r="J372" s="551">
        <v>3.85</v>
      </c>
      <c r="K372" s="552"/>
    </row>
    <row r="373" spans="1:11" s="89" customFormat="1" ht="38.25" customHeight="1" x14ac:dyDescent="0.3">
      <c r="A373" s="547" t="s">
        <v>430</v>
      </c>
      <c r="B373" s="548" t="s">
        <v>677</v>
      </c>
      <c r="C373" s="547" t="s">
        <v>19</v>
      </c>
      <c r="D373" s="547" t="s">
        <v>678</v>
      </c>
      <c r="E373" s="688" t="s">
        <v>679</v>
      </c>
      <c r="F373" s="688"/>
      <c r="G373" s="549" t="s">
        <v>556</v>
      </c>
      <c r="H373" s="550">
        <v>1.7192000000000001</v>
      </c>
      <c r="I373" s="551">
        <v>23.44</v>
      </c>
      <c r="J373" s="551">
        <v>40.29</v>
      </c>
      <c r="K373" s="546"/>
    </row>
    <row r="374" spans="1:11" ht="38.25" customHeight="1" x14ac:dyDescent="0.3">
      <c r="A374" s="547" t="s">
        <v>430</v>
      </c>
      <c r="B374" s="548" t="s">
        <v>707</v>
      </c>
      <c r="C374" s="547" t="s">
        <v>19</v>
      </c>
      <c r="D374" s="547" t="s">
        <v>708</v>
      </c>
      <c r="E374" s="688" t="s">
        <v>709</v>
      </c>
      <c r="F374" s="688"/>
      <c r="G374" s="549" t="s">
        <v>532</v>
      </c>
      <c r="H374" s="550">
        <v>4.0399999999999998E-2</v>
      </c>
      <c r="I374" s="551">
        <v>92.56</v>
      </c>
      <c r="J374" s="551">
        <v>3.73</v>
      </c>
      <c r="K374" s="552"/>
    </row>
    <row r="375" spans="1:11" ht="25" x14ac:dyDescent="0.3">
      <c r="A375" s="547" t="s">
        <v>430</v>
      </c>
      <c r="B375" s="548" t="s">
        <v>710</v>
      </c>
      <c r="C375" s="547" t="s">
        <v>19</v>
      </c>
      <c r="D375" s="547" t="s">
        <v>711</v>
      </c>
      <c r="E375" s="688" t="s">
        <v>709</v>
      </c>
      <c r="F375" s="688"/>
      <c r="G375" s="549" t="s">
        <v>532</v>
      </c>
      <c r="H375" s="550">
        <v>1.06E-2</v>
      </c>
      <c r="I375" s="551">
        <v>26.63</v>
      </c>
      <c r="J375" s="551">
        <v>0.28000000000000003</v>
      </c>
      <c r="K375" s="552"/>
    </row>
    <row r="376" spans="1:11" ht="50" x14ac:dyDescent="0.3">
      <c r="A376" s="547" t="s">
        <v>430</v>
      </c>
      <c r="B376" s="548" t="s">
        <v>680</v>
      </c>
      <c r="C376" s="547" t="s">
        <v>19</v>
      </c>
      <c r="D376" s="547" t="s">
        <v>681</v>
      </c>
      <c r="E376" s="688" t="s">
        <v>679</v>
      </c>
      <c r="F376" s="688"/>
      <c r="G376" s="549" t="s">
        <v>556</v>
      </c>
      <c r="H376" s="550">
        <v>1.7192000000000001</v>
      </c>
      <c r="I376" s="551">
        <v>44.7</v>
      </c>
      <c r="J376" s="551">
        <v>76.84</v>
      </c>
      <c r="K376" s="552"/>
    </row>
    <row r="377" spans="1:11" ht="50" x14ac:dyDescent="0.3">
      <c r="A377" s="547" t="s">
        <v>430</v>
      </c>
      <c r="B377" s="548" t="s">
        <v>712</v>
      </c>
      <c r="C377" s="547" t="s">
        <v>19</v>
      </c>
      <c r="D377" s="547" t="s">
        <v>713</v>
      </c>
      <c r="E377" s="688" t="s">
        <v>643</v>
      </c>
      <c r="F377" s="688"/>
      <c r="G377" s="549" t="s">
        <v>556</v>
      </c>
      <c r="H377" s="550">
        <v>6.6199999999999995E-2</v>
      </c>
      <c r="I377" s="551">
        <v>717.44</v>
      </c>
      <c r="J377" s="551">
        <v>47.49</v>
      </c>
      <c r="K377" s="552"/>
    </row>
    <row r="378" spans="1:11" ht="25" x14ac:dyDescent="0.3">
      <c r="A378" s="547" t="s">
        <v>430</v>
      </c>
      <c r="B378" s="548" t="s">
        <v>682</v>
      </c>
      <c r="C378" s="547" t="s">
        <v>19</v>
      </c>
      <c r="D378" s="547" t="s">
        <v>683</v>
      </c>
      <c r="E378" s="688" t="s">
        <v>619</v>
      </c>
      <c r="F378" s="688"/>
      <c r="G378" s="549" t="s">
        <v>556</v>
      </c>
      <c r="H378" s="550">
        <v>9.2999999999999992E-3</v>
      </c>
      <c r="I378" s="551">
        <v>19.77</v>
      </c>
      <c r="J378" s="551">
        <v>0.18</v>
      </c>
      <c r="K378" s="552"/>
    </row>
    <row r="379" spans="1:11" ht="25" x14ac:dyDescent="0.3">
      <c r="A379" s="547" t="s">
        <v>430</v>
      </c>
      <c r="B379" s="548" t="s">
        <v>714</v>
      </c>
      <c r="C379" s="547" t="s">
        <v>19</v>
      </c>
      <c r="D379" s="547" t="s">
        <v>715</v>
      </c>
      <c r="E379" s="688" t="s">
        <v>619</v>
      </c>
      <c r="F379" s="688"/>
      <c r="G379" s="549" t="s">
        <v>556</v>
      </c>
      <c r="H379" s="550">
        <v>1.5109999999999999</v>
      </c>
      <c r="I379" s="551">
        <v>37.880000000000003</v>
      </c>
      <c r="J379" s="551">
        <v>57.23</v>
      </c>
      <c r="K379" s="552"/>
    </row>
    <row r="380" spans="1:11" ht="38.25" customHeight="1" x14ac:dyDescent="0.3">
      <c r="A380" s="547" t="s">
        <v>430</v>
      </c>
      <c r="B380" s="548" t="s">
        <v>716</v>
      </c>
      <c r="C380" s="547" t="s">
        <v>19</v>
      </c>
      <c r="D380" s="547" t="s">
        <v>3531</v>
      </c>
      <c r="E380" s="688" t="s">
        <v>664</v>
      </c>
      <c r="F380" s="688"/>
      <c r="G380" s="549" t="s">
        <v>81</v>
      </c>
      <c r="H380" s="550">
        <v>0.13250000000000001</v>
      </c>
      <c r="I380" s="551">
        <v>25.24</v>
      </c>
      <c r="J380" s="551">
        <v>3.34</v>
      </c>
      <c r="K380" s="552"/>
    </row>
    <row r="381" spans="1:11" ht="38.25" customHeight="1" x14ac:dyDescent="0.3">
      <c r="A381" s="547" t="s">
        <v>430</v>
      </c>
      <c r="B381" s="548" t="s">
        <v>717</v>
      </c>
      <c r="C381" s="547" t="s">
        <v>19</v>
      </c>
      <c r="D381" s="547" t="s">
        <v>718</v>
      </c>
      <c r="E381" s="688" t="s">
        <v>664</v>
      </c>
      <c r="F381" s="688"/>
      <c r="G381" s="549" t="s">
        <v>81</v>
      </c>
      <c r="H381" s="550">
        <v>6.6199999999999995E-2</v>
      </c>
      <c r="I381" s="551">
        <v>120.19</v>
      </c>
      <c r="J381" s="551">
        <v>7.95</v>
      </c>
      <c r="K381" s="552"/>
    </row>
    <row r="382" spans="1:11" s="89" customFormat="1" ht="37.5" x14ac:dyDescent="0.3">
      <c r="A382" s="547" t="s">
        <v>430</v>
      </c>
      <c r="B382" s="548" t="s">
        <v>690</v>
      </c>
      <c r="C382" s="547" t="s">
        <v>19</v>
      </c>
      <c r="D382" s="547" t="s">
        <v>691</v>
      </c>
      <c r="E382" s="688" t="s">
        <v>481</v>
      </c>
      <c r="F382" s="688"/>
      <c r="G382" s="549" t="s">
        <v>556</v>
      </c>
      <c r="H382" s="550">
        <v>0.51359999999999995</v>
      </c>
      <c r="I382" s="551">
        <v>86.04</v>
      </c>
      <c r="J382" s="551">
        <v>44.19</v>
      </c>
      <c r="K382" s="546"/>
    </row>
    <row r="383" spans="1:11" ht="37.5" x14ac:dyDescent="0.3">
      <c r="A383" s="547" t="s">
        <v>430</v>
      </c>
      <c r="B383" s="548" t="s">
        <v>692</v>
      </c>
      <c r="C383" s="547" t="s">
        <v>19</v>
      </c>
      <c r="D383" s="547" t="s">
        <v>693</v>
      </c>
      <c r="E383" s="688" t="s">
        <v>481</v>
      </c>
      <c r="F383" s="688"/>
      <c r="G383" s="549" t="s">
        <v>556</v>
      </c>
      <c r="H383" s="550">
        <v>0.59109999999999996</v>
      </c>
      <c r="I383" s="551">
        <v>141.79</v>
      </c>
      <c r="J383" s="551">
        <v>83.81</v>
      </c>
      <c r="K383" s="552"/>
    </row>
    <row r="384" spans="1:11" s="89" customFormat="1" ht="37.5" x14ac:dyDescent="0.3">
      <c r="A384" s="547" t="s">
        <v>430</v>
      </c>
      <c r="B384" s="548" t="s">
        <v>694</v>
      </c>
      <c r="C384" s="547" t="s">
        <v>19</v>
      </c>
      <c r="D384" s="547" t="s">
        <v>695</v>
      </c>
      <c r="E384" s="688" t="s">
        <v>481</v>
      </c>
      <c r="F384" s="688"/>
      <c r="G384" s="549" t="s">
        <v>556</v>
      </c>
      <c r="H384" s="550">
        <v>0.80230000000000001</v>
      </c>
      <c r="I384" s="551">
        <v>102.51</v>
      </c>
      <c r="J384" s="551">
        <v>82.24</v>
      </c>
      <c r="K384" s="546"/>
    </row>
    <row r="385" spans="1:11" ht="37.5" x14ac:dyDescent="0.3">
      <c r="A385" s="547" t="s">
        <v>430</v>
      </c>
      <c r="B385" s="548" t="s">
        <v>696</v>
      </c>
      <c r="C385" s="547" t="s">
        <v>19</v>
      </c>
      <c r="D385" s="547" t="s">
        <v>697</v>
      </c>
      <c r="E385" s="688" t="s">
        <v>481</v>
      </c>
      <c r="F385" s="688"/>
      <c r="G385" s="549" t="s">
        <v>556</v>
      </c>
      <c r="H385" s="550">
        <v>0.62549999999999994</v>
      </c>
      <c r="I385" s="551">
        <v>133.46</v>
      </c>
      <c r="J385" s="551">
        <v>83.47</v>
      </c>
      <c r="K385" s="552"/>
    </row>
    <row r="386" spans="1:11" ht="38" thickBot="1" x14ac:dyDescent="0.35">
      <c r="A386" s="547" t="s">
        <v>433</v>
      </c>
      <c r="B386" s="548" t="s">
        <v>719</v>
      </c>
      <c r="C386" s="547" t="s">
        <v>19</v>
      </c>
      <c r="D386" s="547" t="s">
        <v>720</v>
      </c>
      <c r="E386" s="688" t="s">
        <v>438</v>
      </c>
      <c r="F386" s="688"/>
      <c r="G386" s="549" t="s">
        <v>81</v>
      </c>
      <c r="H386" s="550">
        <v>6.6199999999999995E-2</v>
      </c>
      <c r="I386" s="551">
        <v>16.75</v>
      </c>
      <c r="J386" s="551">
        <v>1.1000000000000001</v>
      </c>
      <c r="K386" s="552"/>
    </row>
    <row r="387" spans="1:11" ht="14.5" thickTop="1" x14ac:dyDescent="0.3">
      <c r="A387" s="562"/>
      <c r="B387" s="562"/>
      <c r="C387" s="562"/>
      <c r="D387" s="562"/>
      <c r="E387" s="562"/>
      <c r="F387" s="562"/>
      <c r="G387" s="562"/>
      <c r="H387" s="562"/>
      <c r="I387" s="562"/>
      <c r="J387" s="562"/>
      <c r="K387" s="552"/>
    </row>
    <row r="388" spans="1:11" x14ac:dyDescent="0.3">
      <c r="A388" s="553"/>
      <c r="B388" s="554" t="s">
        <v>4</v>
      </c>
      <c r="C388" s="553" t="s">
        <v>5</v>
      </c>
      <c r="D388" s="553" t="s">
        <v>6</v>
      </c>
      <c r="E388" s="691" t="s">
        <v>427</v>
      </c>
      <c r="F388" s="691"/>
      <c r="G388" s="555" t="s">
        <v>7</v>
      </c>
      <c r="H388" s="554" t="s">
        <v>8</v>
      </c>
      <c r="I388" s="554" t="s">
        <v>9</v>
      </c>
      <c r="J388" s="554" t="s">
        <v>11</v>
      </c>
      <c r="K388" s="552"/>
    </row>
    <row r="389" spans="1:11" ht="37.5" x14ac:dyDescent="0.3">
      <c r="A389" s="607" t="s">
        <v>428</v>
      </c>
      <c r="B389" s="608" t="s">
        <v>147</v>
      </c>
      <c r="C389" s="607" t="s">
        <v>19</v>
      </c>
      <c r="D389" s="607" t="s">
        <v>148</v>
      </c>
      <c r="E389" s="690" t="s">
        <v>481</v>
      </c>
      <c r="F389" s="690"/>
      <c r="G389" s="609" t="s">
        <v>556</v>
      </c>
      <c r="H389" s="610">
        <v>1</v>
      </c>
      <c r="I389" s="611">
        <v>448.79</v>
      </c>
      <c r="J389" s="611">
        <v>448.79</v>
      </c>
      <c r="K389" s="552"/>
    </row>
    <row r="390" spans="1:11" ht="38.25" customHeight="1" x14ac:dyDescent="0.3">
      <c r="A390" s="547" t="s">
        <v>430</v>
      </c>
      <c r="B390" s="548" t="s">
        <v>721</v>
      </c>
      <c r="C390" s="547" t="s">
        <v>19</v>
      </c>
      <c r="D390" s="547" t="s">
        <v>722</v>
      </c>
      <c r="E390" s="688" t="s">
        <v>664</v>
      </c>
      <c r="F390" s="688"/>
      <c r="G390" s="549" t="s">
        <v>81</v>
      </c>
      <c r="H390" s="550">
        <v>9.6600000000000005E-2</v>
      </c>
      <c r="I390" s="551">
        <v>135.4</v>
      </c>
      <c r="J390" s="551">
        <v>13.07</v>
      </c>
      <c r="K390" s="552"/>
    </row>
    <row r="391" spans="1:11" s="89" customFormat="1" ht="25.5" customHeight="1" x14ac:dyDescent="0.3">
      <c r="A391" s="547" t="s">
        <v>430</v>
      </c>
      <c r="B391" s="548" t="s">
        <v>723</v>
      </c>
      <c r="C391" s="547" t="s">
        <v>19</v>
      </c>
      <c r="D391" s="547" t="s">
        <v>724</v>
      </c>
      <c r="E391" s="688" t="s">
        <v>664</v>
      </c>
      <c r="F391" s="688"/>
      <c r="G391" s="549" t="s">
        <v>81</v>
      </c>
      <c r="H391" s="550">
        <v>0.28989999999999999</v>
      </c>
      <c r="I391" s="551">
        <v>37.85</v>
      </c>
      <c r="J391" s="551">
        <v>10.97</v>
      </c>
      <c r="K391" s="546"/>
    </row>
    <row r="392" spans="1:11" ht="38.25" customHeight="1" x14ac:dyDescent="0.3">
      <c r="A392" s="547" t="s">
        <v>430</v>
      </c>
      <c r="B392" s="548" t="s">
        <v>665</v>
      </c>
      <c r="C392" s="547" t="s">
        <v>19</v>
      </c>
      <c r="D392" s="547" t="s">
        <v>3520</v>
      </c>
      <c r="E392" s="688" t="s">
        <v>666</v>
      </c>
      <c r="F392" s="688"/>
      <c r="G392" s="549" t="s">
        <v>556</v>
      </c>
      <c r="H392" s="550">
        <v>0.47610000000000002</v>
      </c>
      <c r="I392" s="551">
        <v>13.83</v>
      </c>
      <c r="J392" s="551">
        <v>6.58</v>
      </c>
      <c r="K392" s="552"/>
    </row>
    <row r="393" spans="1:11" ht="25.5" customHeight="1" x14ac:dyDescent="0.3">
      <c r="A393" s="547" t="s">
        <v>430</v>
      </c>
      <c r="B393" s="548" t="s">
        <v>669</v>
      </c>
      <c r="C393" s="547" t="s">
        <v>19</v>
      </c>
      <c r="D393" s="547" t="s">
        <v>3521</v>
      </c>
      <c r="E393" s="688" t="s">
        <v>670</v>
      </c>
      <c r="F393" s="688"/>
      <c r="G393" s="549" t="s">
        <v>173</v>
      </c>
      <c r="H393" s="550">
        <v>0.42509999999999998</v>
      </c>
      <c r="I393" s="551">
        <v>10.73</v>
      </c>
      <c r="J393" s="551">
        <v>4.5599999999999996</v>
      </c>
      <c r="K393" s="552"/>
    </row>
    <row r="394" spans="1:11" s="89" customFormat="1" ht="50" x14ac:dyDescent="0.3">
      <c r="A394" s="547" t="s">
        <v>430</v>
      </c>
      <c r="B394" s="548" t="s">
        <v>671</v>
      </c>
      <c r="C394" s="547" t="s">
        <v>19</v>
      </c>
      <c r="D394" s="547" t="s">
        <v>3522</v>
      </c>
      <c r="E394" s="688" t="s">
        <v>670</v>
      </c>
      <c r="F394" s="688"/>
      <c r="G394" s="549" t="s">
        <v>173</v>
      </c>
      <c r="H394" s="550">
        <v>0.46379999999999999</v>
      </c>
      <c r="I394" s="551">
        <v>4</v>
      </c>
      <c r="J394" s="551">
        <v>1.85</v>
      </c>
      <c r="K394" s="546"/>
    </row>
    <row r="395" spans="1:11" ht="38.25" customHeight="1" x14ac:dyDescent="0.3">
      <c r="A395" s="547" t="s">
        <v>430</v>
      </c>
      <c r="B395" s="548" t="s">
        <v>673</v>
      </c>
      <c r="C395" s="547" t="s">
        <v>19</v>
      </c>
      <c r="D395" s="547" t="s">
        <v>3524</v>
      </c>
      <c r="E395" s="688" t="s">
        <v>664</v>
      </c>
      <c r="F395" s="688"/>
      <c r="G395" s="549" t="s">
        <v>173</v>
      </c>
      <c r="H395" s="550">
        <v>0.42509999999999998</v>
      </c>
      <c r="I395" s="551">
        <v>10.85</v>
      </c>
      <c r="J395" s="551">
        <v>4.6100000000000003</v>
      </c>
      <c r="K395" s="552"/>
    </row>
    <row r="396" spans="1:11" s="89" customFormat="1" ht="38.25" customHeight="1" x14ac:dyDescent="0.3">
      <c r="A396" s="547" t="s">
        <v>430</v>
      </c>
      <c r="B396" s="548" t="s">
        <v>674</v>
      </c>
      <c r="C396" s="547" t="s">
        <v>19</v>
      </c>
      <c r="D396" s="547" t="s">
        <v>3525</v>
      </c>
      <c r="E396" s="688" t="s">
        <v>664</v>
      </c>
      <c r="F396" s="688"/>
      <c r="G396" s="549" t="s">
        <v>173</v>
      </c>
      <c r="H396" s="550">
        <v>0.46379999999999999</v>
      </c>
      <c r="I396" s="551">
        <v>14.11</v>
      </c>
      <c r="J396" s="551">
        <v>6.54</v>
      </c>
      <c r="K396" s="546"/>
    </row>
    <row r="397" spans="1:11" ht="38.25" customHeight="1" x14ac:dyDescent="0.3">
      <c r="A397" s="547" t="s">
        <v>430</v>
      </c>
      <c r="B397" s="548" t="s">
        <v>705</v>
      </c>
      <c r="C397" s="547" t="s">
        <v>19</v>
      </c>
      <c r="D397" s="547" t="s">
        <v>3529</v>
      </c>
      <c r="E397" s="688" t="s">
        <v>664</v>
      </c>
      <c r="F397" s="688"/>
      <c r="G397" s="549" t="s">
        <v>173</v>
      </c>
      <c r="H397" s="550">
        <v>1.0821000000000001</v>
      </c>
      <c r="I397" s="551">
        <v>3.49</v>
      </c>
      <c r="J397" s="551">
        <v>3.77</v>
      </c>
      <c r="K397" s="552"/>
    </row>
    <row r="398" spans="1:11" ht="38.25" customHeight="1" x14ac:dyDescent="0.3">
      <c r="A398" s="547" t="s">
        <v>430</v>
      </c>
      <c r="B398" s="548" t="s">
        <v>675</v>
      </c>
      <c r="C398" s="547" t="s">
        <v>19</v>
      </c>
      <c r="D398" s="547" t="s">
        <v>3526</v>
      </c>
      <c r="E398" s="688" t="s">
        <v>664</v>
      </c>
      <c r="F398" s="688"/>
      <c r="G398" s="549" t="s">
        <v>173</v>
      </c>
      <c r="H398" s="550">
        <v>2.0870000000000002</v>
      </c>
      <c r="I398" s="551">
        <v>5.0999999999999996</v>
      </c>
      <c r="J398" s="551">
        <v>10.64</v>
      </c>
      <c r="K398" s="552"/>
    </row>
    <row r="399" spans="1:11" ht="38.25" customHeight="1" x14ac:dyDescent="0.3">
      <c r="A399" s="547" t="s">
        <v>430</v>
      </c>
      <c r="B399" s="548" t="s">
        <v>725</v>
      </c>
      <c r="C399" s="547" t="s">
        <v>19</v>
      </c>
      <c r="D399" s="547" t="s">
        <v>3532</v>
      </c>
      <c r="E399" s="688" t="s">
        <v>664</v>
      </c>
      <c r="F399" s="688"/>
      <c r="G399" s="549" t="s">
        <v>81</v>
      </c>
      <c r="H399" s="550">
        <v>0.28989999999999999</v>
      </c>
      <c r="I399" s="551">
        <v>55.79</v>
      </c>
      <c r="J399" s="551">
        <v>16.170000000000002</v>
      </c>
      <c r="K399" s="552"/>
    </row>
    <row r="400" spans="1:11" ht="38.25" customHeight="1" x14ac:dyDescent="0.3">
      <c r="A400" s="547" t="s">
        <v>430</v>
      </c>
      <c r="B400" s="548" t="s">
        <v>706</v>
      </c>
      <c r="C400" s="547" t="s">
        <v>19</v>
      </c>
      <c r="D400" s="547" t="s">
        <v>3530</v>
      </c>
      <c r="E400" s="688" t="s">
        <v>664</v>
      </c>
      <c r="F400" s="688"/>
      <c r="G400" s="549" t="s">
        <v>81</v>
      </c>
      <c r="H400" s="550">
        <v>9.6600000000000005E-2</v>
      </c>
      <c r="I400" s="551">
        <v>58.26</v>
      </c>
      <c r="J400" s="551">
        <v>5.62</v>
      </c>
      <c r="K400" s="552"/>
    </row>
    <row r="401" spans="1:11" ht="25.5" customHeight="1" x14ac:dyDescent="0.3">
      <c r="A401" s="547" t="s">
        <v>430</v>
      </c>
      <c r="B401" s="548" t="s">
        <v>677</v>
      </c>
      <c r="C401" s="547" t="s">
        <v>19</v>
      </c>
      <c r="D401" s="547" t="s">
        <v>678</v>
      </c>
      <c r="E401" s="688" t="s">
        <v>679</v>
      </c>
      <c r="F401" s="688"/>
      <c r="G401" s="549" t="s">
        <v>556</v>
      </c>
      <c r="H401" s="550">
        <v>1.9256</v>
      </c>
      <c r="I401" s="551">
        <v>23.44</v>
      </c>
      <c r="J401" s="551">
        <v>45.13</v>
      </c>
      <c r="K401" s="552"/>
    </row>
    <row r="402" spans="1:11" s="89" customFormat="1" ht="38.25" customHeight="1" x14ac:dyDescent="0.3">
      <c r="A402" s="547" t="s">
        <v>430</v>
      </c>
      <c r="B402" s="548" t="s">
        <v>726</v>
      </c>
      <c r="C402" s="547" t="s">
        <v>19</v>
      </c>
      <c r="D402" s="547" t="s">
        <v>727</v>
      </c>
      <c r="E402" s="688" t="s">
        <v>664</v>
      </c>
      <c r="F402" s="688"/>
      <c r="G402" s="549" t="s">
        <v>173</v>
      </c>
      <c r="H402" s="550">
        <v>0.48309999999999997</v>
      </c>
      <c r="I402" s="551">
        <v>19.3</v>
      </c>
      <c r="J402" s="551">
        <v>9.32</v>
      </c>
      <c r="K402" s="546"/>
    </row>
    <row r="403" spans="1:11" ht="25" x14ac:dyDescent="0.3">
      <c r="A403" s="547" t="s">
        <v>430</v>
      </c>
      <c r="B403" s="548" t="s">
        <v>707</v>
      </c>
      <c r="C403" s="547" t="s">
        <v>19</v>
      </c>
      <c r="D403" s="547" t="s">
        <v>708</v>
      </c>
      <c r="E403" s="688" t="s">
        <v>709</v>
      </c>
      <c r="F403" s="688"/>
      <c r="G403" s="549" t="s">
        <v>532</v>
      </c>
      <c r="H403" s="550">
        <v>7.7999999999999996E-3</v>
      </c>
      <c r="I403" s="551">
        <v>92.56</v>
      </c>
      <c r="J403" s="551">
        <v>0.72</v>
      </c>
      <c r="K403" s="552"/>
    </row>
    <row r="404" spans="1:11" ht="25.5" customHeight="1" x14ac:dyDescent="0.3">
      <c r="A404" s="547" t="s">
        <v>430</v>
      </c>
      <c r="B404" s="548" t="s">
        <v>680</v>
      </c>
      <c r="C404" s="547" t="s">
        <v>19</v>
      </c>
      <c r="D404" s="547" t="s">
        <v>681</v>
      </c>
      <c r="E404" s="688" t="s">
        <v>679</v>
      </c>
      <c r="F404" s="688"/>
      <c r="G404" s="549" t="s">
        <v>556</v>
      </c>
      <c r="H404" s="550">
        <v>1.9256</v>
      </c>
      <c r="I404" s="551">
        <v>44.7</v>
      </c>
      <c r="J404" s="551">
        <v>86.07</v>
      </c>
      <c r="K404" s="552"/>
    </row>
    <row r="405" spans="1:11" ht="25" x14ac:dyDescent="0.3">
      <c r="A405" s="547" t="s">
        <v>430</v>
      </c>
      <c r="B405" s="548" t="s">
        <v>714</v>
      </c>
      <c r="C405" s="547" t="s">
        <v>19</v>
      </c>
      <c r="D405" s="547" t="s">
        <v>715</v>
      </c>
      <c r="E405" s="688" t="s">
        <v>619</v>
      </c>
      <c r="F405" s="688"/>
      <c r="G405" s="549" t="s">
        <v>556</v>
      </c>
      <c r="H405" s="550">
        <v>1.9256</v>
      </c>
      <c r="I405" s="551">
        <v>37.880000000000003</v>
      </c>
      <c r="J405" s="551">
        <v>72.94</v>
      </c>
      <c r="K405" s="552"/>
    </row>
    <row r="406" spans="1:11" ht="38.25" customHeight="1" x14ac:dyDescent="0.3">
      <c r="A406" s="547" t="s">
        <v>430</v>
      </c>
      <c r="B406" s="548" t="s">
        <v>716</v>
      </c>
      <c r="C406" s="547" t="s">
        <v>19</v>
      </c>
      <c r="D406" s="547" t="s">
        <v>3531</v>
      </c>
      <c r="E406" s="688" t="s">
        <v>664</v>
      </c>
      <c r="F406" s="688"/>
      <c r="G406" s="549" t="s">
        <v>81</v>
      </c>
      <c r="H406" s="550">
        <v>0.38650000000000001</v>
      </c>
      <c r="I406" s="551">
        <v>25.24</v>
      </c>
      <c r="J406" s="551">
        <v>9.75</v>
      </c>
      <c r="K406" s="552"/>
    </row>
    <row r="407" spans="1:11" ht="25.5" customHeight="1" x14ac:dyDescent="0.3">
      <c r="A407" s="547" t="s">
        <v>430</v>
      </c>
      <c r="B407" s="548" t="s">
        <v>728</v>
      </c>
      <c r="C407" s="547" t="s">
        <v>19</v>
      </c>
      <c r="D407" s="547" t="s">
        <v>3533</v>
      </c>
      <c r="E407" s="688" t="s">
        <v>664</v>
      </c>
      <c r="F407" s="688"/>
      <c r="G407" s="549" t="s">
        <v>81</v>
      </c>
      <c r="H407" s="550">
        <v>9.6600000000000005E-2</v>
      </c>
      <c r="I407" s="551">
        <v>73.819999999999993</v>
      </c>
      <c r="J407" s="551">
        <v>7.13</v>
      </c>
      <c r="K407" s="552"/>
    </row>
    <row r="408" spans="1:11" s="89" customFormat="1" ht="38.25" customHeight="1" x14ac:dyDescent="0.3">
      <c r="A408" s="547" t="s">
        <v>430</v>
      </c>
      <c r="B408" s="548" t="s">
        <v>717</v>
      </c>
      <c r="C408" s="547" t="s">
        <v>19</v>
      </c>
      <c r="D408" s="547" t="s">
        <v>718</v>
      </c>
      <c r="E408" s="688" t="s">
        <v>664</v>
      </c>
      <c r="F408" s="688"/>
      <c r="G408" s="549" t="s">
        <v>81</v>
      </c>
      <c r="H408" s="550">
        <v>0.19320000000000001</v>
      </c>
      <c r="I408" s="551">
        <v>120.19</v>
      </c>
      <c r="J408" s="551">
        <v>23.22</v>
      </c>
      <c r="K408" s="546"/>
    </row>
    <row r="409" spans="1:11" ht="25.5" customHeight="1" x14ac:dyDescent="0.3">
      <c r="A409" s="547" t="s">
        <v>430</v>
      </c>
      <c r="B409" s="548" t="s">
        <v>729</v>
      </c>
      <c r="C409" s="547" t="s">
        <v>19</v>
      </c>
      <c r="D409" s="547" t="s">
        <v>730</v>
      </c>
      <c r="E409" s="688" t="s">
        <v>664</v>
      </c>
      <c r="F409" s="688"/>
      <c r="G409" s="549" t="s">
        <v>81</v>
      </c>
      <c r="H409" s="550">
        <v>9.6600000000000005E-2</v>
      </c>
      <c r="I409" s="551">
        <v>172.94</v>
      </c>
      <c r="J409" s="551">
        <v>16.7</v>
      </c>
      <c r="K409" s="552"/>
    </row>
    <row r="410" spans="1:11" s="89" customFormat="1" ht="37.5" x14ac:dyDescent="0.3">
      <c r="A410" s="547" t="s">
        <v>430</v>
      </c>
      <c r="B410" s="548" t="s">
        <v>690</v>
      </c>
      <c r="C410" s="547" t="s">
        <v>19</v>
      </c>
      <c r="D410" s="547" t="s">
        <v>691</v>
      </c>
      <c r="E410" s="688" t="s">
        <v>481</v>
      </c>
      <c r="F410" s="688"/>
      <c r="G410" s="549" t="s">
        <v>556</v>
      </c>
      <c r="H410" s="550">
        <v>9.6600000000000005E-2</v>
      </c>
      <c r="I410" s="551">
        <v>86.04</v>
      </c>
      <c r="J410" s="551">
        <v>8.31</v>
      </c>
      <c r="K410" s="546"/>
    </row>
    <row r="411" spans="1:11" ht="37.5" x14ac:dyDescent="0.3">
      <c r="A411" s="547" t="s">
        <v>430</v>
      </c>
      <c r="B411" s="548" t="s">
        <v>692</v>
      </c>
      <c r="C411" s="547" t="s">
        <v>19</v>
      </c>
      <c r="D411" s="547" t="s">
        <v>693</v>
      </c>
      <c r="E411" s="688" t="s">
        <v>481</v>
      </c>
      <c r="F411" s="688"/>
      <c r="G411" s="549" t="s">
        <v>556</v>
      </c>
      <c r="H411" s="550">
        <v>0.1111</v>
      </c>
      <c r="I411" s="551">
        <v>141.79</v>
      </c>
      <c r="J411" s="551">
        <v>15.75</v>
      </c>
      <c r="K411" s="552"/>
    </row>
    <row r="412" spans="1:11" ht="37.5" x14ac:dyDescent="0.3">
      <c r="A412" s="547" t="s">
        <v>430</v>
      </c>
      <c r="B412" s="548" t="s">
        <v>694</v>
      </c>
      <c r="C412" s="547" t="s">
        <v>19</v>
      </c>
      <c r="D412" s="547" t="s">
        <v>695</v>
      </c>
      <c r="E412" s="688" t="s">
        <v>481</v>
      </c>
      <c r="F412" s="688"/>
      <c r="G412" s="549" t="s">
        <v>556</v>
      </c>
      <c r="H412" s="550">
        <v>0.15079999999999999</v>
      </c>
      <c r="I412" s="551">
        <v>102.51</v>
      </c>
      <c r="J412" s="551">
        <v>15.45</v>
      </c>
      <c r="K412" s="552"/>
    </row>
    <row r="413" spans="1:11" ht="37.5" x14ac:dyDescent="0.3">
      <c r="A413" s="547" t="s">
        <v>430</v>
      </c>
      <c r="B413" s="548" t="s">
        <v>696</v>
      </c>
      <c r="C413" s="547" t="s">
        <v>19</v>
      </c>
      <c r="D413" s="547" t="s">
        <v>697</v>
      </c>
      <c r="E413" s="688" t="s">
        <v>481</v>
      </c>
      <c r="F413" s="688"/>
      <c r="G413" s="549" t="s">
        <v>556</v>
      </c>
      <c r="H413" s="550">
        <v>0.1176</v>
      </c>
      <c r="I413" s="551">
        <v>133.46</v>
      </c>
      <c r="J413" s="551">
        <v>15.69</v>
      </c>
      <c r="K413" s="552"/>
    </row>
    <row r="414" spans="1:11" ht="25" x14ac:dyDescent="0.3">
      <c r="A414" s="547" t="s">
        <v>433</v>
      </c>
      <c r="B414" s="548" t="s">
        <v>731</v>
      </c>
      <c r="C414" s="547" t="s">
        <v>19</v>
      </c>
      <c r="D414" s="547" t="s">
        <v>732</v>
      </c>
      <c r="E414" s="688" t="s">
        <v>438</v>
      </c>
      <c r="F414" s="688"/>
      <c r="G414" s="549" t="s">
        <v>81</v>
      </c>
      <c r="H414" s="550">
        <v>9.6600000000000005E-2</v>
      </c>
      <c r="I414" s="551">
        <v>201.25</v>
      </c>
      <c r="J414" s="551">
        <v>19.440000000000001</v>
      </c>
      <c r="K414" s="552"/>
    </row>
    <row r="415" spans="1:11" ht="25.5" thickBot="1" x14ac:dyDescent="0.35">
      <c r="A415" s="547" t="s">
        <v>433</v>
      </c>
      <c r="B415" s="548" t="s">
        <v>733</v>
      </c>
      <c r="C415" s="547" t="s">
        <v>19</v>
      </c>
      <c r="D415" s="547" t="s">
        <v>734</v>
      </c>
      <c r="E415" s="688" t="s">
        <v>438</v>
      </c>
      <c r="F415" s="688"/>
      <c r="G415" s="549" t="s">
        <v>81</v>
      </c>
      <c r="H415" s="550">
        <v>9.6600000000000005E-2</v>
      </c>
      <c r="I415" s="551">
        <v>194.61</v>
      </c>
      <c r="J415" s="551">
        <v>18.79</v>
      </c>
      <c r="K415" s="552"/>
    </row>
    <row r="416" spans="1:11" ht="14.5" thickTop="1" x14ac:dyDescent="0.3">
      <c r="A416" s="562"/>
      <c r="B416" s="562"/>
      <c r="C416" s="562"/>
      <c r="D416" s="562"/>
      <c r="E416" s="562"/>
      <c r="F416" s="562"/>
      <c r="G416" s="562"/>
      <c r="H416" s="562"/>
      <c r="I416" s="562"/>
      <c r="J416" s="562"/>
      <c r="K416" s="552"/>
    </row>
    <row r="417" spans="1:11" x14ac:dyDescent="0.3">
      <c r="A417" s="553"/>
      <c r="B417" s="554" t="s">
        <v>4</v>
      </c>
      <c r="C417" s="553" t="s">
        <v>5</v>
      </c>
      <c r="D417" s="553" t="s">
        <v>6</v>
      </c>
      <c r="E417" s="691" t="s">
        <v>427</v>
      </c>
      <c r="F417" s="691"/>
      <c r="G417" s="555" t="s">
        <v>7</v>
      </c>
      <c r="H417" s="554" t="s">
        <v>8</v>
      </c>
      <c r="I417" s="554" t="s">
        <v>9</v>
      </c>
      <c r="J417" s="554" t="s">
        <v>11</v>
      </c>
      <c r="K417" s="552"/>
    </row>
    <row r="418" spans="1:11" s="89" customFormat="1" ht="25" x14ac:dyDescent="0.3">
      <c r="A418" s="607" t="s">
        <v>428</v>
      </c>
      <c r="B418" s="608" t="s">
        <v>149</v>
      </c>
      <c r="C418" s="607" t="s">
        <v>19</v>
      </c>
      <c r="D418" s="607" t="s">
        <v>150</v>
      </c>
      <c r="E418" s="690" t="s">
        <v>481</v>
      </c>
      <c r="F418" s="690"/>
      <c r="G418" s="609" t="s">
        <v>556</v>
      </c>
      <c r="H418" s="610">
        <v>1</v>
      </c>
      <c r="I418" s="611">
        <v>256.52</v>
      </c>
      <c r="J418" s="611">
        <v>256.52</v>
      </c>
      <c r="K418" s="546"/>
    </row>
    <row r="419" spans="1:11" ht="38.25" customHeight="1" x14ac:dyDescent="0.3">
      <c r="A419" s="547" t="s">
        <v>430</v>
      </c>
      <c r="B419" s="548" t="s">
        <v>721</v>
      </c>
      <c r="C419" s="547" t="s">
        <v>19</v>
      </c>
      <c r="D419" s="547" t="s">
        <v>722</v>
      </c>
      <c r="E419" s="688" t="s">
        <v>664</v>
      </c>
      <c r="F419" s="688"/>
      <c r="G419" s="549" t="s">
        <v>81</v>
      </c>
      <c r="H419" s="550">
        <v>1.66E-2</v>
      </c>
      <c r="I419" s="551">
        <v>135.4</v>
      </c>
      <c r="J419" s="551">
        <v>2.2400000000000002</v>
      </c>
      <c r="K419" s="552"/>
    </row>
    <row r="420" spans="1:11" s="89" customFormat="1" ht="25.5" customHeight="1" x14ac:dyDescent="0.3">
      <c r="A420" s="547" t="s">
        <v>430</v>
      </c>
      <c r="B420" s="548" t="s">
        <v>723</v>
      </c>
      <c r="C420" s="547" t="s">
        <v>19</v>
      </c>
      <c r="D420" s="547" t="s">
        <v>724</v>
      </c>
      <c r="E420" s="688" t="s">
        <v>664</v>
      </c>
      <c r="F420" s="688"/>
      <c r="G420" s="549" t="s">
        <v>81</v>
      </c>
      <c r="H420" s="550">
        <v>8.2799999999999999E-2</v>
      </c>
      <c r="I420" s="551">
        <v>37.85</v>
      </c>
      <c r="J420" s="551">
        <v>3.13</v>
      </c>
      <c r="K420" s="546"/>
    </row>
    <row r="421" spans="1:11" ht="38.25" customHeight="1" x14ac:dyDescent="0.3">
      <c r="A421" s="547" t="s">
        <v>430</v>
      </c>
      <c r="B421" s="548" t="s">
        <v>665</v>
      </c>
      <c r="C421" s="547" t="s">
        <v>19</v>
      </c>
      <c r="D421" s="547" t="s">
        <v>3520</v>
      </c>
      <c r="E421" s="688" t="s">
        <v>666</v>
      </c>
      <c r="F421" s="688"/>
      <c r="G421" s="549" t="s">
        <v>556</v>
      </c>
      <c r="H421" s="550">
        <v>0.48370000000000002</v>
      </c>
      <c r="I421" s="551">
        <v>13.83</v>
      </c>
      <c r="J421" s="551">
        <v>6.68</v>
      </c>
      <c r="K421" s="552"/>
    </row>
    <row r="422" spans="1:11" ht="25.5" customHeight="1" x14ac:dyDescent="0.3">
      <c r="A422" s="547" t="s">
        <v>430</v>
      </c>
      <c r="B422" s="548" t="s">
        <v>669</v>
      </c>
      <c r="C422" s="547" t="s">
        <v>19</v>
      </c>
      <c r="D422" s="547" t="s">
        <v>3521</v>
      </c>
      <c r="E422" s="688" t="s">
        <v>670</v>
      </c>
      <c r="F422" s="688"/>
      <c r="G422" s="549" t="s">
        <v>173</v>
      </c>
      <c r="H422" s="550">
        <v>0.22189999999999999</v>
      </c>
      <c r="I422" s="551">
        <v>10.73</v>
      </c>
      <c r="J422" s="551">
        <v>2.38</v>
      </c>
      <c r="K422" s="552"/>
    </row>
    <row r="423" spans="1:11" ht="38.25" customHeight="1" x14ac:dyDescent="0.3">
      <c r="A423" s="547" t="s">
        <v>430</v>
      </c>
      <c r="B423" s="548" t="s">
        <v>673</v>
      </c>
      <c r="C423" s="547" t="s">
        <v>19</v>
      </c>
      <c r="D423" s="547" t="s">
        <v>3524</v>
      </c>
      <c r="E423" s="688" t="s">
        <v>664</v>
      </c>
      <c r="F423" s="688"/>
      <c r="G423" s="549" t="s">
        <v>173</v>
      </c>
      <c r="H423" s="550">
        <v>0.3397</v>
      </c>
      <c r="I423" s="551">
        <v>10.85</v>
      </c>
      <c r="J423" s="551">
        <v>3.68</v>
      </c>
      <c r="K423" s="552"/>
    </row>
    <row r="424" spans="1:11" ht="38.25" customHeight="1" x14ac:dyDescent="0.3">
      <c r="A424" s="547" t="s">
        <v>430</v>
      </c>
      <c r="B424" s="548" t="s">
        <v>674</v>
      </c>
      <c r="C424" s="547" t="s">
        <v>19</v>
      </c>
      <c r="D424" s="547" t="s">
        <v>3525</v>
      </c>
      <c r="E424" s="688" t="s">
        <v>664</v>
      </c>
      <c r="F424" s="688"/>
      <c r="G424" s="549" t="s">
        <v>173</v>
      </c>
      <c r="H424" s="550">
        <v>0.22189999999999999</v>
      </c>
      <c r="I424" s="551">
        <v>14.11</v>
      </c>
      <c r="J424" s="551">
        <v>3.13</v>
      </c>
      <c r="K424" s="552"/>
    </row>
    <row r="425" spans="1:11" ht="38.25" customHeight="1" x14ac:dyDescent="0.3">
      <c r="A425" s="547" t="s">
        <v>430</v>
      </c>
      <c r="B425" s="548" t="s">
        <v>705</v>
      </c>
      <c r="C425" s="547" t="s">
        <v>19</v>
      </c>
      <c r="D425" s="547" t="s">
        <v>3529</v>
      </c>
      <c r="E425" s="688" t="s">
        <v>664</v>
      </c>
      <c r="F425" s="688"/>
      <c r="G425" s="549" t="s">
        <v>173</v>
      </c>
      <c r="H425" s="550">
        <v>0.93340000000000001</v>
      </c>
      <c r="I425" s="551">
        <v>3.49</v>
      </c>
      <c r="J425" s="551">
        <v>3.25</v>
      </c>
      <c r="K425" s="552"/>
    </row>
    <row r="426" spans="1:11" ht="38.25" customHeight="1" x14ac:dyDescent="0.3">
      <c r="A426" s="547" t="s">
        <v>430</v>
      </c>
      <c r="B426" s="548" t="s">
        <v>675</v>
      </c>
      <c r="C426" s="547" t="s">
        <v>19</v>
      </c>
      <c r="D426" s="547" t="s">
        <v>3526</v>
      </c>
      <c r="E426" s="688" t="s">
        <v>664</v>
      </c>
      <c r="F426" s="688"/>
      <c r="G426" s="549" t="s">
        <v>173</v>
      </c>
      <c r="H426" s="550">
        <v>0.94720000000000004</v>
      </c>
      <c r="I426" s="551">
        <v>5.0999999999999996</v>
      </c>
      <c r="J426" s="551">
        <v>4.83</v>
      </c>
      <c r="K426" s="552"/>
    </row>
    <row r="427" spans="1:11" ht="38.25" customHeight="1" x14ac:dyDescent="0.3">
      <c r="A427" s="547" t="s">
        <v>430</v>
      </c>
      <c r="B427" s="548" t="s">
        <v>735</v>
      </c>
      <c r="C427" s="547" t="s">
        <v>19</v>
      </c>
      <c r="D427" s="547" t="s">
        <v>3534</v>
      </c>
      <c r="E427" s="688" t="s">
        <v>664</v>
      </c>
      <c r="F427" s="688"/>
      <c r="G427" s="549" t="s">
        <v>81</v>
      </c>
      <c r="H427" s="550">
        <v>1.66E-2</v>
      </c>
      <c r="I427" s="551">
        <v>52.36</v>
      </c>
      <c r="J427" s="551">
        <v>0.86</v>
      </c>
      <c r="K427" s="552"/>
    </row>
    <row r="428" spans="1:11" ht="38.25" customHeight="1" x14ac:dyDescent="0.3">
      <c r="A428" s="547" t="s">
        <v>430</v>
      </c>
      <c r="B428" s="548" t="s">
        <v>736</v>
      </c>
      <c r="C428" s="547" t="s">
        <v>19</v>
      </c>
      <c r="D428" s="547" t="s">
        <v>3535</v>
      </c>
      <c r="E428" s="688" t="s">
        <v>664</v>
      </c>
      <c r="F428" s="688"/>
      <c r="G428" s="549" t="s">
        <v>81</v>
      </c>
      <c r="H428" s="550">
        <v>3.3099999999999997E-2</v>
      </c>
      <c r="I428" s="551">
        <v>36.01</v>
      </c>
      <c r="J428" s="551">
        <v>1.19</v>
      </c>
      <c r="K428" s="552"/>
    </row>
    <row r="429" spans="1:11" ht="25.5" customHeight="1" x14ac:dyDescent="0.3">
      <c r="A429" s="547" t="s">
        <v>430</v>
      </c>
      <c r="B429" s="548" t="s">
        <v>737</v>
      </c>
      <c r="C429" s="547" t="s">
        <v>19</v>
      </c>
      <c r="D429" s="547" t="s">
        <v>3536</v>
      </c>
      <c r="E429" s="688" t="s">
        <v>664</v>
      </c>
      <c r="F429" s="688"/>
      <c r="G429" s="549" t="s">
        <v>81</v>
      </c>
      <c r="H429" s="550">
        <v>3.3099999999999997E-2</v>
      </c>
      <c r="I429" s="551">
        <v>38.729999999999997</v>
      </c>
      <c r="J429" s="551">
        <v>1.28</v>
      </c>
      <c r="K429" s="552"/>
    </row>
    <row r="430" spans="1:11" ht="25.5" customHeight="1" x14ac:dyDescent="0.3">
      <c r="A430" s="547" t="s">
        <v>430</v>
      </c>
      <c r="B430" s="548" t="s">
        <v>677</v>
      </c>
      <c r="C430" s="547" t="s">
        <v>19</v>
      </c>
      <c r="D430" s="547" t="s">
        <v>678</v>
      </c>
      <c r="E430" s="688" t="s">
        <v>679</v>
      </c>
      <c r="F430" s="688"/>
      <c r="G430" s="549" t="s">
        <v>556</v>
      </c>
      <c r="H430" s="550">
        <v>1.2466999999999999</v>
      </c>
      <c r="I430" s="551">
        <v>23.44</v>
      </c>
      <c r="J430" s="551">
        <v>29.22</v>
      </c>
      <c r="K430" s="552"/>
    </row>
    <row r="431" spans="1:11" ht="25.5" customHeight="1" x14ac:dyDescent="0.3">
      <c r="A431" s="547" t="s">
        <v>430</v>
      </c>
      <c r="B431" s="548" t="s">
        <v>726</v>
      </c>
      <c r="C431" s="547" t="s">
        <v>19</v>
      </c>
      <c r="D431" s="547" t="s">
        <v>727</v>
      </c>
      <c r="E431" s="688" t="s">
        <v>664</v>
      </c>
      <c r="F431" s="688"/>
      <c r="G431" s="549" t="s">
        <v>173</v>
      </c>
      <c r="H431" s="550">
        <v>0.1656</v>
      </c>
      <c r="I431" s="551">
        <v>19.3</v>
      </c>
      <c r="J431" s="551">
        <v>3.19</v>
      </c>
      <c r="K431" s="552"/>
    </row>
    <row r="432" spans="1:11" ht="25" x14ac:dyDescent="0.3">
      <c r="A432" s="547" t="s">
        <v>430</v>
      </c>
      <c r="B432" s="548" t="s">
        <v>707</v>
      </c>
      <c r="C432" s="547" t="s">
        <v>19</v>
      </c>
      <c r="D432" s="547" t="s">
        <v>708</v>
      </c>
      <c r="E432" s="688" t="s">
        <v>709</v>
      </c>
      <c r="F432" s="688"/>
      <c r="G432" s="549" t="s">
        <v>532</v>
      </c>
      <c r="H432" s="550">
        <v>1.2999999999999999E-3</v>
      </c>
      <c r="I432" s="551">
        <v>92.56</v>
      </c>
      <c r="J432" s="551">
        <v>0.12</v>
      </c>
      <c r="K432" s="552"/>
    </row>
    <row r="433" spans="1:11" s="89" customFormat="1" ht="25.5" customHeight="1" x14ac:dyDescent="0.3">
      <c r="A433" s="547" t="s">
        <v>430</v>
      </c>
      <c r="B433" s="548" t="s">
        <v>680</v>
      </c>
      <c r="C433" s="547" t="s">
        <v>19</v>
      </c>
      <c r="D433" s="547" t="s">
        <v>681</v>
      </c>
      <c r="E433" s="688" t="s">
        <v>679</v>
      </c>
      <c r="F433" s="688"/>
      <c r="G433" s="549" t="s">
        <v>556</v>
      </c>
      <c r="H433" s="550">
        <v>1.2466999999999999</v>
      </c>
      <c r="I433" s="551">
        <v>44.7</v>
      </c>
      <c r="J433" s="551">
        <v>55.72</v>
      </c>
      <c r="K433" s="546"/>
    </row>
    <row r="434" spans="1:11" ht="25" x14ac:dyDescent="0.3">
      <c r="A434" s="547" t="s">
        <v>430</v>
      </c>
      <c r="B434" s="548" t="s">
        <v>714</v>
      </c>
      <c r="C434" s="547" t="s">
        <v>19</v>
      </c>
      <c r="D434" s="547" t="s">
        <v>715</v>
      </c>
      <c r="E434" s="688" t="s">
        <v>619</v>
      </c>
      <c r="F434" s="688"/>
      <c r="G434" s="549" t="s">
        <v>556</v>
      </c>
      <c r="H434" s="550">
        <v>1.2466999999999999</v>
      </c>
      <c r="I434" s="551">
        <v>37.880000000000003</v>
      </c>
      <c r="J434" s="551">
        <v>47.22</v>
      </c>
      <c r="K434" s="552"/>
    </row>
    <row r="435" spans="1:11" s="89" customFormat="1" ht="38.25" customHeight="1" x14ac:dyDescent="0.3">
      <c r="A435" s="547" t="s">
        <v>430</v>
      </c>
      <c r="B435" s="548" t="s">
        <v>716</v>
      </c>
      <c r="C435" s="547" t="s">
        <v>19</v>
      </c>
      <c r="D435" s="547" t="s">
        <v>3531</v>
      </c>
      <c r="E435" s="688" t="s">
        <v>664</v>
      </c>
      <c r="F435" s="688"/>
      <c r="G435" s="549" t="s">
        <v>81</v>
      </c>
      <c r="H435" s="550">
        <v>6.6199999999999995E-2</v>
      </c>
      <c r="I435" s="551">
        <v>25.24</v>
      </c>
      <c r="J435" s="551">
        <v>1.67</v>
      </c>
      <c r="K435" s="546"/>
    </row>
    <row r="436" spans="1:11" ht="25.5" customHeight="1" x14ac:dyDescent="0.3">
      <c r="A436" s="547" t="s">
        <v>430</v>
      </c>
      <c r="B436" s="548" t="s">
        <v>728</v>
      </c>
      <c r="C436" s="547" t="s">
        <v>19</v>
      </c>
      <c r="D436" s="547" t="s">
        <v>3533</v>
      </c>
      <c r="E436" s="688" t="s">
        <v>664</v>
      </c>
      <c r="F436" s="688"/>
      <c r="G436" s="549" t="s">
        <v>81</v>
      </c>
      <c r="H436" s="550">
        <v>3.3099999999999997E-2</v>
      </c>
      <c r="I436" s="551">
        <v>73.819999999999993</v>
      </c>
      <c r="J436" s="551">
        <v>2.44</v>
      </c>
      <c r="K436" s="552"/>
    </row>
    <row r="437" spans="1:11" ht="38.25" customHeight="1" x14ac:dyDescent="0.3">
      <c r="A437" s="547" t="s">
        <v>430</v>
      </c>
      <c r="B437" s="548" t="s">
        <v>717</v>
      </c>
      <c r="C437" s="547" t="s">
        <v>19</v>
      </c>
      <c r="D437" s="547" t="s">
        <v>718</v>
      </c>
      <c r="E437" s="688" t="s">
        <v>664</v>
      </c>
      <c r="F437" s="688"/>
      <c r="G437" s="549" t="s">
        <v>81</v>
      </c>
      <c r="H437" s="550">
        <v>0.13250000000000001</v>
      </c>
      <c r="I437" s="551">
        <v>120.19</v>
      </c>
      <c r="J437" s="551">
        <v>15.92</v>
      </c>
      <c r="K437" s="552"/>
    </row>
    <row r="438" spans="1:11" ht="25.5" customHeight="1" x14ac:dyDescent="0.3">
      <c r="A438" s="547" t="s">
        <v>430</v>
      </c>
      <c r="B438" s="548" t="s">
        <v>729</v>
      </c>
      <c r="C438" s="547" t="s">
        <v>19</v>
      </c>
      <c r="D438" s="547" t="s">
        <v>730</v>
      </c>
      <c r="E438" s="688" t="s">
        <v>664</v>
      </c>
      <c r="F438" s="688"/>
      <c r="G438" s="549" t="s">
        <v>81</v>
      </c>
      <c r="H438" s="550">
        <v>3.3099999999999997E-2</v>
      </c>
      <c r="I438" s="551">
        <v>172.94</v>
      </c>
      <c r="J438" s="551">
        <v>5.72</v>
      </c>
      <c r="K438" s="552"/>
    </row>
    <row r="439" spans="1:11" ht="37.5" x14ac:dyDescent="0.3">
      <c r="A439" s="547" t="s">
        <v>430</v>
      </c>
      <c r="B439" s="548" t="s">
        <v>690</v>
      </c>
      <c r="C439" s="547" t="s">
        <v>19</v>
      </c>
      <c r="D439" s="547" t="s">
        <v>691</v>
      </c>
      <c r="E439" s="688" t="s">
        <v>481</v>
      </c>
      <c r="F439" s="688"/>
      <c r="G439" s="549" t="s">
        <v>556</v>
      </c>
      <c r="H439" s="550">
        <v>9.8100000000000007E-2</v>
      </c>
      <c r="I439" s="551">
        <v>86.04</v>
      </c>
      <c r="J439" s="551">
        <v>8.44</v>
      </c>
      <c r="K439" s="552"/>
    </row>
    <row r="440" spans="1:11" ht="37.5" x14ac:dyDescent="0.3">
      <c r="A440" s="547" t="s">
        <v>430</v>
      </c>
      <c r="B440" s="548" t="s">
        <v>692</v>
      </c>
      <c r="C440" s="547" t="s">
        <v>19</v>
      </c>
      <c r="D440" s="547" t="s">
        <v>693</v>
      </c>
      <c r="E440" s="688" t="s">
        <v>481</v>
      </c>
      <c r="F440" s="688"/>
      <c r="G440" s="549" t="s">
        <v>556</v>
      </c>
      <c r="H440" s="550">
        <v>0.1129</v>
      </c>
      <c r="I440" s="551">
        <v>141.79</v>
      </c>
      <c r="J440" s="551">
        <v>16</v>
      </c>
      <c r="K440" s="552"/>
    </row>
    <row r="441" spans="1:11" ht="37.5" x14ac:dyDescent="0.3">
      <c r="A441" s="547" t="s">
        <v>430</v>
      </c>
      <c r="B441" s="548" t="s">
        <v>694</v>
      </c>
      <c r="C441" s="547" t="s">
        <v>19</v>
      </c>
      <c r="D441" s="547" t="s">
        <v>695</v>
      </c>
      <c r="E441" s="688" t="s">
        <v>481</v>
      </c>
      <c r="F441" s="688"/>
      <c r="G441" s="549" t="s">
        <v>556</v>
      </c>
      <c r="H441" s="550">
        <v>0.1532</v>
      </c>
      <c r="I441" s="551">
        <v>102.51</v>
      </c>
      <c r="J441" s="551">
        <v>15.7</v>
      </c>
      <c r="K441" s="552"/>
    </row>
    <row r="442" spans="1:11" ht="37.5" x14ac:dyDescent="0.3">
      <c r="A442" s="547" t="s">
        <v>430</v>
      </c>
      <c r="B442" s="548" t="s">
        <v>696</v>
      </c>
      <c r="C442" s="547" t="s">
        <v>19</v>
      </c>
      <c r="D442" s="547" t="s">
        <v>697</v>
      </c>
      <c r="E442" s="688" t="s">
        <v>481</v>
      </c>
      <c r="F442" s="688"/>
      <c r="G442" s="549" t="s">
        <v>556</v>
      </c>
      <c r="H442" s="550">
        <v>0.1195</v>
      </c>
      <c r="I442" s="551">
        <v>133.46</v>
      </c>
      <c r="J442" s="551">
        <v>15.94</v>
      </c>
      <c r="K442" s="552"/>
    </row>
    <row r="443" spans="1:11" ht="25" x14ac:dyDescent="0.3">
      <c r="A443" s="547" t="s">
        <v>433</v>
      </c>
      <c r="B443" s="548" t="s">
        <v>731</v>
      </c>
      <c r="C443" s="547" t="s">
        <v>19</v>
      </c>
      <c r="D443" s="547" t="s">
        <v>732</v>
      </c>
      <c r="E443" s="688" t="s">
        <v>438</v>
      </c>
      <c r="F443" s="688"/>
      <c r="G443" s="549" t="s">
        <v>81</v>
      </c>
      <c r="H443" s="550">
        <v>1.66E-2</v>
      </c>
      <c r="I443" s="551">
        <v>201.25</v>
      </c>
      <c r="J443" s="551">
        <v>3.34</v>
      </c>
      <c r="K443" s="552"/>
    </row>
    <row r="444" spans="1:11" ht="25.5" thickBot="1" x14ac:dyDescent="0.35">
      <c r="A444" s="547" t="s">
        <v>433</v>
      </c>
      <c r="B444" s="548" t="s">
        <v>733</v>
      </c>
      <c r="C444" s="547" t="s">
        <v>19</v>
      </c>
      <c r="D444" s="547" t="s">
        <v>734</v>
      </c>
      <c r="E444" s="688" t="s">
        <v>438</v>
      </c>
      <c r="F444" s="688"/>
      <c r="G444" s="549" t="s">
        <v>81</v>
      </c>
      <c r="H444" s="550">
        <v>1.66E-2</v>
      </c>
      <c r="I444" s="551">
        <v>194.61</v>
      </c>
      <c r="J444" s="551">
        <v>3.23</v>
      </c>
      <c r="K444" s="552"/>
    </row>
    <row r="445" spans="1:11" ht="14.5" thickTop="1" x14ac:dyDescent="0.3">
      <c r="A445" s="562"/>
      <c r="B445" s="562"/>
      <c r="C445" s="562"/>
      <c r="D445" s="562"/>
      <c r="E445" s="562"/>
      <c r="F445" s="562"/>
      <c r="G445" s="562"/>
      <c r="H445" s="562"/>
      <c r="I445" s="562"/>
      <c r="J445" s="562"/>
      <c r="K445" s="552"/>
    </row>
    <row r="446" spans="1:11" x14ac:dyDescent="0.3">
      <c r="A446" s="553"/>
      <c r="B446" s="554" t="s">
        <v>4</v>
      </c>
      <c r="C446" s="553" t="s">
        <v>5</v>
      </c>
      <c r="D446" s="553" t="s">
        <v>6</v>
      </c>
      <c r="E446" s="691" t="s">
        <v>427</v>
      </c>
      <c r="F446" s="691"/>
      <c r="G446" s="555" t="s">
        <v>7</v>
      </c>
      <c r="H446" s="554" t="s">
        <v>8</v>
      </c>
      <c r="I446" s="554" t="s">
        <v>9</v>
      </c>
      <c r="J446" s="554" t="s">
        <v>11</v>
      </c>
      <c r="K446" s="552"/>
    </row>
    <row r="447" spans="1:11" s="89" customFormat="1" ht="37.5" x14ac:dyDescent="0.3">
      <c r="A447" s="607" t="s">
        <v>428</v>
      </c>
      <c r="B447" s="608" t="s">
        <v>151</v>
      </c>
      <c r="C447" s="607" t="s">
        <v>19</v>
      </c>
      <c r="D447" s="607" t="s">
        <v>3537</v>
      </c>
      <c r="E447" s="690" t="s">
        <v>481</v>
      </c>
      <c r="F447" s="690"/>
      <c r="G447" s="609" t="s">
        <v>81</v>
      </c>
      <c r="H447" s="610">
        <v>1</v>
      </c>
      <c r="I447" s="611">
        <v>6679.79</v>
      </c>
      <c r="J447" s="611">
        <v>6679.79</v>
      </c>
      <c r="K447" s="546"/>
    </row>
    <row r="448" spans="1:11" ht="37.5" x14ac:dyDescent="0.3">
      <c r="A448" s="547" t="s">
        <v>430</v>
      </c>
      <c r="B448" s="548" t="s">
        <v>738</v>
      </c>
      <c r="C448" s="547" t="s">
        <v>19</v>
      </c>
      <c r="D448" s="547" t="s">
        <v>739</v>
      </c>
      <c r="E448" s="688" t="s">
        <v>670</v>
      </c>
      <c r="F448" s="688"/>
      <c r="G448" s="549" t="s">
        <v>81</v>
      </c>
      <c r="H448" s="550">
        <v>3</v>
      </c>
      <c r="I448" s="551">
        <v>9.32</v>
      </c>
      <c r="J448" s="551">
        <v>27.96</v>
      </c>
      <c r="K448" s="552"/>
    </row>
    <row r="449" spans="1:11" s="89" customFormat="1" ht="37.5" x14ac:dyDescent="0.3">
      <c r="A449" s="547" t="s">
        <v>430</v>
      </c>
      <c r="B449" s="548" t="s">
        <v>740</v>
      </c>
      <c r="C449" s="547" t="s">
        <v>19</v>
      </c>
      <c r="D449" s="547" t="s">
        <v>741</v>
      </c>
      <c r="E449" s="688" t="s">
        <v>670</v>
      </c>
      <c r="F449" s="688"/>
      <c r="G449" s="549" t="s">
        <v>81</v>
      </c>
      <c r="H449" s="550">
        <v>1</v>
      </c>
      <c r="I449" s="551">
        <v>57.67</v>
      </c>
      <c r="J449" s="551">
        <v>57.67</v>
      </c>
      <c r="K449" s="546"/>
    </row>
    <row r="450" spans="1:11" s="89" customFormat="1" ht="37.5" x14ac:dyDescent="0.3">
      <c r="A450" s="547" t="s">
        <v>430</v>
      </c>
      <c r="B450" s="548" t="s">
        <v>742</v>
      </c>
      <c r="C450" s="547" t="s">
        <v>19</v>
      </c>
      <c r="D450" s="547" t="s">
        <v>743</v>
      </c>
      <c r="E450" s="688" t="s">
        <v>670</v>
      </c>
      <c r="F450" s="688"/>
      <c r="G450" s="549" t="s">
        <v>173</v>
      </c>
      <c r="H450" s="550">
        <v>19</v>
      </c>
      <c r="I450" s="551">
        <v>7.04</v>
      </c>
      <c r="J450" s="551">
        <v>133.76</v>
      </c>
      <c r="K450" s="546"/>
    </row>
    <row r="451" spans="1:11" ht="37.5" x14ac:dyDescent="0.3">
      <c r="A451" s="547" t="s">
        <v>430</v>
      </c>
      <c r="B451" s="548" t="s">
        <v>744</v>
      </c>
      <c r="C451" s="547" t="s">
        <v>19</v>
      </c>
      <c r="D451" s="547" t="s">
        <v>745</v>
      </c>
      <c r="E451" s="688" t="s">
        <v>670</v>
      </c>
      <c r="F451" s="688"/>
      <c r="G451" s="549" t="s">
        <v>81</v>
      </c>
      <c r="H451" s="550">
        <v>2</v>
      </c>
      <c r="I451" s="551">
        <v>7.14</v>
      </c>
      <c r="J451" s="551">
        <v>14.28</v>
      </c>
      <c r="K451" s="552"/>
    </row>
    <row r="452" spans="1:11" s="89" customFormat="1" ht="50" x14ac:dyDescent="0.3">
      <c r="A452" s="547" t="s">
        <v>430</v>
      </c>
      <c r="B452" s="548" t="s">
        <v>746</v>
      </c>
      <c r="C452" s="547" t="s">
        <v>19</v>
      </c>
      <c r="D452" s="547" t="s">
        <v>747</v>
      </c>
      <c r="E452" s="688" t="s">
        <v>670</v>
      </c>
      <c r="F452" s="688"/>
      <c r="G452" s="549" t="s">
        <v>81</v>
      </c>
      <c r="H452" s="550">
        <v>1</v>
      </c>
      <c r="I452" s="551">
        <v>20.62</v>
      </c>
      <c r="J452" s="551">
        <v>20.62</v>
      </c>
      <c r="K452" s="546"/>
    </row>
    <row r="453" spans="1:11" s="89" customFormat="1" ht="25" x14ac:dyDescent="0.3">
      <c r="A453" s="547" t="s">
        <v>430</v>
      </c>
      <c r="B453" s="548" t="s">
        <v>748</v>
      </c>
      <c r="C453" s="547" t="s">
        <v>19</v>
      </c>
      <c r="D453" s="547" t="s">
        <v>749</v>
      </c>
      <c r="E453" s="688" t="s">
        <v>670</v>
      </c>
      <c r="F453" s="688"/>
      <c r="G453" s="549" t="s">
        <v>81</v>
      </c>
      <c r="H453" s="550">
        <v>1</v>
      </c>
      <c r="I453" s="551">
        <v>67.61</v>
      </c>
      <c r="J453" s="551">
        <v>67.61</v>
      </c>
      <c r="K453" s="546"/>
    </row>
    <row r="454" spans="1:11" ht="25" x14ac:dyDescent="0.3">
      <c r="A454" s="547" t="s">
        <v>430</v>
      </c>
      <c r="B454" s="548" t="s">
        <v>153</v>
      </c>
      <c r="C454" s="547" t="s">
        <v>19</v>
      </c>
      <c r="D454" s="547" t="s">
        <v>3780</v>
      </c>
      <c r="E454" s="688" t="s">
        <v>481</v>
      </c>
      <c r="F454" s="688"/>
      <c r="G454" s="549" t="s">
        <v>81</v>
      </c>
      <c r="H454" s="550">
        <v>1</v>
      </c>
      <c r="I454" s="551">
        <v>5847.66</v>
      </c>
      <c r="J454" s="551">
        <v>5847.66</v>
      </c>
      <c r="K454" s="552"/>
    </row>
    <row r="455" spans="1:11" ht="25.5" thickBot="1" x14ac:dyDescent="0.35">
      <c r="A455" s="547" t="s">
        <v>433</v>
      </c>
      <c r="B455" s="548" t="s">
        <v>750</v>
      </c>
      <c r="C455" s="547" t="s">
        <v>19</v>
      </c>
      <c r="D455" s="547" t="s">
        <v>3538</v>
      </c>
      <c r="E455" s="688" t="s">
        <v>438</v>
      </c>
      <c r="F455" s="688"/>
      <c r="G455" s="549" t="s">
        <v>81</v>
      </c>
      <c r="H455" s="550">
        <v>1</v>
      </c>
      <c r="I455" s="551">
        <v>510.23</v>
      </c>
      <c r="J455" s="551">
        <v>510.23</v>
      </c>
      <c r="K455" s="552"/>
    </row>
    <row r="456" spans="1:11" ht="14.5" thickTop="1" x14ac:dyDescent="0.3">
      <c r="A456" s="562"/>
      <c r="B456" s="562"/>
      <c r="C456" s="562"/>
      <c r="D456" s="562"/>
      <c r="E456" s="562"/>
      <c r="F456" s="562"/>
      <c r="G456" s="562"/>
      <c r="H456" s="562"/>
      <c r="I456" s="562"/>
      <c r="J456" s="562"/>
      <c r="K456" s="552"/>
    </row>
    <row r="457" spans="1:11" x14ac:dyDescent="0.3">
      <c r="A457" s="553"/>
      <c r="B457" s="554" t="s">
        <v>4</v>
      </c>
      <c r="C457" s="553" t="s">
        <v>5</v>
      </c>
      <c r="D457" s="553" t="s">
        <v>6</v>
      </c>
      <c r="E457" s="691" t="s">
        <v>427</v>
      </c>
      <c r="F457" s="691"/>
      <c r="G457" s="555" t="s">
        <v>7</v>
      </c>
      <c r="H457" s="554" t="s">
        <v>8</v>
      </c>
      <c r="I457" s="554" t="s">
        <v>9</v>
      </c>
      <c r="J457" s="554" t="s">
        <v>11</v>
      </c>
      <c r="K457" s="552"/>
    </row>
    <row r="458" spans="1:11" ht="37.5" x14ac:dyDescent="0.3">
      <c r="A458" s="607" t="s">
        <v>428</v>
      </c>
      <c r="B458" s="608" t="s">
        <v>152</v>
      </c>
      <c r="C458" s="607" t="s">
        <v>19</v>
      </c>
      <c r="D458" s="607" t="s">
        <v>3539</v>
      </c>
      <c r="E458" s="690" t="s">
        <v>481</v>
      </c>
      <c r="F458" s="690"/>
      <c r="G458" s="609" t="s">
        <v>81</v>
      </c>
      <c r="H458" s="610">
        <v>1</v>
      </c>
      <c r="I458" s="611">
        <v>11616.82</v>
      </c>
      <c r="J458" s="611">
        <v>11616.82</v>
      </c>
      <c r="K458" s="552"/>
    </row>
    <row r="459" spans="1:11" ht="37.5" x14ac:dyDescent="0.3">
      <c r="A459" s="547" t="s">
        <v>430</v>
      </c>
      <c r="B459" s="548" t="s">
        <v>738</v>
      </c>
      <c r="C459" s="547" t="s">
        <v>19</v>
      </c>
      <c r="D459" s="547" t="s">
        <v>739</v>
      </c>
      <c r="E459" s="688" t="s">
        <v>670</v>
      </c>
      <c r="F459" s="688"/>
      <c r="G459" s="549" t="s">
        <v>81</v>
      </c>
      <c r="H459" s="550">
        <v>3</v>
      </c>
      <c r="I459" s="551">
        <v>9.32</v>
      </c>
      <c r="J459" s="551">
        <v>27.96</v>
      </c>
      <c r="K459" s="552"/>
    </row>
    <row r="460" spans="1:11" s="89" customFormat="1" ht="37.5" x14ac:dyDescent="0.3">
      <c r="A460" s="547" t="s">
        <v>430</v>
      </c>
      <c r="B460" s="548" t="s">
        <v>740</v>
      </c>
      <c r="C460" s="547" t="s">
        <v>19</v>
      </c>
      <c r="D460" s="547" t="s">
        <v>741</v>
      </c>
      <c r="E460" s="688" t="s">
        <v>670</v>
      </c>
      <c r="F460" s="688"/>
      <c r="G460" s="549" t="s">
        <v>81</v>
      </c>
      <c r="H460" s="550">
        <v>1</v>
      </c>
      <c r="I460" s="551">
        <v>57.67</v>
      </c>
      <c r="J460" s="551">
        <v>57.67</v>
      </c>
      <c r="K460" s="546"/>
    </row>
    <row r="461" spans="1:11" s="89" customFormat="1" ht="37.5" x14ac:dyDescent="0.3">
      <c r="A461" s="547" t="s">
        <v>430</v>
      </c>
      <c r="B461" s="548" t="s">
        <v>742</v>
      </c>
      <c r="C461" s="547" t="s">
        <v>19</v>
      </c>
      <c r="D461" s="547" t="s">
        <v>743</v>
      </c>
      <c r="E461" s="688" t="s">
        <v>670</v>
      </c>
      <c r="F461" s="688"/>
      <c r="G461" s="549" t="s">
        <v>173</v>
      </c>
      <c r="H461" s="550">
        <v>20</v>
      </c>
      <c r="I461" s="551">
        <v>7.04</v>
      </c>
      <c r="J461" s="551">
        <v>140.80000000000001</v>
      </c>
      <c r="K461" s="546"/>
    </row>
    <row r="462" spans="1:11" ht="37.5" x14ac:dyDescent="0.3">
      <c r="A462" s="547" t="s">
        <v>430</v>
      </c>
      <c r="B462" s="548" t="s">
        <v>744</v>
      </c>
      <c r="C462" s="547" t="s">
        <v>19</v>
      </c>
      <c r="D462" s="547" t="s">
        <v>745</v>
      </c>
      <c r="E462" s="688" t="s">
        <v>670</v>
      </c>
      <c r="F462" s="688"/>
      <c r="G462" s="549" t="s">
        <v>81</v>
      </c>
      <c r="H462" s="550">
        <v>2</v>
      </c>
      <c r="I462" s="551">
        <v>7.14</v>
      </c>
      <c r="J462" s="551">
        <v>14.28</v>
      </c>
      <c r="K462" s="552"/>
    </row>
    <row r="463" spans="1:11" ht="50" x14ac:dyDescent="0.3">
      <c r="A463" s="547" t="s">
        <v>430</v>
      </c>
      <c r="B463" s="548" t="s">
        <v>746</v>
      </c>
      <c r="C463" s="547" t="s">
        <v>19</v>
      </c>
      <c r="D463" s="547" t="s">
        <v>747</v>
      </c>
      <c r="E463" s="688" t="s">
        <v>670</v>
      </c>
      <c r="F463" s="688"/>
      <c r="G463" s="549" t="s">
        <v>81</v>
      </c>
      <c r="H463" s="550">
        <v>1</v>
      </c>
      <c r="I463" s="551">
        <v>20.62</v>
      </c>
      <c r="J463" s="551">
        <v>20.62</v>
      </c>
      <c r="K463" s="552"/>
    </row>
    <row r="464" spans="1:11" ht="25" x14ac:dyDescent="0.3">
      <c r="A464" s="547" t="s">
        <v>430</v>
      </c>
      <c r="B464" s="548" t="s">
        <v>748</v>
      </c>
      <c r="C464" s="547" t="s">
        <v>19</v>
      </c>
      <c r="D464" s="547" t="s">
        <v>749</v>
      </c>
      <c r="E464" s="688" t="s">
        <v>670</v>
      </c>
      <c r="F464" s="688"/>
      <c r="G464" s="549" t="s">
        <v>81</v>
      </c>
      <c r="H464" s="550">
        <v>1</v>
      </c>
      <c r="I464" s="551">
        <v>67.61</v>
      </c>
      <c r="J464" s="551">
        <v>67.61</v>
      </c>
      <c r="K464" s="552"/>
    </row>
    <row r="465" spans="1:11" s="89" customFormat="1" ht="25" x14ac:dyDescent="0.3">
      <c r="A465" s="547" t="s">
        <v>430</v>
      </c>
      <c r="B465" s="548" t="s">
        <v>154</v>
      </c>
      <c r="C465" s="547" t="s">
        <v>19</v>
      </c>
      <c r="D465" s="547" t="s">
        <v>3781</v>
      </c>
      <c r="E465" s="688" t="s">
        <v>481</v>
      </c>
      <c r="F465" s="688"/>
      <c r="G465" s="549" t="s">
        <v>81</v>
      </c>
      <c r="H465" s="550">
        <v>1</v>
      </c>
      <c r="I465" s="551">
        <v>9951.9599999999991</v>
      </c>
      <c r="J465" s="551">
        <v>9951.9599999999991</v>
      </c>
      <c r="K465" s="546"/>
    </row>
    <row r="466" spans="1:11" ht="25.5" thickBot="1" x14ac:dyDescent="0.35">
      <c r="A466" s="547" t="s">
        <v>433</v>
      </c>
      <c r="B466" s="548" t="s">
        <v>751</v>
      </c>
      <c r="C466" s="547" t="s">
        <v>19</v>
      </c>
      <c r="D466" s="547" t="s">
        <v>3540</v>
      </c>
      <c r="E466" s="688" t="s">
        <v>438</v>
      </c>
      <c r="F466" s="688"/>
      <c r="G466" s="549" t="s">
        <v>81</v>
      </c>
      <c r="H466" s="550">
        <v>1</v>
      </c>
      <c r="I466" s="551">
        <v>1335.92</v>
      </c>
      <c r="J466" s="551">
        <v>1335.92</v>
      </c>
      <c r="K466" s="552"/>
    </row>
    <row r="467" spans="1:11" ht="14.5" thickTop="1" x14ac:dyDescent="0.3">
      <c r="A467" s="562"/>
      <c r="B467" s="562"/>
      <c r="C467" s="562"/>
      <c r="D467" s="562"/>
      <c r="E467" s="562"/>
      <c r="F467" s="562"/>
      <c r="G467" s="562"/>
      <c r="H467" s="562"/>
      <c r="I467" s="562"/>
      <c r="J467" s="562"/>
      <c r="K467" s="552"/>
    </row>
    <row r="468" spans="1:11" x14ac:dyDescent="0.3">
      <c r="A468" s="553"/>
      <c r="B468" s="554" t="s">
        <v>4</v>
      </c>
      <c r="C468" s="553" t="s">
        <v>5</v>
      </c>
      <c r="D468" s="553" t="s">
        <v>6</v>
      </c>
      <c r="E468" s="691" t="s">
        <v>427</v>
      </c>
      <c r="F468" s="691"/>
      <c r="G468" s="555" t="s">
        <v>7</v>
      </c>
      <c r="H468" s="554" t="s">
        <v>8</v>
      </c>
      <c r="I468" s="554" t="s">
        <v>9</v>
      </c>
      <c r="J468" s="554" t="s">
        <v>11</v>
      </c>
      <c r="K468" s="552"/>
    </row>
    <row r="469" spans="1:11" ht="25" x14ac:dyDescent="0.3">
      <c r="A469" s="607" t="s">
        <v>428</v>
      </c>
      <c r="B469" s="608" t="s">
        <v>153</v>
      </c>
      <c r="C469" s="607" t="s">
        <v>19</v>
      </c>
      <c r="D469" s="607" t="s">
        <v>3780</v>
      </c>
      <c r="E469" s="690" t="s">
        <v>481</v>
      </c>
      <c r="F469" s="690"/>
      <c r="G469" s="609" t="s">
        <v>81</v>
      </c>
      <c r="H469" s="610">
        <v>1</v>
      </c>
      <c r="I469" s="611">
        <v>5847.66</v>
      </c>
      <c r="J469" s="611">
        <v>5847.66</v>
      </c>
      <c r="K469" s="552"/>
    </row>
    <row r="470" spans="1:11" s="89" customFormat="1" ht="15" customHeight="1" x14ac:dyDescent="0.3">
      <c r="A470" s="547" t="s">
        <v>430</v>
      </c>
      <c r="B470" s="548" t="s">
        <v>629</v>
      </c>
      <c r="C470" s="547" t="s">
        <v>19</v>
      </c>
      <c r="D470" s="547" t="s">
        <v>630</v>
      </c>
      <c r="E470" s="688" t="s">
        <v>429</v>
      </c>
      <c r="F470" s="688"/>
      <c r="G470" s="549" t="s">
        <v>423</v>
      </c>
      <c r="H470" s="550">
        <v>24.263000000000002</v>
      </c>
      <c r="I470" s="551">
        <v>24.12</v>
      </c>
      <c r="J470" s="551">
        <v>585.22</v>
      </c>
      <c r="K470" s="546"/>
    </row>
    <row r="471" spans="1:11" s="89" customFormat="1" ht="15" customHeight="1" x14ac:dyDescent="0.3">
      <c r="A471" s="547" t="s">
        <v>430</v>
      </c>
      <c r="B471" s="548" t="s">
        <v>620</v>
      </c>
      <c r="C471" s="547" t="s">
        <v>19</v>
      </c>
      <c r="D471" s="547" t="s">
        <v>621</v>
      </c>
      <c r="E471" s="688" t="s">
        <v>429</v>
      </c>
      <c r="F471" s="688"/>
      <c r="G471" s="549" t="s">
        <v>423</v>
      </c>
      <c r="H471" s="550">
        <v>36.331000000000003</v>
      </c>
      <c r="I471" s="551">
        <v>30.71</v>
      </c>
      <c r="J471" s="551">
        <v>1115.72</v>
      </c>
      <c r="K471" s="546"/>
    </row>
    <row r="472" spans="1:11" ht="14.25" customHeight="1" x14ac:dyDescent="0.3">
      <c r="A472" s="547" t="s">
        <v>430</v>
      </c>
      <c r="B472" s="548" t="s">
        <v>631</v>
      </c>
      <c r="C472" s="547" t="s">
        <v>19</v>
      </c>
      <c r="D472" s="547" t="s">
        <v>632</v>
      </c>
      <c r="E472" s="688" t="s">
        <v>461</v>
      </c>
      <c r="F472" s="688"/>
      <c r="G472" s="549" t="s">
        <v>95</v>
      </c>
      <c r="H472" s="550">
        <v>0.1263</v>
      </c>
      <c r="I472" s="551">
        <v>26.94</v>
      </c>
      <c r="J472" s="551">
        <v>3.4</v>
      </c>
      <c r="K472" s="552"/>
    </row>
    <row r="473" spans="1:11" s="89" customFormat="1" ht="15" customHeight="1" x14ac:dyDescent="0.3">
      <c r="A473" s="547" t="s">
        <v>430</v>
      </c>
      <c r="B473" s="548" t="s">
        <v>633</v>
      </c>
      <c r="C473" s="547" t="s">
        <v>19</v>
      </c>
      <c r="D473" s="547" t="s">
        <v>634</v>
      </c>
      <c r="E473" s="688" t="s">
        <v>461</v>
      </c>
      <c r="F473" s="688"/>
      <c r="G473" s="549" t="s">
        <v>102</v>
      </c>
      <c r="H473" s="550">
        <v>0.50749999999999995</v>
      </c>
      <c r="I473" s="551">
        <v>25.9</v>
      </c>
      <c r="J473" s="551">
        <v>13.14</v>
      </c>
      <c r="K473" s="546"/>
    </row>
    <row r="474" spans="1:11" ht="25.5" customHeight="1" x14ac:dyDescent="0.3">
      <c r="A474" s="547" t="s">
        <v>433</v>
      </c>
      <c r="B474" s="548" t="s">
        <v>3835</v>
      </c>
      <c r="C474" s="547" t="s">
        <v>19</v>
      </c>
      <c r="D474" s="547" t="s">
        <v>3836</v>
      </c>
      <c r="E474" s="688" t="s">
        <v>438</v>
      </c>
      <c r="F474" s="688"/>
      <c r="G474" s="549" t="s">
        <v>556</v>
      </c>
      <c r="H474" s="550">
        <v>4.2</v>
      </c>
      <c r="I474" s="551">
        <v>44.03</v>
      </c>
      <c r="J474" s="551">
        <v>184.92</v>
      </c>
      <c r="K474" s="552"/>
    </row>
    <row r="475" spans="1:11" s="89" customFormat="1" ht="25" x14ac:dyDescent="0.3">
      <c r="A475" s="547" t="s">
        <v>433</v>
      </c>
      <c r="B475" s="548" t="s">
        <v>3837</v>
      </c>
      <c r="C475" s="547" t="s">
        <v>19</v>
      </c>
      <c r="D475" s="547" t="s">
        <v>3838</v>
      </c>
      <c r="E475" s="688" t="s">
        <v>438</v>
      </c>
      <c r="F475" s="688"/>
      <c r="G475" s="549" t="s">
        <v>173</v>
      </c>
      <c r="H475" s="550">
        <v>59.4</v>
      </c>
      <c r="I475" s="551">
        <v>35.04</v>
      </c>
      <c r="J475" s="551">
        <v>2081.37</v>
      </c>
      <c r="K475" s="546"/>
    </row>
    <row r="476" spans="1:11" ht="25" x14ac:dyDescent="0.3">
      <c r="A476" s="547" t="s">
        <v>433</v>
      </c>
      <c r="B476" s="548" t="s">
        <v>624</v>
      </c>
      <c r="C476" s="547" t="s">
        <v>19</v>
      </c>
      <c r="D476" s="547" t="s">
        <v>625</v>
      </c>
      <c r="E476" s="688" t="s">
        <v>438</v>
      </c>
      <c r="F476" s="688"/>
      <c r="G476" s="549" t="s">
        <v>173</v>
      </c>
      <c r="H476" s="550">
        <v>25.96</v>
      </c>
      <c r="I476" s="551">
        <v>7.78</v>
      </c>
      <c r="J476" s="551">
        <v>201.96</v>
      </c>
      <c r="K476" s="552"/>
    </row>
    <row r="477" spans="1:11" x14ac:dyDescent="0.3">
      <c r="A477" s="547" t="s">
        <v>433</v>
      </c>
      <c r="B477" s="548" t="s">
        <v>639</v>
      </c>
      <c r="C477" s="547" t="s">
        <v>19</v>
      </c>
      <c r="D477" s="547" t="s">
        <v>640</v>
      </c>
      <c r="E477" s="688" t="s">
        <v>438</v>
      </c>
      <c r="F477" s="688"/>
      <c r="G477" s="549" t="s">
        <v>424</v>
      </c>
      <c r="H477" s="550">
        <v>1.292</v>
      </c>
      <c r="I477" s="551">
        <v>19.5</v>
      </c>
      <c r="J477" s="551">
        <v>25.19</v>
      </c>
      <c r="K477" s="552"/>
    </row>
    <row r="478" spans="1:11" ht="25" x14ac:dyDescent="0.3">
      <c r="A478" s="547" t="s">
        <v>433</v>
      </c>
      <c r="B478" s="548" t="s">
        <v>3833</v>
      </c>
      <c r="C478" s="547" t="s">
        <v>19</v>
      </c>
      <c r="D478" s="547" t="s">
        <v>3834</v>
      </c>
      <c r="E478" s="688" t="s">
        <v>438</v>
      </c>
      <c r="F478" s="688"/>
      <c r="G478" s="549" t="s">
        <v>173</v>
      </c>
      <c r="H478" s="550">
        <v>17.600000000000001</v>
      </c>
      <c r="I478" s="551">
        <v>5.55</v>
      </c>
      <c r="J478" s="551">
        <v>97.68</v>
      </c>
      <c r="K478" s="552"/>
    </row>
    <row r="479" spans="1:11" ht="25" x14ac:dyDescent="0.3">
      <c r="A479" s="547" t="s">
        <v>433</v>
      </c>
      <c r="B479" s="548" t="s">
        <v>3839</v>
      </c>
      <c r="C479" s="547" t="s">
        <v>19</v>
      </c>
      <c r="D479" s="547" t="s">
        <v>3840</v>
      </c>
      <c r="E479" s="688" t="s">
        <v>438</v>
      </c>
      <c r="F479" s="688"/>
      <c r="G479" s="549" t="s">
        <v>173</v>
      </c>
      <c r="H479" s="550">
        <v>89.1</v>
      </c>
      <c r="I479" s="551">
        <v>12.9</v>
      </c>
      <c r="J479" s="551">
        <v>1149.3900000000001</v>
      </c>
      <c r="K479" s="552"/>
    </row>
    <row r="480" spans="1:11" ht="38" thickBot="1" x14ac:dyDescent="0.35">
      <c r="A480" s="547" t="s">
        <v>433</v>
      </c>
      <c r="B480" s="548" t="s">
        <v>752</v>
      </c>
      <c r="C480" s="547" t="s">
        <v>19</v>
      </c>
      <c r="D480" s="547" t="s">
        <v>753</v>
      </c>
      <c r="E480" s="688" t="s">
        <v>438</v>
      </c>
      <c r="F480" s="688"/>
      <c r="G480" s="549" t="s">
        <v>532</v>
      </c>
      <c r="H480" s="550">
        <v>0.82909999999999995</v>
      </c>
      <c r="I480" s="551">
        <v>470</v>
      </c>
      <c r="J480" s="551">
        <v>389.67</v>
      </c>
      <c r="K480" s="552"/>
    </row>
    <row r="481" spans="1:11" s="89" customFormat="1" ht="14.5" thickTop="1" x14ac:dyDescent="0.3">
      <c r="A481" s="562"/>
      <c r="B481" s="562"/>
      <c r="C481" s="562"/>
      <c r="D481" s="562"/>
      <c r="E481" s="562"/>
      <c r="F481" s="562"/>
      <c r="G481" s="562"/>
      <c r="H481" s="562"/>
      <c r="I481" s="562"/>
      <c r="J481" s="562"/>
      <c r="K481" s="546"/>
    </row>
    <row r="482" spans="1:11" x14ac:dyDescent="0.3">
      <c r="A482" s="553"/>
      <c r="B482" s="554" t="s">
        <v>4</v>
      </c>
      <c r="C482" s="553" t="s">
        <v>5</v>
      </c>
      <c r="D482" s="553" t="s">
        <v>6</v>
      </c>
      <c r="E482" s="691" t="s">
        <v>427</v>
      </c>
      <c r="F482" s="691"/>
      <c r="G482" s="555" t="s">
        <v>7</v>
      </c>
      <c r="H482" s="554" t="s">
        <v>8</v>
      </c>
      <c r="I482" s="554" t="s">
        <v>9</v>
      </c>
      <c r="J482" s="554" t="s">
        <v>11</v>
      </c>
      <c r="K482" s="552"/>
    </row>
    <row r="483" spans="1:11" s="89" customFormat="1" ht="25" x14ac:dyDescent="0.3">
      <c r="A483" s="607" t="s">
        <v>428</v>
      </c>
      <c r="B483" s="608" t="s">
        <v>154</v>
      </c>
      <c r="C483" s="607" t="s">
        <v>19</v>
      </c>
      <c r="D483" s="607" t="s">
        <v>3781</v>
      </c>
      <c r="E483" s="690" t="s">
        <v>481</v>
      </c>
      <c r="F483" s="690"/>
      <c r="G483" s="609" t="s">
        <v>81</v>
      </c>
      <c r="H483" s="610">
        <v>1</v>
      </c>
      <c r="I483" s="611">
        <v>9951.9599999999991</v>
      </c>
      <c r="J483" s="611">
        <v>9951.9599999999991</v>
      </c>
      <c r="K483" s="546"/>
    </row>
    <row r="484" spans="1:11" ht="14.25" customHeight="1" x14ac:dyDescent="0.3">
      <c r="A484" s="547" t="s">
        <v>430</v>
      </c>
      <c r="B484" s="548" t="s">
        <v>629</v>
      </c>
      <c r="C484" s="547" t="s">
        <v>19</v>
      </c>
      <c r="D484" s="547" t="s">
        <v>630</v>
      </c>
      <c r="E484" s="688" t="s">
        <v>429</v>
      </c>
      <c r="F484" s="688"/>
      <c r="G484" s="549" t="s">
        <v>423</v>
      </c>
      <c r="H484" s="550">
        <v>42.304000000000002</v>
      </c>
      <c r="I484" s="551">
        <v>24.12</v>
      </c>
      <c r="J484" s="551">
        <v>1020.37</v>
      </c>
      <c r="K484" s="552"/>
    </row>
    <row r="485" spans="1:11" s="89" customFormat="1" ht="15" customHeight="1" x14ac:dyDescent="0.3">
      <c r="A485" s="547" t="s">
        <v>430</v>
      </c>
      <c r="B485" s="548" t="s">
        <v>620</v>
      </c>
      <c r="C485" s="547" t="s">
        <v>19</v>
      </c>
      <c r="D485" s="547" t="s">
        <v>621</v>
      </c>
      <c r="E485" s="688" t="s">
        <v>429</v>
      </c>
      <c r="F485" s="688"/>
      <c r="G485" s="549" t="s">
        <v>423</v>
      </c>
      <c r="H485" s="550">
        <v>63.392000000000003</v>
      </c>
      <c r="I485" s="551">
        <v>30.71</v>
      </c>
      <c r="J485" s="551">
        <v>1946.76</v>
      </c>
      <c r="K485" s="546"/>
    </row>
    <row r="486" spans="1:11" ht="14.25" customHeight="1" x14ac:dyDescent="0.3">
      <c r="A486" s="547" t="s">
        <v>430</v>
      </c>
      <c r="B486" s="548" t="s">
        <v>631</v>
      </c>
      <c r="C486" s="547" t="s">
        <v>19</v>
      </c>
      <c r="D486" s="547" t="s">
        <v>632</v>
      </c>
      <c r="E486" s="688" t="s">
        <v>461</v>
      </c>
      <c r="F486" s="688"/>
      <c r="G486" s="549" t="s">
        <v>95</v>
      </c>
      <c r="H486" s="550">
        <v>0.1275</v>
      </c>
      <c r="I486" s="551">
        <v>26.94</v>
      </c>
      <c r="J486" s="551">
        <v>3.43</v>
      </c>
      <c r="K486" s="552"/>
    </row>
    <row r="487" spans="1:11" ht="14.25" customHeight="1" x14ac:dyDescent="0.3">
      <c r="A487" s="547" t="s">
        <v>430</v>
      </c>
      <c r="B487" s="548" t="s">
        <v>633</v>
      </c>
      <c r="C487" s="547" t="s">
        <v>19</v>
      </c>
      <c r="D487" s="547" t="s">
        <v>634</v>
      </c>
      <c r="E487" s="688" t="s">
        <v>461</v>
      </c>
      <c r="F487" s="688"/>
      <c r="G487" s="549" t="s">
        <v>102</v>
      </c>
      <c r="H487" s="550">
        <v>0.51229999999999998</v>
      </c>
      <c r="I487" s="551">
        <v>25.9</v>
      </c>
      <c r="J487" s="551">
        <v>13.26</v>
      </c>
      <c r="K487" s="552"/>
    </row>
    <row r="488" spans="1:11" ht="25.5" customHeight="1" x14ac:dyDescent="0.3">
      <c r="A488" s="547" t="s">
        <v>433</v>
      </c>
      <c r="B488" s="548" t="s">
        <v>3835</v>
      </c>
      <c r="C488" s="547" t="s">
        <v>19</v>
      </c>
      <c r="D488" s="547" t="s">
        <v>3836</v>
      </c>
      <c r="E488" s="688" t="s">
        <v>438</v>
      </c>
      <c r="F488" s="688"/>
      <c r="G488" s="549" t="s">
        <v>556</v>
      </c>
      <c r="H488" s="550">
        <v>9.4499999999999993</v>
      </c>
      <c r="I488" s="551">
        <v>44.03</v>
      </c>
      <c r="J488" s="551">
        <v>416.08</v>
      </c>
      <c r="K488" s="552"/>
    </row>
    <row r="489" spans="1:11" s="89" customFormat="1" ht="25" x14ac:dyDescent="0.3">
      <c r="A489" s="547" t="s">
        <v>433</v>
      </c>
      <c r="B489" s="548" t="s">
        <v>3837</v>
      </c>
      <c r="C489" s="547" t="s">
        <v>19</v>
      </c>
      <c r="D489" s="547" t="s">
        <v>3838</v>
      </c>
      <c r="E489" s="688" t="s">
        <v>438</v>
      </c>
      <c r="F489" s="688"/>
      <c r="G489" s="549" t="s">
        <v>173</v>
      </c>
      <c r="H489" s="550">
        <v>105.6</v>
      </c>
      <c r="I489" s="551">
        <v>35.04</v>
      </c>
      <c r="J489" s="551">
        <v>3700.22</v>
      </c>
      <c r="K489" s="546"/>
    </row>
    <row r="490" spans="1:11" ht="25" x14ac:dyDescent="0.3">
      <c r="A490" s="547" t="s">
        <v>433</v>
      </c>
      <c r="B490" s="548" t="s">
        <v>624</v>
      </c>
      <c r="C490" s="547" t="s">
        <v>19</v>
      </c>
      <c r="D490" s="547" t="s">
        <v>625</v>
      </c>
      <c r="E490" s="688" t="s">
        <v>438</v>
      </c>
      <c r="F490" s="688"/>
      <c r="G490" s="549" t="s">
        <v>173</v>
      </c>
      <c r="H490" s="550">
        <v>48.84</v>
      </c>
      <c r="I490" s="551">
        <v>7.78</v>
      </c>
      <c r="J490" s="551">
        <v>379.97</v>
      </c>
      <c r="K490" s="552"/>
    </row>
    <row r="491" spans="1:11" s="89" customFormat="1" x14ac:dyDescent="0.3">
      <c r="A491" s="547" t="s">
        <v>433</v>
      </c>
      <c r="B491" s="548" t="s">
        <v>639</v>
      </c>
      <c r="C491" s="547" t="s">
        <v>19</v>
      </c>
      <c r="D491" s="547" t="s">
        <v>640</v>
      </c>
      <c r="E491" s="688" t="s">
        <v>438</v>
      </c>
      <c r="F491" s="688"/>
      <c r="G491" s="549" t="s">
        <v>424</v>
      </c>
      <c r="H491" s="550">
        <v>1.871</v>
      </c>
      <c r="I491" s="551">
        <v>19.5</v>
      </c>
      <c r="J491" s="551">
        <v>36.479999999999997</v>
      </c>
      <c r="K491" s="546"/>
    </row>
    <row r="492" spans="1:11" ht="25" x14ac:dyDescent="0.3">
      <c r="A492" s="547" t="s">
        <v>433</v>
      </c>
      <c r="B492" s="548" t="s">
        <v>3833</v>
      </c>
      <c r="C492" s="547" t="s">
        <v>19</v>
      </c>
      <c r="D492" s="547" t="s">
        <v>3834</v>
      </c>
      <c r="E492" s="688" t="s">
        <v>438</v>
      </c>
      <c r="F492" s="688"/>
      <c r="G492" s="549" t="s">
        <v>173</v>
      </c>
      <c r="H492" s="550">
        <v>26.4</v>
      </c>
      <c r="I492" s="551">
        <v>5.55</v>
      </c>
      <c r="J492" s="551">
        <v>146.52000000000001</v>
      </c>
      <c r="K492" s="552"/>
    </row>
    <row r="493" spans="1:11" ht="25" x14ac:dyDescent="0.3">
      <c r="A493" s="547" t="s">
        <v>433</v>
      </c>
      <c r="B493" s="548" t="s">
        <v>3839</v>
      </c>
      <c r="C493" s="547" t="s">
        <v>19</v>
      </c>
      <c r="D493" s="547" t="s">
        <v>3840</v>
      </c>
      <c r="E493" s="688" t="s">
        <v>438</v>
      </c>
      <c r="F493" s="688"/>
      <c r="G493" s="549" t="s">
        <v>173</v>
      </c>
      <c r="H493" s="550">
        <v>123.72799999999999</v>
      </c>
      <c r="I493" s="551">
        <v>12.9</v>
      </c>
      <c r="J493" s="551">
        <v>1596.09</v>
      </c>
      <c r="K493" s="552"/>
    </row>
    <row r="494" spans="1:11" ht="38" thickBot="1" x14ac:dyDescent="0.35">
      <c r="A494" s="547" t="s">
        <v>433</v>
      </c>
      <c r="B494" s="548" t="s">
        <v>752</v>
      </c>
      <c r="C494" s="547" t="s">
        <v>19</v>
      </c>
      <c r="D494" s="547" t="s">
        <v>753</v>
      </c>
      <c r="E494" s="688" t="s">
        <v>438</v>
      </c>
      <c r="F494" s="688"/>
      <c r="G494" s="549" t="s">
        <v>532</v>
      </c>
      <c r="H494" s="550">
        <v>1.474</v>
      </c>
      <c r="I494" s="551">
        <v>470</v>
      </c>
      <c r="J494" s="551">
        <v>692.78</v>
      </c>
      <c r="K494" s="552"/>
    </row>
    <row r="495" spans="1:11" ht="14.5" thickTop="1" x14ac:dyDescent="0.3">
      <c r="A495" s="562"/>
      <c r="B495" s="562"/>
      <c r="C495" s="562"/>
      <c r="D495" s="562"/>
      <c r="E495" s="562"/>
      <c r="F495" s="562"/>
      <c r="G495" s="562"/>
      <c r="H495" s="562"/>
      <c r="I495" s="562"/>
      <c r="J495" s="562"/>
      <c r="K495" s="552"/>
    </row>
    <row r="496" spans="1:11" x14ac:dyDescent="0.3">
      <c r="A496" s="553"/>
      <c r="B496" s="554" t="s">
        <v>4</v>
      </c>
      <c r="C496" s="553" t="s">
        <v>5</v>
      </c>
      <c r="D496" s="553" t="s">
        <v>6</v>
      </c>
      <c r="E496" s="691" t="s">
        <v>427</v>
      </c>
      <c r="F496" s="691"/>
      <c r="G496" s="555" t="s">
        <v>7</v>
      </c>
      <c r="H496" s="554" t="s">
        <v>8</v>
      </c>
      <c r="I496" s="554" t="s">
        <v>9</v>
      </c>
      <c r="J496" s="554" t="s">
        <v>11</v>
      </c>
      <c r="K496" s="552"/>
    </row>
    <row r="497" spans="1:11" ht="37.5" x14ac:dyDescent="0.3">
      <c r="A497" s="607" t="s">
        <v>428</v>
      </c>
      <c r="B497" s="608" t="s">
        <v>155</v>
      </c>
      <c r="C497" s="607" t="s">
        <v>19</v>
      </c>
      <c r="D497" s="607" t="s">
        <v>3541</v>
      </c>
      <c r="E497" s="690" t="s">
        <v>670</v>
      </c>
      <c r="F497" s="690"/>
      <c r="G497" s="609" t="s">
        <v>81</v>
      </c>
      <c r="H497" s="610">
        <v>1</v>
      </c>
      <c r="I497" s="611">
        <v>4692.53</v>
      </c>
      <c r="J497" s="611">
        <v>4692.53</v>
      </c>
      <c r="K497" s="552"/>
    </row>
    <row r="498" spans="1:11" ht="37.5" x14ac:dyDescent="0.3">
      <c r="A498" s="547" t="s">
        <v>430</v>
      </c>
      <c r="B498" s="548" t="s">
        <v>251</v>
      </c>
      <c r="C498" s="547" t="s">
        <v>19</v>
      </c>
      <c r="D498" s="547" t="s">
        <v>252</v>
      </c>
      <c r="E498" s="688" t="s">
        <v>709</v>
      </c>
      <c r="F498" s="688"/>
      <c r="G498" s="549" t="s">
        <v>532</v>
      </c>
      <c r="H498" s="550">
        <v>0.37330000000000002</v>
      </c>
      <c r="I498" s="551">
        <v>224.67</v>
      </c>
      <c r="J498" s="551">
        <v>83.86</v>
      </c>
      <c r="K498" s="552"/>
    </row>
    <row r="499" spans="1:11" s="89" customFormat="1" ht="50" x14ac:dyDescent="0.3">
      <c r="A499" s="547" t="s">
        <v>430</v>
      </c>
      <c r="B499" s="548" t="s">
        <v>756</v>
      </c>
      <c r="C499" s="547" t="s">
        <v>19</v>
      </c>
      <c r="D499" s="547" t="s">
        <v>757</v>
      </c>
      <c r="E499" s="688" t="s">
        <v>461</v>
      </c>
      <c r="F499" s="688"/>
      <c r="G499" s="549" t="s">
        <v>95</v>
      </c>
      <c r="H499" s="550">
        <v>0.50749999999999995</v>
      </c>
      <c r="I499" s="551">
        <v>139.99</v>
      </c>
      <c r="J499" s="551">
        <v>71.040000000000006</v>
      </c>
      <c r="K499" s="546"/>
    </row>
    <row r="500" spans="1:11" ht="50" x14ac:dyDescent="0.3">
      <c r="A500" s="547" t="s">
        <v>430</v>
      </c>
      <c r="B500" s="548" t="s">
        <v>758</v>
      </c>
      <c r="C500" s="547" t="s">
        <v>19</v>
      </c>
      <c r="D500" s="547" t="s">
        <v>759</v>
      </c>
      <c r="E500" s="688" t="s">
        <v>461</v>
      </c>
      <c r="F500" s="688"/>
      <c r="G500" s="549" t="s">
        <v>102</v>
      </c>
      <c r="H500" s="550">
        <v>1.0343</v>
      </c>
      <c r="I500" s="551">
        <v>61.95</v>
      </c>
      <c r="J500" s="551">
        <v>64.069999999999993</v>
      </c>
      <c r="K500" s="552"/>
    </row>
    <row r="501" spans="1:11" ht="14.25" customHeight="1" x14ac:dyDescent="0.3">
      <c r="A501" s="547" t="s">
        <v>430</v>
      </c>
      <c r="B501" s="548" t="s">
        <v>760</v>
      </c>
      <c r="C501" s="547" t="s">
        <v>19</v>
      </c>
      <c r="D501" s="547" t="s">
        <v>761</v>
      </c>
      <c r="E501" s="688" t="s">
        <v>429</v>
      </c>
      <c r="F501" s="688"/>
      <c r="G501" s="549" t="s">
        <v>423</v>
      </c>
      <c r="H501" s="550">
        <v>2.4573</v>
      </c>
      <c r="I501" s="551">
        <v>31.1</v>
      </c>
      <c r="J501" s="551">
        <v>76.42</v>
      </c>
      <c r="K501" s="552"/>
    </row>
    <row r="502" spans="1:11" ht="14.25" customHeight="1" x14ac:dyDescent="0.3">
      <c r="A502" s="547" t="s">
        <v>430</v>
      </c>
      <c r="B502" s="548" t="s">
        <v>559</v>
      </c>
      <c r="C502" s="547" t="s">
        <v>19</v>
      </c>
      <c r="D502" s="547" t="s">
        <v>560</v>
      </c>
      <c r="E502" s="688" t="s">
        <v>429</v>
      </c>
      <c r="F502" s="688"/>
      <c r="G502" s="549" t="s">
        <v>423</v>
      </c>
      <c r="H502" s="550">
        <v>1.9307000000000001</v>
      </c>
      <c r="I502" s="551">
        <v>23.4</v>
      </c>
      <c r="J502" s="551">
        <v>45.17</v>
      </c>
      <c r="K502" s="552"/>
    </row>
    <row r="503" spans="1:11" ht="14.25" customHeight="1" x14ac:dyDescent="0.3">
      <c r="A503" s="547" t="s">
        <v>430</v>
      </c>
      <c r="B503" s="548" t="s">
        <v>762</v>
      </c>
      <c r="C503" s="547" t="s">
        <v>19</v>
      </c>
      <c r="D503" s="547" t="s">
        <v>763</v>
      </c>
      <c r="E503" s="688" t="s">
        <v>429</v>
      </c>
      <c r="F503" s="688"/>
      <c r="G503" s="549" t="s">
        <v>532</v>
      </c>
      <c r="H503" s="550">
        <v>8.5800000000000001E-2</v>
      </c>
      <c r="I503" s="551">
        <v>524.29</v>
      </c>
      <c r="J503" s="551">
        <v>44.98</v>
      </c>
      <c r="K503" s="552"/>
    </row>
    <row r="504" spans="1:11" ht="14.25" customHeight="1" x14ac:dyDescent="0.3">
      <c r="A504" s="547" t="s">
        <v>430</v>
      </c>
      <c r="B504" s="548" t="s">
        <v>764</v>
      </c>
      <c r="C504" s="547" t="s">
        <v>19</v>
      </c>
      <c r="D504" s="547" t="s">
        <v>3542</v>
      </c>
      <c r="E504" s="688" t="s">
        <v>619</v>
      </c>
      <c r="F504" s="688"/>
      <c r="G504" s="549" t="s">
        <v>532</v>
      </c>
      <c r="H504" s="550">
        <v>1.54E-2</v>
      </c>
      <c r="I504" s="551">
        <v>3853.89</v>
      </c>
      <c r="J504" s="551">
        <v>59.34</v>
      </c>
      <c r="K504" s="552"/>
    </row>
    <row r="505" spans="1:11" s="89" customFormat="1" ht="25" x14ac:dyDescent="0.3">
      <c r="A505" s="547" t="s">
        <v>430</v>
      </c>
      <c r="B505" s="548" t="s">
        <v>765</v>
      </c>
      <c r="C505" s="547" t="s">
        <v>19</v>
      </c>
      <c r="D505" s="547" t="s">
        <v>766</v>
      </c>
      <c r="E505" s="688" t="s">
        <v>619</v>
      </c>
      <c r="F505" s="688"/>
      <c r="G505" s="549" t="s">
        <v>532</v>
      </c>
      <c r="H505" s="550">
        <v>0.24</v>
      </c>
      <c r="I505" s="551">
        <v>1971.05</v>
      </c>
      <c r="J505" s="551">
        <v>473.05</v>
      </c>
      <c r="K505" s="546"/>
    </row>
    <row r="506" spans="1:11" ht="38" thickBot="1" x14ac:dyDescent="0.35">
      <c r="A506" s="547" t="s">
        <v>433</v>
      </c>
      <c r="B506" s="548" t="s">
        <v>767</v>
      </c>
      <c r="C506" s="547" t="s">
        <v>19</v>
      </c>
      <c r="D506" s="547" t="s">
        <v>768</v>
      </c>
      <c r="E506" s="688" t="s">
        <v>438</v>
      </c>
      <c r="F506" s="688"/>
      <c r="G506" s="549" t="s">
        <v>81</v>
      </c>
      <c r="H506" s="550">
        <v>5</v>
      </c>
      <c r="I506" s="551">
        <v>754.92</v>
      </c>
      <c r="J506" s="551">
        <v>3774.6</v>
      </c>
      <c r="K506" s="552"/>
    </row>
    <row r="507" spans="1:11" ht="14.5" thickTop="1" x14ac:dyDescent="0.3">
      <c r="A507" s="562"/>
      <c r="B507" s="562"/>
      <c r="C507" s="562"/>
      <c r="D507" s="562"/>
      <c r="E507" s="562"/>
      <c r="F507" s="562"/>
      <c r="G507" s="562"/>
      <c r="H507" s="562"/>
      <c r="I507" s="562"/>
      <c r="J507" s="562"/>
      <c r="K507" s="552"/>
    </row>
    <row r="508" spans="1:11" x14ac:dyDescent="0.3">
      <c r="A508" s="553"/>
      <c r="B508" s="554" t="s">
        <v>4</v>
      </c>
      <c r="C508" s="553" t="s">
        <v>5</v>
      </c>
      <c r="D508" s="553" t="s">
        <v>6</v>
      </c>
      <c r="E508" s="691" t="s">
        <v>427</v>
      </c>
      <c r="F508" s="691"/>
      <c r="G508" s="555" t="s">
        <v>7</v>
      </c>
      <c r="H508" s="554" t="s">
        <v>8</v>
      </c>
      <c r="I508" s="554" t="s">
        <v>9</v>
      </c>
      <c r="J508" s="554" t="s">
        <v>11</v>
      </c>
      <c r="K508" s="552"/>
    </row>
    <row r="509" spans="1:11" ht="25" x14ac:dyDescent="0.3">
      <c r="A509" s="607" t="s">
        <v>428</v>
      </c>
      <c r="B509" s="608" t="s">
        <v>3543</v>
      </c>
      <c r="C509" s="607" t="s">
        <v>26</v>
      </c>
      <c r="D509" s="607" t="s">
        <v>156</v>
      </c>
      <c r="E509" s="690" t="s">
        <v>555</v>
      </c>
      <c r="F509" s="690"/>
      <c r="G509" s="609" t="s">
        <v>81</v>
      </c>
      <c r="H509" s="610">
        <v>1</v>
      </c>
      <c r="I509" s="611">
        <v>2854.5</v>
      </c>
      <c r="J509" s="611">
        <v>2854.5</v>
      </c>
      <c r="K509" s="552"/>
    </row>
    <row r="510" spans="1:11" ht="14.25" customHeight="1" x14ac:dyDescent="0.3">
      <c r="A510" s="547" t="s">
        <v>430</v>
      </c>
      <c r="B510" s="548" t="s">
        <v>769</v>
      </c>
      <c r="C510" s="547" t="s">
        <v>19</v>
      </c>
      <c r="D510" s="547" t="s">
        <v>770</v>
      </c>
      <c r="E510" s="688" t="s">
        <v>429</v>
      </c>
      <c r="F510" s="688"/>
      <c r="G510" s="549" t="s">
        <v>423</v>
      </c>
      <c r="H510" s="550">
        <v>24</v>
      </c>
      <c r="I510" s="551">
        <v>31.49</v>
      </c>
      <c r="J510" s="551">
        <v>755.76</v>
      </c>
      <c r="K510" s="552"/>
    </row>
    <row r="511" spans="1:11" s="89" customFormat="1" ht="15" customHeight="1" x14ac:dyDescent="0.3">
      <c r="A511" s="547" t="s">
        <v>430</v>
      </c>
      <c r="B511" s="548" t="s">
        <v>559</v>
      </c>
      <c r="C511" s="547" t="s">
        <v>19</v>
      </c>
      <c r="D511" s="547" t="s">
        <v>560</v>
      </c>
      <c r="E511" s="688" t="s">
        <v>429</v>
      </c>
      <c r="F511" s="688"/>
      <c r="G511" s="549" t="s">
        <v>423</v>
      </c>
      <c r="H511" s="550">
        <v>24</v>
      </c>
      <c r="I511" s="551">
        <v>23.4</v>
      </c>
      <c r="J511" s="551">
        <v>561.6</v>
      </c>
      <c r="K511" s="546"/>
    </row>
    <row r="512" spans="1:11" ht="14.25" customHeight="1" x14ac:dyDescent="0.3">
      <c r="A512" s="547" t="s">
        <v>433</v>
      </c>
      <c r="B512" s="548" t="s">
        <v>771</v>
      </c>
      <c r="C512" s="547" t="s">
        <v>19</v>
      </c>
      <c r="D512" s="547" t="s">
        <v>772</v>
      </c>
      <c r="E512" s="688" t="s">
        <v>438</v>
      </c>
      <c r="F512" s="688"/>
      <c r="G512" s="549" t="s">
        <v>81</v>
      </c>
      <c r="H512" s="550">
        <v>1</v>
      </c>
      <c r="I512" s="551">
        <v>1.79</v>
      </c>
      <c r="J512" s="551">
        <v>1.79</v>
      </c>
      <c r="K512" s="552"/>
    </row>
    <row r="513" spans="1:11" ht="14.25" customHeight="1" x14ac:dyDescent="0.3">
      <c r="A513" s="547" t="s">
        <v>433</v>
      </c>
      <c r="B513" s="548" t="s">
        <v>773</v>
      </c>
      <c r="C513" s="547" t="s">
        <v>19</v>
      </c>
      <c r="D513" s="547" t="s">
        <v>774</v>
      </c>
      <c r="E513" s="688" t="s">
        <v>438</v>
      </c>
      <c r="F513" s="688"/>
      <c r="G513" s="549" t="s">
        <v>173</v>
      </c>
      <c r="H513" s="550">
        <v>20</v>
      </c>
      <c r="I513" s="551">
        <v>18.059999999999999</v>
      </c>
      <c r="J513" s="551">
        <v>361.2</v>
      </c>
      <c r="K513" s="552"/>
    </row>
    <row r="514" spans="1:11" ht="25" x14ac:dyDescent="0.3">
      <c r="A514" s="547" t="s">
        <v>433</v>
      </c>
      <c r="B514" s="548" t="s">
        <v>777</v>
      </c>
      <c r="C514" s="547" t="s">
        <v>19</v>
      </c>
      <c r="D514" s="547" t="s">
        <v>778</v>
      </c>
      <c r="E514" s="688" t="s">
        <v>438</v>
      </c>
      <c r="F514" s="688"/>
      <c r="G514" s="549" t="s">
        <v>81</v>
      </c>
      <c r="H514" s="550">
        <v>2</v>
      </c>
      <c r="I514" s="551">
        <v>6.29</v>
      </c>
      <c r="J514" s="551">
        <v>12.58</v>
      </c>
      <c r="K514" s="552"/>
    </row>
    <row r="515" spans="1:11" x14ac:dyDescent="0.3">
      <c r="A515" s="547" t="s">
        <v>433</v>
      </c>
      <c r="B515" s="548" t="s">
        <v>775</v>
      </c>
      <c r="C515" s="547" t="s">
        <v>19</v>
      </c>
      <c r="D515" s="547" t="s">
        <v>776</v>
      </c>
      <c r="E515" s="688" t="s">
        <v>438</v>
      </c>
      <c r="F515" s="688"/>
      <c r="G515" s="549" t="s">
        <v>173</v>
      </c>
      <c r="H515" s="550">
        <v>12</v>
      </c>
      <c r="I515" s="551">
        <v>4.8899999999999997</v>
      </c>
      <c r="J515" s="551">
        <v>58.68</v>
      </c>
      <c r="K515" s="552"/>
    </row>
    <row r="516" spans="1:11" ht="25" x14ac:dyDescent="0.3">
      <c r="A516" s="547" t="s">
        <v>433</v>
      </c>
      <c r="B516" s="548" t="s">
        <v>783</v>
      </c>
      <c r="C516" s="547" t="s">
        <v>19</v>
      </c>
      <c r="D516" s="547" t="s">
        <v>784</v>
      </c>
      <c r="E516" s="688" t="s">
        <v>438</v>
      </c>
      <c r="F516" s="688"/>
      <c r="G516" s="549" t="s">
        <v>81</v>
      </c>
      <c r="H516" s="550">
        <v>4</v>
      </c>
      <c r="I516" s="551">
        <v>23.91</v>
      </c>
      <c r="J516" s="551">
        <v>95.64</v>
      </c>
      <c r="K516" s="552"/>
    </row>
    <row r="517" spans="1:11" ht="37.5" x14ac:dyDescent="0.3">
      <c r="A517" s="547" t="s">
        <v>433</v>
      </c>
      <c r="B517" s="548" t="s">
        <v>787</v>
      </c>
      <c r="C517" s="547" t="s">
        <v>19</v>
      </c>
      <c r="D517" s="547" t="s">
        <v>3544</v>
      </c>
      <c r="E517" s="688" t="s">
        <v>438</v>
      </c>
      <c r="F517" s="688"/>
      <c r="G517" s="549" t="s">
        <v>173</v>
      </c>
      <c r="H517" s="550">
        <v>6</v>
      </c>
      <c r="I517" s="551">
        <v>53.02</v>
      </c>
      <c r="J517" s="551">
        <v>318.12</v>
      </c>
      <c r="K517" s="552"/>
    </row>
    <row r="518" spans="1:11" ht="25" x14ac:dyDescent="0.3">
      <c r="A518" s="547" t="s">
        <v>433</v>
      </c>
      <c r="B518" s="548" t="s">
        <v>785</v>
      </c>
      <c r="C518" s="547" t="s">
        <v>19</v>
      </c>
      <c r="D518" s="547" t="s">
        <v>786</v>
      </c>
      <c r="E518" s="688" t="s">
        <v>438</v>
      </c>
      <c r="F518" s="688"/>
      <c r="G518" s="549" t="s">
        <v>173</v>
      </c>
      <c r="H518" s="550">
        <v>2</v>
      </c>
      <c r="I518" s="551">
        <v>93.33</v>
      </c>
      <c r="J518" s="551">
        <v>186.66</v>
      </c>
      <c r="K518" s="552"/>
    </row>
    <row r="519" spans="1:11" x14ac:dyDescent="0.3">
      <c r="A519" s="547" t="s">
        <v>433</v>
      </c>
      <c r="B519" s="548" t="s">
        <v>779</v>
      </c>
      <c r="C519" s="547" t="s">
        <v>19</v>
      </c>
      <c r="D519" s="547" t="s">
        <v>780</v>
      </c>
      <c r="E519" s="688" t="s">
        <v>438</v>
      </c>
      <c r="F519" s="688"/>
      <c r="G519" s="549" t="s">
        <v>173</v>
      </c>
      <c r="H519" s="550">
        <v>1</v>
      </c>
      <c r="I519" s="551">
        <v>23.7</v>
      </c>
      <c r="J519" s="551">
        <v>23.7</v>
      </c>
      <c r="K519" s="552"/>
    </row>
    <row r="520" spans="1:11" ht="25" x14ac:dyDescent="0.3">
      <c r="A520" s="547" t="s">
        <v>433</v>
      </c>
      <c r="B520" s="548" t="s">
        <v>781</v>
      </c>
      <c r="C520" s="547" t="s">
        <v>19</v>
      </c>
      <c r="D520" s="547" t="s">
        <v>782</v>
      </c>
      <c r="E520" s="688" t="s">
        <v>438</v>
      </c>
      <c r="F520" s="688"/>
      <c r="G520" s="549" t="s">
        <v>81</v>
      </c>
      <c r="H520" s="550">
        <v>3</v>
      </c>
      <c r="I520" s="551">
        <v>5.49</v>
      </c>
      <c r="J520" s="551">
        <v>16.47</v>
      </c>
      <c r="K520" s="552"/>
    </row>
    <row r="521" spans="1:11" ht="25" x14ac:dyDescent="0.3">
      <c r="A521" s="547" t="s">
        <v>433</v>
      </c>
      <c r="B521" s="548" t="s">
        <v>3545</v>
      </c>
      <c r="C521" s="547" t="s">
        <v>203</v>
      </c>
      <c r="D521" s="547" t="s">
        <v>3546</v>
      </c>
      <c r="E521" s="688" t="s">
        <v>438</v>
      </c>
      <c r="F521" s="688"/>
      <c r="G521" s="549" t="s">
        <v>81</v>
      </c>
      <c r="H521" s="550">
        <v>1</v>
      </c>
      <c r="I521" s="551">
        <v>462.3</v>
      </c>
      <c r="J521" s="551">
        <v>462.3</v>
      </c>
      <c r="K521" s="552"/>
    </row>
    <row r="522" spans="1:11" x14ac:dyDescent="0.3">
      <c r="A522" s="686" t="s">
        <v>3754</v>
      </c>
      <c r="B522" s="686"/>
      <c r="C522" s="686"/>
      <c r="D522" s="686"/>
      <c r="E522" s="686"/>
      <c r="F522" s="686"/>
      <c r="G522" s="686"/>
      <c r="H522" s="686"/>
      <c r="I522" s="686"/>
      <c r="J522" s="686"/>
      <c r="K522" s="552"/>
    </row>
    <row r="523" spans="1:11" ht="15" customHeight="1" thickBot="1" x14ac:dyDescent="0.35">
      <c r="A523" s="695" t="s">
        <v>3761</v>
      </c>
      <c r="B523" s="695"/>
      <c r="C523" s="695"/>
      <c r="D523" s="695"/>
      <c r="E523" s="695"/>
      <c r="F523" s="695"/>
      <c r="G523" s="695"/>
      <c r="H523" s="695"/>
      <c r="I523" s="695"/>
      <c r="J523" s="695"/>
      <c r="K523" s="552"/>
    </row>
    <row r="524" spans="1:11" ht="14.5" thickTop="1" x14ac:dyDescent="0.3">
      <c r="A524" s="562"/>
      <c r="B524" s="562"/>
      <c r="C524" s="562"/>
      <c r="D524" s="562"/>
      <c r="E524" s="562"/>
      <c r="F524" s="562"/>
      <c r="G524" s="562"/>
      <c r="H524" s="562"/>
      <c r="I524" s="562"/>
      <c r="J524" s="562"/>
      <c r="K524" s="552"/>
    </row>
    <row r="525" spans="1:11" x14ac:dyDescent="0.3">
      <c r="A525" s="553"/>
      <c r="B525" s="554" t="s">
        <v>4</v>
      </c>
      <c r="C525" s="553" t="s">
        <v>5</v>
      </c>
      <c r="D525" s="553" t="s">
        <v>6</v>
      </c>
      <c r="E525" s="691" t="s">
        <v>427</v>
      </c>
      <c r="F525" s="691"/>
      <c r="G525" s="555" t="s">
        <v>7</v>
      </c>
      <c r="H525" s="554" t="s">
        <v>8</v>
      </c>
      <c r="I525" s="554" t="s">
        <v>9</v>
      </c>
      <c r="J525" s="554" t="s">
        <v>11</v>
      </c>
      <c r="K525" s="552"/>
    </row>
    <row r="526" spans="1:11" ht="25" x14ac:dyDescent="0.3">
      <c r="A526" s="607" t="s">
        <v>428</v>
      </c>
      <c r="B526" s="608" t="s">
        <v>157</v>
      </c>
      <c r="C526" s="607" t="s">
        <v>26</v>
      </c>
      <c r="D526" s="607" t="s">
        <v>158</v>
      </c>
      <c r="E526" s="690" t="s">
        <v>670</v>
      </c>
      <c r="F526" s="690"/>
      <c r="G526" s="609" t="s">
        <v>81</v>
      </c>
      <c r="H526" s="610">
        <v>1</v>
      </c>
      <c r="I526" s="611">
        <v>3977.11</v>
      </c>
      <c r="J526" s="611">
        <v>3977.11</v>
      </c>
      <c r="K526" s="552"/>
    </row>
    <row r="527" spans="1:11" s="89" customFormat="1" ht="25" x14ac:dyDescent="0.3">
      <c r="A527" s="547" t="s">
        <v>430</v>
      </c>
      <c r="B527" s="548" t="s">
        <v>789</v>
      </c>
      <c r="C527" s="547" t="s">
        <v>19</v>
      </c>
      <c r="D527" s="547" t="s">
        <v>790</v>
      </c>
      <c r="E527" s="688" t="s">
        <v>429</v>
      </c>
      <c r="F527" s="688"/>
      <c r="G527" s="549" t="s">
        <v>423</v>
      </c>
      <c r="H527" s="550">
        <v>2.1</v>
      </c>
      <c r="I527" s="551">
        <v>30.33</v>
      </c>
      <c r="J527" s="551">
        <v>63.69</v>
      </c>
      <c r="K527" s="546"/>
    </row>
    <row r="528" spans="1:11" s="89" customFormat="1" ht="15" customHeight="1" x14ac:dyDescent="0.3">
      <c r="A528" s="547" t="s">
        <v>430</v>
      </c>
      <c r="B528" s="548" t="s">
        <v>760</v>
      </c>
      <c r="C528" s="547" t="s">
        <v>19</v>
      </c>
      <c r="D528" s="547" t="s">
        <v>761</v>
      </c>
      <c r="E528" s="688" t="s">
        <v>429</v>
      </c>
      <c r="F528" s="688"/>
      <c r="G528" s="549" t="s">
        <v>423</v>
      </c>
      <c r="H528" s="550">
        <v>4.2</v>
      </c>
      <c r="I528" s="551">
        <v>31.1</v>
      </c>
      <c r="J528" s="551">
        <v>130.62</v>
      </c>
      <c r="K528" s="546"/>
    </row>
    <row r="529" spans="1:11" ht="14.25" customHeight="1" x14ac:dyDescent="0.3">
      <c r="A529" s="547" t="s">
        <v>430</v>
      </c>
      <c r="B529" s="548" t="s">
        <v>791</v>
      </c>
      <c r="C529" s="547" t="s">
        <v>19</v>
      </c>
      <c r="D529" s="547" t="s">
        <v>792</v>
      </c>
      <c r="E529" s="688" t="s">
        <v>429</v>
      </c>
      <c r="F529" s="688"/>
      <c r="G529" s="549" t="s">
        <v>423</v>
      </c>
      <c r="H529" s="550">
        <v>4.2</v>
      </c>
      <c r="I529" s="551">
        <v>23.24</v>
      </c>
      <c r="J529" s="551">
        <v>97.6</v>
      </c>
      <c r="K529" s="552"/>
    </row>
    <row r="530" spans="1:11" s="89" customFormat="1" ht="15" customHeight="1" x14ac:dyDescent="0.3">
      <c r="A530" s="547" t="s">
        <v>430</v>
      </c>
      <c r="B530" s="548" t="s">
        <v>793</v>
      </c>
      <c r="C530" s="547" t="s">
        <v>19</v>
      </c>
      <c r="D530" s="547" t="s">
        <v>794</v>
      </c>
      <c r="E530" s="688" t="s">
        <v>429</v>
      </c>
      <c r="F530" s="688"/>
      <c r="G530" s="549" t="s">
        <v>423</v>
      </c>
      <c r="H530" s="550">
        <v>0.52500000000000002</v>
      </c>
      <c r="I530" s="551">
        <v>24.15</v>
      </c>
      <c r="J530" s="551">
        <v>12.67</v>
      </c>
      <c r="K530" s="546"/>
    </row>
    <row r="531" spans="1:11" ht="14.25" customHeight="1" x14ac:dyDescent="0.3">
      <c r="A531" s="547" t="s">
        <v>430</v>
      </c>
      <c r="B531" s="548" t="s">
        <v>559</v>
      </c>
      <c r="C531" s="547" t="s">
        <v>19</v>
      </c>
      <c r="D531" s="547" t="s">
        <v>560</v>
      </c>
      <c r="E531" s="688" t="s">
        <v>429</v>
      </c>
      <c r="F531" s="688"/>
      <c r="G531" s="549" t="s">
        <v>423</v>
      </c>
      <c r="H531" s="550">
        <v>4.2</v>
      </c>
      <c r="I531" s="551">
        <v>23.4</v>
      </c>
      <c r="J531" s="551">
        <v>98.28</v>
      </c>
      <c r="K531" s="552"/>
    </row>
    <row r="532" spans="1:11" x14ac:dyDescent="0.3">
      <c r="A532" s="547" t="s">
        <v>433</v>
      </c>
      <c r="B532" s="548" t="s">
        <v>795</v>
      </c>
      <c r="C532" s="547" t="s">
        <v>115</v>
      </c>
      <c r="D532" s="547" t="s">
        <v>796</v>
      </c>
      <c r="E532" s="688" t="s">
        <v>438</v>
      </c>
      <c r="F532" s="688"/>
      <c r="G532" s="549" t="s">
        <v>532</v>
      </c>
      <c r="H532" s="550">
        <v>1.89E-2</v>
      </c>
      <c r="I532" s="551">
        <v>139.642</v>
      </c>
      <c r="J532" s="551">
        <v>2.63</v>
      </c>
      <c r="K532" s="552"/>
    </row>
    <row r="533" spans="1:11" x14ac:dyDescent="0.3">
      <c r="A533" s="547" t="s">
        <v>433</v>
      </c>
      <c r="B533" s="548" t="s">
        <v>797</v>
      </c>
      <c r="C533" s="547" t="s">
        <v>19</v>
      </c>
      <c r="D533" s="547" t="s">
        <v>798</v>
      </c>
      <c r="E533" s="688" t="s">
        <v>438</v>
      </c>
      <c r="F533" s="688"/>
      <c r="G533" s="549" t="s">
        <v>424</v>
      </c>
      <c r="H533" s="550">
        <v>3</v>
      </c>
      <c r="I533" s="551">
        <v>21.96</v>
      </c>
      <c r="J533" s="551">
        <v>65.88</v>
      </c>
      <c r="K533" s="552"/>
    </row>
    <row r="534" spans="1:11" x14ac:dyDescent="0.3">
      <c r="A534" s="547" t="s">
        <v>433</v>
      </c>
      <c r="B534" s="548" t="s">
        <v>799</v>
      </c>
      <c r="C534" s="547" t="s">
        <v>19</v>
      </c>
      <c r="D534" s="547" t="s">
        <v>800</v>
      </c>
      <c r="E534" s="688" t="s">
        <v>438</v>
      </c>
      <c r="F534" s="688"/>
      <c r="G534" s="549" t="s">
        <v>173</v>
      </c>
      <c r="H534" s="550">
        <v>5</v>
      </c>
      <c r="I534" s="551">
        <v>41.42</v>
      </c>
      <c r="J534" s="551">
        <v>207.1</v>
      </c>
      <c r="K534" s="552"/>
    </row>
    <row r="535" spans="1:11" x14ac:dyDescent="0.3">
      <c r="A535" s="547" t="s">
        <v>433</v>
      </c>
      <c r="B535" s="548" t="s">
        <v>801</v>
      </c>
      <c r="C535" s="547" t="s">
        <v>19</v>
      </c>
      <c r="D535" s="547" t="s">
        <v>802</v>
      </c>
      <c r="E535" s="688" t="s">
        <v>438</v>
      </c>
      <c r="F535" s="688"/>
      <c r="G535" s="549" t="s">
        <v>81</v>
      </c>
      <c r="H535" s="550">
        <v>30</v>
      </c>
      <c r="I535" s="551">
        <v>1.76</v>
      </c>
      <c r="J535" s="551">
        <v>52.8</v>
      </c>
      <c r="K535" s="552"/>
    </row>
    <row r="536" spans="1:11" s="89" customFormat="1" ht="37.5" x14ac:dyDescent="0.3">
      <c r="A536" s="547" t="s">
        <v>433</v>
      </c>
      <c r="B536" s="548" t="s">
        <v>637</v>
      </c>
      <c r="C536" s="547" t="s">
        <v>19</v>
      </c>
      <c r="D536" s="547" t="s">
        <v>3515</v>
      </c>
      <c r="E536" s="688" t="s">
        <v>438</v>
      </c>
      <c r="F536" s="688"/>
      <c r="G536" s="549" t="s">
        <v>173</v>
      </c>
      <c r="H536" s="550">
        <v>10</v>
      </c>
      <c r="I536" s="551">
        <v>30.09</v>
      </c>
      <c r="J536" s="551">
        <v>300.89999999999998</v>
      </c>
      <c r="K536" s="546"/>
    </row>
    <row r="537" spans="1:11" ht="25" x14ac:dyDescent="0.3">
      <c r="A537" s="547" t="s">
        <v>433</v>
      </c>
      <c r="B537" s="548" t="s">
        <v>624</v>
      </c>
      <c r="C537" s="547" t="s">
        <v>19</v>
      </c>
      <c r="D537" s="547" t="s">
        <v>625</v>
      </c>
      <c r="E537" s="688" t="s">
        <v>438</v>
      </c>
      <c r="F537" s="688"/>
      <c r="G537" s="549" t="s">
        <v>173</v>
      </c>
      <c r="H537" s="550">
        <v>7</v>
      </c>
      <c r="I537" s="551">
        <v>7.78</v>
      </c>
      <c r="J537" s="551">
        <v>54.46</v>
      </c>
      <c r="K537" s="552"/>
    </row>
    <row r="538" spans="1:11" s="89" customFormat="1" ht="25" x14ac:dyDescent="0.3">
      <c r="A538" s="547" t="s">
        <v>433</v>
      </c>
      <c r="B538" s="548" t="s">
        <v>785</v>
      </c>
      <c r="C538" s="547" t="s">
        <v>19</v>
      </c>
      <c r="D538" s="547" t="s">
        <v>786</v>
      </c>
      <c r="E538" s="688" t="s">
        <v>438</v>
      </c>
      <c r="F538" s="688"/>
      <c r="G538" s="549" t="s">
        <v>173</v>
      </c>
      <c r="H538" s="550">
        <v>20</v>
      </c>
      <c r="I538" s="551">
        <v>93.33</v>
      </c>
      <c r="J538" s="551">
        <v>1866.6</v>
      </c>
      <c r="K538" s="546"/>
    </row>
    <row r="539" spans="1:11" ht="37.5" x14ac:dyDescent="0.3">
      <c r="A539" s="547" t="s">
        <v>433</v>
      </c>
      <c r="B539" s="548" t="s">
        <v>803</v>
      </c>
      <c r="C539" s="547" t="s">
        <v>19</v>
      </c>
      <c r="D539" s="547" t="s">
        <v>3547</v>
      </c>
      <c r="E539" s="688" t="s">
        <v>438</v>
      </c>
      <c r="F539" s="688"/>
      <c r="G539" s="549" t="s">
        <v>81</v>
      </c>
      <c r="H539" s="550">
        <v>1</v>
      </c>
      <c r="I539" s="551">
        <v>13.52</v>
      </c>
      <c r="J539" s="551">
        <v>13.52</v>
      </c>
      <c r="K539" s="552"/>
    </row>
    <row r="540" spans="1:11" s="89" customFormat="1" ht="25" x14ac:dyDescent="0.3">
      <c r="A540" s="547" t="s">
        <v>433</v>
      </c>
      <c r="B540" s="548" t="s">
        <v>804</v>
      </c>
      <c r="C540" s="547" t="s">
        <v>19</v>
      </c>
      <c r="D540" s="547" t="s">
        <v>805</v>
      </c>
      <c r="E540" s="688" t="s">
        <v>438</v>
      </c>
      <c r="F540" s="688"/>
      <c r="G540" s="549" t="s">
        <v>81</v>
      </c>
      <c r="H540" s="550">
        <v>1</v>
      </c>
      <c r="I540" s="551">
        <v>378.16</v>
      </c>
      <c r="J540" s="551">
        <v>378.16</v>
      </c>
      <c r="K540" s="546"/>
    </row>
    <row r="541" spans="1:11" ht="37.5" x14ac:dyDescent="0.3">
      <c r="A541" s="547" t="s">
        <v>433</v>
      </c>
      <c r="B541" s="548" t="s">
        <v>806</v>
      </c>
      <c r="C541" s="547" t="s">
        <v>19</v>
      </c>
      <c r="D541" s="547" t="s">
        <v>807</v>
      </c>
      <c r="E541" s="688" t="s">
        <v>438</v>
      </c>
      <c r="F541" s="688"/>
      <c r="G541" s="549" t="s">
        <v>81</v>
      </c>
      <c r="H541" s="550">
        <v>1</v>
      </c>
      <c r="I541" s="551">
        <v>121.97</v>
      </c>
      <c r="J541" s="551">
        <v>121.97</v>
      </c>
      <c r="K541" s="552"/>
    </row>
    <row r="542" spans="1:11" s="89" customFormat="1" ht="25" x14ac:dyDescent="0.3">
      <c r="A542" s="547" t="s">
        <v>433</v>
      </c>
      <c r="B542" s="548" t="s">
        <v>750</v>
      </c>
      <c r="C542" s="547" t="s">
        <v>19</v>
      </c>
      <c r="D542" s="547" t="s">
        <v>3538</v>
      </c>
      <c r="E542" s="688" t="s">
        <v>438</v>
      </c>
      <c r="F542" s="688"/>
      <c r="G542" s="549" t="s">
        <v>81</v>
      </c>
      <c r="H542" s="550">
        <v>1</v>
      </c>
      <c r="I542" s="551">
        <v>510.23</v>
      </c>
      <c r="J542" s="551">
        <v>510.23</v>
      </c>
      <c r="K542" s="546"/>
    </row>
    <row r="543" spans="1:11" x14ac:dyDescent="0.3">
      <c r="A543" s="686" t="s">
        <v>3754</v>
      </c>
      <c r="B543" s="686"/>
      <c r="C543" s="686"/>
      <c r="D543" s="686"/>
      <c r="E543" s="686"/>
      <c r="F543" s="686"/>
      <c r="G543" s="686"/>
      <c r="H543" s="686"/>
      <c r="I543" s="686"/>
      <c r="J543" s="686"/>
      <c r="K543" s="552"/>
    </row>
    <row r="544" spans="1:11" ht="15" customHeight="1" thickBot="1" x14ac:dyDescent="0.35">
      <c r="A544" s="695" t="s">
        <v>3762</v>
      </c>
      <c r="B544" s="695"/>
      <c r="C544" s="695"/>
      <c r="D544" s="695"/>
      <c r="E544" s="695"/>
      <c r="F544" s="695"/>
      <c r="G544" s="695"/>
      <c r="H544" s="695"/>
      <c r="I544" s="695"/>
      <c r="J544" s="695"/>
      <c r="K544" s="552"/>
    </row>
    <row r="545" spans="1:11" s="89" customFormat="1" ht="14.5" thickTop="1" x14ac:dyDescent="0.3">
      <c r="A545" s="562"/>
      <c r="B545" s="562"/>
      <c r="C545" s="562"/>
      <c r="D545" s="562"/>
      <c r="E545" s="562"/>
      <c r="F545" s="562"/>
      <c r="G545" s="562"/>
      <c r="H545" s="562"/>
      <c r="I545" s="562"/>
      <c r="J545" s="562"/>
      <c r="K545" s="546"/>
    </row>
    <row r="546" spans="1:11" x14ac:dyDescent="0.3">
      <c r="A546" s="553"/>
      <c r="B546" s="554" t="s">
        <v>4</v>
      </c>
      <c r="C546" s="553" t="s">
        <v>5</v>
      </c>
      <c r="D546" s="553" t="s">
        <v>6</v>
      </c>
      <c r="E546" s="691" t="s">
        <v>427</v>
      </c>
      <c r="F546" s="691"/>
      <c r="G546" s="555" t="s">
        <v>7</v>
      </c>
      <c r="H546" s="554" t="s">
        <v>8</v>
      </c>
      <c r="I546" s="554" t="s">
        <v>9</v>
      </c>
      <c r="J546" s="554" t="s">
        <v>11</v>
      </c>
      <c r="K546" s="552"/>
    </row>
    <row r="547" spans="1:11" s="89" customFormat="1" ht="25" x14ac:dyDescent="0.3">
      <c r="A547" s="607" t="s">
        <v>428</v>
      </c>
      <c r="B547" s="608" t="s">
        <v>159</v>
      </c>
      <c r="C547" s="607" t="s">
        <v>115</v>
      </c>
      <c r="D547" s="607" t="s">
        <v>808</v>
      </c>
      <c r="E547" s="690" t="s">
        <v>402</v>
      </c>
      <c r="F547" s="690"/>
      <c r="G547" s="609" t="s">
        <v>532</v>
      </c>
      <c r="H547" s="610">
        <v>1</v>
      </c>
      <c r="I547" s="611">
        <v>141.58000000000001</v>
      </c>
      <c r="J547" s="611">
        <v>141.58000000000001</v>
      </c>
      <c r="K547" s="546"/>
    </row>
    <row r="548" spans="1:11" ht="15" customHeight="1" x14ac:dyDescent="0.3">
      <c r="A548" s="691" t="s">
        <v>408</v>
      </c>
      <c r="B548" s="692" t="s">
        <v>4</v>
      </c>
      <c r="C548" s="691" t="s">
        <v>5</v>
      </c>
      <c r="D548" s="691" t="s">
        <v>462</v>
      </c>
      <c r="E548" s="692" t="s">
        <v>463</v>
      </c>
      <c r="F548" s="694" t="s">
        <v>464</v>
      </c>
      <c r="G548" s="692"/>
      <c r="H548" s="694" t="s">
        <v>465</v>
      </c>
      <c r="I548" s="692"/>
      <c r="J548" s="692" t="s">
        <v>466</v>
      </c>
      <c r="K548" s="552"/>
    </row>
    <row r="549" spans="1:11" s="89" customFormat="1" x14ac:dyDescent="0.3">
      <c r="A549" s="692"/>
      <c r="B549" s="692"/>
      <c r="C549" s="692"/>
      <c r="D549" s="692"/>
      <c r="E549" s="692"/>
      <c r="F549" s="554" t="s">
        <v>467</v>
      </c>
      <c r="G549" s="554" t="s">
        <v>468</v>
      </c>
      <c r="H549" s="554" t="s">
        <v>467</v>
      </c>
      <c r="I549" s="554" t="s">
        <v>468</v>
      </c>
      <c r="J549" s="692"/>
      <c r="K549" s="546"/>
    </row>
    <row r="550" spans="1:11" ht="15" customHeight="1" x14ac:dyDescent="0.3">
      <c r="A550" s="547" t="s">
        <v>433</v>
      </c>
      <c r="B550" s="548" t="s">
        <v>809</v>
      </c>
      <c r="C550" s="547" t="s">
        <v>115</v>
      </c>
      <c r="D550" s="547" t="s">
        <v>810</v>
      </c>
      <c r="E550" s="550">
        <v>1</v>
      </c>
      <c r="F550" s="551">
        <v>1</v>
      </c>
      <c r="G550" s="551">
        <v>0</v>
      </c>
      <c r="H550" s="563">
        <v>9.6046999999999993</v>
      </c>
      <c r="I550" s="563">
        <v>1.0421</v>
      </c>
      <c r="J550" s="563">
        <v>9.6046999999999993</v>
      </c>
      <c r="K550" s="552"/>
    </row>
    <row r="551" spans="1:11" ht="14.25" customHeight="1" x14ac:dyDescent="0.3">
      <c r="A551" s="689"/>
      <c r="B551" s="689"/>
      <c r="C551" s="689"/>
      <c r="D551" s="689"/>
      <c r="E551" s="689"/>
      <c r="F551" s="689" t="s">
        <v>471</v>
      </c>
      <c r="G551" s="689"/>
      <c r="H551" s="689"/>
      <c r="I551" s="689"/>
      <c r="J551" s="564">
        <v>9.6046999999999993</v>
      </c>
      <c r="K551" s="552"/>
    </row>
    <row r="552" spans="1:11" s="89" customFormat="1" ht="15" customHeight="1" x14ac:dyDescent="0.3">
      <c r="A552" s="689"/>
      <c r="B552" s="689"/>
      <c r="C552" s="689"/>
      <c r="D552" s="689"/>
      <c r="E552" s="689"/>
      <c r="F552" s="689" t="s">
        <v>472</v>
      </c>
      <c r="G552" s="689"/>
      <c r="H552" s="689"/>
      <c r="I552" s="689"/>
      <c r="J552" s="564">
        <v>9.6046999999999993</v>
      </c>
      <c r="K552" s="546"/>
    </row>
    <row r="553" spans="1:11" ht="14.25" customHeight="1" x14ac:dyDescent="0.3">
      <c r="A553" s="689"/>
      <c r="B553" s="689"/>
      <c r="C553" s="689"/>
      <c r="D553" s="689"/>
      <c r="E553" s="689"/>
      <c r="F553" s="689" t="s">
        <v>473</v>
      </c>
      <c r="G553" s="689"/>
      <c r="H553" s="689"/>
      <c r="I553" s="689"/>
      <c r="J553" s="564">
        <v>7.4999999999999997E-3</v>
      </c>
      <c r="K553" s="552"/>
    </row>
    <row r="554" spans="1:11" s="89" customFormat="1" x14ac:dyDescent="0.3">
      <c r="A554" s="689"/>
      <c r="B554" s="689"/>
      <c r="C554" s="689"/>
      <c r="D554" s="689"/>
      <c r="E554" s="689"/>
      <c r="F554" s="689" t="s">
        <v>474</v>
      </c>
      <c r="G554" s="689"/>
      <c r="H554" s="689"/>
      <c r="I554" s="689"/>
      <c r="J554" s="564">
        <v>0.02</v>
      </c>
      <c r="K554" s="546"/>
    </row>
    <row r="555" spans="1:11" ht="14.25" customHeight="1" x14ac:dyDescent="0.3">
      <c r="A555" s="689"/>
      <c r="B555" s="689"/>
      <c r="C555" s="689"/>
      <c r="D555" s="689"/>
      <c r="E555" s="689"/>
      <c r="F555" s="689" t="s">
        <v>475</v>
      </c>
      <c r="G555" s="689"/>
      <c r="H555" s="689"/>
      <c r="I555" s="689"/>
      <c r="J555" s="564">
        <v>3.5794000000000001</v>
      </c>
      <c r="K555" s="552"/>
    </row>
    <row r="556" spans="1:11" ht="14.25" customHeight="1" x14ac:dyDescent="0.3">
      <c r="A556" s="689"/>
      <c r="B556" s="689"/>
      <c r="C556" s="689"/>
      <c r="D556" s="689"/>
      <c r="E556" s="689"/>
      <c r="F556" s="689" t="s">
        <v>476</v>
      </c>
      <c r="G556" s="689"/>
      <c r="H556" s="689"/>
      <c r="I556" s="689"/>
      <c r="J556" s="564">
        <v>2.6833</v>
      </c>
      <c r="K556" s="552"/>
    </row>
    <row r="557" spans="1:11" ht="14.25" customHeight="1" x14ac:dyDescent="0.3">
      <c r="A557" s="553" t="s">
        <v>410</v>
      </c>
      <c r="B557" s="554" t="s">
        <v>5</v>
      </c>
      <c r="C557" s="553" t="s">
        <v>4</v>
      </c>
      <c r="D557" s="553" t="s">
        <v>438</v>
      </c>
      <c r="E557" s="554" t="s">
        <v>463</v>
      </c>
      <c r="F557" s="554" t="s">
        <v>575</v>
      </c>
      <c r="G557" s="692" t="s">
        <v>576</v>
      </c>
      <c r="H557" s="692"/>
      <c r="I557" s="692"/>
      <c r="J557" s="554" t="s">
        <v>466</v>
      </c>
      <c r="K557" s="552"/>
    </row>
    <row r="558" spans="1:11" s="89" customFormat="1" x14ac:dyDescent="0.3">
      <c r="A558" s="547" t="s">
        <v>433</v>
      </c>
      <c r="B558" s="548" t="s">
        <v>115</v>
      </c>
      <c r="C558" s="547" t="s">
        <v>811</v>
      </c>
      <c r="D558" s="547" t="s">
        <v>812</v>
      </c>
      <c r="E558" s="550">
        <v>1.05</v>
      </c>
      <c r="F558" s="549" t="s">
        <v>532</v>
      </c>
      <c r="G558" s="693">
        <v>120.2563</v>
      </c>
      <c r="H558" s="693"/>
      <c r="I558" s="688"/>
      <c r="J558" s="563">
        <v>126.26909999999999</v>
      </c>
      <c r="K558" s="546"/>
    </row>
    <row r="559" spans="1:11" ht="15" customHeight="1" x14ac:dyDescent="0.3">
      <c r="A559" s="689"/>
      <c r="B559" s="689"/>
      <c r="C559" s="689"/>
      <c r="D559" s="689"/>
      <c r="E559" s="689"/>
      <c r="F559" s="689" t="s">
        <v>813</v>
      </c>
      <c r="G559" s="689"/>
      <c r="H559" s="689"/>
      <c r="I559" s="689"/>
      <c r="J559" s="564">
        <v>126.26909999999999</v>
      </c>
      <c r="K559" s="552"/>
    </row>
    <row r="560" spans="1:11" s="89" customFormat="1" ht="15" customHeight="1" x14ac:dyDescent="0.3">
      <c r="A560" s="553" t="s">
        <v>573</v>
      </c>
      <c r="B560" s="554" t="s">
        <v>5</v>
      </c>
      <c r="C560" s="553" t="s">
        <v>4</v>
      </c>
      <c r="D560" s="553" t="s">
        <v>574</v>
      </c>
      <c r="E560" s="554" t="s">
        <v>463</v>
      </c>
      <c r="F560" s="554" t="s">
        <v>575</v>
      </c>
      <c r="G560" s="692" t="s">
        <v>576</v>
      </c>
      <c r="H560" s="692"/>
      <c r="I560" s="692"/>
      <c r="J560" s="554" t="s">
        <v>466</v>
      </c>
      <c r="K560" s="546"/>
    </row>
    <row r="561" spans="1:11" x14ac:dyDescent="0.3">
      <c r="A561" s="547" t="s">
        <v>577</v>
      </c>
      <c r="B561" s="548" t="s">
        <v>19</v>
      </c>
      <c r="C561" s="547">
        <v>88316</v>
      </c>
      <c r="D561" s="547" t="s">
        <v>560</v>
      </c>
      <c r="E561" s="550">
        <v>0.41906700000000002</v>
      </c>
      <c r="F561" s="549" t="s">
        <v>423</v>
      </c>
      <c r="G561" s="693">
        <v>23.4</v>
      </c>
      <c r="H561" s="693"/>
      <c r="I561" s="688"/>
      <c r="J561" s="563">
        <v>9.8062000000000005</v>
      </c>
      <c r="K561" s="552"/>
    </row>
    <row r="562" spans="1:11" ht="15" customHeight="1" x14ac:dyDescent="0.3">
      <c r="A562" s="689"/>
      <c r="B562" s="689"/>
      <c r="C562" s="689"/>
      <c r="D562" s="689"/>
      <c r="E562" s="689"/>
      <c r="F562" s="689" t="s">
        <v>578</v>
      </c>
      <c r="G562" s="689"/>
      <c r="H562" s="689"/>
      <c r="I562" s="689"/>
      <c r="J562" s="564">
        <v>9.8062000000000005</v>
      </c>
      <c r="K562" s="552"/>
    </row>
    <row r="563" spans="1:11" ht="15" customHeight="1" x14ac:dyDescent="0.3">
      <c r="A563" s="553" t="s">
        <v>579</v>
      </c>
      <c r="B563" s="554" t="s">
        <v>5</v>
      </c>
      <c r="C563" s="553" t="s">
        <v>433</v>
      </c>
      <c r="D563" s="553" t="s">
        <v>580</v>
      </c>
      <c r="E563" s="554" t="s">
        <v>4</v>
      </c>
      <c r="F563" s="554" t="s">
        <v>463</v>
      </c>
      <c r="G563" s="555" t="s">
        <v>575</v>
      </c>
      <c r="H563" s="692" t="s">
        <v>576</v>
      </c>
      <c r="I563" s="692"/>
      <c r="J563" s="554" t="s">
        <v>466</v>
      </c>
      <c r="K563" s="552"/>
    </row>
    <row r="564" spans="1:11" s="89" customFormat="1" ht="15" customHeight="1" x14ac:dyDescent="0.3">
      <c r="A564" s="547" t="s">
        <v>581</v>
      </c>
      <c r="B564" s="548" t="s">
        <v>115</v>
      </c>
      <c r="C564" s="547" t="s">
        <v>811</v>
      </c>
      <c r="D564" s="547" t="s">
        <v>814</v>
      </c>
      <c r="E564" s="548">
        <v>5914647</v>
      </c>
      <c r="F564" s="550">
        <v>1.575</v>
      </c>
      <c r="G564" s="549" t="s">
        <v>584</v>
      </c>
      <c r="H564" s="693">
        <v>1.78</v>
      </c>
      <c r="I564" s="688"/>
      <c r="J564" s="563">
        <v>2.8035000000000001</v>
      </c>
      <c r="K564" s="546"/>
    </row>
    <row r="565" spans="1:11" s="89" customFormat="1" ht="15" customHeight="1" x14ac:dyDescent="0.3">
      <c r="A565" s="689"/>
      <c r="B565" s="689"/>
      <c r="C565" s="689"/>
      <c r="D565" s="689"/>
      <c r="E565" s="689"/>
      <c r="F565" s="689" t="s">
        <v>585</v>
      </c>
      <c r="G565" s="689"/>
      <c r="H565" s="689"/>
      <c r="I565" s="689"/>
      <c r="J565" s="564">
        <v>2.8035000000000001</v>
      </c>
      <c r="K565" s="546"/>
    </row>
    <row r="566" spans="1:11" s="89" customFormat="1" ht="15" customHeight="1" x14ac:dyDescent="0.3">
      <c r="A566" s="553" t="s">
        <v>586</v>
      </c>
      <c r="B566" s="554" t="s">
        <v>5</v>
      </c>
      <c r="C566" s="553" t="s">
        <v>433</v>
      </c>
      <c r="D566" s="553" t="s">
        <v>587</v>
      </c>
      <c r="E566" s="554" t="s">
        <v>463</v>
      </c>
      <c r="F566" s="554" t="s">
        <v>575</v>
      </c>
      <c r="G566" s="694" t="s">
        <v>588</v>
      </c>
      <c r="H566" s="692"/>
      <c r="I566" s="692"/>
      <c r="J566" s="554" t="s">
        <v>466</v>
      </c>
      <c r="K566" s="546"/>
    </row>
    <row r="567" spans="1:11" ht="14.25" customHeight="1" x14ac:dyDescent="0.3">
      <c r="A567" s="555"/>
      <c r="B567" s="555"/>
      <c r="C567" s="555"/>
      <c r="D567" s="555"/>
      <c r="E567" s="555"/>
      <c r="F567" s="555"/>
      <c r="G567" s="555" t="s">
        <v>589</v>
      </c>
      <c r="H567" s="555" t="s">
        <v>590</v>
      </c>
      <c r="I567" s="555" t="s">
        <v>591</v>
      </c>
      <c r="J567" s="555"/>
      <c r="K567" s="552"/>
    </row>
    <row r="568" spans="1:11" ht="15" customHeight="1" x14ac:dyDescent="0.3">
      <c r="A568" s="547" t="s">
        <v>587</v>
      </c>
      <c r="B568" s="548" t="s">
        <v>115</v>
      </c>
      <c r="C568" s="547" t="s">
        <v>811</v>
      </c>
      <c r="D568" s="547" t="s">
        <v>815</v>
      </c>
      <c r="E568" s="550">
        <v>1.575</v>
      </c>
      <c r="F568" s="549" t="s">
        <v>593</v>
      </c>
      <c r="G568" s="548" t="s">
        <v>3841</v>
      </c>
      <c r="H568" s="548" t="s">
        <v>3842</v>
      </c>
      <c r="I568" s="548" t="s">
        <v>3843</v>
      </c>
      <c r="J568" s="563">
        <v>0</v>
      </c>
      <c r="K568" s="552"/>
    </row>
    <row r="569" spans="1:11" ht="15" customHeight="1" thickBot="1" x14ac:dyDescent="0.35">
      <c r="A569" s="689"/>
      <c r="B569" s="689"/>
      <c r="C569" s="689"/>
      <c r="D569" s="689"/>
      <c r="E569" s="689"/>
      <c r="F569" s="689" t="s">
        <v>594</v>
      </c>
      <c r="G569" s="689"/>
      <c r="H569" s="689"/>
      <c r="I569" s="689"/>
      <c r="J569" s="564">
        <v>0</v>
      </c>
      <c r="K569" s="552"/>
    </row>
    <row r="570" spans="1:11" ht="14.5" thickTop="1" x14ac:dyDescent="0.3">
      <c r="A570" s="562"/>
      <c r="B570" s="562"/>
      <c r="C570" s="562"/>
      <c r="D570" s="562"/>
      <c r="E570" s="562"/>
      <c r="F570" s="562"/>
      <c r="G570" s="562"/>
      <c r="H570" s="562"/>
      <c r="I570" s="562"/>
      <c r="J570" s="562"/>
      <c r="K570" s="552"/>
    </row>
    <row r="571" spans="1:11" x14ac:dyDescent="0.3">
      <c r="A571" s="553"/>
      <c r="B571" s="554" t="s">
        <v>4</v>
      </c>
      <c r="C571" s="553" t="s">
        <v>5</v>
      </c>
      <c r="D571" s="553" t="s">
        <v>6</v>
      </c>
      <c r="E571" s="691" t="s">
        <v>427</v>
      </c>
      <c r="F571" s="691"/>
      <c r="G571" s="555" t="s">
        <v>7</v>
      </c>
      <c r="H571" s="554" t="s">
        <v>8</v>
      </c>
      <c r="I571" s="554" t="s">
        <v>9</v>
      </c>
      <c r="J571" s="554" t="s">
        <v>11</v>
      </c>
      <c r="K571" s="552"/>
    </row>
    <row r="572" spans="1:11" s="89" customFormat="1" ht="37.5" x14ac:dyDescent="0.3">
      <c r="A572" s="607" t="s">
        <v>428</v>
      </c>
      <c r="B572" s="608" t="s">
        <v>160</v>
      </c>
      <c r="C572" s="607" t="s">
        <v>19</v>
      </c>
      <c r="D572" s="607" t="s">
        <v>161</v>
      </c>
      <c r="E572" s="690" t="s">
        <v>619</v>
      </c>
      <c r="F572" s="690"/>
      <c r="G572" s="609" t="s">
        <v>532</v>
      </c>
      <c r="H572" s="610">
        <v>1</v>
      </c>
      <c r="I572" s="611">
        <v>403.4</v>
      </c>
      <c r="J572" s="611">
        <v>403.4</v>
      </c>
      <c r="K572" s="546"/>
    </row>
    <row r="573" spans="1:11" ht="14.25" customHeight="1" x14ac:dyDescent="0.3">
      <c r="A573" s="547" t="s">
        <v>430</v>
      </c>
      <c r="B573" s="548" t="s">
        <v>559</v>
      </c>
      <c r="C573" s="547" t="s">
        <v>19</v>
      </c>
      <c r="D573" s="547" t="s">
        <v>560</v>
      </c>
      <c r="E573" s="688" t="s">
        <v>429</v>
      </c>
      <c r="F573" s="688"/>
      <c r="G573" s="549" t="s">
        <v>423</v>
      </c>
      <c r="H573" s="550">
        <v>2.1057999999999999</v>
      </c>
      <c r="I573" s="551">
        <v>23.4</v>
      </c>
      <c r="J573" s="551">
        <v>49.27</v>
      </c>
      <c r="K573" s="552"/>
    </row>
    <row r="574" spans="1:11" s="89" customFormat="1" ht="25" x14ac:dyDescent="0.3">
      <c r="A574" s="547" t="s">
        <v>430</v>
      </c>
      <c r="B574" s="548" t="s">
        <v>816</v>
      </c>
      <c r="C574" s="547" t="s">
        <v>19</v>
      </c>
      <c r="D574" s="547" t="s">
        <v>817</v>
      </c>
      <c r="E574" s="688" t="s">
        <v>429</v>
      </c>
      <c r="F574" s="688"/>
      <c r="G574" s="549" t="s">
        <v>423</v>
      </c>
      <c r="H574" s="550">
        <v>1.3314999999999999</v>
      </c>
      <c r="I574" s="551">
        <v>25.72</v>
      </c>
      <c r="J574" s="551">
        <v>34.24</v>
      </c>
      <c r="K574" s="546"/>
    </row>
    <row r="575" spans="1:11" ht="14.25" customHeight="1" x14ac:dyDescent="0.3">
      <c r="A575" s="547" t="s">
        <v>430</v>
      </c>
      <c r="B575" s="548" t="s">
        <v>818</v>
      </c>
      <c r="C575" s="547" t="s">
        <v>19</v>
      </c>
      <c r="D575" s="547" t="s">
        <v>3548</v>
      </c>
      <c r="E575" s="688" t="s">
        <v>461</v>
      </c>
      <c r="F575" s="688"/>
      <c r="G575" s="549" t="s">
        <v>95</v>
      </c>
      <c r="H575" s="550">
        <v>0.68530000000000002</v>
      </c>
      <c r="I575" s="551">
        <v>4.9400000000000004</v>
      </c>
      <c r="J575" s="551">
        <v>3.38</v>
      </c>
      <c r="K575" s="552"/>
    </row>
    <row r="576" spans="1:11" ht="38.25" customHeight="1" x14ac:dyDescent="0.3">
      <c r="A576" s="547" t="s">
        <v>430</v>
      </c>
      <c r="B576" s="548" t="s">
        <v>819</v>
      </c>
      <c r="C576" s="547" t="s">
        <v>19</v>
      </c>
      <c r="D576" s="547" t="s">
        <v>3549</v>
      </c>
      <c r="E576" s="688" t="s">
        <v>461</v>
      </c>
      <c r="F576" s="688"/>
      <c r="G576" s="549" t="s">
        <v>102</v>
      </c>
      <c r="H576" s="550">
        <v>0.6462</v>
      </c>
      <c r="I576" s="551">
        <v>1.66</v>
      </c>
      <c r="J576" s="551">
        <v>1.07</v>
      </c>
      <c r="K576" s="552"/>
    </row>
    <row r="577" spans="1:11" ht="38.25" customHeight="1" x14ac:dyDescent="0.3">
      <c r="A577" s="547" t="s">
        <v>433</v>
      </c>
      <c r="B577" s="548" t="s">
        <v>820</v>
      </c>
      <c r="C577" s="547" t="s">
        <v>115</v>
      </c>
      <c r="D577" s="547" t="s">
        <v>821</v>
      </c>
      <c r="E577" s="688" t="s">
        <v>438</v>
      </c>
      <c r="F577" s="688"/>
      <c r="G577" s="549" t="s">
        <v>532</v>
      </c>
      <c r="H577" s="550">
        <v>0.83250000000000002</v>
      </c>
      <c r="I577" s="551">
        <v>149.36019999999999</v>
      </c>
      <c r="J577" s="551">
        <v>124.34</v>
      </c>
      <c r="K577" s="552"/>
    </row>
    <row r="578" spans="1:11" ht="38.25" customHeight="1" x14ac:dyDescent="0.3">
      <c r="A578" s="547" t="s">
        <v>433</v>
      </c>
      <c r="B578" s="548" t="s">
        <v>3844</v>
      </c>
      <c r="C578" s="547" t="s">
        <v>115</v>
      </c>
      <c r="D578" s="547" t="s">
        <v>3845</v>
      </c>
      <c r="E578" s="688" t="s">
        <v>438</v>
      </c>
      <c r="F578" s="688"/>
      <c r="G578" s="549" t="s">
        <v>655</v>
      </c>
      <c r="H578" s="550">
        <v>213.45310000000001</v>
      </c>
      <c r="I578" s="551">
        <v>0.56679999999999997</v>
      </c>
      <c r="J578" s="551">
        <v>120.98</v>
      </c>
      <c r="K578" s="552"/>
    </row>
    <row r="579" spans="1:11" ht="14.5" thickBot="1" x14ac:dyDescent="0.35">
      <c r="A579" s="547" t="s">
        <v>433</v>
      </c>
      <c r="B579" s="548" t="s">
        <v>822</v>
      </c>
      <c r="C579" s="547" t="s">
        <v>115</v>
      </c>
      <c r="D579" s="547" t="s">
        <v>823</v>
      </c>
      <c r="E579" s="688" t="s">
        <v>438</v>
      </c>
      <c r="F579" s="688"/>
      <c r="G579" s="549" t="s">
        <v>532</v>
      </c>
      <c r="H579" s="550">
        <v>0.58209999999999995</v>
      </c>
      <c r="I579" s="551">
        <v>120.4661</v>
      </c>
      <c r="J579" s="551">
        <v>70.12</v>
      </c>
      <c r="K579" s="552"/>
    </row>
    <row r="580" spans="1:11" s="89" customFormat="1" ht="14.5" thickTop="1" x14ac:dyDescent="0.3">
      <c r="A580" s="562"/>
      <c r="B580" s="562"/>
      <c r="C580" s="562"/>
      <c r="D580" s="562"/>
      <c r="E580" s="562"/>
      <c r="F580" s="562"/>
      <c r="G580" s="562"/>
      <c r="H580" s="562"/>
      <c r="I580" s="562"/>
      <c r="J580" s="562"/>
      <c r="K580" s="546"/>
    </row>
    <row r="581" spans="1:11" x14ac:dyDescent="0.3">
      <c r="A581" s="553"/>
      <c r="B581" s="554" t="s">
        <v>4</v>
      </c>
      <c r="C581" s="553" t="s">
        <v>5</v>
      </c>
      <c r="D581" s="553" t="s">
        <v>6</v>
      </c>
      <c r="E581" s="691" t="s">
        <v>427</v>
      </c>
      <c r="F581" s="691"/>
      <c r="G581" s="555" t="s">
        <v>7</v>
      </c>
      <c r="H581" s="554" t="s">
        <v>8</v>
      </c>
      <c r="I581" s="554" t="s">
        <v>9</v>
      </c>
      <c r="J581" s="554" t="s">
        <v>11</v>
      </c>
      <c r="K581" s="552"/>
    </row>
    <row r="582" spans="1:11" ht="37.5" x14ac:dyDescent="0.3">
      <c r="A582" s="607" t="s">
        <v>428</v>
      </c>
      <c r="B582" s="608" t="s">
        <v>162</v>
      </c>
      <c r="C582" s="607" t="s">
        <v>19</v>
      </c>
      <c r="D582" s="607" t="s">
        <v>163</v>
      </c>
      <c r="E582" s="690" t="s">
        <v>619</v>
      </c>
      <c r="F582" s="690"/>
      <c r="G582" s="609" t="s">
        <v>532</v>
      </c>
      <c r="H582" s="610">
        <v>1</v>
      </c>
      <c r="I582" s="611">
        <v>470.06</v>
      </c>
      <c r="J582" s="611">
        <v>470.06</v>
      </c>
      <c r="K582" s="552"/>
    </row>
    <row r="583" spans="1:11" ht="14.25" customHeight="1" x14ac:dyDescent="0.3">
      <c r="A583" s="547" t="s">
        <v>430</v>
      </c>
      <c r="B583" s="548" t="s">
        <v>559</v>
      </c>
      <c r="C583" s="547" t="s">
        <v>19</v>
      </c>
      <c r="D583" s="547" t="s">
        <v>560</v>
      </c>
      <c r="E583" s="688" t="s">
        <v>429</v>
      </c>
      <c r="F583" s="688"/>
      <c r="G583" s="549" t="s">
        <v>423</v>
      </c>
      <c r="H583" s="550">
        <v>1.9792000000000001</v>
      </c>
      <c r="I583" s="551">
        <v>23.4</v>
      </c>
      <c r="J583" s="551">
        <v>46.31</v>
      </c>
      <c r="K583" s="552"/>
    </row>
    <row r="584" spans="1:11" s="89" customFormat="1" ht="25" x14ac:dyDescent="0.3">
      <c r="A584" s="547" t="s">
        <v>430</v>
      </c>
      <c r="B584" s="548" t="s">
        <v>816</v>
      </c>
      <c r="C584" s="547" t="s">
        <v>19</v>
      </c>
      <c r="D584" s="547" t="s">
        <v>817</v>
      </c>
      <c r="E584" s="688" t="s">
        <v>429</v>
      </c>
      <c r="F584" s="688"/>
      <c r="G584" s="549" t="s">
        <v>423</v>
      </c>
      <c r="H584" s="550">
        <v>1.2501</v>
      </c>
      <c r="I584" s="551">
        <v>25.72</v>
      </c>
      <c r="J584" s="551">
        <v>32.15</v>
      </c>
      <c r="K584" s="546"/>
    </row>
    <row r="585" spans="1:11" ht="14.25" customHeight="1" x14ac:dyDescent="0.3">
      <c r="A585" s="547" t="s">
        <v>430</v>
      </c>
      <c r="B585" s="548" t="s">
        <v>818</v>
      </c>
      <c r="C585" s="547" t="s">
        <v>19</v>
      </c>
      <c r="D585" s="547" t="s">
        <v>3548</v>
      </c>
      <c r="E585" s="688" t="s">
        <v>461</v>
      </c>
      <c r="F585" s="688"/>
      <c r="G585" s="549" t="s">
        <v>95</v>
      </c>
      <c r="H585" s="550">
        <v>0.64339999999999997</v>
      </c>
      <c r="I585" s="551">
        <v>4.9400000000000004</v>
      </c>
      <c r="J585" s="551">
        <v>3.17</v>
      </c>
      <c r="K585" s="552"/>
    </row>
    <row r="586" spans="1:11" s="89" customFormat="1" ht="38.25" customHeight="1" x14ac:dyDescent="0.3">
      <c r="A586" s="547" t="s">
        <v>430</v>
      </c>
      <c r="B586" s="548" t="s">
        <v>819</v>
      </c>
      <c r="C586" s="547" t="s">
        <v>19</v>
      </c>
      <c r="D586" s="547" t="s">
        <v>3549</v>
      </c>
      <c r="E586" s="688" t="s">
        <v>461</v>
      </c>
      <c r="F586" s="688"/>
      <c r="G586" s="549" t="s">
        <v>102</v>
      </c>
      <c r="H586" s="550">
        <v>0.60670000000000002</v>
      </c>
      <c r="I586" s="551">
        <v>1.66</v>
      </c>
      <c r="J586" s="551">
        <v>1</v>
      </c>
      <c r="K586" s="546"/>
    </row>
    <row r="587" spans="1:11" ht="38.25" customHeight="1" x14ac:dyDescent="0.3">
      <c r="A587" s="547" t="s">
        <v>433</v>
      </c>
      <c r="B587" s="548" t="s">
        <v>820</v>
      </c>
      <c r="C587" s="547" t="s">
        <v>115</v>
      </c>
      <c r="D587" s="547" t="s">
        <v>821</v>
      </c>
      <c r="E587" s="688" t="s">
        <v>438</v>
      </c>
      <c r="F587" s="688"/>
      <c r="G587" s="549" t="s">
        <v>532</v>
      </c>
      <c r="H587" s="550">
        <v>0.72750000000000004</v>
      </c>
      <c r="I587" s="551">
        <v>149.36019999999999</v>
      </c>
      <c r="J587" s="551">
        <v>108.65</v>
      </c>
      <c r="K587" s="552"/>
    </row>
    <row r="588" spans="1:11" s="89" customFormat="1" ht="38.25" customHeight="1" x14ac:dyDescent="0.3">
      <c r="A588" s="547" t="s">
        <v>433</v>
      </c>
      <c r="B588" s="548" t="s">
        <v>3844</v>
      </c>
      <c r="C588" s="547" t="s">
        <v>115</v>
      </c>
      <c r="D588" s="547" t="s">
        <v>3845</v>
      </c>
      <c r="E588" s="688" t="s">
        <v>438</v>
      </c>
      <c r="F588" s="688"/>
      <c r="G588" s="549" t="s">
        <v>655</v>
      </c>
      <c r="H588" s="550">
        <v>364.94330000000002</v>
      </c>
      <c r="I588" s="551">
        <v>0.56679999999999997</v>
      </c>
      <c r="J588" s="551">
        <v>206.84</v>
      </c>
      <c r="K588" s="546"/>
    </row>
    <row r="589" spans="1:11" ht="14.5" thickBot="1" x14ac:dyDescent="0.35">
      <c r="A589" s="547" t="s">
        <v>433</v>
      </c>
      <c r="B589" s="548" t="s">
        <v>822</v>
      </c>
      <c r="C589" s="547" t="s">
        <v>115</v>
      </c>
      <c r="D589" s="547" t="s">
        <v>823</v>
      </c>
      <c r="E589" s="688" t="s">
        <v>438</v>
      </c>
      <c r="F589" s="688"/>
      <c r="G589" s="549" t="s">
        <v>532</v>
      </c>
      <c r="H589" s="550">
        <v>0.59719999999999995</v>
      </c>
      <c r="I589" s="551">
        <v>120.4661</v>
      </c>
      <c r="J589" s="551">
        <v>71.94</v>
      </c>
      <c r="K589" s="552"/>
    </row>
    <row r="590" spans="1:11" ht="14.5" thickTop="1" x14ac:dyDescent="0.3">
      <c r="A590" s="562"/>
      <c r="B590" s="562"/>
      <c r="C590" s="562"/>
      <c r="D590" s="562"/>
      <c r="E590" s="562"/>
      <c r="F590" s="562"/>
      <c r="G590" s="562"/>
      <c r="H590" s="562"/>
      <c r="I590" s="562"/>
      <c r="J590" s="562"/>
      <c r="K590" s="552"/>
    </row>
    <row r="591" spans="1:11" x14ac:dyDescent="0.3">
      <c r="A591" s="553"/>
      <c r="B591" s="554" t="s">
        <v>4</v>
      </c>
      <c r="C591" s="553" t="s">
        <v>5</v>
      </c>
      <c r="D591" s="553" t="s">
        <v>6</v>
      </c>
      <c r="E591" s="691" t="s">
        <v>427</v>
      </c>
      <c r="F591" s="691"/>
      <c r="G591" s="555" t="s">
        <v>7</v>
      </c>
      <c r="H591" s="554" t="s">
        <v>8</v>
      </c>
      <c r="I591" s="554" t="s">
        <v>9</v>
      </c>
      <c r="J591" s="554" t="s">
        <v>11</v>
      </c>
      <c r="K591" s="552"/>
    </row>
    <row r="592" spans="1:11" ht="25" x14ac:dyDescent="0.3">
      <c r="A592" s="607" t="s">
        <v>428</v>
      </c>
      <c r="B592" s="608" t="s">
        <v>164</v>
      </c>
      <c r="C592" s="607" t="s">
        <v>115</v>
      </c>
      <c r="D592" s="607" t="s">
        <v>824</v>
      </c>
      <c r="E592" s="690" t="s">
        <v>402</v>
      </c>
      <c r="F592" s="690"/>
      <c r="G592" s="609" t="s">
        <v>556</v>
      </c>
      <c r="H592" s="610">
        <v>1</v>
      </c>
      <c r="I592" s="611">
        <v>76.72</v>
      </c>
      <c r="J592" s="611">
        <v>76.72</v>
      </c>
      <c r="K592" s="552"/>
    </row>
    <row r="593" spans="1:11" ht="15" customHeight="1" x14ac:dyDescent="0.3">
      <c r="A593" s="691" t="s">
        <v>408</v>
      </c>
      <c r="B593" s="692" t="s">
        <v>4</v>
      </c>
      <c r="C593" s="691" t="s">
        <v>5</v>
      </c>
      <c r="D593" s="691" t="s">
        <v>462</v>
      </c>
      <c r="E593" s="692" t="s">
        <v>463</v>
      </c>
      <c r="F593" s="694" t="s">
        <v>464</v>
      </c>
      <c r="G593" s="692"/>
      <c r="H593" s="694" t="s">
        <v>465</v>
      </c>
      <c r="I593" s="692"/>
      <c r="J593" s="692" t="s">
        <v>466</v>
      </c>
      <c r="K593" s="552"/>
    </row>
    <row r="594" spans="1:11" s="89" customFormat="1" x14ac:dyDescent="0.3">
      <c r="A594" s="692"/>
      <c r="B594" s="692"/>
      <c r="C594" s="692"/>
      <c r="D594" s="692"/>
      <c r="E594" s="692"/>
      <c r="F594" s="554" t="s">
        <v>467</v>
      </c>
      <c r="G594" s="554" t="s">
        <v>468</v>
      </c>
      <c r="H594" s="554" t="s">
        <v>467</v>
      </c>
      <c r="I594" s="554" t="s">
        <v>468</v>
      </c>
      <c r="J594" s="692"/>
      <c r="K594" s="546"/>
    </row>
    <row r="595" spans="1:11" ht="15" customHeight="1" x14ac:dyDescent="0.3">
      <c r="A595" s="547" t="s">
        <v>433</v>
      </c>
      <c r="B595" s="548" t="s">
        <v>825</v>
      </c>
      <c r="C595" s="547" t="s">
        <v>115</v>
      </c>
      <c r="D595" s="547" t="s">
        <v>3550</v>
      </c>
      <c r="E595" s="550">
        <v>4.0160000000000001E-2</v>
      </c>
      <c r="F595" s="551">
        <v>1</v>
      </c>
      <c r="G595" s="551">
        <v>0</v>
      </c>
      <c r="H595" s="563">
        <v>18.346599999999999</v>
      </c>
      <c r="I595" s="563">
        <v>4.6111000000000004</v>
      </c>
      <c r="J595" s="563">
        <v>0.73680000000000001</v>
      </c>
      <c r="K595" s="552"/>
    </row>
    <row r="596" spans="1:11" s="89" customFormat="1" x14ac:dyDescent="0.3">
      <c r="A596" s="547" t="s">
        <v>433</v>
      </c>
      <c r="B596" s="548" t="s">
        <v>826</v>
      </c>
      <c r="C596" s="547" t="s">
        <v>115</v>
      </c>
      <c r="D596" s="547" t="s">
        <v>827</v>
      </c>
      <c r="E596" s="550">
        <v>4.0160000000000001E-2</v>
      </c>
      <c r="F596" s="551">
        <v>1</v>
      </c>
      <c r="G596" s="551">
        <v>0</v>
      </c>
      <c r="H596" s="563">
        <v>26.159800000000001</v>
      </c>
      <c r="I596" s="563">
        <v>25.813600000000001</v>
      </c>
      <c r="J596" s="563">
        <v>1.0506</v>
      </c>
      <c r="K596" s="546"/>
    </row>
    <row r="597" spans="1:11" ht="14.25" customHeight="1" x14ac:dyDescent="0.3">
      <c r="A597" s="689"/>
      <c r="B597" s="689"/>
      <c r="C597" s="689"/>
      <c r="D597" s="689"/>
      <c r="E597" s="689"/>
      <c r="F597" s="689" t="s">
        <v>471</v>
      </c>
      <c r="G597" s="689"/>
      <c r="H597" s="689"/>
      <c r="I597" s="689"/>
      <c r="J597" s="564">
        <v>1.7874000000000001</v>
      </c>
      <c r="K597" s="552"/>
    </row>
    <row r="598" spans="1:11" ht="14.25" customHeight="1" x14ac:dyDescent="0.3">
      <c r="A598" s="689"/>
      <c r="B598" s="689"/>
      <c r="C598" s="689"/>
      <c r="D598" s="689"/>
      <c r="E598" s="689"/>
      <c r="F598" s="689" t="s">
        <v>472</v>
      </c>
      <c r="G598" s="689"/>
      <c r="H598" s="689"/>
      <c r="I598" s="689"/>
      <c r="J598" s="564">
        <v>1.7874000000000001</v>
      </c>
      <c r="K598" s="552"/>
    </row>
    <row r="599" spans="1:11" ht="14.25" customHeight="1" x14ac:dyDescent="0.3">
      <c r="A599" s="689"/>
      <c r="B599" s="689"/>
      <c r="C599" s="689"/>
      <c r="D599" s="689"/>
      <c r="E599" s="689"/>
      <c r="F599" s="689" t="s">
        <v>473</v>
      </c>
      <c r="G599" s="689"/>
      <c r="H599" s="689"/>
      <c r="I599" s="689"/>
      <c r="J599" s="564">
        <v>0</v>
      </c>
      <c r="K599" s="552"/>
    </row>
    <row r="600" spans="1:11" x14ac:dyDescent="0.3">
      <c r="A600" s="689"/>
      <c r="B600" s="689"/>
      <c r="C600" s="689"/>
      <c r="D600" s="689"/>
      <c r="E600" s="689"/>
      <c r="F600" s="689" t="s">
        <v>474</v>
      </c>
      <c r="G600" s="689"/>
      <c r="H600" s="689"/>
      <c r="I600" s="689"/>
      <c r="J600" s="564">
        <v>0</v>
      </c>
      <c r="K600" s="552"/>
    </row>
    <row r="601" spans="1:11" s="89" customFormat="1" ht="15" customHeight="1" x14ac:dyDescent="0.3">
      <c r="A601" s="689"/>
      <c r="B601" s="689"/>
      <c r="C601" s="689"/>
      <c r="D601" s="689"/>
      <c r="E601" s="689"/>
      <c r="F601" s="689" t="s">
        <v>475</v>
      </c>
      <c r="G601" s="689"/>
      <c r="H601" s="689"/>
      <c r="I601" s="689"/>
      <c r="J601" s="564">
        <v>1</v>
      </c>
      <c r="K601" s="546"/>
    </row>
    <row r="602" spans="1:11" ht="14.25" customHeight="1" x14ac:dyDescent="0.3">
      <c r="A602" s="689"/>
      <c r="B602" s="689"/>
      <c r="C602" s="689"/>
      <c r="D602" s="689"/>
      <c r="E602" s="689"/>
      <c r="F602" s="689" t="s">
        <v>476</v>
      </c>
      <c r="G602" s="689"/>
      <c r="H602" s="689"/>
      <c r="I602" s="689"/>
      <c r="J602" s="564">
        <v>1.7874000000000001</v>
      </c>
      <c r="K602" s="552"/>
    </row>
    <row r="603" spans="1:11" ht="14.25" customHeight="1" x14ac:dyDescent="0.3">
      <c r="A603" s="553" t="s">
        <v>410</v>
      </c>
      <c r="B603" s="554" t="s">
        <v>5</v>
      </c>
      <c r="C603" s="553" t="s">
        <v>4</v>
      </c>
      <c r="D603" s="553" t="s">
        <v>438</v>
      </c>
      <c r="E603" s="554" t="s">
        <v>463</v>
      </c>
      <c r="F603" s="554" t="s">
        <v>575</v>
      </c>
      <c r="G603" s="692" t="s">
        <v>576</v>
      </c>
      <c r="H603" s="692"/>
      <c r="I603" s="692"/>
      <c r="J603" s="554" t="s">
        <v>466</v>
      </c>
      <c r="K603" s="552"/>
    </row>
    <row r="604" spans="1:11" x14ac:dyDescent="0.3">
      <c r="A604" s="547" t="s">
        <v>433</v>
      </c>
      <c r="B604" s="548" t="s">
        <v>115</v>
      </c>
      <c r="C604" s="547" t="s">
        <v>828</v>
      </c>
      <c r="D604" s="547" t="s">
        <v>829</v>
      </c>
      <c r="E604" s="550">
        <v>0.44922000000000001</v>
      </c>
      <c r="F604" s="549" t="s">
        <v>830</v>
      </c>
      <c r="G604" s="693">
        <v>13.201499999999999</v>
      </c>
      <c r="H604" s="693"/>
      <c r="I604" s="688"/>
      <c r="J604" s="563">
        <v>5.9303999999999997</v>
      </c>
      <c r="K604" s="552"/>
    </row>
    <row r="605" spans="1:11" ht="15" customHeight="1" x14ac:dyDescent="0.3">
      <c r="A605" s="547" t="s">
        <v>433</v>
      </c>
      <c r="B605" s="548" t="s">
        <v>115</v>
      </c>
      <c r="C605" s="547" t="s">
        <v>831</v>
      </c>
      <c r="D605" s="547" t="s">
        <v>832</v>
      </c>
      <c r="E605" s="550">
        <v>0.40429999999999999</v>
      </c>
      <c r="F605" s="549" t="s">
        <v>556</v>
      </c>
      <c r="G605" s="693">
        <v>25.9331</v>
      </c>
      <c r="H605" s="693"/>
      <c r="I605" s="688"/>
      <c r="J605" s="563">
        <v>10.4848</v>
      </c>
      <c r="K605" s="552"/>
    </row>
    <row r="606" spans="1:11" x14ac:dyDescent="0.3">
      <c r="A606" s="547" t="s">
        <v>433</v>
      </c>
      <c r="B606" s="548" t="s">
        <v>115</v>
      </c>
      <c r="C606" s="547" t="s">
        <v>833</v>
      </c>
      <c r="D606" s="547" t="s">
        <v>834</v>
      </c>
      <c r="E606" s="550">
        <v>1.8519999999999998E-2</v>
      </c>
      <c r="F606" s="549" t="s">
        <v>835</v>
      </c>
      <c r="G606" s="693">
        <v>13.312900000000001</v>
      </c>
      <c r="H606" s="693"/>
      <c r="I606" s="688"/>
      <c r="J606" s="563">
        <v>0.24660000000000001</v>
      </c>
      <c r="K606" s="552"/>
    </row>
    <row r="607" spans="1:11" x14ac:dyDescent="0.3">
      <c r="A607" s="547" t="s">
        <v>433</v>
      </c>
      <c r="B607" s="548" t="s">
        <v>115</v>
      </c>
      <c r="C607" s="547" t="s">
        <v>836</v>
      </c>
      <c r="D607" s="547" t="s">
        <v>837</v>
      </c>
      <c r="E607" s="550">
        <v>0.19908000000000001</v>
      </c>
      <c r="F607" s="549" t="s">
        <v>830</v>
      </c>
      <c r="G607" s="693">
        <v>4.0178000000000003</v>
      </c>
      <c r="H607" s="693"/>
      <c r="I607" s="688"/>
      <c r="J607" s="563">
        <v>0.79990000000000006</v>
      </c>
      <c r="K607" s="552"/>
    </row>
    <row r="608" spans="1:11" x14ac:dyDescent="0.3">
      <c r="A608" s="547" t="s">
        <v>433</v>
      </c>
      <c r="B608" s="548" t="s">
        <v>115</v>
      </c>
      <c r="C608" s="547" t="s">
        <v>838</v>
      </c>
      <c r="D608" s="547" t="s">
        <v>839</v>
      </c>
      <c r="E608" s="550">
        <v>0.20394999999999999</v>
      </c>
      <c r="F608" s="549" t="s">
        <v>655</v>
      </c>
      <c r="G608" s="693">
        <v>18.600000000000001</v>
      </c>
      <c r="H608" s="693"/>
      <c r="I608" s="688"/>
      <c r="J608" s="563">
        <v>3.7934999999999999</v>
      </c>
      <c r="K608" s="552"/>
    </row>
    <row r="609" spans="1:11" x14ac:dyDescent="0.3">
      <c r="A609" s="547" t="s">
        <v>433</v>
      </c>
      <c r="B609" s="548" t="s">
        <v>115</v>
      </c>
      <c r="C609" s="547" t="s">
        <v>840</v>
      </c>
      <c r="D609" s="547" t="s">
        <v>841</v>
      </c>
      <c r="E609" s="550">
        <v>2.0900300000000001</v>
      </c>
      <c r="F609" s="549" t="s">
        <v>830</v>
      </c>
      <c r="G609" s="693">
        <v>4.5</v>
      </c>
      <c r="H609" s="693"/>
      <c r="I609" s="688"/>
      <c r="J609" s="563">
        <v>9.4050999999999991</v>
      </c>
      <c r="K609" s="552"/>
    </row>
    <row r="610" spans="1:11" s="89" customFormat="1" x14ac:dyDescent="0.3">
      <c r="A610" s="547" t="s">
        <v>433</v>
      </c>
      <c r="B610" s="548" t="s">
        <v>115</v>
      </c>
      <c r="C610" s="547" t="s">
        <v>842</v>
      </c>
      <c r="D610" s="547" t="s">
        <v>843</v>
      </c>
      <c r="E610" s="550">
        <v>0.35937999999999998</v>
      </c>
      <c r="F610" s="549" t="s">
        <v>830</v>
      </c>
      <c r="G610" s="693">
        <v>14.931699999999999</v>
      </c>
      <c r="H610" s="693"/>
      <c r="I610" s="688"/>
      <c r="J610" s="563">
        <v>5.3662000000000001</v>
      </c>
      <c r="K610" s="546"/>
    </row>
    <row r="611" spans="1:11" ht="14.25" customHeight="1" x14ac:dyDescent="0.3">
      <c r="A611" s="689"/>
      <c r="B611" s="689"/>
      <c r="C611" s="689"/>
      <c r="D611" s="689"/>
      <c r="E611" s="689"/>
      <c r="F611" s="689" t="s">
        <v>813</v>
      </c>
      <c r="G611" s="689"/>
      <c r="H611" s="689"/>
      <c r="I611" s="689"/>
      <c r="J611" s="564">
        <v>36.026499999999999</v>
      </c>
      <c r="K611" s="552"/>
    </row>
    <row r="612" spans="1:11" s="89" customFormat="1" ht="15" customHeight="1" x14ac:dyDescent="0.3">
      <c r="A612" s="553" t="s">
        <v>573</v>
      </c>
      <c r="B612" s="554" t="s">
        <v>5</v>
      </c>
      <c r="C612" s="553" t="s">
        <v>4</v>
      </c>
      <c r="D612" s="553" t="s">
        <v>574</v>
      </c>
      <c r="E612" s="554" t="s">
        <v>463</v>
      </c>
      <c r="F612" s="554" t="s">
        <v>575</v>
      </c>
      <c r="G612" s="692" t="s">
        <v>576</v>
      </c>
      <c r="H612" s="692"/>
      <c r="I612" s="692"/>
      <c r="J612" s="554" t="s">
        <v>466</v>
      </c>
      <c r="K612" s="546"/>
    </row>
    <row r="613" spans="1:11" s="89" customFormat="1" ht="15" customHeight="1" x14ac:dyDescent="0.3">
      <c r="A613" s="547" t="s">
        <v>577</v>
      </c>
      <c r="B613" s="548" t="s">
        <v>19</v>
      </c>
      <c r="C613" s="547">
        <v>88241</v>
      </c>
      <c r="D613" s="547" t="s">
        <v>794</v>
      </c>
      <c r="E613" s="550">
        <v>0.7</v>
      </c>
      <c r="F613" s="549" t="s">
        <v>423</v>
      </c>
      <c r="G613" s="693">
        <v>24.15</v>
      </c>
      <c r="H613" s="693"/>
      <c r="I613" s="688"/>
      <c r="J613" s="563">
        <v>16.905000000000001</v>
      </c>
      <c r="K613" s="546"/>
    </row>
    <row r="614" spans="1:11" ht="15" customHeight="1" x14ac:dyDescent="0.3">
      <c r="A614" s="547" t="s">
        <v>577</v>
      </c>
      <c r="B614" s="548" t="s">
        <v>19</v>
      </c>
      <c r="C614" s="547">
        <v>88262</v>
      </c>
      <c r="D614" s="547" t="s">
        <v>621</v>
      </c>
      <c r="E614" s="550">
        <v>0.7</v>
      </c>
      <c r="F614" s="549" t="s">
        <v>423</v>
      </c>
      <c r="G614" s="693">
        <v>30.71</v>
      </c>
      <c r="H614" s="693"/>
      <c r="I614" s="688"/>
      <c r="J614" s="563">
        <v>21.497</v>
      </c>
      <c r="K614" s="552"/>
    </row>
    <row r="615" spans="1:11" ht="14.25" customHeight="1" x14ac:dyDescent="0.3">
      <c r="A615" s="689"/>
      <c r="B615" s="689"/>
      <c r="C615" s="689"/>
      <c r="D615" s="689"/>
      <c r="E615" s="689"/>
      <c r="F615" s="689" t="s">
        <v>578</v>
      </c>
      <c r="G615" s="689"/>
      <c r="H615" s="689"/>
      <c r="I615" s="689"/>
      <c r="J615" s="564">
        <v>38.402000000000001</v>
      </c>
      <c r="K615" s="552"/>
    </row>
    <row r="616" spans="1:11" ht="15" customHeight="1" x14ac:dyDescent="0.3">
      <c r="A616" s="553" t="s">
        <v>579</v>
      </c>
      <c r="B616" s="554" t="s">
        <v>5</v>
      </c>
      <c r="C616" s="553" t="s">
        <v>433</v>
      </c>
      <c r="D616" s="553" t="s">
        <v>580</v>
      </c>
      <c r="E616" s="554" t="s">
        <v>4</v>
      </c>
      <c r="F616" s="554" t="s">
        <v>463</v>
      </c>
      <c r="G616" s="555" t="s">
        <v>575</v>
      </c>
      <c r="H616" s="692" t="s">
        <v>576</v>
      </c>
      <c r="I616" s="692"/>
      <c r="J616" s="554" t="s">
        <v>466</v>
      </c>
      <c r="K616" s="552"/>
    </row>
    <row r="617" spans="1:11" ht="14.25" customHeight="1" x14ac:dyDescent="0.3">
      <c r="A617" s="547" t="s">
        <v>581</v>
      </c>
      <c r="B617" s="548" t="s">
        <v>115</v>
      </c>
      <c r="C617" s="547" t="s">
        <v>828</v>
      </c>
      <c r="D617" s="547" t="s">
        <v>844</v>
      </c>
      <c r="E617" s="548">
        <v>5914655</v>
      </c>
      <c r="F617" s="550">
        <v>2.5300000000000001E-3</v>
      </c>
      <c r="G617" s="549" t="s">
        <v>584</v>
      </c>
      <c r="H617" s="693">
        <v>33.159999999999997</v>
      </c>
      <c r="I617" s="688"/>
      <c r="J617" s="563">
        <v>8.3900000000000002E-2</v>
      </c>
      <c r="K617" s="552"/>
    </row>
    <row r="618" spans="1:11" ht="15" customHeight="1" x14ac:dyDescent="0.3">
      <c r="A618" s="547" t="s">
        <v>581</v>
      </c>
      <c r="B618" s="548" t="s">
        <v>115</v>
      </c>
      <c r="C618" s="547" t="s">
        <v>831</v>
      </c>
      <c r="D618" s="547" t="s">
        <v>844</v>
      </c>
      <c r="E618" s="548">
        <v>5914655</v>
      </c>
      <c r="F618" s="550">
        <v>4.0400000000000002E-3</v>
      </c>
      <c r="G618" s="549" t="s">
        <v>584</v>
      </c>
      <c r="H618" s="693">
        <v>33.159999999999997</v>
      </c>
      <c r="I618" s="688"/>
      <c r="J618" s="563">
        <v>0.13400000000000001</v>
      </c>
      <c r="K618" s="552"/>
    </row>
    <row r="619" spans="1:11" ht="25" x14ac:dyDescent="0.3">
      <c r="A619" s="547" t="s">
        <v>581</v>
      </c>
      <c r="B619" s="548" t="s">
        <v>115</v>
      </c>
      <c r="C619" s="547" t="s">
        <v>833</v>
      </c>
      <c r="D619" s="547" t="s">
        <v>844</v>
      </c>
      <c r="E619" s="548">
        <v>5914655</v>
      </c>
      <c r="F619" s="550">
        <v>2.0000000000000002E-5</v>
      </c>
      <c r="G619" s="549" t="s">
        <v>584</v>
      </c>
      <c r="H619" s="693">
        <v>33.159999999999997</v>
      </c>
      <c r="I619" s="688"/>
      <c r="J619" s="563">
        <v>6.9999999999999999E-4</v>
      </c>
      <c r="K619" s="552"/>
    </row>
    <row r="620" spans="1:11" ht="25" x14ac:dyDescent="0.3">
      <c r="A620" s="547" t="s">
        <v>581</v>
      </c>
      <c r="B620" s="548" t="s">
        <v>115</v>
      </c>
      <c r="C620" s="547" t="s">
        <v>836</v>
      </c>
      <c r="D620" s="547" t="s">
        <v>844</v>
      </c>
      <c r="E620" s="548">
        <v>5914655</v>
      </c>
      <c r="F620" s="550">
        <v>3.6999999999999999E-4</v>
      </c>
      <c r="G620" s="549" t="s">
        <v>584</v>
      </c>
      <c r="H620" s="693">
        <v>33.159999999999997</v>
      </c>
      <c r="I620" s="688"/>
      <c r="J620" s="563">
        <v>1.23E-2</v>
      </c>
      <c r="K620" s="552"/>
    </row>
    <row r="621" spans="1:11" ht="25" x14ac:dyDescent="0.3">
      <c r="A621" s="547" t="s">
        <v>581</v>
      </c>
      <c r="B621" s="548" t="s">
        <v>115</v>
      </c>
      <c r="C621" s="547" t="s">
        <v>838</v>
      </c>
      <c r="D621" s="547" t="s">
        <v>844</v>
      </c>
      <c r="E621" s="548">
        <v>5914655</v>
      </c>
      <c r="F621" s="550">
        <v>2.0000000000000001E-4</v>
      </c>
      <c r="G621" s="549" t="s">
        <v>584</v>
      </c>
      <c r="H621" s="693">
        <v>33.159999999999997</v>
      </c>
      <c r="I621" s="688"/>
      <c r="J621" s="563">
        <v>6.6E-3</v>
      </c>
      <c r="K621" s="552"/>
    </row>
    <row r="622" spans="1:11" ht="25" x14ac:dyDescent="0.3">
      <c r="A622" s="547" t="s">
        <v>581</v>
      </c>
      <c r="B622" s="548" t="s">
        <v>115</v>
      </c>
      <c r="C622" s="547" t="s">
        <v>840</v>
      </c>
      <c r="D622" s="547" t="s">
        <v>844</v>
      </c>
      <c r="E622" s="548">
        <v>5914655</v>
      </c>
      <c r="F622" s="550">
        <v>5.2300000000000003E-3</v>
      </c>
      <c r="G622" s="549" t="s">
        <v>584</v>
      </c>
      <c r="H622" s="693">
        <v>33.159999999999997</v>
      </c>
      <c r="I622" s="688"/>
      <c r="J622" s="563">
        <v>0.1734</v>
      </c>
      <c r="K622" s="552"/>
    </row>
    <row r="623" spans="1:11" ht="25" x14ac:dyDescent="0.3">
      <c r="A623" s="547" t="s">
        <v>581</v>
      </c>
      <c r="B623" s="548" t="s">
        <v>115</v>
      </c>
      <c r="C623" s="547" t="s">
        <v>842</v>
      </c>
      <c r="D623" s="547" t="s">
        <v>844</v>
      </c>
      <c r="E623" s="548">
        <v>5914655</v>
      </c>
      <c r="F623" s="550">
        <v>2.7000000000000001E-3</v>
      </c>
      <c r="G623" s="549" t="s">
        <v>584</v>
      </c>
      <c r="H623" s="693">
        <v>33.159999999999997</v>
      </c>
      <c r="I623" s="688"/>
      <c r="J623" s="563">
        <v>8.9499999999999996E-2</v>
      </c>
      <c r="K623" s="552"/>
    </row>
    <row r="624" spans="1:11" s="89" customFormat="1" ht="15" customHeight="1" x14ac:dyDescent="0.3">
      <c r="A624" s="689"/>
      <c r="B624" s="689"/>
      <c r="C624" s="689"/>
      <c r="D624" s="689"/>
      <c r="E624" s="689"/>
      <c r="F624" s="689" t="s">
        <v>585</v>
      </c>
      <c r="G624" s="689"/>
      <c r="H624" s="689"/>
      <c r="I624" s="689"/>
      <c r="J624" s="564">
        <v>0.50039999999999996</v>
      </c>
      <c r="K624" s="546"/>
    </row>
    <row r="625" spans="1:11" ht="15" customHeight="1" x14ac:dyDescent="0.3">
      <c r="A625" s="553" t="s">
        <v>586</v>
      </c>
      <c r="B625" s="554" t="s">
        <v>5</v>
      </c>
      <c r="C625" s="553" t="s">
        <v>433</v>
      </c>
      <c r="D625" s="553" t="s">
        <v>587</v>
      </c>
      <c r="E625" s="554" t="s">
        <v>463</v>
      </c>
      <c r="F625" s="554" t="s">
        <v>575</v>
      </c>
      <c r="G625" s="694" t="s">
        <v>588</v>
      </c>
      <c r="H625" s="692"/>
      <c r="I625" s="692"/>
      <c r="J625" s="554" t="s">
        <v>466</v>
      </c>
      <c r="K625" s="552"/>
    </row>
    <row r="626" spans="1:11" ht="14.25" customHeight="1" x14ac:dyDescent="0.3">
      <c r="A626" s="555"/>
      <c r="B626" s="555"/>
      <c r="C626" s="555"/>
      <c r="D626" s="555"/>
      <c r="E626" s="555"/>
      <c r="F626" s="555"/>
      <c r="G626" s="555" t="s">
        <v>589</v>
      </c>
      <c r="H626" s="555" t="s">
        <v>590</v>
      </c>
      <c r="I626" s="555" t="s">
        <v>591</v>
      </c>
      <c r="J626" s="555"/>
      <c r="K626" s="552"/>
    </row>
    <row r="627" spans="1:11" ht="15" customHeight="1" x14ac:dyDescent="0.3">
      <c r="A627" s="547" t="s">
        <v>587</v>
      </c>
      <c r="B627" s="548" t="s">
        <v>115</v>
      </c>
      <c r="C627" s="547" t="s">
        <v>828</v>
      </c>
      <c r="D627" s="547" t="s">
        <v>845</v>
      </c>
      <c r="E627" s="550">
        <v>2.5300000000000001E-3</v>
      </c>
      <c r="F627" s="549" t="s">
        <v>593</v>
      </c>
      <c r="G627" s="548" t="s">
        <v>3846</v>
      </c>
      <c r="H627" s="548" t="s">
        <v>3847</v>
      </c>
      <c r="I627" s="548" t="s">
        <v>3848</v>
      </c>
      <c r="J627" s="563">
        <v>0</v>
      </c>
      <c r="K627" s="552"/>
    </row>
    <row r="628" spans="1:11" s="89" customFormat="1" ht="37.5" x14ac:dyDescent="0.3">
      <c r="A628" s="547" t="s">
        <v>587</v>
      </c>
      <c r="B628" s="548" t="s">
        <v>115</v>
      </c>
      <c r="C628" s="547" t="s">
        <v>831</v>
      </c>
      <c r="D628" s="547" t="s">
        <v>846</v>
      </c>
      <c r="E628" s="550">
        <v>4.0400000000000002E-3</v>
      </c>
      <c r="F628" s="549" t="s">
        <v>593</v>
      </c>
      <c r="G628" s="548" t="s">
        <v>3846</v>
      </c>
      <c r="H628" s="548" t="s">
        <v>3847</v>
      </c>
      <c r="I628" s="548" t="s">
        <v>3848</v>
      </c>
      <c r="J628" s="563">
        <v>0</v>
      </c>
      <c r="K628" s="546"/>
    </row>
    <row r="629" spans="1:11" ht="37.5" x14ac:dyDescent="0.3">
      <c r="A629" s="547" t="s">
        <v>587</v>
      </c>
      <c r="B629" s="548" t="s">
        <v>115</v>
      </c>
      <c r="C629" s="547" t="s">
        <v>833</v>
      </c>
      <c r="D629" s="547" t="s">
        <v>847</v>
      </c>
      <c r="E629" s="550">
        <v>2.0000000000000002E-5</v>
      </c>
      <c r="F629" s="549" t="s">
        <v>593</v>
      </c>
      <c r="G629" s="548" t="s">
        <v>3846</v>
      </c>
      <c r="H629" s="548" t="s">
        <v>3847</v>
      </c>
      <c r="I629" s="548" t="s">
        <v>3848</v>
      </c>
      <c r="J629" s="563">
        <v>0</v>
      </c>
      <c r="K629" s="552"/>
    </row>
    <row r="630" spans="1:11" s="89" customFormat="1" ht="37.5" x14ac:dyDescent="0.3">
      <c r="A630" s="547" t="s">
        <v>587</v>
      </c>
      <c r="B630" s="548" t="s">
        <v>115</v>
      </c>
      <c r="C630" s="547" t="s">
        <v>836</v>
      </c>
      <c r="D630" s="547" t="s">
        <v>848</v>
      </c>
      <c r="E630" s="550">
        <v>3.6999999999999999E-4</v>
      </c>
      <c r="F630" s="549" t="s">
        <v>593</v>
      </c>
      <c r="G630" s="548" t="s">
        <v>3846</v>
      </c>
      <c r="H630" s="548" t="s">
        <v>3847</v>
      </c>
      <c r="I630" s="548" t="s">
        <v>3848</v>
      </c>
      <c r="J630" s="563">
        <v>0</v>
      </c>
      <c r="K630" s="546"/>
    </row>
    <row r="631" spans="1:11" ht="37.5" x14ac:dyDescent="0.3">
      <c r="A631" s="547" t="s">
        <v>587</v>
      </c>
      <c r="B631" s="548" t="s">
        <v>115</v>
      </c>
      <c r="C631" s="547" t="s">
        <v>838</v>
      </c>
      <c r="D631" s="547" t="s">
        <v>849</v>
      </c>
      <c r="E631" s="550">
        <v>2.0000000000000001E-4</v>
      </c>
      <c r="F631" s="549" t="s">
        <v>593</v>
      </c>
      <c r="G631" s="548" t="s">
        <v>3846</v>
      </c>
      <c r="H631" s="548" t="s">
        <v>3847</v>
      </c>
      <c r="I631" s="548" t="s">
        <v>3848</v>
      </c>
      <c r="J631" s="563">
        <v>0</v>
      </c>
      <c r="K631" s="552"/>
    </row>
    <row r="632" spans="1:11" ht="37.5" x14ac:dyDescent="0.3">
      <c r="A632" s="547" t="s">
        <v>587</v>
      </c>
      <c r="B632" s="548" t="s">
        <v>115</v>
      </c>
      <c r="C632" s="547" t="s">
        <v>840</v>
      </c>
      <c r="D632" s="547" t="s">
        <v>850</v>
      </c>
      <c r="E632" s="550">
        <v>5.2300000000000003E-3</v>
      </c>
      <c r="F632" s="549" t="s">
        <v>593</v>
      </c>
      <c r="G632" s="548" t="s">
        <v>3846</v>
      </c>
      <c r="H632" s="548" t="s">
        <v>3847</v>
      </c>
      <c r="I632" s="548" t="s">
        <v>3848</v>
      </c>
      <c r="J632" s="563">
        <v>0</v>
      </c>
      <c r="K632" s="552"/>
    </row>
    <row r="633" spans="1:11" ht="37.5" x14ac:dyDescent="0.3">
      <c r="A633" s="547" t="s">
        <v>587</v>
      </c>
      <c r="B633" s="548" t="s">
        <v>115</v>
      </c>
      <c r="C633" s="547" t="s">
        <v>842</v>
      </c>
      <c r="D633" s="547" t="s">
        <v>851</v>
      </c>
      <c r="E633" s="550">
        <v>2.7000000000000001E-3</v>
      </c>
      <c r="F633" s="549" t="s">
        <v>593</v>
      </c>
      <c r="G633" s="548" t="s">
        <v>3846</v>
      </c>
      <c r="H633" s="548" t="s">
        <v>3847</v>
      </c>
      <c r="I633" s="548" t="s">
        <v>3848</v>
      </c>
      <c r="J633" s="563">
        <v>0</v>
      </c>
      <c r="K633" s="552"/>
    </row>
    <row r="634" spans="1:11" ht="15" customHeight="1" thickBot="1" x14ac:dyDescent="0.35">
      <c r="A634" s="689"/>
      <c r="B634" s="689"/>
      <c r="C634" s="689"/>
      <c r="D634" s="689"/>
      <c r="E634" s="689"/>
      <c r="F634" s="689" t="s">
        <v>594</v>
      </c>
      <c r="G634" s="689"/>
      <c r="H634" s="689"/>
      <c r="I634" s="689"/>
      <c r="J634" s="564">
        <v>0</v>
      </c>
      <c r="K634" s="552"/>
    </row>
    <row r="635" spans="1:11" ht="14.5" thickTop="1" x14ac:dyDescent="0.3">
      <c r="A635" s="562"/>
      <c r="B635" s="562"/>
      <c r="C635" s="562"/>
      <c r="D635" s="562"/>
      <c r="E635" s="562"/>
      <c r="F635" s="562"/>
      <c r="G635" s="562"/>
      <c r="H635" s="562"/>
      <c r="I635" s="562"/>
      <c r="J635" s="562"/>
      <c r="K635" s="552"/>
    </row>
    <row r="636" spans="1:11" s="89" customFormat="1" ht="15.75" customHeight="1" x14ac:dyDescent="0.3">
      <c r="A636" s="553"/>
      <c r="B636" s="554" t="s">
        <v>4</v>
      </c>
      <c r="C636" s="553" t="s">
        <v>5</v>
      </c>
      <c r="D636" s="553" t="s">
        <v>6</v>
      </c>
      <c r="E636" s="691" t="s">
        <v>427</v>
      </c>
      <c r="F636" s="691"/>
      <c r="G636" s="555" t="s">
        <v>7</v>
      </c>
      <c r="H636" s="554" t="s">
        <v>8</v>
      </c>
      <c r="I636" s="554" t="s">
        <v>9</v>
      </c>
      <c r="J636" s="554" t="s">
        <v>11</v>
      </c>
      <c r="K636" s="546"/>
    </row>
    <row r="637" spans="1:11" ht="25" x14ac:dyDescent="0.3">
      <c r="A637" s="607" t="s">
        <v>428</v>
      </c>
      <c r="B637" s="608" t="s">
        <v>165</v>
      </c>
      <c r="C637" s="607" t="s">
        <v>19</v>
      </c>
      <c r="D637" s="607" t="s">
        <v>166</v>
      </c>
      <c r="E637" s="690" t="s">
        <v>619</v>
      </c>
      <c r="F637" s="690"/>
      <c r="G637" s="609" t="s">
        <v>532</v>
      </c>
      <c r="H637" s="610">
        <v>1</v>
      </c>
      <c r="I637" s="611">
        <v>326.63</v>
      </c>
      <c r="J637" s="611">
        <v>326.63</v>
      </c>
      <c r="K637" s="552"/>
    </row>
    <row r="638" spans="1:11" s="89" customFormat="1" ht="15" customHeight="1" x14ac:dyDescent="0.3">
      <c r="A638" s="547" t="s">
        <v>430</v>
      </c>
      <c r="B638" s="548" t="s">
        <v>620</v>
      </c>
      <c r="C638" s="547" t="s">
        <v>19</v>
      </c>
      <c r="D638" s="547" t="s">
        <v>621</v>
      </c>
      <c r="E638" s="688" t="s">
        <v>429</v>
      </c>
      <c r="F638" s="688"/>
      <c r="G638" s="549" t="s">
        <v>423</v>
      </c>
      <c r="H638" s="550">
        <v>2.4590000000000001</v>
      </c>
      <c r="I638" s="551">
        <v>30.71</v>
      </c>
      <c r="J638" s="551">
        <v>75.510000000000005</v>
      </c>
      <c r="K638" s="546"/>
    </row>
    <row r="639" spans="1:11" s="89" customFormat="1" ht="15" customHeight="1" x14ac:dyDescent="0.3">
      <c r="A639" s="547" t="s">
        <v>430</v>
      </c>
      <c r="B639" s="548" t="s">
        <v>760</v>
      </c>
      <c r="C639" s="547" t="s">
        <v>19</v>
      </c>
      <c r="D639" s="547" t="s">
        <v>761</v>
      </c>
      <c r="E639" s="688" t="s">
        <v>429</v>
      </c>
      <c r="F639" s="688"/>
      <c r="G639" s="549" t="s">
        <v>423</v>
      </c>
      <c r="H639" s="550">
        <v>2.4590000000000001</v>
      </c>
      <c r="I639" s="551">
        <v>31.1</v>
      </c>
      <c r="J639" s="551">
        <v>76.47</v>
      </c>
      <c r="K639" s="546"/>
    </row>
    <row r="640" spans="1:11" ht="14.25" customHeight="1" x14ac:dyDescent="0.3">
      <c r="A640" s="547" t="s">
        <v>430</v>
      </c>
      <c r="B640" s="548" t="s">
        <v>559</v>
      </c>
      <c r="C640" s="547" t="s">
        <v>19</v>
      </c>
      <c r="D640" s="547" t="s">
        <v>560</v>
      </c>
      <c r="E640" s="688" t="s">
        <v>429</v>
      </c>
      <c r="F640" s="688"/>
      <c r="G640" s="549" t="s">
        <v>423</v>
      </c>
      <c r="H640" s="550">
        <v>7.3769999999999998</v>
      </c>
      <c r="I640" s="551">
        <v>23.4</v>
      </c>
      <c r="J640" s="551">
        <v>172.62</v>
      </c>
      <c r="K640" s="552"/>
    </row>
    <row r="641" spans="1:11" ht="14.25" customHeight="1" x14ac:dyDescent="0.3">
      <c r="A641" s="547" t="s">
        <v>430</v>
      </c>
      <c r="B641" s="548" t="s">
        <v>852</v>
      </c>
      <c r="C641" s="547" t="s">
        <v>19</v>
      </c>
      <c r="D641" s="547" t="s">
        <v>853</v>
      </c>
      <c r="E641" s="688" t="s">
        <v>461</v>
      </c>
      <c r="F641" s="688"/>
      <c r="G641" s="549" t="s">
        <v>95</v>
      </c>
      <c r="H641" s="550">
        <v>1.042</v>
      </c>
      <c r="I641" s="551">
        <v>1.23</v>
      </c>
      <c r="J641" s="551">
        <v>1.28</v>
      </c>
      <c r="K641" s="552"/>
    </row>
    <row r="642" spans="1:11" ht="14.25" customHeight="1" thickBot="1" x14ac:dyDescent="0.35">
      <c r="A642" s="547" t="s">
        <v>430</v>
      </c>
      <c r="B642" s="548" t="s">
        <v>854</v>
      </c>
      <c r="C642" s="547" t="s">
        <v>19</v>
      </c>
      <c r="D642" s="547" t="s">
        <v>855</v>
      </c>
      <c r="E642" s="688" t="s">
        <v>461</v>
      </c>
      <c r="F642" s="688"/>
      <c r="G642" s="549" t="s">
        <v>102</v>
      </c>
      <c r="H642" s="550">
        <v>1.417</v>
      </c>
      <c r="I642" s="551">
        <v>0.53</v>
      </c>
      <c r="J642" s="551">
        <v>0.75</v>
      </c>
      <c r="K642" s="552"/>
    </row>
    <row r="643" spans="1:11" ht="25.5" customHeight="1" thickTop="1" x14ac:dyDescent="0.3">
      <c r="A643" s="562"/>
      <c r="B643" s="562"/>
      <c r="C643" s="562"/>
      <c r="D643" s="562"/>
      <c r="E643" s="562"/>
      <c r="F643" s="562"/>
      <c r="G643" s="562"/>
      <c r="H643" s="562"/>
      <c r="I643" s="562"/>
      <c r="J643" s="562"/>
      <c r="K643" s="552"/>
    </row>
    <row r="644" spans="1:11" s="89" customFormat="1" ht="26.25" customHeight="1" x14ac:dyDescent="0.3">
      <c r="A644" s="553"/>
      <c r="B644" s="554" t="s">
        <v>4</v>
      </c>
      <c r="C644" s="553" t="s">
        <v>5</v>
      </c>
      <c r="D644" s="553" t="s">
        <v>6</v>
      </c>
      <c r="E644" s="691" t="s">
        <v>427</v>
      </c>
      <c r="F644" s="691"/>
      <c r="G644" s="555" t="s">
        <v>7</v>
      </c>
      <c r="H644" s="554" t="s">
        <v>8</v>
      </c>
      <c r="I644" s="554" t="s">
        <v>9</v>
      </c>
      <c r="J644" s="554" t="s">
        <v>11</v>
      </c>
      <c r="K644" s="546"/>
    </row>
    <row r="645" spans="1:11" ht="14.25" customHeight="1" x14ac:dyDescent="0.3">
      <c r="A645" s="607" t="s">
        <v>428</v>
      </c>
      <c r="B645" s="608" t="s">
        <v>171</v>
      </c>
      <c r="C645" s="607" t="s">
        <v>19</v>
      </c>
      <c r="D645" s="607" t="s">
        <v>3849</v>
      </c>
      <c r="E645" s="690" t="s">
        <v>856</v>
      </c>
      <c r="F645" s="690"/>
      <c r="G645" s="609" t="s">
        <v>173</v>
      </c>
      <c r="H645" s="610">
        <v>1</v>
      </c>
      <c r="I645" s="611">
        <v>9.66</v>
      </c>
      <c r="J645" s="611">
        <v>9.66</v>
      </c>
      <c r="K645" s="552"/>
    </row>
    <row r="646" spans="1:11" s="89" customFormat="1" ht="15" customHeight="1" x14ac:dyDescent="0.3">
      <c r="A646" s="547" t="s">
        <v>430</v>
      </c>
      <c r="B646" s="548" t="s">
        <v>629</v>
      </c>
      <c r="C646" s="547" t="s">
        <v>19</v>
      </c>
      <c r="D646" s="547" t="s">
        <v>630</v>
      </c>
      <c r="E646" s="688" t="s">
        <v>429</v>
      </c>
      <c r="F646" s="688"/>
      <c r="G646" s="549" t="s">
        <v>423</v>
      </c>
      <c r="H646" s="550">
        <v>0.11840000000000001</v>
      </c>
      <c r="I646" s="551">
        <v>24.12</v>
      </c>
      <c r="J646" s="551">
        <v>2.85</v>
      </c>
      <c r="K646" s="546"/>
    </row>
    <row r="647" spans="1:11" s="89" customFormat="1" ht="15" customHeight="1" x14ac:dyDescent="0.3">
      <c r="A647" s="547" t="s">
        <v>430</v>
      </c>
      <c r="B647" s="548" t="s">
        <v>620</v>
      </c>
      <c r="C647" s="547" t="s">
        <v>19</v>
      </c>
      <c r="D647" s="547" t="s">
        <v>621</v>
      </c>
      <c r="E647" s="688" t="s">
        <v>429</v>
      </c>
      <c r="F647" s="688"/>
      <c r="G647" s="549" t="s">
        <v>423</v>
      </c>
      <c r="H647" s="550">
        <v>0.11840000000000001</v>
      </c>
      <c r="I647" s="551">
        <v>30.71</v>
      </c>
      <c r="J647" s="551">
        <v>3.63</v>
      </c>
      <c r="K647" s="546"/>
    </row>
    <row r="648" spans="1:11" ht="25.5" customHeight="1" x14ac:dyDescent="0.3">
      <c r="A648" s="547" t="s">
        <v>430</v>
      </c>
      <c r="B648" s="548" t="s">
        <v>631</v>
      </c>
      <c r="C648" s="547" t="s">
        <v>19</v>
      </c>
      <c r="D648" s="547" t="s">
        <v>632</v>
      </c>
      <c r="E648" s="688" t="s">
        <v>461</v>
      </c>
      <c r="F648" s="688"/>
      <c r="G648" s="549" t="s">
        <v>95</v>
      </c>
      <c r="H648" s="550">
        <v>5.0000000000000001E-4</v>
      </c>
      <c r="I648" s="551">
        <v>26.94</v>
      </c>
      <c r="J648" s="551">
        <v>0.01</v>
      </c>
      <c r="K648" s="552"/>
    </row>
    <row r="649" spans="1:11" ht="25.5" customHeight="1" x14ac:dyDescent="0.3">
      <c r="A649" s="547" t="s">
        <v>430</v>
      </c>
      <c r="B649" s="548" t="s">
        <v>633</v>
      </c>
      <c r="C649" s="547" t="s">
        <v>19</v>
      </c>
      <c r="D649" s="547" t="s">
        <v>634</v>
      </c>
      <c r="E649" s="688" t="s">
        <v>461</v>
      </c>
      <c r="F649" s="688"/>
      <c r="G649" s="549" t="s">
        <v>102</v>
      </c>
      <c r="H649" s="550">
        <v>2.0999999999999999E-3</v>
      </c>
      <c r="I649" s="551">
        <v>25.9</v>
      </c>
      <c r="J649" s="551">
        <v>0.05</v>
      </c>
      <c r="K649" s="552"/>
    </row>
    <row r="650" spans="1:11" s="89" customFormat="1" ht="25" x14ac:dyDescent="0.3">
      <c r="A650" s="547" t="s">
        <v>430</v>
      </c>
      <c r="B650" s="548" t="s">
        <v>313</v>
      </c>
      <c r="C650" s="547" t="s">
        <v>19</v>
      </c>
      <c r="D650" s="547" t="s">
        <v>3818</v>
      </c>
      <c r="E650" s="688" t="s">
        <v>619</v>
      </c>
      <c r="F650" s="688"/>
      <c r="G650" s="549" t="s">
        <v>532</v>
      </c>
      <c r="H650" s="550">
        <v>5.0000000000000001E-4</v>
      </c>
      <c r="I650" s="551">
        <v>3512.27</v>
      </c>
      <c r="J650" s="551">
        <v>1.75</v>
      </c>
      <c r="K650" s="546"/>
    </row>
    <row r="651" spans="1:11" s="89" customFormat="1" ht="37.5" x14ac:dyDescent="0.3">
      <c r="A651" s="547" t="s">
        <v>433</v>
      </c>
      <c r="B651" s="548" t="s">
        <v>628</v>
      </c>
      <c r="C651" s="547" t="s">
        <v>19</v>
      </c>
      <c r="D651" s="547" t="s">
        <v>3514</v>
      </c>
      <c r="E651" s="688" t="s">
        <v>438</v>
      </c>
      <c r="F651" s="688"/>
      <c r="G651" s="549" t="s">
        <v>173</v>
      </c>
      <c r="H651" s="550">
        <v>4.1300000000000003E-2</v>
      </c>
      <c r="I651" s="551">
        <v>7.05</v>
      </c>
      <c r="J651" s="551">
        <v>0.28999999999999998</v>
      </c>
      <c r="K651" s="546"/>
    </row>
    <row r="652" spans="1:11" ht="14.25" customHeight="1" x14ac:dyDescent="0.3">
      <c r="A652" s="547" t="s">
        <v>433</v>
      </c>
      <c r="B652" s="548" t="s">
        <v>638</v>
      </c>
      <c r="C652" s="547" t="s">
        <v>19</v>
      </c>
      <c r="D652" s="547" t="s">
        <v>3516</v>
      </c>
      <c r="E652" s="688" t="s">
        <v>438</v>
      </c>
      <c r="F652" s="688"/>
      <c r="G652" s="549" t="s">
        <v>173</v>
      </c>
      <c r="H652" s="550">
        <v>4.1300000000000003E-2</v>
      </c>
      <c r="I652" s="551">
        <v>25.36</v>
      </c>
      <c r="J652" s="551">
        <v>1.04</v>
      </c>
      <c r="K652" s="552"/>
    </row>
    <row r="653" spans="1:11" x14ac:dyDescent="0.3">
      <c r="A653" s="547" t="s">
        <v>433</v>
      </c>
      <c r="B653" s="548" t="s">
        <v>918</v>
      </c>
      <c r="C653" s="547" t="s">
        <v>19</v>
      </c>
      <c r="D653" s="547" t="s">
        <v>919</v>
      </c>
      <c r="E653" s="688" t="s">
        <v>438</v>
      </c>
      <c r="F653" s="688"/>
      <c r="G653" s="549" t="s">
        <v>424</v>
      </c>
      <c r="H653" s="550">
        <v>6.9999999999999999E-4</v>
      </c>
      <c r="I653" s="551">
        <v>19.84</v>
      </c>
      <c r="J653" s="551">
        <v>0.01</v>
      </c>
      <c r="K653" s="552"/>
    </row>
    <row r="654" spans="1:11" ht="14.5" thickBot="1" x14ac:dyDescent="0.35">
      <c r="A654" s="547" t="s">
        <v>433</v>
      </c>
      <c r="B654" s="548" t="s">
        <v>1236</v>
      </c>
      <c r="C654" s="547" t="s">
        <v>19</v>
      </c>
      <c r="D654" s="547" t="s">
        <v>1237</v>
      </c>
      <c r="E654" s="688" t="s">
        <v>438</v>
      </c>
      <c r="F654" s="688"/>
      <c r="G654" s="549" t="s">
        <v>906</v>
      </c>
      <c r="H654" s="550">
        <v>1.1000000000000001E-3</v>
      </c>
      <c r="I654" s="551">
        <v>31.77</v>
      </c>
      <c r="J654" s="551">
        <v>0.03</v>
      </c>
      <c r="K654" s="552"/>
    </row>
    <row r="655" spans="1:11" ht="14.5" thickTop="1" x14ac:dyDescent="0.3">
      <c r="A655" s="562"/>
      <c r="B655" s="562"/>
      <c r="C655" s="562"/>
      <c r="D655" s="562"/>
      <c r="E655" s="562"/>
      <c r="F655" s="562"/>
      <c r="G655" s="562"/>
      <c r="H655" s="562"/>
      <c r="I655" s="562"/>
      <c r="J655" s="562"/>
      <c r="K655" s="552"/>
    </row>
    <row r="656" spans="1:11" s="89" customFormat="1" x14ac:dyDescent="0.3">
      <c r="A656" s="553"/>
      <c r="B656" s="554" t="s">
        <v>4</v>
      </c>
      <c r="C656" s="553" t="s">
        <v>5</v>
      </c>
      <c r="D656" s="553" t="s">
        <v>6</v>
      </c>
      <c r="E656" s="691" t="s">
        <v>427</v>
      </c>
      <c r="F656" s="691"/>
      <c r="G656" s="555" t="s">
        <v>7</v>
      </c>
      <c r="H656" s="554" t="s">
        <v>8</v>
      </c>
      <c r="I656" s="554" t="s">
        <v>9</v>
      </c>
      <c r="J656" s="554" t="s">
        <v>11</v>
      </c>
      <c r="K656" s="546"/>
    </row>
    <row r="657" spans="1:11" ht="25" x14ac:dyDescent="0.3">
      <c r="A657" s="607" t="s">
        <v>428</v>
      </c>
      <c r="B657" s="608" t="s">
        <v>174</v>
      </c>
      <c r="C657" s="607" t="s">
        <v>175</v>
      </c>
      <c r="D657" s="607" t="s">
        <v>176</v>
      </c>
      <c r="E657" s="690" t="s">
        <v>402</v>
      </c>
      <c r="F657" s="690"/>
      <c r="G657" s="609" t="s">
        <v>556</v>
      </c>
      <c r="H657" s="610">
        <v>1</v>
      </c>
      <c r="I657" s="611">
        <v>17.21</v>
      </c>
      <c r="J657" s="611">
        <v>17.21</v>
      </c>
      <c r="K657" s="552"/>
    </row>
    <row r="658" spans="1:11" s="89" customFormat="1" ht="15" customHeight="1" x14ac:dyDescent="0.3">
      <c r="A658" s="547" t="s">
        <v>430</v>
      </c>
      <c r="B658" s="548" t="s">
        <v>620</v>
      </c>
      <c r="C658" s="547" t="s">
        <v>19</v>
      </c>
      <c r="D658" s="547" t="s">
        <v>621</v>
      </c>
      <c r="E658" s="688" t="s">
        <v>429</v>
      </c>
      <c r="F658" s="688"/>
      <c r="G658" s="549" t="s">
        <v>423</v>
      </c>
      <c r="H658" s="550">
        <v>0.12</v>
      </c>
      <c r="I658" s="551">
        <v>30.71</v>
      </c>
      <c r="J658" s="551">
        <v>3.68</v>
      </c>
      <c r="K658" s="546"/>
    </row>
    <row r="659" spans="1:11" ht="14.25" customHeight="1" x14ac:dyDescent="0.3">
      <c r="A659" s="547" t="s">
        <v>430</v>
      </c>
      <c r="B659" s="548" t="s">
        <v>559</v>
      </c>
      <c r="C659" s="547" t="s">
        <v>19</v>
      </c>
      <c r="D659" s="547" t="s">
        <v>560</v>
      </c>
      <c r="E659" s="688" t="s">
        <v>429</v>
      </c>
      <c r="F659" s="688"/>
      <c r="G659" s="549" t="s">
        <v>423</v>
      </c>
      <c r="H659" s="550">
        <v>0.12</v>
      </c>
      <c r="I659" s="551">
        <v>23.4</v>
      </c>
      <c r="J659" s="551">
        <v>2.8</v>
      </c>
      <c r="K659" s="552"/>
    </row>
    <row r="660" spans="1:11" ht="14.25" customHeight="1" x14ac:dyDescent="0.3">
      <c r="A660" s="547" t="s">
        <v>433</v>
      </c>
      <c r="B660" s="548" t="s">
        <v>857</v>
      </c>
      <c r="C660" s="547" t="s">
        <v>19</v>
      </c>
      <c r="D660" s="547" t="s">
        <v>858</v>
      </c>
      <c r="E660" s="688" t="s">
        <v>438</v>
      </c>
      <c r="F660" s="688"/>
      <c r="G660" s="549" t="s">
        <v>532</v>
      </c>
      <c r="H660" s="550">
        <v>6.0000000000000001E-3</v>
      </c>
      <c r="I660" s="551">
        <v>1751.07</v>
      </c>
      <c r="J660" s="551">
        <v>10.5</v>
      </c>
      <c r="K660" s="552"/>
    </row>
    <row r="661" spans="1:11" ht="14.5" thickBot="1" x14ac:dyDescent="0.35">
      <c r="A661" s="547" t="s">
        <v>433</v>
      </c>
      <c r="B661" s="548" t="s">
        <v>639</v>
      </c>
      <c r="C661" s="547" t="s">
        <v>19</v>
      </c>
      <c r="D661" s="547" t="s">
        <v>640</v>
      </c>
      <c r="E661" s="688" t="s">
        <v>438</v>
      </c>
      <c r="F661" s="688"/>
      <c r="G661" s="549" t="s">
        <v>424</v>
      </c>
      <c r="H661" s="550">
        <v>1.2E-2</v>
      </c>
      <c r="I661" s="551">
        <v>19.5</v>
      </c>
      <c r="J661" s="551">
        <v>0.23</v>
      </c>
      <c r="K661" s="552"/>
    </row>
    <row r="662" spans="1:11" ht="14.5" thickTop="1" x14ac:dyDescent="0.3">
      <c r="A662" s="562"/>
      <c r="B662" s="562"/>
      <c r="C662" s="562"/>
      <c r="D662" s="562"/>
      <c r="E662" s="562"/>
      <c r="F662" s="562"/>
      <c r="G662" s="562"/>
      <c r="H662" s="562"/>
      <c r="I662" s="562"/>
      <c r="J662" s="562"/>
      <c r="K662" s="552"/>
    </row>
    <row r="663" spans="1:11" s="89" customFormat="1" x14ac:dyDescent="0.3">
      <c r="A663" s="553"/>
      <c r="B663" s="554" t="s">
        <v>4</v>
      </c>
      <c r="C663" s="553" t="s">
        <v>5</v>
      </c>
      <c r="D663" s="553" t="s">
        <v>6</v>
      </c>
      <c r="E663" s="691" t="s">
        <v>427</v>
      </c>
      <c r="F663" s="691"/>
      <c r="G663" s="555" t="s">
        <v>7</v>
      </c>
      <c r="H663" s="554" t="s">
        <v>8</v>
      </c>
      <c r="I663" s="554" t="s">
        <v>9</v>
      </c>
      <c r="J663" s="554" t="s">
        <v>11</v>
      </c>
      <c r="K663" s="546"/>
    </row>
    <row r="664" spans="1:11" ht="25" x14ac:dyDescent="0.3">
      <c r="A664" s="607" t="s">
        <v>428</v>
      </c>
      <c r="B664" s="608" t="s">
        <v>177</v>
      </c>
      <c r="C664" s="607" t="s">
        <v>175</v>
      </c>
      <c r="D664" s="607" t="s">
        <v>178</v>
      </c>
      <c r="E664" s="690" t="s">
        <v>402</v>
      </c>
      <c r="F664" s="690"/>
      <c r="G664" s="609" t="s">
        <v>556</v>
      </c>
      <c r="H664" s="610">
        <v>1</v>
      </c>
      <c r="I664" s="611">
        <v>11.96</v>
      </c>
      <c r="J664" s="611">
        <v>11.96</v>
      </c>
      <c r="K664" s="552"/>
    </row>
    <row r="665" spans="1:11" s="89" customFormat="1" ht="15" customHeight="1" x14ac:dyDescent="0.3">
      <c r="A665" s="547" t="s">
        <v>430</v>
      </c>
      <c r="B665" s="548" t="s">
        <v>620</v>
      </c>
      <c r="C665" s="547" t="s">
        <v>19</v>
      </c>
      <c r="D665" s="547" t="s">
        <v>621</v>
      </c>
      <c r="E665" s="688" t="s">
        <v>429</v>
      </c>
      <c r="F665" s="688"/>
      <c r="G665" s="549" t="s">
        <v>423</v>
      </c>
      <c r="H665" s="550">
        <v>0.12</v>
      </c>
      <c r="I665" s="551">
        <v>30.71</v>
      </c>
      <c r="J665" s="551">
        <v>3.68</v>
      </c>
      <c r="K665" s="546"/>
    </row>
    <row r="666" spans="1:11" s="89" customFormat="1" ht="15" customHeight="1" x14ac:dyDescent="0.3">
      <c r="A666" s="547" t="s">
        <v>430</v>
      </c>
      <c r="B666" s="548" t="s">
        <v>559</v>
      </c>
      <c r="C666" s="547" t="s">
        <v>19</v>
      </c>
      <c r="D666" s="547" t="s">
        <v>560</v>
      </c>
      <c r="E666" s="688" t="s">
        <v>429</v>
      </c>
      <c r="F666" s="688"/>
      <c r="G666" s="549" t="s">
        <v>423</v>
      </c>
      <c r="H666" s="550">
        <v>0.12</v>
      </c>
      <c r="I666" s="551">
        <v>23.4</v>
      </c>
      <c r="J666" s="551">
        <v>2.8</v>
      </c>
      <c r="K666" s="546"/>
    </row>
    <row r="667" spans="1:11" ht="25" x14ac:dyDescent="0.3">
      <c r="A667" s="547" t="s">
        <v>433</v>
      </c>
      <c r="B667" s="548" t="s">
        <v>857</v>
      </c>
      <c r="C667" s="547" t="s">
        <v>19</v>
      </c>
      <c r="D667" s="547" t="s">
        <v>858</v>
      </c>
      <c r="E667" s="688" t="s">
        <v>438</v>
      </c>
      <c r="F667" s="688"/>
      <c r="G667" s="549" t="s">
        <v>532</v>
      </c>
      <c r="H667" s="550">
        <v>3.0000000000000001E-3</v>
      </c>
      <c r="I667" s="551">
        <v>1751.07</v>
      </c>
      <c r="J667" s="551">
        <v>5.25</v>
      </c>
      <c r="K667" s="552"/>
    </row>
    <row r="668" spans="1:11" ht="14.5" thickBot="1" x14ac:dyDescent="0.35">
      <c r="A668" s="547" t="s">
        <v>433</v>
      </c>
      <c r="B668" s="548" t="s">
        <v>639</v>
      </c>
      <c r="C668" s="547" t="s">
        <v>19</v>
      </c>
      <c r="D668" s="547" t="s">
        <v>640</v>
      </c>
      <c r="E668" s="688" t="s">
        <v>438</v>
      </c>
      <c r="F668" s="688"/>
      <c r="G668" s="549" t="s">
        <v>424</v>
      </c>
      <c r="H668" s="550">
        <v>1.2E-2</v>
      </c>
      <c r="I668" s="551">
        <v>19.5</v>
      </c>
      <c r="J668" s="551">
        <v>0.23</v>
      </c>
      <c r="K668" s="552"/>
    </row>
    <row r="669" spans="1:11" s="89" customFormat="1" ht="14.5" thickTop="1" x14ac:dyDescent="0.3">
      <c r="A669" s="562"/>
      <c r="B669" s="562"/>
      <c r="C669" s="562"/>
      <c r="D669" s="562"/>
      <c r="E669" s="562"/>
      <c r="F669" s="562"/>
      <c r="G669" s="562"/>
      <c r="H669" s="562"/>
      <c r="I669" s="562"/>
      <c r="J669" s="562"/>
      <c r="K669" s="546"/>
    </row>
    <row r="670" spans="1:11" x14ac:dyDescent="0.3">
      <c r="A670" s="553"/>
      <c r="B670" s="554" t="s">
        <v>4</v>
      </c>
      <c r="C670" s="553" t="s">
        <v>5</v>
      </c>
      <c r="D670" s="553" t="s">
        <v>6</v>
      </c>
      <c r="E670" s="691" t="s">
        <v>427</v>
      </c>
      <c r="F670" s="691"/>
      <c r="G670" s="555" t="s">
        <v>7</v>
      </c>
      <c r="H670" s="554" t="s">
        <v>8</v>
      </c>
      <c r="I670" s="554" t="s">
        <v>9</v>
      </c>
      <c r="J670" s="554" t="s">
        <v>11</v>
      </c>
      <c r="K670" s="552"/>
    </row>
    <row r="671" spans="1:11" s="89" customFormat="1" ht="25" x14ac:dyDescent="0.3">
      <c r="A671" s="607" t="s">
        <v>428</v>
      </c>
      <c r="B671" s="608" t="s">
        <v>179</v>
      </c>
      <c r="C671" s="607" t="s">
        <v>175</v>
      </c>
      <c r="D671" s="607" t="s">
        <v>3850</v>
      </c>
      <c r="E671" s="690" t="s">
        <v>402</v>
      </c>
      <c r="F671" s="690"/>
      <c r="G671" s="609" t="s">
        <v>173</v>
      </c>
      <c r="H671" s="610">
        <v>1</v>
      </c>
      <c r="I671" s="611">
        <v>3.25</v>
      </c>
      <c r="J671" s="611">
        <v>3.25</v>
      </c>
      <c r="K671" s="546"/>
    </row>
    <row r="672" spans="1:11" ht="14.25" customHeight="1" x14ac:dyDescent="0.3">
      <c r="A672" s="547" t="s">
        <v>430</v>
      </c>
      <c r="B672" s="548" t="s">
        <v>559</v>
      </c>
      <c r="C672" s="547" t="s">
        <v>19</v>
      </c>
      <c r="D672" s="547" t="s">
        <v>560</v>
      </c>
      <c r="E672" s="688" t="s">
        <v>429</v>
      </c>
      <c r="F672" s="688"/>
      <c r="G672" s="549" t="s">
        <v>423</v>
      </c>
      <c r="H672" s="550">
        <v>8.3299999999999999E-2</v>
      </c>
      <c r="I672" s="551">
        <v>23.4</v>
      </c>
      <c r="J672" s="551">
        <v>1.94</v>
      </c>
      <c r="K672" s="552"/>
    </row>
    <row r="673" spans="1:11" ht="14.25" customHeight="1" x14ac:dyDescent="0.3">
      <c r="A673" s="547" t="s">
        <v>433</v>
      </c>
      <c r="B673" s="548" t="s">
        <v>859</v>
      </c>
      <c r="C673" s="547" t="s">
        <v>19</v>
      </c>
      <c r="D673" s="547" t="s">
        <v>860</v>
      </c>
      <c r="E673" s="688" t="s">
        <v>438</v>
      </c>
      <c r="F673" s="688"/>
      <c r="G673" s="549" t="s">
        <v>173</v>
      </c>
      <c r="H673" s="550">
        <v>0.1</v>
      </c>
      <c r="I673" s="551">
        <v>2.48</v>
      </c>
      <c r="J673" s="551">
        <v>0.24</v>
      </c>
      <c r="K673" s="552"/>
    </row>
    <row r="674" spans="1:11" s="89" customFormat="1" ht="14.5" thickBot="1" x14ac:dyDescent="0.35">
      <c r="A674" s="547" t="s">
        <v>433</v>
      </c>
      <c r="B674" s="548" t="s">
        <v>3851</v>
      </c>
      <c r="C674" s="547" t="s">
        <v>175</v>
      </c>
      <c r="D674" s="547" t="s">
        <v>861</v>
      </c>
      <c r="E674" s="688" t="s">
        <v>438</v>
      </c>
      <c r="F674" s="688"/>
      <c r="G674" s="549" t="s">
        <v>81</v>
      </c>
      <c r="H674" s="550">
        <v>6.3720000000000001E-3</v>
      </c>
      <c r="I674" s="551">
        <v>169.1</v>
      </c>
      <c r="J674" s="551">
        <v>1.07</v>
      </c>
      <c r="K674" s="546"/>
    </row>
    <row r="675" spans="1:11" ht="14.5" thickTop="1" x14ac:dyDescent="0.3">
      <c r="A675" s="562"/>
      <c r="B675" s="562"/>
      <c r="C675" s="562"/>
      <c r="D675" s="562"/>
      <c r="E675" s="562"/>
      <c r="F675" s="562"/>
      <c r="G675" s="562"/>
      <c r="H675" s="562"/>
      <c r="I675" s="562"/>
      <c r="J675" s="562"/>
      <c r="K675" s="552"/>
    </row>
    <row r="676" spans="1:11" x14ac:dyDescent="0.3">
      <c r="A676" s="553"/>
      <c r="B676" s="554" t="s">
        <v>4</v>
      </c>
      <c r="C676" s="553" t="s">
        <v>5</v>
      </c>
      <c r="D676" s="553" t="s">
        <v>6</v>
      </c>
      <c r="E676" s="691" t="s">
        <v>427</v>
      </c>
      <c r="F676" s="691"/>
      <c r="G676" s="555" t="s">
        <v>7</v>
      </c>
      <c r="H676" s="554" t="s">
        <v>8</v>
      </c>
      <c r="I676" s="554" t="s">
        <v>9</v>
      </c>
      <c r="J676" s="554" t="s">
        <v>11</v>
      </c>
      <c r="K676" s="552"/>
    </row>
    <row r="677" spans="1:11" s="89" customFormat="1" x14ac:dyDescent="0.3">
      <c r="A677" s="607" t="s">
        <v>428</v>
      </c>
      <c r="B677" s="608" t="s">
        <v>181</v>
      </c>
      <c r="C677" s="607" t="s">
        <v>175</v>
      </c>
      <c r="D677" s="607" t="s">
        <v>3852</v>
      </c>
      <c r="E677" s="690" t="s">
        <v>402</v>
      </c>
      <c r="F677" s="690"/>
      <c r="G677" s="609" t="s">
        <v>81</v>
      </c>
      <c r="H677" s="610">
        <v>1</v>
      </c>
      <c r="I677" s="611">
        <v>2.76</v>
      </c>
      <c r="J677" s="611">
        <v>2.76</v>
      </c>
      <c r="K677" s="546"/>
    </row>
    <row r="678" spans="1:11" s="89" customFormat="1" ht="15" customHeight="1" x14ac:dyDescent="0.3">
      <c r="A678" s="547" t="s">
        <v>430</v>
      </c>
      <c r="B678" s="548" t="s">
        <v>769</v>
      </c>
      <c r="C678" s="547" t="s">
        <v>19</v>
      </c>
      <c r="D678" s="547" t="s">
        <v>770</v>
      </c>
      <c r="E678" s="688" t="s">
        <v>429</v>
      </c>
      <c r="F678" s="688"/>
      <c r="G678" s="549" t="s">
        <v>423</v>
      </c>
      <c r="H678" s="550">
        <v>0.02</v>
      </c>
      <c r="I678" s="551">
        <v>31.49</v>
      </c>
      <c r="J678" s="551">
        <v>0.62</v>
      </c>
      <c r="K678" s="546"/>
    </row>
    <row r="679" spans="1:11" ht="14.25" customHeight="1" x14ac:dyDescent="0.3">
      <c r="A679" s="547" t="s">
        <v>430</v>
      </c>
      <c r="B679" s="548" t="s">
        <v>863</v>
      </c>
      <c r="C679" s="547" t="s">
        <v>19</v>
      </c>
      <c r="D679" s="547" t="s">
        <v>864</v>
      </c>
      <c r="E679" s="688" t="s">
        <v>429</v>
      </c>
      <c r="F679" s="688"/>
      <c r="G679" s="549" t="s">
        <v>423</v>
      </c>
      <c r="H679" s="550">
        <v>0.04</v>
      </c>
      <c r="I679" s="551">
        <v>24.65</v>
      </c>
      <c r="J679" s="551">
        <v>0.98</v>
      </c>
      <c r="K679" s="552"/>
    </row>
    <row r="680" spans="1:11" ht="14.5" thickBot="1" x14ac:dyDescent="0.35">
      <c r="A680" s="547" t="s">
        <v>433</v>
      </c>
      <c r="B680" s="548" t="s">
        <v>3853</v>
      </c>
      <c r="C680" s="547" t="s">
        <v>175</v>
      </c>
      <c r="D680" s="547" t="s">
        <v>865</v>
      </c>
      <c r="E680" s="688" t="s">
        <v>438</v>
      </c>
      <c r="F680" s="688"/>
      <c r="G680" s="549" t="s">
        <v>81</v>
      </c>
      <c r="H680" s="550">
        <v>6.3720000000000001E-3</v>
      </c>
      <c r="I680" s="551">
        <v>182.31</v>
      </c>
      <c r="J680" s="551">
        <v>1.1599999999999999</v>
      </c>
      <c r="K680" s="552"/>
    </row>
    <row r="681" spans="1:11" ht="14.25" customHeight="1" thickTop="1" x14ac:dyDescent="0.3">
      <c r="A681" s="562"/>
      <c r="B681" s="562"/>
      <c r="C681" s="562"/>
      <c r="D681" s="562"/>
      <c r="E681" s="562"/>
      <c r="F681" s="562"/>
      <c r="G681" s="562"/>
      <c r="H681" s="562"/>
      <c r="I681" s="562"/>
      <c r="J681" s="562"/>
      <c r="K681" s="552"/>
    </row>
    <row r="682" spans="1:11" ht="14.25" customHeight="1" x14ac:dyDescent="0.3">
      <c r="A682" s="553"/>
      <c r="B682" s="554" t="s">
        <v>4</v>
      </c>
      <c r="C682" s="553" t="s">
        <v>5</v>
      </c>
      <c r="D682" s="553" t="s">
        <v>6</v>
      </c>
      <c r="E682" s="691" t="s">
        <v>427</v>
      </c>
      <c r="F682" s="691"/>
      <c r="G682" s="555" t="s">
        <v>7</v>
      </c>
      <c r="H682" s="554" t="s">
        <v>8</v>
      </c>
      <c r="I682" s="554" t="s">
        <v>9</v>
      </c>
      <c r="J682" s="554" t="s">
        <v>11</v>
      </c>
      <c r="K682" s="552"/>
    </row>
    <row r="683" spans="1:11" ht="15" customHeight="1" x14ac:dyDescent="0.3">
      <c r="A683" s="607" t="s">
        <v>428</v>
      </c>
      <c r="B683" s="608" t="s">
        <v>183</v>
      </c>
      <c r="C683" s="607" t="s">
        <v>115</v>
      </c>
      <c r="D683" s="607" t="s">
        <v>3854</v>
      </c>
      <c r="E683" s="690" t="s">
        <v>402</v>
      </c>
      <c r="F683" s="690"/>
      <c r="G683" s="609" t="s">
        <v>866</v>
      </c>
      <c r="H683" s="610">
        <v>1</v>
      </c>
      <c r="I683" s="611">
        <v>1.96</v>
      </c>
      <c r="J683" s="611">
        <v>1.96</v>
      </c>
      <c r="K683" s="552"/>
    </row>
    <row r="684" spans="1:11" s="89" customFormat="1" ht="15" customHeight="1" x14ac:dyDescent="0.3">
      <c r="A684" s="689"/>
      <c r="B684" s="689"/>
      <c r="C684" s="689"/>
      <c r="D684" s="689"/>
      <c r="E684" s="689"/>
      <c r="F684" s="689" t="s">
        <v>472</v>
      </c>
      <c r="G684" s="689"/>
      <c r="H684" s="689"/>
      <c r="I684" s="689"/>
      <c r="J684" s="564">
        <v>0</v>
      </c>
      <c r="K684" s="546"/>
    </row>
    <row r="685" spans="1:11" ht="14.25" customHeight="1" x14ac:dyDescent="0.3">
      <c r="A685" s="689"/>
      <c r="B685" s="689"/>
      <c r="C685" s="689"/>
      <c r="D685" s="689"/>
      <c r="E685" s="689"/>
      <c r="F685" s="689" t="s">
        <v>473</v>
      </c>
      <c r="G685" s="689"/>
      <c r="H685" s="689"/>
      <c r="I685" s="689"/>
      <c r="J685" s="564">
        <v>0</v>
      </c>
      <c r="K685" s="552"/>
    </row>
    <row r="686" spans="1:11" ht="15" customHeight="1" x14ac:dyDescent="0.3">
      <c r="A686" s="689"/>
      <c r="B686" s="689"/>
      <c r="C686" s="689"/>
      <c r="D686" s="689"/>
      <c r="E686" s="689"/>
      <c r="F686" s="689" t="s">
        <v>474</v>
      </c>
      <c r="G686" s="689"/>
      <c r="H686" s="689"/>
      <c r="I686" s="689"/>
      <c r="J686" s="564">
        <v>0</v>
      </c>
      <c r="K686" s="552"/>
    </row>
    <row r="687" spans="1:11" ht="14.25" customHeight="1" x14ac:dyDescent="0.3">
      <c r="A687" s="689"/>
      <c r="B687" s="689"/>
      <c r="C687" s="689"/>
      <c r="D687" s="689"/>
      <c r="E687" s="689"/>
      <c r="F687" s="689" t="s">
        <v>475</v>
      </c>
      <c r="G687" s="689"/>
      <c r="H687" s="689"/>
      <c r="I687" s="689"/>
      <c r="J687" s="564">
        <v>1</v>
      </c>
      <c r="K687" s="552"/>
    </row>
    <row r="688" spans="1:11" ht="14.25" customHeight="1" x14ac:dyDescent="0.3">
      <c r="A688" s="689"/>
      <c r="B688" s="689"/>
      <c r="C688" s="689"/>
      <c r="D688" s="689"/>
      <c r="E688" s="689"/>
      <c r="F688" s="689" t="s">
        <v>476</v>
      </c>
      <c r="G688" s="689"/>
      <c r="H688" s="689"/>
      <c r="I688" s="689"/>
      <c r="J688" s="564">
        <v>0</v>
      </c>
      <c r="K688" s="552"/>
    </row>
    <row r="689" spans="1:11" s="89" customFormat="1" ht="15" customHeight="1" x14ac:dyDescent="0.3">
      <c r="A689" s="553" t="s">
        <v>410</v>
      </c>
      <c r="B689" s="554" t="s">
        <v>5</v>
      </c>
      <c r="C689" s="553" t="s">
        <v>4</v>
      </c>
      <c r="D689" s="553" t="s">
        <v>438</v>
      </c>
      <c r="E689" s="554" t="s">
        <v>463</v>
      </c>
      <c r="F689" s="554" t="s">
        <v>575</v>
      </c>
      <c r="G689" s="692" t="s">
        <v>576</v>
      </c>
      <c r="H689" s="692"/>
      <c r="I689" s="692"/>
      <c r="J689" s="554" t="s">
        <v>466</v>
      </c>
      <c r="K689" s="546"/>
    </row>
    <row r="690" spans="1:11" ht="15" customHeight="1" x14ac:dyDescent="0.3">
      <c r="A690" s="547" t="s">
        <v>433</v>
      </c>
      <c r="B690" s="548" t="s">
        <v>115</v>
      </c>
      <c r="C690" s="547" t="s">
        <v>867</v>
      </c>
      <c r="D690" s="547" t="s">
        <v>868</v>
      </c>
      <c r="E690" s="550">
        <v>1.333E-2</v>
      </c>
      <c r="F690" s="549" t="s">
        <v>869</v>
      </c>
      <c r="G690" s="693">
        <v>0.52810000000000001</v>
      </c>
      <c r="H690" s="693"/>
      <c r="I690" s="688"/>
      <c r="J690" s="563">
        <v>7.0000000000000001E-3</v>
      </c>
      <c r="K690" s="552"/>
    </row>
    <row r="691" spans="1:11" s="89" customFormat="1" ht="15" customHeight="1" x14ac:dyDescent="0.3">
      <c r="A691" s="689"/>
      <c r="B691" s="689"/>
      <c r="C691" s="689"/>
      <c r="D691" s="689"/>
      <c r="E691" s="689"/>
      <c r="F691" s="689" t="s">
        <v>813</v>
      </c>
      <c r="G691" s="689"/>
      <c r="H691" s="689"/>
      <c r="I691" s="689"/>
      <c r="J691" s="564">
        <v>7.0000000000000001E-3</v>
      </c>
      <c r="K691" s="546"/>
    </row>
    <row r="692" spans="1:11" s="89" customFormat="1" ht="15" customHeight="1" x14ac:dyDescent="0.3">
      <c r="A692" s="553" t="s">
        <v>573</v>
      </c>
      <c r="B692" s="554" t="s">
        <v>5</v>
      </c>
      <c r="C692" s="553" t="s">
        <v>4</v>
      </c>
      <c r="D692" s="553" t="s">
        <v>574</v>
      </c>
      <c r="E692" s="554" t="s">
        <v>463</v>
      </c>
      <c r="F692" s="554" t="s">
        <v>575</v>
      </c>
      <c r="G692" s="692" t="s">
        <v>576</v>
      </c>
      <c r="H692" s="692"/>
      <c r="I692" s="692"/>
      <c r="J692" s="554" t="s">
        <v>466</v>
      </c>
      <c r="K692" s="546"/>
    </row>
    <row r="693" spans="1:11" ht="25" x14ac:dyDescent="0.3">
      <c r="A693" s="547" t="s">
        <v>577</v>
      </c>
      <c r="B693" s="548" t="s">
        <v>115</v>
      </c>
      <c r="C693" s="547">
        <v>5213416</v>
      </c>
      <c r="D693" s="547" t="s">
        <v>870</v>
      </c>
      <c r="E693" s="550">
        <v>1.67E-3</v>
      </c>
      <c r="F693" s="549" t="s">
        <v>556</v>
      </c>
      <c r="G693" s="693">
        <v>405.93</v>
      </c>
      <c r="H693" s="693"/>
      <c r="I693" s="688"/>
      <c r="J693" s="563">
        <v>0.67789999999999995</v>
      </c>
      <c r="K693" s="552"/>
    </row>
    <row r="694" spans="1:11" ht="14.25" customHeight="1" x14ac:dyDescent="0.3">
      <c r="A694" s="547" t="s">
        <v>577</v>
      </c>
      <c r="B694" s="548" t="s">
        <v>115</v>
      </c>
      <c r="C694" s="547">
        <v>5219544</v>
      </c>
      <c r="D694" s="547" t="s">
        <v>871</v>
      </c>
      <c r="E694" s="550">
        <v>1.67E-3</v>
      </c>
      <c r="F694" s="549" t="s">
        <v>869</v>
      </c>
      <c r="G694" s="693">
        <v>233.51</v>
      </c>
      <c r="H694" s="693"/>
      <c r="I694" s="688"/>
      <c r="J694" s="563">
        <v>0.39</v>
      </c>
      <c r="K694" s="552"/>
    </row>
    <row r="695" spans="1:11" ht="15" customHeight="1" x14ac:dyDescent="0.3">
      <c r="A695" s="689"/>
      <c r="B695" s="689"/>
      <c r="C695" s="689"/>
      <c r="D695" s="689"/>
      <c r="E695" s="689"/>
      <c r="F695" s="689" t="s">
        <v>578</v>
      </c>
      <c r="G695" s="689"/>
      <c r="H695" s="689"/>
      <c r="I695" s="689"/>
      <c r="J695" s="564">
        <v>1.0679000000000001</v>
      </c>
      <c r="K695" s="552"/>
    </row>
    <row r="696" spans="1:11" ht="15" customHeight="1" x14ac:dyDescent="0.3">
      <c r="A696" s="553" t="s">
        <v>579</v>
      </c>
      <c r="B696" s="554" t="s">
        <v>5</v>
      </c>
      <c r="C696" s="553" t="s">
        <v>433</v>
      </c>
      <c r="D696" s="553" t="s">
        <v>580</v>
      </c>
      <c r="E696" s="554" t="s">
        <v>4</v>
      </c>
      <c r="F696" s="554" t="s">
        <v>463</v>
      </c>
      <c r="G696" s="555" t="s">
        <v>575</v>
      </c>
      <c r="H696" s="692" t="s">
        <v>576</v>
      </c>
      <c r="I696" s="692"/>
      <c r="J696" s="554" t="s">
        <v>466</v>
      </c>
      <c r="K696" s="552"/>
    </row>
    <row r="697" spans="1:11" s="89" customFormat="1" ht="25" x14ac:dyDescent="0.3">
      <c r="A697" s="547" t="s">
        <v>581</v>
      </c>
      <c r="B697" s="548" t="s">
        <v>115</v>
      </c>
      <c r="C697" s="547">
        <v>5219544</v>
      </c>
      <c r="D697" s="547" t="s">
        <v>844</v>
      </c>
      <c r="E697" s="548">
        <v>5914655</v>
      </c>
      <c r="F697" s="550">
        <v>1.4149999999999999E-2</v>
      </c>
      <c r="G697" s="549" t="s">
        <v>584</v>
      </c>
      <c r="H697" s="693">
        <v>33.159999999999997</v>
      </c>
      <c r="I697" s="688"/>
      <c r="J697" s="563">
        <v>0.46920000000000001</v>
      </c>
      <c r="K697" s="546"/>
    </row>
    <row r="698" spans="1:11" s="89" customFormat="1" ht="25" x14ac:dyDescent="0.3">
      <c r="A698" s="547" t="s">
        <v>581</v>
      </c>
      <c r="B698" s="548" t="s">
        <v>115</v>
      </c>
      <c r="C698" s="547">
        <v>5213416</v>
      </c>
      <c r="D698" s="547" t="s">
        <v>844</v>
      </c>
      <c r="E698" s="548">
        <v>5914655</v>
      </c>
      <c r="F698" s="550">
        <v>1.24E-2</v>
      </c>
      <c r="G698" s="549" t="s">
        <v>584</v>
      </c>
      <c r="H698" s="693">
        <v>33.159999999999997</v>
      </c>
      <c r="I698" s="688"/>
      <c r="J698" s="563">
        <v>0.41120000000000001</v>
      </c>
      <c r="K698" s="546"/>
    </row>
    <row r="699" spans="1:11" ht="25" x14ac:dyDescent="0.3">
      <c r="A699" s="547" t="s">
        <v>581</v>
      </c>
      <c r="B699" s="548" t="s">
        <v>115</v>
      </c>
      <c r="C699" s="547" t="s">
        <v>867</v>
      </c>
      <c r="D699" s="547" t="s">
        <v>844</v>
      </c>
      <c r="E699" s="548">
        <v>5914655</v>
      </c>
      <c r="F699" s="550">
        <v>8.0000000000000007E-5</v>
      </c>
      <c r="G699" s="549" t="s">
        <v>584</v>
      </c>
      <c r="H699" s="693">
        <v>33.159999999999997</v>
      </c>
      <c r="I699" s="688"/>
      <c r="J699" s="563">
        <v>2.7000000000000001E-3</v>
      </c>
      <c r="K699" s="552"/>
    </row>
    <row r="700" spans="1:11" s="89" customFormat="1" ht="15.75" customHeight="1" x14ac:dyDescent="0.3">
      <c r="A700" s="689"/>
      <c r="B700" s="689"/>
      <c r="C700" s="689"/>
      <c r="D700" s="689"/>
      <c r="E700" s="689"/>
      <c r="F700" s="689" t="s">
        <v>585</v>
      </c>
      <c r="G700" s="689"/>
      <c r="H700" s="689"/>
      <c r="I700" s="689"/>
      <c r="J700" s="564">
        <v>0.8831</v>
      </c>
      <c r="K700" s="546"/>
    </row>
    <row r="701" spans="1:11" ht="15" customHeight="1" x14ac:dyDescent="0.3">
      <c r="A701" s="553" t="s">
        <v>586</v>
      </c>
      <c r="B701" s="554" t="s">
        <v>5</v>
      </c>
      <c r="C701" s="553" t="s">
        <v>433</v>
      </c>
      <c r="D701" s="553" t="s">
        <v>587</v>
      </c>
      <c r="E701" s="554" t="s">
        <v>463</v>
      </c>
      <c r="F701" s="554" t="s">
        <v>575</v>
      </c>
      <c r="G701" s="694" t="s">
        <v>588</v>
      </c>
      <c r="H701" s="692"/>
      <c r="I701" s="692"/>
      <c r="J701" s="554" t="s">
        <v>466</v>
      </c>
      <c r="K701" s="552"/>
    </row>
    <row r="702" spans="1:11" s="89" customFormat="1" x14ac:dyDescent="0.3">
      <c r="A702" s="555"/>
      <c r="B702" s="555"/>
      <c r="C702" s="555"/>
      <c r="D702" s="555"/>
      <c r="E702" s="555"/>
      <c r="F702" s="555"/>
      <c r="G702" s="555" t="s">
        <v>589</v>
      </c>
      <c r="H702" s="555" t="s">
        <v>590</v>
      </c>
      <c r="I702" s="555" t="s">
        <v>591</v>
      </c>
      <c r="J702" s="555"/>
      <c r="K702" s="546"/>
    </row>
    <row r="703" spans="1:11" s="89" customFormat="1" ht="37.5" x14ac:dyDescent="0.3">
      <c r="A703" s="547" t="s">
        <v>587</v>
      </c>
      <c r="B703" s="548" t="s">
        <v>115</v>
      </c>
      <c r="C703" s="547">
        <v>5219544</v>
      </c>
      <c r="D703" s="547" t="s">
        <v>872</v>
      </c>
      <c r="E703" s="550">
        <v>1.4149999999999999E-2</v>
      </c>
      <c r="F703" s="549" t="s">
        <v>593</v>
      </c>
      <c r="G703" s="548" t="s">
        <v>3846</v>
      </c>
      <c r="H703" s="548" t="s">
        <v>3847</v>
      </c>
      <c r="I703" s="548" t="s">
        <v>3848</v>
      </c>
      <c r="J703" s="563">
        <v>0</v>
      </c>
      <c r="K703" s="546"/>
    </row>
    <row r="704" spans="1:11" s="89" customFormat="1" ht="15" customHeight="1" x14ac:dyDescent="0.3">
      <c r="A704" s="547" t="s">
        <v>587</v>
      </c>
      <c r="B704" s="548" t="s">
        <v>115</v>
      </c>
      <c r="C704" s="547">
        <v>5213416</v>
      </c>
      <c r="D704" s="547" t="s">
        <v>873</v>
      </c>
      <c r="E704" s="550">
        <v>1.24E-2</v>
      </c>
      <c r="F704" s="549" t="s">
        <v>593</v>
      </c>
      <c r="G704" s="548" t="s">
        <v>3846</v>
      </c>
      <c r="H704" s="548" t="s">
        <v>3847</v>
      </c>
      <c r="I704" s="548" t="s">
        <v>3848</v>
      </c>
      <c r="J704" s="563">
        <v>0</v>
      </c>
      <c r="K704" s="546"/>
    </row>
    <row r="705" spans="1:11" ht="14.25" customHeight="1" x14ac:dyDescent="0.3">
      <c r="A705" s="547" t="s">
        <v>587</v>
      </c>
      <c r="B705" s="548" t="s">
        <v>115</v>
      </c>
      <c r="C705" s="547" t="s">
        <v>867</v>
      </c>
      <c r="D705" s="547" t="s">
        <v>874</v>
      </c>
      <c r="E705" s="550">
        <v>8.0000000000000007E-5</v>
      </c>
      <c r="F705" s="549" t="s">
        <v>593</v>
      </c>
      <c r="G705" s="548" t="s">
        <v>3846</v>
      </c>
      <c r="H705" s="548" t="s">
        <v>3847</v>
      </c>
      <c r="I705" s="548" t="s">
        <v>3848</v>
      </c>
      <c r="J705" s="563">
        <v>0</v>
      </c>
      <c r="K705" s="552"/>
    </row>
    <row r="706" spans="1:11" ht="15" customHeight="1" thickBot="1" x14ac:dyDescent="0.35">
      <c r="A706" s="689"/>
      <c r="B706" s="689"/>
      <c r="C706" s="689"/>
      <c r="D706" s="689"/>
      <c r="E706" s="689"/>
      <c r="F706" s="689" t="s">
        <v>594</v>
      </c>
      <c r="G706" s="689"/>
      <c r="H706" s="689"/>
      <c r="I706" s="689"/>
      <c r="J706" s="564">
        <v>0</v>
      </c>
      <c r="K706" s="552"/>
    </row>
    <row r="707" spans="1:11" ht="14.25" customHeight="1" thickTop="1" x14ac:dyDescent="0.3">
      <c r="A707" s="562"/>
      <c r="B707" s="562"/>
      <c r="C707" s="562"/>
      <c r="D707" s="562"/>
      <c r="E707" s="562"/>
      <c r="F707" s="562"/>
      <c r="G707" s="562"/>
      <c r="H707" s="562"/>
      <c r="I707" s="562"/>
      <c r="J707" s="562"/>
      <c r="K707" s="552"/>
    </row>
    <row r="708" spans="1:11" ht="14.25" customHeight="1" x14ac:dyDescent="0.3">
      <c r="A708" s="553"/>
      <c r="B708" s="554" t="s">
        <v>4</v>
      </c>
      <c r="C708" s="553" t="s">
        <v>5</v>
      </c>
      <c r="D708" s="553" t="s">
        <v>6</v>
      </c>
      <c r="E708" s="691" t="s">
        <v>427</v>
      </c>
      <c r="F708" s="691"/>
      <c r="G708" s="555" t="s">
        <v>7</v>
      </c>
      <c r="H708" s="554" t="s">
        <v>8</v>
      </c>
      <c r="I708" s="554" t="s">
        <v>9</v>
      </c>
      <c r="J708" s="554" t="s">
        <v>11</v>
      </c>
      <c r="K708" s="552"/>
    </row>
    <row r="709" spans="1:11" ht="15" customHeight="1" x14ac:dyDescent="0.3">
      <c r="A709" s="607" t="s">
        <v>428</v>
      </c>
      <c r="B709" s="608" t="s">
        <v>184</v>
      </c>
      <c r="C709" s="607" t="s">
        <v>115</v>
      </c>
      <c r="D709" s="607" t="s">
        <v>3855</v>
      </c>
      <c r="E709" s="690" t="s">
        <v>402</v>
      </c>
      <c r="F709" s="690"/>
      <c r="G709" s="609" t="s">
        <v>866</v>
      </c>
      <c r="H709" s="610">
        <v>1</v>
      </c>
      <c r="I709" s="611">
        <v>3.95</v>
      </c>
      <c r="J709" s="611">
        <v>3.95</v>
      </c>
      <c r="K709" s="552"/>
    </row>
    <row r="710" spans="1:11" ht="14.25" customHeight="1" x14ac:dyDescent="0.3">
      <c r="A710" s="689"/>
      <c r="B710" s="689"/>
      <c r="C710" s="689"/>
      <c r="D710" s="689"/>
      <c r="E710" s="689"/>
      <c r="F710" s="689" t="s">
        <v>472</v>
      </c>
      <c r="G710" s="689"/>
      <c r="H710" s="689"/>
      <c r="I710" s="689"/>
      <c r="J710" s="564">
        <v>0</v>
      </c>
      <c r="K710" s="552"/>
    </row>
    <row r="711" spans="1:11" ht="14.25" customHeight="1" x14ac:dyDescent="0.3">
      <c r="A711" s="689"/>
      <c r="B711" s="689"/>
      <c r="C711" s="689"/>
      <c r="D711" s="689"/>
      <c r="E711" s="689"/>
      <c r="F711" s="689" t="s">
        <v>473</v>
      </c>
      <c r="G711" s="689"/>
      <c r="H711" s="689"/>
      <c r="I711" s="689"/>
      <c r="J711" s="564">
        <v>0</v>
      </c>
      <c r="K711" s="552"/>
    </row>
    <row r="712" spans="1:11" ht="15" customHeight="1" x14ac:dyDescent="0.3">
      <c r="A712" s="689"/>
      <c r="B712" s="689"/>
      <c r="C712" s="689"/>
      <c r="D712" s="689"/>
      <c r="E712" s="689"/>
      <c r="F712" s="689" t="s">
        <v>474</v>
      </c>
      <c r="G712" s="689"/>
      <c r="H712" s="689"/>
      <c r="I712" s="689"/>
      <c r="J712" s="564">
        <v>0</v>
      </c>
      <c r="K712" s="552"/>
    </row>
    <row r="713" spans="1:11" s="89" customFormat="1" ht="15" customHeight="1" x14ac:dyDescent="0.3">
      <c r="A713" s="689"/>
      <c r="B713" s="689"/>
      <c r="C713" s="689"/>
      <c r="D713" s="689"/>
      <c r="E713" s="689"/>
      <c r="F713" s="689" t="s">
        <v>475</v>
      </c>
      <c r="G713" s="689"/>
      <c r="H713" s="689"/>
      <c r="I713" s="689"/>
      <c r="J713" s="564">
        <v>1</v>
      </c>
      <c r="K713" s="546"/>
    </row>
    <row r="714" spans="1:11" ht="14.25" customHeight="1" x14ac:dyDescent="0.3">
      <c r="A714" s="689"/>
      <c r="B714" s="689"/>
      <c r="C714" s="689"/>
      <c r="D714" s="689"/>
      <c r="E714" s="689"/>
      <c r="F714" s="689" t="s">
        <v>476</v>
      </c>
      <c r="G714" s="689"/>
      <c r="H714" s="689"/>
      <c r="I714" s="689"/>
      <c r="J714" s="564">
        <v>0</v>
      </c>
      <c r="K714" s="552"/>
    </row>
    <row r="715" spans="1:11" s="89" customFormat="1" ht="15" customHeight="1" x14ac:dyDescent="0.3">
      <c r="A715" s="553" t="s">
        <v>410</v>
      </c>
      <c r="B715" s="554" t="s">
        <v>5</v>
      </c>
      <c r="C715" s="553" t="s">
        <v>4</v>
      </c>
      <c r="D715" s="553" t="s">
        <v>438</v>
      </c>
      <c r="E715" s="554" t="s">
        <v>463</v>
      </c>
      <c r="F715" s="554" t="s">
        <v>575</v>
      </c>
      <c r="G715" s="692" t="s">
        <v>576</v>
      </c>
      <c r="H715" s="692"/>
      <c r="I715" s="692"/>
      <c r="J715" s="554" t="s">
        <v>466</v>
      </c>
      <c r="K715" s="546"/>
    </row>
    <row r="716" spans="1:11" ht="15" customHeight="1" x14ac:dyDescent="0.3">
      <c r="A716" s="547" t="s">
        <v>433</v>
      </c>
      <c r="B716" s="548" t="s">
        <v>115</v>
      </c>
      <c r="C716" s="547" t="s">
        <v>875</v>
      </c>
      <c r="D716" s="547" t="s">
        <v>876</v>
      </c>
      <c r="E716" s="550">
        <v>1.16E-3</v>
      </c>
      <c r="F716" s="549" t="s">
        <v>655</v>
      </c>
      <c r="G716" s="693">
        <v>28.6631</v>
      </c>
      <c r="H716" s="693"/>
      <c r="I716" s="688"/>
      <c r="J716" s="563">
        <v>3.32E-2</v>
      </c>
      <c r="K716" s="552"/>
    </row>
    <row r="717" spans="1:11" s="89" customFormat="1" ht="15" customHeight="1" x14ac:dyDescent="0.3">
      <c r="A717" s="689"/>
      <c r="B717" s="689"/>
      <c r="C717" s="689"/>
      <c r="D717" s="689"/>
      <c r="E717" s="689"/>
      <c r="F717" s="689" t="s">
        <v>813</v>
      </c>
      <c r="G717" s="689"/>
      <c r="H717" s="689"/>
      <c r="I717" s="689"/>
      <c r="J717" s="564">
        <v>3.32E-2</v>
      </c>
      <c r="K717" s="546"/>
    </row>
    <row r="718" spans="1:11" ht="15" customHeight="1" x14ac:dyDescent="0.3">
      <c r="A718" s="553" t="s">
        <v>573</v>
      </c>
      <c r="B718" s="554" t="s">
        <v>5</v>
      </c>
      <c r="C718" s="553" t="s">
        <v>4</v>
      </c>
      <c r="D718" s="553" t="s">
        <v>574</v>
      </c>
      <c r="E718" s="554" t="s">
        <v>463</v>
      </c>
      <c r="F718" s="554" t="s">
        <v>575</v>
      </c>
      <c r="G718" s="692" t="s">
        <v>576</v>
      </c>
      <c r="H718" s="692"/>
      <c r="I718" s="692"/>
      <c r="J718" s="554" t="s">
        <v>466</v>
      </c>
      <c r="K718" s="552"/>
    </row>
    <row r="719" spans="1:11" s="89" customFormat="1" ht="25" x14ac:dyDescent="0.3">
      <c r="A719" s="547" t="s">
        <v>577</v>
      </c>
      <c r="B719" s="548" t="s">
        <v>115</v>
      </c>
      <c r="C719" s="547">
        <v>5213416</v>
      </c>
      <c r="D719" s="547" t="s">
        <v>870</v>
      </c>
      <c r="E719" s="550">
        <v>1.67E-3</v>
      </c>
      <c r="F719" s="549" t="s">
        <v>556</v>
      </c>
      <c r="G719" s="693">
        <v>405.93</v>
      </c>
      <c r="H719" s="693"/>
      <c r="I719" s="688"/>
      <c r="J719" s="563">
        <v>0.67789999999999995</v>
      </c>
      <c r="K719" s="546"/>
    </row>
    <row r="720" spans="1:11" x14ac:dyDescent="0.3">
      <c r="A720" s="547" t="s">
        <v>577</v>
      </c>
      <c r="B720" s="548" t="s">
        <v>115</v>
      </c>
      <c r="C720" s="547">
        <v>5219546</v>
      </c>
      <c r="D720" s="547" t="s">
        <v>877</v>
      </c>
      <c r="E720" s="550">
        <v>1.67E-3</v>
      </c>
      <c r="F720" s="549" t="s">
        <v>869</v>
      </c>
      <c r="G720" s="693">
        <v>338.68</v>
      </c>
      <c r="H720" s="693"/>
      <c r="I720" s="688"/>
      <c r="J720" s="563">
        <v>0.56559999999999999</v>
      </c>
      <c r="K720" s="552"/>
    </row>
    <row r="721" spans="1:11" ht="15" customHeight="1" x14ac:dyDescent="0.3">
      <c r="A721" s="689"/>
      <c r="B721" s="689"/>
      <c r="C721" s="689"/>
      <c r="D721" s="689"/>
      <c r="E721" s="689"/>
      <c r="F721" s="689" t="s">
        <v>578</v>
      </c>
      <c r="G721" s="689"/>
      <c r="H721" s="689"/>
      <c r="I721" s="689"/>
      <c r="J721" s="564">
        <v>1.2435</v>
      </c>
      <c r="K721" s="552"/>
    </row>
    <row r="722" spans="1:11" ht="15" customHeight="1" x14ac:dyDescent="0.3">
      <c r="A722" s="553" t="s">
        <v>579</v>
      </c>
      <c r="B722" s="554" t="s">
        <v>5</v>
      </c>
      <c r="C722" s="553" t="s">
        <v>433</v>
      </c>
      <c r="D722" s="553" t="s">
        <v>580</v>
      </c>
      <c r="E722" s="554" t="s">
        <v>4</v>
      </c>
      <c r="F722" s="554" t="s">
        <v>463</v>
      </c>
      <c r="G722" s="555" t="s">
        <v>575</v>
      </c>
      <c r="H722" s="692" t="s">
        <v>576</v>
      </c>
      <c r="I722" s="692"/>
      <c r="J722" s="554" t="s">
        <v>466</v>
      </c>
      <c r="K722" s="552"/>
    </row>
    <row r="723" spans="1:11" ht="25" x14ac:dyDescent="0.3">
      <c r="A723" s="547" t="s">
        <v>581</v>
      </c>
      <c r="B723" s="548" t="s">
        <v>115</v>
      </c>
      <c r="C723" s="547">
        <v>5213416</v>
      </c>
      <c r="D723" s="547" t="s">
        <v>844</v>
      </c>
      <c r="E723" s="548">
        <v>5914655</v>
      </c>
      <c r="F723" s="550">
        <v>1.24E-2</v>
      </c>
      <c r="G723" s="549" t="s">
        <v>584</v>
      </c>
      <c r="H723" s="693">
        <v>33.159999999999997</v>
      </c>
      <c r="I723" s="688"/>
      <c r="J723" s="563">
        <v>0.41120000000000001</v>
      </c>
      <c r="K723" s="552"/>
    </row>
    <row r="724" spans="1:11" s="89" customFormat="1" ht="25" x14ac:dyDescent="0.3">
      <c r="A724" s="547" t="s">
        <v>581</v>
      </c>
      <c r="B724" s="548" t="s">
        <v>115</v>
      </c>
      <c r="C724" s="547">
        <v>5219546</v>
      </c>
      <c r="D724" s="547" t="s">
        <v>844</v>
      </c>
      <c r="E724" s="548">
        <v>5914655</v>
      </c>
      <c r="F724" s="550">
        <v>6.7379999999999995E-2</v>
      </c>
      <c r="G724" s="549" t="s">
        <v>584</v>
      </c>
      <c r="H724" s="693">
        <v>33.159999999999997</v>
      </c>
      <c r="I724" s="688"/>
      <c r="J724" s="563">
        <v>2.2343000000000002</v>
      </c>
      <c r="K724" s="546"/>
    </row>
    <row r="725" spans="1:11" ht="25" x14ac:dyDescent="0.3">
      <c r="A725" s="547" t="s">
        <v>581</v>
      </c>
      <c r="B725" s="548" t="s">
        <v>115</v>
      </c>
      <c r="C725" s="547" t="s">
        <v>875</v>
      </c>
      <c r="D725" s="547" t="s">
        <v>844</v>
      </c>
      <c r="E725" s="548">
        <v>5914655</v>
      </c>
      <c r="F725" s="550">
        <v>6.9999999999999999E-4</v>
      </c>
      <c r="G725" s="549" t="s">
        <v>584</v>
      </c>
      <c r="H725" s="693">
        <v>33.159999999999997</v>
      </c>
      <c r="I725" s="688"/>
      <c r="J725" s="563">
        <v>2.3199999999999998E-2</v>
      </c>
      <c r="K725" s="552"/>
    </row>
    <row r="726" spans="1:11" ht="15" customHeight="1" x14ac:dyDescent="0.3">
      <c r="A726" s="689"/>
      <c r="B726" s="689"/>
      <c r="C726" s="689"/>
      <c r="D726" s="689"/>
      <c r="E726" s="689"/>
      <c r="F726" s="689" t="s">
        <v>585</v>
      </c>
      <c r="G726" s="689"/>
      <c r="H726" s="689"/>
      <c r="I726" s="689"/>
      <c r="J726" s="564">
        <v>2.6686999999999999</v>
      </c>
      <c r="K726" s="552"/>
    </row>
    <row r="727" spans="1:11" s="89" customFormat="1" ht="15" customHeight="1" x14ac:dyDescent="0.3">
      <c r="A727" s="553" t="s">
        <v>586</v>
      </c>
      <c r="B727" s="554" t="s">
        <v>5</v>
      </c>
      <c r="C727" s="553" t="s">
        <v>433</v>
      </c>
      <c r="D727" s="553" t="s">
        <v>587</v>
      </c>
      <c r="E727" s="554" t="s">
        <v>463</v>
      </c>
      <c r="F727" s="554" t="s">
        <v>575</v>
      </c>
      <c r="G727" s="694" t="s">
        <v>588</v>
      </c>
      <c r="H727" s="692"/>
      <c r="I727" s="692"/>
      <c r="J727" s="554" t="s">
        <v>466</v>
      </c>
      <c r="K727" s="546"/>
    </row>
    <row r="728" spans="1:11" x14ac:dyDescent="0.3">
      <c r="A728" s="555"/>
      <c r="B728" s="555"/>
      <c r="C728" s="555"/>
      <c r="D728" s="555"/>
      <c r="E728" s="555"/>
      <c r="F728" s="555"/>
      <c r="G728" s="555" t="s">
        <v>589</v>
      </c>
      <c r="H728" s="555" t="s">
        <v>590</v>
      </c>
      <c r="I728" s="555" t="s">
        <v>591</v>
      </c>
      <c r="J728" s="555"/>
      <c r="K728" s="552"/>
    </row>
    <row r="729" spans="1:11" s="89" customFormat="1" ht="37.5" x14ac:dyDescent="0.3">
      <c r="A729" s="547" t="s">
        <v>587</v>
      </c>
      <c r="B729" s="548" t="s">
        <v>115</v>
      </c>
      <c r="C729" s="547">
        <v>5213416</v>
      </c>
      <c r="D729" s="547" t="s">
        <v>873</v>
      </c>
      <c r="E729" s="550">
        <v>1.24E-2</v>
      </c>
      <c r="F729" s="549" t="s">
        <v>593</v>
      </c>
      <c r="G729" s="548" t="s">
        <v>3846</v>
      </c>
      <c r="H729" s="548" t="s">
        <v>3847</v>
      </c>
      <c r="I729" s="548" t="s">
        <v>3848</v>
      </c>
      <c r="J729" s="563">
        <v>0</v>
      </c>
      <c r="K729" s="546"/>
    </row>
    <row r="730" spans="1:11" s="89" customFormat="1" ht="15" customHeight="1" x14ac:dyDescent="0.3">
      <c r="A730" s="547" t="s">
        <v>587</v>
      </c>
      <c r="B730" s="548" t="s">
        <v>115</v>
      </c>
      <c r="C730" s="547">
        <v>5219546</v>
      </c>
      <c r="D730" s="547" t="s">
        <v>878</v>
      </c>
      <c r="E730" s="550">
        <v>6.7379999999999995E-2</v>
      </c>
      <c r="F730" s="549" t="s">
        <v>593</v>
      </c>
      <c r="G730" s="548" t="s">
        <v>3846</v>
      </c>
      <c r="H730" s="548" t="s">
        <v>3847</v>
      </c>
      <c r="I730" s="548" t="s">
        <v>3848</v>
      </c>
      <c r="J730" s="563">
        <v>0</v>
      </c>
      <c r="K730" s="546"/>
    </row>
    <row r="731" spans="1:11" ht="14.25" customHeight="1" x14ac:dyDescent="0.3">
      <c r="A731" s="547" t="s">
        <v>587</v>
      </c>
      <c r="B731" s="548" t="s">
        <v>115</v>
      </c>
      <c r="C731" s="547" t="s">
        <v>875</v>
      </c>
      <c r="D731" s="547" t="s">
        <v>879</v>
      </c>
      <c r="E731" s="550">
        <v>6.9999999999999999E-4</v>
      </c>
      <c r="F731" s="549" t="s">
        <v>593</v>
      </c>
      <c r="G731" s="548" t="s">
        <v>3846</v>
      </c>
      <c r="H731" s="548" t="s">
        <v>3847</v>
      </c>
      <c r="I731" s="548" t="s">
        <v>3848</v>
      </c>
      <c r="J731" s="563">
        <v>0</v>
      </c>
      <c r="K731" s="552"/>
    </row>
    <row r="732" spans="1:11" s="89" customFormat="1" ht="15.75" customHeight="1" thickBot="1" x14ac:dyDescent="0.35">
      <c r="A732" s="689"/>
      <c r="B732" s="689"/>
      <c r="C732" s="689"/>
      <c r="D732" s="689"/>
      <c r="E732" s="689"/>
      <c r="F732" s="689" t="s">
        <v>594</v>
      </c>
      <c r="G732" s="689"/>
      <c r="H732" s="689"/>
      <c r="I732" s="689"/>
      <c r="J732" s="564">
        <v>0</v>
      </c>
      <c r="K732" s="546"/>
    </row>
    <row r="733" spans="1:11" ht="14.25" customHeight="1" thickTop="1" x14ac:dyDescent="0.3">
      <c r="A733" s="562"/>
      <c r="B733" s="562"/>
      <c r="C733" s="562"/>
      <c r="D733" s="562"/>
      <c r="E733" s="562"/>
      <c r="F733" s="562"/>
      <c r="G733" s="562"/>
      <c r="H733" s="562"/>
      <c r="I733" s="562"/>
      <c r="J733" s="562"/>
    </row>
    <row r="734" spans="1:11" s="89" customFormat="1" x14ac:dyDescent="0.3">
      <c r="A734" s="553"/>
      <c r="B734" s="554" t="s">
        <v>4</v>
      </c>
      <c r="C734" s="553" t="s">
        <v>5</v>
      </c>
      <c r="D734" s="553" t="s">
        <v>6</v>
      </c>
      <c r="E734" s="691" t="s">
        <v>427</v>
      </c>
      <c r="F734" s="691"/>
      <c r="G734" s="555" t="s">
        <v>7</v>
      </c>
      <c r="H734" s="554" t="s">
        <v>8</v>
      </c>
      <c r="I734" s="554" t="s">
        <v>9</v>
      </c>
      <c r="J734" s="554" t="s">
        <v>11</v>
      </c>
      <c r="K734" s="546"/>
    </row>
    <row r="735" spans="1:11" ht="15" customHeight="1" x14ac:dyDescent="0.3">
      <c r="A735" s="607" t="s">
        <v>428</v>
      </c>
      <c r="B735" s="608" t="s">
        <v>185</v>
      </c>
      <c r="C735" s="607" t="s">
        <v>115</v>
      </c>
      <c r="D735" s="607" t="s">
        <v>3856</v>
      </c>
      <c r="E735" s="690" t="s">
        <v>402</v>
      </c>
      <c r="F735" s="690"/>
      <c r="G735" s="609" t="s">
        <v>866</v>
      </c>
      <c r="H735" s="610">
        <v>1</v>
      </c>
      <c r="I735" s="611">
        <v>8.06</v>
      </c>
      <c r="J735" s="611">
        <v>8.06</v>
      </c>
      <c r="K735" s="552"/>
    </row>
    <row r="736" spans="1:11" s="89" customFormat="1" ht="15" customHeight="1" x14ac:dyDescent="0.3">
      <c r="A736" s="689"/>
      <c r="B736" s="689"/>
      <c r="C736" s="689"/>
      <c r="D736" s="689"/>
      <c r="E736" s="689"/>
      <c r="F736" s="689" t="s">
        <v>472</v>
      </c>
      <c r="G736" s="689"/>
      <c r="H736" s="689"/>
      <c r="I736" s="689"/>
      <c r="J736" s="564">
        <v>0</v>
      </c>
      <c r="K736" s="546"/>
    </row>
    <row r="737" spans="1:11" ht="14.25" customHeight="1" x14ac:dyDescent="0.3">
      <c r="A737" s="689"/>
      <c r="B737" s="689"/>
      <c r="C737" s="689"/>
      <c r="D737" s="689"/>
      <c r="E737" s="689"/>
      <c r="F737" s="689" t="s">
        <v>473</v>
      </c>
      <c r="G737" s="689"/>
      <c r="H737" s="689"/>
      <c r="I737" s="689"/>
      <c r="J737" s="564">
        <v>0</v>
      </c>
      <c r="K737" s="552"/>
    </row>
    <row r="738" spans="1:11" s="89" customFormat="1" x14ac:dyDescent="0.3">
      <c r="A738" s="689"/>
      <c r="B738" s="689"/>
      <c r="C738" s="689"/>
      <c r="D738" s="689"/>
      <c r="E738" s="689"/>
      <c r="F738" s="689" t="s">
        <v>474</v>
      </c>
      <c r="G738" s="689"/>
      <c r="H738" s="689"/>
      <c r="I738" s="689"/>
      <c r="J738" s="564">
        <v>0</v>
      </c>
      <c r="K738" s="546"/>
    </row>
    <row r="739" spans="1:11" ht="14.25" customHeight="1" x14ac:dyDescent="0.3">
      <c r="A739" s="689"/>
      <c r="B739" s="689"/>
      <c r="C739" s="689"/>
      <c r="D739" s="689"/>
      <c r="E739" s="689"/>
      <c r="F739" s="689" t="s">
        <v>475</v>
      </c>
      <c r="G739" s="689"/>
      <c r="H739" s="689"/>
      <c r="I739" s="689"/>
      <c r="J739" s="564">
        <v>1</v>
      </c>
      <c r="K739" s="552"/>
    </row>
    <row r="740" spans="1:11" s="89" customFormat="1" ht="15" customHeight="1" x14ac:dyDescent="0.3">
      <c r="A740" s="689"/>
      <c r="B740" s="689"/>
      <c r="C740" s="689"/>
      <c r="D740" s="689"/>
      <c r="E740" s="689"/>
      <c r="F740" s="689" t="s">
        <v>476</v>
      </c>
      <c r="G740" s="689"/>
      <c r="H740" s="689"/>
      <c r="I740" s="689"/>
      <c r="J740" s="564">
        <v>0</v>
      </c>
      <c r="K740" s="546"/>
    </row>
    <row r="741" spans="1:11" ht="15" customHeight="1" x14ac:dyDescent="0.3">
      <c r="A741" s="553" t="s">
        <v>573</v>
      </c>
      <c r="B741" s="554" t="s">
        <v>5</v>
      </c>
      <c r="C741" s="553" t="s">
        <v>4</v>
      </c>
      <c r="D741" s="553" t="s">
        <v>574</v>
      </c>
      <c r="E741" s="554" t="s">
        <v>463</v>
      </c>
      <c r="F741" s="554" t="s">
        <v>575</v>
      </c>
      <c r="G741" s="692" t="s">
        <v>576</v>
      </c>
      <c r="H741" s="692"/>
      <c r="I741" s="692"/>
      <c r="J741" s="554" t="s">
        <v>466</v>
      </c>
      <c r="K741" s="552"/>
    </row>
    <row r="742" spans="1:11" s="89" customFormat="1" x14ac:dyDescent="0.3">
      <c r="A742" s="547" t="s">
        <v>577</v>
      </c>
      <c r="B742" s="548" t="s">
        <v>115</v>
      </c>
      <c r="C742" s="547">
        <v>5213387</v>
      </c>
      <c r="D742" s="547" t="s">
        <v>880</v>
      </c>
      <c r="E742" s="550">
        <v>6.6699999999999997E-3</v>
      </c>
      <c r="F742" s="549" t="s">
        <v>869</v>
      </c>
      <c r="G742" s="693">
        <v>837.99</v>
      </c>
      <c r="H742" s="693"/>
      <c r="I742" s="688"/>
      <c r="J742" s="563">
        <v>5.5894000000000004</v>
      </c>
      <c r="K742" s="546"/>
    </row>
    <row r="743" spans="1:11" s="89" customFormat="1" ht="15" customHeight="1" x14ac:dyDescent="0.3">
      <c r="A743" s="689"/>
      <c r="B743" s="689"/>
      <c r="C743" s="689"/>
      <c r="D743" s="689"/>
      <c r="E743" s="689"/>
      <c r="F743" s="689" t="s">
        <v>578</v>
      </c>
      <c r="G743" s="689"/>
      <c r="H743" s="689"/>
      <c r="I743" s="689"/>
      <c r="J743" s="564">
        <v>5.5894000000000004</v>
      </c>
      <c r="K743" s="546"/>
    </row>
    <row r="744" spans="1:11" ht="15" customHeight="1" x14ac:dyDescent="0.3">
      <c r="A744" s="553" t="s">
        <v>579</v>
      </c>
      <c r="B744" s="554" t="s">
        <v>5</v>
      </c>
      <c r="C744" s="553" t="s">
        <v>433</v>
      </c>
      <c r="D744" s="553" t="s">
        <v>580</v>
      </c>
      <c r="E744" s="554" t="s">
        <v>4</v>
      </c>
      <c r="F744" s="554" t="s">
        <v>463</v>
      </c>
      <c r="G744" s="555" t="s">
        <v>575</v>
      </c>
      <c r="H744" s="692" t="s">
        <v>576</v>
      </c>
      <c r="I744" s="692"/>
      <c r="J744" s="554" t="s">
        <v>466</v>
      </c>
      <c r="K744" s="552"/>
    </row>
    <row r="745" spans="1:11" ht="25" x14ac:dyDescent="0.3">
      <c r="A745" s="547" t="s">
        <v>581</v>
      </c>
      <c r="B745" s="548" t="s">
        <v>115</v>
      </c>
      <c r="C745" s="547">
        <v>5213387</v>
      </c>
      <c r="D745" s="547" t="s">
        <v>844</v>
      </c>
      <c r="E745" s="548">
        <v>5914655</v>
      </c>
      <c r="F745" s="550">
        <v>7.4370000000000006E-2</v>
      </c>
      <c r="G745" s="549" t="s">
        <v>584</v>
      </c>
      <c r="H745" s="693">
        <v>33.159999999999997</v>
      </c>
      <c r="I745" s="688"/>
      <c r="J745" s="563">
        <v>2.4661</v>
      </c>
      <c r="K745" s="552"/>
    </row>
    <row r="746" spans="1:11" s="89" customFormat="1" ht="15" customHeight="1" x14ac:dyDescent="0.3">
      <c r="A746" s="689"/>
      <c r="B746" s="689"/>
      <c r="C746" s="689"/>
      <c r="D746" s="689"/>
      <c r="E746" s="689"/>
      <c r="F746" s="689" t="s">
        <v>585</v>
      </c>
      <c r="G746" s="689"/>
      <c r="H746" s="689"/>
      <c r="I746" s="689"/>
      <c r="J746" s="564">
        <v>2.4661</v>
      </c>
      <c r="K746" s="546"/>
    </row>
    <row r="747" spans="1:11" s="89" customFormat="1" ht="15" customHeight="1" x14ac:dyDescent="0.3">
      <c r="A747" s="553" t="s">
        <v>586</v>
      </c>
      <c r="B747" s="554" t="s">
        <v>5</v>
      </c>
      <c r="C747" s="553" t="s">
        <v>433</v>
      </c>
      <c r="D747" s="553" t="s">
        <v>587</v>
      </c>
      <c r="E747" s="554" t="s">
        <v>463</v>
      </c>
      <c r="F747" s="554" t="s">
        <v>575</v>
      </c>
      <c r="G747" s="694" t="s">
        <v>588</v>
      </c>
      <c r="H747" s="692"/>
      <c r="I747" s="692"/>
      <c r="J747" s="554" t="s">
        <v>466</v>
      </c>
      <c r="K747" s="546"/>
    </row>
    <row r="748" spans="1:11" ht="14.25" customHeight="1" x14ac:dyDescent="0.3">
      <c r="A748" s="555"/>
      <c r="B748" s="555"/>
      <c r="C748" s="555"/>
      <c r="D748" s="555"/>
      <c r="E748" s="555"/>
      <c r="F748" s="555"/>
      <c r="G748" s="555" t="s">
        <v>589</v>
      </c>
      <c r="H748" s="555" t="s">
        <v>590</v>
      </c>
      <c r="I748" s="555" t="s">
        <v>591</v>
      </c>
      <c r="J748" s="555"/>
      <c r="K748" s="552"/>
    </row>
    <row r="749" spans="1:11" ht="14.25" customHeight="1" x14ac:dyDescent="0.3">
      <c r="A749" s="547" t="s">
        <v>587</v>
      </c>
      <c r="B749" s="548" t="s">
        <v>115</v>
      </c>
      <c r="C749" s="547">
        <v>5213387</v>
      </c>
      <c r="D749" s="547" t="s">
        <v>881</v>
      </c>
      <c r="E749" s="550">
        <v>0.62395999999999996</v>
      </c>
      <c r="F749" s="549" t="s">
        <v>593</v>
      </c>
      <c r="G749" s="548" t="s">
        <v>3846</v>
      </c>
      <c r="H749" s="548" t="s">
        <v>3847</v>
      </c>
      <c r="I749" s="548" t="s">
        <v>3848</v>
      </c>
      <c r="J749" s="563">
        <v>0</v>
      </c>
      <c r="K749" s="552"/>
    </row>
    <row r="750" spans="1:11" s="89" customFormat="1" ht="15.75" customHeight="1" thickBot="1" x14ac:dyDescent="0.35">
      <c r="A750" s="689"/>
      <c r="B750" s="689"/>
      <c r="C750" s="689"/>
      <c r="D750" s="689"/>
      <c r="E750" s="689"/>
      <c r="F750" s="689" t="s">
        <v>594</v>
      </c>
      <c r="G750" s="689"/>
      <c r="H750" s="689"/>
      <c r="I750" s="689"/>
      <c r="J750" s="564">
        <v>0</v>
      </c>
      <c r="K750" s="546"/>
    </row>
    <row r="751" spans="1:11" s="89" customFormat="1" ht="15" customHeight="1" thickTop="1" x14ac:dyDescent="0.3">
      <c r="A751" s="562"/>
      <c r="B751" s="562"/>
      <c r="C751" s="562"/>
      <c r="D751" s="562"/>
      <c r="E751" s="562"/>
      <c r="F751" s="562"/>
      <c r="G751" s="562"/>
      <c r="H751" s="562"/>
      <c r="I751" s="562"/>
      <c r="J751" s="562"/>
      <c r="K751" s="546"/>
    </row>
    <row r="752" spans="1:11" s="89" customFormat="1" x14ac:dyDescent="0.3">
      <c r="A752" s="553"/>
      <c r="B752" s="554" t="s">
        <v>4</v>
      </c>
      <c r="C752" s="553" t="s">
        <v>5</v>
      </c>
      <c r="D752" s="553" t="s">
        <v>6</v>
      </c>
      <c r="E752" s="691" t="s">
        <v>427</v>
      </c>
      <c r="F752" s="691"/>
      <c r="G752" s="555" t="s">
        <v>7</v>
      </c>
      <c r="H752" s="554" t="s">
        <v>8</v>
      </c>
      <c r="I752" s="554" t="s">
        <v>9</v>
      </c>
      <c r="J752" s="554" t="s">
        <v>11</v>
      </c>
      <c r="K752" s="546"/>
    </row>
    <row r="753" spans="1:11" ht="15" customHeight="1" x14ac:dyDescent="0.3">
      <c r="A753" s="607" t="s">
        <v>428</v>
      </c>
      <c r="B753" s="608" t="s">
        <v>186</v>
      </c>
      <c r="C753" s="607" t="s">
        <v>115</v>
      </c>
      <c r="D753" s="607" t="s">
        <v>882</v>
      </c>
      <c r="E753" s="690" t="s">
        <v>402</v>
      </c>
      <c r="F753" s="690"/>
      <c r="G753" s="609" t="s">
        <v>866</v>
      </c>
      <c r="H753" s="610">
        <v>1</v>
      </c>
      <c r="I753" s="611">
        <v>0.78</v>
      </c>
      <c r="J753" s="611">
        <v>0.78</v>
      </c>
      <c r="K753" s="552"/>
    </row>
    <row r="754" spans="1:11" ht="14.25" customHeight="1" x14ac:dyDescent="0.3">
      <c r="A754" s="689"/>
      <c r="B754" s="689"/>
      <c r="C754" s="689"/>
      <c r="D754" s="689"/>
      <c r="E754" s="689"/>
      <c r="F754" s="689" t="s">
        <v>472</v>
      </c>
      <c r="G754" s="689"/>
      <c r="H754" s="689"/>
      <c r="I754" s="689"/>
      <c r="J754" s="564">
        <v>0</v>
      </c>
      <c r="K754" s="552"/>
    </row>
    <row r="755" spans="1:11" ht="14.25" customHeight="1" x14ac:dyDescent="0.3">
      <c r="A755" s="689"/>
      <c r="B755" s="689"/>
      <c r="C755" s="689"/>
      <c r="D755" s="689"/>
      <c r="E755" s="689"/>
      <c r="F755" s="689" t="s">
        <v>473</v>
      </c>
      <c r="G755" s="689"/>
      <c r="H755" s="689"/>
      <c r="I755" s="689"/>
      <c r="J755" s="564">
        <v>0</v>
      </c>
      <c r="K755" s="552"/>
    </row>
    <row r="756" spans="1:11" s="89" customFormat="1" x14ac:dyDescent="0.3">
      <c r="A756" s="689"/>
      <c r="B756" s="689"/>
      <c r="C756" s="689"/>
      <c r="D756" s="689"/>
      <c r="E756" s="689"/>
      <c r="F756" s="689" t="s">
        <v>474</v>
      </c>
      <c r="G756" s="689"/>
      <c r="H756" s="689"/>
      <c r="I756" s="689"/>
      <c r="J756" s="564">
        <v>0</v>
      </c>
      <c r="K756" s="546"/>
    </row>
    <row r="757" spans="1:11" ht="14.25" customHeight="1" x14ac:dyDescent="0.3">
      <c r="A757" s="689"/>
      <c r="B757" s="689"/>
      <c r="C757" s="689"/>
      <c r="D757" s="689"/>
      <c r="E757" s="689"/>
      <c r="F757" s="689" t="s">
        <v>475</v>
      </c>
      <c r="G757" s="689"/>
      <c r="H757" s="689"/>
      <c r="I757" s="689"/>
      <c r="J757" s="564">
        <v>1</v>
      </c>
      <c r="K757" s="552"/>
    </row>
    <row r="758" spans="1:11" s="89" customFormat="1" ht="15" customHeight="1" x14ac:dyDescent="0.3">
      <c r="A758" s="689"/>
      <c r="B758" s="689"/>
      <c r="C758" s="689"/>
      <c r="D758" s="689"/>
      <c r="E758" s="689"/>
      <c r="F758" s="689" t="s">
        <v>476</v>
      </c>
      <c r="G758" s="689"/>
      <c r="H758" s="689"/>
      <c r="I758" s="689"/>
      <c r="J758" s="564">
        <v>0</v>
      </c>
      <c r="K758" s="546"/>
    </row>
    <row r="759" spans="1:11" ht="15" customHeight="1" x14ac:dyDescent="0.3">
      <c r="A759" s="553" t="s">
        <v>410</v>
      </c>
      <c r="B759" s="554" t="s">
        <v>5</v>
      </c>
      <c r="C759" s="553" t="s">
        <v>4</v>
      </c>
      <c r="D759" s="553" t="s">
        <v>438</v>
      </c>
      <c r="E759" s="554" t="s">
        <v>463</v>
      </c>
      <c r="F759" s="554" t="s">
        <v>575</v>
      </c>
      <c r="G759" s="692" t="s">
        <v>576</v>
      </c>
      <c r="H759" s="692"/>
      <c r="I759" s="692"/>
      <c r="J759" s="554" t="s">
        <v>466</v>
      </c>
      <c r="K759" s="552"/>
    </row>
    <row r="760" spans="1:11" x14ac:dyDescent="0.3">
      <c r="A760" s="547" t="s">
        <v>433</v>
      </c>
      <c r="B760" s="548" t="s">
        <v>115</v>
      </c>
      <c r="C760" s="547" t="s">
        <v>883</v>
      </c>
      <c r="D760" s="547" t="s">
        <v>884</v>
      </c>
      <c r="E760" s="550">
        <v>6.6699999999999997E-3</v>
      </c>
      <c r="F760" s="549" t="s">
        <v>869</v>
      </c>
      <c r="G760" s="693">
        <v>97.660499999999999</v>
      </c>
      <c r="H760" s="693"/>
      <c r="I760" s="688"/>
      <c r="J760" s="563">
        <v>0.65139999999999998</v>
      </c>
      <c r="K760" s="552"/>
    </row>
    <row r="761" spans="1:11" ht="14.25" customHeight="1" x14ac:dyDescent="0.3">
      <c r="A761" s="689"/>
      <c r="B761" s="689"/>
      <c r="C761" s="689"/>
      <c r="D761" s="689"/>
      <c r="E761" s="689"/>
      <c r="F761" s="689" t="s">
        <v>813</v>
      </c>
      <c r="G761" s="689"/>
      <c r="H761" s="689"/>
      <c r="I761" s="689"/>
      <c r="J761" s="564">
        <v>0.65139999999999998</v>
      </c>
      <c r="K761" s="552"/>
    </row>
    <row r="762" spans="1:11" s="89" customFormat="1" ht="15.75" customHeight="1" x14ac:dyDescent="0.3">
      <c r="A762" s="553" t="s">
        <v>579</v>
      </c>
      <c r="B762" s="554" t="s">
        <v>5</v>
      </c>
      <c r="C762" s="553" t="s">
        <v>433</v>
      </c>
      <c r="D762" s="553" t="s">
        <v>580</v>
      </c>
      <c r="E762" s="554" t="s">
        <v>4</v>
      </c>
      <c r="F762" s="554" t="s">
        <v>463</v>
      </c>
      <c r="G762" s="555" t="s">
        <v>575</v>
      </c>
      <c r="H762" s="692" t="s">
        <v>576</v>
      </c>
      <c r="I762" s="692"/>
      <c r="J762" s="554" t="s">
        <v>466</v>
      </c>
      <c r="K762" s="546"/>
    </row>
    <row r="763" spans="1:11" ht="25" x14ac:dyDescent="0.3">
      <c r="A763" s="547" t="s">
        <v>581</v>
      </c>
      <c r="B763" s="548" t="s">
        <v>115</v>
      </c>
      <c r="C763" s="547" t="s">
        <v>883</v>
      </c>
      <c r="D763" s="547" t="s">
        <v>844</v>
      </c>
      <c r="E763" s="548">
        <v>5914655</v>
      </c>
      <c r="F763" s="550">
        <v>4.0000000000000001E-3</v>
      </c>
      <c r="G763" s="549" t="s">
        <v>584</v>
      </c>
      <c r="H763" s="693">
        <v>33.159999999999997</v>
      </c>
      <c r="I763" s="688"/>
      <c r="J763" s="563">
        <v>0.1326</v>
      </c>
      <c r="K763" s="552"/>
    </row>
    <row r="764" spans="1:11" ht="14.25" customHeight="1" x14ac:dyDescent="0.3">
      <c r="A764" s="689"/>
      <c r="B764" s="689"/>
      <c r="C764" s="689"/>
      <c r="D764" s="689"/>
      <c r="E764" s="689"/>
      <c r="F764" s="689" t="s">
        <v>585</v>
      </c>
      <c r="G764" s="689"/>
      <c r="H764" s="689"/>
      <c r="I764" s="689"/>
      <c r="J764" s="564">
        <v>0.1326</v>
      </c>
      <c r="K764" s="552"/>
    </row>
    <row r="765" spans="1:11" s="89" customFormat="1" ht="15" customHeight="1" x14ac:dyDescent="0.3">
      <c r="A765" s="553" t="s">
        <v>586</v>
      </c>
      <c r="B765" s="554" t="s">
        <v>5</v>
      </c>
      <c r="C765" s="553" t="s">
        <v>433</v>
      </c>
      <c r="D765" s="553" t="s">
        <v>587</v>
      </c>
      <c r="E765" s="554" t="s">
        <v>463</v>
      </c>
      <c r="F765" s="554" t="s">
        <v>575</v>
      </c>
      <c r="G765" s="694" t="s">
        <v>588</v>
      </c>
      <c r="H765" s="692"/>
      <c r="I765" s="692"/>
      <c r="J765" s="554" t="s">
        <v>466</v>
      </c>
      <c r="K765" s="546"/>
    </row>
    <row r="766" spans="1:11" s="89" customFormat="1" x14ac:dyDescent="0.3">
      <c r="A766" s="555"/>
      <c r="B766" s="555"/>
      <c r="C766" s="555"/>
      <c r="D766" s="555"/>
      <c r="E766" s="555"/>
      <c r="F766" s="555"/>
      <c r="G766" s="555" t="s">
        <v>589</v>
      </c>
      <c r="H766" s="555" t="s">
        <v>590</v>
      </c>
      <c r="I766" s="555" t="s">
        <v>591</v>
      </c>
      <c r="J766" s="555"/>
      <c r="K766" s="546"/>
    </row>
    <row r="767" spans="1:11" s="89" customFormat="1" ht="15" customHeight="1" x14ac:dyDescent="0.3">
      <c r="A767" s="547" t="s">
        <v>587</v>
      </c>
      <c r="B767" s="548" t="s">
        <v>115</v>
      </c>
      <c r="C767" s="547" t="s">
        <v>883</v>
      </c>
      <c r="D767" s="547" t="s">
        <v>885</v>
      </c>
      <c r="E767" s="550">
        <v>6.5700000000000003E-3</v>
      </c>
      <c r="F767" s="549" t="s">
        <v>593</v>
      </c>
      <c r="G767" s="548" t="s">
        <v>3846</v>
      </c>
      <c r="H767" s="548" t="s">
        <v>3847</v>
      </c>
      <c r="I767" s="548" t="s">
        <v>3848</v>
      </c>
      <c r="J767" s="563">
        <v>0</v>
      </c>
      <c r="K767" s="546"/>
    </row>
    <row r="768" spans="1:11" s="89" customFormat="1" ht="15.75" customHeight="1" thickBot="1" x14ac:dyDescent="0.35">
      <c r="A768" s="689"/>
      <c r="B768" s="689"/>
      <c r="C768" s="689"/>
      <c r="D768" s="689"/>
      <c r="E768" s="689"/>
      <c r="F768" s="689" t="s">
        <v>594</v>
      </c>
      <c r="G768" s="689"/>
      <c r="H768" s="689"/>
      <c r="I768" s="689"/>
      <c r="J768" s="564">
        <v>0</v>
      </c>
      <c r="K768" s="546"/>
    </row>
    <row r="769" spans="1:11" ht="14.25" customHeight="1" thickTop="1" x14ac:dyDescent="0.3">
      <c r="A769" s="562"/>
      <c r="B769" s="562"/>
      <c r="C769" s="562"/>
      <c r="D769" s="562"/>
      <c r="E769" s="562"/>
      <c r="F769" s="562"/>
      <c r="G769" s="562"/>
      <c r="H769" s="562"/>
      <c r="I769" s="562"/>
      <c r="J769" s="562"/>
      <c r="K769" s="552"/>
    </row>
    <row r="770" spans="1:11" ht="14.25" customHeight="1" x14ac:dyDescent="0.3">
      <c r="A770" s="553"/>
      <c r="B770" s="554" t="s">
        <v>4</v>
      </c>
      <c r="C770" s="553" t="s">
        <v>5</v>
      </c>
      <c r="D770" s="553" t="s">
        <v>6</v>
      </c>
      <c r="E770" s="691" t="s">
        <v>427</v>
      </c>
      <c r="F770" s="691"/>
      <c r="G770" s="555" t="s">
        <v>7</v>
      </c>
      <c r="H770" s="554" t="s">
        <v>8</v>
      </c>
      <c r="I770" s="554" t="s">
        <v>9</v>
      </c>
      <c r="J770" s="554" t="s">
        <v>11</v>
      </c>
      <c r="K770" s="552"/>
    </row>
    <row r="771" spans="1:11" ht="15" customHeight="1" x14ac:dyDescent="0.3">
      <c r="A771" s="607" t="s">
        <v>428</v>
      </c>
      <c r="B771" s="608" t="s">
        <v>187</v>
      </c>
      <c r="C771" s="607" t="s">
        <v>115</v>
      </c>
      <c r="D771" s="607" t="s">
        <v>3857</v>
      </c>
      <c r="E771" s="690" t="s">
        <v>402</v>
      </c>
      <c r="F771" s="690"/>
      <c r="G771" s="609" t="s">
        <v>866</v>
      </c>
      <c r="H771" s="610">
        <v>1</v>
      </c>
      <c r="I771" s="611">
        <v>1.25</v>
      </c>
      <c r="J771" s="611">
        <v>1.25</v>
      </c>
      <c r="K771" s="552"/>
    </row>
    <row r="772" spans="1:11" s="89" customFormat="1" ht="15" customHeight="1" x14ac:dyDescent="0.3">
      <c r="A772" s="689"/>
      <c r="B772" s="689"/>
      <c r="C772" s="689"/>
      <c r="D772" s="689"/>
      <c r="E772" s="689"/>
      <c r="F772" s="689" t="s">
        <v>472</v>
      </c>
      <c r="G772" s="689"/>
      <c r="H772" s="689"/>
      <c r="I772" s="689"/>
      <c r="J772" s="564">
        <v>0</v>
      </c>
      <c r="K772" s="546"/>
    </row>
    <row r="773" spans="1:11" ht="14.25" customHeight="1" x14ac:dyDescent="0.3">
      <c r="A773" s="689"/>
      <c r="B773" s="689"/>
      <c r="C773" s="689"/>
      <c r="D773" s="689"/>
      <c r="E773" s="689"/>
      <c r="F773" s="689" t="s">
        <v>473</v>
      </c>
      <c r="G773" s="689"/>
      <c r="H773" s="689"/>
      <c r="I773" s="689"/>
      <c r="J773" s="564">
        <v>0</v>
      </c>
      <c r="K773" s="552"/>
    </row>
    <row r="774" spans="1:11" s="89" customFormat="1" x14ac:dyDescent="0.3">
      <c r="A774" s="689"/>
      <c r="B774" s="689"/>
      <c r="C774" s="689"/>
      <c r="D774" s="689"/>
      <c r="E774" s="689"/>
      <c r="F774" s="689" t="s">
        <v>474</v>
      </c>
      <c r="G774" s="689"/>
      <c r="H774" s="689"/>
      <c r="I774" s="689"/>
      <c r="J774" s="564">
        <v>0</v>
      </c>
      <c r="K774" s="546"/>
    </row>
    <row r="775" spans="1:11" s="89" customFormat="1" ht="15" customHeight="1" x14ac:dyDescent="0.3">
      <c r="A775" s="689"/>
      <c r="B775" s="689"/>
      <c r="C775" s="689"/>
      <c r="D775" s="689"/>
      <c r="E775" s="689"/>
      <c r="F775" s="689" t="s">
        <v>475</v>
      </c>
      <c r="G775" s="689"/>
      <c r="H775" s="689"/>
      <c r="I775" s="689"/>
      <c r="J775" s="564">
        <v>1</v>
      </c>
      <c r="K775" s="546"/>
    </row>
    <row r="776" spans="1:11" ht="14.25" customHeight="1" x14ac:dyDescent="0.3">
      <c r="A776" s="689"/>
      <c r="B776" s="689"/>
      <c r="C776" s="689"/>
      <c r="D776" s="689"/>
      <c r="E776" s="689"/>
      <c r="F776" s="689" t="s">
        <v>476</v>
      </c>
      <c r="G776" s="689"/>
      <c r="H776" s="689"/>
      <c r="I776" s="689"/>
      <c r="J776" s="564">
        <v>0</v>
      </c>
      <c r="K776" s="552"/>
    </row>
    <row r="777" spans="1:11" s="89" customFormat="1" ht="15" customHeight="1" x14ac:dyDescent="0.3">
      <c r="A777" s="553" t="s">
        <v>410</v>
      </c>
      <c r="B777" s="554" t="s">
        <v>5</v>
      </c>
      <c r="C777" s="553" t="s">
        <v>4</v>
      </c>
      <c r="D777" s="553" t="s">
        <v>438</v>
      </c>
      <c r="E777" s="554" t="s">
        <v>463</v>
      </c>
      <c r="F777" s="554" t="s">
        <v>575</v>
      </c>
      <c r="G777" s="692" t="s">
        <v>576</v>
      </c>
      <c r="H777" s="692"/>
      <c r="I777" s="692"/>
      <c r="J777" s="554" t="s">
        <v>466</v>
      </c>
      <c r="K777" s="546"/>
    </row>
    <row r="778" spans="1:11" ht="25" x14ac:dyDescent="0.3">
      <c r="A778" s="547" t="s">
        <v>433</v>
      </c>
      <c r="B778" s="548" t="s">
        <v>115</v>
      </c>
      <c r="C778" s="547" t="s">
        <v>886</v>
      </c>
      <c r="D778" s="547" t="s">
        <v>887</v>
      </c>
      <c r="E778" s="550">
        <v>6.6699999999999997E-3</v>
      </c>
      <c r="F778" s="549" t="s">
        <v>869</v>
      </c>
      <c r="G778" s="693">
        <v>158.2124</v>
      </c>
      <c r="H778" s="693"/>
      <c r="I778" s="688"/>
      <c r="J778" s="563">
        <v>1.0552999999999999</v>
      </c>
      <c r="K778" s="552"/>
    </row>
    <row r="779" spans="1:11" s="89" customFormat="1" ht="15" customHeight="1" x14ac:dyDescent="0.3">
      <c r="A779" s="689"/>
      <c r="B779" s="689"/>
      <c r="C779" s="689"/>
      <c r="D779" s="689"/>
      <c r="E779" s="689"/>
      <c r="F779" s="689" t="s">
        <v>813</v>
      </c>
      <c r="G779" s="689"/>
      <c r="H779" s="689"/>
      <c r="I779" s="689"/>
      <c r="J779" s="564">
        <v>1.0552999999999999</v>
      </c>
      <c r="K779" s="546"/>
    </row>
    <row r="780" spans="1:11" ht="15" customHeight="1" x14ac:dyDescent="0.3">
      <c r="A780" s="553" t="s">
        <v>579</v>
      </c>
      <c r="B780" s="554" t="s">
        <v>5</v>
      </c>
      <c r="C780" s="553" t="s">
        <v>433</v>
      </c>
      <c r="D780" s="553" t="s">
        <v>580</v>
      </c>
      <c r="E780" s="554" t="s">
        <v>4</v>
      </c>
      <c r="F780" s="554" t="s">
        <v>463</v>
      </c>
      <c r="G780" s="555" t="s">
        <v>575</v>
      </c>
      <c r="H780" s="692" t="s">
        <v>576</v>
      </c>
      <c r="I780" s="692"/>
      <c r="J780" s="554" t="s">
        <v>466</v>
      </c>
      <c r="K780" s="552"/>
    </row>
    <row r="781" spans="1:11" ht="25" x14ac:dyDescent="0.3">
      <c r="A781" s="547" t="s">
        <v>581</v>
      </c>
      <c r="B781" s="548" t="s">
        <v>115</v>
      </c>
      <c r="C781" s="547" t="s">
        <v>886</v>
      </c>
      <c r="D781" s="547" t="s">
        <v>844</v>
      </c>
      <c r="E781" s="548">
        <v>5914655</v>
      </c>
      <c r="F781" s="550">
        <v>6.0000000000000001E-3</v>
      </c>
      <c r="G781" s="549" t="s">
        <v>584</v>
      </c>
      <c r="H781" s="693">
        <v>33.159999999999997</v>
      </c>
      <c r="I781" s="688"/>
      <c r="J781" s="563">
        <v>0.19900000000000001</v>
      </c>
      <c r="K781" s="552"/>
    </row>
    <row r="782" spans="1:11" s="89" customFormat="1" ht="15" customHeight="1" x14ac:dyDescent="0.3">
      <c r="A782" s="689"/>
      <c r="B782" s="689"/>
      <c r="C782" s="689"/>
      <c r="D782" s="689"/>
      <c r="E782" s="689"/>
      <c r="F782" s="689" t="s">
        <v>585</v>
      </c>
      <c r="G782" s="689"/>
      <c r="H782" s="689"/>
      <c r="I782" s="689"/>
      <c r="J782" s="564">
        <v>0.19900000000000001</v>
      </c>
      <c r="K782" s="546"/>
    </row>
    <row r="783" spans="1:11" s="89" customFormat="1" ht="15" customHeight="1" x14ac:dyDescent="0.3">
      <c r="A783" s="553" t="s">
        <v>586</v>
      </c>
      <c r="B783" s="554" t="s">
        <v>5</v>
      </c>
      <c r="C783" s="553" t="s">
        <v>433</v>
      </c>
      <c r="D783" s="553" t="s">
        <v>587</v>
      </c>
      <c r="E783" s="554" t="s">
        <v>463</v>
      </c>
      <c r="F783" s="554" t="s">
        <v>575</v>
      </c>
      <c r="G783" s="694" t="s">
        <v>588</v>
      </c>
      <c r="H783" s="692"/>
      <c r="I783" s="692"/>
      <c r="J783" s="554" t="s">
        <v>466</v>
      </c>
      <c r="K783" s="546"/>
    </row>
    <row r="784" spans="1:11" ht="14.25" customHeight="1" x14ac:dyDescent="0.3">
      <c r="A784" s="555"/>
      <c r="B784" s="555"/>
      <c r="C784" s="555"/>
      <c r="D784" s="555"/>
      <c r="E784" s="555"/>
      <c r="F784" s="555"/>
      <c r="G784" s="555" t="s">
        <v>589</v>
      </c>
      <c r="H784" s="555" t="s">
        <v>590</v>
      </c>
      <c r="I784" s="555" t="s">
        <v>591</v>
      </c>
      <c r="J784" s="555"/>
      <c r="K784" s="552"/>
    </row>
    <row r="785" spans="1:11" s="89" customFormat="1" ht="15" customHeight="1" x14ac:dyDescent="0.3">
      <c r="A785" s="547" t="s">
        <v>587</v>
      </c>
      <c r="B785" s="548" t="s">
        <v>115</v>
      </c>
      <c r="C785" s="547" t="s">
        <v>886</v>
      </c>
      <c r="D785" s="547" t="s">
        <v>888</v>
      </c>
      <c r="E785" s="550">
        <v>0.11345</v>
      </c>
      <c r="F785" s="549" t="s">
        <v>593</v>
      </c>
      <c r="G785" s="548" t="s">
        <v>3846</v>
      </c>
      <c r="H785" s="548" t="s">
        <v>3847</v>
      </c>
      <c r="I785" s="548" t="s">
        <v>3848</v>
      </c>
      <c r="J785" s="563">
        <v>0</v>
      </c>
      <c r="K785" s="546"/>
    </row>
    <row r="786" spans="1:11" ht="15" customHeight="1" thickBot="1" x14ac:dyDescent="0.35">
      <c r="A786" s="689"/>
      <c r="B786" s="689"/>
      <c r="C786" s="689"/>
      <c r="D786" s="689"/>
      <c r="E786" s="689"/>
      <c r="F786" s="689" t="s">
        <v>594</v>
      </c>
      <c r="G786" s="689"/>
      <c r="H786" s="689"/>
      <c r="I786" s="689"/>
      <c r="J786" s="564">
        <v>0</v>
      </c>
      <c r="K786" s="552"/>
    </row>
    <row r="787" spans="1:11" s="89" customFormat="1" ht="14.5" thickTop="1" x14ac:dyDescent="0.3">
      <c r="A787" s="562"/>
      <c r="B787" s="562"/>
      <c r="C787" s="562"/>
      <c r="D787" s="562"/>
      <c r="E787" s="562"/>
      <c r="F787" s="562"/>
      <c r="G787" s="562"/>
      <c r="H787" s="562"/>
      <c r="I787" s="562"/>
      <c r="J787" s="562"/>
      <c r="K787" s="546"/>
    </row>
    <row r="788" spans="1:11" x14ac:dyDescent="0.3">
      <c r="A788" s="553"/>
      <c r="B788" s="554" t="s">
        <v>4</v>
      </c>
      <c r="C788" s="553" t="s">
        <v>5</v>
      </c>
      <c r="D788" s="553" t="s">
        <v>6</v>
      </c>
      <c r="E788" s="691" t="s">
        <v>427</v>
      </c>
      <c r="F788" s="691"/>
      <c r="G788" s="555" t="s">
        <v>7</v>
      </c>
      <c r="H788" s="554" t="s">
        <v>8</v>
      </c>
      <c r="I788" s="554" t="s">
        <v>9</v>
      </c>
      <c r="J788" s="554" t="s">
        <v>11</v>
      </c>
      <c r="K788" s="552"/>
    </row>
    <row r="789" spans="1:11" s="89" customFormat="1" ht="25" x14ac:dyDescent="0.3">
      <c r="A789" s="607" t="s">
        <v>428</v>
      </c>
      <c r="B789" s="608" t="s">
        <v>190</v>
      </c>
      <c r="C789" s="607" t="s">
        <v>19</v>
      </c>
      <c r="D789" s="607" t="s">
        <v>3551</v>
      </c>
      <c r="E789" s="690" t="s">
        <v>555</v>
      </c>
      <c r="F789" s="690"/>
      <c r="G789" s="609" t="s">
        <v>556</v>
      </c>
      <c r="H789" s="610">
        <v>1</v>
      </c>
      <c r="I789" s="611">
        <v>22.73</v>
      </c>
      <c r="J789" s="611">
        <v>22.73</v>
      </c>
      <c r="K789" s="546"/>
    </row>
    <row r="790" spans="1:11" ht="14.25" customHeight="1" x14ac:dyDescent="0.3">
      <c r="A790" s="547" t="s">
        <v>430</v>
      </c>
      <c r="B790" s="548" t="s">
        <v>562</v>
      </c>
      <c r="C790" s="547" t="s">
        <v>19</v>
      </c>
      <c r="D790" s="547" t="s">
        <v>563</v>
      </c>
      <c r="E790" s="688" t="s">
        <v>461</v>
      </c>
      <c r="F790" s="688"/>
      <c r="G790" s="549" t="s">
        <v>95</v>
      </c>
      <c r="H790" s="550">
        <v>3.2599999999999997E-2</v>
      </c>
      <c r="I790" s="551">
        <v>204.43</v>
      </c>
      <c r="J790" s="551">
        <v>6.66</v>
      </c>
      <c r="K790" s="552"/>
    </row>
    <row r="791" spans="1:11" s="89" customFormat="1" ht="15" customHeight="1" x14ac:dyDescent="0.3">
      <c r="A791" s="547" t="s">
        <v>430</v>
      </c>
      <c r="B791" s="548" t="s">
        <v>564</v>
      </c>
      <c r="C791" s="547" t="s">
        <v>19</v>
      </c>
      <c r="D791" s="547" t="s">
        <v>565</v>
      </c>
      <c r="E791" s="688" t="s">
        <v>461</v>
      </c>
      <c r="F791" s="688"/>
      <c r="G791" s="549" t="s">
        <v>102</v>
      </c>
      <c r="H791" s="550">
        <v>8.9599999999999999E-2</v>
      </c>
      <c r="I791" s="551">
        <v>88.26</v>
      </c>
      <c r="J791" s="551">
        <v>7.9</v>
      </c>
      <c r="K791" s="546"/>
    </row>
    <row r="792" spans="1:11" s="89" customFormat="1" ht="15" customHeight="1" x14ac:dyDescent="0.3">
      <c r="A792" s="547" t="s">
        <v>430</v>
      </c>
      <c r="B792" s="548" t="s">
        <v>760</v>
      </c>
      <c r="C792" s="547" t="s">
        <v>19</v>
      </c>
      <c r="D792" s="547" t="s">
        <v>761</v>
      </c>
      <c r="E792" s="688" t="s">
        <v>429</v>
      </c>
      <c r="F792" s="688"/>
      <c r="G792" s="549" t="s">
        <v>423</v>
      </c>
      <c r="H792" s="550">
        <v>0.24329999999999999</v>
      </c>
      <c r="I792" s="551">
        <v>31.1</v>
      </c>
      <c r="J792" s="551">
        <v>7.56</v>
      </c>
      <c r="K792" s="546"/>
    </row>
    <row r="793" spans="1:11" s="89" customFormat="1" ht="38.25" customHeight="1" x14ac:dyDescent="0.3">
      <c r="A793" s="547" t="s">
        <v>430</v>
      </c>
      <c r="B793" s="548" t="s">
        <v>889</v>
      </c>
      <c r="C793" s="547" t="s">
        <v>19</v>
      </c>
      <c r="D793" s="547" t="s">
        <v>890</v>
      </c>
      <c r="E793" s="688" t="s">
        <v>461</v>
      </c>
      <c r="F793" s="688"/>
      <c r="G793" s="549" t="s">
        <v>95</v>
      </c>
      <c r="H793" s="550">
        <v>5.2400000000000002E-2</v>
      </c>
      <c r="I793" s="551">
        <v>10.050000000000001</v>
      </c>
      <c r="J793" s="551">
        <v>0.52</v>
      </c>
      <c r="K793" s="546"/>
    </row>
    <row r="794" spans="1:11" ht="38.25" customHeight="1" thickBot="1" x14ac:dyDescent="0.35">
      <c r="A794" s="547" t="s">
        <v>430</v>
      </c>
      <c r="B794" s="548" t="s">
        <v>891</v>
      </c>
      <c r="C794" s="547" t="s">
        <v>19</v>
      </c>
      <c r="D794" s="547" t="s">
        <v>892</v>
      </c>
      <c r="E794" s="688" t="s">
        <v>461</v>
      </c>
      <c r="F794" s="688"/>
      <c r="G794" s="549" t="s">
        <v>102</v>
      </c>
      <c r="H794" s="550">
        <v>8.3599999999999994E-2</v>
      </c>
      <c r="I794" s="551">
        <v>1.1000000000000001</v>
      </c>
      <c r="J794" s="551">
        <v>0.09</v>
      </c>
      <c r="K794" s="552"/>
    </row>
    <row r="795" spans="1:11" ht="14.25" customHeight="1" thickTop="1" x14ac:dyDescent="0.3">
      <c r="A795" s="562"/>
      <c r="B795" s="562"/>
      <c r="C795" s="562"/>
      <c r="D795" s="562"/>
      <c r="E795" s="562"/>
      <c r="F795" s="562"/>
      <c r="G795" s="562"/>
      <c r="H795" s="562"/>
      <c r="I795" s="562"/>
      <c r="J795" s="562"/>
      <c r="K795" s="552"/>
    </row>
    <row r="796" spans="1:11" x14ac:dyDescent="0.3">
      <c r="A796" s="553"/>
      <c r="B796" s="554" t="s">
        <v>4</v>
      </c>
      <c r="C796" s="553" t="s">
        <v>5</v>
      </c>
      <c r="D796" s="553" t="s">
        <v>6</v>
      </c>
      <c r="E796" s="691" t="s">
        <v>427</v>
      </c>
      <c r="F796" s="691"/>
      <c r="G796" s="555" t="s">
        <v>7</v>
      </c>
      <c r="H796" s="554" t="s">
        <v>8</v>
      </c>
      <c r="I796" s="554" t="s">
        <v>9</v>
      </c>
      <c r="J796" s="554" t="s">
        <v>11</v>
      </c>
      <c r="K796" s="552"/>
    </row>
    <row r="797" spans="1:11" x14ac:dyDescent="0.3">
      <c r="A797" s="607" t="s">
        <v>428</v>
      </c>
      <c r="B797" s="608" t="s">
        <v>191</v>
      </c>
      <c r="C797" s="607" t="s">
        <v>115</v>
      </c>
      <c r="D797" s="607" t="s">
        <v>3858</v>
      </c>
      <c r="E797" s="690" t="s">
        <v>3763</v>
      </c>
      <c r="F797" s="690"/>
      <c r="G797" s="609" t="s">
        <v>532</v>
      </c>
      <c r="H797" s="610">
        <v>1</v>
      </c>
      <c r="I797" s="611">
        <v>626.30999999999995</v>
      </c>
      <c r="J797" s="611">
        <v>626.30999999999995</v>
      </c>
      <c r="K797" s="552"/>
    </row>
    <row r="798" spans="1:11" ht="15" customHeight="1" x14ac:dyDescent="0.3">
      <c r="A798" s="691" t="s">
        <v>408</v>
      </c>
      <c r="B798" s="692" t="s">
        <v>4</v>
      </c>
      <c r="C798" s="691" t="s">
        <v>5</v>
      </c>
      <c r="D798" s="691" t="s">
        <v>462</v>
      </c>
      <c r="E798" s="692" t="s">
        <v>463</v>
      </c>
      <c r="F798" s="694" t="s">
        <v>464</v>
      </c>
      <c r="G798" s="692"/>
      <c r="H798" s="694" t="s">
        <v>465</v>
      </c>
      <c r="I798" s="692"/>
      <c r="J798" s="692" t="s">
        <v>466</v>
      </c>
      <c r="K798" s="552"/>
    </row>
    <row r="799" spans="1:11" ht="38.25" customHeight="1" x14ac:dyDescent="0.3">
      <c r="A799" s="692"/>
      <c r="B799" s="692"/>
      <c r="C799" s="692"/>
      <c r="D799" s="692"/>
      <c r="E799" s="692"/>
      <c r="F799" s="554" t="s">
        <v>467</v>
      </c>
      <c r="G799" s="554" t="s">
        <v>468</v>
      </c>
      <c r="H799" s="554" t="s">
        <v>467</v>
      </c>
      <c r="I799" s="554" t="s">
        <v>468</v>
      </c>
      <c r="J799" s="692"/>
      <c r="K799" s="552"/>
    </row>
    <row r="800" spans="1:11" s="89" customFormat="1" ht="38.25" customHeight="1" x14ac:dyDescent="0.3">
      <c r="A800" s="547" t="s">
        <v>433</v>
      </c>
      <c r="B800" s="548" t="s">
        <v>893</v>
      </c>
      <c r="C800" s="547" t="s">
        <v>115</v>
      </c>
      <c r="D800" s="547" t="s">
        <v>894</v>
      </c>
      <c r="E800" s="550">
        <v>6.096E-2</v>
      </c>
      <c r="F800" s="551">
        <v>1</v>
      </c>
      <c r="G800" s="551">
        <v>0</v>
      </c>
      <c r="H800" s="563">
        <v>0.68179999999999996</v>
      </c>
      <c r="I800" s="563">
        <v>0.46350000000000002</v>
      </c>
      <c r="J800" s="563">
        <v>4.1599999999999998E-2</v>
      </c>
      <c r="K800" s="546"/>
    </row>
    <row r="801" spans="1:11" ht="15" customHeight="1" x14ac:dyDescent="0.3">
      <c r="A801" s="689"/>
      <c r="B801" s="689"/>
      <c r="C801" s="689"/>
      <c r="D801" s="689"/>
      <c r="E801" s="689"/>
      <c r="F801" s="689" t="s">
        <v>471</v>
      </c>
      <c r="G801" s="689"/>
      <c r="H801" s="689"/>
      <c r="I801" s="689"/>
      <c r="J801" s="564">
        <v>4.1599999999999998E-2</v>
      </c>
      <c r="K801" s="552"/>
    </row>
    <row r="802" spans="1:11" ht="14.25" customHeight="1" x14ac:dyDescent="0.3">
      <c r="A802" s="689"/>
      <c r="B802" s="689"/>
      <c r="C802" s="689"/>
      <c r="D802" s="689"/>
      <c r="E802" s="689"/>
      <c r="F802" s="689" t="s">
        <v>472</v>
      </c>
      <c r="G802" s="689"/>
      <c r="H802" s="689"/>
      <c r="I802" s="689"/>
      <c r="J802" s="564">
        <v>4.1599999999999998E-2</v>
      </c>
      <c r="K802" s="552"/>
    </row>
    <row r="803" spans="1:11" s="89" customFormat="1" ht="15" customHeight="1" x14ac:dyDescent="0.3">
      <c r="A803" s="689"/>
      <c r="B803" s="689"/>
      <c r="C803" s="689"/>
      <c r="D803" s="689"/>
      <c r="E803" s="689"/>
      <c r="F803" s="689" t="s">
        <v>473</v>
      </c>
      <c r="G803" s="689"/>
      <c r="H803" s="689"/>
      <c r="I803" s="689"/>
      <c r="J803" s="564">
        <v>0</v>
      </c>
      <c r="K803" s="546"/>
    </row>
    <row r="804" spans="1:11" x14ac:dyDescent="0.3">
      <c r="A804" s="689"/>
      <c r="B804" s="689"/>
      <c r="C804" s="689"/>
      <c r="D804" s="689"/>
      <c r="E804" s="689"/>
      <c r="F804" s="689" t="s">
        <v>474</v>
      </c>
      <c r="G804" s="689"/>
      <c r="H804" s="689"/>
      <c r="I804" s="689"/>
      <c r="J804" s="564">
        <v>0</v>
      </c>
      <c r="K804" s="552"/>
    </row>
    <row r="805" spans="1:11" ht="14.25" customHeight="1" x14ac:dyDescent="0.3">
      <c r="A805" s="689"/>
      <c r="B805" s="689"/>
      <c r="C805" s="689"/>
      <c r="D805" s="689"/>
      <c r="E805" s="689"/>
      <c r="F805" s="689" t="s">
        <v>475</v>
      </c>
      <c r="G805" s="689"/>
      <c r="H805" s="689"/>
      <c r="I805" s="689"/>
      <c r="J805" s="564">
        <v>4.5999999999999999E-2</v>
      </c>
      <c r="K805" s="552"/>
    </row>
    <row r="806" spans="1:11" s="89" customFormat="1" ht="15" customHeight="1" x14ac:dyDescent="0.3">
      <c r="A806" s="689"/>
      <c r="B806" s="689"/>
      <c r="C806" s="689"/>
      <c r="D806" s="689"/>
      <c r="E806" s="689"/>
      <c r="F806" s="689" t="s">
        <v>476</v>
      </c>
      <c r="G806" s="689"/>
      <c r="H806" s="689"/>
      <c r="I806" s="689"/>
      <c r="J806" s="564">
        <v>0.90490000000000004</v>
      </c>
      <c r="K806" s="546"/>
    </row>
    <row r="807" spans="1:11" ht="15" customHeight="1" x14ac:dyDescent="0.3">
      <c r="A807" s="553" t="s">
        <v>573</v>
      </c>
      <c r="B807" s="554" t="s">
        <v>5</v>
      </c>
      <c r="C807" s="553" t="s">
        <v>4</v>
      </c>
      <c r="D807" s="553" t="s">
        <v>574</v>
      </c>
      <c r="E807" s="554" t="s">
        <v>463</v>
      </c>
      <c r="F807" s="554" t="s">
        <v>575</v>
      </c>
      <c r="G807" s="692" t="s">
        <v>576</v>
      </c>
      <c r="H807" s="692"/>
      <c r="I807" s="692"/>
      <c r="J807" s="554" t="s">
        <v>466</v>
      </c>
      <c r="K807" s="552"/>
    </row>
    <row r="808" spans="1:11" s="89" customFormat="1" x14ac:dyDescent="0.3">
      <c r="A808" s="547" t="s">
        <v>577</v>
      </c>
      <c r="B808" s="548" t="s">
        <v>19</v>
      </c>
      <c r="C808" s="547">
        <v>88316</v>
      </c>
      <c r="D808" s="547" t="s">
        <v>560</v>
      </c>
      <c r="E808" s="550">
        <v>23.079399599999999</v>
      </c>
      <c r="F808" s="549" t="s">
        <v>423</v>
      </c>
      <c r="G808" s="693">
        <v>23.4</v>
      </c>
      <c r="H808" s="693"/>
      <c r="I808" s="688"/>
      <c r="J808" s="563">
        <v>540.05799999999999</v>
      </c>
      <c r="K808" s="546"/>
    </row>
    <row r="809" spans="1:11" ht="14.25" customHeight="1" x14ac:dyDescent="0.3">
      <c r="A809" s="689"/>
      <c r="B809" s="689"/>
      <c r="C809" s="689"/>
      <c r="D809" s="689"/>
      <c r="E809" s="689"/>
      <c r="F809" s="689" t="s">
        <v>578</v>
      </c>
      <c r="G809" s="689"/>
      <c r="H809" s="689"/>
      <c r="I809" s="689"/>
      <c r="J809" s="564">
        <v>540.05799999999999</v>
      </c>
      <c r="K809" s="552"/>
    </row>
    <row r="810" spans="1:11" ht="15" customHeight="1" x14ac:dyDescent="0.3">
      <c r="A810" s="553" t="s">
        <v>579</v>
      </c>
      <c r="B810" s="554" t="s">
        <v>5</v>
      </c>
      <c r="C810" s="553" t="s">
        <v>433</v>
      </c>
      <c r="D810" s="553" t="s">
        <v>580</v>
      </c>
      <c r="E810" s="554" t="s">
        <v>4</v>
      </c>
      <c r="F810" s="554" t="s">
        <v>463</v>
      </c>
      <c r="G810" s="555" t="s">
        <v>575</v>
      </c>
      <c r="H810" s="692" t="s">
        <v>576</v>
      </c>
      <c r="I810" s="692"/>
      <c r="J810" s="554" t="s">
        <v>466</v>
      </c>
      <c r="K810" s="552"/>
    </row>
    <row r="811" spans="1:11" ht="14.25" customHeight="1" x14ac:dyDescent="0.3">
      <c r="A811" s="547" t="s">
        <v>581</v>
      </c>
      <c r="B811" s="548" t="s">
        <v>115</v>
      </c>
      <c r="C811" s="547" t="s">
        <v>895</v>
      </c>
      <c r="D811" s="547" t="s">
        <v>896</v>
      </c>
      <c r="E811" s="548">
        <v>5915433</v>
      </c>
      <c r="F811" s="550">
        <v>2.5</v>
      </c>
      <c r="G811" s="549" t="s">
        <v>584</v>
      </c>
      <c r="H811" s="693">
        <v>34.14</v>
      </c>
      <c r="I811" s="688"/>
      <c r="J811" s="563">
        <v>85.35</v>
      </c>
      <c r="K811" s="552"/>
    </row>
    <row r="812" spans="1:11" ht="14.25" customHeight="1" x14ac:dyDescent="0.3">
      <c r="A812" s="689"/>
      <c r="B812" s="689"/>
      <c r="C812" s="689"/>
      <c r="D812" s="689"/>
      <c r="E812" s="689"/>
      <c r="F812" s="689" t="s">
        <v>585</v>
      </c>
      <c r="G812" s="689"/>
      <c r="H812" s="689"/>
      <c r="I812" s="689"/>
      <c r="J812" s="564">
        <v>85.35</v>
      </c>
      <c r="K812" s="552"/>
    </row>
    <row r="813" spans="1:11" s="89" customFormat="1" ht="15" customHeight="1" x14ac:dyDescent="0.3">
      <c r="A813" s="553" t="s">
        <v>586</v>
      </c>
      <c r="B813" s="554" t="s">
        <v>5</v>
      </c>
      <c r="C813" s="553" t="s">
        <v>433</v>
      </c>
      <c r="D813" s="553" t="s">
        <v>587</v>
      </c>
      <c r="E813" s="554" t="s">
        <v>463</v>
      </c>
      <c r="F813" s="554" t="s">
        <v>575</v>
      </c>
      <c r="G813" s="694" t="s">
        <v>588</v>
      </c>
      <c r="H813" s="692"/>
      <c r="I813" s="692"/>
      <c r="J813" s="554" t="s">
        <v>466</v>
      </c>
      <c r="K813" s="546"/>
    </row>
    <row r="814" spans="1:11" ht="14.25" customHeight="1" x14ac:dyDescent="0.3">
      <c r="A814" s="555"/>
      <c r="B814" s="555"/>
      <c r="C814" s="555"/>
      <c r="D814" s="555"/>
      <c r="E814" s="555"/>
      <c r="F814" s="555"/>
      <c r="G814" s="555" t="s">
        <v>589</v>
      </c>
      <c r="H814" s="555" t="s">
        <v>590</v>
      </c>
      <c r="I814" s="555" t="s">
        <v>591</v>
      </c>
      <c r="J814" s="555"/>
      <c r="K814" s="552"/>
    </row>
    <row r="815" spans="1:11" s="89" customFormat="1" ht="15" customHeight="1" x14ac:dyDescent="0.3">
      <c r="A815" s="547" t="s">
        <v>587</v>
      </c>
      <c r="B815" s="548" t="s">
        <v>115</v>
      </c>
      <c r="C815" s="547" t="s">
        <v>895</v>
      </c>
      <c r="D815" s="547" t="s">
        <v>897</v>
      </c>
      <c r="E815" s="550">
        <v>2.5</v>
      </c>
      <c r="F815" s="549" t="s">
        <v>593</v>
      </c>
      <c r="G815" s="548" t="s">
        <v>3829</v>
      </c>
      <c r="H815" s="548" t="s">
        <v>3830</v>
      </c>
      <c r="I815" s="548" t="s">
        <v>3831</v>
      </c>
      <c r="J815" s="563">
        <v>0</v>
      </c>
      <c r="K815" s="546"/>
    </row>
    <row r="816" spans="1:11" ht="15" customHeight="1" thickBot="1" x14ac:dyDescent="0.35">
      <c r="A816" s="689"/>
      <c r="B816" s="689"/>
      <c r="C816" s="689"/>
      <c r="D816" s="689"/>
      <c r="E816" s="689"/>
      <c r="F816" s="689" t="s">
        <v>594</v>
      </c>
      <c r="G816" s="689"/>
      <c r="H816" s="689"/>
      <c r="I816" s="689"/>
      <c r="J816" s="564">
        <v>0</v>
      </c>
      <c r="K816" s="552"/>
    </row>
    <row r="817" spans="1:11" ht="14.5" thickTop="1" x14ac:dyDescent="0.3">
      <c r="A817" s="562"/>
      <c r="B817" s="562"/>
      <c r="C817" s="562"/>
      <c r="D817" s="562"/>
      <c r="E817" s="562"/>
      <c r="F817" s="562"/>
      <c r="G817" s="562"/>
      <c r="H817" s="562"/>
      <c r="I817" s="562"/>
      <c r="J817" s="562"/>
      <c r="K817" s="552"/>
    </row>
    <row r="818" spans="1:11" ht="14.25" customHeight="1" x14ac:dyDescent="0.3">
      <c r="A818" s="553"/>
      <c r="B818" s="554" t="s">
        <v>4</v>
      </c>
      <c r="C818" s="553" t="s">
        <v>5</v>
      </c>
      <c r="D818" s="553" t="s">
        <v>6</v>
      </c>
      <c r="E818" s="691" t="s">
        <v>427</v>
      </c>
      <c r="F818" s="691"/>
      <c r="G818" s="555" t="s">
        <v>7</v>
      </c>
      <c r="H818" s="554" t="s">
        <v>8</v>
      </c>
      <c r="I818" s="554" t="s">
        <v>9</v>
      </c>
      <c r="J818" s="554" t="s">
        <v>11</v>
      </c>
      <c r="K818" s="552"/>
    </row>
    <row r="819" spans="1:11" ht="15" customHeight="1" x14ac:dyDescent="0.3">
      <c r="A819" s="607" t="s">
        <v>428</v>
      </c>
      <c r="B819" s="608" t="s">
        <v>195</v>
      </c>
      <c r="C819" s="607" t="s">
        <v>196</v>
      </c>
      <c r="D819" s="607" t="s">
        <v>3786</v>
      </c>
      <c r="E819" s="690">
        <v>201</v>
      </c>
      <c r="F819" s="690"/>
      <c r="G819" s="609" t="s">
        <v>532</v>
      </c>
      <c r="H819" s="610">
        <v>1</v>
      </c>
      <c r="I819" s="611">
        <v>310.31</v>
      </c>
      <c r="J819" s="611">
        <v>310.31</v>
      </c>
      <c r="K819" s="552"/>
    </row>
    <row r="820" spans="1:11" s="89" customFormat="1" ht="25" x14ac:dyDescent="0.3">
      <c r="A820" s="547" t="s">
        <v>430</v>
      </c>
      <c r="B820" s="548" t="s">
        <v>898</v>
      </c>
      <c r="C820" s="547" t="s">
        <v>196</v>
      </c>
      <c r="D820" s="547" t="s">
        <v>899</v>
      </c>
      <c r="E820" s="688">
        <v>6</v>
      </c>
      <c r="F820" s="688"/>
      <c r="G820" s="549" t="s">
        <v>532</v>
      </c>
      <c r="H820" s="550">
        <v>2</v>
      </c>
      <c r="I820" s="551">
        <v>35.1</v>
      </c>
      <c r="J820" s="551">
        <v>70.2</v>
      </c>
      <c r="K820" s="546"/>
    </row>
    <row r="821" spans="1:11" ht="14.25" customHeight="1" x14ac:dyDescent="0.3">
      <c r="A821" s="547" t="s">
        <v>430</v>
      </c>
      <c r="B821" s="548" t="s">
        <v>559</v>
      </c>
      <c r="C821" s="547" t="s">
        <v>19</v>
      </c>
      <c r="D821" s="547" t="s">
        <v>560</v>
      </c>
      <c r="E821" s="688" t="s">
        <v>429</v>
      </c>
      <c r="F821" s="688"/>
      <c r="G821" s="549" t="s">
        <v>423</v>
      </c>
      <c r="H821" s="550">
        <v>1</v>
      </c>
      <c r="I821" s="551">
        <v>23.4</v>
      </c>
      <c r="J821" s="551">
        <v>23.4</v>
      </c>
      <c r="K821" s="552"/>
    </row>
    <row r="822" spans="1:11" s="89" customFormat="1" ht="15" customHeight="1" x14ac:dyDescent="0.3">
      <c r="A822" s="547" t="s">
        <v>430</v>
      </c>
      <c r="B822" s="548" t="s">
        <v>900</v>
      </c>
      <c r="C822" s="547" t="s">
        <v>19</v>
      </c>
      <c r="D822" s="547" t="s">
        <v>901</v>
      </c>
      <c r="E822" s="688" t="s">
        <v>429</v>
      </c>
      <c r="F822" s="688"/>
      <c r="G822" s="549" t="s">
        <v>423</v>
      </c>
      <c r="H822" s="550">
        <v>2</v>
      </c>
      <c r="I822" s="551">
        <v>25.72</v>
      </c>
      <c r="J822" s="551">
        <v>51.44</v>
      </c>
      <c r="K822" s="546"/>
    </row>
    <row r="823" spans="1:11" ht="38.25" customHeight="1" x14ac:dyDescent="0.3">
      <c r="A823" s="547" t="s">
        <v>430</v>
      </c>
      <c r="B823" s="548" t="s">
        <v>902</v>
      </c>
      <c r="C823" s="547" t="s">
        <v>19</v>
      </c>
      <c r="D823" s="547" t="s">
        <v>903</v>
      </c>
      <c r="E823" s="688" t="s">
        <v>461</v>
      </c>
      <c r="F823" s="688"/>
      <c r="G823" s="549" t="s">
        <v>95</v>
      </c>
      <c r="H823" s="550">
        <v>1</v>
      </c>
      <c r="I823" s="551">
        <v>72.709999999999994</v>
      </c>
      <c r="J823" s="551">
        <v>72.709999999999994</v>
      </c>
      <c r="K823" s="552"/>
    </row>
    <row r="824" spans="1:11" ht="14.25" customHeight="1" x14ac:dyDescent="0.3">
      <c r="A824" s="547" t="s">
        <v>430</v>
      </c>
      <c r="B824" s="548" t="s">
        <v>904</v>
      </c>
      <c r="C824" s="547" t="s">
        <v>19</v>
      </c>
      <c r="D824" s="547" t="s">
        <v>905</v>
      </c>
      <c r="E824" s="688" t="s">
        <v>461</v>
      </c>
      <c r="F824" s="688"/>
      <c r="G824" s="549" t="s">
        <v>95</v>
      </c>
      <c r="H824" s="550">
        <v>2</v>
      </c>
      <c r="I824" s="551">
        <v>30.06</v>
      </c>
      <c r="J824" s="551">
        <v>60.12</v>
      </c>
      <c r="K824" s="552"/>
    </row>
    <row r="825" spans="1:11" s="89" customFormat="1" ht="15.75" customHeight="1" thickBot="1" x14ac:dyDescent="0.35">
      <c r="A825" s="547" t="s">
        <v>433</v>
      </c>
      <c r="B825" s="548" t="s">
        <v>3859</v>
      </c>
      <c r="C825" s="547" t="s">
        <v>115</v>
      </c>
      <c r="D825" s="547" t="s">
        <v>3860</v>
      </c>
      <c r="E825" s="688" t="s">
        <v>438</v>
      </c>
      <c r="F825" s="688"/>
      <c r="G825" s="549" t="s">
        <v>835</v>
      </c>
      <c r="H825" s="550">
        <v>6</v>
      </c>
      <c r="I825" s="551">
        <v>5.4069000000000003</v>
      </c>
      <c r="J825" s="551">
        <v>32.44</v>
      </c>
      <c r="K825" s="546"/>
    </row>
    <row r="826" spans="1:11" ht="38.25" customHeight="1" thickTop="1" x14ac:dyDescent="0.3">
      <c r="A826" s="562"/>
      <c r="B826" s="562"/>
      <c r="C826" s="562"/>
      <c r="D826" s="562"/>
      <c r="E826" s="562"/>
      <c r="F826" s="562"/>
      <c r="G826" s="562"/>
      <c r="H826" s="562"/>
      <c r="I826" s="562"/>
      <c r="J826" s="562"/>
      <c r="K826" s="552"/>
    </row>
    <row r="827" spans="1:11" s="89" customFormat="1" ht="25.5" customHeight="1" x14ac:dyDescent="0.3">
      <c r="A827" s="553"/>
      <c r="B827" s="554" t="s">
        <v>4</v>
      </c>
      <c r="C827" s="553" t="s">
        <v>5</v>
      </c>
      <c r="D827" s="553" t="s">
        <v>6</v>
      </c>
      <c r="E827" s="691" t="s">
        <v>427</v>
      </c>
      <c r="F827" s="691"/>
      <c r="G827" s="555" t="s">
        <v>7</v>
      </c>
      <c r="H827" s="554" t="s">
        <v>8</v>
      </c>
      <c r="I827" s="554" t="s">
        <v>9</v>
      </c>
      <c r="J827" s="554" t="s">
        <v>11</v>
      </c>
      <c r="K827" s="546"/>
    </row>
    <row r="828" spans="1:11" ht="50" x14ac:dyDescent="0.3">
      <c r="A828" s="607" t="s">
        <v>428</v>
      </c>
      <c r="B828" s="608" t="s">
        <v>198</v>
      </c>
      <c r="C828" s="607" t="s">
        <v>199</v>
      </c>
      <c r="D828" s="607" t="s">
        <v>3787</v>
      </c>
      <c r="E828" s="690">
        <v>5</v>
      </c>
      <c r="F828" s="690"/>
      <c r="G828" s="609" t="s">
        <v>200</v>
      </c>
      <c r="H828" s="610">
        <v>1</v>
      </c>
      <c r="I828" s="611">
        <v>11.96</v>
      </c>
      <c r="J828" s="611">
        <v>11.96</v>
      </c>
      <c r="K828" s="552"/>
    </row>
    <row r="829" spans="1:11" ht="14.25" customHeight="1" x14ac:dyDescent="0.3">
      <c r="A829" s="547" t="s">
        <v>430</v>
      </c>
      <c r="B829" s="548" t="s">
        <v>559</v>
      </c>
      <c r="C829" s="547" t="s">
        <v>19</v>
      </c>
      <c r="D829" s="547" t="s">
        <v>560</v>
      </c>
      <c r="E829" s="688" t="s">
        <v>429</v>
      </c>
      <c r="F829" s="688"/>
      <c r="G829" s="549" t="s">
        <v>423</v>
      </c>
      <c r="H829" s="550">
        <v>0.125</v>
      </c>
      <c r="I829" s="551">
        <v>23.4</v>
      </c>
      <c r="J829" s="551">
        <v>2.92</v>
      </c>
      <c r="K829" s="552"/>
    </row>
    <row r="830" spans="1:11" s="89" customFormat="1" ht="15" customHeight="1" x14ac:dyDescent="0.3">
      <c r="A830" s="547" t="s">
        <v>430</v>
      </c>
      <c r="B830" s="548" t="s">
        <v>904</v>
      </c>
      <c r="C830" s="547" t="s">
        <v>19</v>
      </c>
      <c r="D830" s="547" t="s">
        <v>905</v>
      </c>
      <c r="E830" s="688" t="s">
        <v>461</v>
      </c>
      <c r="F830" s="688"/>
      <c r="G830" s="549" t="s">
        <v>95</v>
      </c>
      <c r="H830" s="550">
        <v>0.1</v>
      </c>
      <c r="I830" s="551">
        <v>30.06</v>
      </c>
      <c r="J830" s="551">
        <v>3</v>
      </c>
      <c r="K830" s="546"/>
    </row>
    <row r="831" spans="1:11" s="89" customFormat="1" ht="25.5" customHeight="1" x14ac:dyDescent="0.3">
      <c r="A831" s="547" t="s">
        <v>430</v>
      </c>
      <c r="B831" s="548" t="s">
        <v>926</v>
      </c>
      <c r="C831" s="547" t="s">
        <v>19</v>
      </c>
      <c r="D831" s="547" t="s">
        <v>927</v>
      </c>
      <c r="E831" s="688" t="s">
        <v>461</v>
      </c>
      <c r="F831" s="688"/>
      <c r="G831" s="549" t="s">
        <v>102</v>
      </c>
      <c r="H831" s="550">
        <v>2.5000000000000001E-2</v>
      </c>
      <c r="I831" s="551">
        <v>27.87</v>
      </c>
      <c r="J831" s="551">
        <v>0.69</v>
      </c>
      <c r="K831" s="546"/>
    </row>
    <row r="832" spans="1:11" s="89" customFormat="1" ht="38.25" customHeight="1" x14ac:dyDescent="0.3">
      <c r="A832" s="547" t="s">
        <v>430</v>
      </c>
      <c r="B832" s="548" t="s">
        <v>3861</v>
      </c>
      <c r="C832" s="547" t="s">
        <v>19</v>
      </c>
      <c r="D832" s="547" t="s">
        <v>3862</v>
      </c>
      <c r="E832" s="688" t="s">
        <v>461</v>
      </c>
      <c r="F832" s="688"/>
      <c r="G832" s="549" t="s">
        <v>102</v>
      </c>
      <c r="H832" s="550">
        <v>1.2500000000000001E-2</v>
      </c>
      <c r="I832" s="551">
        <v>9.0299999999999994</v>
      </c>
      <c r="J832" s="551">
        <v>0.11</v>
      </c>
      <c r="K832" s="546"/>
    </row>
    <row r="833" spans="1:11" ht="25.5" customHeight="1" x14ac:dyDescent="0.3">
      <c r="A833" s="547" t="s">
        <v>430</v>
      </c>
      <c r="B833" s="548" t="s">
        <v>902</v>
      </c>
      <c r="C833" s="547" t="s">
        <v>19</v>
      </c>
      <c r="D833" s="547" t="s">
        <v>903</v>
      </c>
      <c r="E833" s="688" t="s">
        <v>461</v>
      </c>
      <c r="F833" s="688"/>
      <c r="G833" s="549" t="s">
        <v>95</v>
      </c>
      <c r="H833" s="550">
        <v>0.05</v>
      </c>
      <c r="I833" s="551">
        <v>72.709999999999994</v>
      </c>
      <c r="J833" s="551">
        <v>3.63</v>
      </c>
      <c r="K833" s="552"/>
    </row>
    <row r="834" spans="1:11" ht="15" customHeight="1" thickBot="1" x14ac:dyDescent="0.35">
      <c r="A834" s="547" t="s">
        <v>430</v>
      </c>
      <c r="B834" s="548" t="s">
        <v>907</v>
      </c>
      <c r="C834" s="547" t="s">
        <v>19</v>
      </c>
      <c r="D834" s="547" t="s">
        <v>908</v>
      </c>
      <c r="E834" s="688" t="s">
        <v>429</v>
      </c>
      <c r="F834" s="688"/>
      <c r="G834" s="549" t="s">
        <v>423</v>
      </c>
      <c r="H834" s="550">
        <v>6.25E-2</v>
      </c>
      <c r="I834" s="551">
        <v>25.78</v>
      </c>
      <c r="J834" s="551">
        <v>1.61</v>
      </c>
      <c r="K834" s="552"/>
    </row>
    <row r="835" spans="1:11" s="89" customFormat="1" ht="14.5" thickTop="1" x14ac:dyDescent="0.3">
      <c r="A835" s="562"/>
      <c r="B835" s="562"/>
      <c r="C835" s="562"/>
      <c r="D835" s="562"/>
      <c r="E835" s="562"/>
      <c r="F835" s="562"/>
      <c r="G835" s="562"/>
      <c r="H835" s="562"/>
      <c r="I835" s="562"/>
      <c r="J835" s="562"/>
      <c r="K835" s="546"/>
    </row>
    <row r="836" spans="1:11" x14ac:dyDescent="0.3">
      <c r="A836" s="553"/>
      <c r="B836" s="554" t="s">
        <v>4</v>
      </c>
      <c r="C836" s="553" t="s">
        <v>5</v>
      </c>
      <c r="D836" s="553" t="s">
        <v>6</v>
      </c>
      <c r="E836" s="691" t="s">
        <v>427</v>
      </c>
      <c r="F836" s="691"/>
      <c r="G836" s="555" t="s">
        <v>7</v>
      </c>
      <c r="H836" s="554" t="s">
        <v>8</v>
      </c>
      <c r="I836" s="554" t="s">
        <v>9</v>
      </c>
      <c r="J836" s="554" t="s">
        <v>11</v>
      </c>
      <c r="K836" s="552"/>
    </row>
    <row r="837" spans="1:11" s="89" customFormat="1" ht="37.5" x14ac:dyDescent="0.3">
      <c r="A837" s="607" t="s">
        <v>428</v>
      </c>
      <c r="B837" s="608" t="s">
        <v>201</v>
      </c>
      <c r="C837" s="607" t="s">
        <v>19</v>
      </c>
      <c r="D837" s="607" t="s">
        <v>3552</v>
      </c>
      <c r="E837" s="690" t="s">
        <v>909</v>
      </c>
      <c r="F837" s="690"/>
      <c r="G837" s="609" t="s">
        <v>532</v>
      </c>
      <c r="H837" s="610">
        <v>1</v>
      </c>
      <c r="I837" s="611">
        <v>767.76</v>
      </c>
      <c r="J837" s="611">
        <v>767.76</v>
      </c>
      <c r="K837" s="546"/>
    </row>
    <row r="838" spans="1:11" s="89" customFormat="1" ht="15" customHeight="1" x14ac:dyDescent="0.3">
      <c r="A838" s="547" t="s">
        <v>430</v>
      </c>
      <c r="B838" s="548" t="s">
        <v>620</v>
      </c>
      <c r="C838" s="547" t="s">
        <v>19</v>
      </c>
      <c r="D838" s="547" t="s">
        <v>621</v>
      </c>
      <c r="E838" s="688" t="s">
        <v>429</v>
      </c>
      <c r="F838" s="688"/>
      <c r="G838" s="549" t="s">
        <v>423</v>
      </c>
      <c r="H838" s="550">
        <v>1.6268</v>
      </c>
      <c r="I838" s="551">
        <v>30.71</v>
      </c>
      <c r="J838" s="551">
        <v>49.95</v>
      </c>
      <c r="K838" s="546"/>
    </row>
    <row r="839" spans="1:11" ht="14.25" customHeight="1" x14ac:dyDescent="0.3">
      <c r="A839" s="547" t="s">
        <v>430</v>
      </c>
      <c r="B839" s="548" t="s">
        <v>760</v>
      </c>
      <c r="C839" s="547" t="s">
        <v>19</v>
      </c>
      <c r="D839" s="547" t="s">
        <v>761</v>
      </c>
      <c r="E839" s="688" t="s">
        <v>429</v>
      </c>
      <c r="F839" s="688"/>
      <c r="G839" s="549" t="s">
        <v>423</v>
      </c>
      <c r="H839" s="550">
        <v>1.4149</v>
      </c>
      <c r="I839" s="551">
        <v>31.1</v>
      </c>
      <c r="J839" s="551">
        <v>44</v>
      </c>
      <c r="K839" s="552"/>
    </row>
    <row r="840" spans="1:11" ht="14.25" customHeight="1" x14ac:dyDescent="0.3">
      <c r="A840" s="547" t="s">
        <v>430</v>
      </c>
      <c r="B840" s="548" t="s">
        <v>559</v>
      </c>
      <c r="C840" s="547" t="s">
        <v>19</v>
      </c>
      <c r="D840" s="547" t="s">
        <v>560</v>
      </c>
      <c r="E840" s="688" t="s">
        <v>429</v>
      </c>
      <c r="F840" s="688"/>
      <c r="G840" s="549" t="s">
        <v>423</v>
      </c>
      <c r="H840" s="550">
        <v>3.0417000000000001</v>
      </c>
      <c r="I840" s="551">
        <v>23.4</v>
      </c>
      <c r="J840" s="551">
        <v>71.17</v>
      </c>
      <c r="K840" s="552"/>
    </row>
    <row r="841" spans="1:11" ht="38.25" customHeight="1" x14ac:dyDescent="0.3">
      <c r="A841" s="547" t="s">
        <v>430</v>
      </c>
      <c r="B841" s="548" t="s">
        <v>910</v>
      </c>
      <c r="C841" s="547" t="s">
        <v>19</v>
      </c>
      <c r="D841" s="547" t="s">
        <v>911</v>
      </c>
      <c r="E841" s="688" t="s">
        <v>619</v>
      </c>
      <c r="F841" s="688"/>
      <c r="G841" s="549" t="s">
        <v>532</v>
      </c>
      <c r="H841" s="550">
        <v>1.2315</v>
      </c>
      <c r="I841" s="551">
        <v>468.89</v>
      </c>
      <c r="J841" s="551">
        <v>577.42999999999995</v>
      </c>
      <c r="K841" s="552"/>
    </row>
    <row r="842" spans="1:11" s="89" customFormat="1" ht="38.25" customHeight="1" x14ac:dyDescent="0.3">
      <c r="A842" s="547" t="s">
        <v>433</v>
      </c>
      <c r="B842" s="548" t="s">
        <v>912</v>
      </c>
      <c r="C842" s="547" t="s">
        <v>19</v>
      </c>
      <c r="D842" s="547" t="s">
        <v>913</v>
      </c>
      <c r="E842" s="688" t="s">
        <v>438</v>
      </c>
      <c r="F842" s="688"/>
      <c r="G842" s="549" t="s">
        <v>906</v>
      </c>
      <c r="H842" s="550">
        <v>2.1299999999999999E-2</v>
      </c>
      <c r="I842" s="551">
        <v>7.96</v>
      </c>
      <c r="J842" s="551">
        <v>0.16</v>
      </c>
      <c r="K842" s="546"/>
    </row>
    <row r="843" spans="1:11" ht="25" x14ac:dyDescent="0.3">
      <c r="A843" s="547" t="s">
        <v>433</v>
      </c>
      <c r="B843" s="548" t="s">
        <v>914</v>
      </c>
      <c r="C843" s="547" t="s">
        <v>19</v>
      </c>
      <c r="D843" s="547" t="s">
        <v>915</v>
      </c>
      <c r="E843" s="688" t="s">
        <v>438</v>
      </c>
      <c r="F843" s="688"/>
      <c r="G843" s="549" t="s">
        <v>173</v>
      </c>
      <c r="H843" s="550">
        <v>3.125</v>
      </c>
      <c r="I843" s="551">
        <v>3.94</v>
      </c>
      <c r="J843" s="551">
        <v>12.31</v>
      </c>
      <c r="K843" s="552"/>
    </row>
    <row r="844" spans="1:11" s="89" customFormat="1" ht="25" x14ac:dyDescent="0.3">
      <c r="A844" s="547" t="s">
        <v>433</v>
      </c>
      <c r="B844" s="548" t="s">
        <v>916</v>
      </c>
      <c r="C844" s="547" t="s">
        <v>19</v>
      </c>
      <c r="D844" s="547" t="s">
        <v>917</v>
      </c>
      <c r="E844" s="688" t="s">
        <v>438</v>
      </c>
      <c r="F844" s="688"/>
      <c r="G844" s="549" t="s">
        <v>173</v>
      </c>
      <c r="H844" s="550">
        <v>2.5</v>
      </c>
      <c r="I844" s="551">
        <v>2.72</v>
      </c>
      <c r="J844" s="551">
        <v>6.8</v>
      </c>
      <c r="K844" s="546"/>
    </row>
    <row r="845" spans="1:11" s="89" customFormat="1" ht="14.5" thickBot="1" x14ac:dyDescent="0.35">
      <c r="A845" s="547" t="s">
        <v>433</v>
      </c>
      <c r="B845" s="548" t="s">
        <v>918</v>
      </c>
      <c r="C845" s="547" t="s">
        <v>19</v>
      </c>
      <c r="D845" s="547" t="s">
        <v>919</v>
      </c>
      <c r="E845" s="688" t="s">
        <v>438</v>
      </c>
      <c r="F845" s="688"/>
      <c r="G845" s="549" t="s">
        <v>424</v>
      </c>
      <c r="H845" s="550">
        <v>0.2994</v>
      </c>
      <c r="I845" s="551">
        <v>19.84</v>
      </c>
      <c r="J845" s="551">
        <v>5.94</v>
      </c>
      <c r="K845" s="546"/>
    </row>
    <row r="846" spans="1:11" ht="14.5" thickTop="1" x14ac:dyDescent="0.3">
      <c r="A846" s="562"/>
      <c r="B846" s="562"/>
      <c r="C846" s="562"/>
      <c r="D846" s="562"/>
      <c r="E846" s="562"/>
      <c r="F846" s="562"/>
      <c r="G846" s="562"/>
      <c r="H846" s="562"/>
      <c r="I846" s="562"/>
      <c r="J846" s="562"/>
      <c r="K846" s="552"/>
    </row>
    <row r="847" spans="1:11" s="89" customFormat="1" ht="15" customHeight="1" x14ac:dyDescent="0.3">
      <c r="A847" s="553"/>
      <c r="B847" s="554" t="s">
        <v>4</v>
      </c>
      <c r="C847" s="553" t="s">
        <v>5</v>
      </c>
      <c r="D847" s="553" t="s">
        <v>6</v>
      </c>
      <c r="E847" s="691" t="s">
        <v>427</v>
      </c>
      <c r="F847" s="691"/>
      <c r="G847" s="555" t="s">
        <v>7</v>
      </c>
      <c r="H847" s="554" t="s">
        <v>8</v>
      </c>
      <c r="I847" s="554" t="s">
        <v>9</v>
      </c>
      <c r="J847" s="554" t="s">
        <v>11</v>
      </c>
      <c r="K847" s="546"/>
    </row>
    <row r="848" spans="1:11" s="89" customFormat="1" ht="15" customHeight="1" x14ac:dyDescent="0.3">
      <c r="A848" s="607" t="s">
        <v>428</v>
      </c>
      <c r="B848" s="608" t="s">
        <v>202</v>
      </c>
      <c r="C848" s="607" t="s">
        <v>203</v>
      </c>
      <c r="D848" s="607" t="s">
        <v>204</v>
      </c>
      <c r="E848" s="690" t="s">
        <v>920</v>
      </c>
      <c r="F848" s="690"/>
      <c r="G848" s="609" t="s">
        <v>173</v>
      </c>
      <c r="H848" s="610">
        <v>1</v>
      </c>
      <c r="I848" s="611">
        <v>82.29</v>
      </c>
      <c r="J848" s="611">
        <v>82.29</v>
      </c>
      <c r="K848" s="546"/>
    </row>
    <row r="849" spans="1:11" s="89" customFormat="1" ht="15.75" customHeight="1" thickBot="1" x14ac:dyDescent="0.35">
      <c r="A849" s="547" t="s">
        <v>430</v>
      </c>
      <c r="B849" s="548" t="s">
        <v>559</v>
      </c>
      <c r="C849" s="547" t="s">
        <v>19</v>
      </c>
      <c r="D849" s="547" t="s">
        <v>560</v>
      </c>
      <c r="E849" s="688" t="s">
        <v>429</v>
      </c>
      <c r="F849" s="688"/>
      <c r="G849" s="549" t="s">
        <v>423</v>
      </c>
      <c r="H849" s="550">
        <v>3.5169999999999999</v>
      </c>
      <c r="I849" s="551">
        <v>23.4</v>
      </c>
      <c r="J849" s="551">
        <v>82.29</v>
      </c>
      <c r="K849" s="546"/>
    </row>
    <row r="850" spans="1:11" ht="14.5" thickTop="1" x14ac:dyDescent="0.3">
      <c r="A850" s="562"/>
      <c r="B850" s="562"/>
      <c r="C850" s="562"/>
      <c r="D850" s="562"/>
      <c r="E850" s="562"/>
      <c r="F850" s="562"/>
      <c r="G850" s="562"/>
      <c r="H850" s="562"/>
      <c r="I850" s="562"/>
      <c r="J850" s="562"/>
      <c r="K850" s="552"/>
    </row>
    <row r="851" spans="1:11" x14ac:dyDescent="0.3">
      <c r="A851" s="553"/>
      <c r="B851" s="554" t="s">
        <v>4</v>
      </c>
      <c r="C851" s="553" t="s">
        <v>5</v>
      </c>
      <c r="D851" s="553" t="s">
        <v>6</v>
      </c>
      <c r="E851" s="691" t="s">
        <v>427</v>
      </c>
      <c r="F851" s="691"/>
      <c r="G851" s="555" t="s">
        <v>7</v>
      </c>
      <c r="H851" s="554" t="s">
        <v>8</v>
      </c>
      <c r="I851" s="554" t="s">
        <v>9</v>
      </c>
      <c r="J851" s="554" t="s">
        <v>11</v>
      </c>
      <c r="K851" s="552"/>
    </row>
    <row r="852" spans="1:11" s="89" customFormat="1" ht="25" x14ac:dyDescent="0.3">
      <c r="A852" s="607" t="s">
        <v>428</v>
      </c>
      <c r="B852" s="608" t="s">
        <v>205</v>
      </c>
      <c r="C852" s="607" t="s">
        <v>203</v>
      </c>
      <c r="D852" s="607" t="s">
        <v>921</v>
      </c>
      <c r="E852" s="690" t="s">
        <v>922</v>
      </c>
      <c r="F852" s="690"/>
      <c r="G852" s="609" t="s">
        <v>173</v>
      </c>
      <c r="H852" s="610">
        <v>1</v>
      </c>
      <c r="I852" s="611">
        <v>69.680000000000007</v>
      </c>
      <c r="J852" s="611">
        <v>69.680000000000007</v>
      </c>
      <c r="K852" s="546"/>
    </row>
    <row r="853" spans="1:11" s="89" customFormat="1" ht="15" customHeight="1" x14ac:dyDescent="0.3">
      <c r="A853" s="547" t="s">
        <v>430</v>
      </c>
      <c r="B853" s="548" t="s">
        <v>760</v>
      </c>
      <c r="C853" s="547" t="s">
        <v>19</v>
      </c>
      <c r="D853" s="547" t="s">
        <v>761</v>
      </c>
      <c r="E853" s="688" t="s">
        <v>429</v>
      </c>
      <c r="F853" s="688"/>
      <c r="G853" s="549" t="s">
        <v>423</v>
      </c>
      <c r="H853" s="550">
        <v>0.35199999999999998</v>
      </c>
      <c r="I853" s="551">
        <v>31.1</v>
      </c>
      <c r="J853" s="551">
        <v>10.94</v>
      </c>
      <c r="K853" s="546"/>
    </row>
    <row r="854" spans="1:11" s="89" customFormat="1" ht="15" customHeight="1" x14ac:dyDescent="0.3">
      <c r="A854" s="547" t="s">
        <v>430</v>
      </c>
      <c r="B854" s="548" t="s">
        <v>559</v>
      </c>
      <c r="C854" s="547" t="s">
        <v>19</v>
      </c>
      <c r="D854" s="547" t="s">
        <v>560</v>
      </c>
      <c r="E854" s="688" t="s">
        <v>429</v>
      </c>
      <c r="F854" s="688"/>
      <c r="G854" s="549" t="s">
        <v>423</v>
      </c>
      <c r="H854" s="550">
        <v>0.46800000000000003</v>
      </c>
      <c r="I854" s="551">
        <v>23.4</v>
      </c>
      <c r="J854" s="551">
        <v>10.95</v>
      </c>
      <c r="K854" s="546"/>
    </row>
    <row r="855" spans="1:11" x14ac:dyDescent="0.3">
      <c r="A855" s="547" t="s">
        <v>433</v>
      </c>
      <c r="B855" s="548" t="s">
        <v>3863</v>
      </c>
      <c r="C855" s="547" t="s">
        <v>203</v>
      </c>
      <c r="D855" s="547" t="s">
        <v>3864</v>
      </c>
      <c r="E855" s="688" t="s">
        <v>438</v>
      </c>
      <c r="F855" s="688"/>
      <c r="G855" s="549" t="s">
        <v>424</v>
      </c>
      <c r="H855" s="550">
        <v>31.1</v>
      </c>
      <c r="I855" s="551">
        <v>0.66</v>
      </c>
      <c r="J855" s="551">
        <v>20.52</v>
      </c>
      <c r="K855" s="552"/>
    </row>
    <row r="856" spans="1:11" x14ac:dyDescent="0.3">
      <c r="A856" s="547" t="s">
        <v>433</v>
      </c>
      <c r="B856" s="548" t="s">
        <v>923</v>
      </c>
      <c r="C856" s="547" t="s">
        <v>115</v>
      </c>
      <c r="D856" s="547" t="s">
        <v>924</v>
      </c>
      <c r="E856" s="688" t="s">
        <v>438</v>
      </c>
      <c r="F856" s="688"/>
      <c r="G856" s="549" t="s">
        <v>532</v>
      </c>
      <c r="H856" s="550">
        <v>6.7000000000000004E-2</v>
      </c>
      <c r="I856" s="551">
        <v>137.15989999999999</v>
      </c>
      <c r="J856" s="551">
        <v>9.18</v>
      </c>
      <c r="K856" s="552"/>
    </row>
    <row r="857" spans="1:11" x14ac:dyDescent="0.3">
      <c r="A857" s="547" t="s">
        <v>433</v>
      </c>
      <c r="B857" s="548" t="s">
        <v>822</v>
      </c>
      <c r="C857" s="547" t="s">
        <v>115</v>
      </c>
      <c r="D857" s="547" t="s">
        <v>823</v>
      </c>
      <c r="E857" s="688" t="s">
        <v>438</v>
      </c>
      <c r="F857" s="688"/>
      <c r="G857" s="549" t="s">
        <v>532</v>
      </c>
      <c r="H857" s="550">
        <v>8.1000000000000003E-2</v>
      </c>
      <c r="I857" s="551">
        <v>120.4661</v>
      </c>
      <c r="J857" s="551">
        <v>9.75</v>
      </c>
      <c r="K857" s="552"/>
    </row>
    <row r="858" spans="1:11" ht="15" customHeight="1" x14ac:dyDescent="0.3">
      <c r="A858" s="547" t="s">
        <v>433</v>
      </c>
      <c r="B858" s="548" t="s">
        <v>925</v>
      </c>
      <c r="C858" s="547" t="s">
        <v>19</v>
      </c>
      <c r="D858" s="547" t="s">
        <v>3553</v>
      </c>
      <c r="E858" s="688" t="s">
        <v>438</v>
      </c>
      <c r="F858" s="688"/>
      <c r="G858" s="549" t="s">
        <v>173</v>
      </c>
      <c r="H858" s="550">
        <v>0.39800000000000002</v>
      </c>
      <c r="I858" s="551">
        <v>18.329999999999998</v>
      </c>
      <c r="J858" s="551">
        <v>7.29</v>
      </c>
      <c r="K858" s="552"/>
    </row>
    <row r="859" spans="1:11" s="89" customFormat="1" ht="25.5" thickBot="1" x14ac:dyDescent="0.35">
      <c r="A859" s="547" t="s">
        <v>433</v>
      </c>
      <c r="B859" s="548" t="s">
        <v>624</v>
      </c>
      <c r="C859" s="547" t="s">
        <v>19</v>
      </c>
      <c r="D859" s="547" t="s">
        <v>625</v>
      </c>
      <c r="E859" s="688" t="s">
        <v>438</v>
      </c>
      <c r="F859" s="688"/>
      <c r="G859" s="549" t="s">
        <v>173</v>
      </c>
      <c r="H859" s="550">
        <v>0.13600000000000001</v>
      </c>
      <c r="I859" s="551">
        <v>7.78</v>
      </c>
      <c r="J859" s="551">
        <v>1.05</v>
      </c>
      <c r="K859" s="546"/>
    </row>
    <row r="860" spans="1:11" ht="14.5" thickTop="1" x14ac:dyDescent="0.3">
      <c r="A860" s="562"/>
      <c r="B860" s="562"/>
      <c r="C860" s="562"/>
      <c r="D860" s="562"/>
      <c r="E860" s="562"/>
      <c r="F860" s="562"/>
      <c r="G860" s="562"/>
      <c r="H860" s="562"/>
      <c r="I860" s="562"/>
      <c r="J860" s="562"/>
      <c r="K860" s="552"/>
    </row>
    <row r="861" spans="1:11" x14ac:dyDescent="0.3">
      <c r="A861" s="553"/>
      <c r="B861" s="554" t="s">
        <v>4</v>
      </c>
      <c r="C861" s="553" t="s">
        <v>5</v>
      </c>
      <c r="D861" s="553" t="s">
        <v>6</v>
      </c>
      <c r="E861" s="691" t="s">
        <v>427</v>
      </c>
      <c r="F861" s="691"/>
      <c r="G861" s="555" t="s">
        <v>7</v>
      </c>
      <c r="H861" s="554" t="s">
        <v>8</v>
      </c>
      <c r="I861" s="554" t="s">
        <v>9</v>
      </c>
      <c r="J861" s="554" t="s">
        <v>11</v>
      </c>
      <c r="K861" s="552"/>
    </row>
    <row r="862" spans="1:11" s="89" customFormat="1" ht="15" customHeight="1" x14ac:dyDescent="0.3">
      <c r="A862" s="607" t="s">
        <v>428</v>
      </c>
      <c r="B862" s="608" t="s">
        <v>192</v>
      </c>
      <c r="C862" s="607" t="s">
        <v>19</v>
      </c>
      <c r="D862" s="607" t="s">
        <v>3554</v>
      </c>
      <c r="E862" s="690" t="s">
        <v>555</v>
      </c>
      <c r="F862" s="690"/>
      <c r="G862" s="609" t="s">
        <v>532</v>
      </c>
      <c r="H862" s="610">
        <v>1</v>
      </c>
      <c r="I862" s="611">
        <v>62.38</v>
      </c>
      <c r="J862" s="611">
        <v>62.38</v>
      </c>
      <c r="K862" s="546"/>
    </row>
    <row r="863" spans="1:11" ht="14.25" customHeight="1" x14ac:dyDescent="0.3">
      <c r="A863" s="547" t="s">
        <v>430</v>
      </c>
      <c r="B863" s="548" t="s">
        <v>760</v>
      </c>
      <c r="C863" s="547" t="s">
        <v>19</v>
      </c>
      <c r="D863" s="547" t="s">
        <v>761</v>
      </c>
      <c r="E863" s="688" t="s">
        <v>429</v>
      </c>
      <c r="F863" s="688"/>
      <c r="G863" s="549" t="s">
        <v>423</v>
      </c>
      <c r="H863" s="550">
        <v>0.35410000000000003</v>
      </c>
      <c r="I863" s="551">
        <v>31.1</v>
      </c>
      <c r="J863" s="551">
        <v>11.01</v>
      </c>
      <c r="K863" s="552"/>
    </row>
    <row r="864" spans="1:11" ht="15" customHeight="1" thickBot="1" x14ac:dyDescent="0.35">
      <c r="A864" s="547" t="s">
        <v>430</v>
      </c>
      <c r="B864" s="548" t="s">
        <v>559</v>
      </c>
      <c r="C864" s="547" t="s">
        <v>19</v>
      </c>
      <c r="D864" s="547" t="s">
        <v>560</v>
      </c>
      <c r="E864" s="688" t="s">
        <v>429</v>
      </c>
      <c r="F864" s="688"/>
      <c r="G864" s="549" t="s">
        <v>423</v>
      </c>
      <c r="H864" s="550">
        <v>2.1957</v>
      </c>
      <c r="I864" s="551">
        <v>23.4</v>
      </c>
      <c r="J864" s="551">
        <v>51.37</v>
      </c>
      <c r="K864" s="552"/>
    </row>
    <row r="865" spans="1:11" s="89" customFormat="1" ht="14.5" thickTop="1" x14ac:dyDescent="0.3">
      <c r="A865" s="562"/>
      <c r="B865" s="562"/>
      <c r="C865" s="562"/>
      <c r="D865" s="562"/>
      <c r="E865" s="562"/>
      <c r="F865" s="562"/>
      <c r="G865" s="562"/>
      <c r="H865" s="562"/>
      <c r="I865" s="562"/>
      <c r="J865" s="562"/>
      <c r="K865" s="546"/>
    </row>
    <row r="866" spans="1:11" x14ac:dyDescent="0.3">
      <c r="A866" s="553"/>
      <c r="B866" s="554" t="s">
        <v>4</v>
      </c>
      <c r="C866" s="553" t="s">
        <v>5</v>
      </c>
      <c r="D866" s="553" t="s">
        <v>6</v>
      </c>
      <c r="E866" s="691" t="s">
        <v>427</v>
      </c>
      <c r="F866" s="691"/>
      <c r="G866" s="555" t="s">
        <v>7</v>
      </c>
      <c r="H866" s="554" t="s">
        <v>8</v>
      </c>
      <c r="I866" s="554" t="s">
        <v>9</v>
      </c>
      <c r="J866" s="554" t="s">
        <v>11</v>
      </c>
      <c r="K866" s="552"/>
    </row>
    <row r="867" spans="1:11" s="89" customFormat="1" ht="25" x14ac:dyDescent="0.3">
      <c r="A867" s="607" t="s">
        <v>428</v>
      </c>
      <c r="B867" s="608" t="s">
        <v>3865</v>
      </c>
      <c r="C867" s="607" t="s">
        <v>199</v>
      </c>
      <c r="D867" s="607" t="s">
        <v>210</v>
      </c>
      <c r="E867" s="690">
        <v>1</v>
      </c>
      <c r="F867" s="690"/>
      <c r="G867" s="609" t="s">
        <v>81</v>
      </c>
      <c r="H867" s="610">
        <v>1</v>
      </c>
      <c r="I867" s="611">
        <v>2241.29</v>
      </c>
      <c r="J867" s="611">
        <v>2241.29</v>
      </c>
      <c r="K867" s="546"/>
    </row>
    <row r="868" spans="1:11" ht="25.5" thickBot="1" x14ac:dyDescent="0.35">
      <c r="A868" s="547" t="s">
        <v>430</v>
      </c>
      <c r="B868" s="548" t="s">
        <v>3866</v>
      </c>
      <c r="C868" s="547" t="s">
        <v>199</v>
      </c>
      <c r="D868" s="547" t="s">
        <v>3867</v>
      </c>
      <c r="E868" s="688">
        <v>55</v>
      </c>
      <c r="F868" s="688"/>
      <c r="G868" s="549" t="s">
        <v>81</v>
      </c>
      <c r="H868" s="550">
        <v>13.5434</v>
      </c>
      <c r="I868" s="551">
        <v>165.49</v>
      </c>
      <c r="J868" s="551">
        <v>2241.29</v>
      </c>
    </row>
    <row r="869" spans="1:11" ht="14.5" thickTop="1" x14ac:dyDescent="0.3">
      <c r="A869" s="562"/>
      <c r="B869" s="562"/>
      <c r="C869" s="562"/>
      <c r="D869" s="562"/>
      <c r="E869" s="562"/>
      <c r="F869" s="562"/>
      <c r="G869" s="562"/>
      <c r="H869" s="562"/>
      <c r="I869" s="562"/>
      <c r="J869" s="562"/>
      <c r="K869" s="552"/>
    </row>
    <row r="870" spans="1:11" x14ac:dyDescent="0.3">
      <c r="A870" s="553"/>
      <c r="B870" s="554" t="s">
        <v>4</v>
      </c>
      <c r="C870" s="553" t="s">
        <v>5</v>
      </c>
      <c r="D870" s="553" t="s">
        <v>6</v>
      </c>
      <c r="E870" s="691" t="s">
        <v>427</v>
      </c>
      <c r="F870" s="691"/>
      <c r="G870" s="555" t="s">
        <v>7</v>
      </c>
      <c r="H870" s="554" t="s">
        <v>8</v>
      </c>
      <c r="I870" s="554" t="s">
        <v>9</v>
      </c>
      <c r="J870" s="554" t="s">
        <v>11</v>
      </c>
      <c r="K870" s="552"/>
    </row>
    <row r="871" spans="1:11" s="89" customFormat="1" ht="50" x14ac:dyDescent="0.3">
      <c r="A871" s="607" t="s">
        <v>428</v>
      </c>
      <c r="B871" s="608" t="s">
        <v>213</v>
      </c>
      <c r="C871" s="607" t="s">
        <v>19</v>
      </c>
      <c r="D871" s="607" t="s">
        <v>3788</v>
      </c>
      <c r="E871" s="690" t="s">
        <v>709</v>
      </c>
      <c r="F871" s="690"/>
      <c r="G871" s="609" t="s">
        <v>532</v>
      </c>
      <c r="H871" s="610">
        <v>1</v>
      </c>
      <c r="I871" s="611">
        <v>11.8</v>
      </c>
      <c r="J871" s="611">
        <v>11.8</v>
      </c>
      <c r="K871" s="546"/>
    </row>
    <row r="872" spans="1:11" s="89" customFormat="1" ht="38.25" customHeight="1" x14ac:dyDescent="0.3">
      <c r="A872" s="547" t="s">
        <v>430</v>
      </c>
      <c r="B872" s="548" t="s">
        <v>562</v>
      </c>
      <c r="C872" s="547" t="s">
        <v>19</v>
      </c>
      <c r="D872" s="547" t="s">
        <v>563</v>
      </c>
      <c r="E872" s="688" t="s">
        <v>461</v>
      </c>
      <c r="F872" s="688"/>
      <c r="G872" s="549" t="s">
        <v>95</v>
      </c>
      <c r="H872" s="550">
        <v>3.74122E-2</v>
      </c>
      <c r="I872" s="551">
        <v>204.43</v>
      </c>
      <c r="J872" s="551">
        <v>7.64</v>
      </c>
      <c r="K872" s="546"/>
    </row>
    <row r="873" spans="1:11" ht="38.25" customHeight="1" x14ac:dyDescent="0.3">
      <c r="A873" s="547" t="s">
        <v>430</v>
      </c>
      <c r="B873" s="548" t="s">
        <v>564</v>
      </c>
      <c r="C873" s="547" t="s">
        <v>19</v>
      </c>
      <c r="D873" s="547" t="s">
        <v>565</v>
      </c>
      <c r="E873" s="688" t="s">
        <v>461</v>
      </c>
      <c r="F873" s="688"/>
      <c r="G873" s="549" t="s">
        <v>102</v>
      </c>
      <c r="H873" s="550">
        <v>2.94699E-2</v>
      </c>
      <c r="I873" s="551">
        <v>88.26</v>
      </c>
      <c r="J873" s="551">
        <v>2.6</v>
      </c>
      <c r="K873" s="552"/>
    </row>
    <row r="874" spans="1:11" s="89" customFormat="1" ht="15.75" customHeight="1" thickBot="1" x14ac:dyDescent="0.35">
      <c r="A874" s="547" t="s">
        <v>430</v>
      </c>
      <c r="B874" s="548" t="s">
        <v>559</v>
      </c>
      <c r="C874" s="547" t="s">
        <v>19</v>
      </c>
      <c r="D874" s="547" t="s">
        <v>560</v>
      </c>
      <c r="E874" s="688" t="s">
        <v>429</v>
      </c>
      <c r="F874" s="688"/>
      <c r="G874" s="549" t="s">
        <v>423</v>
      </c>
      <c r="H874" s="550">
        <v>6.68821E-2</v>
      </c>
      <c r="I874" s="551">
        <v>23.4</v>
      </c>
      <c r="J874" s="551">
        <v>1.56</v>
      </c>
      <c r="K874" s="546"/>
    </row>
    <row r="875" spans="1:11" ht="14.5" thickTop="1" x14ac:dyDescent="0.3">
      <c r="A875" s="562"/>
      <c r="B875" s="562"/>
      <c r="C875" s="562"/>
      <c r="D875" s="562"/>
      <c r="E875" s="562"/>
      <c r="F875" s="562"/>
      <c r="G875" s="562"/>
      <c r="H875" s="562"/>
      <c r="I875" s="562"/>
      <c r="J875" s="562"/>
      <c r="K875" s="552"/>
    </row>
    <row r="876" spans="1:11" x14ac:dyDescent="0.3">
      <c r="A876" s="553"/>
      <c r="B876" s="554" t="s">
        <v>4</v>
      </c>
      <c r="C876" s="553" t="s">
        <v>5</v>
      </c>
      <c r="D876" s="553" t="s">
        <v>6</v>
      </c>
      <c r="E876" s="691" t="s">
        <v>427</v>
      </c>
      <c r="F876" s="691"/>
      <c r="G876" s="555" t="s">
        <v>7</v>
      </c>
      <c r="H876" s="554" t="s">
        <v>8</v>
      </c>
      <c r="I876" s="554" t="s">
        <v>9</v>
      </c>
      <c r="J876" s="554" t="s">
        <v>11</v>
      </c>
      <c r="K876" s="552"/>
    </row>
    <row r="877" spans="1:11" s="89" customFormat="1" ht="50" x14ac:dyDescent="0.3">
      <c r="A877" s="607" t="s">
        <v>428</v>
      </c>
      <c r="B877" s="608" t="s">
        <v>300</v>
      </c>
      <c r="C877" s="607" t="s">
        <v>19</v>
      </c>
      <c r="D877" s="607" t="s">
        <v>3813</v>
      </c>
      <c r="E877" s="690" t="s">
        <v>709</v>
      </c>
      <c r="F877" s="690"/>
      <c r="G877" s="609" t="s">
        <v>532</v>
      </c>
      <c r="H877" s="610">
        <v>1</v>
      </c>
      <c r="I877" s="611">
        <v>11.17</v>
      </c>
      <c r="J877" s="611">
        <v>11.17</v>
      </c>
      <c r="K877" s="546"/>
    </row>
    <row r="878" spans="1:11" ht="38.25" customHeight="1" x14ac:dyDescent="0.3">
      <c r="A878" s="547" t="s">
        <v>430</v>
      </c>
      <c r="B878" s="548" t="s">
        <v>562</v>
      </c>
      <c r="C878" s="547" t="s">
        <v>19</v>
      </c>
      <c r="D878" s="547" t="s">
        <v>563</v>
      </c>
      <c r="E878" s="688" t="s">
        <v>461</v>
      </c>
      <c r="F878" s="688"/>
      <c r="G878" s="549" t="s">
        <v>95</v>
      </c>
      <c r="H878" s="550">
        <v>3.5387599999999998E-2</v>
      </c>
      <c r="I878" s="551">
        <v>204.43</v>
      </c>
      <c r="J878" s="551">
        <v>7.23</v>
      </c>
      <c r="K878" s="552"/>
    </row>
    <row r="879" spans="1:11" s="89" customFormat="1" ht="38.25" customHeight="1" x14ac:dyDescent="0.3">
      <c r="A879" s="547" t="s">
        <v>430</v>
      </c>
      <c r="B879" s="548" t="s">
        <v>564</v>
      </c>
      <c r="C879" s="547" t="s">
        <v>19</v>
      </c>
      <c r="D879" s="547" t="s">
        <v>565</v>
      </c>
      <c r="E879" s="688" t="s">
        <v>461</v>
      </c>
      <c r="F879" s="688"/>
      <c r="G879" s="549" t="s">
        <v>102</v>
      </c>
      <c r="H879" s="550">
        <v>2.7875199999999999E-2</v>
      </c>
      <c r="I879" s="551">
        <v>88.26</v>
      </c>
      <c r="J879" s="551">
        <v>2.46</v>
      </c>
      <c r="K879" s="546"/>
    </row>
    <row r="880" spans="1:11" ht="15" customHeight="1" thickBot="1" x14ac:dyDescent="0.35">
      <c r="A880" s="547" t="s">
        <v>430</v>
      </c>
      <c r="B880" s="548" t="s">
        <v>559</v>
      </c>
      <c r="C880" s="547" t="s">
        <v>19</v>
      </c>
      <c r="D880" s="547" t="s">
        <v>560</v>
      </c>
      <c r="E880" s="688" t="s">
        <v>429</v>
      </c>
      <c r="F880" s="688"/>
      <c r="G880" s="549" t="s">
        <v>423</v>
      </c>
      <c r="H880" s="550">
        <v>6.3262799999999994E-2</v>
      </c>
      <c r="I880" s="551">
        <v>23.4</v>
      </c>
      <c r="J880" s="551">
        <v>1.48</v>
      </c>
      <c r="K880" s="552"/>
    </row>
    <row r="881" spans="1:11" ht="38.25" customHeight="1" thickTop="1" x14ac:dyDescent="0.3">
      <c r="A881" s="562"/>
      <c r="B881" s="562"/>
      <c r="C881" s="562"/>
      <c r="D881" s="562"/>
      <c r="E881" s="562"/>
      <c r="F881" s="562"/>
      <c r="G881" s="562"/>
      <c r="H881" s="562"/>
      <c r="I881" s="562"/>
      <c r="J881" s="562"/>
      <c r="K881" s="552"/>
    </row>
    <row r="882" spans="1:11" ht="38.25" customHeight="1" x14ac:dyDescent="0.3">
      <c r="A882" s="553"/>
      <c r="B882" s="554" t="s">
        <v>4</v>
      </c>
      <c r="C882" s="553" t="s">
        <v>5</v>
      </c>
      <c r="D882" s="553" t="s">
        <v>6</v>
      </c>
      <c r="E882" s="691" t="s">
        <v>427</v>
      </c>
      <c r="F882" s="691"/>
      <c r="G882" s="555" t="s">
        <v>7</v>
      </c>
      <c r="H882" s="554" t="s">
        <v>8</v>
      </c>
      <c r="I882" s="554" t="s">
        <v>9</v>
      </c>
      <c r="J882" s="554" t="s">
        <v>11</v>
      </c>
      <c r="K882" s="552"/>
    </row>
    <row r="883" spans="1:11" s="89" customFormat="1" ht="15.75" customHeight="1" x14ac:dyDescent="0.3">
      <c r="A883" s="607" t="s">
        <v>428</v>
      </c>
      <c r="B883" s="608" t="s">
        <v>219</v>
      </c>
      <c r="C883" s="607" t="s">
        <v>19</v>
      </c>
      <c r="D883" s="607" t="s">
        <v>3793</v>
      </c>
      <c r="E883" s="690" t="s">
        <v>709</v>
      </c>
      <c r="F883" s="690"/>
      <c r="G883" s="609" t="s">
        <v>532</v>
      </c>
      <c r="H883" s="610">
        <v>1</v>
      </c>
      <c r="I883" s="611">
        <v>10.49</v>
      </c>
      <c r="J883" s="611">
        <v>10.49</v>
      </c>
      <c r="K883" s="546"/>
    </row>
    <row r="884" spans="1:11" s="89" customFormat="1" ht="38.25" customHeight="1" x14ac:dyDescent="0.3">
      <c r="A884" s="547" t="s">
        <v>430</v>
      </c>
      <c r="B884" s="548" t="s">
        <v>562</v>
      </c>
      <c r="C884" s="547" t="s">
        <v>19</v>
      </c>
      <c r="D884" s="547" t="s">
        <v>563</v>
      </c>
      <c r="E884" s="688" t="s">
        <v>461</v>
      </c>
      <c r="F884" s="688"/>
      <c r="G884" s="549" t="s">
        <v>95</v>
      </c>
      <c r="H884" s="550">
        <v>3.3240699999999998E-2</v>
      </c>
      <c r="I884" s="551">
        <v>204.43</v>
      </c>
      <c r="J884" s="551">
        <v>6.79</v>
      </c>
      <c r="K884" s="546"/>
    </row>
    <row r="885" spans="1:11" ht="38.25" customHeight="1" x14ac:dyDescent="0.3">
      <c r="A885" s="547" t="s">
        <v>430</v>
      </c>
      <c r="B885" s="548" t="s">
        <v>564</v>
      </c>
      <c r="C885" s="547" t="s">
        <v>19</v>
      </c>
      <c r="D885" s="547" t="s">
        <v>565</v>
      </c>
      <c r="E885" s="688" t="s">
        <v>461</v>
      </c>
      <c r="F885" s="688"/>
      <c r="G885" s="549" t="s">
        <v>102</v>
      </c>
      <c r="H885" s="550">
        <v>2.6183999999999999E-2</v>
      </c>
      <c r="I885" s="551">
        <v>88.26</v>
      </c>
      <c r="J885" s="551">
        <v>2.31</v>
      </c>
      <c r="K885" s="552"/>
    </row>
    <row r="886" spans="1:11" s="89" customFormat="1" ht="15.75" customHeight="1" thickBot="1" x14ac:dyDescent="0.35">
      <c r="A886" s="547" t="s">
        <v>430</v>
      </c>
      <c r="B886" s="548" t="s">
        <v>559</v>
      </c>
      <c r="C886" s="547" t="s">
        <v>19</v>
      </c>
      <c r="D886" s="547" t="s">
        <v>560</v>
      </c>
      <c r="E886" s="688" t="s">
        <v>429</v>
      </c>
      <c r="F886" s="688"/>
      <c r="G886" s="549" t="s">
        <v>423</v>
      </c>
      <c r="H886" s="550">
        <v>5.94248E-2</v>
      </c>
      <c r="I886" s="551">
        <v>23.4</v>
      </c>
      <c r="J886" s="551">
        <v>1.39</v>
      </c>
      <c r="K886" s="546"/>
    </row>
    <row r="887" spans="1:11" ht="38.25" customHeight="1" thickTop="1" x14ac:dyDescent="0.3">
      <c r="A887" s="562"/>
      <c r="B887" s="562"/>
      <c r="C887" s="562"/>
      <c r="D887" s="562"/>
      <c r="E887" s="562"/>
      <c r="F887" s="562"/>
      <c r="G887" s="562"/>
      <c r="H887" s="562"/>
      <c r="I887" s="562"/>
      <c r="J887" s="562"/>
      <c r="K887" s="552"/>
    </row>
    <row r="888" spans="1:11" ht="38.25" customHeight="1" x14ac:dyDescent="0.3">
      <c r="A888" s="553"/>
      <c r="B888" s="554" t="s">
        <v>4</v>
      </c>
      <c r="C888" s="553" t="s">
        <v>5</v>
      </c>
      <c r="D888" s="553" t="s">
        <v>6</v>
      </c>
      <c r="E888" s="691" t="s">
        <v>427</v>
      </c>
      <c r="F888" s="691"/>
      <c r="G888" s="555" t="s">
        <v>7</v>
      </c>
      <c r="H888" s="554" t="s">
        <v>8</v>
      </c>
      <c r="I888" s="554" t="s">
        <v>9</v>
      </c>
      <c r="J888" s="554" t="s">
        <v>11</v>
      </c>
      <c r="K888" s="552"/>
    </row>
    <row r="889" spans="1:11" s="89" customFormat="1" ht="15.75" customHeight="1" x14ac:dyDescent="0.3">
      <c r="A889" s="607" t="s">
        <v>428</v>
      </c>
      <c r="B889" s="608" t="s">
        <v>220</v>
      </c>
      <c r="C889" s="607" t="s">
        <v>19</v>
      </c>
      <c r="D889" s="607" t="s">
        <v>3794</v>
      </c>
      <c r="E889" s="690" t="s">
        <v>709</v>
      </c>
      <c r="F889" s="690"/>
      <c r="G889" s="609" t="s">
        <v>532</v>
      </c>
      <c r="H889" s="610">
        <v>1</v>
      </c>
      <c r="I889" s="611">
        <v>9.01</v>
      </c>
      <c r="J889" s="611">
        <v>9.01</v>
      </c>
      <c r="K889" s="546"/>
    </row>
    <row r="890" spans="1:11" s="89" customFormat="1" ht="38.25" customHeight="1" x14ac:dyDescent="0.3">
      <c r="A890" s="547" t="s">
        <v>430</v>
      </c>
      <c r="B890" s="548" t="s">
        <v>562</v>
      </c>
      <c r="C890" s="547" t="s">
        <v>19</v>
      </c>
      <c r="D890" s="547" t="s">
        <v>563</v>
      </c>
      <c r="E890" s="688" t="s">
        <v>461</v>
      </c>
      <c r="F890" s="688"/>
      <c r="G890" s="549" t="s">
        <v>95</v>
      </c>
      <c r="H890" s="550">
        <v>2.8597999999999998E-2</v>
      </c>
      <c r="I890" s="551">
        <v>204.43</v>
      </c>
      <c r="J890" s="551">
        <v>5.84</v>
      </c>
      <c r="K890" s="546"/>
    </row>
    <row r="891" spans="1:11" ht="38.25" customHeight="1" x14ac:dyDescent="0.3">
      <c r="A891" s="547" t="s">
        <v>430</v>
      </c>
      <c r="B891" s="548" t="s">
        <v>564</v>
      </c>
      <c r="C891" s="547" t="s">
        <v>19</v>
      </c>
      <c r="D891" s="547" t="s">
        <v>565</v>
      </c>
      <c r="E891" s="688" t="s">
        <v>461</v>
      </c>
      <c r="F891" s="688"/>
      <c r="G891" s="549" t="s">
        <v>102</v>
      </c>
      <c r="H891" s="550">
        <v>2.2526899999999999E-2</v>
      </c>
      <c r="I891" s="551">
        <v>88.26</v>
      </c>
      <c r="J891" s="551">
        <v>1.98</v>
      </c>
      <c r="K891" s="552"/>
    </row>
    <row r="892" spans="1:11" ht="15" customHeight="1" thickBot="1" x14ac:dyDescent="0.35">
      <c r="A892" s="547" t="s">
        <v>430</v>
      </c>
      <c r="B892" s="548" t="s">
        <v>559</v>
      </c>
      <c r="C892" s="547" t="s">
        <v>19</v>
      </c>
      <c r="D892" s="547" t="s">
        <v>560</v>
      </c>
      <c r="E892" s="688" t="s">
        <v>429</v>
      </c>
      <c r="F892" s="688"/>
      <c r="G892" s="549" t="s">
        <v>423</v>
      </c>
      <c r="H892" s="550">
        <v>5.1124900000000001E-2</v>
      </c>
      <c r="I892" s="551">
        <v>23.4</v>
      </c>
      <c r="J892" s="551">
        <v>1.19</v>
      </c>
      <c r="K892" s="552"/>
    </row>
    <row r="893" spans="1:11" ht="38.25" customHeight="1" thickTop="1" x14ac:dyDescent="0.3">
      <c r="A893" s="562"/>
      <c r="B893" s="562"/>
      <c r="C893" s="562"/>
      <c r="D893" s="562"/>
      <c r="E893" s="562"/>
      <c r="F893" s="562"/>
      <c r="G893" s="562"/>
      <c r="H893" s="562"/>
      <c r="I893" s="562"/>
      <c r="J893" s="562"/>
      <c r="K893" s="552"/>
    </row>
    <row r="894" spans="1:11" ht="38.25" customHeight="1" x14ac:dyDescent="0.3">
      <c r="A894" s="553"/>
      <c r="B894" s="554" t="s">
        <v>4</v>
      </c>
      <c r="C894" s="553" t="s">
        <v>5</v>
      </c>
      <c r="D894" s="553" t="s">
        <v>6</v>
      </c>
      <c r="E894" s="691" t="s">
        <v>427</v>
      </c>
      <c r="F894" s="691"/>
      <c r="G894" s="555" t="s">
        <v>7</v>
      </c>
      <c r="H894" s="554" t="s">
        <v>8</v>
      </c>
      <c r="I894" s="554" t="s">
        <v>9</v>
      </c>
      <c r="J894" s="554" t="s">
        <v>11</v>
      </c>
      <c r="K894" s="552"/>
    </row>
    <row r="895" spans="1:11" s="89" customFormat="1" ht="15.75" customHeight="1" x14ac:dyDescent="0.3">
      <c r="A895" s="607" t="s">
        <v>428</v>
      </c>
      <c r="B895" s="608" t="s">
        <v>221</v>
      </c>
      <c r="C895" s="607" t="s">
        <v>19</v>
      </c>
      <c r="D895" s="607" t="s">
        <v>3795</v>
      </c>
      <c r="E895" s="690" t="s">
        <v>709</v>
      </c>
      <c r="F895" s="690"/>
      <c r="G895" s="609" t="s">
        <v>532</v>
      </c>
      <c r="H895" s="610">
        <v>1</v>
      </c>
      <c r="I895" s="611">
        <v>9.31</v>
      </c>
      <c r="J895" s="611">
        <v>9.31</v>
      </c>
      <c r="K895" s="546"/>
    </row>
    <row r="896" spans="1:11" ht="38.25" customHeight="1" x14ac:dyDescent="0.3">
      <c r="A896" s="547" t="s">
        <v>430</v>
      </c>
      <c r="B896" s="548" t="s">
        <v>562</v>
      </c>
      <c r="C896" s="547" t="s">
        <v>19</v>
      </c>
      <c r="D896" s="547" t="s">
        <v>563</v>
      </c>
      <c r="E896" s="688" t="s">
        <v>461</v>
      </c>
      <c r="F896" s="688"/>
      <c r="G896" s="549" t="s">
        <v>95</v>
      </c>
      <c r="H896" s="550">
        <v>2.9526500000000001E-2</v>
      </c>
      <c r="I896" s="551">
        <v>204.43</v>
      </c>
      <c r="J896" s="551">
        <v>6.03</v>
      </c>
      <c r="K896" s="552"/>
    </row>
    <row r="897" spans="1:11" ht="38.25" customHeight="1" x14ac:dyDescent="0.3">
      <c r="A897" s="547" t="s">
        <v>430</v>
      </c>
      <c r="B897" s="548" t="s">
        <v>564</v>
      </c>
      <c r="C897" s="547" t="s">
        <v>19</v>
      </c>
      <c r="D897" s="547" t="s">
        <v>565</v>
      </c>
      <c r="E897" s="688" t="s">
        <v>461</v>
      </c>
      <c r="F897" s="688"/>
      <c r="G897" s="549" t="s">
        <v>102</v>
      </c>
      <c r="H897" s="550">
        <v>2.3258299999999999E-2</v>
      </c>
      <c r="I897" s="551">
        <v>88.26</v>
      </c>
      <c r="J897" s="551">
        <v>2.0499999999999998</v>
      </c>
      <c r="K897" s="552"/>
    </row>
    <row r="898" spans="1:11" ht="15" customHeight="1" thickBot="1" x14ac:dyDescent="0.35">
      <c r="A898" s="547" t="s">
        <v>430</v>
      </c>
      <c r="B898" s="548" t="s">
        <v>559</v>
      </c>
      <c r="C898" s="547" t="s">
        <v>19</v>
      </c>
      <c r="D898" s="547" t="s">
        <v>560</v>
      </c>
      <c r="E898" s="688" t="s">
        <v>429</v>
      </c>
      <c r="F898" s="688"/>
      <c r="G898" s="549" t="s">
        <v>423</v>
      </c>
      <c r="H898" s="550">
        <v>5.2784900000000003E-2</v>
      </c>
      <c r="I898" s="551">
        <v>23.4</v>
      </c>
      <c r="J898" s="551">
        <v>1.23</v>
      </c>
      <c r="K898" s="552"/>
    </row>
    <row r="899" spans="1:11" ht="38.25" customHeight="1" thickTop="1" x14ac:dyDescent="0.3">
      <c r="A899" s="562"/>
      <c r="B899" s="562"/>
      <c r="C899" s="562"/>
      <c r="D899" s="562"/>
      <c r="E899" s="562"/>
      <c r="F899" s="562"/>
      <c r="G899" s="562"/>
      <c r="H899" s="562"/>
      <c r="I899" s="562"/>
      <c r="J899" s="562"/>
      <c r="K899" s="552"/>
    </row>
    <row r="900" spans="1:11" ht="38.25" customHeight="1" x14ac:dyDescent="0.3">
      <c r="A900" s="553"/>
      <c r="B900" s="554" t="s">
        <v>4</v>
      </c>
      <c r="C900" s="553" t="s">
        <v>5</v>
      </c>
      <c r="D900" s="553" t="s">
        <v>6</v>
      </c>
      <c r="E900" s="691" t="s">
        <v>427</v>
      </c>
      <c r="F900" s="691"/>
      <c r="G900" s="555" t="s">
        <v>7</v>
      </c>
      <c r="H900" s="554" t="s">
        <v>8</v>
      </c>
      <c r="I900" s="554" t="s">
        <v>9</v>
      </c>
      <c r="J900" s="554" t="s">
        <v>11</v>
      </c>
      <c r="K900" s="552"/>
    </row>
    <row r="901" spans="1:11" s="89" customFormat="1" ht="15.75" customHeight="1" x14ac:dyDescent="0.3">
      <c r="A901" s="607" t="s">
        <v>428</v>
      </c>
      <c r="B901" s="608" t="s">
        <v>222</v>
      </c>
      <c r="C901" s="607" t="s">
        <v>19</v>
      </c>
      <c r="D901" s="607" t="s">
        <v>3796</v>
      </c>
      <c r="E901" s="690" t="s">
        <v>709</v>
      </c>
      <c r="F901" s="690"/>
      <c r="G901" s="609" t="s">
        <v>532</v>
      </c>
      <c r="H901" s="610">
        <v>1</v>
      </c>
      <c r="I901" s="611">
        <v>8.6999999999999993</v>
      </c>
      <c r="J901" s="611">
        <v>8.6999999999999993</v>
      </c>
      <c r="K901" s="546"/>
    </row>
    <row r="902" spans="1:11" ht="14.25" customHeight="1" x14ac:dyDescent="0.3">
      <c r="A902" s="547" t="s">
        <v>430</v>
      </c>
      <c r="B902" s="548" t="s">
        <v>559</v>
      </c>
      <c r="C902" s="547" t="s">
        <v>19</v>
      </c>
      <c r="D902" s="547" t="s">
        <v>560</v>
      </c>
      <c r="E902" s="688" t="s">
        <v>429</v>
      </c>
      <c r="F902" s="688"/>
      <c r="G902" s="549" t="s">
        <v>423</v>
      </c>
      <c r="H902" s="550">
        <v>4.3258699999999997E-2</v>
      </c>
      <c r="I902" s="551">
        <v>23.4</v>
      </c>
      <c r="J902" s="551">
        <v>1.01</v>
      </c>
      <c r="K902" s="552"/>
    </row>
    <row r="903" spans="1:11" ht="38.25" customHeight="1" x14ac:dyDescent="0.3">
      <c r="A903" s="547" t="s">
        <v>430</v>
      </c>
      <c r="B903" s="548" t="s">
        <v>595</v>
      </c>
      <c r="C903" s="547" t="s">
        <v>19</v>
      </c>
      <c r="D903" s="547" t="s">
        <v>596</v>
      </c>
      <c r="E903" s="688" t="s">
        <v>461</v>
      </c>
      <c r="F903" s="688"/>
      <c r="G903" s="549" t="s">
        <v>95</v>
      </c>
      <c r="H903" s="550">
        <v>2.4197799999999998E-2</v>
      </c>
      <c r="I903" s="551">
        <v>242.79</v>
      </c>
      <c r="J903" s="551">
        <v>5.87</v>
      </c>
      <c r="K903" s="552"/>
    </row>
    <row r="904" spans="1:11" s="89" customFormat="1" ht="39" customHeight="1" thickBot="1" x14ac:dyDescent="0.35">
      <c r="A904" s="547" t="s">
        <v>430</v>
      </c>
      <c r="B904" s="548" t="s">
        <v>597</v>
      </c>
      <c r="C904" s="547" t="s">
        <v>19</v>
      </c>
      <c r="D904" s="547" t="s">
        <v>598</v>
      </c>
      <c r="E904" s="688" t="s">
        <v>461</v>
      </c>
      <c r="F904" s="688"/>
      <c r="G904" s="549" t="s">
        <v>102</v>
      </c>
      <c r="H904" s="550">
        <v>1.9060899999999999E-2</v>
      </c>
      <c r="I904" s="551">
        <v>95.97</v>
      </c>
      <c r="J904" s="551">
        <v>1.82</v>
      </c>
      <c r="K904" s="546"/>
    </row>
    <row r="905" spans="1:11" ht="38.25" customHeight="1" thickTop="1" x14ac:dyDescent="0.3">
      <c r="A905" s="562"/>
      <c r="B905" s="562"/>
      <c r="C905" s="562"/>
      <c r="D905" s="562"/>
      <c r="E905" s="562"/>
      <c r="F905" s="562"/>
      <c r="G905" s="562"/>
      <c r="H905" s="562"/>
      <c r="I905" s="562"/>
      <c r="J905" s="562"/>
      <c r="K905" s="552"/>
    </row>
    <row r="906" spans="1:11" s="89" customFormat="1" ht="38.25" customHeight="1" x14ac:dyDescent="0.3">
      <c r="A906" s="553"/>
      <c r="B906" s="554" t="s">
        <v>4</v>
      </c>
      <c r="C906" s="553" t="s">
        <v>5</v>
      </c>
      <c r="D906" s="553" t="s">
        <v>6</v>
      </c>
      <c r="E906" s="691" t="s">
        <v>427</v>
      </c>
      <c r="F906" s="691"/>
      <c r="G906" s="555" t="s">
        <v>7</v>
      </c>
      <c r="H906" s="554" t="s">
        <v>8</v>
      </c>
      <c r="I906" s="554" t="s">
        <v>9</v>
      </c>
      <c r="J906" s="554" t="s">
        <v>11</v>
      </c>
      <c r="K906" s="546"/>
    </row>
    <row r="907" spans="1:11" s="89" customFormat="1" ht="15.75" customHeight="1" x14ac:dyDescent="0.3">
      <c r="A907" s="607" t="s">
        <v>428</v>
      </c>
      <c r="B907" s="608" t="s">
        <v>224</v>
      </c>
      <c r="C907" s="607" t="s">
        <v>19</v>
      </c>
      <c r="D907" s="607" t="s">
        <v>3797</v>
      </c>
      <c r="E907" s="690" t="s">
        <v>709</v>
      </c>
      <c r="F907" s="690"/>
      <c r="G907" s="609" t="s">
        <v>532</v>
      </c>
      <c r="H907" s="610">
        <v>1</v>
      </c>
      <c r="I907" s="611">
        <v>8.36</v>
      </c>
      <c r="J907" s="611">
        <v>8.36</v>
      </c>
      <c r="K907" s="546"/>
    </row>
    <row r="908" spans="1:11" ht="14.25" customHeight="1" x14ac:dyDescent="0.3">
      <c r="A908" s="547" t="s">
        <v>430</v>
      </c>
      <c r="B908" s="548" t="s">
        <v>559</v>
      </c>
      <c r="C908" s="547" t="s">
        <v>19</v>
      </c>
      <c r="D908" s="547" t="s">
        <v>560</v>
      </c>
      <c r="E908" s="688" t="s">
        <v>429</v>
      </c>
      <c r="F908" s="688"/>
      <c r="G908" s="549" t="s">
        <v>423</v>
      </c>
      <c r="H908" s="550">
        <v>4.1598700000000002E-2</v>
      </c>
      <c r="I908" s="551">
        <v>23.4</v>
      </c>
      <c r="J908" s="551">
        <v>0.97</v>
      </c>
      <c r="K908" s="552"/>
    </row>
    <row r="909" spans="1:11" ht="38.25" customHeight="1" x14ac:dyDescent="0.3">
      <c r="A909" s="547" t="s">
        <v>430</v>
      </c>
      <c r="B909" s="548" t="s">
        <v>595</v>
      </c>
      <c r="C909" s="547" t="s">
        <v>19</v>
      </c>
      <c r="D909" s="547" t="s">
        <v>596</v>
      </c>
      <c r="E909" s="688" t="s">
        <v>461</v>
      </c>
      <c r="F909" s="688"/>
      <c r="G909" s="549" t="s">
        <v>95</v>
      </c>
      <c r="H909" s="550">
        <v>2.32693E-2</v>
      </c>
      <c r="I909" s="551">
        <v>242.79</v>
      </c>
      <c r="J909" s="551">
        <v>5.64</v>
      </c>
      <c r="K909" s="552"/>
    </row>
    <row r="910" spans="1:11" ht="39" customHeight="1" thickBot="1" x14ac:dyDescent="0.35">
      <c r="A910" s="547" t="s">
        <v>430</v>
      </c>
      <c r="B910" s="548" t="s">
        <v>597</v>
      </c>
      <c r="C910" s="547" t="s">
        <v>19</v>
      </c>
      <c r="D910" s="547" t="s">
        <v>598</v>
      </c>
      <c r="E910" s="688" t="s">
        <v>461</v>
      </c>
      <c r="F910" s="688"/>
      <c r="G910" s="549" t="s">
        <v>102</v>
      </c>
      <c r="H910" s="550">
        <v>1.8329399999999999E-2</v>
      </c>
      <c r="I910" s="551">
        <v>95.97</v>
      </c>
      <c r="J910" s="551">
        <v>1.75</v>
      </c>
      <c r="K910" s="552"/>
    </row>
    <row r="911" spans="1:11" ht="14.25" customHeight="1" thickTop="1" x14ac:dyDescent="0.3">
      <c r="A911" s="562"/>
      <c r="B911" s="562"/>
      <c r="C911" s="562"/>
      <c r="D911" s="562"/>
      <c r="E911" s="562"/>
      <c r="F911" s="562"/>
      <c r="G911" s="562"/>
      <c r="H911" s="562"/>
      <c r="I911" s="562"/>
      <c r="J911" s="562"/>
      <c r="K911" s="552"/>
    </row>
    <row r="912" spans="1:11" ht="38.25" customHeight="1" x14ac:dyDescent="0.3">
      <c r="A912" s="553"/>
      <c r="B912" s="554" t="s">
        <v>4</v>
      </c>
      <c r="C912" s="553" t="s">
        <v>5</v>
      </c>
      <c r="D912" s="553" t="s">
        <v>6</v>
      </c>
      <c r="E912" s="691" t="s">
        <v>427</v>
      </c>
      <c r="F912" s="691"/>
      <c r="G912" s="555" t="s">
        <v>7</v>
      </c>
      <c r="H912" s="554" t="s">
        <v>8</v>
      </c>
      <c r="I912" s="554" t="s">
        <v>9</v>
      </c>
      <c r="J912" s="554" t="s">
        <v>11</v>
      </c>
      <c r="K912" s="552"/>
    </row>
    <row r="913" spans="1:11" s="89" customFormat="1" ht="39" customHeight="1" x14ac:dyDescent="0.3">
      <c r="A913" s="607" t="s">
        <v>428</v>
      </c>
      <c r="B913" s="608" t="s">
        <v>225</v>
      </c>
      <c r="C913" s="607" t="s">
        <v>26</v>
      </c>
      <c r="D913" s="607" t="s">
        <v>226</v>
      </c>
      <c r="E913" s="690" t="s">
        <v>709</v>
      </c>
      <c r="F913" s="690"/>
      <c r="G913" s="609" t="s">
        <v>227</v>
      </c>
      <c r="H913" s="610">
        <v>1</v>
      </c>
      <c r="I913" s="611">
        <v>13.06</v>
      </c>
      <c r="J913" s="611">
        <v>13.06</v>
      </c>
      <c r="K913" s="546"/>
    </row>
    <row r="914" spans="1:11" ht="50" x14ac:dyDescent="0.3">
      <c r="A914" s="547" t="s">
        <v>430</v>
      </c>
      <c r="B914" s="548" t="s">
        <v>756</v>
      </c>
      <c r="C914" s="547" t="s">
        <v>19</v>
      </c>
      <c r="D914" s="547" t="s">
        <v>757</v>
      </c>
      <c r="E914" s="688" t="s">
        <v>461</v>
      </c>
      <c r="F914" s="688"/>
      <c r="G914" s="549" t="s">
        <v>95</v>
      </c>
      <c r="H914" s="550">
        <v>0.08</v>
      </c>
      <c r="I914" s="551">
        <v>139.99</v>
      </c>
      <c r="J914" s="551">
        <v>11.19</v>
      </c>
      <c r="K914" s="552"/>
    </row>
    <row r="915" spans="1:11" ht="14.25" customHeight="1" x14ac:dyDescent="0.3">
      <c r="A915" s="547" t="s">
        <v>430</v>
      </c>
      <c r="B915" s="548" t="s">
        <v>559</v>
      </c>
      <c r="C915" s="547" t="s">
        <v>19</v>
      </c>
      <c r="D915" s="547" t="s">
        <v>560</v>
      </c>
      <c r="E915" s="688" t="s">
        <v>429</v>
      </c>
      <c r="F915" s="688"/>
      <c r="G915" s="549" t="s">
        <v>423</v>
      </c>
      <c r="H915" s="550">
        <v>0.08</v>
      </c>
      <c r="I915" s="551">
        <v>23.4</v>
      </c>
      <c r="J915" s="551">
        <v>1.87</v>
      </c>
      <c r="K915" s="552"/>
    </row>
    <row r="916" spans="1:11" s="89" customFormat="1" x14ac:dyDescent="0.3">
      <c r="A916" s="686" t="s">
        <v>3754</v>
      </c>
      <c r="B916" s="686"/>
      <c r="C916" s="686"/>
      <c r="D916" s="686"/>
      <c r="E916" s="686"/>
      <c r="F916" s="686"/>
      <c r="G916" s="686"/>
      <c r="H916" s="686"/>
      <c r="I916" s="686"/>
      <c r="J916" s="686"/>
      <c r="K916" s="546"/>
    </row>
    <row r="917" spans="1:11" ht="15" customHeight="1" thickBot="1" x14ac:dyDescent="0.35">
      <c r="A917" s="695" t="s">
        <v>3764</v>
      </c>
      <c r="B917" s="695"/>
      <c r="C917" s="695"/>
      <c r="D917" s="695"/>
      <c r="E917" s="695"/>
      <c r="F917" s="695"/>
      <c r="G917" s="695"/>
      <c r="H917" s="695"/>
      <c r="I917" s="695"/>
      <c r="J917" s="695"/>
      <c r="K917" s="552"/>
    </row>
    <row r="918" spans="1:11" ht="38.25" customHeight="1" thickTop="1" x14ac:dyDescent="0.3">
      <c r="A918" s="562"/>
      <c r="B918" s="562"/>
      <c r="C918" s="562"/>
      <c r="D918" s="562"/>
      <c r="E918" s="562"/>
      <c r="F918" s="562"/>
      <c r="G918" s="562"/>
      <c r="H918" s="562"/>
      <c r="I918" s="562"/>
      <c r="J918" s="562"/>
      <c r="K918" s="552"/>
    </row>
    <row r="919" spans="1:11" ht="39" customHeight="1" x14ac:dyDescent="0.3">
      <c r="A919" s="553"/>
      <c r="B919" s="554" t="s">
        <v>4</v>
      </c>
      <c r="C919" s="553" t="s">
        <v>5</v>
      </c>
      <c r="D919" s="553" t="s">
        <v>6</v>
      </c>
      <c r="E919" s="691" t="s">
        <v>427</v>
      </c>
      <c r="F919" s="691"/>
      <c r="G919" s="555" t="s">
        <v>7</v>
      </c>
      <c r="H919" s="554" t="s">
        <v>8</v>
      </c>
      <c r="I919" s="554" t="s">
        <v>9</v>
      </c>
      <c r="J919" s="554" t="s">
        <v>11</v>
      </c>
      <c r="K919" s="552"/>
    </row>
    <row r="920" spans="1:11" s="89" customFormat="1" ht="37.5" x14ac:dyDescent="0.3">
      <c r="A920" s="607" t="s">
        <v>428</v>
      </c>
      <c r="B920" s="608" t="s">
        <v>228</v>
      </c>
      <c r="C920" s="607" t="s">
        <v>26</v>
      </c>
      <c r="D920" s="607" t="s">
        <v>229</v>
      </c>
      <c r="E920" s="690" t="s">
        <v>709</v>
      </c>
      <c r="F920" s="690"/>
      <c r="G920" s="609" t="s">
        <v>227</v>
      </c>
      <c r="H920" s="610">
        <v>1</v>
      </c>
      <c r="I920" s="611">
        <v>17.96</v>
      </c>
      <c r="J920" s="611">
        <v>17.96</v>
      </c>
      <c r="K920" s="546"/>
    </row>
    <row r="921" spans="1:11" ht="50" x14ac:dyDescent="0.3">
      <c r="A921" s="547" t="s">
        <v>430</v>
      </c>
      <c r="B921" s="548" t="s">
        <v>756</v>
      </c>
      <c r="C921" s="547" t="s">
        <v>19</v>
      </c>
      <c r="D921" s="547" t="s">
        <v>757</v>
      </c>
      <c r="E921" s="688" t="s">
        <v>461</v>
      </c>
      <c r="F921" s="688"/>
      <c r="G921" s="549" t="s">
        <v>95</v>
      </c>
      <c r="H921" s="550">
        <v>0.11</v>
      </c>
      <c r="I921" s="551">
        <v>139.99</v>
      </c>
      <c r="J921" s="551">
        <v>15.39</v>
      </c>
      <c r="K921" s="552"/>
    </row>
    <row r="922" spans="1:11" s="89" customFormat="1" ht="15" customHeight="1" x14ac:dyDescent="0.3">
      <c r="A922" s="547" t="s">
        <v>430</v>
      </c>
      <c r="B922" s="548" t="s">
        <v>559</v>
      </c>
      <c r="C922" s="547" t="s">
        <v>19</v>
      </c>
      <c r="D922" s="547" t="s">
        <v>560</v>
      </c>
      <c r="E922" s="688" t="s">
        <v>429</v>
      </c>
      <c r="F922" s="688"/>
      <c r="G922" s="549" t="s">
        <v>423</v>
      </c>
      <c r="H922" s="550">
        <v>0.11</v>
      </c>
      <c r="I922" s="551">
        <v>23.4</v>
      </c>
      <c r="J922" s="551">
        <v>2.57</v>
      </c>
      <c r="K922" s="546"/>
    </row>
    <row r="923" spans="1:11" x14ac:dyDescent="0.3">
      <c r="A923" s="686" t="s">
        <v>3754</v>
      </c>
      <c r="B923" s="686"/>
      <c r="C923" s="686"/>
      <c r="D923" s="686"/>
      <c r="E923" s="686"/>
      <c r="F923" s="686"/>
      <c r="G923" s="686"/>
      <c r="H923" s="686"/>
      <c r="I923" s="686"/>
      <c r="J923" s="686"/>
      <c r="K923" s="552"/>
    </row>
    <row r="924" spans="1:11" ht="15" customHeight="1" thickBot="1" x14ac:dyDescent="0.35">
      <c r="A924" s="695" t="s">
        <v>3765</v>
      </c>
      <c r="B924" s="695"/>
      <c r="C924" s="695"/>
      <c r="D924" s="695"/>
      <c r="E924" s="695"/>
      <c r="F924" s="695"/>
      <c r="G924" s="695"/>
      <c r="H924" s="695"/>
      <c r="I924" s="695"/>
      <c r="J924" s="695"/>
      <c r="K924" s="552"/>
    </row>
    <row r="925" spans="1:11" ht="14.5" thickTop="1" x14ac:dyDescent="0.3">
      <c r="A925" s="562"/>
      <c r="B925" s="562"/>
      <c r="C925" s="562"/>
      <c r="D925" s="562"/>
      <c r="E925" s="562"/>
      <c r="F925" s="562"/>
      <c r="G925" s="562"/>
      <c r="H925" s="562"/>
      <c r="I925" s="562"/>
      <c r="J925" s="562"/>
      <c r="K925" s="552"/>
    </row>
    <row r="926" spans="1:11" ht="15" customHeight="1" x14ac:dyDescent="0.3">
      <c r="A926" s="553"/>
      <c r="B926" s="554" t="s">
        <v>4</v>
      </c>
      <c r="C926" s="553" t="s">
        <v>5</v>
      </c>
      <c r="D926" s="553" t="s">
        <v>6</v>
      </c>
      <c r="E926" s="691" t="s">
        <v>427</v>
      </c>
      <c r="F926" s="691"/>
      <c r="G926" s="555" t="s">
        <v>7</v>
      </c>
      <c r="H926" s="554" t="s">
        <v>8</v>
      </c>
      <c r="I926" s="554" t="s">
        <v>9</v>
      </c>
      <c r="J926" s="554" t="s">
        <v>11</v>
      </c>
      <c r="K926" s="552"/>
    </row>
    <row r="927" spans="1:11" s="89" customFormat="1" ht="25.5" customHeight="1" x14ac:dyDescent="0.3">
      <c r="A927" s="607" t="s">
        <v>428</v>
      </c>
      <c r="B927" s="608" t="s">
        <v>3951</v>
      </c>
      <c r="C927" s="607" t="s">
        <v>293</v>
      </c>
      <c r="D927" s="607" t="s">
        <v>3952</v>
      </c>
      <c r="E927" s="690" t="s">
        <v>3953</v>
      </c>
      <c r="F927" s="690"/>
      <c r="G927" s="609" t="s">
        <v>532</v>
      </c>
      <c r="H927" s="610">
        <v>1</v>
      </c>
      <c r="I927" s="611">
        <v>109.28</v>
      </c>
      <c r="J927" s="611">
        <v>109.28</v>
      </c>
      <c r="K927" s="546"/>
    </row>
    <row r="928" spans="1:11" s="89" customFormat="1" ht="25.5" customHeight="1" thickBot="1" x14ac:dyDescent="0.35">
      <c r="A928" s="547" t="s">
        <v>433</v>
      </c>
      <c r="B928" s="548" t="s">
        <v>3954</v>
      </c>
      <c r="C928" s="547" t="s">
        <v>115</v>
      </c>
      <c r="D928" s="547" t="s">
        <v>3955</v>
      </c>
      <c r="E928" s="688" t="s">
        <v>442</v>
      </c>
      <c r="F928" s="688"/>
      <c r="G928" s="549" t="s">
        <v>423</v>
      </c>
      <c r="H928" s="550">
        <v>0.16669999999999999</v>
      </c>
      <c r="I928" s="551">
        <v>655.60400000000004</v>
      </c>
      <c r="J928" s="551">
        <v>109.28</v>
      </c>
      <c r="K928" s="546"/>
    </row>
    <row r="929" spans="1:11" ht="25.5" customHeight="1" thickTop="1" x14ac:dyDescent="0.3">
      <c r="A929" s="562"/>
      <c r="B929" s="562"/>
      <c r="C929" s="562"/>
      <c r="D929" s="562"/>
      <c r="E929" s="562"/>
      <c r="F929" s="562"/>
      <c r="G929" s="562"/>
      <c r="H929" s="562"/>
      <c r="I929" s="562"/>
      <c r="J929" s="562"/>
      <c r="K929" s="552"/>
    </row>
    <row r="930" spans="1:11" s="89" customFormat="1" ht="38.25" customHeight="1" x14ac:dyDescent="0.3">
      <c r="A930" s="553"/>
      <c r="B930" s="554" t="s">
        <v>4</v>
      </c>
      <c r="C930" s="553" t="s">
        <v>5</v>
      </c>
      <c r="D930" s="553" t="s">
        <v>6</v>
      </c>
      <c r="E930" s="691" t="s">
        <v>427</v>
      </c>
      <c r="F930" s="691"/>
      <c r="G930" s="555" t="s">
        <v>7</v>
      </c>
      <c r="H930" s="554" t="s">
        <v>8</v>
      </c>
      <c r="I930" s="554" t="s">
        <v>9</v>
      </c>
      <c r="J930" s="554" t="s">
        <v>11</v>
      </c>
      <c r="K930" s="546"/>
    </row>
    <row r="931" spans="1:11" ht="39" customHeight="1" x14ac:dyDescent="0.3">
      <c r="A931" s="607" t="s">
        <v>428</v>
      </c>
      <c r="B931" s="608" t="s">
        <v>232</v>
      </c>
      <c r="C931" s="607" t="s">
        <v>19</v>
      </c>
      <c r="D931" s="607" t="s">
        <v>3798</v>
      </c>
      <c r="E931" s="690" t="s">
        <v>928</v>
      </c>
      <c r="F931" s="690"/>
      <c r="G931" s="609" t="s">
        <v>532</v>
      </c>
      <c r="H931" s="610">
        <v>1</v>
      </c>
      <c r="I931" s="611">
        <v>1.37</v>
      </c>
      <c r="J931" s="611">
        <v>1.37</v>
      </c>
      <c r="K931" s="552"/>
    </row>
    <row r="932" spans="1:11" ht="38.25" customHeight="1" x14ac:dyDescent="0.3">
      <c r="A932" s="547" t="s">
        <v>430</v>
      </c>
      <c r="B932" s="548" t="s">
        <v>929</v>
      </c>
      <c r="C932" s="547" t="s">
        <v>19</v>
      </c>
      <c r="D932" s="547" t="s">
        <v>930</v>
      </c>
      <c r="E932" s="688" t="s">
        <v>461</v>
      </c>
      <c r="F932" s="688"/>
      <c r="G932" s="549" t="s">
        <v>95</v>
      </c>
      <c r="H932" s="550">
        <v>2.5225999999999998E-3</v>
      </c>
      <c r="I932" s="551">
        <v>251.06</v>
      </c>
      <c r="J932" s="551">
        <v>0.63</v>
      </c>
      <c r="K932" s="552"/>
    </row>
    <row r="933" spans="1:11" s="89" customFormat="1" ht="15.75" customHeight="1" x14ac:dyDescent="0.3">
      <c r="A933" s="547" t="s">
        <v>430</v>
      </c>
      <c r="B933" s="548" t="s">
        <v>931</v>
      </c>
      <c r="C933" s="547" t="s">
        <v>19</v>
      </c>
      <c r="D933" s="547" t="s">
        <v>932</v>
      </c>
      <c r="E933" s="688" t="s">
        <v>461</v>
      </c>
      <c r="F933" s="688"/>
      <c r="G933" s="549" t="s">
        <v>102</v>
      </c>
      <c r="H933" s="550">
        <v>6.1034000000000001E-3</v>
      </c>
      <c r="I933" s="551">
        <v>88.5</v>
      </c>
      <c r="J933" s="551">
        <v>0.54</v>
      </c>
      <c r="K933" s="546"/>
    </row>
    <row r="934" spans="1:11" s="89" customFormat="1" ht="15" customHeight="1" thickBot="1" x14ac:dyDescent="0.35">
      <c r="A934" s="547" t="s">
        <v>430</v>
      </c>
      <c r="B934" s="548" t="s">
        <v>559</v>
      </c>
      <c r="C934" s="547" t="s">
        <v>19</v>
      </c>
      <c r="D934" s="547" t="s">
        <v>560</v>
      </c>
      <c r="E934" s="688" t="s">
        <v>429</v>
      </c>
      <c r="F934" s="688"/>
      <c r="G934" s="549" t="s">
        <v>423</v>
      </c>
      <c r="H934" s="550">
        <v>8.626E-3</v>
      </c>
      <c r="I934" s="551">
        <v>23.4</v>
      </c>
      <c r="J934" s="551">
        <v>0.2</v>
      </c>
      <c r="K934" s="546"/>
    </row>
    <row r="935" spans="1:11" ht="38.25" customHeight="1" thickTop="1" x14ac:dyDescent="0.3">
      <c r="A935" s="562"/>
      <c r="B935" s="562"/>
      <c r="C935" s="562"/>
      <c r="D935" s="562"/>
      <c r="E935" s="562"/>
      <c r="F935" s="562"/>
      <c r="G935" s="562"/>
      <c r="H935" s="562"/>
      <c r="I935" s="562"/>
      <c r="J935" s="562"/>
      <c r="K935" s="552"/>
    </row>
    <row r="936" spans="1:11" ht="38.25" customHeight="1" x14ac:dyDescent="0.3">
      <c r="A936" s="553"/>
      <c r="B936" s="554" t="s">
        <v>4</v>
      </c>
      <c r="C936" s="553" t="s">
        <v>5</v>
      </c>
      <c r="D936" s="553" t="s">
        <v>6</v>
      </c>
      <c r="E936" s="691" t="s">
        <v>427</v>
      </c>
      <c r="F936" s="691"/>
      <c r="G936" s="555" t="s">
        <v>7</v>
      </c>
      <c r="H936" s="554" t="s">
        <v>8</v>
      </c>
      <c r="I936" s="554" t="s">
        <v>9</v>
      </c>
      <c r="J936" s="554" t="s">
        <v>11</v>
      </c>
      <c r="K936" s="552"/>
    </row>
    <row r="937" spans="1:11" ht="15" customHeight="1" x14ac:dyDescent="0.3">
      <c r="A937" s="607" t="s">
        <v>428</v>
      </c>
      <c r="B937" s="608" t="s">
        <v>234</v>
      </c>
      <c r="C937" s="607" t="s">
        <v>115</v>
      </c>
      <c r="D937" s="607" t="s">
        <v>3555</v>
      </c>
      <c r="E937" s="690" t="s">
        <v>402</v>
      </c>
      <c r="F937" s="690"/>
      <c r="G937" s="609" t="s">
        <v>933</v>
      </c>
      <c r="H937" s="610">
        <v>1</v>
      </c>
      <c r="I937" s="611">
        <v>13.66</v>
      </c>
      <c r="J937" s="611">
        <v>13.66</v>
      </c>
      <c r="K937" s="552"/>
    </row>
    <row r="938" spans="1:11" ht="25.5" customHeight="1" x14ac:dyDescent="0.3">
      <c r="A938" s="691" t="s">
        <v>408</v>
      </c>
      <c r="B938" s="692" t="s">
        <v>4</v>
      </c>
      <c r="C938" s="691" t="s">
        <v>5</v>
      </c>
      <c r="D938" s="691" t="s">
        <v>462</v>
      </c>
      <c r="E938" s="692" t="s">
        <v>463</v>
      </c>
      <c r="F938" s="694" t="s">
        <v>464</v>
      </c>
      <c r="G938" s="692"/>
      <c r="H938" s="694" t="s">
        <v>465</v>
      </c>
      <c r="I938" s="692"/>
      <c r="J938" s="692" t="s">
        <v>466</v>
      </c>
      <c r="K938" s="552"/>
    </row>
    <row r="939" spans="1:11" ht="38.25" customHeight="1" x14ac:dyDescent="0.3">
      <c r="A939" s="692"/>
      <c r="B939" s="692"/>
      <c r="C939" s="692"/>
      <c r="D939" s="692"/>
      <c r="E939" s="692"/>
      <c r="F939" s="554" t="s">
        <v>467</v>
      </c>
      <c r="G939" s="554" t="s">
        <v>468</v>
      </c>
      <c r="H939" s="554" t="s">
        <v>467</v>
      </c>
      <c r="I939" s="554" t="s">
        <v>468</v>
      </c>
      <c r="J939" s="692"/>
      <c r="K939" s="552"/>
    </row>
    <row r="940" spans="1:11" s="89" customFormat="1" ht="39" customHeight="1" x14ac:dyDescent="0.3">
      <c r="A940" s="547" t="s">
        <v>433</v>
      </c>
      <c r="B940" s="548" t="s">
        <v>934</v>
      </c>
      <c r="C940" s="547" t="s">
        <v>115</v>
      </c>
      <c r="D940" s="547" t="s">
        <v>935</v>
      </c>
      <c r="E940" s="550">
        <v>1</v>
      </c>
      <c r="F940" s="551">
        <v>1</v>
      </c>
      <c r="G940" s="551">
        <v>0</v>
      </c>
      <c r="H940" s="563">
        <v>0.98719999999999997</v>
      </c>
      <c r="I940" s="563">
        <v>0.57709999999999995</v>
      </c>
      <c r="J940" s="563">
        <v>0.98719999999999997</v>
      </c>
      <c r="K940" s="546"/>
    </row>
    <row r="941" spans="1:11" ht="15" customHeight="1" x14ac:dyDescent="0.3">
      <c r="A941" s="547" t="s">
        <v>433</v>
      </c>
      <c r="B941" s="548" t="s">
        <v>936</v>
      </c>
      <c r="C941" s="547" t="s">
        <v>115</v>
      </c>
      <c r="D941" s="547" t="s">
        <v>937</v>
      </c>
      <c r="E941" s="550">
        <v>1</v>
      </c>
      <c r="F941" s="551">
        <v>1</v>
      </c>
      <c r="G941" s="551">
        <v>0</v>
      </c>
      <c r="H941" s="563">
        <v>10.8424</v>
      </c>
      <c r="I941" s="563">
        <v>0.48609999999999998</v>
      </c>
      <c r="J941" s="563">
        <v>10.8424</v>
      </c>
      <c r="K941" s="552"/>
    </row>
    <row r="942" spans="1:11" ht="14.25" customHeight="1" x14ac:dyDescent="0.3">
      <c r="A942" s="689"/>
      <c r="B942" s="689"/>
      <c r="C942" s="689"/>
      <c r="D942" s="689"/>
      <c r="E942" s="689"/>
      <c r="F942" s="689" t="s">
        <v>471</v>
      </c>
      <c r="G942" s="689"/>
      <c r="H942" s="689"/>
      <c r="I942" s="689"/>
      <c r="J942" s="564">
        <v>11.829599999999999</v>
      </c>
      <c r="K942" s="552"/>
    </row>
    <row r="943" spans="1:11" ht="14.25" customHeight="1" x14ac:dyDescent="0.3">
      <c r="A943" s="689"/>
      <c r="B943" s="689"/>
      <c r="C943" s="689"/>
      <c r="D943" s="689"/>
      <c r="E943" s="689"/>
      <c r="F943" s="689" t="s">
        <v>472</v>
      </c>
      <c r="G943" s="689"/>
      <c r="H943" s="689"/>
      <c r="I943" s="689"/>
      <c r="J943" s="564">
        <v>11.829599999999999</v>
      </c>
      <c r="K943" s="552"/>
    </row>
    <row r="944" spans="1:11" ht="38.25" customHeight="1" x14ac:dyDescent="0.3">
      <c r="A944" s="689"/>
      <c r="B944" s="689"/>
      <c r="C944" s="689"/>
      <c r="D944" s="689"/>
      <c r="E944" s="689"/>
      <c r="F944" s="689" t="s">
        <v>473</v>
      </c>
      <c r="G944" s="689"/>
      <c r="H944" s="689"/>
      <c r="I944" s="689"/>
      <c r="J944" s="564">
        <v>0</v>
      </c>
      <c r="K944" s="552"/>
    </row>
    <row r="945" spans="1:11" s="89" customFormat="1" ht="38.25" customHeight="1" x14ac:dyDescent="0.3">
      <c r="A945" s="689"/>
      <c r="B945" s="689"/>
      <c r="C945" s="689"/>
      <c r="D945" s="689"/>
      <c r="E945" s="689"/>
      <c r="F945" s="689" t="s">
        <v>474</v>
      </c>
      <c r="G945" s="689"/>
      <c r="H945" s="689"/>
      <c r="I945" s="689"/>
      <c r="J945" s="564">
        <v>0</v>
      </c>
      <c r="K945" s="546"/>
    </row>
    <row r="946" spans="1:11" ht="14.25" customHeight="1" x14ac:dyDescent="0.3">
      <c r="A946" s="689"/>
      <c r="B946" s="689"/>
      <c r="C946" s="689"/>
      <c r="D946" s="689"/>
      <c r="E946" s="689"/>
      <c r="F946" s="689" t="s">
        <v>475</v>
      </c>
      <c r="G946" s="689"/>
      <c r="H946" s="689"/>
      <c r="I946" s="689"/>
      <c r="J946" s="564">
        <v>1</v>
      </c>
      <c r="K946" s="552"/>
    </row>
    <row r="947" spans="1:11" s="89" customFormat="1" ht="15" customHeight="1" x14ac:dyDescent="0.3">
      <c r="A947" s="689"/>
      <c r="B947" s="689"/>
      <c r="C947" s="689"/>
      <c r="D947" s="689"/>
      <c r="E947" s="689"/>
      <c r="F947" s="689" t="s">
        <v>476</v>
      </c>
      <c r="G947" s="689"/>
      <c r="H947" s="689"/>
      <c r="I947" s="689"/>
      <c r="J947" s="564">
        <v>11.829599999999999</v>
      </c>
      <c r="K947" s="546"/>
    </row>
    <row r="948" spans="1:11" ht="15" customHeight="1" x14ac:dyDescent="0.3">
      <c r="A948" s="553" t="s">
        <v>573</v>
      </c>
      <c r="B948" s="554" t="s">
        <v>5</v>
      </c>
      <c r="C948" s="553" t="s">
        <v>4</v>
      </c>
      <c r="D948" s="553" t="s">
        <v>574</v>
      </c>
      <c r="E948" s="554" t="s">
        <v>463</v>
      </c>
      <c r="F948" s="554" t="s">
        <v>575</v>
      </c>
      <c r="G948" s="692" t="s">
        <v>576</v>
      </c>
      <c r="H948" s="692"/>
      <c r="I948" s="692"/>
      <c r="J948" s="554" t="s">
        <v>466</v>
      </c>
      <c r="K948" s="552"/>
    </row>
    <row r="949" spans="1:11" s="89" customFormat="1" ht="15" customHeight="1" x14ac:dyDescent="0.3">
      <c r="A949" s="547" t="s">
        <v>577</v>
      </c>
      <c r="B949" s="548" t="s">
        <v>19</v>
      </c>
      <c r="C949" s="547">
        <v>88267</v>
      </c>
      <c r="D949" s="547" t="s">
        <v>790</v>
      </c>
      <c r="E949" s="550">
        <v>0.05</v>
      </c>
      <c r="F949" s="549" t="s">
        <v>423</v>
      </c>
      <c r="G949" s="693">
        <v>30.33</v>
      </c>
      <c r="H949" s="693"/>
      <c r="I949" s="688"/>
      <c r="J949" s="563">
        <v>1.5165</v>
      </c>
      <c r="K949" s="546"/>
    </row>
    <row r="950" spans="1:11" ht="15" customHeight="1" x14ac:dyDescent="0.3">
      <c r="A950" s="547" t="s">
        <v>577</v>
      </c>
      <c r="B950" s="548" t="s">
        <v>19</v>
      </c>
      <c r="C950" s="547">
        <v>88264</v>
      </c>
      <c r="D950" s="547" t="s">
        <v>770</v>
      </c>
      <c r="E950" s="550">
        <v>0.01</v>
      </c>
      <c r="F950" s="549" t="s">
        <v>423</v>
      </c>
      <c r="G950" s="693">
        <v>31.49</v>
      </c>
      <c r="H950" s="693"/>
      <c r="I950" s="688"/>
      <c r="J950" s="563">
        <v>0.31490000000000001</v>
      </c>
      <c r="K950" s="552"/>
    </row>
    <row r="951" spans="1:11" s="89" customFormat="1" ht="15" customHeight="1" thickBot="1" x14ac:dyDescent="0.35">
      <c r="A951" s="689"/>
      <c r="B951" s="689"/>
      <c r="C951" s="689"/>
      <c r="D951" s="689"/>
      <c r="E951" s="689"/>
      <c r="F951" s="689" t="s">
        <v>578</v>
      </c>
      <c r="G951" s="689"/>
      <c r="H951" s="689"/>
      <c r="I951" s="689"/>
      <c r="J951" s="564">
        <v>1.8313999999999999</v>
      </c>
      <c r="K951" s="546"/>
    </row>
    <row r="952" spans="1:11" ht="14.5" thickTop="1" x14ac:dyDescent="0.3">
      <c r="A952" s="562"/>
      <c r="B952" s="562"/>
      <c r="C952" s="562"/>
      <c r="D952" s="562"/>
      <c r="E952" s="562"/>
      <c r="F952" s="562"/>
      <c r="G952" s="562"/>
      <c r="H952" s="562"/>
      <c r="I952" s="562"/>
      <c r="J952" s="562"/>
      <c r="K952" s="552"/>
    </row>
    <row r="953" spans="1:11" x14ac:dyDescent="0.3">
      <c r="A953" s="553"/>
      <c r="B953" s="554" t="s">
        <v>4</v>
      </c>
      <c r="C953" s="553" t="s">
        <v>5</v>
      </c>
      <c r="D953" s="553" t="s">
        <v>6</v>
      </c>
      <c r="E953" s="691" t="s">
        <v>427</v>
      </c>
      <c r="F953" s="691"/>
      <c r="G953" s="555" t="s">
        <v>7</v>
      </c>
      <c r="H953" s="554" t="s">
        <v>8</v>
      </c>
      <c r="I953" s="554" t="s">
        <v>9</v>
      </c>
      <c r="J953" s="554" t="s">
        <v>11</v>
      </c>
      <c r="K953" s="552"/>
    </row>
    <row r="954" spans="1:11" s="89" customFormat="1" ht="15.75" customHeight="1" x14ac:dyDescent="0.3">
      <c r="A954" s="607" t="s">
        <v>428</v>
      </c>
      <c r="B954" s="608" t="s">
        <v>237</v>
      </c>
      <c r="C954" s="607" t="s">
        <v>196</v>
      </c>
      <c r="D954" s="607" t="s">
        <v>3868</v>
      </c>
      <c r="E954" s="690">
        <v>793</v>
      </c>
      <c r="F954" s="690"/>
      <c r="G954" s="609" t="s">
        <v>556</v>
      </c>
      <c r="H954" s="610">
        <v>1</v>
      </c>
      <c r="I954" s="611">
        <v>23.05</v>
      </c>
      <c r="J954" s="611">
        <v>23.05</v>
      </c>
      <c r="K954" s="546"/>
    </row>
    <row r="955" spans="1:11" ht="14.25" customHeight="1" x14ac:dyDescent="0.3">
      <c r="A955" s="547" t="s">
        <v>430</v>
      </c>
      <c r="B955" s="548" t="s">
        <v>938</v>
      </c>
      <c r="C955" s="547" t="s">
        <v>196</v>
      </c>
      <c r="D955" s="547" t="s">
        <v>3869</v>
      </c>
      <c r="E955" s="688">
        <v>9</v>
      </c>
      <c r="F955" s="688"/>
      <c r="G955" s="549" t="s">
        <v>81</v>
      </c>
      <c r="H955" s="550">
        <v>1E-4</v>
      </c>
      <c r="I955" s="551">
        <v>45123.01</v>
      </c>
      <c r="J955" s="551">
        <v>4.51</v>
      </c>
      <c r="K955" s="552"/>
    </row>
    <row r="956" spans="1:11" ht="14.25" customHeight="1" x14ac:dyDescent="0.3">
      <c r="A956" s="547" t="s">
        <v>430</v>
      </c>
      <c r="B956" s="548" t="s">
        <v>559</v>
      </c>
      <c r="C956" s="547" t="s">
        <v>19</v>
      </c>
      <c r="D956" s="547" t="s">
        <v>560</v>
      </c>
      <c r="E956" s="688" t="s">
        <v>429</v>
      </c>
      <c r="F956" s="688"/>
      <c r="G956" s="549" t="s">
        <v>423</v>
      </c>
      <c r="H956" s="550">
        <v>0.32900000000000001</v>
      </c>
      <c r="I956" s="551">
        <v>23.4</v>
      </c>
      <c r="J956" s="551">
        <v>7.69</v>
      </c>
      <c r="K956" s="552"/>
    </row>
    <row r="957" spans="1:11" s="89" customFormat="1" ht="38.25" customHeight="1" x14ac:dyDescent="0.3">
      <c r="A957" s="547" t="s">
        <v>430</v>
      </c>
      <c r="B957" s="548" t="s">
        <v>562</v>
      </c>
      <c r="C957" s="547" t="s">
        <v>19</v>
      </c>
      <c r="D957" s="547" t="s">
        <v>563</v>
      </c>
      <c r="E957" s="688" t="s">
        <v>461</v>
      </c>
      <c r="F957" s="688"/>
      <c r="G957" s="549" t="s">
        <v>95</v>
      </c>
      <c r="H957" s="550">
        <v>3.7100000000000001E-2</v>
      </c>
      <c r="I957" s="551">
        <v>204.43</v>
      </c>
      <c r="J957" s="551">
        <v>7.58</v>
      </c>
      <c r="K957" s="546"/>
    </row>
    <row r="958" spans="1:11" ht="14.25" customHeight="1" thickBot="1" x14ac:dyDescent="0.35">
      <c r="A958" s="547" t="s">
        <v>430</v>
      </c>
      <c r="B958" s="548" t="s">
        <v>564</v>
      </c>
      <c r="C958" s="547" t="s">
        <v>19</v>
      </c>
      <c r="D958" s="547" t="s">
        <v>565</v>
      </c>
      <c r="E958" s="688" t="s">
        <v>461</v>
      </c>
      <c r="F958" s="688"/>
      <c r="G958" s="549" t="s">
        <v>102</v>
      </c>
      <c r="H958" s="550">
        <v>3.7100000000000001E-2</v>
      </c>
      <c r="I958" s="551">
        <v>88.26</v>
      </c>
      <c r="J958" s="551">
        <v>3.27</v>
      </c>
      <c r="K958" s="552"/>
    </row>
    <row r="959" spans="1:11" ht="14.25" customHeight="1" thickTop="1" x14ac:dyDescent="0.3">
      <c r="A959" s="562"/>
      <c r="B959" s="562"/>
      <c r="C959" s="562"/>
      <c r="D959" s="562"/>
      <c r="E959" s="562"/>
      <c r="F959" s="562"/>
      <c r="G959" s="562"/>
      <c r="H959" s="562"/>
      <c r="I959" s="562"/>
      <c r="J959" s="562"/>
      <c r="K959" s="552"/>
    </row>
    <row r="960" spans="1:11" s="89" customFormat="1" ht="38.25" customHeight="1" x14ac:dyDescent="0.3">
      <c r="A960" s="553"/>
      <c r="B960" s="554" t="s">
        <v>4</v>
      </c>
      <c r="C960" s="553" t="s">
        <v>5</v>
      </c>
      <c r="D960" s="553" t="s">
        <v>6</v>
      </c>
      <c r="E960" s="691" t="s">
        <v>427</v>
      </c>
      <c r="F960" s="691"/>
      <c r="G960" s="555" t="s">
        <v>7</v>
      </c>
      <c r="H960" s="554" t="s">
        <v>8</v>
      </c>
      <c r="I960" s="554" t="s">
        <v>9</v>
      </c>
      <c r="J960" s="554" t="s">
        <v>11</v>
      </c>
      <c r="K960" s="546"/>
    </row>
    <row r="961" spans="1:11" ht="39" customHeight="1" x14ac:dyDescent="0.3">
      <c r="A961" s="607" t="s">
        <v>428</v>
      </c>
      <c r="B961" s="608" t="s">
        <v>239</v>
      </c>
      <c r="C961" s="607" t="s">
        <v>196</v>
      </c>
      <c r="D961" s="607" t="s">
        <v>3870</v>
      </c>
      <c r="E961" s="690">
        <v>793</v>
      </c>
      <c r="F961" s="690"/>
      <c r="G961" s="609" t="s">
        <v>556</v>
      </c>
      <c r="H961" s="610">
        <v>1</v>
      </c>
      <c r="I961" s="611">
        <v>30.02</v>
      </c>
      <c r="J961" s="611">
        <v>30.02</v>
      </c>
      <c r="K961" s="552"/>
    </row>
    <row r="962" spans="1:11" ht="25" x14ac:dyDescent="0.3">
      <c r="A962" s="547" t="s">
        <v>430</v>
      </c>
      <c r="B962" s="548" t="s">
        <v>939</v>
      </c>
      <c r="C962" s="547" t="s">
        <v>196</v>
      </c>
      <c r="D962" s="547" t="s">
        <v>3871</v>
      </c>
      <c r="E962" s="688">
        <v>9</v>
      </c>
      <c r="F962" s="688"/>
      <c r="G962" s="549" t="s">
        <v>81</v>
      </c>
      <c r="H962" s="550">
        <v>1E-4</v>
      </c>
      <c r="I962" s="551">
        <v>81375.740000000005</v>
      </c>
      <c r="J962" s="551">
        <v>8.1300000000000008</v>
      </c>
      <c r="K962" s="552"/>
    </row>
    <row r="963" spans="1:11" ht="15" customHeight="1" x14ac:dyDescent="0.3">
      <c r="A963" s="547" t="s">
        <v>430</v>
      </c>
      <c r="B963" s="548" t="s">
        <v>559</v>
      </c>
      <c r="C963" s="547" t="s">
        <v>19</v>
      </c>
      <c r="D963" s="547" t="s">
        <v>560</v>
      </c>
      <c r="E963" s="688" t="s">
        <v>429</v>
      </c>
      <c r="F963" s="688"/>
      <c r="G963" s="549" t="s">
        <v>423</v>
      </c>
      <c r="H963" s="550">
        <v>0.28499999999999998</v>
      </c>
      <c r="I963" s="551">
        <v>23.4</v>
      </c>
      <c r="J963" s="551">
        <v>6.66</v>
      </c>
      <c r="K963" s="552"/>
    </row>
    <row r="964" spans="1:11" s="89" customFormat="1" ht="38.25" customHeight="1" x14ac:dyDescent="0.3">
      <c r="A964" s="547" t="s">
        <v>430</v>
      </c>
      <c r="B964" s="548" t="s">
        <v>562</v>
      </c>
      <c r="C964" s="547" t="s">
        <v>19</v>
      </c>
      <c r="D964" s="547" t="s">
        <v>563</v>
      </c>
      <c r="E964" s="688" t="s">
        <v>461</v>
      </c>
      <c r="F964" s="688"/>
      <c r="G964" s="549" t="s">
        <v>95</v>
      </c>
      <c r="H964" s="550">
        <v>0.04</v>
      </c>
      <c r="I964" s="551">
        <v>204.43</v>
      </c>
      <c r="J964" s="551">
        <v>8.17</v>
      </c>
      <c r="K964" s="546"/>
    </row>
    <row r="965" spans="1:11" ht="39" customHeight="1" thickBot="1" x14ac:dyDescent="0.35">
      <c r="A965" s="547" t="s">
        <v>430</v>
      </c>
      <c r="B965" s="548" t="s">
        <v>564</v>
      </c>
      <c r="C965" s="547" t="s">
        <v>19</v>
      </c>
      <c r="D965" s="547" t="s">
        <v>565</v>
      </c>
      <c r="E965" s="688" t="s">
        <v>461</v>
      </c>
      <c r="F965" s="688"/>
      <c r="G965" s="549" t="s">
        <v>102</v>
      </c>
      <c r="H965" s="550">
        <v>0.08</v>
      </c>
      <c r="I965" s="551">
        <v>88.26</v>
      </c>
      <c r="J965" s="551">
        <v>7.06</v>
      </c>
      <c r="K965" s="552"/>
    </row>
    <row r="966" spans="1:11" s="89" customFormat="1" ht="15" customHeight="1" thickTop="1" x14ac:dyDescent="0.3">
      <c r="A966" s="562"/>
      <c r="B966" s="562"/>
      <c r="C966" s="562"/>
      <c r="D966" s="562"/>
      <c r="E966" s="562"/>
      <c r="F966" s="562"/>
      <c r="G966" s="562"/>
      <c r="H966" s="562"/>
      <c r="I966" s="562"/>
      <c r="J966" s="562"/>
      <c r="K966" s="546"/>
    </row>
    <row r="967" spans="1:11" ht="38.25" customHeight="1" x14ac:dyDescent="0.3">
      <c r="A967" s="553"/>
      <c r="B967" s="554" t="s">
        <v>4</v>
      </c>
      <c r="C967" s="553" t="s">
        <v>5</v>
      </c>
      <c r="D967" s="553" t="s">
        <v>6</v>
      </c>
      <c r="E967" s="691" t="s">
        <v>427</v>
      </c>
      <c r="F967" s="691"/>
      <c r="G967" s="555" t="s">
        <v>7</v>
      </c>
      <c r="H967" s="554" t="s">
        <v>8</v>
      </c>
      <c r="I967" s="554" t="s">
        <v>9</v>
      </c>
      <c r="J967" s="554" t="s">
        <v>11</v>
      </c>
      <c r="K967" s="552"/>
    </row>
    <row r="968" spans="1:11" s="89" customFormat="1" ht="39" customHeight="1" x14ac:dyDescent="0.3">
      <c r="A968" s="607" t="s">
        <v>428</v>
      </c>
      <c r="B968" s="608" t="s">
        <v>351</v>
      </c>
      <c r="C968" s="607" t="s">
        <v>196</v>
      </c>
      <c r="D968" s="607" t="s">
        <v>3872</v>
      </c>
      <c r="E968" s="690">
        <v>793</v>
      </c>
      <c r="F968" s="690"/>
      <c r="G968" s="609" t="s">
        <v>556</v>
      </c>
      <c r="H968" s="610">
        <v>1</v>
      </c>
      <c r="I968" s="611">
        <v>20.14</v>
      </c>
      <c r="J968" s="611">
        <v>20.14</v>
      </c>
      <c r="K968" s="546"/>
    </row>
    <row r="969" spans="1:11" ht="38.25" customHeight="1" x14ac:dyDescent="0.3">
      <c r="A969" s="547" t="s">
        <v>430</v>
      </c>
      <c r="B969" s="548" t="s">
        <v>1032</v>
      </c>
      <c r="C969" s="547" t="s">
        <v>196</v>
      </c>
      <c r="D969" s="547" t="s">
        <v>3873</v>
      </c>
      <c r="E969" s="688">
        <v>9</v>
      </c>
      <c r="F969" s="688"/>
      <c r="G969" s="549" t="s">
        <v>81</v>
      </c>
      <c r="H969" s="550">
        <v>1E-4</v>
      </c>
      <c r="I969" s="551">
        <v>53811.75</v>
      </c>
      <c r="J969" s="551">
        <v>5.38</v>
      </c>
      <c r="K969" s="552"/>
    </row>
    <row r="970" spans="1:11" ht="39" customHeight="1" x14ac:dyDescent="0.3">
      <c r="A970" s="547" t="s">
        <v>430</v>
      </c>
      <c r="B970" s="548" t="s">
        <v>559</v>
      </c>
      <c r="C970" s="547" t="s">
        <v>19</v>
      </c>
      <c r="D970" s="547" t="s">
        <v>560</v>
      </c>
      <c r="E970" s="688" t="s">
        <v>429</v>
      </c>
      <c r="F970" s="688"/>
      <c r="G970" s="549" t="s">
        <v>423</v>
      </c>
      <c r="H970" s="550">
        <v>0.19800000000000001</v>
      </c>
      <c r="I970" s="551">
        <v>23.4</v>
      </c>
      <c r="J970" s="551">
        <v>4.63</v>
      </c>
      <c r="K970" s="552"/>
    </row>
    <row r="971" spans="1:11" s="89" customFormat="1" ht="38.25" customHeight="1" x14ac:dyDescent="0.3">
      <c r="A971" s="547" t="s">
        <v>430</v>
      </c>
      <c r="B971" s="548" t="s">
        <v>562</v>
      </c>
      <c r="C971" s="547" t="s">
        <v>19</v>
      </c>
      <c r="D971" s="547" t="s">
        <v>563</v>
      </c>
      <c r="E971" s="688" t="s">
        <v>461</v>
      </c>
      <c r="F971" s="688"/>
      <c r="G971" s="549" t="s">
        <v>95</v>
      </c>
      <c r="H971" s="550">
        <v>2.7E-2</v>
      </c>
      <c r="I971" s="551">
        <v>204.43</v>
      </c>
      <c r="J971" s="551">
        <v>5.51</v>
      </c>
      <c r="K971" s="546"/>
    </row>
    <row r="972" spans="1:11" s="89" customFormat="1" ht="39" customHeight="1" thickBot="1" x14ac:dyDescent="0.35">
      <c r="A972" s="547" t="s">
        <v>430</v>
      </c>
      <c r="B972" s="548" t="s">
        <v>564</v>
      </c>
      <c r="C972" s="547" t="s">
        <v>19</v>
      </c>
      <c r="D972" s="547" t="s">
        <v>565</v>
      </c>
      <c r="E972" s="688" t="s">
        <v>461</v>
      </c>
      <c r="F972" s="688"/>
      <c r="G972" s="549" t="s">
        <v>102</v>
      </c>
      <c r="H972" s="550">
        <v>5.2400000000000002E-2</v>
      </c>
      <c r="I972" s="551">
        <v>88.26</v>
      </c>
      <c r="J972" s="551">
        <v>4.62</v>
      </c>
      <c r="K972" s="546"/>
    </row>
    <row r="973" spans="1:11" s="89" customFormat="1" ht="15" customHeight="1" thickTop="1" x14ac:dyDescent="0.3">
      <c r="A973" s="562"/>
      <c r="B973" s="562"/>
      <c r="C973" s="562"/>
      <c r="D973" s="562"/>
      <c r="E973" s="562"/>
      <c r="F973" s="562"/>
      <c r="G973" s="562"/>
      <c r="H973" s="562"/>
      <c r="I973" s="562"/>
      <c r="J973" s="562"/>
      <c r="K973" s="546"/>
    </row>
    <row r="974" spans="1:11" s="89" customFormat="1" ht="38.25" customHeight="1" x14ac:dyDescent="0.3">
      <c r="A974" s="553"/>
      <c r="B974" s="554" t="s">
        <v>4</v>
      </c>
      <c r="C974" s="553" t="s">
        <v>5</v>
      </c>
      <c r="D974" s="553" t="s">
        <v>6</v>
      </c>
      <c r="E974" s="691" t="s">
        <v>427</v>
      </c>
      <c r="F974" s="691"/>
      <c r="G974" s="555" t="s">
        <v>7</v>
      </c>
      <c r="H974" s="554" t="s">
        <v>8</v>
      </c>
      <c r="I974" s="554" t="s">
        <v>9</v>
      </c>
      <c r="J974" s="554" t="s">
        <v>11</v>
      </c>
      <c r="K974" s="546"/>
    </row>
    <row r="975" spans="1:11" ht="39" customHeight="1" x14ac:dyDescent="0.3">
      <c r="A975" s="607" t="s">
        <v>428</v>
      </c>
      <c r="B975" s="608" t="s">
        <v>241</v>
      </c>
      <c r="C975" s="607" t="s">
        <v>196</v>
      </c>
      <c r="D975" s="607" t="s">
        <v>3799</v>
      </c>
      <c r="E975" s="690">
        <v>793</v>
      </c>
      <c r="F975" s="690"/>
      <c r="G975" s="609" t="s">
        <v>556</v>
      </c>
      <c r="H975" s="610">
        <v>1</v>
      </c>
      <c r="I975" s="611">
        <v>32.4</v>
      </c>
      <c r="J975" s="611">
        <v>32.4</v>
      </c>
      <c r="K975" s="552"/>
    </row>
    <row r="976" spans="1:11" ht="38.25" customHeight="1" x14ac:dyDescent="0.3">
      <c r="A976" s="547" t="s">
        <v>430</v>
      </c>
      <c r="B976" s="548" t="s">
        <v>940</v>
      </c>
      <c r="C976" s="547" t="s">
        <v>196</v>
      </c>
      <c r="D976" s="547" t="s">
        <v>3874</v>
      </c>
      <c r="E976" s="688">
        <v>9</v>
      </c>
      <c r="F976" s="688"/>
      <c r="G976" s="549" t="s">
        <v>81</v>
      </c>
      <c r="H976" s="550">
        <v>1E-4</v>
      </c>
      <c r="I976" s="551">
        <v>49753.760000000002</v>
      </c>
      <c r="J976" s="551">
        <v>4.97</v>
      </c>
      <c r="K976" s="552"/>
    </row>
    <row r="977" spans="1:11" ht="39" customHeight="1" x14ac:dyDescent="0.3">
      <c r="A977" s="547" t="s">
        <v>430</v>
      </c>
      <c r="B977" s="548" t="s">
        <v>559</v>
      </c>
      <c r="C977" s="547" t="s">
        <v>19</v>
      </c>
      <c r="D977" s="547" t="s">
        <v>560</v>
      </c>
      <c r="E977" s="688" t="s">
        <v>429</v>
      </c>
      <c r="F977" s="688"/>
      <c r="G977" s="549" t="s">
        <v>423</v>
      </c>
      <c r="H977" s="550">
        <v>0.48599999999999999</v>
      </c>
      <c r="I977" s="551">
        <v>23.4</v>
      </c>
      <c r="J977" s="551">
        <v>11.37</v>
      </c>
      <c r="K977" s="552"/>
    </row>
    <row r="978" spans="1:11" s="89" customFormat="1" ht="38.25" customHeight="1" x14ac:dyDescent="0.3">
      <c r="A978" s="547" t="s">
        <v>430</v>
      </c>
      <c r="B978" s="548" t="s">
        <v>562</v>
      </c>
      <c r="C978" s="547" t="s">
        <v>19</v>
      </c>
      <c r="D978" s="547" t="s">
        <v>563</v>
      </c>
      <c r="E978" s="688" t="s">
        <v>461</v>
      </c>
      <c r="F978" s="688"/>
      <c r="G978" s="549" t="s">
        <v>95</v>
      </c>
      <c r="H978" s="550">
        <v>5.4899999999999997E-2</v>
      </c>
      <c r="I978" s="551">
        <v>204.43</v>
      </c>
      <c r="J978" s="551">
        <v>11.22</v>
      </c>
      <c r="K978" s="546"/>
    </row>
    <row r="979" spans="1:11" ht="39" customHeight="1" thickBot="1" x14ac:dyDescent="0.35">
      <c r="A979" s="547" t="s">
        <v>430</v>
      </c>
      <c r="B979" s="548" t="s">
        <v>564</v>
      </c>
      <c r="C979" s="547" t="s">
        <v>19</v>
      </c>
      <c r="D979" s="547" t="s">
        <v>565</v>
      </c>
      <c r="E979" s="688" t="s">
        <v>461</v>
      </c>
      <c r="F979" s="688"/>
      <c r="G979" s="549" t="s">
        <v>102</v>
      </c>
      <c r="H979" s="550">
        <v>5.4899999999999997E-2</v>
      </c>
      <c r="I979" s="551">
        <v>88.26</v>
      </c>
      <c r="J979" s="551">
        <v>4.84</v>
      </c>
      <c r="K979" s="552"/>
    </row>
    <row r="980" spans="1:11" s="89" customFormat="1" ht="15" customHeight="1" thickTop="1" x14ac:dyDescent="0.3">
      <c r="A980" s="562"/>
      <c r="B980" s="562"/>
      <c r="C980" s="562"/>
      <c r="D980" s="562"/>
      <c r="E980" s="562"/>
      <c r="F980" s="562"/>
      <c r="G980" s="562"/>
      <c r="H980" s="562"/>
      <c r="I980" s="562"/>
      <c r="J980" s="562"/>
      <c r="K980" s="546"/>
    </row>
    <row r="981" spans="1:11" ht="38.25" customHeight="1" x14ac:dyDescent="0.3">
      <c r="A981" s="553"/>
      <c r="B981" s="554" t="s">
        <v>4</v>
      </c>
      <c r="C981" s="553" t="s">
        <v>5</v>
      </c>
      <c r="D981" s="553" t="s">
        <v>6</v>
      </c>
      <c r="E981" s="691" t="s">
        <v>427</v>
      </c>
      <c r="F981" s="691"/>
      <c r="G981" s="555" t="s">
        <v>7</v>
      </c>
      <c r="H981" s="554" t="s">
        <v>8</v>
      </c>
      <c r="I981" s="554" t="s">
        <v>9</v>
      </c>
      <c r="J981" s="554" t="s">
        <v>11</v>
      </c>
      <c r="K981" s="552"/>
    </row>
    <row r="982" spans="1:11" ht="39" customHeight="1" x14ac:dyDescent="0.3">
      <c r="A982" s="607" t="s">
        <v>428</v>
      </c>
      <c r="B982" s="608" t="s">
        <v>242</v>
      </c>
      <c r="C982" s="607" t="s">
        <v>196</v>
      </c>
      <c r="D982" s="607" t="s">
        <v>3800</v>
      </c>
      <c r="E982" s="690">
        <v>793</v>
      </c>
      <c r="F982" s="690"/>
      <c r="G982" s="609" t="s">
        <v>556</v>
      </c>
      <c r="H982" s="610">
        <v>1</v>
      </c>
      <c r="I982" s="611">
        <v>41.58</v>
      </c>
      <c r="J982" s="611">
        <v>41.58</v>
      </c>
      <c r="K982" s="552"/>
    </row>
    <row r="983" spans="1:11" s="89" customFormat="1" ht="38.25" customHeight="1" x14ac:dyDescent="0.3">
      <c r="A983" s="547" t="s">
        <v>430</v>
      </c>
      <c r="B983" s="548" t="s">
        <v>941</v>
      </c>
      <c r="C983" s="547" t="s">
        <v>196</v>
      </c>
      <c r="D983" s="547" t="s">
        <v>3875</v>
      </c>
      <c r="E983" s="688">
        <v>9</v>
      </c>
      <c r="F983" s="688"/>
      <c r="G983" s="549" t="s">
        <v>81</v>
      </c>
      <c r="H983" s="550">
        <v>1E-4</v>
      </c>
      <c r="I983" s="551">
        <v>86644.36</v>
      </c>
      <c r="J983" s="551">
        <v>8.66</v>
      </c>
      <c r="K983" s="546"/>
    </row>
    <row r="984" spans="1:11" ht="39" customHeight="1" x14ac:dyDescent="0.3">
      <c r="A984" s="547" t="s">
        <v>430</v>
      </c>
      <c r="B984" s="548" t="s">
        <v>559</v>
      </c>
      <c r="C984" s="547" t="s">
        <v>19</v>
      </c>
      <c r="D984" s="547" t="s">
        <v>560</v>
      </c>
      <c r="E984" s="688" t="s">
        <v>429</v>
      </c>
      <c r="F984" s="688"/>
      <c r="G984" s="549" t="s">
        <v>423</v>
      </c>
      <c r="H984" s="550">
        <v>0.45600000000000002</v>
      </c>
      <c r="I984" s="551">
        <v>23.4</v>
      </c>
      <c r="J984" s="551">
        <v>10.67</v>
      </c>
      <c r="K984" s="552"/>
    </row>
    <row r="985" spans="1:11" s="89" customFormat="1" ht="38.25" customHeight="1" x14ac:dyDescent="0.3">
      <c r="A985" s="547" t="s">
        <v>430</v>
      </c>
      <c r="B985" s="548" t="s">
        <v>562</v>
      </c>
      <c r="C985" s="547" t="s">
        <v>19</v>
      </c>
      <c r="D985" s="547" t="s">
        <v>563</v>
      </c>
      <c r="E985" s="688" t="s">
        <v>461</v>
      </c>
      <c r="F985" s="688"/>
      <c r="G985" s="549" t="s">
        <v>95</v>
      </c>
      <c r="H985" s="550">
        <v>7.0000000000000007E-2</v>
      </c>
      <c r="I985" s="551">
        <v>204.43</v>
      </c>
      <c r="J985" s="551">
        <v>14.31</v>
      </c>
      <c r="K985" s="546"/>
    </row>
    <row r="986" spans="1:11" ht="39" customHeight="1" thickBot="1" x14ac:dyDescent="0.35">
      <c r="A986" s="547" t="s">
        <v>430</v>
      </c>
      <c r="B986" s="548" t="s">
        <v>564</v>
      </c>
      <c r="C986" s="547" t="s">
        <v>19</v>
      </c>
      <c r="D986" s="547" t="s">
        <v>565</v>
      </c>
      <c r="E986" s="688" t="s">
        <v>461</v>
      </c>
      <c r="F986" s="688"/>
      <c r="G986" s="549" t="s">
        <v>102</v>
      </c>
      <c r="H986" s="550">
        <v>0.09</v>
      </c>
      <c r="I986" s="551">
        <v>88.26</v>
      </c>
      <c r="J986" s="551">
        <v>7.94</v>
      </c>
      <c r="K986" s="552"/>
    </row>
    <row r="987" spans="1:11" s="89" customFormat="1" ht="15" customHeight="1" thickTop="1" x14ac:dyDescent="0.3">
      <c r="A987" s="562"/>
      <c r="B987" s="562"/>
      <c r="C987" s="562"/>
      <c r="D987" s="562"/>
      <c r="E987" s="562"/>
      <c r="F987" s="562"/>
      <c r="G987" s="562"/>
      <c r="H987" s="562"/>
      <c r="I987" s="562"/>
      <c r="J987" s="562"/>
      <c r="K987" s="546"/>
    </row>
    <row r="988" spans="1:11" ht="38.25" customHeight="1" x14ac:dyDescent="0.3">
      <c r="A988" s="553"/>
      <c r="B988" s="554" t="s">
        <v>4</v>
      </c>
      <c r="C988" s="553" t="s">
        <v>5</v>
      </c>
      <c r="D988" s="553" t="s">
        <v>6</v>
      </c>
      <c r="E988" s="691" t="s">
        <v>427</v>
      </c>
      <c r="F988" s="691"/>
      <c r="G988" s="555" t="s">
        <v>7</v>
      </c>
      <c r="H988" s="554" t="s">
        <v>8</v>
      </c>
      <c r="I988" s="554" t="s">
        <v>9</v>
      </c>
      <c r="J988" s="554" t="s">
        <v>11</v>
      </c>
      <c r="K988" s="552"/>
    </row>
    <row r="989" spans="1:11" s="89" customFormat="1" ht="39" customHeight="1" x14ac:dyDescent="0.3">
      <c r="A989" s="607" t="s">
        <v>428</v>
      </c>
      <c r="B989" s="608" t="s">
        <v>243</v>
      </c>
      <c r="C989" s="607" t="s">
        <v>196</v>
      </c>
      <c r="D989" s="607" t="s">
        <v>3801</v>
      </c>
      <c r="E989" s="690">
        <v>793</v>
      </c>
      <c r="F989" s="690"/>
      <c r="G989" s="609" t="s">
        <v>556</v>
      </c>
      <c r="H989" s="610">
        <v>1</v>
      </c>
      <c r="I989" s="611">
        <v>23.69</v>
      </c>
      <c r="J989" s="611">
        <v>23.69</v>
      </c>
      <c r="K989" s="546"/>
    </row>
    <row r="990" spans="1:11" ht="38.25" customHeight="1" x14ac:dyDescent="0.3">
      <c r="A990" s="547" t="s">
        <v>430</v>
      </c>
      <c r="B990" s="548" t="s">
        <v>942</v>
      </c>
      <c r="C990" s="547" t="s">
        <v>196</v>
      </c>
      <c r="D990" s="547" t="s">
        <v>3876</v>
      </c>
      <c r="E990" s="688">
        <v>9</v>
      </c>
      <c r="F990" s="688"/>
      <c r="G990" s="549" t="s">
        <v>81</v>
      </c>
      <c r="H990" s="550">
        <v>1E-4</v>
      </c>
      <c r="I990" s="551">
        <v>58223.29</v>
      </c>
      <c r="J990" s="551">
        <v>5.82</v>
      </c>
      <c r="K990" s="552"/>
    </row>
    <row r="991" spans="1:11" s="89" customFormat="1" ht="39" customHeight="1" x14ac:dyDescent="0.3">
      <c r="A991" s="547" t="s">
        <v>430</v>
      </c>
      <c r="B991" s="548" t="s">
        <v>559</v>
      </c>
      <c r="C991" s="547" t="s">
        <v>19</v>
      </c>
      <c r="D991" s="547" t="s">
        <v>560</v>
      </c>
      <c r="E991" s="688" t="s">
        <v>429</v>
      </c>
      <c r="F991" s="688"/>
      <c r="G991" s="549" t="s">
        <v>423</v>
      </c>
      <c r="H991" s="550">
        <v>0.317</v>
      </c>
      <c r="I991" s="551">
        <v>23.4</v>
      </c>
      <c r="J991" s="551">
        <v>7.41</v>
      </c>
      <c r="K991" s="546"/>
    </row>
    <row r="992" spans="1:11" s="89" customFormat="1" ht="38.25" customHeight="1" x14ac:dyDescent="0.3">
      <c r="A992" s="547" t="s">
        <v>430</v>
      </c>
      <c r="B992" s="548" t="s">
        <v>562</v>
      </c>
      <c r="C992" s="547" t="s">
        <v>19</v>
      </c>
      <c r="D992" s="547" t="s">
        <v>563</v>
      </c>
      <c r="E992" s="688" t="s">
        <v>461</v>
      </c>
      <c r="F992" s="688"/>
      <c r="G992" s="549" t="s">
        <v>95</v>
      </c>
      <c r="H992" s="550">
        <v>3.5799999999999998E-2</v>
      </c>
      <c r="I992" s="551">
        <v>204.43</v>
      </c>
      <c r="J992" s="551">
        <v>7.31</v>
      </c>
      <c r="K992" s="546"/>
    </row>
    <row r="993" spans="1:11" s="89" customFormat="1" ht="39" customHeight="1" thickBot="1" x14ac:dyDescent="0.35">
      <c r="A993" s="547" t="s">
        <v>430</v>
      </c>
      <c r="B993" s="548" t="s">
        <v>564</v>
      </c>
      <c r="C993" s="547" t="s">
        <v>19</v>
      </c>
      <c r="D993" s="547" t="s">
        <v>565</v>
      </c>
      <c r="E993" s="688" t="s">
        <v>461</v>
      </c>
      <c r="F993" s="688"/>
      <c r="G993" s="549" t="s">
        <v>102</v>
      </c>
      <c r="H993" s="550">
        <v>3.5799999999999998E-2</v>
      </c>
      <c r="I993" s="551">
        <v>88.26</v>
      </c>
      <c r="J993" s="551">
        <v>3.15</v>
      </c>
      <c r="K993" s="546"/>
    </row>
    <row r="994" spans="1:11" ht="14.25" customHeight="1" thickTop="1" x14ac:dyDescent="0.3">
      <c r="A994" s="562"/>
      <c r="B994" s="562"/>
      <c r="C994" s="562"/>
      <c r="D994" s="562"/>
      <c r="E994" s="562"/>
      <c r="F994" s="562"/>
      <c r="G994" s="562"/>
      <c r="H994" s="562"/>
      <c r="I994" s="562"/>
      <c r="J994" s="562"/>
      <c r="K994" s="552"/>
    </row>
    <row r="995" spans="1:11" ht="38.25" customHeight="1" x14ac:dyDescent="0.3">
      <c r="A995" s="553"/>
      <c r="B995" s="554" t="s">
        <v>4</v>
      </c>
      <c r="C995" s="553" t="s">
        <v>5</v>
      </c>
      <c r="D995" s="553" t="s">
        <v>6</v>
      </c>
      <c r="E995" s="691" t="s">
        <v>427</v>
      </c>
      <c r="F995" s="691"/>
      <c r="G995" s="555" t="s">
        <v>7</v>
      </c>
      <c r="H995" s="554" t="s">
        <v>8</v>
      </c>
      <c r="I995" s="554" t="s">
        <v>9</v>
      </c>
      <c r="J995" s="554" t="s">
        <v>11</v>
      </c>
      <c r="K995" s="552"/>
    </row>
    <row r="996" spans="1:11" ht="39" customHeight="1" x14ac:dyDescent="0.3">
      <c r="A996" s="607" t="s">
        <v>428</v>
      </c>
      <c r="B996" s="608" t="s">
        <v>244</v>
      </c>
      <c r="C996" s="607" t="s">
        <v>196</v>
      </c>
      <c r="D996" s="607" t="s">
        <v>3802</v>
      </c>
      <c r="E996" s="690">
        <v>793</v>
      </c>
      <c r="F996" s="690"/>
      <c r="G996" s="609" t="s">
        <v>556</v>
      </c>
      <c r="H996" s="610">
        <v>1</v>
      </c>
      <c r="I996" s="611">
        <v>47.36</v>
      </c>
      <c r="J996" s="611">
        <v>47.36</v>
      </c>
      <c r="K996" s="552"/>
    </row>
    <row r="997" spans="1:11" s="89" customFormat="1" ht="38.25" customHeight="1" x14ac:dyDescent="0.3">
      <c r="A997" s="547" t="s">
        <v>430</v>
      </c>
      <c r="B997" s="548" t="s">
        <v>940</v>
      </c>
      <c r="C997" s="547" t="s">
        <v>196</v>
      </c>
      <c r="D997" s="547" t="s">
        <v>3874</v>
      </c>
      <c r="E997" s="688">
        <v>9</v>
      </c>
      <c r="F997" s="688"/>
      <c r="G997" s="549" t="s">
        <v>81</v>
      </c>
      <c r="H997" s="550">
        <v>1E-4</v>
      </c>
      <c r="I997" s="551">
        <v>49753.760000000002</v>
      </c>
      <c r="J997" s="551">
        <v>4.97</v>
      </c>
      <c r="K997" s="546"/>
    </row>
    <row r="998" spans="1:11" ht="39" customHeight="1" x14ac:dyDescent="0.3">
      <c r="A998" s="547" t="s">
        <v>430</v>
      </c>
      <c r="B998" s="548" t="s">
        <v>559</v>
      </c>
      <c r="C998" s="547" t="s">
        <v>19</v>
      </c>
      <c r="D998" s="547" t="s">
        <v>560</v>
      </c>
      <c r="E998" s="688" t="s">
        <v>429</v>
      </c>
      <c r="F998" s="688"/>
      <c r="G998" s="549" t="s">
        <v>423</v>
      </c>
      <c r="H998" s="550">
        <v>0.749</v>
      </c>
      <c r="I998" s="551">
        <v>23.4</v>
      </c>
      <c r="J998" s="551">
        <v>17.52</v>
      </c>
      <c r="K998" s="552"/>
    </row>
    <row r="999" spans="1:11" s="89" customFormat="1" ht="38.25" customHeight="1" x14ac:dyDescent="0.3">
      <c r="A999" s="547" t="s">
        <v>430</v>
      </c>
      <c r="B999" s="548" t="s">
        <v>562</v>
      </c>
      <c r="C999" s="547" t="s">
        <v>19</v>
      </c>
      <c r="D999" s="547" t="s">
        <v>563</v>
      </c>
      <c r="E999" s="688" t="s">
        <v>461</v>
      </c>
      <c r="F999" s="688"/>
      <c r="G999" s="549" t="s">
        <v>95</v>
      </c>
      <c r="H999" s="550">
        <v>8.5000000000000006E-2</v>
      </c>
      <c r="I999" s="551">
        <v>204.43</v>
      </c>
      <c r="J999" s="551">
        <v>17.37</v>
      </c>
      <c r="K999" s="546"/>
    </row>
    <row r="1000" spans="1:11" s="89" customFormat="1" ht="39" customHeight="1" thickBot="1" x14ac:dyDescent="0.35">
      <c r="A1000" s="547" t="s">
        <v>430</v>
      </c>
      <c r="B1000" s="548" t="s">
        <v>564</v>
      </c>
      <c r="C1000" s="547" t="s">
        <v>19</v>
      </c>
      <c r="D1000" s="547" t="s">
        <v>565</v>
      </c>
      <c r="E1000" s="688" t="s">
        <v>461</v>
      </c>
      <c r="F1000" s="688"/>
      <c r="G1000" s="549" t="s">
        <v>102</v>
      </c>
      <c r="H1000" s="550">
        <v>8.5000000000000006E-2</v>
      </c>
      <c r="I1000" s="551">
        <v>88.26</v>
      </c>
      <c r="J1000" s="551">
        <v>7.5</v>
      </c>
      <c r="K1000" s="546"/>
    </row>
    <row r="1001" spans="1:11" ht="14.25" customHeight="1" thickTop="1" x14ac:dyDescent="0.3">
      <c r="A1001" s="562"/>
      <c r="B1001" s="562"/>
      <c r="C1001" s="562"/>
      <c r="D1001" s="562"/>
      <c r="E1001" s="562"/>
      <c r="F1001" s="562"/>
      <c r="G1001" s="562"/>
      <c r="H1001" s="562"/>
      <c r="I1001" s="562"/>
      <c r="J1001" s="562"/>
      <c r="K1001" s="552"/>
    </row>
    <row r="1002" spans="1:11" s="89" customFormat="1" ht="38.25" customHeight="1" x14ac:dyDescent="0.3">
      <c r="A1002" s="553"/>
      <c r="B1002" s="554" t="s">
        <v>4</v>
      </c>
      <c r="C1002" s="553" t="s">
        <v>5</v>
      </c>
      <c r="D1002" s="553" t="s">
        <v>6</v>
      </c>
      <c r="E1002" s="691" t="s">
        <v>427</v>
      </c>
      <c r="F1002" s="691"/>
      <c r="G1002" s="555" t="s">
        <v>7</v>
      </c>
      <c r="H1002" s="554" t="s">
        <v>8</v>
      </c>
      <c r="I1002" s="554" t="s">
        <v>9</v>
      </c>
      <c r="J1002" s="554" t="s">
        <v>11</v>
      </c>
      <c r="K1002" s="546"/>
    </row>
    <row r="1003" spans="1:11" ht="39" customHeight="1" x14ac:dyDescent="0.3">
      <c r="A1003" s="607" t="s">
        <v>428</v>
      </c>
      <c r="B1003" s="608" t="s">
        <v>245</v>
      </c>
      <c r="C1003" s="607" t="s">
        <v>196</v>
      </c>
      <c r="D1003" s="607" t="s">
        <v>3803</v>
      </c>
      <c r="E1003" s="690">
        <v>793</v>
      </c>
      <c r="F1003" s="690"/>
      <c r="G1003" s="609" t="s">
        <v>556</v>
      </c>
      <c r="H1003" s="610">
        <v>1</v>
      </c>
      <c r="I1003" s="611">
        <v>59.71</v>
      </c>
      <c r="J1003" s="611">
        <v>59.71</v>
      </c>
      <c r="K1003" s="552"/>
    </row>
    <row r="1004" spans="1:11" ht="38.25" customHeight="1" x14ac:dyDescent="0.3">
      <c r="A1004" s="547" t="s">
        <v>430</v>
      </c>
      <c r="B1004" s="548" t="s">
        <v>941</v>
      </c>
      <c r="C1004" s="547" t="s">
        <v>196</v>
      </c>
      <c r="D1004" s="547" t="s">
        <v>3875</v>
      </c>
      <c r="E1004" s="688">
        <v>9</v>
      </c>
      <c r="F1004" s="688"/>
      <c r="G1004" s="549" t="s">
        <v>81</v>
      </c>
      <c r="H1004" s="550">
        <v>1E-4</v>
      </c>
      <c r="I1004" s="551">
        <v>86644.36</v>
      </c>
      <c r="J1004" s="551">
        <v>8.66</v>
      </c>
      <c r="K1004" s="552"/>
    </row>
    <row r="1005" spans="1:11" ht="39" customHeight="1" x14ac:dyDescent="0.3">
      <c r="A1005" s="547" t="s">
        <v>430</v>
      </c>
      <c r="B1005" s="548" t="s">
        <v>559</v>
      </c>
      <c r="C1005" s="547" t="s">
        <v>19</v>
      </c>
      <c r="D1005" s="547" t="s">
        <v>560</v>
      </c>
      <c r="E1005" s="688" t="s">
        <v>429</v>
      </c>
      <c r="F1005" s="688"/>
      <c r="G1005" s="549" t="s">
        <v>423</v>
      </c>
      <c r="H1005" s="550">
        <v>0.74199999999999999</v>
      </c>
      <c r="I1005" s="551">
        <v>23.4</v>
      </c>
      <c r="J1005" s="551">
        <v>17.36</v>
      </c>
      <c r="K1005" s="552"/>
    </row>
    <row r="1006" spans="1:11" s="89" customFormat="1" ht="38.25" customHeight="1" x14ac:dyDescent="0.3">
      <c r="A1006" s="547" t="s">
        <v>430</v>
      </c>
      <c r="B1006" s="548" t="s">
        <v>562</v>
      </c>
      <c r="C1006" s="547" t="s">
        <v>19</v>
      </c>
      <c r="D1006" s="547" t="s">
        <v>563</v>
      </c>
      <c r="E1006" s="688" t="s">
        <v>461</v>
      </c>
      <c r="F1006" s="688"/>
      <c r="G1006" s="549" t="s">
        <v>95</v>
      </c>
      <c r="H1006" s="550">
        <v>0.1125</v>
      </c>
      <c r="I1006" s="551">
        <v>204.43</v>
      </c>
      <c r="J1006" s="551">
        <v>22.99</v>
      </c>
      <c r="K1006" s="546"/>
    </row>
    <row r="1007" spans="1:11" ht="39" customHeight="1" thickBot="1" x14ac:dyDescent="0.35">
      <c r="A1007" s="547" t="s">
        <v>430</v>
      </c>
      <c r="B1007" s="548" t="s">
        <v>564</v>
      </c>
      <c r="C1007" s="547" t="s">
        <v>19</v>
      </c>
      <c r="D1007" s="547" t="s">
        <v>565</v>
      </c>
      <c r="E1007" s="688" t="s">
        <v>461</v>
      </c>
      <c r="F1007" s="688"/>
      <c r="G1007" s="549" t="s">
        <v>102</v>
      </c>
      <c r="H1007" s="550">
        <v>0.12130000000000001</v>
      </c>
      <c r="I1007" s="551">
        <v>88.26</v>
      </c>
      <c r="J1007" s="551">
        <v>10.7</v>
      </c>
      <c r="K1007" s="552"/>
    </row>
    <row r="1008" spans="1:11" ht="14.25" customHeight="1" thickTop="1" x14ac:dyDescent="0.3">
      <c r="A1008" s="562"/>
      <c r="B1008" s="562"/>
      <c r="C1008" s="562"/>
      <c r="D1008" s="562"/>
      <c r="E1008" s="562"/>
      <c r="F1008" s="562"/>
      <c r="G1008" s="562"/>
      <c r="H1008" s="562"/>
      <c r="I1008" s="562"/>
      <c r="J1008" s="562"/>
      <c r="K1008" s="552"/>
    </row>
    <row r="1009" spans="1:11" ht="38.25" customHeight="1" x14ac:dyDescent="0.3">
      <c r="A1009" s="553"/>
      <c r="B1009" s="554" t="s">
        <v>4</v>
      </c>
      <c r="C1009" s="553" t="s">
        <v>5</v>
      </c>
      <c r="D1009" s="553" t="s">
        <v>6</v>
      </c>
      <c r="E1009" s="691" t="s">
        <v>427</v>
      </c>
      <c r="F1009" s="691"/>
      <c r="G1009" s="555" t="s">
        <v>7</v>
      </c>
      <c r="H1009" s="554" t="s">
        <v>8</v>
      </c>
      <c r="I1009" s="554" t="s">
        <v>9</v>
      </c>
      <c r="J1009" s="554" t="s">
        <v>11</v>
      </c>
      <c r="K1009" s="552"/>
    </row>
    <row r="1010" spans="1:11" s="89" customFormat="1" ht="39" customHeight="1" x14ac:dyDescent="0.3">
      <c r="A1010" s="607" t="s">
        <v>428</v>
      </c>
      <c r="B1010" s="608" t="s">
        <v>246</v>
      </c>
      <c r="C1010" s="607" t="s">
        <v>196</v>
      </c>
      <c r="D1010" s="607" t="s">
        <v>3804</v>
      </c>
      <c r="E1010" s="690">
        <v>793</v>
      </c>
      <c r="F1010" s="690"/>
      <c r="G1010" s="609" t="s">
        <v>556</v>
      </c>
      <c r="H1010" s="610">
        <v>1</v>
      </c>
      <c r="I1010" s="611">
        <v>38.700000000000003</v>
      </c>
      <c r="J1010" s="611">
        <v>38.700000000000003</v>
      </c>
      <c r="K1010" s="546"/>
    </row>
    <row r="1011" spans="1:11" ht="38.25" customHeight="1" x14ac:dyDescent="0.3">
      <c r="A1011" s="547" t="s">
        <v>430</v>
      </c>
      <c r="B1011" s="548" t="s">
        <v>942</v>
      </c>
      <c r="C1011" s="547" t="s">
        <v>196</v>
      </c>
      <c r="D1011" s="547" t="s">
        <v>3876</v>
      </c>
      <c r="E1011" s="688">
        <v>9</v>
      </c>
      <c r="F1011" s="688"/>
      <c r="G1011" s="549" t="s">
        <v>81</v>
      </c>
      <c r="H1011" s="550">
        <v>1E-4</v>
      </c>
      <c r="I1011" s="551">
        <v>58223.29</v>
      </c>
      <c r="J1011" s="551">
        <v>5.82</v>
      </c>
      <c r="K1011" s="552"/>
    </row>
    <row r="1012" spans="1:11" ht="39" customHeight="1" x14ac:dyDescent="0.3">
      <c r="A1012" s="547" t="s">
        <v>430</v>
      </c>
      <c r="B1012" s="548" t="s">
        <v>559</v>
      </c>
      <c r="C1012" s="547" t="s">
        <v>19</v>
      </c>
      <c r="D1012" s="547" t="s">
        <v>560</v>
      </c>
      <c r="E1012" s="688" t="s">
        <v>429</v>
      </c>
      <c r="F1012" s="688"/>
      <c r="G1012" s="549" t="s">
        <v>423</v>
      </c>
      <c r="H1012" s="550">
        <v>0.57999999999999996</v>
      </c>
      <c r="I1012" s="551">
        <v>23.4</v>
      </c>
      <c r="J1012" s="551">
        <v>13.57</v>
      </c>
      <c r="K1012" s="552"/>
    </row>
    <row r="1013" spans="1:11" s="89" customFormat="1" ht="38.25" customHeight="1" x14ac:dyDescent="0.3">
      <c r="A1013" s="547" t="s">
        <v>430</v>
      </c>
      <c r="B1013" s="548" t="s">
        <v>562</v>
      </c>
      <c r="C1013" s="547" t="s">
        <v>19</v>
      </c>
      <c r="D1013" s="547" t="s">
        <v>563</v>
      </c>
      <c r="E1013" s="688" t="s">
        <v>461</v>
      </c>
      <c r="F1013" s="688"/>
      <c r="G1013" s="549" t="s">
        <v>95</v>
      </c>
      <c r="H1013" s="550">
        <v>6.6000000000000003E-2</v>
      </c>
      <c r="I1013" s="551">
        <v>204.43</v>
      </c>
      <c r="J1013" s="551">
        <v>13.49</v>
      </c>
      <c r="K1013" s="546"/>
    </row>
    <row r="1014" spans="1:11" s="89" customFormat="1" ht="39" customHeight="1" thickBot="1" x14ac:dyDescent="0.35">
      <c r="A1014" s="547" t="s">
        <v>430</v>
      </c>
      <c r="B1014" s="548" t="s">
        <v>564</v>
      </c>
      <c r="C1014" s="547" t="s">
        <v>19</v>
      </c>
      <c r="D1014" s="547" t="s">
        <v>565</v>
      </c>
      <c r="E1014" s="688" t="s">
        <v>461</v>
      </c>
      <c r="F1014" s="688"/>
      <c r="G1014" s="549" t="s">
        <v>102</v>
      </c>
      <c r="H1014" s="550">
        <v>6.6000000000000003E-2</v>
      </c>
      <c r="I1014" s="551">
        <v>88.26</v>
      </c>
      <c r="J1014" s="551">
        <v>5.82</v>
      </c>
      <c r="K1014" s="546"/>
    </row>
    <row r="1015" spans="1:11" ht="14.25" customHeight="1" thickTop="1" x14ac:dyDescent="0.3">
      <c r="A1015" s="562"/>
      <c r="B1015" s="562"/>
      <c r="C1015" s="562"/>
      <c r="D1015" s="562"/>
      <c r="E1015" s="562"/>
      <c r="F1015" s="562"/>
      <c r="G1015" s="562"/>
      <c r="H1015" s="562"/>
      <c r="I1015" s="562"/>
      <c r="J1015" s="562"/>
      <c r="K1015" s="552"/>
    </row>
    <row r="1016" spans="1:11" s="89" customFormat="1" ht="38.25" customHeight="1" x14ac:dyDescent="0.3">
      <c r="A1016" s="553"/>
      <c r="B1016" s="554" t="s">
        <v>4</v>
      </c>
      <c r="C1016" s="553" t="s">
        <v>5</v>
      </c>
      <c r="D1016" s="553" t="s">
        <v>6</v>
      </c>
      <c r="E1016" s="691" t="s">
        <v>427</v>
      </c>
      <c r="F1016" s="691"/>
      <c r="G1016" s="555" t="s">
        <v>7</v>
      </c>
      <c r="H1016" s="554" t="s">
        <v>8</v>
      </c>
      <c r="I1016" s="554" t="s">
        <v>9</v>
      </c>
      <c r="J1016" s="554" t="s">
        <v>11</v>
      </c>
      <c r="K1016" s="546"/>
    </row>
    <row r="1017" spans="1:11" ht="39" customHeight="1" x14ac:dyDescent="0.3">
      <c r="A1017" s="607" t="s">
        <v>428</v>
      </c>
      <c r="B1017" s="608" t="s">
        <v>249</v>
      </c>
      <c r="C1017" s="607" t="s">
        <v>19</v>
      </c>
      <c r="D1017" s="607" t="s">
        <v>250</v>
      </c>
      <c r="E1017" s="690" t="s">
        <v>709</v>
      </c>
      <c r="F1017" s="690"/>
      <c r="G1017" s="609" t="s">
        <v>532</v>
      </c>
      <c r="H1017" s="610">
        <v>1</v>
      </c>
      <c r="I1017" s="611">
        <v>271.92</v>
      </c>
      <c r="J1017" s="611">
        <v>271.92</v>
      </c>
      <c r="K1017" s="552"/>
    </row>
    <row r="1018" spans="1:11" s="89" customFormat="1" ht="38.25" customHeight="1" x14ac:dyDescent="0.3">
      <c r="A1018" s="547" t="s">
        <v>430</v>
      </c>
      <c r="B1018" s="548" t="s">
        <v>756</v>
      </c>
      <c r="C1018" s="547" t="s">
        <v>19</v>
      </c>
      <c r="D1018" s="547" t="s">
        <v>757</v>
      </c>
      <c r="E1018" s="688" t="s">
        <v>461</v>
      </c>
      <c r="F1018" s="688"/>
      <c r="G1018" s="549" t="s">
        <v>95</v>
      </c>
      <c r="H1018" s="550">
        <v>0.128</v>
      </c>
      <c r="I1018" s="551">
        <v>139.99</v>
      </c>
      <c r="J1018" s="551">
        <v>17.91</v>
      </c>
      <c r="K1018" s="546"/>
    </row>
    <row r="1019" spans="1:11" ht="39" customHeight="1" x14ac:dyDescent="0.3">
      <c r="A1019" s="547" t="s">
        <v>430</v>
      </c>
      <c r="B1019" s="548" t="s">
        <v>758</v>
      </c>
      <c r="C1019" s="547" t="s">
        <v>19</v>
      </c>
      <c r="D1019" s="547" t="s">
        <v>759</v>
      </c>
      <c r="E1019" s="688" t="s">
        <v>461</v>
      </c>
      <c r="F1019" s="688"/>
      <c r="G1019" s="549" t="s">
        <v>102</v>
      </c>
      <c r="H1019" s="550">
        <v>0.63980000000000004</v>
      </c>
      <c r="I1019" s="551">
        <v>61.95</v>
      </c>
      <c r="J1019" s="551">
        <v>39.630000000000003</v>
      </c>
      <c r="K1019" s="552"/>
    </row>
    <row r="1020" spans="1:11" s="89" customFormat="1" ht="15" customHeight="1" x14ac:dyDescent="0.3">
      <c r="A1020" s="547" t="s">
        <v>430</v>
      </c>
      <c r="B1020" s="548" t="s">
        <v>760</v>
      </c>
      <c r="C1020" s="547" t="s">
        <v>19</v>
      </c>
      <c r="D1020" s="547" t="s">
        <v>761</v>
      </c>
      <c r="E1020" s="688" t="s">
        <v>429</v>
      </c>
      <c r="F1020" s="688"/>
      <c r="G1020" s="549" t="s">
        <v>423</v>
      </c>
      <c r="H1020" s="550">
        <v>0.92130000000000001</v>
      </c>
      <c r="I1020" s="551">
        <v>31.1</v>
      </c>
      <c r="J1020" s="551">
        <v>28.65</v>
      </c>
      <c r="K1020" s="546"/>
    </row>
    <row r="1021" spans="1:11" s="89" customFormat="1" ht="15" customHeight="1" x14ac:dyDescent="0.3">
      <c r="A1021" s="547" t="s">
        <v>430</v>
      </c>
      <c r="B1021" s="548" t="s">
        <v>559</v>
      </c>
      <c r="C1021" s="547" t="s">
        <v>19</v>
      </c>
      <c r="D1021" s="547" t="s">
        <v>560</v>
      </c>
      <c r="E1021" s="688" t="s">
        <v>429</v>
      </c>
      <c r="F1021" s="688"/>
      <c r="G1021" s="549" t="s">
        <v>423</v>
      </c>
      <c r="H1021" s="550">
        <v>1.3818999999999999</v>
      </c>
      <c r="I1021" s="551">
        <v>23.4</v>
      </c>
      <c r="J1021" s="551">
        <v>32.33</v>
      </c>
      <c r="K1021" s="546"/>
    </row>
    <row r="1022" spans="1:11" ht="25.5" customHeight="1" x14ac:dyDescent="0.3">
      <c r="A1022" s="547" t="s">
        <v>430</v>
      </c>
      <c r="B1022" s="548" t="s">
        <v>943</v>
      </c>
      <c r="C1022" s="547" t="s">
        <v>19</v>
      </c>
      <c r="D1022" s="547" t="s">
        <v>944</v>
      </c>
      <c r="E1022" s="688" t="s">
        <v>461</v>
      </c>
      <c r="F1022" s="688"/>
      <c r="G1022" s="549" t="s">
        <v>95</v>
      </c>
      <c r="H1022" s="550">
        <v>7.1800000000000003E-2</v>
      </c>
      <c r="I1022" s="551">
        <v>33.549999999999997</v>
      </c>
      <c r="J1022" s="551">
        <v>2.4</v>
      </c>
      <c r="K1022" s="552"/>
    </row>
    <row r="1023" spans="1:11" ht="14.25" customHeight="1" x14ac:dyDescent="0.3">
      <c r="A1023" s="547" t="s">
        <v>430</v>
      </c>
      <c r="B1023" s="548" t="s">
        <v>945</v>
      </c>
      <c r="C1023" s="547" t="s">
        <v>19</v>
      </c>
      <c r="D1023" s="547" t="s">
        <v>946</v>
      </c>
      <c r="E1023" s="688" t="s">
        <v>461</v>
      </c>
      <c r="F1023" s="688"/>
      <c r="G1023" s="549" t="s">
        <v>102</v>
      </c>
      <c r="H1023" s="550">
        <v>6.6600000000000006E-2</v>
      </c>
      <c r="I1023" s="551">
        <v>26.89</v>
      </c>
      <c r="J1023" s="551">
        <v>1.79</v>
      </c>
      <c r="K1023" s="552"/>
    </row>
    <row r="1024" spans="1:11" s="89" customFormat="1" ht="15" customHeight="1" thickBot="1" x14ac:dyDescent="0.35">
      <c r="A1024" s="547" t="s">
        <v>433</v>
      </c>
      <c r="B1024" s="548" t="s">
        <v>947</v>
      </c>
      <c r="C1024" s="547" t="s">
        <v>115</v>
      </c>
      <c r="D1024" s="547" t="s">
        <v>948</v>
      </c>
      <c r="E1024" s="688" t="s">
        <v>438</v>
      </c>
      <c r="F1024" s="688"/>
      <c r="G1024" s="549" t="s">
        <v>532</v>
      </c>
      <c r="H1024" s="550">
        <v>1.1000000000000001</v>
      </c>
      <c r="I1024" s="551">
        <v>135.64580000000001</v>
      </c>
      <c r="J1024" s="551">
        <v>149.21</v>
      </c>
      <c r="K1024" s="546"/>
    </row>
    <row r="1025" spans="1:11" ht="25.5" customHeight="1" thickTop="1" x14ac:dyDescent="0.3">
      <c r="A1025" s="562"/>
      <c r="B1025" s="562"/>
      <c r="C1025" s="562"/>
      <c r="D1025" s="562"/>
      <c r="E1025" s="562"/>
      <c r="F1025" s="562"/>
      <c r="G1025" s="562"/>
      <c r="H1025" s="562"/>
      <c r="I1025" s="562"/>
      <c r="J1025" s="562"/>
      <c r="K1025" s="552"/>
    </row>
    <row r="1026" spans="1:11" s="89" customFormat="1" ht="25.5" customHeight="1" x14ac:dyDescent="0.3">
      <c r="A1026" s="553"/>
      <c r="B1026" s="554" t="s">
        <v>4</v>
      </c>
      <c r="C1026" s="553" t="s">
        <v>5</v>
      </c>
      <c r="D1026" s="553" t="s">
        <v>6</v>
      </c>
      <c r="E1026" s="691" t="s">
        <v>427</v>
      </c>
      <c r="F1026" s="691"/>
      <c r="G1026" s="555" t="s">
        <v>7</v>
      </c>
      <c r="H1026" s="554" t="s">
        <v>8</v>
      </c>
      <c r="I1026" s="554" t="s">
        <v>9</v>
      </c>
      <c r="J1026" s="554" t="s">
        <v>11</v>
      </c>
      <c r="K1026" s="546"/>
    </row>
    <row r="1027" spans="1:11" ht="37.5" x14ac:dyDescent="0.3">
      <c r="A1027" s="607" t="s">
        <v>428</v>
      </c>
      <c r="B1027" s="608" t="s">
        <v>251</v>
      </c>
      <c r="C1027" s="607" t="s">
        <v>19</v>
      </c>
      <c r="D1027" s="607" t="s">
        <v>252</v>
      </c>
      <c r="E1027" s="690" t="s">
        <v>709</v>
      </c>
      <c r="F1027" s="690"/>
      <c r="G1027" s="609" t="s">
        <v>532</v>
      </c>
      <c r="H1027" s="610">
        <v>1</v>
      </c>
      <c r="I1027" s="611">
        <v>224.67</v>
      </c>
      <c r="J1027" s="611">
        <v>224.67</v>
      </c>
      <c r="K1027" s="552"/>
    </row>
    <row r="1028" spans="1:11" s="89" customFormat="1" ht="50" x14ac:dyDescent="0.3">
      <c r="A1028" s="547" t="s">
        <v>430</v>
      </c>
      <c r="B1028" s="548" t="s">
        <v>756</v>
      </c>
      <c r="C1028" s="547" t="s">
        <v>19</v>
      </c>
      <c r="D1028" s="547" t="s">
        <v>757</v>
      </c>
      <c r="E1028" s="688" t="s">
        <v>461</v>
      </c>
      <c r="F1028" s="688"/>
      <c r="G1028" s="549" t="s">
        <v>95</v>
      </c>
      <c r="H1028" s="550">
        <v>7.9399999999999998E-2</v>
      </c>
      <c r="I1028" s="551">
        <v>139.99</v>
      </c>
      <c r="J1028" s="551">
        <v>11.11</v>
      </c>
      <c r="K1028" s="546"/>
    </row>
    <row r="1029" spans="1:11" ht="50" x14ac:dyDescent="0.3">
      <c r="A1029" s="547" t="s">
        <v>430</v>
      </c>
      <c r="B1029" s="548" t="s">
        <v>758</v>
      </c>
      <c r="C1029" s="547" t="s">
        <v>19</v>
      </c>
      <c r="D1029" s="547" t="s">
        <v>759</v>
      </c>
      <c r="E1029" s="688" t="s">
        <v>461</v>
      </c>
      <c r="F1029" s="688"/>
      <c r="G1029" s="549" t="s">
        <v>102</v>
      </c>
      <c r="H1029" s="550">
        <v>0.3972</v>
      </c>
      <c r="I1029" s="551">
        <v>61.95</v>
      </c>
      <c r="J1029" s="551">
        <v>24.6</v>
      </c>
      <c r="K1029" s="552"/>
    </row>
    <row r="1030" spans="1:11" s="89" customFormat="1" ht="15" customHeight="1" x14ac:dyDescent="0.3">
      <c r="A1030" s="547" t="s">
        <v>430</v>
      </c>
      <c r="B1030" s="548" t="s">
        <v>760</v>
      </c>
      <c r="C1030" s="547" t="s">
        <v>19</v>
      </c>
      <c r="D1030" s="547" t="s">
        <v>761</v>
      </c>
      <c r="E1030" s="688" t="s">
        <v>429</v>
      </c>
      <c r="F1030" s="688"/>
      <c r="G1030" s="549" t="s">
        <v>423</v>
      </c>
      <c r="H1030" s="550">
        <v>0.57199999999999995</v>
      </c>
      <c r="I1030" s="551">
        <v>31.1</v>
      </c>
      <c r="J1030" s="551">
        <v>17.78</v>
      </c>
      <c r="K1030" s="546"/>
    </row>
    <row r="1031" spans="1:11" ht="14.25" customHeight="1" x14ac:dyDescent="0.3">
      <c r="A1031" s="547" t="s">
        <v>430</v>
      </c>
      <c r="B1031" s="548" t="s">
        <v>559</v>
      </c>
      <c r="C1031" s="547" t="s">
        <v>19</v>
      </c>
      <c r="D1031" s="547" t="s">
        <v>560</v>
      </c>
      <c r="E1031" s="688" t="s">
        <v>429</v>
      </c>
      <c r="F1031" s="688"/>
      <c r="G1031" s="549" t="s">
        <v>423</v>
      </c>
      <c r="H1031" s="550">
        <v>0.8579</v>
      </c>
      <c r="I1031" s="551">
        <v>23.4</v>
      </c>
      <c r="J1031" s="551">
        <v>20.07</v>
      </c>
      <c r="K1031" s="552"/>
    </row>
    <row r="1032" spans="1:11" s="89" customFormat="1" ht="15" customHeight="1" x14ac:dyDescent="0.3">
      <c r="A1032" s="547" t="s">
        <v>430</v>
      </c>
      <c r="B1032" s="548" t="s">
        <v>943</v>
      </c>
      <c r="C1032" s="547" t="s">
        <v>19</v>
      </c>
      <c r="D1032" s="547" t="s">
        <v>944</v>
      </c>
      <c r="E1032" s="688" t="s">
        <v>461</v>
      </c>
      <c r="F1032" s="688"/>
      <c r="G1032" s="549" t="s">
        <v>95</v>
      </c>
      <c r="H1032" s="550">
        <v>3.2500000000000001E-2</v>
      </c>
      <c r="I1032" s="551">
        <v>33.549999999999997</v>
      </c>
      <c r="J1032" s="551">
        <v>1.0900000000000001</v>
      </c>
      <c r="K1032" s="546"/>
    </row>
    <row r="1033" spans="1:11" ht="14.25" customHeight="1" x14ac:dyDescent="0.3">
      <c r="A1033" s="547" t="s">
        <v>430</v>
      </c>
      <c r="B1033" s="548" t="s">
        <v>945</v>
      </c>
      <c r="C1033" s="547" t="s">
        <v>19</v>
      </c>
      <c r="D1033" s="547" t="s">
        <v>946</v>
      </c>
      <c r="E1033" s="688" t="s">
        <v>461</v>
      </c>
      <c r="F1033" s="688"/>
      <c r="G1033" s="549" t="s">
        <v>102</v>
      </c>
      <c r="H1033" s="550">
        <v>3.0200000000000001E-2</v>
      </c>
      <c r="I1033" s="551">
        <v>26.89</v>
      </c>
      <c r="J1033" s="551">
        <v>0.81</v>
      </c>
      <c r="K1033" s="552"/>
    </row>
    <row r="1034" spans="1:11" ht="14.25" customHeight="1" thickBot="1" x14ac:dyDescent="0.35">
      <c r="A1034" s="547" t="s">
        <v>433</v>
      </c>
      <c r="B1034" s="548" t="s">
        <v>947</v>
      </c>
      <c r="C1034" s="547" t="s">
        <v>115</v>
      </c>
      <c r="D1034" s="547" t="s">
        <v>948</v>
      </c>
      <c r="E1034" s="688" t="s">
        <v>438</v>
      </c>
      <c r="F1034" s="688"/>
      <c r="G1034" s="549" t="s">
        <v>532</v>
      </c>
      <c r="H1034" s="550">
        <v>1.1000000000000001</v>
      </c>
      <c r="I1034" s="551">
        <v>135.64580000000001</v>
      </c>
      <c r="J1034" s="551">
        <v>149.21</v>
      </c>
      <c r="K1034" s="552"/>
    </row>
    <row r="1035" spans="1:11" s="89" customFormat="1" ht="25.5" customHeight="1" thickTop="1" x14ac:dyDescent="0.3">
      <c r="A1035" s="562"/>
      <c r="B1035" s="562"/>
      <c r="C1035" s="562"/>
      <c r="D1035" s="562"/>
      <c r="E1035" s="562"/>
      <c r="F1035" s="562"/>
      <c r="G1035" s="562"/>
      <c r="H1035" s="562"/>
      <c r="I1035" s="562"/>
      <c r="J1035" s="562"/>
      <c r="K1035" s="546"/>
    </row>
    <row r="1036" spans="1:11" s="89" customFormat="1" ht="25.5" customHeight="1" x14ac:dyDescent="0.3">
      <c r="A1036" s="553"/>
      <c r="B1036" s="554" t="s">
        <v>4</v>
      </c>
      <c r="C1036" s="553" t="s">
        <v>5</v>
      </c>
      <c r="D1036" s="553" t="s">
        <v>6</v>
      </c>
      <c r="E1036" s="691" t="s">
        <v>427</v>
      </c>
      <c r="F1036" s="691"/>
      <c r="G1036" s="555" t="s">
        <v>7</v>
      </c>
      <c r="H1036" s="554" t="s">
        <v>8</v>
      </c>
      <c r="I1036" s="554" t="s">
        <v>9</v>
      </c>
      <c r="J1036" s="554" t="s">
        <v>11</v>
      </c>
      <c r="K1036" s="546"/>
    </row>
    <row r="1037" spans="1:11" s="89" customFormat="1" ht="50" x14ac:dyDescent="0.3">
      <c r="A1037" s="607" t="s">
        <v>428</v>
      </c>
      <c r="B1037" s="608" t="s">
        <v>253</v>
      </c>
      <c r="C1037" s="607" t="s">
        <v>26</v>
      </c>
      <c r="D1037" s="607" t="s">
        <v>254</v>
      </c>
      <c r="E1037" s="690" t="s">
        <v>928</v>
      </c>
      <c r="F1037" s="690"/>
      <c r="G1037" s="609" t="s">
        <v>532</v>
      </c>
      <c r="H1037" s="610">
        <v>1</v>
      </c>
      <c r="I1037" s="611">
        <v>15.45</v>
      </c>
      <c r="J1037" s="611">
        <v>15.45</v>
      </c>
      <c r="K1037" s="546"/>
    </row>
    <row r="1038" spans="1:11" ht="50" x14ac:dyDescent="0.3">
      <c r="A1038" s="547" t="s">
        <v>430</v>
      </c>
      <c r="B1038" s="548" t="s">
        <v>949</v>
      </c>
      <c r="C1038" s="547" t="s">
        <v>19</v>
      </c>
      <c r="D1038" s="547" t="s">
        <v>950</v>
      </c>
      <c r="E1038" s="688" t="s">
        <v>461</v>
      </c>
      <c r="F1038" s="688"/>
      <c r="G1038" s="549" t="s">
        <v>95</v>
      </c>
      <c r="H1038" s="550">
        <v>6.0000000000000001E-3</v>
      </c>
      <c r="I1038" s="551">
        <v>158.11000000000001</v>
      </c>
      <c r="J1038" s="551">
        <v>0.94</v>
      </c>
      <c r="K1038" s="552"/>
    </row>
    <row r="1039" spans="1:11" ht="50" x14ac:dyDescent="0.3">
      <c r="A1039" s="547" t="s">
        <v>430</v>
      </c>
      <c r="B1039" s="548" t="s">
        <v>951</v>
      </c>
      <c r="C1039" s="547" t="s">
        <v>19</v>
      </c>
      <c r="D1039" s="547" t="s">
        <v>952</v>
      </c>
      <c r="E1039" s="688" t="s">
        <v>461</v>
      </c>
      <c r="F1039" s="688"/>
      <c r="G1039" s="549" t="s">
        <v>102</v>
      </c>
      <c r="H1039" s="550">
        <v>0.02</v>
      </c>
      <c r="I1039" s="551">
        <v>66.37</v>
      </c>
      <c r="J1039" s="551">
        <v>1.32</v>
      </c>
      <c r="K1039" s="552"/>
    </row>
    <row r="1040" spans="1:11" s="89" customFormat="1" ht="50" x14ac:dyDescent="0.3">
      <c r="A1040" s="547" t="s">
        <v>430</v>
      </c>
      <c r="B1040" s="548" t="s">
        <v>953</v>
      </c>
      <c r="C1040" s="547" t="s">
        <v>19</v>
      </c>
      <c r="D1040" s="547" t="s">
        <v>954</v>
      </c>
      <c r="E1040" s="688" t="s">
        <v>461</v>
      </c>
      <c r="F1040" s="688"/>
      <c r="G1040" s="549" t="s">
        <v>95</v>
      </c>
      <c r="H1040" s="550">
        <v>4.0000000000000001E-3</v>
      </c>
      <c r="I1040" s="551">
        <v>299.89999999999998</v>
      </c>
      <c r="J1040" s="551">
        <v>1.19</v>
      </c>
      <c r="K1040" s="546"/>
    </row>
    <row r="1041" spans="1:11" ht="50" x14ac:dyDescent="0.3">
      <c r="A1041" s="547" t="s">
        <v>430</v>
      </c>
      <c r="B1041" s="548" t="s">
        <v>955</v>
      </c>
      <c r="C1041" s="547" t="s">
        <v>19</v>
      </c>
      <c r="D1041" s="547" t="s">
        <v>956</v>
      </c>
      <c r="E1041" s="688" t="s">
        <v>461</v>
      </c>
      <c r="F1041" s="688"/>
      <c r="G1041" s="549" t="s">
        <v>102</v>
      </c>
      <c r="H1041" s="550">
        <v>2.1999999999999999E-2</v>
      </c>
      <c r="I1041" s="551">
        <v>74.400000000000006</v>
      </c>
      <c r="J1041" s="551">
        <v>1.63</v>
      </c>
      <c r="K1041" s="552"/>
    </row>
    <row r="1042" spans="1:11" s="89" customFormat="1" ht="15" customHeight="1" x14ac:dyDescent="0.3">
      <c r="A1042" s="547" t="s">
        <v>430</v>
      </c>
      <c r="B1042" s="548" t="s">
        <v>957</v>
      </c>
      <c r="C1042" s="547" t="s">
        <v>19</v>
      </c>
      <c r="D1042" s="547" t="s">
        <v>958</v>
      </c>
      <c r="E1042" s="688" t="s">
        <v>461</v>
      </c>
      <c r="F1042" s="688"/>
      <c r="G1042" s="549" t="s">
        <v>95</v>
      </c>
      <c r="H1042" s="550">
        <v>6.0000000000000001E-3</v>
      </c>
      <c r="I1042" s="551">
        <v>4.96</v>
      </c>
      <c r="J1042" s="551">
        <v>0.02</v>
      </c>
      <c r="K1042" s="546"/>
    </row>
    <row r="1043" spans="1:11" ht="14.25" customHeight="1" x14ac:dyDescent="0.3">
      <c r="A1043" s="547" t="s">
        <v>430</v>
      </c>
      <c r="B1043" s="548" t="s">
        <v>959</v>
      </c>
      <c r="C1043" s="547" t="s">
        <v>19</v>
      </c>
      <c r="D1043" s="547" t="s">
        <v>960</v>
      </c>
      <c r="E1043" s="688" t="s">
        <v>461</v>
      </c>
      <c r="F1043" s="688"/>
      <c r="G1043" s="549" t="s">
        <v>102</v>
      </c>
      <c r="H1043" s="550">
        <v>0.02</v>
      </c>
      <c r="I1043" s="551">
        <v>3.21</v>
      </c>
      <c r="J1043" s="551">
        <v>0.06</v>
      </c>
      <c r="K1043" s="552"/>
    </row>
    <row r="1044" spans="1:11" s="89" customFormat="1" ht="25.5" customHeight="1" x14ac:dyDescent="0.3">
      <c r="A1044" s="547" t="s">
        <v>430</v>
      </c>
      <c r="B1044" s="548" t="s">
        <v>961</v>
      </c>
      <c r="C1044" s="547" t="s">
        <v>19</v>
      </c>
      <c r="D1044" s="547" t="s">
        <v>962</v>
      </c>
      <c r="E1044" s="688" t="s">
        <v>461</v>
      </c>
      <c r="F1044" s="688"/>
      <c r="G1044" s="549" t="s">
        <v>95</v>
      </c>
      <c r="H1044" s="550">
        <v>8.0000000000000002E-3</v>
      </c>
      <c r="I1044" s="551">
        <v>254.07</v>
      </c>
      <c r="J1044" s="551">
        <v>2.0299999999999998</v>
      </c>
      <c r="K1044" s="546"/>
    </row>
    <row r="1045" spans="1:11" ht="25.5" customHeight="1" x14ac:dyDescent="0.3">
      <c r="A1045" s="547" t="s">
        <v>430</v>
      </c>
      <c r="B1045" s="548" t="s">
        <v>963</v>
      </c>
      <c r="C1045" s="547" t="s">
        <v>19</v>
      </c>
      <c r="D1045" s="547" t="s">
        <v>964</v>
      </c>
      <c r="E1045" s="688" t="s">
        <v>461</v>
      </c>
      <c r="F1045" s="688"/>
      <c r="G1045" s="549" t="s">
        <v>102</v>
      </c>
      <c r="H1045" s="550">
        <v>1.9E-2</v>
      </c>
      <c r="I1045" s="551">
        <v>103.2</v>
      </c>
      <c r="J1045" s="551">
        <v>1.96</v>
      </c>
      <c r="K1045" s="552"/>
    </row>
    <row r="1046" spans="1:11" x14ac:dyDescent="0.3">
      <c r="A1046" s="547" t="s">
        <v>430</v>
      </c>
      <c r="B1046" s="548" t="s">
        <v>559</v>
      </c>
      <c r="C1046" s="547" t="s">
        <v>19</v>
      </c>
      <c r="D1046" s="547" t="s">
        <v>560</v>
      </c>
      <c r="E1046" s="688" t="s">
        <v>429</v>
      </c>
      <c r="F1046" s="688"/>
      <c r="G1046" s="549" t="s">
        <v>423</v>
      </c>
      <c r="H1046" s="550">
        <v>0.105</v>
      </c>
      <c r="I1046" s="551">
        <v>23.4</v>
      </c>
      <c r="J1046" s="551">
        <v>2.4500000000000002</v>
      </c>
      <c r="K1046" s="552"/>
    </row>
    <row r="1047" spans="1:11" ht="38.25" customHeight="1" x14ac:dyDescent="0.3">
      <c r="A1047" s="547" t="s">
        <v>430</v>
      </c>
      <c r="B1047" s="548" t="s">
        <v>965</v>
      </c>
      <c r="C1047" s="547" t="s">
        <v>19</v>
      </c>
      <c r="D1047" s="547" t="s">
        <v>966</v>
      </c>
      <c r="E1047" s="688" t="s">
        <v>461</v>
      </c>
      <c r="F1047" s="688"/>
      <c r="G1047" s="549" t="s">
        <v>95</v>
      </c>
      <c r="H1047" s="550">
        <v>5.0000000000000001E-3</v>
      </c>
      <c r="I1047" s="551">
        <v>121.21</v>
      </c>
      <c r="J1047" s="551">
        <v>0.6</v>
      </c>
      <c r="K1047" s="552"/>
    </row>
    <row r="1048" spans="1:11" ht="38.25" customHeight="1" x14ac:dyDescent="0.3">
      <c r="A1048" s="547" t="s">
        <v>430</v>
      </c>
      <c r="B1048" s="548" t="s">
        <v>967</v>
      </c>
      <c r="C1048" s="547" t="s">
        <v>19</v>
      </c>
      <c r="D1048" s="547" t="s">
        <v>968</v>
      </c>
      <c r="E1048" s="688" t="s">
        <v>461</v>
      </c>
      <c r="F1048" s="688"/>
      <c r="G1048" s="549" t="s">
        <v>102</v>
      </c>
      <c r="H1048" s="550">
        <v>5.0000000000000001E-3</v>
      </c>
      <c r="I1048" s="551">
        <v>44.33</v>
      </c>
      <c r="J1048" s="551">
        <v>0.22</v>
      </c>
      <c r="K1048" s="552"/>
    </row>
    <row r="1049" spans="1:11" ht="14.25" customHeight="1" x14ac:dyDescent="0.3">
      <c r="A1049" s="547" t="s">
        <v>430</v>
      </c>
      <c r="B1049" s="548" t="s">
        <v>969</v>
      </c>
      <c r="C1049" s="547" t="s">
        <v>19</v>
      </c>
      <c r="D1049" s="547" t="s">
        <v>970</v>
      </c>
      <c r="E1049" s="688" t="s">
        <v>461</v>
      </c>
      <c r="F1049" s="688"/>
      <c r="G1049" s="549" t="s">
        <v>95</v>
      </c>
      <c r="H1049" s="550">
        <v>5.0000000000000001E-3</v>
      </c>
      <c r="I1049" s="551">
        <v>217.4</v>
      </c>
      <c r="J1049" s="551">
        <v>1.08</v>
      </c>
      <c r="K1049" s="552"/>
    </row>
    <row r="1050" spans="1:11" s="89" customFormat="1" ht="25.5" customHeight="1" thickBot="1" x14ac:dyDescent="0.35">
      <c r="A1050" s="547" t="s">
        <v>430</v>
      </c>
      <c r="B1050" s="548" t="s">
        <v>971</v>
      </c>
      <c r="C1050" s="547" t="s">
        <v>19</v>
      </c>
      <c r="D1050" s="547" t="s">
        <v>972</v>
      </c>
      <c r="E1050" s="688" t="s">
        <v>461</v>
      </c>
      <c r="F1050" s="688"/>
      <c r="G1050" s="549" t="s">
        <v>102</v>
      </c>
      <c r="H1050" s="550">
        <v>2.1000000000000001E-2</v>
      </c>
      <c r="I1050" s="551">
        <v>93.16</v>
      </c>
      <c r="J1050" s="551">
        <v>1.95</v>
      </c>
      <c r="K1050" s="546"/>
    </row>
    <row r="1051" spans="1:11" ht="25.5" customHeight="1" thickTop="1" x14ac:dyDescent="0.3">
      <c r="A1051" s="562"/>
      <c r="B1051" s="562"/>
      <c r="C1051" s="562"/>
      <c r="D1051" s="562"/>
      <c r="E1051" s="562"/>
      <c r="F1051" s="562"/>
      <c r="G1051" s="562"/>
      <c r="H1051" s="562"/>
      <c r="I1051" s="562"/>
      <c r="J1051" s="562"/>
      <c r="K1051" s="552"/>
    </row>
    <row r="1052" spans="1:11" ht="38.25" customHeight="1" x14ac:dyDescent="0.3">
      <c r="A1052" s="553"/>
      <c r="B1052" s="554" t="s">
        <v>4</v>
      </c>
      <c r="C1052" s="553" t="s">
        <v>5</v>
      </c>
      <c r="D1052" s="553" t="s">
        <v>6</v>
      </c>
      <c r="E1052" s="691" t="s">
        <v>427</v>
      </c>
      <c r="F1052" s="691"/>
      <c r="G1052" s="555" t="s">
        <v>7</v>
      </c>
      <c r="H1052" s="554" t="s">
        <v>8</v>
      </c>
      <c r="I1052" s="554" t="s">
        <v>9</v>
      </c>
      <c r="J1052" s="554" t="s">
        <v>11</v>
      </c>
      <c r="K1052" s="552"/>
    </row>
    <row r="1053" spans="1:11" ht="39" customHeight="1" x14ac:dyDescent="0.3">
      <c r="A1053" s="607" t="s">
        <v>428</v>
      </c>
      <c r="B1053" s="608" t="s">
        <v>255</v>
      </c>
      <c r="C1053" s="607" t="s">
        <v>115</v>
      </c>
      <c r="D1053" s="607" t="s">
        <v>973</v>
      </c>
      <c r="E1053" s="690" t="s">
        <v>402</v>
      </c>
      <c r="F1053" s="690"/>
      <c r="G1053" s="609" t="s">
        <v>532</v>
      </c>
      <c r="H1053" s="610">
        <v>1</v>
      </c>
      <c r="I1053" s="611">
        <v>208.42</v>
      </c>
      <c r="J1053" s="611">
        <v>208.42</v>
      </c>
      <c r="K1053" s="552"/>
    </row>
    <row r="1054" spans="1:11" ht="25.5" customHeight="1" x14ac:dyDescent="0.3">
      <c r="A1054" s="691" t="s">
        <v>408</v>
      </c>
      <c r="B1054" s="692" t="s">
        <v>4</v>
      </c>
      <c r="C1054" s="691" t="s">
        <v>5</v>
      </c>
      <c r="D1054" s="691" t="s">
        <v>462</v>
      </c>
      <c r="E1054" s="692" t="s">
        <v>463</v>
      </c>
      <c r="F1054" s="694" t="s">
        <v>464</v>
      </c>
      <c r="G1054" s="692"/>
      <c r="H1054" s="694" t="s">
        <v>465</v>
      </c>
      <c r="I1054" s="692"/>
      <c r="J1054" s="692" t="s">
        <v>466</v>
      </c>
      <c r="K1054" s="552"/>
    </row>
    <row r="1055" spans="1:11" ht="25.5" customHeight="1" x14ac:dyDescent="0.3">
      <c r="A1055" s="692"/>
      <c r="B1055" s="692"/>
      <c r="C1055" s="692"/>
      <c r="D1055" s="692"/>
      <c r="E1055" s="692"/>
      <c r="F1055" s="554" t="s">
        <v>467</v>
      </c>
      <c r="G1055" s="554" t="s">
        <v>468</v>
      </c>
      <c r="H1055" s="554" t="s">
        <v>467</v>
      </c>
      <c r="I1055" s="554" t="s">
        <v>468</v>
      </c>
      <c r="J1055" s="692"/>
      <c r="K1055" s="552"/>
    </row>
    <row r="1056" spans="1:11" s="89" customFormat="1" ht="38.25" customHeight="1" x14ac:dyDescent="0.3">
      <c r="A1056" s="547" t="s">
        <v>433</v>
      </c>
      <c r="B1056" s="548" t="s">
        <v>974</v>
      </c>
      <c r="C1056" s="547" t="s">
        <v>115</v>
      </c>
      <c r="D1056" s="547" t="s">
        <v>975</v>
      </c>
      <c r="E1056" s="550">
        <v>1</v>
      </c>
      <c r="F1056" s="551">
        <v>0.34</v>
      </c>
      <c r="G1056" s="551">
        <v>0.66</v>
      </c>
      <c r="H1056" s="563">
        <v>318.66019999999997</v>
      </c>
      <c r="I1056" s="563">
        <v>78.744600000000005</v>
      </c>
      <c r="J1056" s="563">
        <v>160.3159</v>
      </c>
      <c r="K1056" s="546"/>
    </row>
    <row r="1057" spans="1:11" ht="15" customHeight="1" x14ac:dyDescent="0.3">
      <c r="A1057" s="547" t="s">
        <v>433</v>
      </c>
      <c r="B1057" s="548" t="s">
        <v>976</v>
      </c>
      <c r="C1057" s="547" t="s">
        <v>115</v>
      </c>
      <c r="D1057" s="547" t="s">
        <v>977</v>
      </c>
      <c r="E1057" s="550">
        <v>1</v>
      </c>
      <c r="F1057" s="551">
        <v>1</v>
      </c>
      <c r="G1057" s="551">
        <v>0</v>
      </c>
      <c r="H1057" s="563">
        <v>285.46710000000002</v>
      </c>
      <c r="I1057" s="563">
        <v>103.6427</v>
      </c>
      <c r="J1057" s="563">
        <v>285.46710000000002</v>
      </c>
      <c r="K1057" s="552"/>
    </row>
    <row r="1058" spans="1:11" ht="14.25" customHeight="1" x14ac:dyDescent="0.3">
      <c r="A1058" s="547" t="s">
        <v>433</v>
      </c>
      <c r="B1058" s="548" t="s">
        <v>978</v>
      </c>
      <c r="C1058" s="547" t="s">
        <v>115</v>
      </c>
      <c r="D1058" s="547" t="s">
        <v>979</v>
      </c>
      <c r="E1058" s="550">
        <v>1</v>
      </c>
      <c r="F1058" s="551">
        <v>0.65</v>
      </c>
      <c r="G1058" s="551">
        <v>0.35</v>
      </c>
      <c r="H1058" s="563">
        <v>251.39009999999999</v>
      </c>
      <c r="I1058" s="563">
        <v>121.07299999999999</v>
      </c>
      <c r="J1058" s="563">
        <v>205.7791</v>
      </c>
      <c r="K1058" s="552"/>
    </row>
    <row r="1059" spans="1:11" ht="25.5" customHeight="1" x14ac:dyDescent="0.3">
      <c r="A1059" s="547" t="s">
        <v>433</v>
      </c>
      <c r="B1059" s="548" t="s">
        <v>980</v>
      </c>
      <c r="C1059" s="547" t="s">
        <v>115</v>
      </c>
      <c r="D1059" s="547" t="s">
        <v>981</v>
      </c>
      <c r="E1059" s="550">
        <v>1</v>
      </c>
      <c r="F1059" s="551">
        <v>0.52</v>
      </c>
      <c r="G1059" s="551">
        <v>0.48</v>
      </c>
      <c r="H1059" s="563">
        <v>254.8211</v>
      </c>
      <c r="I1059" s="563">
        <v>109.471</v>
      </c>
      <c r="J1059" s="563">
        <v>185.0531</v>
      </c>
      <c r="K1059" s="552"/>
    </row>
    <row r="1060" spans="1:11" ht="25.5" customHeight="1" x14ac:dyDescent="0.3">
      <c r="A1060" s="689"/>
      <c r="B1060" s="689"/>
      <c r="C1060" s="689"/>
      <c r="D1060" s="689"/>
      <c r="E1060" s="689"/>
      <c r="F1060" s="689" t="s">
        <v>471</v>
      </c>
      <c r="G1060" s="689"/>
      <c r="H1060" s="689"/>
      <c r="I1060" s="689"/>
      <c r="J1060" s="564">
        <v>836.61519999999996</v>
      </c>
      <c r="K1060" s="552"/>
    </row>
    <row r="1061" spans="1:11" ht="38.25" customHeight="1" x14ac:dyDescent="0.3">
      <c r="A1061" s="689"/>
      <c r="B1061" s="689"/>
      <c r="C1061" s="689"/>
      <c r="D1061" s="689"/>
      <c r="E1061" s="689"/>
      <c r="F1061" s="689" t="s">
        <v>472</v>
      </c>
      <c r="G1061" s="689"/>
      <c r="H1061" s="689"/>
      <c r="I1061" s="689"/>
      <c r="J1061" s="564">
        <v>836.61519999999996</v>
      </c>
      <c r="K1061" s="552"/>
    </row>
    <row r="1062" spans="1:11" ht="39" customHeight="1" x14ac:dyDescent="0.3">
      <c r="A1062" s="689"/>
      <c r="B1062" s="689"/>
      <c r="C1062" s="689"/>
      <c r="D1062" s="689"/>
      <c r="E1062" s="689"/>
      <c r="F1062" s="689" t="s">
        <v>473</v>
      </c>
      <c r="G1062" s="689"/>
      <c r="H1062" s="689"/>
      <c r="I1062" s="689"/>
      <c r="J1062" s="564">
        <v>7.4999999999999997E-3</v>
      </c>
      <c r="K1062" s="552"/>
    </row>
    <row r="1063" spans="1:11" x14ac:dyDescent="0.3">
      <c r="A1063" s="689"/>
      <c r="B1063" s="689"/>
      <c r="C1063" s="689"/>
      <c r="D1063" s="689"/>
      <c r="E1063" s="689"/>
      <c r="F1063" s="689" t="s">
        <v>474</v>
      </c>
      <c r="G1063" s="689"/>
      <c r="H1063" s="689"/>
      <c r="I1063" s="689"/>
      <c r="J1063" s="564">
        <v>5.5100000000000003E-2</v>
      </c>
      <c r="K1063" s="552"/>
    </row>
    <row r="1064" spans="1:11" ht="14.25" customHeight="1" x14ac:dyDescent="0.3">
      <c r="A1064" s="689"/>
      <c r="B1064" s="689"/>
      <c r="C1064" s="689"/>
      <c r="D1064" s="689"/>
      <c r="E1064" s="689"/>
      <c r="F1064" s="689" t="s">
        <v>475</v>
      </c>
      <c r="G1064" s="689"/>
      <c r="H1064" s="689"/>
      <c r="I1064" s="689"/>
      <c r="J1064" s="564">
        <v>113.18</v>
      </c>
      <c r="K1064" s="552"/>
    </row>
    <row r="1065" spans="1:11" s="89" customFormat="1" ht="15" customHeight="1" x14ac:dyDescent="0.3">
      <c r="A1065" s="689"/>
      <c r="B1065" s="689"/>
      <c r="C1065" s="689"/>
      <c r="D1065" s="689"/>
      <c r="E1065" s="689"/>
      <c r="F1065" s="689" t="s">
        <v>476</v>
      </c>
      <c r="G1065" s="689"/>
      <c r="H1065" s="689"/>
      <c r="I1065" s="689"/>
      <c r="J1065" s="564">
        <v>7.3918999999999997</v>
      </c>
      <c r="K1065" s="546"/>
    </row>
    <row r="1066" spans="1:11" s="89" customFormat="1" ht="15" customHeight="1" x14ac:dyDescent="0.3">
      <c r="A1066" s="553" t="s">
        <v>573</v>
      </c>
      <c r="B1066" s="554" t="s">
        <v>5</v>
      </c>
      <c r="C1066" s="553" t="s">
        <v>4</v>
      </c>
      <c r="D1066" s="553" t="s">
        <v>574</v>
      </c>
      <c r="E1066" s="554" t="s">
        <v>463</v>
      </c>
      <c r="F1066" s="554" t="s">
        <v>575</v>
      </c>
      <c r="G1066" s="692" t="s">
        <v>576</v>
      </c>
      <c r="H1066" s="692"/>
      <c r="I1066" s="692"/>
      <c r="J1066" s="554" t="s">
        <v>466</v>
      </c>
      <c r="K1066" s="546"/>
    </row>
    <row r="1067" spans="1:11" s="89" customFormat="1" x14ac:dyDescent="0.3">
      <c r="A1067" s="547" t="s">
        <v>577</v>
      </c>
      <c r="B1067" s="548" t="s">
        <v>115</v>
      </c>
      <c r="C1067" s="547">
        <v>6416040</v>
      </c>
      <c r="D1067" s="547" t="s">
        <v>982</v>
      </c>
      <c r="E1067" s="550">
        <v>1</v>
      </c>
      <c r="F1067" s="549" t="s">
        <v>532</v>
      </c>
      <c r="G1067" s="693">
        <v>193.22</v>
      </c>
      <c r="H1067" s="693"/>
      <c r="I1067" s="688"/>
      <c r="J1067" s="563">
        <v>193.22</v>
      </c>
      <c r="K1067" s="546"/>
    </row>
    <row r="1068" spans="1:11" x14ac:dyDescent="0.3">
      <c r="A1068" s="547" t="s">
        <v>577</v>
      </c>
      <c r="B1068" s="548" t="s">
        <v>19</v>
      </c>
      <c r="C1068" s="547">
        <v>88316</v>
      </c>
      <c r="D1068" s="547" t="s">
        <v>560</v>
      </c>
      <c r="E1068" s="550">
        <v>8.8354999999999996E-3</v>
      </c>
      <c r="F1068" s="549" t="s">
        <v>423</v>
      </c>
      <c r="G1068" s="693">
        <v>23.4</v>
      </c>
      <c r="H1068" s="693"/>
      <c r="I1068" s="688"/>
      <c r="J1068" s="563">
        <v>0.20680000000000001</v>
      </c>
      <c r="K1068" s="552"/>
    </row>
    <row r="1069" spans="1:11" ht="15" customHeight="1" x14ac:dyDescent="0.3">
      <c r="A1069" s="689"/>
      <c r="B1069" s="689"/>
      <c r="C1069" s="689"/>
      <c r="D1069" s="689"/>
      <c r="E1069" s="689"/>
      <c r="F1069" s="689" t="s">
        <v>578</v>
      </c>
      <c r="G1069" s="689"/>
      <c r="H1069" s="689"/>
      <c r="I1069" s="689"/>
      <c r="J1069" s="564">
        <v>193.42679999999999</v>
      </c>
      <c r="K1069" s="552"/>
    </row>
    <row r="1070" spans="1:11" ht="15" customHeight="1" x14ac:dyDescent="0.3">
      <c r="A1070" s="553" t="s">
        <v>579</v>
      </c>
      <c r="B1070" s="554" t="s">
        <v>5</v>
      </c>
      <c r="C1070" s="553" t="s">
        <v>433</v>
      </c>
      <c r="D1070" s="553" t="s">
        <v>580</v>
      </c>
      <c r="E1070" s="554" t="s">
        <v>4</v>
      </c>
      <c r="F1070" s="554" t="s">
        <v>463</v>
      </c>
      <c r="G1070" s="555" t="s">
        <v>575</v>
      </c>
      <c r="H1070" s="692" t="s">
        <v>576</v>
      </c>
      <c r="I1070" s="692"/>
      <c r="J1070" s="554" t="s">
        <v>466</v>
      </c>
      <c r="K1070" s="552"/>
    </row>
    <row r="1071" spans="1:11" ht="25" x14ac:dyDescent="0.3">
      <c r="A1071" s="547" t="s">
        <v>581</v>
      </c>
      <c r="B1071" s="548" t="s">
        <v>115</v>
      </c>
      <c r="C1071" s="547">
        <v>6416040</v>
      </c>
      <c r="D1071" s="547" t="s">
        <v>983</v>
      </c>
      <c r="E1071" s="548">
        <v>5914652</v>
      </c>
      <c r="F1071" s="550">
        <v>2.2000000000000002</v>
      </c>
      <c r="G1071" s="549" t="s">
        <v>584</v>
      </c>
      <c r="H1071" s="693">
        <v>3.43</v>
      </c>
      <c r="I1071" s="688"/>
      <c r="J1071" s="563">
        <v>7.5460000000000003</v>
      </c>
      <c r="K1071" s="552"/>
    </row>
    <row r="1072" spans="1:11" ht="14.25" customHeight="1" x14ac:dyDescent="0.3">
      <c r="A1072" s="689"/>
      <c r="B1072" s="689"/>
      <c r="C1072" s="689"/>
      <c r="D1072" s="689"/>
      <c r="E1072" s="689"/>
      <c r="F1072" s="689" t="s">
        <v>585</v>
      </c>
      <c r="G1072" s="689"/>
      <c r="H1072" s="689"/>
      <c r="I1072" s="689"/>
      <c r="J1072" s="564">
        <v>7.5460000000000003</v>
      </c>
      <c r="K1072" s="552"/>
    </row>
    <row r="1073" spans="1:11" ht="15" customHeight="1" x14ac:dyDescent="0.3">
      <c r="A1073" s="553" t="s">
        <v>586</v>
      </c>
      <c r="B1073" s="554" t="s">
        <v>5</v>
      </c>
      <c r="C1073" s="553" t="s">
        <v>433</v>
      </c>
      <c r="D1073" s="553" t="s">
        <v>587</v>
      </c>
      <c r="E1073" s="554" t="s">
        <v>463</v>
      </c>
      <c r="F1073" s="554" t="s">
        <v>575</v>
      </c>
      <c r="G1073" s="694" t="s">
        <v>588</v>
      </c>
      <c r="H1073" s="692"/>
      <c r="I1073" s="692"/>
      <c r="J1073" s="554" t="s">
        <v>466</v>
      </c>
      <c r="K1073" s="552"/>
    </row>
    <row r="1074" spans="1:11" s="89" customFormat="1" ht="15" customHeight="1" x14ac:dyDescent="0.3">
      <c r="A1074" s="555"/>
      <c r="B1074" s="555"/>
      <c r="C1074" s="555"/>
      <c r="D1074" s="555"/>
      <c r="E1074" s="555"/>
      <c r="F1074" s="555"/>
      <c r="G1074" s="555" t="s">
        <v>589</v>
      </c>
      <c r="H1074" s="555" t="s">
        <v>590</v>
      </c>
      <c r="I1074" s="555" t="s">
        <v>591</v>
      </c>
      <c r="J1074" s="555"/>
      <c r="K1074" s="546"/>
    </row>
    <row r="1075" spans="1:11" ht="14.25" customHeight="1" x14ac:dyDescent="0.3">
      <c r="A1075" s="547" t="s">
        <v>587</v>
      </c>
      <c r="B1075" s="548" t="s">
        <v>115</v>
      </c>
      <c r="C1075" s="547">
        <v>6416040</v>
      </c>
      <c r="D1075" s="547" t="s">
        <v>984</v>
      </c>
      <c r="E1075" s="550">
        <v>2.2000000000000002</v>
      </c>
      <c r="F1075" s="549" t="s">
        <v>593</v>
      </c>
      <c r="G1075" s="548" t="s">
        <v>3841</v>
      </c>
      <c r="H1075" s="548" t="s">
        <v>3842</v>
      </c>
      <c r="I1075" s="548" t="s">
        <v>3843</v>
      </c>
      <c r="J1075" s="563">
        <v>0</v>
      </c>
      <c r="K1075" s="552"/>
    </row>
    <row r="1076" spans="1:11" s="89" customFormat="1" ht="15" customHeight="1" thickBot="1" x14ac:dyDescent="0.35">
      <c r="A1076" s="689"/>
      <c r="B1076" s="689"/>
      <c r="C1076" s="689"/>
      <c r="D1076" s="689"/>
      <c r="E1076" s="689"/>
      <c r="F1076" s="689" t="s">
        <v>594</v>
      </c>
      <c r="G1076" s="689"/>
      <c r="H1076" s="689"/>
      <c r="I1076" s="689"/>
      <c r="J1076" s="564">
        <v>0</v>
      </c>
      <c r="K1076" s="546"/>
    </row>
    <row r="1077" spans="1:11" ht="14.25" customHeight="1" thickTop="1" x14ac:dyDescent="0.3">
      <c r="A1077" s="562"/>
      <c r="B1077" s="562"/>
      <c r="C1077" s="562"/>
      <c r="D1077" s="562"/>
      <c r="E1077" s="562"/>
      <c r="F1077" s="562"/>
      <c r="G1077" s="562"/>
      <c r="H1077" s="562"/>
      <c r="I1077" s="562"/>
      <c r="J1077" s="562"/>
      <c r="K1077" s="552"/>
    </row>
    <row r="1078" spans="1:11" ht="15" customHeight="1" x14ac:dyDescent="0.3">
      <c r="A1078" s="553"/>
      <c r="B1078" s="554" t="s">
        <v>4</v>
      </c>
      <c r="C1078" s="553" t="s">
        <v>5</v>
      </c>
      <c r="D1078" s="553" t="s">
        <v>6</v>
      </c>
      <c r="E1078" s="691" t="s">
        <v>427</v>
      </c>
      <c r="F1078" s="691"/>
      <c r="G1078" s="555" t="s">
        <v>7</v>
      </c>
      <c r="H1078" s="554" t="s">
        <v>8</v>
      </c>
      <c r="I1078" s="554" t="s">
        <v>9</v>
      </c>
      <c r="J1078" s="554" t="s">
        <v>11</v>
      </c>
      <c r="K1078" s="552"/>
    </row>
    <row r="1079" spans="1:11" ht="15" customHeight="1" x14ac:dyDescent="0.3">
      <c r="A1079" s="607" t="s">
        <v>428</v>
      </c>
      <c r="B1079" s="608" t="s">
        <v>256</v>
      </c>
      <c r="C1079" s="607" t="s">
        <v>26</v>
      </c>
      <c r="D1079" s="607" t="s">
        <v>257</v>
      </c>
      <c r="E1079" s="690" t="s">
        <v>602</v>
      </c>
      <c r="F1079" s="690"/>
      <c r="G1079" s="609" t="s">
        <v>556</v>
      </c>
      <c r="H1079" s="610">
        <v>1</v>
      </c>
      <c r="I1079" s="611">
        <v>0.28000000000000003</v>
      </c>
      <c r="J1079" s="611">
        <v>0.28000000000000003</v>
      </c>
      <c r="K1079" s="552"/>
    </row>
    <row r="1080" spans="1:11" ht="15" customHeight="1" x14ac:dyDescent="0.3">
      <c r="A1080" s="691" t="s">
        <v>408</v>
      </c>
      <c r="B1080" s="692" t="s">
        <v>4</v>
      </c>
      <c r="C1080" s="691" t="s">
        <v>5</v>
      </c>
      <c r="D1080" s="691" t="s">
        <v>462</v>
      </c>
      <c r="E1080" s="692" t="s">
        <v>463</v>
      </c>
      <c r="F1080" s="694" t="s">
        <v>464</v>
      </c>
      <c r="G1080" s="692"/>
      <c r="H1080" s="694" t="s">
        <v>465</v>
      </c>
      <c r="I1080" s="692"/>
      <c r="J1080" s="692" t="s">
        <v>466</v>
      </c>
      <c r="K1080" s="552"/>
    </row>
    <row r="1081" spans="1:11" s="89" customFormat="1" ht="15" customHeight="1" x14ac:dyDescent="0.3">
      <c r="A1081" s="692"/>
      <c r="B1081" s="692"/>
      <c r="C1081" s="692"/>
      <c r="D1081" s="692"/>
      <c r="E1081" s="692"/>
      <c r="F1081" s="554" t="s">
        <v>467</v>
      </c>
      <c r="G1081" s="554" t="s">
        <v>468</v>
      </c>
      <c r="H1081" s="554" t="s">
        <v>467</v>
      </c>
      <c r="I1081" s="554" t="s">
        <v>468</v>
      </c>
      <c r="J1081" s="692"/>
      <c r="K1081" s="546"/>
    </row>
    <row r="1082" spans="1:11" s="89" customFormat="1" ht="15" customHeight="1" x14ac:dyDescent="0.3">
      <c r="A1082" s="547" t="s">
        <v>433</v>
      </c>
      <c r="B1082" s="548" t="s">
        <v>985</v>
      </c>
      <c r="C1082" s="547" t="s">
        <v>115</v>
      </c>
      <c r="D1082" s="547" t="s">
        <v>986</v>
      </c>
      <c r="E1082" s="550">
        <v>1</v>
      </c>
      <c r="F1082" s="551">
        <v>1</v>
      </c>
      <c r="G1082" s="551">
        <v>0</v>
      </c>
      <c r="H1082" s="563">
        <v>256.77929999999998</v>
      </c>
      <c r="I1082" s="563">
        <v>70.864199999999997</v>
      </c>
      <c r="J1082" s="563">
        <v>256.77929999999998</v>
      </c>
      <c r="K1082" s="546"/>
    </row>
    <row r="1083" spans="1:11" ht="15" customHeight="1" x14ac:dyDescent="0.3">
      <c r="A1083" s="547" t="s">
        <v>433</v>
      </c>
      <c r="B1083" s="548" t="s">
        <v>987</v>
      </c>
      <c r="C1083" s="547" t="s">
        <v>115</v>
      </c>
      <c r="D1083" s="547" t="s">
        <v>988</v>
      </c>
      <c r="E1083" s="550">
        <v>2</v>
      </c>
      <c r="F1083" s="551">
        <v>1</v>
      </c>
      <c r="G1083" s="551">
        <v>0</v>
      </c>
      <c r="H1083" s="563">
        <v>56.223399999999998</v>
      </c>
      <c r="I1083" s="563">
        <v>38.404699999999998</v>
      </c>
      <c r="J1083" s="563">
        <v>112.4468</v>
      </c>
      <c r="K1083" s="552"/>
    </row>
    <row r="1084" spans="1:11" ht="14.25" customHeight="1" x14ac:dyDescent="0.3">
      <c r="A1084" s="689"/>
      <c r="B1084" s="689"/>
      <c r="C1084" s="689"/>
      <c r="D1084" s="689"/>
      <c r="E1084" s="689"/>
      <c r="F1084" s="689" t="s">
        <v>471</v>
      </c>
      <c r="G1084" s="689"/>
      <c r="H1084" s="689"/>
      <c r="I1084" s="689"/>
      <c r="J1084" s="564">
        <v>369.22609999999997</v>
      </c>
      <c r="K1084" s="552"/>
    </row>
    <row r="1085" spans="1:11" ht="15" customHeight="1" x14ac:dyDescent="0.3">
      <c r="A1085" s="689"/>
      <c r="B1085" s="689"/>
      <c r="C1085" s="689"/>
      <c r="D1085" s="689"/>
      <c r="E1085" s="689"/>
      <c r="F1085" s="689" t="s">
        <v>472</v>
      </c>
      <c r="G1085" s="689"/>
      <c r="H1085" s="689"/>
      <c r="I1085" s="689"/>
      <c r="J1085" s="564">
        <v>369.22609999999997</v>
      </c>
      <c r="K1085" s="552"/>
    </row>
    <row r="1086" spans="1:11" ht="14.25" customHeight="1" x14ac:dyDescent="0.3">
      <c r="A1086" s="689"/>
      <c r="B1086" s="689"/>
      <c r="C1086" s="689"/>
      <c r="D1086" s="689"/>
      <c r="E1086" s="689"/>
      <c r="F1086" s="689" t="s">
        <v>473</v>
      </c>
      <c r="G1086" s="689"/>
      <c r="H1086" s="689"/>
      <c r="I1086" s="689"/>
      <c r="J1086" s="564">
        <v>0</v>
      </c>
      <c r="K1086" s="552"/>
    </row>
    <row r="1087" spans="1:11" x14ac:dyDescent="0.3">
      <c r="A1087" s="689"/>
      <c r="B1087" s="689"/>
      <c r="C1087" s="689"/>
      <c r="D1087" s="689"/>
      <c r="E1087" s="689"/>
      <c r="F1087" s="689" t="s">
        <v>474</v>
      </c>
      <c r="G1087" s="689"/>
      <c r="H1087" s="689"/>
      <c r="I1087" s="689"/>
      <c r="J1087" s="564">
        <v>0</v>
      </c>
      <c r="K1087" s="552"/>
    </row>
    <row r="1088" spans="1:11" ht="14.25" customHeight="1" x14ac:dyDescent="0.3">
      <c r="A1088" s="689"/>
      <c r="B1088" s="689"/>
      <c r="C1088" s="689"/>
      <c r="D1088" s="689"/>
      <c r="E1088" s="689"/>
      <c r="F1088" s="689" t="s">
        <v>475</v>
      </c>
      <c r="G1088" s="689"/>
      <c r="H1088" s="689"/>
      <c r="I1088" s="689"/>
      <c r="J1088" s="564">
        <v>1500</v>
      </c>
      <c r="K1088" s="552"/>
    </row>
    <row r="1089" spans="1:11" ht="14.25" customHeight="1" x14ac:dyDescent="0.3">
      <c r="A1089" s="689"/>
      <c r="B1089" s="689"/>
      <c r="C1089" s="689"/>
      <c r="D1089" s="689"/>
      <c r="E1089" s="689"/>
      <c r="F1089" s="689" t="s">
        <v>476</v>
      </c>
      <c r="G1089" s="689"/>
      <c r="H1089" s="689"/>
      <c r="I1089" s="689"/>
      <c r="J1089" s="564">
        <v>0.2462</v>
      </c>
      <c r="K1089" s="552"/>
    </row>
    <row r="1090" spans="1:11" ht="15" customHeight="1" x14ac:dyDescent="0.3">
      <c r="A1090" s="553" t="s">
        <v>573</v>
      </c>
      <c r="B1090" s="554" t="s">
        <v>5</v>
      </c>
      <c r="C1090" s="553" t="s">
        <v>4</v>
      </c>
      <c r="D1090" s="553" t="s">
        <v>574</v>
      </c>
      <c r="E1090" s="554" t="s">
        <v>463</v>
      </c>
      <c r="F1090" s="554" t="s">
        <v>575</v>
      </c>
      <c r="G1090" s="692" t="s">
        <v>576</v>
      </c>
      <c r="H1090" s="692"/>
      <c r="I1090" s="692"/>
      <c r="J1090" s="554" t="s">
        <v>466</v>
      </c>
      <c r="K1090" s="552"/>
    </row>
    <row r="1091" spans="1:11" x14ac:dyDescent="0.3">
      <c r="A1091" s="547" t="s">
        <v>577</v>
      </c>
      <c r="B1091" s="548" t="s">
        <v>19</v>
      </c>
      <c r="C1091" s="547">
        <v>88316</v>
      </c>
      <c r="D1091" s="547" t="s">
        <v>560</v>
      </c>
      <c r="E1091" s="550">
        <v>1.3332999999999999E-3</v>
      </c>
      <c r="F1091" s="549" t="s">
        <v>423</v>
      </c>
      <c r="G1091" s="693">
        <v>23.4</v>
      </c>
      <c r="H1091" s="693"/>
      <c r="I1091" s="688"/>
      <c r="J1091" s="563">
        <v>3.1199999999999999E-2</v>
      </c>
      <c r="K1091" s="552"/>
    </row>
    <row r="1092" spans="1:11" ht="14.25" customHeight="1" thickBot="1" x14ac:dyDescent="0.35">
      <c r="A1092" s="689"/>
      <c r="B1092" s="689"/>
      <c r="C1092" s="689"/>
      <c r="D1092" s="689"/>
      <c r="E1092" s="689"/>
      <c r="F1092" s="689" t="s">
        <v>578</v>
      </c>
      <c r="G1092" s="689"/>
      <c r="H1092" s="689"/>
      <c r="I1092" s="689"/>
      <c r="J1092" s="564">
        <v>3.1199999999999999E-2</v>
      </c>
      <c r="K1092" s="552"/>
    </row>
    <row r="1093" spans="1:11" ht="14.5" thickTop="1" x14ac:dyDescent="0.3">
      <c r="A1093" s="562"/>
      <c r="B1093" s="562"/>
      <c r="C1093" s="562"/>
      <c r="D1093" s="562"/>
      <c r="E1093" s="562"/>
      <c r="F1093" s="562"/>
      <c r="G1093" s="562"/>
      <c r="H1093" s="562"/>
      <c r="I1093" s="562"/>
      <c r="J1093" s="562"/>
      <c r="K1093" s="552"/>
    </row>
    <row r="1094" spans="1:11" x14ac:dyDescent="0.3">
      <c r="A1094" s="553"/>
      <c r="B1094" s="554" t="s">
        <v>4</v>
      </c>
      <c r="C1094" s="553" t="s">
        <v>5</v>
      </c>
      <c r="D1094" s="553" t="s">
        <v>6</v>
      </c>
      <c r="E1094" s="691" t="s">
        <v>427</v>
      </c>
      <c r="F1094" s="691"/>
      <c r="G1094" s="555" t="s">
        <v>7</v>
      </c>
      <c r="H1094" s="554" t="s">
        <v>8</v>
      </c>
      <c r="I1094" s="554" t="s">
        <v>9</v>
      </c>
      <c r="J1094" s="554" t="s">
        <v>11</v>
      </c>
      <c r="K1094" s="552"/>
    </row>
    <row r="1095" spans="1:11" ht="15" customHeight="1" x14ac:dyDescent="0.3">
      <c r="A1095" s="607" t="s">
        <v>428</v>
      </c>
      <c r="B1095" s="608" t="s">
        <v>259</v>
      </c>
      <c r="C1095" s="607" t="s">
        <v>26</v>
      </c>
      <c r="D1095" s="607" t="s">
        <v>260</v>
      </c>
      <c r="E1095" s="690" t="s">
        <v>602</v>
      </c>
      <c r="F1095" s="690"/>
      <c r="G1095" s="609" t="s">
        <v>556</v>
      </c>
      <c r="H1095" s="610">
        <v>1</v>
      </c>
      <c r="I1095" s="611">
        <v>0.4</v>
      </c>
      <c r="J1095" s="611">
        <v>0.4</v>
      </c>
      <c r="K1095" s="552"/>
    </row>
    <row r="1096" spans="1:11" ht="14.25" customHeight="1" x14ac:dyDescent="0.3">
      <c r="A1096" s="691" t="s">
        <v>408</v>
      </c>
      <c r="B1096" s="692" t="s">
        <v>4</v>
      </c>
      <c r="C1096" s="691" t="s">
        <v>5</v>
      </c>
      <c r="D1096" s="691" t="s">
        <v>462</v>
      </c>
      <c r="E1096" s="692" t="s">
        <v>463</v>
      </c>
      <c r="F1096" s="694" t="s">
        <v>464</v>
      </c>
      <c r="G1096" s="692"/>
      <c r="H1096" s="694" t="s">
        <v>465</v>
      </c>
      <c r="I1096" s="692"/>
      <c r="J1096" s="692" t="s">
        <v>466</v>
      </c>
      <c r="K1096" s="552"/>
    </row>
    <row r="1097" spans="1:11" ht="14.25" customHeight="1" x14ac:dyDescent="0.3">
      <c r="A1097" s="692"/>
      <c r="B1097" s="692"/>
      <c r="C1097" s="692"/>
      <c r="D1097" s="692"/>
      <c r="E1097" s="692"/>
      <c r="F1097" s="554" t="s">
        <v>467</v>
      </c>
      <c r="G1097" s="554" t="s">
        <v>468</v>
      </c>
      <c r="H1097" s="554" t="s">
        <v>467</v>
      </c>
      <c r="I1097" s="554" t="s">
        <v>468</v>
      </c>
      <c r="J1097" s="692"/>
      <c r="K1097" s="552"/>
    </row>
    <row r="1098" spans="1:11" s="89" customFormat="1" ht="15" customHeight="1" x14ac:dyDescent="0.3">
      <c r="A1098" s="547" t="s">
        <v>433</v>
      </c>
      <c r="B1098" s="548" t="s">
        <v>985</v>
      </c>
      <c r="C1098" s="547" t="s">
        <v>115</v>
      </c>
      <c r="D1098" s="547" t="s">
        <v>986</v>
      </c>
      <c r="E1098" s="550">
        <v>1</v>
      </c>
      <c r="F1098" s="551">
        <v>1</v>
      </c>
      <c r="G1098" s="551">
        <v>0</v>
      </c>
      <c r="H1098" s="563">
        <v>256.77929999999998</v>
      </c>
      <c r="I1098" s="563">
        <v>70.864199999999997</v>
      </c>
      <c r="J1098" s="563">
        <v>256.77929999999998</v>
      </c>
      <c r="K1098" s="546"/>
    </row>
    <row r="1099" spans="1:11" ht="15" customHeight="1" x14ac:dyDescent="0.3">
      <c r="A1099" s="547" t="s">
        <v>433</v>
      </c>
      <c r="B1099" s="548" t="s">
        <v>987</v>
      </c>
      <c r="C1099" s="547" t="s">
        <v>115</v>
      </c>
      <c r="D1099" s="547" t="s">
        <v>988</v>
      </c>
      <c r="E1099" s="550">
        <v>2</v>
      </c>
      <c r="F1099" s="551">
        <v>1</v>
      </c>
      <c r="G1099" s="551">
        <v>0</v>
      </c>
      <c r="H1099" s="563">
        <v>56.223399999999998</v>
      </c>
      <c r="I1099" s="563">
        <v>38.404699999999998</v>
      </c>
      <c r="J1099" s="563">
        <v>112.4468</v>
      </c>
      <c r="K1099" s="552"/>
    </row>
    <row r="1100" spans="1:11" ht="14.25" customHeight="1" x14ac:dyDescent="0.3">
      <c r="A1100" s="689"/>
      <c r="B1100" s="689"/>
      <c r="C1100" s="689"/>
      <c r="D1100" s="689"/>
      <c r="E1100" s="689"/>
      <c r="F1100" s="689" t="s">
        <v>471</v>
      </c>
      <c r="G1100" s="689"/>
      <c r="H1100" s="689"/>
      <c r="I1100" s="689"/>
      <c r="J1100" s="564">
        <v>369.22609999999997</v>
      </c>
      <c r="K1100" s="552"/>
    </row>
    <row r="1101" spans="1:11" ht="14.25" customHeight="1" x14ac:dyDescent="0.3">
      <c r="A1101" s="689"/>
      <c r="B1101" s="689"/>
      <c r="C1101" s="689"/>
      <c r="D1101" s="689"/>
      <c r="E1101" s="689"/>
      <c r="F1101" s="689" t="s">
        <v>472</v>
      </c>
      <c r="G1101" s="689"/>
      <c r="H1101" s="689"/>
      <c r="I1101" s="689"/>
      <c r="J1101" s="564">
        <v>369.22609999999997</v>
      </c>
      <c r="K1101" s="552"/>
    </row>
    <row r="1102" spans="1:11" ht="15" customHeight="1" x14ac:dyDescent="0.3">
      <c r="A1102" s="689"/>
      <c r="B1102" s="689"/>
      <c r="C1102" s="689"/>
      <c r="D1102" s="689"/>
      <c r="E1102" s="689"/>
      <c r="F1102" s="689" t="s">
        <v>473</v>
      </c>
      <c r="G1102" s="689"/>
      <c r="H1102" s="689"/>
      <c r="I1102" s="689"/>
      <c r="J1102" s="564">
        <v>0</v>
      </c>
      <c r="K1102" s="552"/>
    </row>
    <row r="1103" spans="1:11" x14ac:dyDescent="0.3">
      <c r="A1103" s="689"/>
      <c r="B1103" s="689"/>
      <c r="C1103" s="689"/>
      <c r="D1103" s="689"/>
      <c r="E1103" s="689"/>
      <c r="F1103" s="689" t="s">
        <v>474</v>
      </c>
      <c r="G1103" s="689"/>
      <c r="H1103" s="689"/>
      <c r="I1103" s="689"/>
      <c r="J1103" s="564">
        <v>0</v>
      </c>
      <c r="K1103" s="552"/>
    </row>
    <row r="1104" spans="1:11" ht="14.25" customHeight="1" x14ac:dyDescent="0.3">
      <c r="A1104" s="689"/>
      <c r="B1104" s="689"/>
      <c r="C1104" s="689"/>
      <c r="D1104" s="689"/>
      <c r="E1104" s="689"/>
      <c r="F1104" s="689" t="s">
        <v>475</v>
      </c>
      <c r="G1104" s="689"/>
      <c r="H1104" s="689"/>
      <c r="I1104" s="689"/>
      <c r="J1104" s="564">
        <v>1038.46</v>
      </c>
      <c r="K1104" s="552"/>
    </row>
    <row r="1105" spans="1:11" ht="14.25" customHeight="1" x14ac:dyDescent="0.3">
      <c r="A1105" s="689"/>
      <c r="B1105" s="689"/>
      <c r="C1105" s="689"/>
      <c r="D1105" s="689"/>
      <c r="E1105" s="689"/>
      <c r="F1105" s="689" t="s">
        <v>476</v>
      </c>
      <c r="G1105" s="689"/>
      <c r="H1105" s="689"/>
      <c r="I1105" s="689"/>
      <c r="J1105" s="564">
        <v>0.35560000000000003</v>
      </c>
      <c r="K1105" s="552"/>
    </row>
    <row r="1106" spans="1:11" ht="15" customHeight="1" x14ac:dyDescent="0.3">
      <c r="A1106" s="553" t="s">
        <v>573</v>
      </c>
      <c r="B1106" s="554" t="s">
        <v>5</v>
      </c>
      <c r="C1106" s="553" t="s">
        <v>4</v>
      </c>
      <c r="D1106" s="553" t="s">
        <v>574</v>
      </c>
      <c r="E1106" s="554" t="s">
        <v>463</v>
      </c>
      <c r="F1106" s="554" t="s">
        <v>575</v>
      </c>
      <c r="G1106" s="692" t="s">
        <v>576</v>
      </c>
      <c r="H1106" s="692"/>
      <c r="I1106" s="692"/>
      <c r="J1106" s="554" t="s">
        <v>466</v>
      </c>
      <c r="K1106" s="552"/>
    </row>
    <row r="1107" spans="1:11" x14ac:dyDescent="0.3">
      <c r="A1107" s="547" t="s">
        <v>577</v>
      </c>
      <c r="B1107" s="548" t="s">
        <v>19</v>
      </c>
      <c r="C1107" s="547">
        <v>88316</v>
      </c>
      <c r="D1107" s="547" t="s">
        <v>560</v>
      </c>
      <c r="E1107" s="550">
        <v>1.9258999999999999E-3</v>
      </c>
      <c r="F1107" s="549" t="s">
        <v>423</v>
      </c>
      <c r="G1107" s="693">
        <v>23.4</v>
      </c>
      <c r="H1107" s="693"/>
      <c r="I1107" s="688"/>
      <c r="J1107" s="563">
        <v>4.5100000000000001E-2</v>
      </c>
      <c r="K1107" s="552"/>
    </row>
    <row r="1108" spans="1:11" ht="14.25" customHeight="1" thickBot="1" x14ac:dyDescent="0.35">
      <c r="A1108" s="689"/>
      <c r="B1108" s="689"/>
      <c r="C1108" s="689"/>
      <c r="D1108" s="689"/>
      <c r="E1108" s="689"/>
      <c r="F1108" s="689" t="s">
        <v>578</v>
      </c>
      <c r="G1108" s="689"/>
      <c r="H1108" s="689"/>
      <c r="I1108" s="689"/>
      <c r="J1108" s="564">
        <v>4.5100000000000001E-2</v>
      </c>
      <c r="K1108" s="552"/>
    </row>
    <row r="1109" spans="1:11" ht="14.5" thickTop="1" x14ac:dyDescent="0.3">
      <c r="A1109" s="562"/>
      <c r="B1109" s="562"/>
      <c r="C1109" s="562"/>
      <c r="D1109" s="562"/>
      <c r="E1109" s="562"/>
      <c r="F1109" s="562"/>
      <c r="G1109" s="562"/>
      <c r="H1109" s="562"/>
      <c r="I1109" s="562"/>
      <c r="J1109" s="562"/>
      <c r="K1109" s="552"/>
    </row>
    <row r="1110" spans="1:11" x14ac:dyDescent="0.3">
      <c r="A1110" s="553"/>
      <c r="B1110" s="554" t="s">
        <v>4</v>
      </c>
      <c r="C1110" s="553" t="s">
        <v>5</v>
      </c>
      <c r="D1110" s="553" t="s">
        <v>6</v>
      </c>
      <c r="E1110" s="691" t="s">
        <v>427</v>
      </c>
      <c r="F1110" s="691"/>
      <c r="G1110" s="555" t="s">
        <v>7</v>
      </c>
      <c r="H1110" s="554" t="s">
        <v>8</v>
      </c>
      <c r="I1110" s="554" t="s">
        <v>9</v>
      </c>
      <c r="J1110" s="554" t="s">
        <v>11</v>
      </c>
      <c r="K1110" s="552"/>
    </row>
    <row r="1111" spans="1:11" ht="15" customHeight="1" x14ac:dyDescent="0.3">
      <c r="A1111" s="607" t="s">
        <v>428</v>
      </c>
      <c r="B1111" s="608" t="s">
        <v>264</v>
      </c>
      <c r="C1111" s="607" t="s">
        <v>26</v>
      </c>
      <c r="D1111" s="607" t="s">
        <v>265</v>
      </c>
      <c r="E1111" s="690" t="s">
        <v>928</v>
      </c>
      <c r="F1111" s="690"/>
      <c r="G1111" s="609" t="s">
        <v>227</v>
      </c>
      <c r="H1111" s="610">
        <v>1</v>
      </c>
      <c r="I1111" s="611">
        <v>124.59</v>
      </c>
      <c r="J1111" s="611">
        <v>124.59</v>
      </c>
      <c r="K1111" s="552"/>
    </row>
    <row r="1112" spans="1:11" ht="14.25" customHeight="1" x14ac:dyDescent="0.3">
      <c r="A1112" s="547" t="s">
        <v>430</v>
      </c>
      <c r="B1112" s="548" t="s">
        <v>989</v>
      </c>
      <c r="C1112" s="547" t="s">
        <v>19</v>
      </c>
      <c r="D1112" s="547" t="s">
        <v>990</v>
      </c>
      <c r="E1112" s="688" t="s">
        <v>928</v>
      </c>
      <c r="F1112" s="688"/>
      <c r="G1112" s="549" t="s">
        <v>532</v>
      </c>
      <c r="H1112" s="550">
        <v>1</v>
      </c>
      <c r="I1112" s="551">
        <v>1785.21</v>
      </c>
      <c r="J1112" s="551">
        <v>1785.21</v>
      </c>
      <c r="K1112" s="552"/>
    </row>
    <row r="1113" spans="1:11" s="89" customFormat="1" ht="15" customHeight="1" thickBot="1" x14ac:dyDescent="0.35">
      <c r="A1113" s="547" t="s">
        <v>433</v>
      </c>
      <c r="B1113" s="548" t="s">
        <v>991</v>
      </c>
      <c r="C1113" s="547" t="s">
        <v>19</v>
      </c>
      <c r="D1113" s="547" t="s">
        <v>992</v>
      </c>
      <c r="E1113" s="688" t="s">
        <v>438</v>
      </c>
      <c r="F1113" s="688"/>
      <c r="G1113" s="549" t="s">
        <v>262</v>
      </c>
      <c r="H1113" s="550">
        <v>-2.5548000000000002</v>
      </c>
      <c r="I1113" s="551">
        <v>650</v>
      </c>
      <c r="J1113" s="551">
        <v>-1660.62</v>
      </c>
      <c r="K1113" s="546"/>
    </row>
    <row r="1114" spans="1:11" s="89" customFormat="1" ht="15" customHeight="1" thickTop="1" x14ac:dyDescent="0.3">
      <c r="A1114" s="562"/>
      <c r="B1114" s="562"/>
      <c r="C1114" s="562"/>
      <c r="D1114" s="562"/>
      <c r="E1114" s="562"/>
      <c r="F1114" s="562"/>
      <c r="G1114" s="562"/>
      <c r="H1114" s="562"/>
      <c r="I1114" s="562"/>
      <c r="J1114" s="562"/>
      <c r="K1114" s="546"/>
    </row>
    <row r="1115" spans="1:11" s="89" customFormat="1" x14ac:dyDescent="0.3">
      <c r="A1115" s="553"/>
      <c r="B1115" s="554" t="s">
        <v>4</v>
      </c>
      <c r="C1115" s="553" t="s">
        <v>5</v>
      </c>
      <c r="D1115" s="553" t="s">
        <v>6</v>
      </c>
      <c r="E1115" s="691" t="s">
        <v>427</v>
      </c>
      <c r="F1115" s="691"/>
      <c r="G1115" s="555" t="s">
        <v>7</v>
      </c>
      <c r="H1115" s="554" t="s">
        <v>8</v>
      </c>
      <c r="I1115" s="554" t="s">
        <v>9</v>
      </c>
      <c r="J1115" s="554" t="s">
        <v>11</v>
      </c>
      <c r="K1115" s="546"/>
    </row>
    <row r="1116" spans="1:11" ht="14.25" customHeight="1" x14ac:dyDescent="0.3">
      <c r="A1116" s="607" t="s">
        <v>428</v>
      </c>
      <c r="B1116" s="608" t="s">
        <v>266</v>
      </c>
      <c r="C1116" s="607" t="s">
        <v>26</v>
      </c>
      <c r="D1116" s="607" t="s">
        <v>267</v>
      </c>
      <c r="E1116" s="690" t="s">
        <v>928</v>
      </c>
      <c r="F1116" s="690"/>
      <c r="G1116" s="609" t="s">
        <v>262</v>
      </c>
      <c r="H1116" s="610">
        <v>1</v>
      </c>
      <c r="I1116" s="611">
        <v>188.17</v>
      </c>
      <c r="J1116" s="611">
        <v>188.17</v>
      </c>
      <c r="K1116" s="552"/>
    </row>
    <row r="1117" spans="1:11" ht="14.25" customHeight="1" x14ac:dyDescent="0.3">
      <c r="A1117" s="547" t="s">
        <v>430</v>
      </c>
      <c r="B1117" s="548" t="s">
        <v>993</v>
      </c>
      <c r="C1117" s="547" t="s">
        <v>19</v>
      </c>
      <c r="D1117" s="547" t="s">
        <v>994</v>
      </c>
      <c r="E1117" s="688" t="s">
        <v>461</v>
      </c>
      <c r="F1117" s="688"/>
      <c r="G1117" s="549" t="s">
        <v>95</v>
      </c>
      <c r="H1117" s="550">
        <v>4.7999999999999996E-3</v>
      </c>
      <c r="I1117" s="551">
        <v>160.65</v>
      </c>
      <c r="J1117" s="551">
        <v>0.77</v>
      </c>
      <c r="K1117" s="552"/>
    </row>
    <row r="1118" spans="1:11" ht="15" customHeight="1" x14ac:dyDescent="0.3">
      <c r="A1118" s="547" t="s">
        <v>430</v>
      </c>
      <c r="B1118" s="548" t="s">
        <v>995</v>
      </c>
      <c r="C1118" s="547" t="s">
        <v>19</v>
      </c>
      <c r="D1118" s="547" t="s">
        <v>996</v>
      </c>
      <c r="E1118" s="688" t="s">
        <v>461</v>
      </c>
      <c r="F1118" s="688"/>
      <c r="G1118" s="549" t="s">
        <v>102</v>
      </c>
      <c r="H1118" s="550">
        <v>8.3000000000000001E-3</v>
      </c>
      <c r="I1118" s="551">
        <v>72.8</v>
      </c>
      <c r="J1118" s="551">
        <v>0.6</v>
      </c>
      <c r="K1118" s="552"/>
    </row>
    <row r="1119" spans="1:11" s="89" customFormat="1" ht="25.5" customHeight="1" x14ac:dyDescent="0.3">
      <c r="A1119" s="547" t="s">
        <v>430</v>
      </c>
      <c r="B1119" s="548" t="s">
        <v>997</v>
      </c>
      <c r="C1119" s="547" t="s">
        <v>19</v>
      </c>
      <c r="D1119" s="547" t="s">
        <v>3556</v>
      </c>
      <c r="E1119" s="688" t="s">
        <v>461</v>
      </c>
      <c r="F1119" s="688"/>
      <c r="G1119" s="549" t="s">
        <v>95</v>
      </c>
      <c r="H1119" s="550">
        <v>2.6200000000000001E-2</v>
      </c>
      <c r="I1119" s="551">
        <v>243.96</v>
      </c>
      <c r="J1119" s="551">
        <v>6.39</v>
      </c>
      <c r="K1119" s="546"/>
    </row>
    <row r="1120" spans="1:11" ht="38.25" customHeight="1" x14ac:dyDescent="0.3">
      <c r="A1120" s="547" t="s">
        <v>430</v>
      </c>
      <c r="B1120" s="548" t="s">
        <v>559</v>
      </c>
      <c r="C1120" s="547" t="s">
        <v>19</v>
      </c>
      <c r="D1120" s="547" t="s">
        <v>560</v>
      </c>
      <c r="E1120" s="688" t="s">
        <v>429</v>
      </c>
      <c r="F1120" s="688"/>
      <c r="G1120" s="549" t="s">
        <v>423</v>
      </c>
      <c r="H1120" s="550">
        <v>2.6200000000000001E-2</v>
      </c>
      <c r="I1120" s="551">
        <v>23.4</v>
      </c>
      <c r="J1120" s="551">
        <v>0.61</v>
      </c>
      <c r="K1120" s="552"/>
    </row>
    <row r="1121" spans="1:11" s="89" customFormat="1" ht="38.25" customHeight="1" x14ac:dyDescent="0.3">
      <c r="A1121" s="547" t="s">
        <v>430</v>
      </c>
      <c r="B1121" s="548" t="s">
        <v>998</v>
      </c>
      <c r="C1121" s="547" t="s">
        <v>19</v>
      </c>
      <c r="D1121" s="547" t="s">
        <v>999</v>
      </c>
      <c r="E1121" s="688" t="s">
        <v>429</v>
      </c>
      <c r="F1121" s="688"/>
      <c r="G1121" s="549" t="s">
        <v>423</v>
      </c>
      <c r="H1121" s="550">
        <v>1.3100000000000001E-2</v>
      </c>
      <c r="I1121" s="551">
        <v>25.09</v>
      </c>
      <c r="J1121" s="551">
        <v>0.32</v>
      </c>
      <c r="K1121" s="546"/>
    </row>
    <row r="1122" spans="1:11" ht="25.5" customHeight="1" x14ac:dyDescent="0.3">
      <c r="A1122" s="547" t="s">
        <v>430</v>
      </c>
      <c r="B1122" s="548" t="s">
        <v>1000</v>
      </c>
      <c r="C1122" s="547" t="s">
        <v>19</v>
      </c>
      <c r="D1122" s="547" t="s">
        <v>1001</v>
      </c>
      <c r="E1122" s="688" t="s">
        <v>461</v>
      </c>
      <c r="F1122" s="688"/>
      <c r="G1122" s="549" t="s">
        <v>95</v>
      </c>
      <c r="H1122" s="550">
        <v>1.01E-2</v>
      </c>
      <c r="I1122" s="551">
        <v>269.60000000000002</v>
      </c>
      <c r="J1122" s="551">
        <v>2.72</v>
      </c>
      <c r="K1122" s="552"/>
    </row>
    <row r="1123" spans="1:11" ht="14.25" customHeight="1" x14ac:dyDescent="0.3">
      <c r="A1123" s="547" t="s">
        <v>430</v>
      </c>
      <c r="B1123" s="548" t="s">
        <v>1002</v>
      </c>
      <c r="C1123" s="547" t="s">
        <v>19</v>
      </c>
      <c r="D1123" s="547" t="s">
        <v>1003</v>
      </c>
      <c r="E1123" s="688" t="s">
        <v>461</v>
      </c>
      <c r="F1123" s="688"/>
      <c r="G1123" s="549" t="s">
        <v>102</v>
      </c>
      <c r="H1123" s="550">
        <v>2.8999999999999998E-3</v>
      </c>
      <c r="I1123" s="551">
        <v>13.75</v>
      </c>
      <c r="J1123" s="551">
        <v>0.03</v>
      </c>
      <c r="K1123" s="552"/>
    </row>
    <row r="1124" spans="1:11" ht="14.25" customHeight="1" x14ac:dyDescent="0.3">
      <c r="A1124" s="547" t="s">
        <v>430</v>
      </c>
      <c r="B1124" s="548" t="s">
        <v>1004</v>
      </c>
      <c r="C1124" s="547" t="s">
        <v>19</v>
      </c>
      <c r="D1124" s="547" t="s">
        <v>1005</v>
      </c>
      <c r="E1124" s="688" t="s">
        <v>461</v>
      </c>
      <c r="F1124" s="688"/>
      <c r="G1124" s="549" t="s">
        <v>95</v>
      </c>
      <c r="H1124" s="550">
        <v>1.01E-2</v>
      </c>
      <c r="I1124" s="551">
        <v>4427.25</v>
      </c>
      <c r="J1124" s="551">
        <v>44.71</v>
      </c>
      <c r="K1124" s="552"/>
    </row>
    <row r="1125" spans="1:11" ht="25.5" customHeight="1" x14ac:dyDescent="0.3">
      <c r="A1125" s="547" t="s">
        <v>430</v>
      </c>
      <c r="B1125" s="548" t="s">
        <v>1006</v>
      </c>
      <c r="C1125" s="547" t="s">
        <v>19</v>
      </c>
      <c r="D1125" s="547" t="s">
        <v>1007</v>
      </c>
      <c r="E1125" s="688" t="s">
        <v>461</v>
      </c>
      <c r="F1125" s="688"/>
      <c r="G1125" s="549" t="s">
        <v>102</v>
      </c>
      <c r="H1125" s="550">
        <v>2.8999999999999998E-3</v>
      </c>
      <c r="I1125" s="551">
        <v>292.55</v>
      </c>
      <c r="J1125" s="551">
        <v>0.84</v>
      </c>
      <c r="K1125" s="552"/>
    </row>
    <row r="1126" spans="1:11" ht="25.5" customHeight="1" x14ac:dyDescent="0.3">
      <c r="A1126" s="547" t="s">
        <v>433</v>
      </c>
      <c r="B1126" s="548" t="s">
        <v>820</v>
      </c>
      <c r="C1126" s="547" t="s">
        <v>115</v>
      </c>
      <c r="D1126" s="547" t="s">
        <v>821</v>
      </c>
      <c r="E1126" s="688" t="s">
        <v>438</v>
      </c>
      <c r="F1126" s="688"/>
      <c r="G1126" s="549" t="s">
        <v>532</v>
      </c>
      <c r="H1126" s="550">
        <v>0.32479999999999998</v>
      </c>
      <c r="I1126" s="551">
        <v>149.36019999999999</v>
      </c>
      <c r="J1126" s="551">
        <v>48.51</v>
      </c>
      <c r="K1126" s="552"/>
    </row>
    <row r="1127" spans="1:11" ht="25.5" customHeight="1" x14ac:dyDescent="0.3">
      <c r="A1127" s="547" t="s">
        <v>433</v>
      </c>
      <c r="B1127" s="548" t="s">
        <v>3557</v>
      </c>
      <c r="C1127" s="547" t="s">
        <v>115</v>
      </c>
      <c r="D1127" s="547" t="s">
        <v>3558</v>
      </c>
      <c r="E1127" s="688" t="s">
        <v>438</v>
      </c>
      <c r="F1127" s="688"/>
      <c r="G1127" s="549" t="s">
        <v>655</v>
      </c>
      <c r="H1127" s="550">
        <v>56.2</v>
      </c>
      <c r="I1127" s="551">
        <v>0.85509999999999997</v>
      </c>
      <c r="J1127" s="551">
        <v>48.05</v>
      </c>
      <c r="K1127" s="552"/>
    </row>
    <row r="1128" spans="1:11" ht="25.5" customHeight="1" x14ac:dyDescent="0.3">
      <c r="A1128" s="547" t="s">
        <v>433</v>
      </c>
      <c r="B1128" s="548" t="s">
        <v>947</v>
      </c>
      <c r="C1128" s="547" t="s">
        <v>115</v>
      </c>
      <c r="D1128" s="547" t="s">
        <v>948</v>
      </c>
      <c r="E1128" s="688" t="s">
        <v>438</v>
      </c>
      <c r="F1128" s="688"/>
      <c r="G1128" s="549" t="s">
        <v>532</v>
      </c>
      <c r="H1128" s="550">
        <v>0.19980000000000001</v>
      </c>
      <c r="I1128" s="551">
        <v>135.64580000000001</v>
      </c>
      <c r="J1128" s="551">
        <v>27.1</v>
      </c>
      <c r="K1128" s="552"/>
    </row>
    <row r="1129" spans="1:11" s="89" customFormat="1" ht="38.25" customHeight="1" thickBot="1" x14ac:dyDescent="0.35">
      <c r="A1129" s="547" t="s">
        <v>433</v>
      </c>
      <c r="B1129" s="548" t="s">
        <v>822</v>
      </c>
      <c r="C1129" s="547" t="s">
        <v>115</v>
      </c>
      <c r="D1129" s="547" t="s">
        <v>823</v>
      </c>
      <c r="E1129" s="688" t="s">
        <v>438</v>
      </c>
      <c r="F1129" s="688"/>
      <c r="G1129" s="549" t="s">
        <v>532</v>
      </c>
      <c r="H1129" s="550">
        <v>6.25E-2</v>
      </c>
      <c r="I1129" s="551">
        <v>120.4661</v>
      </c>
      <c r="J1129" s="551">
        <v>7.52</v>
      </c>
      <c r="K1129" s="546"/>
    </row>
    <row r="1130" spans="1:11" ht="38.25" customHeight="1" thickTop="1" x14ac:dyDescent="0.3">
      <c r="A1130" s="562"/>
      <c r="B1130" s="562"/>
      <c r="C1130" s="562"/>
      <c r="D1130" s="562"/>
      <c r="E1130" s="562"/>
      <c r="F1130" s="562"/>
      <c r="G1130" s="562"/>
      <c r="H1130" s="562"/>
      <c r="I1130" s="562"/>
      <c r="J1130" s="562"/>
      <c r="K1130" s="552"/>
    </row>
    <row r="1131" spans="1:11" s="89" customFormat="1" ht="25.5" customHeight="1" x14ac:dyDescent="0.3">
      <c r="A1131" s="553"/>
      <c r="B1131" s="554" t="s">
        <v>4</v>
      </c>
      <c r="C1131" s="553" t="s">
        <v>5</v>
      </c>
      <c r="D1131" s="553" t="s">
        <v>6</v>
      </c>
      <c r="E1131" s="691" t="s">
        <v>427</v>
      </c>
      <c r="F1131" s="691"/>
      <c r="G1131" s="555" t="s">
        <v>7</v>
      </c>
      <c r="H1131" s="554" t="s">
        <v>8</v>
      </c>
      <c r="I1131" s="554" t="s">
        <v>9</v>
      </c>
      <c r="J1131" s="554" t="s">
        <v>11</v>
      </c>
      <c r="K1131" s="546"/>
    </row>
    <row r="1132" spans="1:11" ht="14.25" customHeight="1" x14ac:dyDescent="0.3">
      <c r="A1132" s="607" t="s">
        <v>428</v>
      </c>
      <c r="B1132" s="608" t="s">
        <v>3559</v>
      </c>
      <c r="C1132" s="607" t="s">
        <v>3560</v>
      </c>
      <c r="D1132" s="607" t="s">
        <v>3806</v>
      </c>
      <c r="E1132" s="690">
        <v>4</v>
      </c>
      <c r="F1132" s="690"/>
      <c r="G1132" s="609" t="s">
        <v>532</v>
      </c>
      <c r="H1132" s="610">
        <v>1</v>
      </c>
      <c r="I1132" s="611">
        <v>56.12</v>
      </c>
      <c r="J1132" s="611">
        <v>56.12</v>
      </c>
      <c r="K1132" s="552"/>
    </row>
    <row r="1133" spans="1:11" ht="14.25" customHeight="1" thickBot="1" x14ac:dyDescent="0.35">
      <c r="A1133" s="547" t="s">
        <v>430</v>
      </c>
      <c r="B1133" s="548" t="s">
        <v>559</v>
      </c>
      <c r="C1133" s="547" t="s">
        <v>19</v>
      </c>
      <c r="D1133" s="547" t="s">
        <v>560</v>
      </c>
      <c r="E1133" s="688" t="s">
        <v>429</v>
      </c>
      <c r="F1133" s="688"/>
      <c r="G1133" s="549" t="s">
        <v>423</v>
      </c>
      <c r="H1133" s="550">
        <v>2.3986000000000001</v>
      </c>
      <c r="I1133" s="551">
        <v>23.4</v>
      </c>
      <c r="J1133" s="551">
        <v>56.12</v>
      </c>
      <c r="K1133" s="552"/>
    </row>
    <row r="1134" spans="1:11" ht="25.5" customHeight="1" thickTop="1" x14ac:dyDescent="0.3">
      <c r="A1134" s="562"/>
      <c r="B1134" s="562"/>
      <c r="C1134" s="562"/>
      <c r="D1134" s="562"/>
      <c r="E1134" s="562"/>
      <c r="F1134" s="562"/>
      <c r="G1134" s="562"/>
      <c r="H1134" s="562"/>
      <c r="I1134" s="562"/>
      <c r="J1134" s="562"/>
      <c r="K1134" s="552"/>
    </row>
    <row r="1135" spans="1:11" s="89" customFormat="1" ht="25.5" customHeight="1" x14ac:dyDescent="0.3">
      <c r="A1135" s="553"/>
      <c r="B1135" s="554" t="s">
        <v>4</v>
      </c>
      <c r="C1135" s="553" t="s">
        <v>5</v>
      </c>
      <c r="D1135" s="553" t="s">
        <v>6</v>
      </c>
      <c r="E1135" s="691" t="s">
        <v>427</v>
      </c>
      <c r="F1135" s="691"/>
      <c r="G1135" s="555" t="s">
        <v>7</v>
      </c>
      <c r="H1135" s="554" t="s">
        <v>8</v>
      </c>
      <c r="I1135" s="554" t="s">
        <v>9</v>
      </c>
      <c r="J1135" s="554" t="s">
        <v>11</v>
      </c>
      <c r="K1135" s="546"/>
    </row>
    <row r="1136" spans="1:11" ht="15" customHeight="1" x14ac:dyDescent="0.3">
      <c r="A1136" s="607" t="s">
        <v>428</v>
      </c>
      <c r="B1136" s="608" t="s">
        <v>269</v>
      </c>
      <c r="C1136" s="607" t="s">
        <v>175</v>
      </c>
      <c r="D1136" s="607" t="s">
        <v>270</v>
      </c>
      <c r="E1136" s="690" t="s">
        <v>402</v>
      </c>
      <c r="F1136" s="690"/>
      <c r="G1136" s="609" t="s">
        <v>532</v>
      </c>
      <c r="H1136" s="610">
        <v>1</v>
      </c>
      <c r="I1136" s="611">
        <v>11.09</v>
      </c>
      <c r="J1136" s="611">
        <v>11.09</v>
      </c>
      <c r="K1136" s="552"/>
    </row>
    <row r="1137" spans="1:11" ht="25.5" customHeight="1" x14ac:dyDescent="0.3">
      <c r="A1137" s="547" t="s">
        <v>430</v>
      </c>
      <c r="B1137" s="548" t="s">
        <v>559</v>
      </c>
      <c r="C1137" s="547" t="s">
        <v>19</v>
      </c>
      <c r="D1137" s="547" t="s">
        <v>560</v>
      </c>
      <c r="E1137" s="688" t="s">
        <v>429</v>
      </c>
      <c r="F1137" s="688"/>
      <c r="G1137" s="549" t="s">
        <v>423</v>
      </c>
      <c r="H1137" s="550">
        <v>0.45</v>
      </c>
      <c r="I1137" s="551">
        <v>23.4</v>
      </c>
      <c r="J1137" s="551">
        <v>10.53</v>
      </c>
      <c r="K1137" s="552"/>
    </row>
    <row r="1138" spans="1:11" ht="39" customHeight="1" thickBot="1" x14ac:dyDescent="0.35">
      <c r="A1138" s="547" t="s">
        <v>430</v>
      </c>
      <c r="B1138" s="548" t="s">
        <v>1008</v>
      </c>
      <c r="C1138" s="547" t="s">
        <v>19</v>
      </c>
      <c r="D1138" s="547" t="s">
        <v>1009</v>
      </c>
      <c r="E1138" s="688" t="s">
        <v>461</v>
      </c>
      <c r="F1138" s="688"/>
      <c r="G1138" s="549" t="s">
        <v>95</v>
      </c>
      <c r="H1138" s="550">
        <v>6.0999999999999999E-2</v>
      </c>
      <c r="I1138" s="551">
        <v>9.27</v>
      </c>
      <c r="J1138" s="551">
        <v>0.56000000000000005</v>
      </c>
      <c r="K1138" s="552"/>
    </row>
    <row r="1139" spans="1:11" s="89" customFormat="1" ht="14.5" thickTop="1" x14ac:dyDescent="0.3">
      <c r="A1139" s="562"/>
      <c r="B1139" s="562"/>
      <c r="C1139" s="562"/>
      <c r="D1139" s="562"/>
      <c r="E1139" s="562"/>
      <c r="F1139" s="562"/>
      <c r="G1139" s="562"/>
      <c r="H1139" s="562"/>
      <c r="I1139" s="562"/>
      <c r="J1139" s="562"/>
      <c r="K1139" s="546"/>
    </row>
    <row r="1140" spans="1:11" ht="14.25" customHeight="1" x14ac:dyDescent="0.3">
      <c r="A1140" s="553"/>
      <c r="B1140" s="554" t="s">
        <v>4</v>
      </c>
      <c r="C1140" s="553" t="s">
        <v>5</v>
      </c>
      <c r="D1140" s="553" t="s">
        <v>6</v>
      </c>
      <c r="E1140" s="691" t="s">
        <v>427</v>
      </c>
      <c r="F1140" s="691"/>
      <c r="G1140" s="555" t="s">
        <v>7</v>
      </c>
      <c r="H1140" s="554" t="s">
        <v>8</v>
      </c>
      <c r="I1140" s="554" t="s">
        <v>9</v>
      </c>
      <c r="J1140" s="554" t="s">
        <v>11</v>
      </c>
      <c r="K1140" s="552"/>
    </row>
    <row r="1141" spans="1:11" s="89" customFormat="1" ht="39" customHeight="1" x14ac:dyDescent="0.3">
      <c r="A1141" s="607" t="s">
        <v>428</v>
      </c>
      <c r="B1141" s="608" t="s">
        <v>271</v>
      </c>
      <c r="C1141" s="607" t="s">
        <v>19</v>
      </c>
      <c r="D1141" s="607" t="s">
        <v>3807</v>
      </c>
      <c r="E1141" s="690" t="s">
        <v>1010</v>
      </c>
      <c r="F1141" s="690"/>
      <c r="G1141" s="609" t="s">
        <v>173</v>
      </c>
      <c r="H1141" s="610">
        <v>1</v>
      </c>
      <c r="I1141" s="611">
        <v>60.45</v>
      </c>
      <c r="J1141" s="611">
        <v>60.45</v>
      </c>
      <c r="K1141" s="546"/>
    </row>
    <row r="1142" spans="1:11" ht="38.25" customHeight="1" x14ac:dyDescent="0.3">
      <c r="A1142" s="547" t="s">
        <v>430</v>
      </c>
      <c r="B1142" s="548" t="s">
        <v>562</v>
      </c>
      <c r="C1142" s="547" t="s">
        <v>19</v>
      </c>
      <c r="D1142" s="547" t="s">
        <v>563</v>
      </c>
      <c r="E1142" s="688" t="s">
        <v>461</v>
      </c>
      <c r="F1142" s="688"/>
      <c r="G1142" s="549" t="s">
        <v>95</v>
      </c>
      <c r="H1142" s="550">
        <v>8.2400000000000001E-2</v>
      </c>
      <c r="I1142" s="551">
        <v>204.43</v>
      </c>
      <c r="J1142" s="551">
        <v>16.84</v>
      </c>
      <c r="K1142" s="552"/>
    </row>
    <row r="1143" spans="1:11" ht="38.25" customHeight="1" x14ac:dyDescent="0.3">
      <c r="A1143" s="547" t="s">
        <v>430</v>
      </c>
      <c r="B1143" s="548" t="s">
        <v>564</v>
      </c>
      <c r="C1143" s="547" t="s">
        <v>19</v>
      </c>
      <c r="D1143" s="547" t="s">
        <v>565</v>
      </c>
      <c r="E1143" s="688" t="s">
        <v>461</v>
      </c>
      <c r="F1143" s="688"/>
      <c r="G1143" s="549" t="s">
        <v>102</v>
      </c>
      <c r="H1143" s="550">
        <v>0.16</v>
      </c>
      <c r="I1143" s="551">
        <v>88.26</v>
      </c>
      <c r="J1143" s="551">
        <v>14.12</v>
      </c>
      <c r="K1143" s="552"/>
    </row>
    <row r="1144" spans="1:11" s="89" customFormat="1" ht="15" customHeight="1" x14ac:dyDescent="0.3">
      <c r="A1144" s="547" t="s">
        <v>430</v>
      </c>
      <c r="B1144" s="548" t="s">
        <v>1011</v>
      </c>
      <c r="C1144" s="547" t="s">
        <v>19</v>
      </c>
      <c r="D1144" s="547" t="s">
        <v>1012</v>
      </c>
      <c r="E1144" s="688" t="s">
        <v>429</v>
      </c>
      <c r="F1144" s="688"/>
      <c r="G1144" s="549" t="s">
        <v>423</v>
      </c>
      <c r="H1144" s="550">
        <v>0.36840000000000001</v>
      </c>
      <c r="I1144" s="551">
        <v>25.19</v>
      </c>
      <c r="J1144" s="551">
        <v>9.27</v>
      </c>
      <c r="K1144" s="546"/>
    </row>
    <row r="1145" spans="1:11" ht="38.25" customHeight="1" x14ac:dyDescent="0.3">
      <c r="A1145" s="547" t="s">
        <v>430</v>
      </c>
      <c r="B1145" s="548" t="s">
        <v>559</v>
      </c>
      <c r="C1145" s="547" t="s">
        <v>19</v>
      </c>
      <c r="D1145" s="547" t="s">
        <v>560</v>
      </c>
      <c r="E1145" s="688" t="s">
        <v>429</v>
      </c>
      <c r="F1145" s="688"/>
      <c r="G1145" s="549" t="s">
        <v>423</v>
      </c>
      <c r="H1145" s="550">
        <v>0.73680000000000001</v>
      </c>
      <c r="I1145" s="551">
        <v>23.4</v>
      </c>
      <c r="J1145" s="551">
        <v>17.239999999999998</v>
      </c>
      <c r="K1145" s="552"/>
    </row>
    <row r="1146" spans="1:11" ht="38.25" customHeight="1" thickBot="1" x14ac:dyDescent="0.35">
      <c r="A1146" s="547" t="s">
        <v>430</v>
      </c>
      <c r="B1146" s="548" t="s">
        <v>1013</v>
      </c>
      <c r="C1146" s="547" t="s">
        <v>19</v>
      </c>
      <c r="D1146" s="547" t="s">
        <v>1014</v>
      </c>
      <c r="E1146" s="688" t="s">
        <v>429</v>
      </c>
      <c r="F1146" s="688"/>
      <c r="G1146" s="549" t="s">
        <v>532</v>
      </c>
      <c r="H1146" s="550">
        <v>4.7000000000000002E-3</v>
      </c>
      <c r="I1146" s="551">
        <v>634.08000000000004</v>
      </c>
      <c r="J1146" s="551">
        <v>2.98</v>
      </c>
      <c r="K1146" s="552"/>
    </row>
    <row r="1147" spans="1:11" ht="14.25" customHeight="1" thickTop="1" x14ac:dyDescent="0.3">
      <c r="A1147" s="562"/>
      <c r="B1147" s="562"/>
      <c r="C1147" s="562"/>
      <c r="D1147" s="562"/>
      <c r="E1147" s="562"/>
      <c r="F1147" s="562"/>
      <c r="G1147" s="562"/>
      <c r="H1147" s="562"/>
      <c r="I1147" s="562"/>
      <c r="J1147" s="562"/>
      <c r="K1147" s="552"/>
    </row>
    <row r="1148" spans="1:11" ht="14.25" customHeight="1" x14ac:dyDescent="0.3">
      <c r="A1148" s="553"/>
      <c r="B1148" s="554" t="s">
        <v>4</v>
      </c>
      <c r="C1148" s="553" t="s">
        <v>5</v>
      </c>
      <c r="D1148" s="553" t="s">
        <v>6</v>
      </c>
      <c r="E1148" s="691" t="s">
        <v>427</v>
      </c>
      <c r="F1148" s="691"/>
      <c r="G1148" s="555" t="s">
        <v>7</v>
      </c>
      <c r="H1148" s="554" t="s">
        <v>8</v>
      </c>
      <c r="I1148" s="554" t="s">
        <v>9</v>
      </c>
      <c r="J1148" s="554" t="s">
        <v>11</v>
      </c>
      <c r="K1148" s="552"/>
    </row>
    <row r="1149" spans="1:11" s="89" customFormat="1" ht="15" customHeight="1" x14ac:dyDescent="0.3">
      <c r="A1149" s="607" t="s">
        <v>428</v>
      </c>
      <c r="B1149" s="608" t="s">
        <v>273</v>
      </c>
      <c r="C1149" s="607" t="s">
        <v>19</v>
      </c>
      <c r="D1149" s="607" t="s">
        <v>3809</v>
      </c>
      <c r="E1149" s="690" t="s">
        <v>1010</v>
      </c>
      <c r="F1149" s="690"/>
      <c r="G1149" s="609" t="s">
        <v>173</v>
      </c>
      <c r="H1149" s="610">
        <v>1</v>
      </c>
      <c r="I1149" s="611">
        <v>108</v>
      </c>
      <c r="J1149" s="611">
        <v>108</v>
      </c>
      <c r="K1149" s="546"/>
    </row>
    <row r="1150" spans="1:11" ht="39" customHeight="1" x14ac:dyDescent="0.3">
      <c r="A1150" s="547" t="s">
        <v>430</v>
      </c>
      <c r="B1150" s="548" t="s">
        <v>562</v>
      </c>
      <c r="C1150" s="547" t="s">
        <v>19</v>
      </c>
      <c r="D1150" s="547" t="s">
        <v>563</v>
      </c>
      <c r="E1150" s="688" t="s">
        <v>461</v>
      </c>
      <c r="F1150" s="688"/>
      <c r="G1150" s="549" t="s">
        <v>95</v>
      </c>
      <c r="H1150" s="550">
        <v>0.1409</v>
      </c>
      <c r="I1150" s="551">
        <v>204.43</v>
      </c>
      <c r="J1150" s="551">
        <v>28.8</v>
      </c>
      <c r="K1150" s="552"/>
    </row>
    <row r="1151" spans="1:11" ht="38.25" customHeight="1" x14ac:dyDescent="0.3">
      <c r="A1151" s="547" t="s">
        <v>430</v>
      </c>
      <c r="B1151" s="548" t="s">
        <v>564</v>
      </c>
      <c r="C1151" s="547" t="s">
        <v>19</v>
      </c>
      <c r="D1151" s="547" t="s">
        <v>565</v>
      </c>
      <c r="E1151" s="688" t="s">
        <v>461</v>
      </c>
      <c r="F1151" s="688"/>
      <c r="G1151" s="549" t="s">
        <v>102</v>
      </c>
      <c r="H1151" s="550">
        <v>0.27339999999999998</v>
      </c>
      <c r="I1151" s="551">
        <v>88.26</v>
      </c>
      <c r="J1151" s="551">
        <v>24.13</v>
      </c>
      <c r="K1151" s="552"/>
    </row>
    <row r="1152" spans="1:11" s="89" customFormat="1" ht="15" customHeight="1" x14ac:dyDescent="0.3">
      <c r="A1152" s="547" t="s">
        <v>430</v>
      </c>
      <c r="B1152" s="548" t="s">
        <v>1011</v>
      </c>
      <c r="C1152" s="547" t="s">
        <v>19</v>
      </c>
      <c r="D1152" s="547" t="s">
        <v>1012</v>
      </c>
      <c r="E1152" s="688" t="s">
        <v>429</v>
      </c>
      <c r="F1152" s="688"/>
      <c r="G1152" s="549" t="s">
        <v>423</v>
      </c>
      <c r="H1152" s="550">
        <v>0.62949999999999995</v>
      </c>
      <c r="I1152" s="551">
        <v>25.19</v>
      </c>
      <c r="J1152" s="551">
        <v>15.85</v>
      </c>
      <c r="K1152" s="546"/>
    </row>
    <row r="1153" spans="1:11" ht="38.25" customHeight="1" x14ac:dyDescent="0.3">
      <c r="A1153" s="547" t="s">
        <v>430</v>
      </c>
      <c r="B1153" s="548" t="s">
        <v>559</v>
      </c>
      <c r="C1153" s="547" t="s">
        <v>19</v>
      </c>
      <c r="D1153" s="547" t="s">
        <v>560</v>
      </c>
      <c r="E1153" s="688" t="s">
        <v>429</v>
      </c>
      <c r="F1153" s="688"/>
      <c r="G1153" s="549" t="s">
        <v>423</v>
      </c>
      <c r="H1153" s="550">
        <v>1.2591000000000001</v>
      </c>
      <c r="I1153" s="551">
        <v>23.4</v>
      </c>
      <c r="J1153" s="551">
        <v>29.46</v>
      </c>
      <c r="K1153" s="552"/>
    </row>
    <row r="1154" spans="1:11" ht="38.25" customHeight="1" thickBot="1" x14ac:dyDescent="0.35">
      <c r="A1154" s="547" t="s">
        <v>430</v>
      </c>
      <c r="B1154" s="548" t="s">
        <v>1013</v>
      </c>
      <c r="C1154" s="547" t="s">
        <v>19</v>
      </c>
      <c r="D1154" s="547" t="s">
        <v>1014</v>
      </c>
      <c r="E1154" s="688" t="s">
        <v>429</v>
      </c>
      <c r="F1154" s="688"/>
      <c r="G1154" s="549" t="s">
        <v>532</v>
      </c>
      <c r="H1154" s="550">
        <v>1.54E-2</v>
      </c>
      <c r="I1154" s="551">
        <v>634.08000000000004</v>
      </c>
      <c r="J1154" s="551">
        <v>9.76</v>
      </c>
      <c r="K1154" s="552"/>
    </row>
    <row r="1155" spans="1:11" ht="14.25" customHeight="1" thickTop="1" x14ac:dyDescent="0.3">
      <c r="A1155" s="562"/>
      <c r="B1155" s="562"/>
      <c r="C1155" s="562"/>
      <c r="D1155" s="562"/>
      <c r="E1155" s="562"/>
      <c r="F1155" s="562"/>
      <c r="G1155" s="562"/>
      <c r="H1155" s="562"/>
      <c r="I1155" s="562"/>
      <c r="J1155" s="562"/>
      <c r="K1155" s="552"/>
    </row>
    <row r="1156" spans="1:11" ht="14.25" customHeight="1" x14ac:dyDescent="0.3">
      <c r="A1156" s="553"/>
      <c r="B1156" s="554" t="s">
        <v>4</v>
      </c>
      <c r="C1156" s="553" t="s">
        <v>5</v>
      </c>
      <c r="D1156" s="553" t="s">
        <v>6</v>
      </c>
      <c r="E1156" s="691" t="s">
        <v>427</v>
      </c>
      <c r="F1156" s="691"/>
      <c r="G1156" s="555" t="s">
        <v>7</v>
      </c>
      <c r="H1156" s="554" t="s">
        <v>8</v>
      </c>
      <c r="I1156" s="554" t="s">
        <v>9</v>
      </c>
      <c r="J1156" s="554" t="s">
        <v>11</v>
      </c>
      <c r="K1156" s="552"/>
    </row>
    <row r="1157" spans="1:11" ht="14.25" customHeight="1" x14ac:dyDescent="0.3">
      <c r="A1157" s="607" t="s">
        <v>428</v>
      </c>
      <c r="B1157" s="608" t="s">
        <v>274</v>
      </c>
      <c r="C1157" s="607" t="s">
        <v>19</v>
      </c>
      <c r="D1157" s="607" t="s">
        <v>3810</v>
      </c>
      <c r="E1157" s="690" t="s">
        <v>1010</v>
      </c>
      <c r="F1157" s="690"/>
      <c r="G1157" s="609" t="s">
        <v>173</v>
      </c>
      <c r="H1157" s="610">
        <v>1</v>
      </c>
      <c r="I1157" s="611">
        <v>133.19</v>
      </c>
      <c r="J1157" s="611">
        <v>133.19</v>
      </c>
      <c r="K1157" s="552"/>
    </row>
    <row r="1158" spans="1:11" ht="38.25" customHeight="1" x14ac:dyDescent="0.3">
      <c r="A1158" s="547" t="s">
        <v>430</v>
      </c>
      <c r="B1158" s="548" t="s">
        <v>562</v>
      </c>
      <c r="C1158" s="547" t="s">
        <v>19</v>
      </c>
      <c r="D1158" s="547" t="s">
        <v>563</v>
      </c>
      <c r="E1158" s="688" t="s">
        <v>461</v>
      </c>
      <c r="F1158" s="688"/>
      <c r="G1158" s="549" t="s">
        <v>95</v>
      </c>
      <c r="H1158" s="550">
        <v>0.1701</v>
      </c>
      <c r="I1158" s="551">
        <v>204.43</v>
      </c>
      <c r="J1158" s="551">
        <v>34.770000000000003</v>
      </c>
      <c r="K1158" s="552"/>
    </row>
    <row r="1159" spans="1:11" ht="38.25" customHeight="1" x14ac:dyDescent="0.3">
      <c r="A1159" s="547" t="s">
        <v>430</v>
      </c>
      <c r="B1159" s="548" t="s">
        <v>564</v>
      </c>
      <c r="C1159" s="547" t="s">
        <v>19</v>
      </c>
      <c r="D1159" s="547" t="s">
        <v>565</v>
      </c>
      <c r="E1159" s="688" t="s">
        <v>461</v>
      </c>
      <c r="F1159" s="688"/>
      <c r="G1159" s="549" t="s">
        <v>102</v>
      </c>
      <c r="H1159" s="550">
        <v>0.3301</v>
      </c>
      <c r="I1159" s="551">
        <v>88.26</v>
      </c>
      <c r="J1159" s="551">
        <v>29.13</v>
      </c>
      <c r="K1159" s="552"/>
    </row>
    <row r="1160" spans="1:11" s="89" customFormat="1" ht="15" customHeight="1" x14ac:dyDescent="0.3">
      <c r="A1160" s="547" t="s">
        <v>430</v>
      </c>
      <c r="B1160" s="548" t="s">
        <v>1011</v>
      </c>
      <c r="C1160" s="547" t="s">
        <v>19</v>
      </c>
      <c r="D1160" s="547" t="s">
        <v>1012</v>
      </c>
      <c r="E1160" s="688" t="s">
        <v>429</v>
      </c>
      <c r="F1160" s="688"/>
      <c r="G1160" s="549" t="s">
        <v>423</v>
      </c>
      <c r="H1160" s="550">
        <v>0.7601</v>
      </c>
      <c r="I1160" s="551">
        <v>25.19</v>
      </c>
      <c r="J1160" s="551">
        <v>19.14</v>
      </c>
      <c r="K1160" s="546"/>
    </row>
    <row r="1161" spans="1:11" ht="38.25" customHeight="1" x14ac:dyDescent="0.3">
      <c r="A1161" s="547" t="s">
        <v>430</v>
      </c>
      <c r="B1161" s="548" t="s">
        <v>559</v>
      </c>
      <c r="C1161" s="547" t="s">
        <v>19</v>
      </c>
      <c r="D1161" s="547" t="s">
        <v>560</v>
      </c>
      <c r="E1161" s="688" t="s">
        <v>429</v>
      </c>
      <c r="F1161" s="688"/>
      <c r="G1161" s="549" t="s">
        <v>423</v>
      </c>
      <c r="H1161" s="550">
        <v>1.5202</v>
      </c>
      <c r="I1161" s="551">
        <v>23.4</v>
      </c>
      <c r="J1161" s="551">
        <v>35.57</v>
      </c>
      <c r="K1161" s="552"/>
    </row>
    <row r="1162" spans="1:11" ht="38.25" customHeight="1" thickBot="1" x14ac:dyDescent="0.35">
      <c r="A1162" s="547" t="s">
        <v>430</v>
      </c>
      <c r="B1162" s="548" t="s">
        <v>1013</v>
      </c>
      <c r="C1162" s="547" t="s">
        <v>19</v>
      </c>
      <c r="D1162" s="547" t="s">
        <v>1014</v>
      </c>
      <c r="E1162" s="688" t="s">
        <v>429</v>
      </c>
      <c r="F1162" s="688"/>
      <c r="G1162" s="549" t="s">
        <v>532</v>
      </c>
      <c r="H1162" s="550">
        <v>2.3E-2</v>
      </c>
      <c r="I1162" s="551">
        <v>634.08000000000004</v>
      </c>
      <c r="J1162" s="551">
        <v>14.58</v>
      </c>
      <c r="K1162" s="552"/>
    </row>
    <row r="1163" spans="1:11" ht="14.25" customHeight="1" thickTop="1" x14ac:dyDescent="0.3">
      <c r="A1163" s="562"/>
      <c r="B1163" s="562"/>
      <c r="C1163" s="562"/>
      <c r="D1163" s="562"/>
      <c r="E1163" s="562"/>
      <c r="F1163" s="562"/>
      <c r="G1163" s="562"/>
      <c r="H1163" s="562"/>
      <c r="I1163" s="562"/>
      <c r="J1163" s="562"/>
      <c r="K1163" s="552"/>
    </row>
    <row r="1164" spans="1:11" ht="14.25" customHeight="1" x14ac:dyDescent="0.3">
      <c r="A1164" s="553"/>
      <c r="B1164" s="554" t="s">
        <v>4</v>
      </c>
      <c r="C1164" s="553" t="s">
        <v>5</v>
      </c>
      <c r="D1164" s="553" t="s">
        <v>6</v>
      </c>
      <c r="E1164" s="691" t="s">
        <v>427</v>
      </c>
      <c r="F1164" s="691"/>
      <c r="G1164" s="555" t="s">
        <v>7</v>
      </c>
      <c r="H1164" s="554" t="s">
        <v>8</v>
      </c>
      <c r="I1164" s="554" t="s">
        <v>9</v>
      </c>
      <c r="J1164" s="554" t="s">
        <v>11</v>
      </c>
      <c r="K1164" s="552"/>
    </row>
    <row r="1165" spans="1:11" ht="14.25" customHeight="1" x14ac:dyDescent="0.3">
      <c r="A1165" s="607" t="s">
        <v>428</v>
      </c>
      <c r="B1165" s="608" t="s">
        <v>275</v>
      </c>
      <c r="C1165" s="607" t="s">
        <v>19</v>
      </c>
      <c r="D1165" s="607" t="s">
        <v>3811</v>
      </c>
      <c r="E1165" s="690" t="s">
        <v>1010</v>
      </c>
      <c r="F1165" s="690"/>
      <c r="G1165" s="609" t="s">
        <v>173</v>
      </c>
      <c r="H1165" s="610">
        <v>1</v>
      </c>
      <c r="I1165" s="611">
        <v>172.74</v>
      </c>
      <c r="J1165" s="611">
        <v>172.74</v>
      </c>
      <c r="K1165" s="552"/>
    </row>
    <row r="1166" spans="1:11" ht="38.25" customHeight="1" x14ac:dyDescent="0.3">
      <c r="A1166" s="547" t="s">
        <v>430</v>
      </c>
      <c r="B1166" s="548" t="s">
        <v>562</v>
      </c>
      <c r="C1166" s="547" t="s">
        <v>19</v>
      </c>
      <c r="D1166" s="547" t="s">
        <v>563</v>
      </c>
      <c r="E1166" s="688" t="s">
        <v>461</v>
      </c>
      <c r="F1166" s="688"/>
      <c r="G1166" s="549" t="s">
        <v>95</v>
      </c>
      <c r="H1166" s="550">
        <v>0.21390000000000001</v>
      </c>
      <c r="I1166" s="551">
        <v>204.43</v>
      </c>
      <c r="J1166" s="551">
        <v>43.72</v>
      </c>
      <c r="K1166" s="552"/>
    </row>
    <row r="1167" spans="1:11" ht="38.25" customHeight="1" x14ac:dyDescent="0.3">
      <c r="A1167" s="547" t="s">
        <v>430</v>
      </c>
      <c r="B1167" s="548" t="s">
        <v>564</v>
      </c>
      <c r="C1167" s="547" t="s">
        <v>19</v>
      </c>
      <c r="D1167" s="547" t="s">
        <v>565</v>
      </c>
      <c r="E1167" s="688" t="s">
        <v>461</v>
      </c>
      <c r="F1167" s="688"/>
      <c r="G1167" s="549" t="s">
        <v>102</v>
      </c>
      <c r="H1167" s="550">
        <v>0.41520000000000001</v>
      </c>
      <c r="I1167" s="551">
        <v>88.26</v>
      </c>
      <c r="J1167" s="551">
        <v>36.64</v>
      </c>
      <c r="K1167" s="552"/>
    </row>
    <row r="1168" spans="1:11" s="89" customFormat="1" ht="15" customHeight="1" x14ac:dyDescent="0.3">
      <c r="A1168" s="547" t="s">
        <v>430</v>
      </c>
      <c r="B1168" s="548" t="s">
        <v>1011</v>
      </c>
      <c r="C1168" s="547" t="s">
        <v>19</v>
      </c>
      <c r="D1168" s="547" t="s">
        <v>1012</v>
      </c>
      <c r="E1168" s="688" t="s">
        <v>429</v>
      </c>
      <c r="F1168" s="688"/>
      <c r="G1168" s="549" t="s">
        <v>423</v>
      </c>
      <c r="H1168" s="550">
        <v>0.95589999999999997</v>
      </c>
      <c r="I1168" s="551">
        <v>25.19</v>
      </c>
      <c r="J1168" s="551">
        <v>24.07</v>
      </c>
      <c r="K1168" s="546"/>
    </row>
    <row r="1169" spans="1:11" ht="38.25" customHeight="1" x14ac:dyDescent="0.3">
      <c r="A1169" s="547" t="s">
        <v>430</v>
      </c>
      <c r="B1169" s="548" t="s">
        <v>559</v>
      </c>
      <c r="C1169" s="547" t="s">
        <v>19</v>
      </c>
      <c r="D1169" s="547" t="s">
        <v>560</v>
      </c>
      <c r="E1169" s="688" t="s">
        <v>429</v>
      </c>
      <c r="F1169" s="688"/>
      <c r="G1169" s="549" t="s">
        <v>423</v>
      </c>
      <c r="H1169" s="550">
        <v>1.9117999999999999</v>
      </c>
      <c r="I1169" s="551">
        <v>23.4</v>
      </c>
      <c r="J1169" s="551">
        <v>44.73</v>
      </c>
      <c r="K1169" s="552"/>
    </row>
    <row r="1170" spans="1:11" ht="38.25" customHeight="1" thickBot="1" x14ac:dyDescent="0.35">
      <c r="A1170" s="547" t="s">
        <v>430</v>
      </c>
      <c r="B1170" s="548" t="s">
        <v>1013</v>
      </c>
      <c r="C1170" s="547" t="s">
        <v>19</v>
      </c>
      <c r="D1170" s="547" t="s">
        <v>1014</v>
      </c>
      <c r="E1170" s="688" t="s">
        <v>429</v>
      </c>
      <c r="F1170" s="688"/>
      <c r="G1170" s="549" t="s">
        <v>532</v>
      </c>
      <c r="H1170" s="550">
        <v>3.7199999999999997E-2</v>
      </c>
      <c r="I1170" s="551">
        <v>634.08000000000004</v>
      </c>
      <c r="J1170" s="551">
        <v>23.58</v>
      </c>
      <c r="K1170" s="552"/>
    </row>
    <row r="1171" spans="1:11" ht="14.25" customHeight="1" thickTop="1" x14ac:dyDescent="0.3">
      <c r="A1171" s="562"/>
      <c r="B1171" s="562"/>
      <c r="C1171" s="562"/>
      <c r="D1171" s="562"/>
      <c r="E1171" s="562"/>
      <c r="F1171" s="562"/>
      <c r="G1171" s="562"/>
      <c r="H1171" s="562"/>
      <c r="I1171" s="562"/>
      <c r="J1171" s="562"/>
      <c r="K1171" s="552"/>
    </row>
    <row r="1172" spans="1:11" ht="14.25" customHeight="1" x14ac:dyDescent="0.3">
      <c r="A1172" s="553"/>
      <c r="B1172" s="554" t="s">
        <v>4</v>
      </c>
      <c r="C1172" s="553" t="s">
        <v>5</v>
      </c>
      <c r="D1172" s="553" t="s">
        <v>6</v>
      </c>
      <c r="E1172" s="691" t="s">
        <v>427</v>
      </c>
      <c r="F1172" s="691"/>
      <c r="G1172" s="555" t="s">
        <v>7</v>
      </c>
      <c r="H1172" s="554" t="s">
        <v>8</v>
      </c>
      <c r="I1172" s="554" t="s">
        <v>9</v>
      </c>
      <c r="J1172" s="554" t="s">
        <v>11</v>
      </c>
      <c r="K1172" s="552"/>
    </row>
    <row r="1173" spans="1:11" s="89" customFormat="1" ht="15" customHeight="1" x14ac:dyDescent="0.3">
      <c r="A1173" s="607" t="s">
        <v>428</v>
      </c>
      <c r="B1173" s="608" t="s">
        <v>277</v>
      </c>
      <c r="C1173" s="607" t="s">
        <v>19</v>
      </c>
      <c r="D1173" s="607" t="s">
        <v>278</v>
      </c>
      <c r="E1173" s="690" t="s">
        <v>561</v>
      </c>
      <c r="F1173" s="690"/>
      <c r="G1173" s="609" t="s">
        <v>279</v>
      </c>
      <c r="H1173" s="610">
        <v>1</v>
      </c>
      <c r="I1173" s="611">
        <v>2.71</v>
      </c>
      <c r="J1173" s="611">
        <v>2.71</v>
      </c>
      <c r="K1173" s="546"/>
    </row>
    <row r="1174" spans="1:11" ht="50" x14ac:dyDescent="0.3">
      <c r="A1174" s="547" t="s">
        <v>430</v>
      </c>
      <c r="B1174" s="548" t="s">
        <v>1015</v>
      </c>
      <c r="C1174" s="547" t="s">
        <v>19</v>
      </c>
      <c r="D1174" s="547" t="s">
        <v>1016</v>
      </c>
      <c r="E1174" s="688" t="s">
        <v>461</v>
      </c>
      <c r="F1174" s="688"/>
      <c r="G1174" s="549" t="s">
        <v>95</v>
      </c>
      <c r="H1174" s="550">
        <v>9.2999999999999992E-3</v>
      </c>
      <c r="I1174" s="551">
        <v>261.58999999999997</v>
      </c>
      <c r="J1174" s="551">
        <v>2.4300000000000002</v>
      </c>
      <c r="K1174" s="552"/>
    </row>
    <row r="1175" spans="1:11" s="89" customFormat="1" ht="50.5" thickBot="1" x14ac:dyDescent="0.35">
      <c r="A1175" s="547" t="s">
        <v>430</v>
      </c>
      <c r="B1175" s="548" t="s">
        <v>1017</v>
      </c>
      <c r="C1175" s="547" t="s">
        <v>19</v>
      </c>
      <c r="D1175" s="547" t="s">
        <v>1018</v>
      </c>
      <c r="E1175" s="688" t="s">
        <v>461</v>
      </c>
      <c r="F1175" s="688"/>
      <c r="G1175" s="549" t="s">
        <v>102</v>
      </c>
      <c r="H1175" s="550">
        <v>4.0000000000000001E-3</v>
      </c>
      <c r="I1175" s="551">
        <v>72.45</v>
      </c>
      <c r="J1175" s="551">
        <v>0.28000000000000003</v>
      </c>
      <c r="K1175" s="546"/>
    </row>
    <row r="1176" spans="1:11" s="89" customFormat="1" ht="38.25" customHeight="1" thickTop="1" x14ac:dyDescent="0.3">
      <c r="A1176" s="562"/>
      <c r="B1176" s="562"/>
      <c r="C1176" s="562"/>
      <c r="D1176" s="562"/>
      <c r="E1176" s="562"/>
      <c r="F1176" s="562"/>
      <c r="G1176" s="562"/>
      <c r="H1176" s="562"/>
      <c r="I1176" s="562"/>
      <c r="J1176" s="562"/>
      <c r="K1176" s="546"/>
    </row>
    <row r="1177" spans="1:11" s="89" customFormat="1" x14ac:dyDescent="0.3">
      <c r="A1177" s="553"/>
      <c r="B1177" s="554" t="s">
        <v>4</v>
      </c>
      <c r="C1177" s="553" t="s">
        <v>5</v>
      </c>
      <c r="D1177" s="553" t="s">
        <v>6</v>
      </c>
      <c r="E1177" s="691" t="s">
        <v>427</v>
      </c>
      <c r="F1177" s="691"/>
      <c r="G1177" s="555" t="s">
        <v>7</v>
      </c>
      <c r="H1177" s="554" t="s">
        <v>8</v>
      </c>
      <c r="I1177" s="554" t="s">
        <v>9</v>
      </c>
      <c r="J1177" s="554" t="s">
        <v>11</v>
      </c>
      <c r="K1177" s="546"/>
    </row>
    <row r="1178" spans="1:11" ht="38.25" customHeight="1" x14ac:dyDescent="0.3">
      <c r="A1178" s="607" t="s">
        <v>428</v>
      </c>
      <c r="B1178" s="608" t="s">
        <v>280</v>
      </c>
      <c r="C1178" s="607" t="s">
        <v>19</v>
      </c>
      <c r="D1178" s="607" t="s">
        <v>281</v>
      </c>
      <c r="E1178" s="690" t="s">
        <v>561</v>
      </c>
      <c r="F1178" s="690"/>
      <c r="G1178" s="609" t="s">
        <v>262</v>
      </c>
      <c r="H1178" s="610">
        <v>1</v>
      </c>
      <c r="I1178" s="611">
        <v>44.31</v>
      </c>
      <c r="J1178" s="611">
        <v>44.31</v>
      </c>
      <c r="K1178" s="552"/>
    </row>
    <row r="1179" spans="1:11" s="89" customFormat="1" ht="38.25" customHeight="1" x14ac:dyDescent="0.3">
      <c r="A1179" s="547" t="s">
        <v>430</v>
      </c>
      <c r="B1179" s="548" t="s">
        <v>1015</v>
      </c>
      <c r="C1179" s="547" t="s">
        <v>19</v>
      </c>
      <c r="D1179" s="547" t="s">
        <v>1016</v>
      </c>
      <c r="E1179" s="688" t="s">
        <v>461</v>
      </c>
      <c r="F1179" s="688"/>
      <c r="G1179" s="549" t="s">
        <v>95</v>
      </c>
      <c r="H1179" s="550">
        <v>0.12330000000000001</v>
      </c>
      <c r="I1179" s="551">
        <v>261.58999999999997</v>
      </c>
      <c r="J1179" s="551">
        <v>32.25</v>
      </c>
      <c r="K1179" s="546"/>
    </row>
    <row r="1180" spans="1:11" ht="14.25" customHeight="1" x14ac:dyDescent="0.3">
      <c r="A1180" s="547" t="s">
        <v>430</v>
      </c>
      <c r="B1180" s="548" t="s">
        <v>1017</v>
      </c>
      <c r="C1180" s="547" t="s">
        <v>19</v>
      </c>
      <c r="D1180" s="547" t="s">
        <v>1018</v>
      </c>
      <c r="E1180" s="688" t="s">
        <v>461</v>
      </c>
      <c r="F1180" s="688"/>
      <c r="G1180" s="549" t="s">
        <v>102</v>
      </c>
      <c r="H1180" s="550">
        <v>5.28E-2</v>
      </c>
      <c r="I1180" s="551">
        <v>72.45</v>
      </c>
      <c r="J1180" s="551">
        <v>3.82</v>
      </c>
      <c r="K1180" s="552"/>
    </row>
    <row r="1181" spans="1:11" s="89" customFormat="1" ht="38.25" customHeight="1" thickBot="1" x14ac:dyDescent="0.35">
      <c r="A1181" s="547" t="s">
        <v>430</v>
      </c>
      <c r="B1181" s="548" t="s">
        <v>559</v>
      </c>
      <c r="C1181" s="547" t="s">
        <v>19</v>
      </c>
      <c r="D1181" s="547" t="s">
        <v>560</v>
      </c>
      <c r="E1181" s="688" t="s">
        <v>429</v>
      </c>
      <c r="F1181" s="688"/>
      <c r="G1181" s="549" t="s">
        <v>423</v>
      </c>
      <c r="H1181" s="550">
        <v>0.35220000000000001</v>
      </c>
      <c r="I1181" s="551">
        <v>23.4</v>
      </c>
      <c r="J1181" s="551">
        <v>8.24</v>
      </c>
      <c r="K1181" s="546"/>
    </row>
    <row r="1182" spans="1:11" ht="14.5" thickTop="1" x14ac:dyDescent="0.3">
      <c r="A1182" s="562"/>
      <c r="B1182" s="562"/>
      <c r="C1182" s="562"/>
      <c r="D1182" s="562"/>
      <c r="E1182" s="562"/>
      <c r="F1182" s="562"/>
      <c r="G1182" s="562"/>
      <c r="H1182" s="562"/>
      <c r="I1182" s="562"/>
      <c r="J1182" s="562"/>
      <c r="K1182" s="552"/>
    </row>
    <row r="1183" spans="1:11" x14ac:dyDescent="0.3">
      <c r="A1183" s="553"/>
      <c r="B1183" s="554" t="s">
        <v>4</v>
      </c>
      <c r="C1183" s="553" t="s">
        <v>5</v>
      </c>
      <c r="D1183" s="553" t="s">
        <v>6</v>
      </c>
      <c r="E1183" s="691" t="s">
        <v>427</v>
      </c>
      <c r="F1183" s="691"/>
      <c r="G1183" s="555" t="s">
        <v>7</v>
      </c>
      <c r="H1183" s="554" t="s">
        <v>8</v>
      </c>
      <c r="I1183" s="554" t="s">
        <v>9</v>
      </c>
      <c r="J1183" s="554" t="s">
        <v>11</v>
      </c>
      <c r="K1183" s="552"/>
    </row>
    <row r="1184" spans="1:11" s="89" customFormat="1" ht="15.75" customHeight="1" x14ac:dyDescent="0.3">
      <c r="A1184" s="607" t="s">
        <v>428</v>
      </c>
      <c r="B1184" s="608" t="s">
        <v>286</v>
      </c>
      <c r="C1184" s="607" t="s">
        <v>19</v>
      </c>
      <c r="D1184" s="607" t="s">
        <v>287</v>
      </c>
      <c r="E1184" s="690" t="s">
        <v>561</v>
      </c>
      <c r="F1184" s="690"/>
      <c r="G1184" s="609" t="s">
        <v>262</v>
      </c>
      <c r="H1184" s="610">
        <v>1</v>
      </c>
      <c r="I1184" s="611">
        <v>17.7</v>
      </c>
      <c r="J1184" s="611">
        <v>17.7</v>
      </c>
      <c r="K1184" s="546"/>
    </row>
    <row r="1185" spans="1:11" ht="38.25" customHeight="1" x14ac:dyDescent="0.3">
      <c r="A1185" s="547" t="s">
        <v>430</v>
      </c>
      <c r="B1185" s="548" t="s">
        <v>1015</v>
      </c>
      <c r="C1185" s="547" t="s">
        <v>19</v>
      </c>
      <c r="D1185" s="547" t="s">
        <v>1016</v>
      </c>
      <c r="E1185" s="688" t="s">
        <v>461</v>
      </c>
      <c r="F1185" s="688"/>
      <c r="G1185" s="549" t="s">
        <v>95</v>
      </c>
      <c r="H1185" s="550">
        <v>4.9299999999999997E-2</v>
      </c>
      <c r="I1185" s="551">
        <v>261.58999999999997</v>
      </c>
      <c r="J1185" s="551">
        <v>12.89</v>
      </c>
      <c r="K1185" s="552"/>
    </row>
    <row r="1186" spans="1:11" ht="50" x14ac:dyDescent="0.3">
      <c r="A1186" s="547" t="s">
        <v>430</v>
      </c>
      <c r="B1186" s="548" t="s">
        <v>1017</v>
      </c>
      <c r="C1186" s="547" t="s">
        <v>19</v>
      </c>
      <c r="D1186" s="547" t="s">
        <v>1018</v>
      </c>
      <c r="E1186" s="688" t="s">
        <v>461</v>
      </c>
      <c r="F1186" s="688"/>
      <c r="G1186" s="549" t="s">
        <v>102</v>
      </c>
      <c r="H1186" s="550">
        <v>2.1100000000000001E-2</v>
      </c>
      <c r="I1186" s="551">
        <v>72.45</v>
      </c>
      <c r="J1186" s="551">
        <v>1.52</v>
      </c>
      <c r="K1186" s="552"/>
    </row>
    <row r="1187" spans="1:11" s="89" customFormat="1" ht="38.25" customHeight="1" thickBot="1" x14ac:dyDescent="0.35">
      <c r="A1187" s="547" t="s">
        <v>430</v>
      </c>
      <c r="B1187" s="548" t="s">
        <v>559</v>
      </c>
      <c r="C1187" s="547" t="s">
        <v>19</v>
      </c>
      <c r="D1187" s="547" t="s">
        <v>560</v>
      </c>
      <c r="E1187" s="688" t="s">
        <v>429</v>
      </c>
      <c r="F1187" s="688"/>
      <c r="G1187" s="549" t="s">
        <v>423</v>
      </c>
      <c r="H1187" s="550">
        <v>0.14099999999999999</v>
      </c>
      <c r="I1187" s="551">
        <v>23.4</v>
      </c>
      <c r="J1187" s="551">
        <v>3.29</v>
      </c>
      <c r="K1187" s="546"/>
    </row>
    <row r="1188" spans="1:11" s="89" customFormat="1" ht="14.5" thickTop="1" x14ac:dyDescent="0.3">
      <c r="A1188" s="562"/>
      <c r="B1188" s="562"/>
      <c r="C1188" s="562"/>
      <c r="D1188" s="562"/>
      <c r="E1188" s="562"/>
      <c r="F1188" s="562"/>
      <c r="G1188" s="562"/>
      <c r="H1188" s="562"/>
      <c r="I1188" s="562"/>
      <c r="J1188" s="562"/>
      <c r="K1188" s="546"/>
    </row>
    <row r="1189" spans="1:11" x14ac:dyDescent="0.3">
      <c r="A1189" s="553"/>
      <c r="B1189" s="554" t="s">
        <v>4</v>
      </c>
      <c r="C1189" s="553" t="s">
        <v>5</v>
      </c>
      <c r="D1189" s="553" t="s">
        <v>6</v>
      </c>
      <c r="E1189" s="691" t="s">
        <v>427</v>
      </c>
      <c r="F1189" s="691"/>
      <c r="G1189" s="555" t="s">
        <v>7</v>
      </c>
      <c r="H1189" s="554" t="s">
        <v>8</v>
      </c>
      <c r="I1189" s="554" t="s">
        <v>9</v>
      </c>
      <c r="J1189" s="554" t="s">
        <v>11</v>
      </c>
      <c r="K1189" s="552"/>
    </row>
    <row r="1190" spans="1:11" s="89" customFormat="1" ht="15.75" customHeight="1" x14ac:dyDescent="0.3">
      <c r="A1190" s="607" t="s">
        <v>428</v>
      </c>
      <c r="B1190" s="608" t="s">
        <v>290</v>
      </c>
      <c r="C1190" s="607" t="s">
        <v>19</v>
      </c>
      <c r="D1190" s="607" t="s">
        <v>291</v>
      </c>
      <c r="E1190" s="690" t="s">
        <v>561</v>
      </c>
      <c r="F1190" s="690"/>
      <c r="G1190" s="609" t="s">
        <v>262</v>
      </c>
      <c r="H1190" s="610">
        <v>1</v>
      </c>
      <c r="I1190" s="611">
        <v>16.190000000000001</v>
      </c>
      <c r="J1190" s="611">
        <v>16.190000000000001</v>
      </c>
      <c r="K1190" s="546"/>
    </row>
    <row r="1191" spans="1:11" ht="50" x14ac:dyDescent="0.3">
      <c r="A1191" s="547" t="s">
        <v>430</v>
      </c>
      <c r="B1191" s="548" t="s">
        <v>1015</v>
      </c>
      <c r="C1191" s="547" t="s">
        <v>19</v>
      </c>
      <c r="D1191" s="547" t="s">
        <v>1016</v>
      </c>
      <c r="E1191" s="688" t="s">
        <v>461</v>
      </c>
      <c r="F1191" s="688"/>
      <c r="G1191" s="549" t="s">
        <v>95</v>
      </c>
      <c r="H1191" s="550">
        <v>4.5100000000000001E-2</v>
      </c>
      <c r="I1191" s="551">
        <v>261.58999999999997</v>
      </c>
      <c r="J1191" s="551">
        <v>11.79</v>
      </c>
      <c r="K1191" s="552"/>
    </row>
    <row r="1192" spans="1:11" s="89" customFormat="1" ht="50" x14ac:dyDescent="0.3">
      <c r="A1192" s="547" t="s">
        <v>430</v>
      </c>
      <c r="B1192" s="548" t="s">
        <v>1017</v>
      </c>
      <c r="C1192" s="547" t="s">
        <v>19</v>
      </c>
      <c r="D1192" s="547" t="s">
        <v>1018</v>
      </c>
      <c r="E1192" s="688" t="s">
        <v>461</v>
      </c>
      <c r="F1192" s="688"/>
      <c r="G1192" s="549" t="s">
        <v>102</v>
      </c>
      <c r="H1192" s="550">
        <v>1.9300000000000001E-2</v>
      </c>
      <c r="I1192" s="551">
        <v>72.45</v>
      </c>
      <c r="J1192" s="551">
        <v>1.39</v>
      </c>
      <c r="K1192" s="546"/>
    </row>
    <row r="1193" spans="1:11" s="89" customFormat="1" ht="38.25" customHeight="1" thickBot="1" x14ac:dyDescent="0.35">
      <c r="A1193" s="547" t="s">
        <v>430</v>
      </c>
      <c r="B1193" s="548" t="s">
        <v>559</v>
      </c>
      <c r="C1193" s="547" t="s">
        <v>19</v>
      </c>
      <c r="D1193" s="547" t="s">
        <v>560</v>
      </c>
      <c r="E1193" s="688" t="s">
        <v>429</v>
      </c>
      <c r="F1193" s="688"/>
      <c r="G1193" s="549" t="s">
        <v>423</v>
      </c>
      <c r="H1193" s="550">
        <v>0.12889999999999999</v>
      </c>
      <c r="I1193" s="551">
        <v>23.4</v>
      </c>
      <c r="J1193" s="551">
        <v>3.01</v>
      </c>
      <c r="K1193" s="546"/>
    </row>
    <row r="1194" spans="1:11" s="89" customFormat="1" ht="14.5" thickTop="1" x14ac:dyDescent="0.3">
      <c r="A1194" s="562"/>
      <c r="B1194" s="562"/>
      <c r="C1194" s="562"/>
      <c r="D1194" s="562"/>
      <c r="E1194" s="562"/>
      <c r="F1194" s="562"/>
      <c r="G1194" s="562"/>
      <c r="H1194" s="562"/>
      <c r="I1194" s="562"/>
      <c r="J1194" s="562"/>
      <c r="K1194" s="546"/>
    </row>
    <row r="1195" spans="1:11" x14ac:dyDescent="0.3">
      <c r="A1195" s="553"/>
      <c r="B1195" s="554" t="s">
        <v>4</v>
      </c>
      <c r="C1195" s="553" t="s">
        <v>5</v>
      </c>
      <c r="D1195" s="553" t="s">
        <v>6</v>
      </c>
      <c r="E1195" s="691" t="s">
        <v>427</v>
      </c>
      <c r="F1195" s="691"/>
      <c r="G1195" s="555" t="s">
        <v>7</v>
      </c>
      <c r="H1195" s="554" t="s">
        <v>8</v>
      </c>
      <c r="I1195" s="554" t="s">
        <v>9</v>
      </c>
      <c r="J1195" s="554" t="s">
        <v>11</v>
      </c>
      <c r="K1195" s="552"/>
    </row>
    <row r="1196" spans="1:11" s="89" customFormat="1" ht="15.75" customHeight="1" x14ac:dyDescent="0.3">
      <c r="A1196" s="607" t="s">
        <v>428</v>
      </c>
      <c r="B1196" s="608" t="s">
        <v>292</v>
      </c>
      <c r="C1196" s="607" t="s">
        <v>293</v>
      </c>
      <c r="D1196" s="607" t="s">
        <v>356</v>
      </c>
      <c r="E1196" s="690" t="s">
        <v>1019</v>
      </c>
      <c r="F1196" s="690"/>
      <c r="G1196" s="609" t="s">
        <v>262</v>
      </c>
      <c r="H1196" s="610">
        <v>1</v>
      </c>
      <c r="I1196" s="611">
        <v>94.99</v>
      </c>
      <c r="J1196" s="611">
        <v>94.99</v>
      </c>
      <c r="K1196" s="546"/>
    </row>
    <row r="1197" spans="1:11" ht="14.25" customHeight="1" x14ac:dyDescent="0.3">
      <c r="A1197" s="547" t="s">
        <v>430</v>
      </c>
      <c r="B1197" s="548" t="s">
        <v>559</v>
      </c>
      <c r="C1197" s="547" t="s">
        <v>19</v>
      </c>
      <c r="D1197" s="547" t="s">
        <v>560</v>
      </c>
      <c r="E1197" s="688" t="s">
        <v>429</v>
      </c>
      <c r="F1197" s="688"/>
      <c r="G1197" s="549" t="s">
        <v>423</v>
      </c>
      <c r="H1197" s="550">
        <v>0.4</v>
      </c>
      <c r="I1197" s="551">
        <v>23.4</v>
      </c>
      <c r="J1197" s="551">
        <v>9.36</v>
      </c>
      <c r="K1197" s="552"/>
    </row>
    <row r="1198" spans="1:11" s="89" customFormat="1" ht="39" customHeight="1" thickBot="1" x14ac:dyDescent="0.35">
      <c r="A1198" s="547" t="s">
        <v>430</v>
      </c>
      <c r="B1198" s="548" t="s">
        <v>1020</v>
      </c>
      <c r="C1198" s="547" t="s">
        <v>19</v>
      </c>
      <c r="D1198" s="547" t="s">
        <v>1021</v>
      </c>
      <c r="E1198" s="688" t="s">
        <v>461</v>
      </c>
      <c r="F1198" s="688"/>
      <c r="G1198" s="549" t="s">
        <v>95</v>
      </c>
      <c r="H1198" s="550">
        <v>0.4</v>
      </c>
      <c r="I1198" s="551">
        <v>214.09</v>
      </c>
      <c r="J1198" s="551">
        <v>85.63</v>
      </c>
      <c r="K1198" s="546"/>
    </row>
    <row r="1199" spans="1:11" s="89" customFormat="1" ht="25.5" customHeight="1" thickTop="1" x14ac:dyDescent="0.3">
      <c r="A1199" s="562"/>
      <c r="B1199" s="562"/>
      <c r="C1199" s="562"/>
      <c r="D1199" s="562"/>
      <c r="E1199" s="562"/>
      <c r="F1199" s="562"/>
      <c r="G1199" s="562"/>
      <c r="H1199" s="562"/>
      <c r="I1199" s="562"/>
      <c r="J1199" s="562"/>
      <c r="K1199" s="546"/>
    </row>
    <row r="1200" spans="1:11" ht="14.25" customHeight="1" x14ac:dyDescent="0.3">
      <c r="A1200" s="553"/>
      <c r="B1200" s="554" t="s">
        <v>4</v>
      </c>
      <c r="C1200" s="553" t="s">
        <v>5</v>
      </c>
      <c r="D1200" s="553" t="s">
        <v>6</v>
      </c>
      <c r="E1200" s="691" t="s">
        <v>427</v>
      </c>
      <c r="F1200" s="691"/>
      <c r="G1200" s="555" t="s">
        <v>7</v>
      </c>
      <c r="H1200" s="554" t="s">
        <v>8</v>
      </c>
      <c r="I1200" s="554" t="s">
        <v>9</v>
      </c>
      <c r="J1200" s="554" t="s">
        <v>11</v>
      </c>
      <c r="K1200" s="552"/>
    </row>
    <row r="1201" spans="1:11" ht="39" customHeight="1" x14ac:dyDescent="0.3">
      <c r="A1201" s="607" t="s">
        <v>428</v>
      </c>
      <c r="B1201" s="608" t="s">
        <v>296</v>
      </c>
      <c r="C1201" s="607" t="s">
        <v>175</v>
      </c>
      <c r="D1201" s="607" t="s">
        <v>3877</v>
      </c>
      <c r="E1201" s="690" t="s">
        <v>402</v>
      </c>
      <c r="F1201" s="690"/>
      <c r="G1201" s="609" t="s">
        <v>81</v>
      </c>
      <c r="H1201" s="610">
        <v>1</v>
      </c>
      <c r="I1201" s="611">
        <v>7.15</v>
      </c>
      <c r="J1201" s="611">
        <v>7.15</v>
      </c>
      <c r="K1201" s="552"/>
    </row>
    <row r="1202" spans="1:11" s="89" customFormat="1" ht="38.25" customHeight="1" x14ac:dyDescent="0.3">
      <c r="A1202" s="547" t="s">
        <v>430</v>
      </c>
      <c r="B1202" s="548" t="s">
        <v>1026</v>
      </c>
      <c r="C1202" s="547" t="s">
        <v>19</v>
      </c>
      <c r="D1202" s="547" t="s">
        <v>1027</v>
      </c>
      <c r="E1202" s="688" t="s">
        <v>619</v>
      </c>
      <c r="F1202" s="688"/>
      <c r="G1202" s="549" t="s">
        <v>532</v>
      </c>
      <c r="H1202" s="550">
        <v>5.8609999999999999E-3</v>
      </c>
      <c r="I1202" s="551">
        <v>817.03</v>
      </c>
      <c r="J1202" s="551">
        <v>4.78</v>
      </c>
      <c r="K1202" s="546"/>
    </row>
    <row r="1203" spans="1:11" ht="14.25" customHeight="1" x14ac:dyDescent="0.3">
      <c r="A1203" s="547" t="s">
        <v>430</v>
      </c>
      <c r="B1203" s="548" t="s">
        <v>1024</v>
      </c>
      <c r="C1203" s="547" t="s">
        <v>19</v>
      </c>
      <c r="D1203" s="547" t="s">
        <v>1025</v>
      </c>
      <c r="E1203" s="688" t="s">
        <v>429</v>
      </c>
      <c r="F1203" s="688"/>
      <c r="G1203" s="549" t="s">
        <v>423</v>
      </c>
      <c r="H1203" s="550">
        <v>4.0000000000000001E-3</v>
      </c>
      <c r="I1203" s="551">
        <v>32.58</v>
      </c>
      <c r="J1203" s="551">
        <v>0.13</v>
      </c>
      <c r="K1203" s="552"/>
    </row>
    <row r="1204" spans="1:11" s="89" customFormat="1" ht="15" customHeight="1" x14ac:dyDescent="0.3">
      <c r="A1204" s="547" t="s">
        <v>430</v>
      </c>
      <c r="B1204" s="548" t="s">
        <v>760</v>
      </c>
      <c r="C1204" s="547" t="s">
        <v>19</v>
      </c>
      <c r="D1204" s="547" t="s">
        <v>761</v>
      </c>
      <c r="E1204" s="688" t="s">
        <v>429</v>
      </c>
      <c r="F1204" s="688"/>
      <c r="G1204" s="549" t="s">
        <v>423</v>
      </c>
      <c r="H1204" s="550">
        <v>7.4999999999999997E-3</v>
      </c>
      <c r="I1204" s="551">
        <v>31.1</v>
      </c>
      <c r="J1204" s="551">
        <v>0.23</v>
      </c>
      <c r="K1204" s="546"/>
    </row>
    <row r="1205" spans="1:11" ht="15" customHeight="1" x14ac:dyDescent="0.3">
      <c r="A1205" s="547" t="s">
        <v>430</v>
      </c>
      <c r="B1205" s="548" t="s">
        <v>1022</v>
      </c>
      <c r="C1205" s="547" t="s">
        <v>19</v>
      </c>
      <c r="D1205" s="547" t="s">
        <v>1023</v>
      </c>
      <c r="E1205" s="688" t="s">
        <v>429</v>
      </c>
      <c r="F1205" s="688"/>
      <c r="G1205" s="549" t="s">
        <v>423</v>
      </c>
      <c r="H1205" s="550">
        <v>2E-3</v>
      </c>
      <c r="I1205" s="551">
        <v>29.49</v>
      </c>
      <c r="J1205" s="551">
        <v>0.05</v>
      </c>
      <c r="K1205" s="552"/>
    </row>
    <row r="1206" spans="1:11" ht="14.25" customHeight="1" x14ac:dyDescent="0.3">
      <c r="A1206" s="547" t="s">
        <v>430</v>
      </c>
      <c r="B1206" s="548" t="s">
        <v>559</v>
      </c>
      <c r="C1206" s="547" t="s">
        <v>19</v>
      </c>
      <c r="D1206" s="547" t="s">
        <v>560</v>
      </c>
      <c r="E1206" s="688" t="s">
        <v>429</v>
      </c>
      <c r="F1206" s="688"/>
      <c r="G1206" s="549" t="s">
        <v>423</v>
      </c>
      <c r="H1206" s="550">
        <v>1.2500000000000001E-2</v>
      </c>
      <c r="I1206" s="551">
        <v>23.4</v>
      </c>
      <c r="J1206" s="551">
        <v>0.28999999999999998</v>
      </c>
      <c r="K1206" s="552"/>
    </row>
    <row r="1207" spans="1:11" ht="14.25" customHeight="1" x14ac:dyDescent="0.3">
      <c r="A1207" s="547" t="s">
        <v>433</v>
      </c>
      <c r="B1207" s="548" t="s">
        <v>3878</v>
      </c>
      <c r="C1207" s="547" t="s">
        <v>19</v>
      </c>
      <c r="D1207" s="547" t="s">
        <v>3879</v>
      </c>
      <c r="E1207" s="688" t="s">
        <v>438</v>
      </c>
      <c r="F1207" s="688"/>
      <c r="G1207" s="549" t="s">
        <v>424</v>
      </c>
      <c r="H1207" s="550">
        <v>6.2000000000000006E-2</v>
      </c>
      <c r="I1207" s="551">
        <v>10.46</v>
      </c>
      <c r="J1207" s="551">
        <v>0.64</v>
      </c>
      <c r="K1207" s="552"/>
    </row>
    <row r="1208" spans="1:11" ht="14.25" customHeight="1" x14ac:dyDescent="0.3">
      <c r="A1208" s="547" t="s">
        <v>433</v>
      </c>
      <c r="B1208" s="548" t="s">
        <v>624</v>
      </c>
      <c r="C1208" s="547" t="s">
        <v>19</v>
      </c>
      <c r="D1208" s="547" t="s">
        <v>625</v>
      </c>
      <c r="E1208" s="688" t="s">
        <v>438</v>
      </c>
      <c r="F1208" s="688"/>
      <c r="G1208" s="549" t="s">
        <v>173</v>
      </c>
      <c r="H1208" s="550">
        <v>7.0400000000000004E-2</v>
      </c>
      <c r="I1208" s="551">
        <v>7.78</v>
      </c>
      <c r="J1208" s="551">
        <v>0.54</v>
      </c>
      <c r="K1208" s="552"/>
    </row>
    <row r="1209" spans="1:11" ht="14.25" customHeight="1" x14ac:dyDescent="0.3">
      <c r="A1209" s="547" t="s">
        <v>433</v>
      </c>
      <c r="B1209" s="548" t="s">
        <v>1028</v>
      </c>
      <c r="C1209" s="547" t="s">
        <v>19</v>
      </c>
      <c r="D1209" s="547" t="s">
        <v>1029</v>
      </c>
      <c r="E1209" s="688" t="s">
        <v>438</v>
      </c>
      <c r="F1209" s="688"/>
      <c r="G1209" s="549" t="s">
        <v>81</v>
      </c>
      <c r="H1209" s="550">
        <v>0.04</v>
      </c>
      <c r="I1209" s="551">
        <v>5.04</v>
      </c>
      <c r="J1209" s="551">
        <v>0.2</v>
      </c>
      <c r="K1209" s="552"/>
    </row>
    <row r="1210" spans="1:11" ht="39" customHeight="1" thickBot="1" x14ac:dyDescent="0.35">
      <c r="A1210" s="547" t="s">
        <v>433</v>
      </c>
      <c r="B1210" s="548" t="s">
        <v>1030</v>
      </c>
      <c r="C1210" s="547" t="s">
        <v>19</v>
      </c>
      <c r="D1210" s="547" t="s">
        <v>1031</v>
      </c>
      <c r="E1210" s="688" t="s">
        <v>438</v>
      </c>
      <c r="F1210" s="688"/>
      <c r="G1210" s="549" t="s">
        <v>906</v>
      </c>
      <c r="H1210" s="550">
        <v>6.5000000000000006E-3</v>
      </c>
      <c r="I1210" s="551">
        <v>45.88</v>
      </c>
      <c r="J1210" s="551">
        <v>0.28999999999999998</v>
      </c>
      <c r="K1210" s="552"/>
    </row>
    <row r="1211" spans="1:11" ht="14.5" thickTop="1" x14ac:dyDescent="0.3">
      <c r="A1211" s="562"/>
      <c r="B1211" s="562"/>
      <c r="C1211" s="562"/>
      <c r="D1211" s="562"/>
      <c r="E1211" s="562"/>
      <c r="F1211" s="562"/>
      <c r="G1211" s="562"/>
      <c r="H1211" s="562"/>
      <c r="I1211" s="562"/>
      <c r="J1211" s="562"/>
      <c r="K1211" s="552"/>
    </row>
    <row r="1212" spans="1:11" x14ac:dyDescent="0.3">
      <c r="A1212" s="553"/>
      <c r="B1212" s="554" t="s">
        <v>4</v>
      </c>
      <c r="C1212" s="553" t="s">
        <v>5</v>
      </c>
      <c r="D1212" s="553" t="s">
        <v>6</v>
      </c>
      <c r="E1212" s="691" t="s">
        <v>427</v>
      </c>
      <c r="F1212" s="691"/>
      <c r="G1212" s="555" t="s">
        <v>7</v>
      </c>
      <c r="H1212" s="554" t="s">
        <v>8</v>
      </c>
      <c r="I1212" s="554" t="s">
        <v>9</v>
      </c>
      <c r="J1212" s="554" t="s">
        <v>11</v>
      </c>
      <c r="K1212" s="552"/>
    </row>
    <row r="1213" spans="1:11" ht="50" x14ac:dyDescent="0.3">
      <c r="A1213" s="607" t="s">
        <v>428</v>
      </c>
      <c r="B1213" s="608" t="s">
        <v>298</v>
      </c>
      <c r="C1213" s="607" t="s">
        <v>19</v>
      </c>
      <c r="D1213" s="607" t="s">
        <v>3812</v>
      </c>
      <c r="E1213" s="690" t="s">
        <v>709</v>
      </c>
      <c r="F1213" s="690"/>
      <c r="G1213" s="609" t="s">
        <v>532</v>
      </c>
      <c r="H1213" s="610">
        <v>1</v>
      </c>
      <c r="I1213" s="611">
        <v>13.71</v>
      </c>
      <c r="J1213" s="611">
        <v>13.71</v>
      </c>
      <c r="K1213" s="552"/>
    </row>
    <row r="1214" spans="1:11" ht="38.25" customHeight="1" x14ac:dyDescent="0.3">
      <c r="A1214" s="547" t="s">
        <v>430</v>
      </c>
      <c r="B1214" s="548" t="s">
        <v>562</v>
      </c>
      <c r="C1214" s="547" t="s">
        <v>19</v>
      </c>
      <c r="D1214" s="547" t="s">
        <v>563</v>
      </c>
      <c r="E1214" s="688" t="s">
        <v>461</v>
      </c>
      <c r="F1214" s="688"/>
      <c r="G1214" s="549" t="s">
        <v>95</v>
      </c>
      <c r="H1214" s="550">
        <v>4.3485900000000001E-2</v>
      </c>
      <c r="I1214" s="551">
        <v>204.43</v>
      </c>
      <c r="J1214" s="551">
        <v>8.8800000000000008</v>
      </c>
      <c r="K1214" s="552"/>
    </row>
    <row r="1215" spans="1:11" ht="14.25" customHeight="1" x14ac:dyDescent="0.3">
      <c r="A1215" s="547" t="s">
        <v>430</v>
      </c>
      <c r="B1215" s="548" t="s">
        <v>564</v>
      </c>
      <c r="C1215" s="547" t="s">
        <v>19</v>
      </c>
      <c r="D1215" s="547" t="s">
        <v>565</v>
      </c>
      <c r="E1215" s="688" t="s">
        <v>461</v>
      </c>
      <c r="F1215" s="688"/>
      <c r="G1215" s="549" t="s">
        <v>102</v>
      </c>
      <c r="H1215" s="550">
        <v>3.4254199999999999E-2</v>
      </c>
      <c r="I1215" s="551">
        <v>88.26</v>
      </c>
      <c r="J1215" s="551">
        <v>3.02</v>
      </c>
      <c r="K1215" s="552"/>
    </row>
    <row r="1216" spans="1:11" s="89" customFormat="1" ht="15" customHeight="1" thickBot="1" x14ac:dyDescent="0.35">
      <c r="A1216" s="547" t="s">
        <v>430</v>
      </c>
      <c r="B1216" s="548" t="s">
        <v>559</v>
      </c>
      <c r="C1216" s="547" t="s">
        <v>19</v>
      </c>
      <c r="D1216" s="547" t="s">
        <v>560</v>
      </c>
      <c r="E1216" s="688" t="s">
        <v>429</v>
      </c>
      <c r="F1216" s="688"/>
      <c r="G1216" s="549" t="s">
        <v>423</v>
      </c>
      <c r="H1216" s="550">
        <v>7.7740100000000006E-2</v>
      </c>
      <c r="I1216" s="551">
        <v>23.4</v>
      </c>
      <c r="J1216" s="551">
        <v>1.81</v>
      </c>
      <c r="K1216" s="546"/>
    </row>
    <row r="1217" spans="1:11" ht="38.25" customHeight="1" thickTop="1" x14ac:dyDescent="0.3">
      <c r="A1217" s="562"/>
      <c r="B1217" s="562"/>
      <c r="C1217" s="562"/>
      <c r="D1217" s="562"/>
      <c r="E1217" s="562"/>
      <c r="F1217" s="562"/>
      <c r="G1217" s="562"/>
      <c r="H1217" s="562"/>
      <c r="I1217" s="562"/>
      <c r="J1217" s="562"/>
      <c r="K1217" s="552"/>
    </row>
    <row r="1218" spans="1:11" ht="38.25" customHeight="1" x14ac:dyDescent="0.3">
      <c r="A1218" s="553"/>
      <c r="B1218" s="554" t="s">
        <v>4</v>
      </c>
      <c r="C1218" s="553" t="s">
        <v>5</v>
      </c>
      <c r="D1218" s="553" t="s">
        <v>6</v>
      </c>
      <c r="E1218" s="691" t="s">
        <v>427</v>
      </c>
      <c r="F1218" s="691"/>
      <c r="G1218" s="555" t="s">
        <v>7</v>
      </c>
      <c r="H1218" s="554" t="s">
        <v>8</v>
      </c>
      <c r="I1218" s="554" t="s">
        <v>9</v>
      </c>
      <c r="J1218" s="554" t="s">
        <v>11</v>
      </c>
      <c r="K1218" s="552"/>
    </row>
    <row r="1219" spans="1:11" s="89" customFormat="1" ht="15.75" customHeight="1" x14ac:dyDescent="0.3">
      <c r="A1219" s="607" t="s">
        <v>428</v>
      </c>
      <c r="B1219" s="608" t="s">
        <v>214</v>
      </c>
      <c r="C1219" s="607" t="s">
        <v>19</v>
      </c>
      <c r="D1219" s="607" t="s">
        <v>3789</v>
      </c>
      <c r="E1219" s="690" t="s">
        <v>709</v>
      </c>
      <c r="F1219" s="690"/>
      <c r="G1219" s="609" t="s">
        <v>532</v>
      </c>
      <c r="H1219" s="610">
        <v>1</v>
      </c>
      <c r="I1219" s="611">
        <v>12.18</v>
      </c>
      <c r="J1219" s="611">
        <v>12.18</v>
      </c>
      <c r="K1219" s="546"/>
    </row>
    <row r="1220" spans="1:11" s="89" customFormat="1" ht="38.25" customHeight="1" x14ac:dyDescent="0.3">
      <c r="A1220" s="547" t="s">
        <v>430</v>
      </c>
      <c r="B1220" s="548" t="s">
        <v>562</v>
      </c>
      <c r="C1220" s="547" t="s">
        <v>19</v>
      </c>
      <c r="D1220" s="547" t="s">
        <v>563</v>
      </c>
      <c r="E1220" s="688" t="s">
        <v>461</v>
      </c>
      <c r="F1220" s="688"/>
      <c r="G1220" s="549" t="s">
        <v>95</v>
      </c>
      <c r="H1220" s="550">
        <v>3.8626899999999999E-2</v>
      </c>
      <c r="I1220" s="551">
        <v>204.43</v>
      </c>
      <c r="J1220" s="551">
        <v>7.89</v>
      </c>
      <c r="K1220" s="546"/>
    </row>
    <row r="1221" spans="1:11" ht="38.25" customHeight="1" x14ac:dyDescent="0.3">
      <c r="A1221" s="547" t="s">
        <v>430</v>
      </c>
      <c r="B1221" s="548" t="s">
        <v>564</v>
      </c>
      <c r="C1221" s="547" t="s">
        <v>19</v>
      </c>
      <c r="D1221" s="547" t="s">
        <v>565</v>
      </c>
      <c r="E1221" s="688" t="s">
        <v>461</v>
      </c>
      <c r="F1221" s="688"/>
      <c r="G1221" s="549" t="s">
        <v>102</v>
      </c>
      <c r="H1221" s="550">
        <v>3.04268E-2</v>
      </c>
      <c r="I1221" s="551">
        <v>88.26</v>
      </c>
      <c r="J1221" s="551">
        <v>2.68</v>
      </c>
      <c r="K1221" s="552"/>
    </row>
    <row r="1222" spans="1:11" s="89" customFormat="1" ht="15.75" customHeight="1" thickBot="1" x14ac:dyDescent="0.35">
      <c r="A1222" s="547" t="s">
        <v>430</v>
      </c>
      <c r="B1222" s="548" t="s">
        <v>559</v>
      </c>
      <c r="C1222" s="547" t="s">
        <v>19</v>
      </c>
      <c r="D1222" s="547" t="s">
        <v>560</v>
      </c>
      <c r="E1222" s="688" t="s">
        <v>429</v>
      </c>
      <c r="F1222" s="688"/>
      <c r="G1222" s="549" t="s">
        <v>423</v>
      </c>
      <c r="H1222" s="550">
        <v>6.9053699999999996E-2</v>
      </c>
      <c r="I1222" s="551">
        <v>23.4</v>
      </c>
      <c r="J1222" s="551">
        <v>1.61</v>
      </c>
      <c r="K1222" s="546"/>
    </row>
    <row r="1223" spans="1:11" ht="38.25" customHeight="1" thickTop="1" x14ac:dyDescent="0.3">
      <c r="A1223" s="562"/>
      <c r="B1223" s="562"/>
      <c r="C1223" s="562"/>
      <c r="D1223" s="562"/>
      <c r="E1223" s="562"/>
      <c r="F1223" s="562"/>
      <c r="G1223" s="562"/>
      <c r="H1223" s="562"/>
      <c r="I1223" s="562"/>
      <c r="J1223" s="562"/>
      <c r="K1223" s="552"/>
    </row>
    <row r="1224" spans="1:11" ht="38.25" customHeight="1" x14ac:dyDescent="0.3">
      <c r="A1224" s="553"/>
      <c r="B1224" s="554" t="s">
        <v>4</v>
      </c>
      <c r="C1224" s="553" t="s">
        <v>5</v>
      </c>
      <c r="D1224" s="553" t="s">
        <v>6</v>
      </c>
      <c r="E1224" s="691" t="s">
        <v>427</v>
      </c>
      <c r="F1224" s="691"/>
      <c r="G1224" s="555" t="s">
        <v>7</v>
      </c>
      <c r="H1224" s="554" t="s">
        <v>8</v>
      </c>
      <c r="I1224" s="554" t="s">
        <v>9</v>
      </c>
      <c r="J1224" s="554" t="s">
        <v>11</v>
      </c>
      <c r="K1224" s="552"/>
    </row>
    <row r="1225" spans="1:11" ht="15" customHeight="1" x14ac:dyDescent="0.3">
      <c r="A1225" s="607" t="s">
        <v>428</v>
      </c>
      <c r="B1225" s="608" t="s">
        <v>215</v>
      </c>
      <c r="C1225" s="607" t="s">
        <v>19</v>
      </c>
      <c r="D1225" s="607" t="s">
        <v>3790</v>
      </c>
      <c r="E1225" s="690" t="s">
        <v>709</v>
      </c>
      <c r="F1225" s="690"/>
      <c r="G1225" s="609" t="s">
        <v>532</v>
      </c>
      <c r="H1225" s="610">
        <v>1</v>
      </c>
      <c r="I1225" s="611">
        <v>11.39</v>
      </c>
      <c r="J1225" s="611">
        <v>11.39</v>
      </c>
      <c r="K1225" s="552"/>
    </row>
    <row r="1226" spans="1:11" s="89" customFormat="1" ht="38.25" customHeight="1" x14ac:dyDescent="0.3">
      <c r="A1226" s="547" t="s">
        <v>430</v>
      </c>
      <c r="B1226" s="548" t="s">
        <v>559</v>
      </c>
      <c r="C1226" s="547" t="s">
        <v>19</v>
      </c>
      <c r="D1226" s="547" t="s">
        <v>560</v>
      </c>
      <c r="E1226" s="688" t="s">
        <v>429</v>
      </c>
      <c r="F1226" s="688"/>
      <c r="G1226" s="549" t="s">
        <v>423</v>
      </c>
      <c r="H1226" s="550">
        <v>5.6591500000000003E-2</v>
      </c>
      <c r="I1226" s="551">
        <v>23.4</v>
      </c>
      <c r="J1226" s="551">
        <v>1.32</v>
      </c>
      <c r="K1226" s="546"/>
    </row>
    <row r="1227" spans="1:11" ht="38.25" customHeight="1" x14ac:dyDescent="0.3">
      <c r="A1227" s="547" t="s">
        <v>430</v>
      </c>
      <c r="B1227" s="548" t="s">
        <v>595</v>
      </c>
      <c r="C1227" s="547" t="s">
        <v>19</v>
      </c>
      <c r="D1227" s="547" t="s">
        <v>596</v>
      </c>
      <c r="E1227" s="688" t="s">
        <v>461</v>
      </c>
      <c r="F1227" s="688"/>
      <c r="G1227" s="549" t="s">
        <v>95</v>
      </c>
      <c r="H1227" s="550">
        <v>3.1655900000000001E-2</v>
      </c>
      <c r="I1227" s="551">
        <v>242.79</v>
      </c>
      <c r="J1227" s="551">
        <v>7.68</v>
      </c>
      <c r="K1227" s="552"/>
    </row>
    <row r="1228" spans="1:11" s="89" customFormat="1" ht="15.75" customHeight="1" thickBot="1" x14ac:dyDescent="0.35">
      <c r="A1228" s="547" t="s">
        <v>430</v>
      </c>
      <c r="B1228" s="548" t="s">
        <v>597</v>
      </c>
      <c r="C1228" s="547" t="s">
        <v>19</v>
      </c>
      <c r="D1228" s="547" t="s">
        <v>598</v>
      </c>
      <c r="E1228" s="688" t="s">
        <v>461</v>
      </c>
      <c r="F1228" s="688"/>
      <c r="G1228" s="549" t="s">
        <v>102</v>
      </c>
      <c r="H1228" s="550">
        <v>2.4935599999999999E-2</v>
      </c>
      <c r="I1228" s="551">
        <v>95.97</v>
      </c>
      <c r="J1228" s="551">
        <v>2.39</v>
      </c>
      <c r="K1228" s="546"/>
    </row>
    <row r="1229" spans="1:11" ht="14.25" customHeight="1" thickTop="1" x14ac:dyDescent="0.3">
      <c r="A1229" s="562"/>
      <c r="B1229" s="562"/>
      <c r="C1229" s="562"/>
      <c r="D1229" s="562"/>
      <c r="E1229" s="562"/>
      <c r="F1229" s="562"/>
      <c r="G1229" s="562"/>
      <c r="H1229" s="562"/>
      <c r="I1229" s="562"/>
      <c r="J1229" s="562"/>
      <c r="K1229" s="552"/>
    </row>
    <row r="1230" spans="1:11" s="89" customFormat="1" ht="38.25" customHeight="1" x14ac:dyDescent="0.3">
      <c r="A1230" s="553"/>
      <c r="B1230" s="554" t="s">
        <v>4</v>
      </c>
      <c r="C1230" s="553" t="s">
        <v>5</v>
      </c>
      <c r="D1230" s="553" t="s">
        <v>6</v>
      </c>
      <c r="E1230" s="691" t="s">
        <v>427</v>
      </c>
      <c r="F1230" s="691"/>
      <c r="G1230" s="555" t="s">
        <v>7</v>
      </c>
      <c r="H1230" s="554" t="s">
        <v>8</v>
      </c>
      <c r="I1230" s="554" t="s">
        <v>9</v>
      </c>
      <c r="J1230" s="554" t="s">
        <v>11</v>
      </c>
      <c r="K1230" s="546"/>
    </row>
    <row r="1231" spans="1:11" ht="39" customHeight="1" x14ac:dyDescent="0.3">
      <c r="A1231" s="607" t="s">
        <v>428</v>
      </c>
      <c r="B1231" s="608" t="s">
        <v>301</v>
      </c>
      <c r="C1231" s="607" t="s">
        <v>19</v>
      </c>
      <c r="D1231" s="607" t="s">
        <v>3814</v>
      </c>
      <c r="E1231" s="690" t="s">
        <v>709</v>
      </c>
      <c r="F1231" s="690"/>
      <c r="G1231" s="609" t="s">
        <v>532</v>
      </c>
      <c r="H1231" s="610">
        <v>1</v>
      </c>
      <c r="I1231" s="611">
        <v>8.5299999999999994</v>
      </c>
      <c r="J1231" s="611">
        <v>8.5299999999999994</v>
      </c>
      <c r="K1231" s="552"/>
    </row>
    <row r="1232" spans="1:11" ht="38.25" customHeight="1" x14ac:dyDescent="0.3">
      <c r="A1232" s="547" t="s">
        <v>430</v>
      </c>
      <c r="B1232" s="548" t="s">
        <v>562</v>
      </c>
      <c r="C1232" s="547" t="s">
        <v>19</v>
      </c>
      <c r="D1232" s="547" t="s">
        <v>563</v>
      </c>
      <c r="E1232" s="688" t="s">
        <v>461</v>
      </c>
      <c r="F1232" s="688"/>
      <c r="G1232" s="549" t="s">
        <v>95</v>
      </c>
      <c r="H1232" s="550">
        <v>2.7050399999999999E-2</v>
      </c>
      <c r="I1232" s="551">
        <v>204.43</v>
      </c>
      <c r="J1232" s="551">
        <v>5.52</v>
      </c>
      <c r="K1232" s="552"/>
    </row>
    <row r="1233" spans="1:11" s="89" customFormat="1" ht="38.25" customHeight="1" x14ac:dyDescent="0.3">
      <c r="A1233" s="547" t="s">
        <v>430</v>
      </c>
      <c r="B1233" s="548" t="s">
        <v>564</v>
      </c>
      <c r="C1233" s="547" t="s">
        <v>19</v>
      </c>
      <c r="D1233" s="547" t="s">
        <v>565</v>
      </c>
      <c r="E1233" s="688" t="s">
        <v>461</v>
      </c>
      <c r="F1233" s="688"/>
      <c r="G1233" s="549" t="s">
        <v>102</v>
      </c>
      <c r="H1233" s="550">
        <v>2.1307900000000001E-2</v>
      </c>
      <c r="I1233" s="551">
        <v>88.26</v>
      </c>
      <c r="J1233" s="551">
        <v>1.88</v>
      </c>
      <c r="K1233" s="546"/>
    </row>
    <row r="1234" spans="1:11" s="89" customFormat="1" ht="15.75" customHeight="1" thickBot="1" x14ac:dyDescent="0.35">
      <c r="A1234" s="547" t="s">
        <v>430</v>
      </c>
      <c r="B1234" s="548" t="s">
        <v>559</v>
      </c>
      <c r="C1234" s="547" t="s">
        <v>19</v>
      </c>
      <c r="D1234" s="547" t="s">
        <v>560</v>
      </c>
      <c r="E1234" s="688" t="s">
        <v>429</v>
      </c>
      <c r="F1234" s="688"/>
      <c r="G1234" s="549" t="s">
        <v>423</v>
      </c>
      <c r="H1234" s="550">
        <v>4.83583E-2</v>
      </c>
      <c r="I1234" s="551">
        <v>23.4</v>
      </c>
      <c r="J1234" s="551">
        <v>1.1299999999999999</v>
      </c>
      <c r="K1234" s="546"/>
    </row>
    <row r="1235" spans="1:11" s="89" customFormat="1" ht="38.25" customHeight="1" thickTop="1" x14ac:dyDescent="0.3">
      <c r="A1235" s="562"/>
      <c r="B1235" s="562"/>
      <c r="C1235" s="562"/>
      <c r="D1235" s="562"/>
      <c r="E1235" s="562"/>
      <c r="F1235" s="562"/>
      <c r="G1235" s="562"/>
      <c r="H1235" s="562"/>
      <c r="I1235" s="562"/>
      <c r="J1235" s="562"/>
      <c r="K1235" s="546"/>
    </row>
    <row r="1236" spans="1:11" ht="38.25" customHeight="1" x14ac:dyDescent="0.3">
      <c r="A1236" s="553"/>
      <c r="B1236" s="554" t="s">
        <v>4</v>
      </c>
      <c r="C1236" s="553" t="s">
        <v>5</v>
      </c>
      <c r="D1236" s="553" t="s">
        <v>6</v>
      </c>
      <c r="E1236" s="691" t="s">
        <v>427</v>
      </c>
      <c r="F1236" s="691"/>
      <c r="G1236" s="555" t="s">
        <v>7</v>
      </c>
      <c r="H1236" s="554" t="s">
        <v>8</v>
      </c>
      <c r="I1236" s="554" t="s">
        <v>9</v>
      </c>
      <c r="J1236" s="554" t="s">
        <v>11</v>
      </c>
      <c r="K1236" s="552"/>
    </row>
    <row r="1237" spans="1:11" ht="15" customHeight="1" x14ac:dyDescent="0.3">
      <c r="A1237" s="607" t="s">
        <v>428</v>
      </c>
      <c r="B1237" s="608" t="s">
        <v>302</v>
      </c>
      <c r="C1237" s="607" t="s">
        <v>196</v>
      </c>
      <c r="D1237" s="607" t="s">
        <v>3815</v>
      </c>
      <c r="E1237" s="690">
        <v>793</v>
      </c>
      <c r="F1237" s="690"/>
      <c r="G1237" s="609" t="s">
        <v>556</v>
      </c>
      <c r="H1237" s="610">
        <v>1</v>
      </c>
      <c r="I1237" s="611">
        <v>14.37</v>
      </c>
      <c r="J1237" s="611">
        <v>14.37</v>
      </c>
      <c r="K1237" s="552"/>
    </row>
    <row r="1238" spans="1:11" s="89" customFormat="1" ht="15" customHeight="1" x14ac:dyDescent="0.3">
      <c r="A1238" s="547" t="s">
        <v>430</v>
      </c>
      <c r="B1238" s="548" t="s">
        <v>1032</v>
      </c>
      <c r="C1238" s="547" t="s">
        <v>196</v>
      </c>
      <c r="D1238" s="547" t="s">
        <v>3873</v>
      </c>
      <c r="E1238" s="688">
        <v>9</v>
      </c>
      <c r="F1238" s="688"/>
      <c r="G1238" s="549" t="s">
        <v>81</v>
      </c>
      <c r="H1238" s="550">
        <v>1E-4</v>
      </c>
      <c r="I1238" s="551">
        <v>53811.75</v>
      </c>
      <c r="J1238" s="551">
        <v>5.38</v>
      </c>
      <c r="K1238" s="546"/>
    </row>
    <row r="1239" spans="1:11" ht="38.25" customHeight="1" x14ac:dyDescent="0.3">
      <c r="A1239" s="547" t="s">
        <v>430</v>
      </c>
      <c r="B1239" s="548" t="s">
        <v>559</v>
      </c>
      <c r="C1239" s="547" t="s">
        <v>19</v>
      </c>
      <c r="D1239" s="547" t="s">
        <v>560</v>
      </c>
      <c r="E1239" s="688" t="s">
        <v>429</v>
      </c>
      <c r="F1239" s="688"/>
      <c r="G1239" s="549" t="s">
        <v>423</v>
      </c>
      <c r="H1239" s="550">
        <v>0.16</v>
      </c>
      <c r="I1239" s="551">
        <v>23.4</v>
      </c>
      <c r="J1239" s="551">
        <v>3.74</v>
      </c>
      <c r="K1239" s="552"/>
    </row>
    <row r="1240" spans="1:11" s="89" customFormat="1" ht="39" customHeight="1" x14ac:dyDescent="0.3">
      <c r="A1240" s="547" t="s">
        <v>430</v>
      </c>
      <c r="B1240" s="548" t="s">
        <v>562</v>
      </c>
      <c r="C1240" s="547" t="s">
        <v>19</v>
      </c>
      <c r="D1240" s="547" t="s">
        <v>563</v>
      </c>
      <c r="E1240" s="688" t="s">
        <v>461</v>
      </c>
      <c r="F1240" s="688"/>
      <c r="G1240" s="549" t="s">
        <v>95</v>
      </c>
      <c r="H1240" s="550">
        <v>1.7999999999999999E-2</v>
      </c>
      <c r="I1240" s="551">
        <v>204.43</v>
      </c>
      <c r="J1240" s="551">
        <v>3.67</v>
      </c>
      <c r="K1240" s="546"/>
    </row>
    <row r="1241" spans="1:11" ht="39" customHeight="1" thickBot="1" x14ac:dyDescent="0.35">
      <c r="A1241" s="547" t="s">
        <v>430</v>
      </c>
      <c r="B1241" s="548" t="s">
        <v>564</v>
      </c>
      <c r="C1241" s="547" t="s">
        <v>19</v>
      </c>
      <c r="D1241" s="547" t="s">
        <v>565</v>
      </c>
      <c r="E1241" s="688" t="s">
        <v>461</v>
      </c>
      <c r="F1241" s="688"/>
      <c r="G1241" s="549" t="s">
        <v>102</v>
      </c>
      <c r="H1241" s="550">
        <v>1.7999999999999999E-2</v>
      </c>
      <c r="I1241" s="551">
        <v>88.26</v>
      </c>
      <c r="J1241" s="551">
        <v>1.58</v>
      </c>
      <c r="K1241" s="552"/>
    </row>
    <row r="1242" spans="1:11" ht="14.25" customHeight="1" thickTop="1" x14ac:dyDescent="0.3">
      <c r="A1242" s="562"/>
      <c r="B1242" s="562"/>
      <c r="C1242" s="562"/>
      <c r="D1242" s="562"/>
      <c r="E1242" s="562"/>
      <c r="F1242" s="562"/>
      <c r="G1242" s="562"/>
      <c r="H1242" s="562"/>
      <c r="I1242" s="562"/>
      <c r="J1242" s="562"/>
      <c r="K1242" s="552"/>
    </row>
    <row r="1243" spans="1:11" ht="38.25" customHeight="1" x14ac:dyDescent="0.3">
      <c r="A1243" s="553"/>
      <c r="B1243" s="554" t="s">
        <v>4</v>
      </c>
      <c r="C1243" s="553" t="s">
        <v>5</v>
      </c>
      <c r="D1243" s="553" t="s">
        <v>6</v>
      </c>
      <c r="E1243" s="691" t="s">
        <v>427</v>
      </c>
      <c r="F1243" s="691"/>
      <c r="G1243" s="555" t="s">
        <v>7</v>
      </c>
      <c r="H1243" s="554" t="s">
        <v>8</v>
      </c>
      <c r="I1243" s="554" t="s">
        <v>9</v>
      </c>
      <c r="J1243" s="554" t="s">
        <v>11</v>
      </c>
      <c r="K1243" s="552"/>
    </row>
    <row r="1244" spans="1:11" ht="39" customHeight="1" x14ac:dyDescent="0.3">
      <c r="A1244" s="607" t="s">
        <v>428</v>
      </c>
      <c r="B1244" s="608" t="s">
        <v>303</v>
      </c>
      <c r="C1244" s="607" t="s">
        <v>19</v>
      </c>
      <c r="D1244" s="607" t="s">
        <v>3816</v>
      </c>
      <c r="E1244" s="690" t="s">
        <v>1033</v>
      </c>
      <c r="F1244" s="690"/>
      <c r="G1244" s="609" t="s">
        <v>173</v>
      </c>
      <c r="H1244" s="610">
        <v>1</v>
      </c>
      <c r="I1244" s="611">
        <v>77.209999999999994</v>
      </c>
      <c r="J1244" s="611">
        <v>77.209999999999994</v>
      </c>
      <c r="K1244" s="552"/>
    </row>
    <row r="1245" spans="1:11" ht="38.25" customHeight="1" x14ac:dyDescent="0.3">
      <c r="A1245" s="547" t="s">
        <v>430</v>
      </c>
      <c r="B1245" s="548" t="s">
        <v>760</v>
      </c>
      <c r="C1245" s="547" t="s">
        <v>19</v>
      </c>
      <c r="D1245" s="547" t="s">
        <v>761</v>
      </c>
      <c r="E1245" s="688" t="s">
        <v>429</v>
      </c>
      <c r="F1245" s="688"/>
      <c r="G1245" s="549" t="s">
        <v>423</v>
      </c>
      <c r="H1245" s="550">
        <v>0.35149999999999998</v>
      </c>
      <c r="I1245" s="551">
        <v>31.1</v>
      </c>
      <c r="J1245" s="551">
        <v>10.93</v>
      </c>
      <c r="K1245" s="552"/>
    </row>
    <row r="1246" spans="1:11" s="89" customFormat="1" ht="15.75" customHeight="1" x14ac:dyDescent="0.3">
      <c r="A1246" s="547" t="s">
        <v>430</v>
      </c>
      <c r="B1246" s="548" t="s">
        <v>559</v>
      </c>
      <c r="C1246" s="547" t="s">
        <v>19</v>
      </c>
      <c r="D1246" s="547" t="s">
        <v>560</v>
      </c>
      <c r="E1246" s="688" t="s">
        <v>429</v>
      </c>
      <c r="F1246" s="688"/>
      <c r="G1246" s="549" t="s">
        <v>423</v>
      </c>
      <c r="H1246" s="550">
        <v>0.35149999999999998</v>
      </c>
      <c r="I1246" s="551">
        <v>23.4</v>
      </c>
      <c r="J1246" s="551">
        <v>8.2200000000000006</v>
      </c>
      <c r="K1246" s="546"/>
    </row>
    <row r="1247" spans="1:11" s="89" customFormat="1" ht="25.5" customHeight="1" x14ac:dyDescent="0.3">
      <c r="A1247" s="547" t="s">
        <v>433</v>
      </c>
      <c r="B1247" s="548" t="s">
        <v>820</v>
      </c>
      <c r="C1247" s="547" t="s">
        <v>115</v>
      </c>
      <c r="D1247" s="547" t="s">
        <v>821</v>
      </c>
      <c r="E1247" s="688" t="s">
        <v>438</v>
      </c>
      <c r="F1247" s="688"/>
      <c r="G1247" s="549" t="s">
        <v>532</v>
      </c>
      <c r="H1247" s="550">
        <v>1.9800000000000002E-2</v>
      </c>
      <c r="I1247" s="551">
        <v>149.36019999999999</v>
      </c>
      <c r="J1247" s="551">
        <v>2.95</v>
      </c>
      <c r="K1247" s="546"/>
    </row>
    <row r="1248" spans="1:11" ht="14.25" customHeight="1" x14ac:dyDescent="0.3">
      <c r="A1248" s="547" t="s">
        <v>433</v>
      </c>
      <c r="B1248" s="548" t="s">
        <v>916</v>
      </c>
      <c r="C1248" s="547" t="s">
        <v>19</v>
      </c>
      <c r="D1248" s="547" t="s">
        <v>917</v>
      </c>
      <c r="E1248" s="688" t="s">
        <v>438</v>
      </c>
      <c r="F1248" s="688"/>
      <c r="G1248" s="549" t="s">
        <v>173</v>
      </c>
      <c r="H1248" s="550">
        <v>0.2</v>
      </c>
      <c r="I1248" s="551">
        <v>2.72</v>
      </c>
      <c r="J1248" s="551">
        <v>0.54</v>
      </c>
      <c r="K1248" s="552"/>
    </row>
    <row r="1249" spans="1:11" ht="14.25" customHeight="1" x14ac:dyDescent="0.3">
      <c r="A1249" s="547" t="s">
        <v>433</v>
      </c>
      <c r="B1249" s="548" t="s">
        <v>3839</v>
      </c>
      <c r="C1249" s="547" t="s">
        <v>19</v>
      </c>
      <c r="D1249" s="547" t="s">
        <v>3840</v>
      </c>
      <c r="E1249" s="688" t="s">
        <v>438</v>
      </c>
      <c r="F1249" s="688"/>
      <c r="G1249" s="549" t="s">
        <v>173</v>
      </c>
      <c r="H1249" s="550">
        <v>0.125</v>
      </c>
      <c r="I1249" s="551">
        <v>12.9</v>
      </c>
      <c r="J1249" s="551">
        <v>1.61</v>
      </c>
      <c r="K1249" s="552"/>
    </row>
    <row r="1250" spans="1:11" s="89" customFormat="1" ht="38" thickBot="1" x14ac:dyDescent="0.35">
      <c r="A1250" s="547" t="s">
        <v>433</v>
      </c>
      <c r="B1250" s="548" t="s">
        <v>752</v>
      </c>
      <c r="C1250" s="547" t="s">
        <v>19</v>
      </c>
      <c r="D1250" s="547" t="s">
        <v>753</v>
      </c>
      <c r="E1250" s="688" t="s">
        <v>438</v>
      </c>
      <c r="F1250" s="688"/>
      <c r="G1250" s="549" t="s">
        <v>532</v>
      </c>
      <c r="H1250" s="550">
        <v>0.11269999999999999</v>
      </c>
      <c r="I1250" s="551">
        <v>470</v>
      </c>
      <c r="J1250" s="551">
        <v>52.96</v>
      </c>
      <c r="K1250" s="546"/>
    </row>
    <row r="1251" spans="1:11" ht="14.25" customHeight="1" thickTop="1" x14ac:dyDescent="0.3">
      <c r="A1251" s="562"/>
      <c r="B1251" s="562"/>
      <c r="C1251" s="562"/>
      <c r="D1251" s="562"/>
      <c r="E1251" s="562"/>
      <c r="F1251" s="562"/>
      <c r="G1251" s="562"/>
      <c r="H1251" s="562"/>
      <c r="I1251" s="562"/>
      <c r="J1251" s="562"/>
      <c r="K1251" s="552"/>
    </row>
    <row r="1252" spans="1:11" s="89" customFormat="1" ht="38.25" customHeight="1" x14ac:dyDescent="0.3">
      <c r="A1252" s="553"/>
      <c r="B1252" s="554" t="s">
        <v>4</v>
      </c>
      <c r="C1252" s="553" t="s">
        <v>5</v>
      </c>
      <c r="D1252" s="553" t="s">
        <v>6</v>
      </c>
      <c r="E1252" s="691" t="s">
        <v>427</v>
      </c>
      <c r="F1252" s="691"/>
      <c r="G1252" s="555" t="s">
        <v>7</v>
      </c>
      <c r="H1252" s="554" t="s">
        <v>8</v>
      </c>
      <c r="I1252" s="554" t="s">
        <v>9</v>
      </c>
      <c r="J1252" s="554" t="s">
        <v>11</v>
      </c>
      <c r="K1252" s="546"/>
    </row>
    <row r="1253" spans="1:11" ht="39" customHeight="1" x14ac:dyDescent="0.3">
      <c r="A1253" s="607" t="s">
        <v>428</v>
      </c>
      <c r="B1253" s="608" t="s">
        <v>304</v>
      </c>
      <c r="C1253" s="607" t="s">
        <v>115</v>
      </c>
      <c r="D1253" s="607" t="s">
        <v>1034</v>
      </c>
      <c r="E1253" s="690" t="s">
        <v>402</v>
      </c>
      <c r="F1253" s="690"/>
      <c r="G1253" s="609" t="s">
        <v>655</v>
      </c>
      <c r="H1253" s="610">
        <v>1</v>
      </c>
      <c r="I1253" s="611">
        <v>12.15</v>
      </c>
      <c r="J1253" s="611">
        <v>12.15</v>
      </c>
      <c r="K1253" s="552"/>
    </row>
    <row r="1254" spans="1:11" s="89" customFormat="1" ht="15" customHeight="1" x14ac:dyDescent="0.3">
      <c r="A1254" s="689"/>
      <c r="B1254" s="689"/>
      <c r="C1254" s="689"/>
      <c r="D1254" s="689"/>
      <c r="E1254" s="689"/>
      <c r="F1254" s="689" t="s">
        <v>472</v>
      </c>
      <c r="G1254" s="689"/>
      <c r="H1254" s="689"/>
      <c r="I1254" s="689"/>
      <c r="J1254" s="564">
        <v>0</v>
      </c>
      <c r="K1254" s="546"/>
    </row>
    <row r="1255" spans="1:11" ht="14.25" customHeight="1" x14ac:dyDescent="0.3">
      <c r="A1255" s="689"/>
      <c r="B1255" s="689"/>
      <c r="C1255" s="689"/>
      <c r="D1255" s="689"/>
      <c r="E1255" s="689"/>
      <c r="F1255" s="689" t="s">
        <v>473</v>
      </c>
      <c r="G1255" s="689"/>
      <c r="H1255" s="689"/>
      <c r="I1255" s="689"/>
      <c r="J1255" s="564">
        <v>0</v>
      </c>
      <c r="K1255" s="552"/>
    </row>
    <row r="1256" spans="1:11" s="89" customFormat="1" ht="25.5" customHeight="1" x14ac:dyDescent="0.3">
      <c r="A1256" s="689"/>
      <c r="B1256" s="689"/>
      <c r="C1256" s="689"/>
      <c r="D1256" s="689"/>
      <c r="E1256" s="689"/>
      <c r="F1256" s="689" t="s">
        <v>474</v>
      </c>
      <c r="G1256" s="689"/>
      <c r="H1256" s="689"/>
      <c r="I1256" s="689"/>
      <c r="J1256" s="564">
        <v>0</v>
      </c>
      <c r="K1256" s="546"/>
    </row>
    <row r="1257" spans="1:11" ht="14.25" customHeight="1" x14ac:dyDescent="0.3">
      <c r="A1257" s="689"/>
      <c r="B1257" s="689"/>
      <c r="C1257" s="689"/>
      <c r="D1257" s="689"/>
      <c r="E1257" s="689"/>
      <c r="F1257" s="689" t="s">
        <v>475</v>
      </c>
      <c r="G1257" s="689"/>
      <c r="H1257" s="689"/>
      <c r="I1257" s="689"/>
      <c r="J1257" s="564">
        <v>1</v>
      </c>
      <c r="K1257" s="552"/>
    </row>
    <row r="1258" spans="1:11" ht="14.25" customHeight="1" x14ac:dyDescent="0.3">
      <c r="A1258" s="689"/>
      <c r="B1258" s="689"/>
      <c r="C1258" s="689"/>
      <c r="D1258" s="689"/>
      <c r="E1258" s="689"/>
      <c r="F1258" s="689" t="s">
        <v>476</v>
      </c>
      <c r="G1258" s="689"/>
      <c r="H1258" s="689"/>
      <c r="I1258" s="689"/>
      <c r="J1258" s="564">
        <v>0</v>
      </c>
      <c r="K1258" s="552"/>
    </row>
    <row r="1259" spans="1:11" ht="15" customHeight="1" x14ac:dyDescent="0.3">
      <c r="A1259" s="553" t="s">
        <v>410</v>
      </c>
      <c r="B1259" s="554" t="s">
        <v>5</v>
      </c>
      <c r="C1259" s="553" t="s">
        <v>4</v>
      </c>
      <c r="D1259" s="553" t="s">
        <v>438</v>
      </c>
      <c r="E1259" s="554" t="s">
        <v>463</v>
      </c>
      <c r="F1259" s="554" t="s">
        <v>575</v>
      </c>
      <c r="G1259" s="692" t="s">
        <v>576</v>
      </c>
      <c r="H1259" s="692"/>
      <c r="I1259" s="692"/>
      <c r="J1259" s="554" t="s">
        <v>466</v>
      </c>
      <c r="K1259" s="552"/>
    </row>
    <row r="1260" spans="1:11" x14ac:dyDescent="0.3">
      <c r="A1260" s="547" t="s">
        <v>433</v>
      </c>
      <c r="B1260" s="548" t="s">
        <v>115</v>
      </c>
      <c r="C1260" s="547" t="s">
        <v>1035</v>
      </c>
      <c r="D1260" s="547" t="s">
        <v>654</v>
      </c>
      <c r="E1260" s="550">
        <v>1.1000000000000001</v>
      </c>
      <c r="F1260" s="549" t="s">
        <v>655</v>
      </c>
      <c r="G1260" s="693">
        <v>6.3659999999999997</v>
      </c>
      <c r="H1260" s="693"/>
      <c r="I1260" s="688"/>
      <c r="J1260" s="563">
        <v>7.0026000000000002</v>
      </c>
      <c r="K1260" s="552"/>
    </row>
    <row r="1261" spans="1:11" x14ac:dyDescent="0.3">
      <c r="A1261" s="547" t="s">
        <v>433</v>
      </c>
      <c r="B1261" s="548" t="s">
        <v>115</v>
      </c>
      <c r="C1261" s="547" t="s">
        <v>1036</v>
      </c>
      <c r="D1261" s="547" t="s">
        <v>1037</v>
      </c>
      <c r="E1261" s="550">
        <v>1.4999999999999999E-2</v>
      </c>
      <c r="F1261" s="549" t="s">
        <v>655</v>
      </c>
      <c r="G1261" s="693">
        <v>10.594200000000001</v>
      </c>
      <c r="H1261" s="693"/>
      <c r="I1261" s="688"/>
      <c r="J1261" s="563">
        <v>0.15890000000000001</v>
      </c>
      <c r="K1261" s="552"/>
    </row>
    <row r="1262" spans="1:11" ht="15" customHeight="1" x14ac:dyDescent="0.3">
      <c r="A1262" s="689"/>
      <c r="B1262" s="689"/>
      <c r="C1262" s="689"/>
      <c r="D1262" s="689"/>
      <c r="E1262" s="689"/>
      <c r="F1262" s="689" t="s">
        <v>813</v>
      </c>
      <c r="G1262" s="689"/>
      <c r="H1262" s="689"/>
      <c r="I1262" s="689"/>
      <c r="J1262" s="564">
        <v>7.1615000000000002</v>
      </c>
      <c r="K1262" s="552"/>
    </row>
    <row r="1263" spans="1:11" ht="15" customHeight="1" x14ac:dyDescent="0.3">
      <c r="A1263" s="553" t="s">
        <v>573</v>
      </c>
      <c r="B1263" s="554" t="s">
        <v>5</v>
      </c>
      <c r="C1263" s="553" t="s">
        <v>4</v>
      </c>
      <c r="D1263" s="553" t="s">
        <v>574</v>
      </c>
      <c r="E1263" s="554" t="s">
        <v>463</v>
      </c>
      <c r="F1263" s="554" t="s">
        <v>575</v>
      </c>
      <c r="G1263" s="692" t="s">
        <v>576</v>
      </c>
      <c r="H1263" s="692"/>
      <c r="I1263" s="692"/>
      <c r="J1263" s="554" t="s">
        <v>466</v>
      </c>
      <c r="K1263" s="552"/>
    </row>
    <row r="1264" spans="1:11" ht="25" x14ac:dyDescent="0.3">
      <c r="A1264" s="547" t="s">
        <v>577</v>
      </c>
      <c r="B1264" s="548" t="s">
        <v>19</v>
      </c>
      <c r="C1264" s="547">
        <v>88241</v>
      </c>
      <c r="D1264" s="547" t="s">
        <v>794</v>
      </c>
      <c r="E1264" s="550">
        <v>0.09</v>
      </c>
      <c r="F1264" s="549" t="s">
        <v>423</v>
      </c>
      <c r="G1264" s="693">
        <v>24.15</v>
      </c>
      <c r="H1264" s="693"/>
      <c r="I1264" s="688"/>
      <c r="J1264" s="563">
        <v>2.1735000000000002</v>
      </c>
      <c r="K1264" s="552"/>
    </row>
    <row r="1265" spans="1:11" x14ac:dyDescent="0.3">
      <c r="A1265" s="547" t="s">
        <v>577</v>
      </c>
      <c r="B1265" s="548" t="s">
        <v>19</v>
      </c>
      <c r="C1265" s="547">
        <v>88245</v>
      </c>
      <c r="D1265" s="547" t="s">
        <v>1038</v>
      </c>
      <c r="E1265" s="550">
        <v>0.09</v>
      </c>
      <c r="F1265" s="549" t="s">
        <v>423</v>
      </c>
      <c r="G1265" s="693">
        <v>30.85</v>
      </c>
      <c r="H1265" s="693"/>
      <c r="I1265" s="688"/>
      <c r="J1265" s="563">
        <v>2.7765</v>
      </c>
      <c r="K1265" s="552"/>
    </row>
    <row r="1266" spans="1:11" ht="15" customHeight="1" x14ac:dyDescent="0.3">
      <c r="A1266" s="689"/>
      <c r="B1266" s="689"/>
      <c r="C1266" s="689"/>
      <c r="D1266" s="689"/>
      <c r="E1266" s="689"/>
      <c r="F1266" s="689" t="s">
        <v>578</v>
      </c>
      <c r="G1266" s="689"/>
      <c r="H1266" s="689"/>
      <c r="I1266" s="689"/>
      <c r="J1266" s="564">
        <v>4.95</v>
      </c>
      <c r="K1266" s="552"/>
    </row>
    <row r="1267" spans="1:11" ht="14.25" customHeight="1" x14ac:dyDescent="0.3">
      <c r="A1267" s="553" t="s">
        <v>579</v>
      </c>
      <c r="B1267" s="554" t="s">
        <v>5</v>
      </c>
      <c r="C1267" s="553" t="s">
        <v>433</v>
      </c>
      <c r="D1267" s="553" t="s">
        <v>580</v>
      </c>
      <c r="E1267" s="554" t="s">
        <v>4</v>
      </c>
      <c r="F1267" s="554" t="s">
        <v>463</v>
      </c>
      <c r="G1267" s="555" t="s">
        <v>575</v>
      </c>
      <c r="H1267" s="692" t="s">
        <v>576</v>
      </c>
      <c r="I1267" s="692"/>
      <c r="J1267" s="554" t="s">
        <v>466</v>
      </c>
      <c r="K1267" s="552"/>
    </row>
    <row r="1268" spans="1:11" ht="25" x14ac:dyDescent="0.3">
      <c r="A1268" s="547" t="s">
        <v>581</v>
      </c>
      <c r="B1268" s="548" t="s">
        <v>115</v>
      </c>
      <c r="C1268" s="547" t="s">
        <v>1035</v>
      </c>
      <c r="D1268" s="547" t="s">
        <v>844</v>
      </c>
      <c r="E1268" s="548">
        <v>5914655</v>
      </c>
      <c r="F1268" s="550">
        <v>1.1000000000000001E-3</v>
      </c>
      <c r="G1268" s="549" t="s">
        <v>584</v>
      </c>
      <c r="H1268" s="693">
        <v>33.159999999999997</v>
      </c>
      <c r="I1268" s="688"/>
      <c r="J1268" s="563">
        <v>3.6499999999999998E-2</v>
      </c>
      <c r="K1268" s="552"/>
    </row>
    <row r="1269" spans="1:11" ht="14.25" customHeight="1" x14ac:dyDescent="0.3">
      <c r="A1269" s="547" t="s">
        <v>581</v>
      </c>
      <c r="B1269" s="548" t="s">
        <v>115</v>
      </c>
      <c r="C1269" s="547" t="s">
        <v>1036</v>
      </c>
      <c r="D1269" s="547" t="s">
        <v>844</v>
      </c>
      <c r="E1269" s="548">
        <v>5914655</v>
      </c>
      <c r="F1269" s="550">
        <v>2.0000000000000002E-5</v>
      </c>
      <c r="G1269" s="549" t="s">
        <v>584</v>
      </c>
      <c r="H1269" s="693">
        <v>33.159999999999997</v>
      </c>
      <c r="I1269" s="688"/>
      <c r="J1269" s="563">
        <v>6.9999999999999999E-4</v>
      </c>
      <c r="K1269" s="552"/>
    </row>
    <row r="1270" spans="1:11" s="89" customFormat="1" ht="15" customHeight="1" x14ac:dyDescent="0.3">
      <c r="A1270" s="689"/>
      <c r="B1270" s="689"/>
      <c r="C1270" s="689"/>
      <c r="D1270" s="689"/>
      <c r="E1270" s="689"/>
      <c r="F1270" s="689" t="s">
        <v>585</v>
      </c>
      <c r="G1270" s="689"/>
      <c r="H1270" s="689"/>
      <c r="I1270" s="689"/>
      <c r="J1270" s="564">
        <v>3.7199999999999997E-2</v>
      </c>
      <c r="K1270" s="546"/>
    </row>
    <row r="1271" spans="1:11" ht="15" customHeight="1" x14ac:dyDescent="0.3">
      <c r="A1271" s="553" t="s">
        <v>586</v>
      </c>
      <c r="B1271" s="554" t="s">
        <v>5</v>
      </c>
      <c r="C1271" s="553" t="s">
        <v>433</v>
      </c>
      <c r="D1271" s="553" t="s">
        <v>587</v>
      </c>
      <c r="E1271" s="554" t="s">
        <v>463</v>
      </c>
      <c r="F1271" s="554" t="s">
        <v>575</v>
      </c>
      <c r="G1271" s="694" t="s">
        <v>588</v>
      </c>
      <c r="H1271" s="692"/>
      <c r="I1271" s="692"/>
      <c r="J1271" s="554" t="s">
        <v>466</v>
      </c>
      <c r="K1271" s="552"/>
    </row>
    <row r="1272" spans="1:11" s="89" customFormat="1" x14ac:dyDescent="0.3">
      <c r="A1272" s="555"/>
      <c r="B1272" s="555"/>
      <c r="C1272" s="555"/>
      <c r="D1272" s="555"/>
      <c r="E1272" s="555"/>
      <c r="F1272" s="555"/>
      <c r="G1272" s="555" t="s">
        <v>589</v>
      </c>
      <c r="H1272" s="555" t="s">
        <v>590</v>
      </c>
      <c r="I1272" s="555" t="s">
        <v>591</v>
      </c>
      <c r="J1272" s="555"/>
      <c r="K1272" s="546"/>
    </row>
    <row r="1273" spans="1:11" ht="14.25" customHeight="1" x14ac:dyDescent="0.3">
      <c r="A1273" s="547" t="s">
        <v>587</v>
      </c>
      <c r="B1273" s="548" t="s">
        <v>115</v>
      </c>
      <c r="C1273" s="547" t="s">
        <v>1035</v>
      </c>
      <c r="D1273" s="547" t="s">
        <v>1039</v>
      </c>
      <c r="E1273" s="550">
        <v>1.1000000000000001E-3</v>
      </c>
      <c r="F1273" s="549" t="s">
        <v>593</v>
      </c>
      <c r="G1273" s="548" t="s">
        <v>3846</v>
      </c>
      <c r="H1273" s="548" t="s">
        <v>3847</v>
      </c>
      <c r="I1273" s="548" t="s">
        <v>3848</v>
      </c>
      <c r="J1273" s="563">
        <v>0</v>
      </c>
      <c r="K1273" s="552"/>
    </row>
    <row r="1274" spans="1:11" ht="15" customHeight="1" x14ac:dyDescent="0.3">
      <c r="A1274" s="547" t="s">
        <v>587</v>
      </c>
      <c r="B1274" s="548" t="s">
        <v>115</v>
      </c>
      <c r="C1274" s="547" t="s">
        <v>1036</v>
      </c>
      <c r="D1274" s="547" t="s">
        <v>1040</v>
      </c>
      <c r="E1274" s="550">
        <v>2.0000000000000002E-5</v>
      </c>
      <c r="F1274" s="549" t="s">
        <v>593</v>
      </c>
      <c r="G1274" s="548" t="s">
        <v>3846</v>
      </c>
      <c r="H1274" s="548" t="s">
        <v>3847</v>
      </c>
      <c r="I1274" s="548" t="s">
        <v>3848</v>
      </c>
      <c r="J1274" s="563">
        <v>0</v>
      </c>
      <c r="K1274" s="552"/>
    </row>
    <row r="1275" spans="1:11" ht="15" customHeight="1" thickBot="1" x14ac:dyDescent="0.35">
      <c r="A1275" s="689"/>
      <c r="B1275" s="689"/>
      <c r="C1275" s="689"/>
      <c r="D1275" s="689"/>
      <c r="E1275" s="689"/>
      <c r="F1275" s="689" t="s">
        <v>594</v>
      </c>
      <c r="G1275" s="689"/>
      <c r="H1275" s="689"/>
      <c r="I1275" s="689"/>
      <c r="J1275" s="564">
        <v>0</v>
      </c>
      <c r="K1275" s="552"/>
    </row>
    <row r="1276" spans="1:11" ht="14.5" thickTop="1" x14ac:dyDescent="0.3">
      <c r="A1276" s="562"/>
      <c r="B1276" s="562"/>
      <c r="C1276" s="562"/>
      <c r="D1276" s="562"/>
      <c r="E1276" s="562"/>
      <c r="F1276" s="562"/>
      <c r="G1276" s="562"/>
      <c r="H1276" s="562"/>
      <c r="I1276" s="562"/>
      <c r="J1276" s="562"/>
      <c r="K1276" s="552"/>
    </row>
    <row r="1277" spans="1:11" x14ac:dyDescent="0.3">
      <c r="A1277" s="553"/>
      <c r="B1277" s="554" t="s">
        <v>4</v>
      </c>
      <c r="C1277" s="553" t="s">
        <v>5</v>
      </c>
      <c r="D1277" s="553" t="s">
        <v>6</v>
      </c>
      <c r="E1277" s="691" t="s">
        <v>427</v>
      </c>
      <c r="F1277" s="691"/>
      <c r="G1277" s="555" t="s">
        <v>7</v>
      </c>
      <c r="H1277" s="554" t="s">
        <v>8</v>
      </c>
      <c r="I1277" s="554" t="s">
        <v>9</v>
      </c>
      <c r="J1277" s="554" t="s">
        <v>11</v>
      </c>
      <c r="K1277" s="552"/>
    </row>
    <row r="1278" spans="1:11" ht="15" customHeight="1" x14ac:dyDescent="0.3">
      <c r="A1278" s="607" t="s">
        <v>428</v>
      </c>
      <c r="B1278" s="608" t="s">
        <v>305</v>
      </c>
      <c r="C1278" s="607" t="s">
        <v>19</v>
      </c>
      <c r="D1278" s="607" t="s">
        <v>306</v>
      </c>
      <c r="E1278" s="690" t="s">
        <v>1041</v>
      </c>
      <c r="F1278" s="690"/>
      <c r="G1278" s="609" t="s">
        <v>556</v>
      </c>
      <c r="H1278" s="610">
        <v>1</v>
      </c>
      <c r="I1278" s="611">
        <v>133.38</v>
      </c>
      <c r="J1278" s="611">
        <v>133.38</v>
      </c>
      <c r="K1278" s="552"/>
    </row>
    <row r="1279" spans="1:11" ht="15" customHeight="1" x14ac:dyDescent="0.3">
      <c r="A1279" s="547" t="s">
        <v>430</v>
      </c>
      <c r="B1279" s="548" t="s">
        <v>1042</v>
      </c>
      <c r="C1279" s="547" t="s">
        <v>19</v>
      </c>
      <c r="D1279" s="547" t="s">
        <v>1043</v>
      </c>
      <c r="E1279" s="688" t="s">
        <v>429</v>
      </c>
      <c r="F1279" s="688"/>
      <c r="G1279" s="549" t="s">
        <v>532</v>
      </c>
      <c r="H1279" s="550">
        <v>1.2800000000000001E-2</v>
      </c>
      <c r="I1279" s="551">
        <v>498.8</v>
      </c>
      <c r="J1279" s="551">
        <v>6.38</v>
      </c>
      <c r="K1279" s="552"/>
    </row>
    <row r="1280" spans="1:11" ht="14.25" customHeight="1" x14ac:dyDescent="0.3">
      <c r="A1280" s="547" t="s">
        <v>430</v>
      </c>
      <c r="B1280" s="548" t="s">
        <v>760</v>
      </c>
      <c r="C1280" s="547" t="s">
        <v>19</v>
      </c>
      <c r="D1280" s="547" t="s">
        <v>761</v>
      </c>
      <c r="E1280" s="688" t="s">
        <v>429</v>
      </c>
      <c r="F1280" s="688"/>
      <c r="G1280" s="549" t="s">
        <v>423</v>
      </c>
      <c r="H1280" s="550">
        <v>1.1299999999999999</v>
      </c>
      <c r="I1280" s="551">
        <v>31.1</v>
      </c>
      <c r="J1280" s="551">
        <v>35.14</v>
      </c>
      <c r="K1280" s="552"/>
    </row>
    <row r="1281" spans="1:11" s="89" customFormat="1" ht="15" customHeight="1" x14ac:dyDescent="0.3">
      <c r="A1281" s="547" t="s">
        <v>430</v>
      </c>
      <c r="B1281" s="548" t="s">
        <v>559</v>
      </c>
      <c r="C1281" s="547" t="s">
        <v>19</v>
      </c>
      <c r="D1281" s="547" t="s">
        <v>560</v>
      </c>
      <c r="E1281" s="688" t="s">
        <v>429</v>
      </c>
      <c r="F1281" s="688"/>
      <c r="G1281" s="549" t="s">
        <v>423</v>
      </c>
      <c r="H1281" s="550">
        <v>0.56499999999999995</v>
      </c>
      <c r="I1281" s="551">
        <v>23.4</v>
      </c>
      <c r="J1281" s="551">
        <v>13.22</v>
      </c>
      <c r="K1281" s="546"/>
    </row>
    <row r="1282" spans="1:11" s="89" customFormat="1" ht="15" customHeight="1" x14ac:dyDescent="0.3">
      <c r="A1282" s="547" t="s">
        <v>433</v>
      </c>
      <c r="B1282" s="548" t="s">
        <v>1044</v>
      </c>
      <c r="C1282" s="547" t="s">
        <v>19</v>
      </c>
      <c r="D1282" s="547" t="s">
        <v>1045</v>
      </c>
      <c r="E1282" s="688" t="s">
        <v>438</v>
      </c>
      <c r="F1282" s="688"/>
      <c r="G1282" s="549" t="s">
        <v>81</v>
      </c>
      <c r="H1282" s="550">
        <v>13.6</v>
      </c>
      <c r="I1282" s="551">
        <v>5.56</v>
      </c>
      <c r="J1282" s="551">
        <v>75.61</v>
      </c>
      <c r="K1282" s="546"/>
    </row>
    <row r="1283" spans="1:11" ht="14.25" customHeight="1" x14ac:dyDescent="0.3">
      <c r="A1283" s="547" t="s">
        <v>433</v>
      </c>
      <c r="B1283" s="548" t="s">
        <v>1046</v>
      </c>
      <c r="C1283" s="547" t="s">
        <v>19</v>
      </c>
      <c r="D1283" s="547" t="s">
        <v>1047</v>
      </c>
      <c r="E1283" s="688" t="s">
        <v>438</v>
      </c>
      <c r="F1283" s="688"/>
      <c r="G1283" s="549" t="s">
        <v>173</v>
      </c>
      <c r="H1283" s="550">
        <v>0.42</v>
      </c>
      <c r="I1283" s="551">
        <v>6.17</v>
      </c>
      <c r="J1283" s="551">
        <v>2.59</v>
      </c>
      <c r="K1283" s="552"/>
    </row>
    <row r="1284" spans="1:11" s="89" customFormat="1" ht="15" customHeight="1" thickBot="1" x14ac:dyDescent="0.35">
      <c r="A1284" s="547" t="s">
        <v>433</v>
      </c>
      <c r="B1284" s="548" t="s">
        <v>1048</v>
      </c>
      <c r="C1284" s="547" t="s">
        <v>19</v>
      </c>
      <c r="D1284" s="547" t="s">
        <v>1049</v>
      </c>
      <c r="E1284" s="688" t="s">
        <v>438</v>
      </c>
      <c r="F1284" s="688"/>
      <c r="G1284" s="549" t="s">
        <v>1050</v>
      </c>
      <c r="H1284" s="550">
        <v>0.01</v>
      </c>
      <c r="I1284" s="551">
        <v>44.28</v>
      </c>
      <c r="J1284" s="551">
        <v>0.44</v>
      </c>
      <c r="K1284" s="546"/>
    </row>
    <row r="1285" spans="1:11" ht="14.5" thickTop="1" x14ac:dyDescent="0.3">
      <c r="A1285" s="562"/>
      <c r="B1285" s="562"/>
      <c r="C1285" s="562"/>
      <c r="D1285" s="562"/>
      <c r="E1285" s="562"/>
      <c r="F1285" s="562"/>
      <c r="G1285" s="562"/>
      <c r="H1285" s="562"/>
      <c r="I1285" s="562"/>
      <c r="J1285" s="562"/>
      <c r="K1285" s="552"/>
    </row>
    <row r="1286" spans="1:11" x14ac:dyDescent="0.3">
      <c r="A1286" s="553"/>
      <c r="B1286" s="554" t="s">
        <v>4</v>
      </c>
      <c r="C1286" s="553" t="s">
        <v>5</v>
      </c>
      <c r="D1286" s="553" t="s">
        <v>6</v>
      </c>
      <c r="E1286" s="691" t="s">
        <v>427</v>
      </c>
      <c r="F1286" s="691"/>
      <c r="G1286" s="555" t="s">
        <v>7</v>
      </c>
      <c r="H1286" s="554" t="s">
        <v>8</v>
      </c>
      <c r="I1286" s="554" t="s">
        <v>9</v>
      </c>
      <c r="J1286" s="554" t="s">
        <v>11</v>
      </c>
      <c r="K1286" s="552"/>
    </row>
    <row r="1287" spans="1:11" s="89" customFormat="1" ht="15.75" customHeight="1" x14ac:dyDescent="0.3">
      <c r="A1287" s="607" t="s">
        <v>428</v>
      </c>
      <c r="B1287" s="608" t="s">
        <v>307</v>
      </c>
      <c r="C1287" s="607" t="s">
        <v>115</v>
      </c>
      <c r="D1287" s="607" t="s">
        <v>1051</v>
      </c>
      <c r="E1287" s="690" t="s">
        <v>402</v>
      </c>
      <c r="F1287" s="690"/>
      <c r="G1287" s="609" t="s">
        <v>556</v>
      </c>
      <c r="H1287" s="610">
        <v>1</v>
      </c>
      <c r="I1287" s="611">
        <v>93.65</v>
      </c>
      <c r="J1287" s="611">
        <v>93.65</v>
      </c>
      <c r="K1287" s="546"/>
    </row>
    <row r="1288" spans="1:11" ht="15" customHeight="1" x14ac:dyDescent="0.3">
      <c r="A1288" s="691" t="s">
        <v>408</v>
      </c>
      <c r="B1288" s="692" t="s">
        <v>4</v>
      </c>
      <c r="C1288" s="691" t="s">
        <v>5</v>
      </c>
      <c r="D1288" s="691" t="s">
        <v>462</v>
      </c>
      <c r="E1288" s="692" t="s">
        <v>463</v>
      </c>
      <c r="F1288" s="694" t="s">
        <v>464</v>
      </c>
      <c r="G1288" s="692"/>
      <c r="H1288" s="694" t="s">
        <v>465</v>
      </c>
      <c r="I1288" s="692"/>
      <c r="J1288" s="692" t="s">
        <v>466</v>
      </c>
      <c r="K1288" s="552"/>
    </row>
    <row r="1289" spans="1:11" x14ac:dyDescent="0.3">
      <c r="A1289" s="692"/>
      <c r="B1289" s="692"/>
      <c r="C1289" s="692"/>
      <c r="D1289" s="692"/>
      <c r="E1289" s="692"/>
      <c r="F1289" s="554" t="s">
        <v>467</v>
      </c>
      <c r="G1289" s="554" t="s">
        <v>468</v>
      </c>
      <c r="H1289" s="554" t="s">
        <v>467</v>
      </c>
      <c r="I1289" s="554" t="s">
        <v>468</v>
      </c>
      <c r="J1289" s="692"/>
      <c r="K1289" s="552"/>
    </row>
    <row r="1290" spans="1:11" s="89" customFormat="1" x14ac:dyDescent="0.3">
      <c r="A1290" s="547" t="s">
        <v>433</v>
      </c>
      <c r="B1290" s="548" t="s">
        <v>825</v>
      </c>
      <c r="C1290" s="547" t="s">
        <v>115</v>
      </c>
      <c r="D1290" s="547" t="s">
        <v>3550</v>
      </c>
      <c r="E1290" s="550">
        <v>6.0240000000000002E-2</v>
      </c>
      <c r="F1290" s="551">
        <v>1</v>
      </c>
      <c r="G1290" s="551">
        <v>0</v>
      </c>
      <c r="H1290" s="563">
        <v>18.346599999999999</v>
      </c>
      <c r="I1290" s="563">
        <v>4.6111000000000004</v>
      </c>
      <c r="J1290" s="563">
        <v>1.1052</v>
      </c>
      <c r="K1290" s="546"/>
    </row>
    <row r="1291" spans="1:11" s="89" customFormat="1" x14ac:dyDescent="0.3">
      <c r="A1291" s="547" t="s">
        <v>433</v>
      </c>
      <c r="B1291" s="548" t="s">
        <v>826</v>
      </c>
      <c r="C1291" s="547" t="s">
        <v>115</v>
      </c>
      <c r="D1291" s="547" t="s">
        <v>827</v>
      </c>
      <c r="E1291" s="550">
        <v>6.0240000000000002E-2</v>
      </c>
      <c r="F1291" s="551">
        <v>1</v>
      </c>
      <c r="G1291" s="551">
        <v>0</v>
      </c>
      <c r="H1291" s="563">
        <v>26.159800000000001</v>
      </c>
      <c r="I1291" s="563">
        <v>25.813600000000001</v>
      </c>
      <c r="J1291" s="563">
        <v>1.5759000000000001</v>
      </c>
      <c r="K1291" s="546"/>
    </row>
    <row r="1292" spans="1:11" ht="14.25" customHeight="1" x14ac:dyDescent="0.3">
      <c r="A1292" s="689"/>
      <c r="B1292" s="689"/>
      <c r="C1292" s="689"/>
      <c r="D1292" s="689"/>
      <c r="E1292" s="689"/>
      <c r="F1292" s="689" t="s">
        <v>471</v>
      </c>
      <c r="G1292" s="689"/>
      <c r="H1292" s="689"/>
      <c r="I1292" s="689"/>
      <c r="J1292" s="564">
        <v>2.6810999999999998</v>
      </c>
      <c r="K1292" s="552"/>
    </row>
    <row r="1293" spans="1:11" s="89" customFormat="1" ht="15" customHeight="1" x14ac:dyDescent="0.3">
      <c r="A1293" s="689"/>
      <c r="B1293" s="689"/>
      <c r="C1293" s="689"/>
      <c r="D1293" s="689"/>
      <c r="E1293" s="689"/>
      <c r="F1293" s="689" t="s">
        <v>472</v>
      </c>
      <c r="G1293" s="689"/>
      <c r="H1293" s="689"/>
      <c r="I1293" s="689"/>
      <c r="J1293" s="564">
        <v>2.6810999999999998</v>
      </c>
      <c r="K1293" s="546"/>
    </row>
    <row r="1294" spans="1:11" ht="14.25" customHeight="1" x14ac:dyDescent="0.3">
      <c r="A1294" s="689"/>
      <c r="B1294" s="689"/>
      <c r="C1294" s="689"/>
      <c r="D1294" s="689"/>
      <c r="E1294" s="689"/>
      <c r="F1294" s="689" t="s">
        <v>473</v>
      </c>
      <c r="G1294" s="689"/>
      <c r="H1294" s="689"/>
      <c r="I1294" s="689"/>
      <c r="J1294" s="564">
        <v>0</v>
      </c>
      <c r="K1294" s="552"/>
    </row>
    <row r="1295" spans="1:11" x14ac:dyDescent="0.3">
      <c r="A1295" s="689"/>
      <c r="B1295" s="689"/>
      <c r="C1295" s="689"/>
      <c r="D1295" s="689"/>
      <c r="E1295" s="689"/>
      <c r="F1295" s="689" t="s">
        <v>474</v>
      </c>
      <c r="G1295" s="689"/>
      <c r="H1295" s="689"/>
      <c r="I1295" s="689"/>
      <c r="J1295" s="564">
        <v>0</v>
      </c>
      <c r="K1295" s="552"/>
    </row>
    <row r="1296" spans="1:11" ht="14.25" customHeight="1" x14ac:dyDescent="0.3">
      <c r="A1296" s="689"/>
      <c r="B1296" s="689"/>
      <c r="C1296" s="689"/>
      <c r="D1296" s="689"/>
      <c r="E1296" s="689"/>
      <c r="F1296" s="689" t="s">
        <v>475</v>
      </c>
      <c r="G1296" s="689"/>
      <c r="H1296" s="689"/>
      <c r="I1296" s="689"/>
      <c r="J1296" s="564">
        <v>1</v>
      </c>
      <c r="K1296" s="552"/>
    </row>
    <row r="1297" spans="1:11" ht="14.25" customHeight="1" x14ac:dyDescent="0.3">
      <c r="A1297" s="689"/>
      <c r="B1297" s="689"/>
      <c r="C1297" s="689"/>
      <c r="D1297" s="689"/>
      <c r="E1297" s="689"/>
      <c r="F1297" s="689" t="s">
        <v>476</v>
      </c>
      <c r="G1297" s="689"/>
      <c r="H1297" s="689"/>
      <c r="I1297" s="689"/>
      <c r="J1297" s="564">
        <v>2.6810999999999998</v>
      </c>
      <c r="K1297" s="552"/>
    </row>
    <row r="1298" spans="1:11" ht="15" customHeight="1" x14ac:dyDescent="0.3">
      <c r="A1298" s="553" t="s">
        <v>410</v>
      </c>
      <c r="B1298" s="554" t="s">
        <v>5</v>
      </c>
      <c r="C1298" s="553" t="s">
        <v>4</v>
      </c>
      <c r="D1298" s="553" t="s">
        <v>438</v>
      </c>
      <c r="E1298" s="554" t="s">
        <v>463</v>
      </c>
      <c r="F1298" s="554" t="s">
        <v>575</v>
      </c>
      <c r="G1298" s="692" t="s">
        <v>576</v>
      </c>
      <c r="H1298" s="692"/>
      <c r="I1298" s="692"/>
      <c r="J1298" s="554" t="s">
        <v>466</v>
      </c>
      <c r="K1298" s="552"/>
    </row>
    <row r="1299" spans="1:11" s="89" customFormat="1" x14ac:dyDescent="0.3">
      <c r="A1299" s="547" t="s">
        <v>433</v>
      </c>
      <c r="B1299" s="548" t="s">
        <v>115</v>
      </c>
      <c r="C1299" s="547" t="s">
        <v>828</v>
      </c>
      <c r="D1299" s="547" t="s">
        <v>829</v>
      </c>
      <c r="E1299" s="550">
        <v>0.64166000000000001</v>
      </c>
      <c r="F1299" s="549" t="s">
        <v>830</v>
      </c>
      <c r="G1299" s="693">
        <v>13.201499999999999</v>
      </c>
      <c r="H1299" s="693"/>
      <c r="I1299" s="688"/>
      <c r="J1299" s="563">
        <v>8.4709000000000003</v>
      </c>
      <c r="K1299" s="546"/>
    </row>
    <row r="1300" spans="1:11" ht="15" customHeight="1" x14ac:dyDescent="0.3">
      <c r="A1300" s="547" t="s">
        <v>433</v>
      </c>
      <c r="B1300" s="548" t="s">
        <v>115</v>
      </c>
      <c r="C1300" s="547" t="s">
        <v>1052</v>
      </c>
      <c r="D1300" s="547" t="s">
        <v>1053</v>
      </c>
      <c r="E1300" s="550">
        <v>0.57750000000000001</v>
      </c>
      <c r="F1300" s="549" t="s">
        <v>556</v>
      </c>
      <c r="G1300" s="693">
        <v>34.323300000000003</v>
      </c>
      <c r="H1300" s="693"/>
      <c r="I1300" s="688"/>
      <c r="J1300" s="563">
        <v>19.8217</v>
      </c>
      <c r="K1300" s="552"/>
    </row>
    <row r="1301" spans="1:11" s="89" customFormat="1" x14ac:dyDescent="0.3">
      <c r="A1301" s="547" t="s">
        <v>433</v>
      </c>
      <c r="B1301" s="548" t="s">
        <v>115</v>
      </c>
      <c r="C1301" s="547" t="s">
        <v>833</v>
      </c>
      <c r="D1301" s="547" t="s">
        <v>834</v>
      </c>
      <c r="E1301" s="550">
        <v>1.754E-2</v>
      </c>
      <c r="F1301" s="549" t="s">
        <v>835</v>
      </c>
      <c r="G1301" s="693">
        <v>13.312900000000001</v>
      </c>
      <c r="H1301" s="693"/>
      <c r="I1301" s="688"/>
      <c r="J1301" s="563">
        <v>0.23350000000000001</v>
      </c>
      <c r="K1301" s="546"/>
    </row>
    <row r="1302" spans="1:11" x14ac:dyDescent="0.3">
      <c r="A1302" s="547" t="s">
        <v>433</v>
      </c>
      <c r="B1302" s="548" t="s">
        <v>115</v>
      </c>
      <c r="C1302" s="547" t="s">
        <v>836</v>
      </c>
      <c r="D1302" s="547" t="s">
        <v>837</v>
      </c>
      <c r="E1302" s="550">
        <v>0.28436</v>
      </c>
      <c r="F1302" s="549" t="s">
        <v>830</v>
      </c>
      <c r="G1302" s="693">
        <v>4.0178000000000003</v>
      </c>
      <c r="H1302" s="693"/>
      <c r="I1302" s="688"/>
      <c r="J1302" s="563">
        <v>1.1425000000000001</v>
      </c>
      <c r="K1302" s="552"/>
    </row>
    <row r="1303" spans="1:11" x14ac:dyDescent="0.3">
      <c r="A1303" s="547" t="s">
        <v>433</v>
      </c>
      <c r="B1303" s="548" t="s">
        <v>115</v>
      </c>
      <c r="C1303" s="547" t="s">
        <v>838</v>
      </c>
      <c r="D1303" s="547" t="s">
        <v>839</v>
      </c>
      <c r="E1303" s="550">
        <v>0.20394999999999999</v>
      </c>
      <c r="F1303" s="549" t="s">
        <v>655</v>
      </c>
      <c r="G1303" s="693">
        <v>18.600000000000001</v>
      </c>
      <c r="H1303" s="693"/>
      <c r="I1303" s="688"/>
      <c r="J1303" s="563">
        <v>3.7934999999999999</v>
      </c>
      <c r="K1303" s="552"/>
    </row>
    <row r="1304" spans="1:11" ht="14.25" customHeight="1" x14ac:dyDescent="0.3">
      <c r="A1304" s="547" t="s">
        <v>433</v>
      </c>
      <c r="B1304" s="548" t="s">
        <v>115</v>
      </c>
      <c r="C1304" s="547" t="s">
        <v>840</v>
      </c>
      <c r="D1304" s="547" t="s">
        <v>841</v>
      </c>
      <c r="E1304" s="550">
        <v>2.9853900000000002</v>
      </c>
      <c r="F1304" s="549" t="s">
        <v>830</v>
      </c>
      <c r="G1304" s="693">
        <v>4.5</v>
      </c>
      <c r="H1304" s="693"/>
      <c r="I1304" s="688"/>
      <c r="J1304" s="563">
        <v>13.4343</v>
      </c>
      <c r="K1304" s="552"/>
    </row>
    <row r="1305" spans="1:11" ht="14.25" customHeight="1" x14ac:dyDescent="0.3">
      <c r="A1305" s="547" t="s">
        <v>433</v>
      </c>
      <c r="B1305" s="548" t="s">
        <v>115</v>
      </c>
      <c r="C1305" s="547" t="s">
        <v>842</v>
      </c>
      <c r="D1305" s="547" t="s">
        <v>843</v>
      </c>
      <c r="E1305" s="550">
        <v>0.51334000000000002</v>
      </c>
      <c r="F1305" s="549" t="s">
        <v>830</v>
      </c>
      <c r="G1305" s="693">
        <v>14.931699999999999</v>
      </c>
      <c r="H1305" s="693"/>
      <c r="I1305" s="688"/>
      <c r="J1305" s="563">
        <v>7.665</v>
      </c>
      <c r="K1305" s="552"/>
    </row>
    <row r="1306" spans="1:11" ht="14.25" customHeight="1" x14ac:dyDescent="0.3">
      <c r="A1306" s="689"/>
      <c r="B1306" s="689"/>
      <c r="C1306" s="689"/>
      <c r="D1306" s="689"/>
      <c r="E1306" s="689"/>
      <c r="F1306" s="689" t="s">
        <v>813</v>
      </c>
      <c r="G1306" s="689"/>
      <c r="H1306" s="689"/>
      <c r="I1306" s="689"/>
      <c r="J1306" s="564">
        <v>54.561399999999999</v>
      </c>
      <c r="K1306" s="552"/>
    </row>
    <row r="1307" spans="1:11" ht="15" customHeight="1" x14ac:dyDescent="0.3">
      <c r="A1307" s="553" t="s">
        <v>573</v>
      </c>
      <c r="B1307" s="554" t="s">
        <v>5</v>
      </c>
      <c r="C1307" s="553" t="s">
        <v>4</v>
      </c>
      <c r="D1307" s="553" t="s">
        <v>574</v>
      </c>
      <c r="E1307" s="554" t="s">
        <v>463</v>
      </c>
      <c r="F1307" s="554" t="s">
        <v>575</v>
      </c>
      <c r="G1307" s="692" t="s">
        <v>576</v>
      </c>
      <c r="H1307" s="692"/>
      <c r="I1307" s="692"/>
      <c r="J1307" s="554" t="s">
        <v>466</v>
      </c>
      <c r="K1307" s="552"/>
    </row>
    <row r="1308" spans="1:11" ht="14.25" customHeight="1" x14ac:dyDescent="0.3">
      <c r="A1308" s="547" t="s">
        <v>577</v>
      </c>
      <c r="B1308" s="548" t="s">
        <v>19</v>
      </c>
      <c r="C1308" s="547">
        <v>88241</v>
      </c>
      <c r="D1308" s="547" t="s">
        <v>794</v>
      </c>
      <c r="E1308" s="550">
        <v>0.65</v>
      </c>
      <c r="F1308" s="549" t="s">
        <v>423</v>
      </c>
      <c r="G1308" s="693">
        <v>24.15</v>
      </c>
      <c r="H1308" s="693"/>
      <c r="I1308" s="688"/>
      <c r="J1308" s="563">
        <v>15.6975</v>
      </c>
      <c r="K1308" s="552"/>
    </row>
    <row r="1309" spans="1:11" s="89" customFormat="1" ht="15" customHeight="1" x14ac:dyDescent="0.3">
      <c r="A1309" s="547" t="s">
        <v>577</v>
      </c>
      <c r="B1309" s="548" t="s">
        <v>19</v>
      </c>
      <c r="C1309" s="547">
        <v>88262</v>
      </c>
      <c r="D1309" s="547" t="s">
        <v>621</v>
      </c>
      <c r="E1309" s="550">
        <v>0.65</v>
      </c>
      <c r="F1309" s="549" t="s">
        <v>423</v>
      </c>
      <c r="G1309" s="693">
        <v>30.71</v>
      </c>
      <c r="H1309" s="693"/>
      <c r="I1309" s="688"/>
      <c r="J1309" s="563">
        <v>19.961500000000001</v>
      </c>
      <c r="K1309" s="546"/>
    </row>
    <row r="1310" spans="1:11" ht="15" customHeight="1" x14ac:dyDescent="0.3">
      <c r="A1310" s="689"/>
      <c r="B1310" s="689"/>
      <c r="C1310" s="689"/>
      <c r="D1310" s="689"/>
      <c r="E1310" s="689"/>
      <c r="F1310" s="689" t="s">
        <v>578</v>
      </c>
      <c r="G1310" s="689"/>
      <c r="H1310" s="689"/>
      <c r="I1310" s="689"/>
      <c r="J1310" s="564">
        <v>35.658999999999999</v>
      </c>
      <c r="K1310" s="552"/>
    </row>
    <row r="1311" spans="1:11" s="89" customFormat="1" ht="15" customHeight="1" x14ac:dyDescent="0.3">
      <c r="A1311" s="553" t="s">
        <v>579</v>
      </c>
      <c r="B1311" s="554" t="s">
        <v>5</v>
      </c>
      <c r="C1311" s="553" t="s">
        <v>433</v>
      </c>
      <c r="D1311" s="553" t="s">
        <v>580</v>
      </c>
      <c r="E1311" s="554" t="s">
        <v>4</v>
      </c>
      <c r="F1311" s="554" t="s">
        <v>463</v>
      </c>
      <c r="G1311" s="555" t="s">
        <v>575</v>
      </c>
      <c r="H1311" s="692" t="s">
        <v>576</v>
      </c>
      <c r="I1311" s="692"/>
      <c r="J1311" s="554" t="s">
        <v>466</v>
      </c>
      <c r="K1311" s="546"/>
    </row>
    <row r="1312" spans="1:11" ht="25" x14ac:dyDescent="0.3">
      <c r="A1312" s="547" t="s">
        <v>581</v>
      </c>
      <c r="B1312" s="548" t="s">
        <v>115</v>
      </c>
      <c r="C1312" s="547" t="s">
        <v>828</v>
      </c>
      <c r="D1312" s="547" t="s">
        <v>844</v>
      </c>
      <c r="E1312" s="548">
        <v>5914655</v>
      </c>
      <c r="F1312" s="550">
        <v>3.6099999999999999E-3</v>
      </c>
      <c r="G1312" s="549" t="s">
        <v>584</v>
      </c>
      <c r="H1312" s="693">
        <v>33.159999999999997</v>
      </c>
      <c r="I1312" s="688"/>
      <c r="J1312" s="563">
        <v>0.1197</v>
      </c>
      <c r="K1312" s="552"/>
    </row>
    <row r="1313" spans="1:11" ht="14.25" customHeight="1" x14ac:dyDescent="0.3">
      <c r="A1313" s="547" t="s">
        <v>581</v>
      </c>
      <c r="B1313" s="548" t="s">
        <v>115</v>
      </c>
      <c r="C1313" s="547" t="s">
        <v>1052</v>
      </c>
      <c r="D1313" s="547" t="s">
        <v>844</v>
      </c>
      <c r="E1313" s="548">
        <v>5914655</v>
      </c>
      <c r="F1313" s="550">
        <v>6.9300000000000004E-3</v>
      </c>
      <c r="G1313" s="549" t="s">
        <v>584</v>
      </c>
      <c r="H1313" s="693">
        <v>33.159999999999997</v>
      </c>
      <c r="I1313" s="688"/>
      <c r="J1313" s="563">
        <v>0.2298</v>
      </c>
      <c r="K1313" s="552"/>
    </row>
    <row r="1314" spans="1:11" ht="15" customHeight="1" x14ac:dyDescent="0.3">
      <c r="A1314" s="547" t="s">
        <v>581</v>
      </c>
      <c r="B1314" s="548" t="s">
        <v>115</v>
      </c>
      <c r="C1314" s="547" t="s">
        <v>833</v>
      </c>
      <c r="D1314" s="547" t="s">
        <v>844</v>
      </c>
      <c r="E1314" s="548">
        <v>5914655</v>
      </c>
      <c r="F1314" s="550">
        <v>2.0000000000000002E-5</v>
      </c>
      <c r="G1314" s="549" t="s">
        <v>584</v>
      </c>
      <c r="H1314" s="693">
        <v>33.159999999999997</v>
      </c>
      <c r="I1314" s="688"/>
      <c r="J1314" s="563">
        <v>6.9999999999999999E-4</v>
      </c>
      <c r="K1314" s="552"/>
    </row>
    <row r="1315" spans="1:11" ht="25" x14ac:dyDescent="0.3">
      <c r="A1315" s="547" t="s">
        <v>581</v>
      </c>
      <c r="B1315" s="548" t="s">
        <v>115</v>
      </c>
      <c r="C1315" s="547" t="s">
        <v>836</v>
      </c>
      <c r="D1315" s="547" t="s">
        <v>844</v>
      </c>
      <c r="E1315" s="548">
        <v>5914655</v>
      </c>
      <c r="F1315" s="550">
        <v>5.2999999999999998E-4</v>
      </c>
      <c r="G1315" s="549" t="s">
        <v>584</v>
      </c>
      <c r="H1315" s="693">
        <v>33.159999999999997</v>
      </c>
      <c r="I1315" s="688"/>
      <c r="J1315" s="563">
        <v>1.7600000000000001E-2</v>
      </c>
      <c r="K1315" s="552"/>
    </row>
    <row r="1316" spans="1:11" ht="25" x14ac:dyDescent="0.3">
      <c r="A1316" s="547" t="s">
        <v>581</v>
      </c>
      <c r="B1316" s="548" t="s">
        <v>115</v>
      </c>
      <c r="C1316" s="547" t="s">
        <v>838</v>
      </c>
      <c r="D1316" s="547" t="s">
        <v>844</v>
      </c>
      <c r="E1316" s="548">
        <v>5914655</v>
      </c>
      <c r="F1316" s="550">
        <v>2.0000000000000001E-4</v>
      </c>
      <c r="G1316" s="549" t="s">
        <v>584</v>
      </c>
      <c r="H1316" s="693">
        <v>33.159999999999997</v>
      </c>
      <c r="I1316" s="688"/>
      <c r="J1316" s="563">
        <v>6.6E-3</v>
      </c>
      <c r="K1316" s="552"/>
    </row>
    <row r="1317" spans="1:11" ht="25" x14ac:dyDescent="0.3">
      <c r="A1317" s="547" t="s">
        <v>581</v>
      </c>
      <c r="B1317" s="548" t="s">
        <v>115</v>
      </c>
      <c r="C1317" s="547" t="s">
        <v>840</v>
      </c>
      <c r="D1317" s="547" t="s">
        <v>844</v>
      </c>
      <c r="E1317" s="548">
        <v>5914655</v>
      </c>
      <c r="F1317" s="550">
        <v>7.4599999999999996E-3</v>
      </c>
      <c r="G1317" s="549" t="s">
        <v>584</v>
      </c>
      <c r="H1317" s="693">
        <v>33.159999999999997</v>
      </c>
      <c r="I1317" s="688"/>
      <c r="J1317" s="563">
        <v>0.24740000000000001</v>
      </c>
      <c r="K1317" s="552"/>
    </row>
    <row r="1318" spans="1:11" ht="14.25" customHeight="1" x14ac:dyDescent="0.3">
      <c r="A1318" s="547" t="s">
        <v>581</v>
      </c>
      <c r="B1318" s="548" t="s">
        <v>115</v>
      </c>
      <c r="C1318" s="547" t="s">
        <v>842</v>
      </c>
      <c r="D1318" s="547" t="s">
        <v>844</v>
      </c>
      <c r="E1318" s="548">
        <v>5914655</v>
      </c>
      <c r="F1318" s="550">
        <v>3.8500000000000001E-3</v>
      </c>
      <c r="G1318" s="549" t="s">
        <v>584</v>
      </c>
      <c r="H1318" s="693">
        <v>33.159999999999997</v>
      </c>
      <c r="I1318" s="688"/>
      <c r="J1318" s="563">
        <v>0.12770000000000001</v>
      </c>
      <c r="K1318" s="552"/>
    </row>
    <row r="1319" spans="1:11" ht="15" customHeight="1" x14ac:dyDescent="0.3">
      <c r="A1319" s="689"/>
      <c r="B1319" s="689"/>
      <c r="C1319" s="689"/>
      <c r="D1319" s="689"/>
      <c r="E1319" s="689"/>
      <c r="F1319" s="689" t="s">
        <v>585</v>
      </c>
      <c r="G1319" s="689"/>
      <c r="H1319" s="689"/>
      <c r="I1319" s="689"/>
      <c r="J1319" s="564">
        <v>0.74950000000000006</v>
      </c>
      <c r="K1319" s="552"/>
    </row>
    <row r="1320" spans="1:11" s="89" customFormat="1" ht="15" customHeight="1" x14ac:dyDescent="0.3">
      <c r="A1320" s="553" t="s">
        <v>586</v>
      </c>
      <c r="B1320" s="554" t="s">
        <v>5</v>
      </c>
      <c r="C1320" s="553" t="s">
        <v>433</v>
      </c>
      <c r="D1320" s="553" t="s">
        <v>587</v>
      </c>
      <c r="E1320" s="554" t="s">
        <v>463</v>
      </c>
      <c r="F1320" s="554" t="s">
        <v>575</v>
      </c>
      <c r="G1320" s="694" t="s">
        <v>588</v>
      </c>
      <c r="H1320" s="692"/>
      <c r="I1320" s="692"/>
      <c r="J1320" s="554" t="s">
        <v>466</v>
      </c>
      <c r="K1320" s="546"/>
    </row>
    <row r="1321" spans="1:11" x14ac:dyDescent="0.3">
      <c r="A1321" s="555"/>
      <c r="B1321" s="555"/>
      <c r="C1321" s="555"/>
      <c r="D1321" s="555"/>
      <c r="E1321" s="555"/>
      <c r="F1321" s="555"/>
      <c r="G1321" s="555" t="s">
        <v>589</v>
      </c>
      <c r="H1321" s="555" t="s">
        <v>590</v>
      </c>
      <c r="I1321" s="555" t="s">
        <v>591</v>
      </c>
      <c r="J1321" s="555"/>
      <c r="K1321" s="552"/>
    </row>
    <row r="1322" spans="1:11" ht="14.25" customHeight="1" x14ac:dyDescent="0.3">
      <c r="A1322" s="547" t="s">
        <v>587</v>
      </c>
      <c r="B1322" s="548" t="s">
        <v>115</v>
      </c>
      <c r="C1322" s="547" t="s">
        <v>828</v>
      </c>
      <c r="D1322" s="547" t="s">
        <v>845</v>
      </c>
      <c r="E1322" s="550">
        <v>3.6099999999999999E-3</v>
      </c>
      <c r="F1322" s="549" t="s">
        <v>593</v>
      </c>
      <c r="G1322" s="548" t="s">
        <v>3846</v>
      </c>
      <c r="H1322" s="548" t="s">
        <v>3847</v>
      </c>
      <c r="I1322" s="548" t="s">
        <v>3848</v>
      </c>
      <c r="J1322" s="563">
        <v>0</v>
      </c>
      <c r="K1322" s="552"/>
    </row>
    <row r="1323" spans="1:11" ht="15" customHeight="1" x14ac:dyDescent="0.3">
      <c r="A1323" s="547" t="s">
        <v>587</v>
      </c>
      <c r="B1323" s="548" t="s">
        <v>115</v>
      </c>
      <c r="C1323" s="547" t="s">
        <v>1052</v>
      </c>
      <c r="D1323" s="547" t="s">
        <v>1054</v>
      </c>
      <c r="E1323" s="550">
        <v>6.9300000000000004E-3</v>
      </c>
      <c r="F1323" s="549" t="s">
        <v>593</v>
      </c>
      <c r="G1323" s="548" t="s">
        <v>3846</v>
      </c>
      <c r="H1323" s="548" t="s">
        <v>3847</v>
      </c>
      <c r="I1323" s="548" t="s">
        <v>3848</v>
      </c>
      <c r="J1323" s="563">
        <v>0</v>
      </c>
      <c r="K1323" s="552"/>
    </row>
    <row r="1324" spans="1:11" ht="37.5" x14ac:dyDescent="0.3">
      <c r="A1324" s="547" t="s">
        <v>587</v>
      </c>
      <c r="B1324" s="548" t="s">
        <v>115</v>
      </c>
      <c r="C1324" s="547" t="s">
        <v>833</v>
      </c>
      <c r="D1324" s="547" t="s">
        <v>847</v>
      </c>
      <c r="E1324" s="550">
        <v>2.0000000000000002E-5</v>
      </c>
      <c r="F1324" s="549" t="s">
        <v>593</v>
      </c>
      <c r="G1324" s="548" t="s">
        <v>3846</v>
      </c>
      <c r="H1324" s="548" t="s">
        <v>3847</v>
      </c>
      <c r="I1324" s="548" t="s">
        <v>3848</v>
      </c>
      <c r="J1324" s="563">
        <v>0</v>
      </c>
      <c r="K1324" s="552"/>
    </row>
    <row r="1325" spans="1:11" s="89" customFormat="1" ht="37.5" x14ac:dyDescent="0.3">
      <c r="A1325" s="547" t="s">
        <v>587</v>
      </c>
      <c r="B1325" s="548" t="s">
        <v>115</v>
      </c>
      <c r="C1325" s="547" t="s">
        <v>836</v>
      </c>
      <c r="D1325" s="547" t="s">
        <v>848</v>
      </c>
      <c r="E1325" s="550">
        <v>5.2999999999999998E-4</v>
      </c>
      <c r="F1325" s="549" t="s">
        <v>593</v>
      </c>
      <c r="G1325" s="548" t="s">
        <v>3846</v>
      </c>
      <c r="H1325" s="548" t="s">
        <v>3847</v>
      </c>
      <c r="I1325" s="548" t="s">
        <v>3848</v>
      </c>
      <c r="J1325" s="563">
        <v>0</v>
      </c>
      <c r="K1325" s="546"/>
    </row>
    <row r="1326" spans="1:11" ht="37.5" x14ac:dyDescent="0.3">
      <c r="A1326" s="547" t="s">
        <v>587</v>
      </c>
      <c r="B1326" s="548" t="s">
        <v>115</v>
      </c>
      <c r="C1326" s="547" t="s">
        <v>838</v>
      </c>
      <c r="D1326" s="547" t="s">
        <v>849</v>
      </c>
      <c r="E1326" s="550">
        <v>2.0000000000000001E-4</v>
      </c>
      <c r="F1326" s="549" t="s">
        <v>593</v>
      </c>
      <c r="G1326" s="548" t="s">
        <v>3846</v>
      </c>
      <c r="H1326" s="548" t="s">
        <v>3847</v>
      </c>
      <c r="I1326" s="548" t="s">
        <v>3848</v>
      </c>
      <c r="J1326" s="563">
        <v>0</v>
      </c>
      <c r="K1326" s="552"/>
    </row>
    <row r="1327" spans="1:11" ht="37.5" x14ac:dyDescent="0.3">
      <c r="A1327" s="547" t="s">
        <v>587</v>
      </c>
      <c r="B1327" s="548" t="s">
        <v>115</v>
      </c>
      <c r="C1327" s="547" t="s">
        <v>840</v>
      </c>
      <c r="D1327" s="547" t="s">
        <v>850</v>
      </c>
      <c r="E1327" s="550">
        <v>7.4599999999999996E-3</v>
      </c>
      <c r="F1327" s="549" t="s">
        <v>593</v>
      </c>
      <c r="G1327" s="548" t="s">
        <v>3846</v>
      </c>
      <c r="H1327" s="548" t="s">
        <v>3847</v>
      </c>
      <c r="I1327" s="548" t="s">
        <v>3848</v>
      </c>
      <c r="J1327" s="563">
        <v>0</v>
      </c>
      <c r="K1327" s="552"/>
    </row>
    <row r="1328" spans="1:11" ht="37.5" x14ac:dyDescent="0.3">
      <c r="A1328" s="547" t="s">
        <v>587</v>
      </c>
      <c r="B1328" s="548" t="s">
        <v>115</v>
      </c>
      <c r="C1328" s="547" t="s">
        <v>842</v>
      </c>
      <c r="D1328" s="547" t="s">
        <v>851</v>
      </c>
      <c r="E1328" s="550">
        <v>3.8500000000000001E-3</v>
      </c>
      <c r="F1328" s="549" t="s">
        <v>593</v>
      </c>
      <c r="G1328" s="548" t="s">
        <v>3846</v>
      </c>
      <c r="H1328" s="548" t="s">
        <v>3847</v>
      </c>
      <c r="I1328" s="548" t="s">
        <v>3848</v>
      </c>
      <c r="J1328" s="563">
        <v>0</v>
      </c>
      <c r="K1328" s="552"/>
    </row>
    <row r="1329" spans="1:11" s="89" customFormat="1" ht="15.75" customHeight="1" thickBot="1" x14ac:dyDescent="0.35">
      <c r="A1329" s="689"/>
      <c r="B1329" s="689"/>
      <c r="C1329" s="689"/>
      <c r="D1329" s="689"/>
      <c r="E1329" s="689"/>
      <c r="F1329" s="689" t="s">
        <v>594</v>
      </c>
      <c r="G1329" s="689"/>
      <c r="H1329" s="689"/>
      <c r="I1329" s="689"/>
      <c r="J1329" s="564">
        <v>0</v>
      </c>
      <c r="K1329" s="546"/>
    </row>
    <row r="1330" spans="1:11" ht="14.5" thickTop="1" x14ac:dyDescent="0.3">
      <c r="A1330" s="562"/>
      <c r="B1330" s="562"/>
      <c r="C1330" s="562"/>
      <c r="D1330" s="562"/>
      <c r="E1330" s="562"/>
      <c r="F1330" s="562"/>
      <c r="G1330" s="562"/>
      <c r="H1330" s="562"/>
      <c r="I1330" s="562"/>
      <c r="J1330" s="562"/>
      <c r="K1330" s="552"/>
    </row>
    <row r="1331" spans="1:11" s="89" customFormat="1" ht="15" customHeight="1" x14ac:dyDescent="0.3">
      <c r="A1331" s="553"/>
      <c r="B1331" s="554" t="s">
        <v>4</v>
      </c>
      <c r="C1331" s="553" t="s">
        <v>5</v>
      </c>
      <c r="D1331" s="553" t="s">
        <v>6</v>
      </c>
      <c r="E1331" s="691" t="s">
        <v>427</v>
      </c>
      <c r="F1331" s="691"/>
      <c r="G1331" s="555" t="s">
        <v>7</v>
      </c>
      <c r="H1331" s="554" t="s">
        <v>8</v>
      </c>
      <c r="I1331" s="554" t="s">
        <v>9</v>
      </c>
      <c r="J1331" s="554" t="s">
        <v>11</v>
      </c>
      <c r="K1331" s="546"/>
    </row>
    <row r="1332" spans="1:11" ht="15" customHeight="1" x14ac:dyDescent="0.3">
      <c r="A1332" s="607" t="s">
        <v>428</v>
      </c>
      <c r="B1332" s="608" t="s">
        <v>309</v>
      </c>
      <c r="C1332" s="607" t="s">
        <v>19</v>
      </c>
      <c r="D1332" s="607" t="s">
        <v>3817</v>
      </c>
      <c r="E1332" s="690" t="s">
        <v>1010</v>
      </c>
      <c r="F1332" s="690"/>
      <c r="G1332" s="609" t="s">
        <v>173</v>
      </c>
      <c r="H1332" s="610">
        <v>1</v>
      </c>
      <c r="I1332" s="611">
        <v>38.11</v>
      </c>
      <c r="J1332" s="611">
        <v>38.11</v>
      </c>
      <c r="K1332" s="552"/>
    </row>
    <row r="1333" spans="1:11" ht="38.25" customHeight="1" x14ac:dyDescent="0.3">
      <c r="A1333" s="547" t="s">
        <v>430</v>
      </c>
      <c r="B1333" s="548" t="s">
        <v>562</v>
      </c>
      <c r="C1333" s="547" t="s">
        <v>19</v>
      </c>
      <c r="D1333" s="547" t="s">
        <v>563</v>
      </c>
      <c r="E1333" s="688" t="s">
        <v>461</v>
      </c>
      <c r="F1333" s="688"/>
      <c r="G1333" s="549" t="s">
        <v>95</v>
      </c>
      <c r="H1333" s="550">
        <v>5.3199999999999997E-2</v>
      </c>
      <c r="I1333" s="551">
        <v>204.43</v>
      </c>
      <c r="J1333" s="551">
        <v>10.87</v>
      </c>
      <c r="K1333" s="552"/>
    </row>
    <row r="1334" spans="1:11" ht="38.25" customHeight="1" x14ac:dyDescent="0.3">
      <c r="A1334" s="547" t="s">
        <v>430</v>
      </c>
      <c r="B1334" s="548" t="s">
        <v>564</v>
      </c>
      <c r="C1334" s="547" t="s">
        <v>19</v>
      </c>
      <c r="D1334" s="547" t="s">
        <v>565</v>
      </c>
      <c r="E1334" s="688" t="s">
        <v>461</v>
      </c>
      <c r="F1334" s="688"/>
      <c r="G1334" s="549" t="s">
        <v>102</v>
      </c>
      <c r="H1334" s="550">
        <v>0.1033</v>
      </c>
      <c r="I1334" s="551">
        <v>88.26</v>
      </c>
      <c r="J1334" s="551">
        <v>9.11</v>
      </c>
      <c r="K1334" s="552"/>
    </row>
    <row r="1335" spans="1:11" s="89" customFormat="1" ht="15" customHeight="1" x14ac:dyDescent="0.3">
      <c r="A1335" s="547" t="s">
        <v>430</v>
      </c>
      <c r="B1335" s="548" t="s">
        <v>1011</v>
      </c>
      <c r="C1335" s="547" t="s">
        <v>19</v>
      </c>
      <c r="D1335" s="547" t="s">
        <v>1012</v>
      </c>
      <c r="E1335" s="688" t="s">
        <v>429</v>
      </c>
      <c r="F1335" s="688"/>
      <c r="G1335" s="549" t="s">
        <v>423</v>
      </c>
      <c r="H1335" s="550">
        <v>0.2379</v>
      </c>
      <c r="I1335" s="551">
        <v>25.19</v>
      </c>
      <c r="J1335" s="551">
        <v>5.99</v>
      </c>
      <c r="K1335" s="546"/>
    </row>
    <row r="1336" spans="1:11" ht="38.25" customHeight="1" x14ac:dyDescent="0.3">
      <c r="A1336" s="547" t="s">
        <v>430</v>
      </c>
      <c r="B1336" s="548" t="s">
        <v>559</v>
      </c>
      <c r="C1336" s="547" t="s">
        <v>19</v>
      </c>
      <c r="D1336" s="547" t="s">
        <v>560</v>
      </c>
      <c r="E1336" s="688" t="s">
        <v>429</v>
      </c>
      <c r="F1336" s="688"/>
      <c r="G1336" s="549" t="s">
        <v>423</v>
      </c>
      <c r="H1336" s="550">
        <v>0.47570000000000001</v>
      </c>
      <c r="I1336" s="551">
        <v>23.4</v>
      </c>
      <c r="J1336" s="551">
        <v>11.13</v>
      </c>
      <c r="K1336" s="552"/>
    </row>
    <row r="1337" spans="1:11" ht="38.25" customHeight="1" thickBot="1" x14ac:dyDescent="0.35">
      <c r="A1337" s="547" t="s">
        <v>430</v>
      </c>
      <c r="B1337" s="548" t="s">
        <v>1013</v>
      </c>
      <c r="C1337" s="547" t="s">
        <v>19</v>
      </c>
      <c r="D1337" s="547" t="s">
        <v>1014</v>
      </c>
      <c r="E1337" s="688" t="s">
        <v>429</v>
      </c>
      <c r="F1337" s="688"/>
      <c r="G1337" s="549" t="s">
        <v>532</v>
      </c>
      <c r="H1337" s="550">
        <v>1.6000000000000001E-3</v>
      </c>
      <c r="I1337" s="551">
        <v>634.08000000000004</v>
      </c>
      <c r="J1337" s="551">
        <v>1.01</v>
      </c>
      <c r="K1337" s="552"/>
    </row>
    <row r="1338" spans="1:11" ht="14.25" customHeight="1" thickTop="1" x14ac:dyDescent="0.3">
      <c r="A1338" s="562"/>
      <c r="B1338" s="562"/>
      <c r="C1338" s="562"/>
      <c r="D1338" s="562"/>
      <c r="E1338" s="562"/>
      <c r="F1338" s="562"/>
      <c r="G1338" s="562"/>
      <c r="H1338" s="562"/>
      <c r="I1338" s="562"/>
      <c r="J1338" s="562"/>
      <c r="K1338" s="552"/>
    </row>
    <row r="1339" spans="1:11" ht="14.25" customHeight="1" x14ac:dyDescent="0.3">
      <c r="A1339" s="553"/>
      <c r="B1339" s="554" t="s">
        <v>4</v>
      </c>
      <c r="C1339" s="553" t="s">
        <v>5</v>
      </c>
      <c r="D1339" s="553" t="s">
        <v>6</v>
      </c>
      <c r="E1339" s="691" t="s">
        <v>427</v>
      </c>
      <c r="F1339" s="691"/>
      <c r="G1339" s="555" t="s">
        <v>7</v>
      </c>
      <c r="H1339" s="554" t="s">
        <v>8</v>
      </c>
      <c r="I1339" s="554" t="s">
        <v>9</v>
      </c>
      <c r="J1339" s="554" t="s">
        <v>11</v>
      </c>
      <c r="K1339" s="552"/>
    </row>
    <row r="1340" spans="1:11" x14ac:dyDescent="0.3">
      <c r="A1340" s="607" t="s">
        <v>428</v>
      </c>
      <c r="B1340" s="608" t="s">
        <v>311</v>
      </c>
      <c r="C1340" s="607" t="s">
        <v>196</v>
      </c>
      <c r="D1340" s="607" t="s">
        <v>312</v>
      </c>
      <c r="E1340" s="690">
        <v>1895</v>
      </c>
      <c r="F1340" s="690"/>
      <c r="G1340" s="609" t="s">
        <v>532</v>
      </c>
      <c r="H1340" s="610">
        <v>1</v>
      </c>
      <c r="I1340" s="611">
        <v>262.95</v>
      </c>
      <c r="J1340" s="611">
        <v>262.95</v>
      </c>
      <c r="K1340" s="552"/>
    </row>
    <row r="1341" spans="1:11" ht="15" customHeight="1" x14ac:dyDescent="0.3">
      <c r="A1341" s="547" t="s">
        <v>430</v>
      </c>
      <c r="B1341" s="548" t="s">
        <v>961</v>
      </c>
      <c r="C1341" s="547" t="s">
        <v>19</v>
      </c>
      <c r="D1341" s="547" t="s">
        <v>962</v>
      </c>
      <c r="E1341" s="688" t="s">
        <v>461</v>
      </c>
      <c r="F1341" s="688"/>
      <c r="G1341" s="549" t="s">
        <v>95</v>
      </c>
      <c r="H1341" s="550">
        <v>5.0000000000000001E-3</v>
      </c>
      <c r="I1341" s="551">
        <v>254.07</v>
      </c>
      <c r="J1341" s="551">
        <v>1.27</v>
      </c>
      <c r="K1341" s="552"/>
    </row>
    <row r="1342" spans="1:11" ht="38.25" customHeight="1" x14ac:dyDescent="0.3">
      <c r="A1342" s="547" t="s">
        <v>430</v>
      </c>
      <c r="B1342" s="548" t="s">
        <v>1055</v>
      </c>
      <c r="C1342" s="547" t="s">
        <v>19</v>
      </c>
      <c r="D1342" s="547" t="s">
        <v>1056</v>
      </c>
      <c r="E1342" s="688" t="s">
        <v>461</v>
      </c>
      <c r="F1342" s="688"/>
      <c r="G1342" s="549" t="s">
        <v>95</v>
      </c>
      <c r="H1342" s="550">
        <v>5.0000000000000001E-3</v>
      </c>
      <c r="I1342" s="551">
        <v>24.36</v>
      </c>
      <c r="J1342" s="551">
        <v>0.12</v>
      </c>
      <c r="K1342" s="552"/>
    </row>
    <row r="1343" spans="1:11" s="89" customFormat="1" x14ac:dyDescent="0.3">
      <c r="A1343" s="547" t="s">
        <v>433</v>
      </c>
      <c r="B1343" s="548" t="s">
        <v>1061</v>
      </c>
      <c r="C1343" s="547" t="s">
        <v>115</v>
      </c>
      <c r="D1343" s="547" t="s">
        <v>1062</v>
      </c>
      <c r="E1343" s="688" t="s">
        <v>442</v>
      </c>
      <c r="F1343" s="688"/>
      <c r="G1343" s="549" t="s">
        <v>423</v>
      </c>
      <c r="H1343" s="550">
        <v>0.01</v>
      </c>
      <c r="I1343" s="551">
        <v>251.39699999999999</v>
      </c>
      <c r="J1343" s="551">
        <v>2.5099999999999998</v>
      </c>
      <c r="K1343" s="546"/>
    </row>
    <row r="1344" spans="1:11" ht="38.25" customHeight="1" x14ac:dyDescent="0.3">
      <c r="A1344" s="547" t="s">
        <v>433</v>
      </c>
      <c r="B1344" s="548" t="s">
        <v>1063</v>
      </c>
      <c r="C1344" s="547" t="s">
        <v>115</v>
      </c>
      <c r="D1344" s="547" t="s">
        <v>1064</v>
      </c>
      <c r="E1344" s="688" t="s">
        <v>442</v>
      </c>
      <c r="F1344" s="688"/>
      <c r="G1344" s="549" t="s">
        <v>81</v>
      </c>
      <c r="H1344" s="550">
        <v>0.01</v>
      </c>
      <c r="I1344" s="551">
        <v>4.9696999999999996</v>
      </c>
      <c r="J1344" s="551">
        <v>0.04</v>
      </c>
      <c r="K1344" s="552"/>
    </row>
    <row r="1345" spans="1:11" s="89" customFormat="1" ht="38.25" customHeight="1" x14ac:dyDescent="0.3">
      <c r="A1345" s="547" t="s">
        <v>433</v>
      </c>
      <c r="B1345" s="548" t="s">
        <v>1057</v>
      </c>
      <c r="C1345" s="547" t="s">
        <v>115</v>
      </c>
      <c r="D1345" s="547" t="s">
        <v>1058</v>
      </c>
      <c r="E1345" s="688" t="s">
        <v>442</v>
      </c>
      <c r="F1345" s="688"/>
      <c r="G1345" s="549" t="s">
        <v>81</v>
      </c>
      <c r="H1345" s="550">
        <v>0.01</v>
      </c>
      <c r="I1345" s="551">
        <v>220.7818</v>
      </c>
      <c r="J1345" s="551">
        <v>2.2000000000000002</v>
      </c>
      <c r="K1345" s="546"/>
    </row>
    <row r="1346" spans="1:11" ht="38.25" customHeight="1" x14ac:dyDescent="0.3">
      <c r="A1346" s="547" t="s">
        <v>433</v>
      </c>
      <c r="B1346" s="548" t="s">
        <v>1059</v>
      </c>
      <c r="C1346" s="547" t="s">
        <v>115</v>
      </c>
      <c r="D1346" s="547" t="s">
        <v>1060</v>
      </c>
      <c r="E1346" s="688" t="s">
        <v>442</v>
      </c>
      <c r="F1346" s="688"/>
      <c r="G1346" s="549" t="s">
        <v>81</v>
      </c>
      <c r="H1346" s="550">
        <v>0.01</v>
      </c>
      <c r="I1346" s="551">
        <v>151.00700000000001</v>
      </c>
      <c r="J1346" s="551">
        <v>1.51</v>
      </c>
      <c r="K1346" s="552"/>
    </row>
    <row r="1347" spans="1:11" ht="14.25" customHeight="1" thickBot="1" x14ac:dyDescent="0.35">
      <c r="A1347" s="547" t="s">
        <v>433</v>
      </c>
      <c r="B1347" s="548" t="s">
        <v>3880</v>
      </c>
      <c r="C1347" s="547" t="s">
        <v>203</v>
      </c>
      <c r="D1347" s="547" t="s">
        <v>3881</v>
      </c>
      <c r="E1347" s="688" t="s">
        <v>438</v>
      </c>
      <c r="F1347" s="688"/>
      <c r="G1347" s="549" t="s">
        <v>532</v>
      </c>
      <c r="H1347" s="550">
        <v>1.2</v>
      </c>
      <c r="I1347" s="551">
        <v>212.75</v>
      </c>
      <c r="J1347" s="551">
        <v>255.3</v>
      </c>
      <c r="K1347" s="552"/>
    </row>
    <row r="1348" spans="1:11" ht="14.25" customHeight="1" thickTop="1" x14ac:dyDescent="0.3">
      <c r="A1348" s="562"/>
      <c r="B1348" s="562"/>
      <c r="C1348" s="562"/>
      <c r="D1348" s="562"/>
      <c r="E1348" s="562"/>
      <c r="F1348" s="562"/>
      <c r="G1348" s="562"/>
      <c r="H1348" s="562"/>
      <c r="I1348" s="562"/>
      <c r="J1348" s="562"/>
      <c r="K1348" s="552"/>
    </row>
    <row r="1349" spans="1:11" x14ac:dyDescent="0.3">
      <c r="A1349" s="553"/>
      <c r="B1349" s="554" t="s">
        <v>4</v>
      </c>
      <c r="C1349" s="553" t="s">
        <v>5</v>
      </c>
      <c r="D1349" s="553" t="s">
        <v>6</v>
      </c>
      <c r="E1349" s="691" t="s">
        <v>427</v>
      </c>
      <c r="F1349" s="691"/>
      <c r="G1349" s="555" t="s">
        <v>7</v>
      </c>
      <c r="H1349" s="554" t="s">
        <v>8</v>
      </c>
      <c r="I1349" s="554" t="s">
        <v>9</v>
      </c>
      <c r="J1349" s="554" t="s">
        <v>11</v>
      </c>
      <c r="K1349" s="552"/>
    </row>
    <row r="1350" spans="1:11" ht="25" x14ac:dyDescent="0.3">
      <c r="A1350" s="607" t="s">
        <v>428</v>
      </c>
      <c r="B1350" s="608" t="s">
        <v>313</v>
      </c>
      <c r="C1350" s="607" t="s">
        <v>19</v>
      </c>
      <c r="D1350" s="607" t="s">
        <v>3818</v>
      </c>
      <c r="E1350" s="690" t="s">
        <v>619</v>
      </c>
      <c r="F1350" s="690"/>
      <c r="G1350" s="609" t="s">
        <v>532</v>
      </c>
      <c r="H1350" s="610">
        <v>1</v>
      </c>
      <c r="I1350" s="611">
        <v>3512.27</v>
      </c>
      <c r="J1350" s="611">
        <v>3512.27</v>
      </c>
      <c r="K1350" s="552"/>
    </row>
    <row r="1351" spans="1:11" ht="14.25" customHeight="1" x14ac:dyDescent="0.3">
      <c r="A1351" s="547" t="s">
        <v>430</v>
      </c>
      <c r="B1351" s="548" t="s">
        <v>629</v>
      </c>
      <c r="C1351" s="547" t="s">
        <v>19</v>
      </c>
      <c r="D1351" s="547" t="s">
        <v>630</v>
      </c>
      <c r="E1351" s="688" t="s">
        <v>429</v>
      </c>
      <c r="F1351" s="688"/>
      <c r="G1351" s="549" t="s">
        <v>423</v>
      </c>
      <c r="H1351" s="550">
        <v>1.8137000000000001</v>
      </c>
      <c r="I1351" s="551">
        <v>24.12</v>
      </c>
      <c r="J1351" s="551">
        <v>43.74</v>
      </c>
      <c r="K1351" s="552"/>
    </row>
    <row r="1352" spans="1:11" ht="14.25" customHeight="1" x14ac:dyDescent="0.3">
      <c r="A1352" s="547" t="s">
        <v>430</v>
      </c>
      <c r="B1352" s="548" t="s">
        <v>1022</v>
      </c>
      <c r="C1352" s="547" t="s">
        <v>19</v>
      </c>
      <c r="D1352" s="547" t="s">
        <v>1023</v>
      </c>
      <c r="E1352" s="688" t="s">
        <v>429</v>
      </c>
      <c r="F1352" s="688"/>
      <c r="G1352" s="549" t="s">
        <v>423</v>
      </c>
      <c r="H1352" s="550">
        <v>9.0685000000000002</v>
      </c>
      <c r="I1352" s="551">
        <v>29.49</v>
      </c>
      <c r="J1352" s="551">
        <v>267.43</v>
      </c>
      <c r="K1352" s="552"/>
    </row>
    <row r="1353" spans="1:11" s="89" customFormat="1" ht="38.25" customHeight="1" x14ac:dyDescent="0.3">
      <c r="A1353" s="547" t="s">
        <v>430</v>
      </c>
      <c r="B1353" s="548" t="s">
        <v>760</v>
      </c>
      <c r="C1353" s="547" t="s">
        <v>19</v>
      </c>
      <c r="D1353" s="547" t="s">
        <v>761</v>
      </c>
      <c r="E1353" s="688" t="s">
        <v>429</v>
      </c>
      <c r="F1353" s="688"/>
      <c r="G1353" s="549" t="s">
        <v>423</v>
      </c>
      <c r="H1353" s="550">
        <v>31.992999999999999</v>
      </c>
      <c r="I1353" s="551">
        <v>31.1</v>
      </c>
      <c r="J1353" s="551">
        <v>994.98</v>
      </c>
      <c r="K1353" s="546"/>
    </row>
    <row r="1354" spans="1:11" ht="14.25" customHeight="1" x14ac:dyDescent="0.3">
      <c r="A1354" s="547" t="s">
        <v>430</v>
      </c>
      <c r="B1354" s="548" t="s">
        <v>559</v>
      </c>
      <c r="C1354" s="547" t="s">
        <v>19</v>
      </c>
      <c r="D1354" s="547" t="s">
        <v>560</v>
      </c>
      <c r="E1354" s="688" t="s">
        <v>429</v>
      </c>
      <c r="F1354" s="688"/>
      <c r="G1354" s="549" t="s">
        <v>423</v>
      </c>
      <c r="H1354" s="550">
        <v>31.992999999999999</v>
      </c>
      <c r="I1354" s="551">
        <v>23.4</v>
      </c>
      <c r="J1354" s="551">
        <v>748.63</v>
      </c>
      <c r="K1354" s="552"/>
    </row>
    <row r="1355" spans="1:11" ht="14.25" customHeight="1" x14ac:dyDescent="0.3">
      <c r="A1355" s="547" t="s">
        <v>430</v>
      </c>
      <c r="B1355" s="548" t="s">
        <v>852</v>
      </c>
      <c r="C1355" s="547" t="s">
        <v>19</v>
      </c>
      <c r="D1355" s="547" t="s">
        <v>853</v>
      </c>
      <c r="E1355" s="688" t="s">
        <v>461</v>
      </c>
      <c r="F1355" s="688"/>
      <c r="G1355" s="549" t="s">
        <v>95</v>
      </c>
      <c r="H1355" s="550">
        <v>6.6349999999999998</v>
      </c>
      <c r="I1355" s="551">
        <v>1.23</v>
      </c>
      <c r="J1355" s="551">
        <v>8.16</v>
      </c>
      <c r="K1355" s="552"/>
    </row>
    <row r="1356" spans="1:11" ht="14.25" customHeight="1" x14ac:dyDescent="0.3">
      <c r="A1356" s="547" t="s">
        <v>430</v>
      </c>
      <c r="B1356" s="548" t="s">
        <v>854</v>
      </c>
      <c r="C1356" s="547" t="s">
        <v>19</v>
      </c>
      <c r="D1356" s="547" t="s">
        <v>855</v>
      </c>
      <c r="E1356" s="688" t="s">
        <v>461</v>
      </c>
      <c r="F1356" s="688"/>
      <c r="G1356" s="549" t="s">
        <v>102</v>
      </c>
      <c r="H1356" s="550">
        <v>18.091699999999999</v>
      </c>
      <c r="I1356" s="551">
        <v>0.53</v>
      </c>
      <c r="J1356" s="551">
        <v>9.58</v>
      </c>
      <c r="K1356" s="552"/>
    </row>
    <row r="1357" spans="1:11" s="89" customFormat="1" ht="15" customHeight="1" x14ac:dyDescent="0.3">
      <c r="A1357" s="547" t="s">
        <v>430</v>
      </c>
      <c r="B1357" s="548" t="s">
        <v>631</v>
      </c>
      <c r="C1357" s="547" t="s">
        <v>19</v>
      </c>
      <c r="D1357" s="547" t="s">
        <v>632</v>
      </c>
      <c r="E1357" s="688" t="s">
        <v>461</v>
      </c>
      <c r="F1357" s="688"/>
      <c r="G1357" s="549" t="s">
        <v>95</v>
      </c>
      <c r="H1357" s="550">
        <v>0.77359999999999995</v>
      </c>
      <c r="I1357" s="551">
        <v>26.94</v>
      </c>
      <c r="J1357" s="551">
        <v>20.84</v>
      </c>
      <c r="K1357" s="546"/>
    </row>
    <row r="1358" spans="1:11" ht="25.5" customHeight="1" x14ac:dyDescent="0.3">
      <c r="A1358" s="547" t="s">
        <v>430</v>
      </c>
      <c r="B1358" s="548" t="s">
        <v>633</v>
      </c>
      <c r="C1358" s="547" t="s">
        <v>19</v>
      </c>
      <c r="D1358" s="547" t="s">
        <v>634</v>
      </c>
      <c r="E1358" s="688" t="s">
        <v>461</v>
      </c>
      <c r="F1358" s="688"/>
      <c r="G1358" s="549" t="s">
        <v>102</v>
      </c>
      <c r="H1358" s="550">
        <v>1.0401</v>
      </c>
      <c r="I1358" s="551">
        <v>25.9</v>
      </c>
      <c r="J1358" s="551">
        <v>26.93</v>
      </c>
      <c r="K1358" s="552"/>
    </row>
    <row r="1359" spans="1:11" s="89" customFormat="1" ht="25" x14ac:dyDescent="0.3">
      <c r="A1359" s="547" t="s">
        <v>430</v>
      </c>
      <c r="B1359" s="548" t="s">
        <v>1065</v>
      </c>
      <c r="C1359" s="547" t="s">
        <v>19</v>
      </c>
      <c r="D1359" s="547" t="s">
        <v>1066</v>
      </c>
      <c r="E1359" s="688" t="s">
        <v>619</v>
      </c>
      <c r="F1359" s="688"/>
      <c r="G1359" s="549" t="s">
        <v>424</v>
      </c>
      <c r="H1359" s="550">
        <v>42.646299999999997</v>
      </c>
      <c r="I1359" s="551">
        <v>16.54</v>
      </c>
      <c r="J1359" s="551">
        <v>705.36</v>
      </c>
      <c r="K1359" s="546"/>
    </row>
    <row r="1360" spans="1:11" ht="25.5" customHeight="1" x14ac:dyDescent="0.3">
      <c r="A1360" s="547" t="s">
        <v>430</v>
      </c>
      <c r="B1360" s="548" t="s">
        <v>162</v>
      </c>
      <c r="C1360" s="547" t="s">
        <v>19</v>
      </c>
      <c r="D1360" s="547" t="s">
        <v>163</v>
      </c>
      <c r="E1360" s="688" t="s">
        <v>619</v>
      </c>
      <c r="F1360" s="688"/>
      <c r="G1360" s="549" t="s">
        <v>532</v>
      </c>
      <c r="H1360" s="550">
        <v>1.2</v>
      </c>
      <c r="I1360" s="551">
        <v>470.06</v>
      </c>
      <c r="J1360" s="551">
        <v>564.07000000000005</v>
      </c>
      <c r="K1360" s="552"/>
    </row>
    <row r="1361" spans="1:11" ht="25.5" customHeight="1" x14ac:dyDescent="0.3">
      <c r="A1361" s="547" t="s">
        <v>433</v>
      </c>
      <c r="B1361" s="548" t="s">
        <v>1067</v>
      </c>
      <c r="C1361" s="547" t="s">
        <v>19</v>
      </c>
      <c r="D1361" s="547" t="s">
        <v>1068</v>
      </c>
      <c r="E1361" s="688" t="s">
        <v>438</v>
      </c>
      <c r="F1361" s="688"/>
      <c r="G1361" s="549" t="s">
        <v>556</v>
      </c>
      <c r="H1361" s="550">
        <v>2.9790000000000001</v>
      </c>
      <c r="I1361" s="551">
        <v>36.07</v>
      </c>
      <c r="J1361" s="551">
        <v>107.45</v>
      </c>
      <c r="K1361" s="552"/>
    </row>
    <row r="1362" spans="1:11" ht="25" x14ac:dyDescent="0.3">
      <c r="A1362" s="547" t="s">
        <v>433</v>
      </c>
      <c r="B1362" s="548" t="s">
        <v>912</v>
      </c>
      <c r="C1362" s="547" t="s">
        <v>19</v>
      </c>
      <c r="D1362" s="547" t="s">
        <v>913</v>
      </c>
      <c r="E1362" s="688" t="s">
        <v>438</v>
      </c>
      <c r="F1362" s="688"/>
      <c r="G1362" s="549" t="s">
        <v>906</v>
      </c>
      <c r="H1362" s="550">
        <v>0.12</v>
      </c>
      <c r="I1362" s="551">
        <v>7.96</v>
      </c>
      <c r="J1362" s="551">
        <v>0.95</v>
      </c>
      <c r="K1362" s="552"/>
    </row>
    <row r="1363" spans="1:11" ht="14.25" customHeight="1" thickBot="1" x14ac:dyDescent="0.35">
      <c r="A1363" s="547" t="s">
        <v>433</v>
      </c>
      <c r="B1363" s="548" t="s">
        <v>797</v>
      </c>
      <c r="C1363" s="547" t="s">
        <v>19</v>
      </c>
      <c r="D1363" s="547" t="s">
        <v>798</v>
      </c>
      <c r="E1363" s="688" t="s">
        <v>438</v>
      </c>
      <c r="F1363" s="688"/>
      <c r="G1363" s="549" t="s">
        <v>424</v>
      </c>
      <c r="H1363" s="550">
        <v>0.64449999999999996</v>
      </c>
      <c r="I1363" s="551">
        <v>21.96</v>
      </c>
      <c r="J1363" s="551">
        <v>14.15</v>
      </c>
      <c r="K1363" s="552"/>
    </row>
    <row r="1364" spans="1:11" ht="14.25" customHeight="1" thickTop="1" x14ac:dyDescent="0.3">
      <c r="A1364" s="562"/>
      <c r="B1364" s="562"/>
      <c r="C1364" s="562"/>
      <c r="D1364" s="562"/>
      <c r="E1364" s="562"/>
      <c r="F1364" s="562"/>
      <c r="G1364" s="562"/>
      <c r="H1364" s="562"/>
      <c r="I1364" s="562"/>
      <c r="J1364" s="562"/>
      <c r="K1364" s="552"/>
    </row>
    <row r="1365" spans="1:11" s="89" customFormat="1" ht="15" customHeight="1" x14ac:dyDescent="0.3">
      <c r="A1365" s="553"/>
      <c r="B1365" s="554" t="s">
        <v>4</v>
      </c>
      <c r="C1365" s="553" t="s">
        <v>5</v>
      </c>
      <c r="D1365" s="553" t="s">
        <v>6</v>
      </c>
      <c r="E1365" s="691" t="s">
        <v>427</v>
      </c>
      <c r="F1365" s="691"/>
      <c r="G1365" s="555" t="s">
        <v>7</v>
      </c>
      <c r="H1365" s="554" t="s">
        <v>8</v>
      </c>
      <c r="I1365" s="554" t="s">
        <v>9</v>
      </c>
      <c r="J1365" s="554" t="s">
        <v>11</v>
      </c>
      <c r="K1365" s="546"/>
    </row>
    <row r="1366" spans="1:11" ht="14.25" customHeight="1" x14ac:dyDescent="0.3">
      <c r="A1366" s="607" t="s">
        <v>428</v>
      </c>
      <c r="B1366" s="608" t="s">
        <v>314</v>
      </c>
      <c r="C1366" s="607" t="s">
        <v>19</v>
      </c>
      <c r="D1366" s="607" t="s">
        <v>315</v>
      </c>
      <c r="E1366" s="690" t="s">
        <v>619</v>
      </c>
      <c r="F1366" s="690"/>
      <c r="G1366" s="609" t="s">
        <v>532</v>
      </c>
      <c r="H1366" s="610">
        <v>1</v>
      </c>
      <c r="I1366" s="611">
        <v>430.64</v>
      </c>
      <c r="J1366" s="611">
        <v>430.64</v>
      </c>
      <c r="K1366" s="552"/>
    </row>
    <row r="1367" spans="1:11" ht="25.5" customHeight="1" x14ac:dyDescent="0.3">
      <c r="A1367" s="547" t="s">
        <v>430</v>
      </c>
      <c r="B1367" s="548" t="s">
        <v>559</v>
      </c>
      <c r="C1367" s="547" t="s">
        <v>19</v>
      </c>
      <c r="D1367" s="547" t="s">
        <v>560</v>
      </c>
      <c r="E1367" s="688" t="s">
        <v>429</v>
      </c>
      <c r="F1367" s="688"/>
      <c r="G1367" s="549" t="s">
        <v>423</v>
      </c>
      <c r="H1367" s="550">
        <v>2.0266999999999999</v>
      </c>
      <c r="I1367" s="551">
        <v>23.4</v>
      </c>
      <c r="J1367" s="551">
        <v>47.42</v>
      </c>
      <c r="K1367" s="552"/>
    </row>
    <row r="1368" spans="1:11" ht="25.5" customHeight="1" x14ac:dyDescent="0.3">
      <c r="A1368" s="547" t="s">
        <v>430</v>
      </c>
      <c r="B1368" s="548" t="s">
        <v>816</v>
      </c>
      <c r="C1368" s="547" t="s">
        <v>19</v>
      </c>
      <c r="D1368" s="547" t="s">
        <v>817</v>
      </c>
      <c r="E1368" s="688" t="s">
        <v>429</v>
      </c>
      <c r="F1368" s="688"/>
      <c r="G1368" s="549" t="s">
        <v>423</v>
      </c>
      <c r="H1368" s="550">
        <v>1.2822</v>
      </c>
      <c r="I1368" s="551">
        <v>25.72</v>
      </c>
      <c r="J1368" s="551">
        <v>32.97</v>
      </c>
      <c r="K1368" s="552"/>
    </row>
    <row r="1369" spans="1:11" s="89" customFormat="1" ht="25.5" customHeight="1" x14ac:dyDescent="0.3">
      <c r="A1369" s="547" t="s">
        <v>430</v>
      </c>
      <c r="B1369" s="548" t="s">
        <v>818</v>
      </c>
      <c r="C1369" s="547" t="s">
        <v>19</v>
      </c>
      <c r="D1369" s="547" t="s">
        <v>3548</v>
      </c>
      <c r="E1369" s="688" t="s">
        <v>461</v>
      </c>
      <c r="F1369" s="688"/>
      <c r="G1369" s="549" t="s">
        <v>95</v>
      </c>
      <c r="H1369" s="550">
        <v>0.65990000000000004</v>
      </c>
      <c r="I1369" s="551">
        <v>4.9400000000000004</v>
      </c>
      <c r="J1369" s="551">
        <v>3.25</v>
      </c>
      <c r="K1369" s="546"/>
    </row>
    <row r="1370" spans="1:11" ht="14.25" customHeight="1" x14ac:dyDescent="0.3">
      <c r="A1370" s="547" t="s">
        <v>430</v>
      </c>
      <c r="B1370" s="548" t="s">
        <v>819</v>
      </c>
      <c r="C1370" s="547" t="s">
        <v>19</v>
      </c>
      <c r="D1370" s="547" t="s">
        <v>3549</v>
      </c>
      <c r="E1370" s="688" t="s">
        <v>461</v>
      </c>
      <c r="F1370" s="688"/>
      <c r="G1370" s="549" t="s">
        <v>102</v>
      </c>
      <c r="H1370" s="550">
        <v>0.62229999999999996</v>
      </c>
      <c r="I1370" s="551">
        <v>1.66</v>
      </c>
      <c r="J1370" s="551">
        <v>1.03</v>
      </c>
      <c r="K1370" s="552"/>
    </row>
    <row r="1371" spans="1:11" s="89" customFormat="1" x14ac:dyDescent="0.3">
      <c r="A1371" s="547" t="s">
        <v>433</v>
      </c>
      <c r="B1371" s="548" t="s">
        <v>820</v>
      </c>
      <c r="C1371" s="547" t="s">
        <v>115</v>
      </c>
      <c r="D1371" s="547" t="s">
        <v>821</v>
      </c>
      <c r="E1371" s="688" t="s">
        <v>438</v>
      </c>
      <c r="F1371" s="688"/>
      <c r="G1371" s="549" t="s">
        <v>532</v>
      </c>
      <c r="H1371" s="550">
        <v>0.80759999999999998</v>
      </c>
      <c r="I1371" s="551">
        <v>149.36019999999999</v>
      </c>
      <c r="J1371" s="551">
        <v>120.62</v>
      </c>
      <c r="K1371" s="546"/>
    </row>
    <row r="1372" spans="1:11" ht="38.25" customHeight="1" x14ac:dyDescent="0.3">
      <c r="A1372" s="547" t="s">
        <v>433</v>
      </c>
      <c r="B1372" s="548" t="s">
        <v>3844</v>
      </c>
      <c r="C1372" s="547" t="s">
        <v>115</v>
      </c>
      <c r="D1372" s="547" t="s">
        <v>3845</v>
      </c>
      <c r="E1372" s="688" t="s">
        <v>438</v>
      </c>
      <c r="F1372" s="688"/>
      <c r="G1372" s="549" t="s">
        <v>655</v>
      </c>
      <c r="H1372" s="550">
        <v>274.06349999999998</v>
      </c>
      <c r="I1372" s="551">
        <v>0.56679999999999997</v>
      </c>
      <c r="J1372" s="551">
        <v>155.33000000000001</v>
      </c>
      <c r="K1372" s="552"/>
    </row>
    <row r="1373" spans="1:11" ht="38.25" customHeight="1" thickBot="1" x14ac:dyDescent="0.35">
      <c r="A1373" s="547" t="s">
        <v>433</v>
      </c>
      <c r="B1373" s="548" t="s">
        <v>822</v>
      </c>
      <c r="C1373" s="547" t="s">
        <v>115</v>
      </c>
      <c r="D1373" s="547" t="s">
        <v>823</v>
      </c>
      <c r="E1373" s="688" t="s">
        <v>438</v>
      </c>
      <c r="F1373" s="688"/>
      <c r="G1373" s="549" t="s">
        <v>532</v>
      </c>
      <c r="H1373" s="550">
        <v>0.58130000000000004</v>
      </c>
      <c r="I1373" s="551">
        <v>120.4661</v>
      </c>
      <c r="J1373" s="551">
        <v>70.02</v>
      </c>
      <c r="K1373" s="552"/>
    </row>
    <row r="1374" spans="1:11" ht="14.5" thickTop="1" x14ac:dyDescent="0.3">
      <c r="A1374" s="562"/>
      <c r="B1374" s="562"/>
      <c r="C1374" s="562"/>
      <c r="D1374" s="562"/>
      <c r="E1374" s="562"/>
      <c r="F1374" s="562"/>
      <c r="G1374" s="562"/>
      <c r="H1374" s="562"/>
      <c r="I1374" s="562"/>
      <c r="J1374" s="562"/>
      <c r="K1374" s="552"/>
    </row>
    <row r="1375" spans="1:11" x14ac:dyDescent="0.3">
      <c r="A1375" s="553"/>
      <c r="B1375" s="554" t="s">
        <v>4</v>
      </c>
      <c r="C1375" s="553" t="s">
        <v>5</v>
      </c>
      <c r="D1375" s="553" t="s">
        <v>6</v>
      </c>
      <c r="E1375" s="691" t="s">
        <v>427</v>
      </c>
      <c r="F1375" s="691"/>
      <c r="G1375" s="555" t="s">
        <v>7</v>
      </c>
      <c r="H1375" s="554" t="s">
        <v>8</v>
      </c>
      <c r="I1375" s="554" t="s">
        <v>9</v>
      </c>
      <c r="J1375" s="554" t="s">
        <v>11</v>
      </c>
      <c r="K1375" s="552"/>
    </row>
    <row r="1376" spans="1:11" ht="25" x14ac:dyDescent="0.3">
      <c r="A1376" s="607" t="s">
        <v>428</v>
      </c>
      <c r="B1376" s="608" t="s">
        <v>316</v>
      </c>
      <c r="C1376" s="607" t="s">
        <v>115</v>
      </c>
      <c r="D1376" s="607" t="s">
        <v>1069</v>
      </c>
      <c r="E1376" s="690" t="s">
        <v>402</v>
      </c>
      <c r="F1376" s="690"/>
      <c r="G1376" s="609" t="s">
        <v>556</v>
      </c>
      <c r="H1376" s="610">
        <v>1</v>
      </c>
      <c r="I1376" s="611">
        <v>77.569999999999993</v>
      </c>
      <c r="J1376" s="611">
        <v>77.569999999999993</v>
      </c>
      <c r="K1376" s="552"/>
    </row>
    <row r="1377" spans="1:11" ht="15" customHeight="1" x14ac:dyDescent="0.3">
      <c r="A1377" s="691" t="s">
        <v>408</v>
      </c>
      <c r="B1377" s="692" t="s">
        <v>4</v>
      </c>
      <c r="C1377" s="691" t="s">
        <v>5</v>
      </c>
      <c r="D1377" s="691" t="s">
        <v>462</v>
      </c>
      <c r="E1377" s="692" t="s">
        <v>463</v>
      </c>
      <c r="F1377" s="694" t="s">
        <v>464</v>
      </c>
      <c r="G1377" s="692"/>
      <c r="H1377" s="694" t="s">
        <v>465</v>
      </c>
      <c r="I1377" s="692"/>
      <c r="J1377" s="692" t="s">
        <v>466</v>
      </c>
      <c r="K1377" s="552"/>
    </row>
    <row r="1378" spans="1:11" s="89" customFormat="1" x14ac:dyDescent="0.3">
      <c r="A1378" s="692"/>
      <c r="B1378" s="692"/>
      <c r="C1378" s="692"/>
      <c r="D1378" s="692"/>
      <c r="E1378" s="692"/>
      <c r="F1378" s="554" t="s">
        <v>467</v>
      </c>
      <c r="G1378" s="554" t="s">
        <v>468</v>
      </c>
      <c r="H1378" s="554" t="s">
        <v>467</v>
      </c>
      <c r="I1378" s="554" t="s">
        <v>468</v>
      </c>
      <c r="J1378" s="692"/>
      <c r="K1378" s="546"/>
    </row>
    <row r="1379" spans="1:11" s="89" customFormat="1" ht="15" customHeight="1" x14ac:dyDescent="0.3">
      <c r="A1379" s="547" t="s">
        <v>433</v>
      </c>
      <c r="B1379" s="548" t="s">
        <v>825</v>
      </c>
      <c r="C1379" s="547" t="s">
        <v>115</v>
      </c>
      <c r="D1379" s="547" t="s">
        <v>3550</v>
      </c>
      <c r="E1379" s="550">
        <v>9.3719999999999998E-2</v>
      </c>
      <c r="F1379" s="551">
        <v>1</v>
      </c>
      <c r="G1379" s="551">
        <v>0</v>
      </c>
      <c r="H1379" s="563">
        <v>18.346599999999999</v>
      </c>
      <c r="I1379" s="563">
        <v>4.6111000000000004</v>
      </c>
      <c r="J1379" s="563">
        <v>1.7194</v>
      </c>
      <c r="K1379" s="546"/>
    </row>
    <row r="1380" spans="1:11" s="89" customFormat="1" x14ac:dyDescent="0.3">
      <c r="A1380" s="547" t="s">
        <v>433</v>
      </c>
      <c r="B1380" s="548" t="s">
        <v>826</v>
      </c>
      <c r="C1380" s="547" t="s">
        <v>115</v>
      </c>
      <c r="D1380" s="547" t="s">
        <v>827</v>
      </c>
      <c r="E1380" s="550">
        <v>9.3719999999999998E-2</v>
      </c>
      <c r="F1380" s="551">
        <v>1</v>
      </c>
      <c r="G1380" s="551">
        <v>0</v>
      </c>
      <c r="H1380" s="563">
        <v>26.159800000000001</v>
      </c>
      <c r="I1380" s="563">
        <v>25.813600000000001</v>
      </c>
      <c r="J1380" s="563">
        <v>2.4517000000000002</v>
      </c>
      <c r="K1380" s="546"/>
    </row>
    <row r="1381" spans="1:11" ht="38.25" customHeight="1" x14ac:dyDescent="0.3">
      <c r="A1381" s="689"/>
      <c r="B1381" s="689"/>
      <c r="C1381" s="689"/>
      <c r="D1381" s="689"/>
      <c r="E1381" s="689"/>
      <c r="F1381" s="689" t="s">
        <v>471</v>
      </c>
      <c r="G1381" s="689"/>
      <c r="H1381" s="689"/>
      <c r="I1381" s="689"/>
      <c r="J1381" s="564">
        <v>4.1711</v>
      </c>
      <c r="K1381" s="552"/>
    </row>
    <row r="1382" spans="1:11" ht="38.25" customHeight="1" x14ac:dyDescent="0.3">
      <c r="A1382" s="689"/>
      <c r="B1382" s="689"/>
      <c r="C1382" s="689"/>
      <c r="D1382" s="689"/>
      <c r="E1382" s="689"/>
      <c r="F1382" s="689" t="s">
        <v>472</v>
      </c>
      <c r="G1382" s="689"/>
      <c r="H1382" s="689"/>
      <c r="I1382" s="689"/>
      <c r="J1382" s="564">
        <v>4.1711</v>
      </c>
      <c r="K1382" s="552"/>
    </row>
    <row r="1383" spans="1:11" ht="14.25" customHeight="1" x14ac:dyDescent="0.3">
      <c r="A1383" s="689"/>
      <c r="B1383" s="689"/>
      <c r="C1383" s="689"/>
      <c r="D1383" s="689"/>
      <c r="E1383" s="689"/>
      <c r="F1383" s="689" t="s">
        <v>473</v>
      </c>
      <c r="G1383" s="689"/>
      <c r="H1383" s="689"/>
      <c r="I1383" s="689"/>
      <c r="J1383" s="564">
        <v>0</v>
      </c>
      <c r="K1383" s="552"/>
    </row>
    <row r="1384" spans="1:11" x14ac:dyDescent="0.3">
      <c r="A1384" s="689"/>
      <c r="B1384" s="689"/>
      <c r="C1384" s="689"/>
      <c r="D1384" s="689"/>
      <c r="E1384" s="689"/>
      <c r="F1384" s="689" t="s">
        <v>474</v>
      </c>
      <c r="G1384" s="689"/>
      <c r="H1384" s="689"/>
      <c r="I1384" s="689"/>
      <c r="J1384" s="564">
        <v>0</v>
      </c>
      <c r="K1384" s="552"/>
    </row>
    <row r="1385" spans="1:11" ht="14.25" customHeight="1" x14ac:dyDescent="0.3">
      <c r="A1385" s="689"/>
      <c r="B1385" s="689"/>
      <c r="C1385" s="689"/>
      <c r="D1385" s="689"/>
      <c r="E1385" s="689"/>
      <c r="F1385" s="689" t="s">
        <v>475</v>
      </c>
      <c r="G1385" s="689"/>
      <c r="H1385" s="689"/>
      <c r="I1385" s="689"/>
      <c r="J1385" s="564">
        <v>1</v>
      </c>
      <c r="K1385" s="552"/>
    </row>
    <row r="1386" spans="1:11" ht="14.25" customHeight="1" x14ac:dyDescent="0.3">
      <c r="A1386" s="689"/>
      <c r="B1386" s="689"/>
      <c r="C1386" s="689"/>
      <c r="D1386" s="689"/>
      <c r="E1386" s="689"/>
      <c r="F1386" s="689" t="s">
        <v>476</v>
      </c>
      <c r="G1386" s="689"/>
      <c r="H1386" s="689"/>
      <c r="I1386" s="689"/>
      <c r="J1386" s="564">
        <v>4.1711</v>
      </c>
      <c r="K1386" s="552"/>
    </row>
    <row r="1387" spans="1:11" ht="15" customHeight="1" x14ac:dyDescent="0.3">
      <c r="A1387" s="553" t="s">
        <v>410</v>
      </c>
      <c r="B1387" s="554" t="s">
        <v>5</v>
      </c>
      <c r="C1387" s="553" t="s">
        <v>4</v>
      </c>
      <c r="D1387" s="553" t="s">
        <v>438</v>
      </c>
      <c r="E1387" s="554" t="s">
        <v>463</v>
      </c>
      <c r="F1387" s="554" t="s">
        <v>575</v>
      </c>
      <c r="G1387" s="692" t="s">
        <v>576</v>
      </c>
      <c r="H1387" s="692"/>
      <c r="I1387" s="692"/>
      <c r="J1387" s="554" t="s">
        <v>466</v>
      </c>
      <c r="K1387" s="552"/>
    </row>
    <row r="1388" spans="1:11" x14ac:dyDescent="0.3">
      <c r="A1388" s="547" t="s">
        <v>433</v>
      </c>
      <c r="B1388" s="548" t="s">
        <v>115</v>
      </c>
      <c r="C1388" s="547" t="s">
        <v>833</v>
      </c>
      <c r="D1388" s="547" t="s">
        <v>834</v>
      </c>
      <c r="E1388" s="550">
        <v>1.8519999999999998E-2</v>
      </c>
      <c r="F1388" s="549" t="s">
        <v>835</v>
      </c>
      <c r="G1388" s="693">
        <v>13.312900000000001</v>
      </c>
      <c r="H1388" s="693"/>
      <c r="I1388" s="688"/>
      <c r="J1388" s="563">
        <v>0.24660000000000001</v>
      </c>
      <c r="K1388" s="552"/>
    </row>
    <row r="1389" spans="1:11" ht="15" customHeight="1" x14ac:dyDescent="0.3">
      <c r="A1389" s="547" t="s">
        <v>433</v>
      </c>
      <c r="B1389" s="548" t="s">
        <v>115</v>
      </c>
      <c r="C1389" s="547" t="s">
        <v>838</v>
      </c>
      <c r="D1389" s="547" t="s">
        <v>839</v>
      </c>
      <c r="E1389" s="550">
        <v>2.3650000000000001E-2</v>
      </c>
      <c r="F1389" s="549" t="s">
        <v>655</v>
      </c>
      <c r="G1389" s="693">
        <v>18.600000000000001</v>
      </c>
      <c r="H1389" s="693"/>
      <c r="I1389" s="688"/>
      <c r="J1389" s="563">
        <v>0.43990000000000001</v>
      </c>
      <c r="K1389" s="552"/>
    </row>
    <row r="1390" spans="1:11" ht="15" customHeight="1" x14ac:dyDescent="0.3">
      <c r="A1390" s="547" t="s">
        <v>433</v>
      </c>
      <c r="B1390" s="548" t="s">
        <v>115</v>
      </c>
      <c r="C1390" s="547" t="s">
        <v>840</v>
      </c>
      <c r="D1390" s="547" t="s">
        <v>841</v>
      </c>
      <c r="E1390" s="550">
        <v>1.21489</v>
      </c>
      <c r="F1390" s="549" t="s">
        <v>830</v>
      </c>
      <c r="G1390" s="693">
        <v>4.5</v>
      </c>
      <c r="H1390" s="693"/>
      <c r="I1390" s="688"/>
      <c r="J1390" s="563">
        <v>5.4669999999999996</v>
      </c>
      <c r="K1390" s="552"/>
    </row>
    <row r="1391" spans="1:11" x14ac:dyDescent="0.3">
      <c r="A1391" s="547" t="s">
        <v>433</v>
      </c>
      <c r="B1391" s="548" t="s">
        <v>115</v>
      </c>
      <c r="C1391" s="547" t="s">
        <v>1070</v>
      </c>
      <c r="D1391" s="547" t="s">
        <v>1071</v>
      </c>
      <c r="E1391" s="550">
        <v>0.40429999999999999</v>
      </c>
      <c r="F1391" s="549" t="s">
        <v>556</v>
      </c>
      <c r="G1391" s="693">
        <v>43.125</v>
      </c>
      <c r="H1391" s="693"/>
      <c r="I1391" s="688"/>
      <c r="J1391" s="563">
        <v>17.435400000000001</v>
      </c>
      <c r="K1391" s="552"/>
    </row>
    <row r="1392" spans="1:11" ht="14.25" customHeight="1" x14ac:dyDescent="0.3">
      <c r="A1392" s="689"/>
      <c r="B1392" s="689"/>
      <c r="C1392" s="689"/>
      <c r="D1392" s="689"/>
      <c r="E1392" s="689"/>
      <c r="F1392" s="689" t="s">
        <v>813</v>
      </c>
      <c r="G1392" s="689"/>
      <c r="H1392" s="689"/>
      <c r="I1392" s="689"/>
      <c r="J1392" s="564">
        <v>23.588899999999999</v>
      </c>
      <c r="K1392" s="552"/>
    </row>
    <row r="1393" spans="1:11" ht="14.25" customHeight="1" x14ac:dyDescent="0.3">
      <c r="A1393" s="553" t="s">
        <v>573</v>
      </c>
      <c r="B1393" s="554" t="s">
        <v>5</v>
      </c>
      <c r="C1393" s="553" t="s">
        <v>4</v>
      </c>
      <c r="D1393" s="553" t="s">
        <v>574</v>
      </c>
      <c r="E1393" s="554" t="s">
        <v>463</v>
      </c>
      <c r="F1393" s="554" t="s">
        <v>575</v>
      </c>
      <c r="G1393" s="692" t="s">
        <v>576</v>
      </c>
      <c r="H1393" s="692"/>
      <c r="I1393" s="692"/>
      <c r="J1393" s="554" t="s">
        <v>466</v>
      </c>
      <c r="K1393" s="552"/>
    </row>
    <row r="1394" spans="1:11" ht="14.25" customHeight="1" x14ac:dyDescent="0.3">
      <c r="A1394" s="547" t="s">
        <v>577</v>
      </c>
      <c r="B1394" s="548" t="s">
        <v>19</v>
      </c>
      <c r="C1394" s="547">
        <v>88241</v>
      </c>
      <c r="D1394" s="547" t="s">
        <v>794</v>
      </c>
      <c r="E1394" s="550">
        <v>0.9</v>
      </c>
      <c r="F1394" s="549" t="s">
        <v>423</v>
      </c>
      <c r="G1394" s="693">
        <v>24.15</v>
      </c>
      <c r="H1394" s="693"/>
      <c r="I1394" s="688"/>
      <c r="J1394" s="563">
        <v>21.734999999999999</v>
      </c>
      <c r="K1394" s="552"/>
    </row>
    <row r="1395" spans="1:11" ht="14.25" customHeight="1" x14ac:dyDescent="0.3">
      <c r="A1395" s="547" t="s">
        <v>577</v>
      </c>
      <c r="B1395" s="548" t="s">
        <v>19</v>
      </c>
      <c r="C1395" s="547">
        <v>88262</v>
      </c>
      <c r="D1395" s="547" t="s">
        <v>621</v>
      </c>
      <c r="E1395" s="550">
        <v>0.9</v>
      </c>
      <c r="F1395" s="549" t="s">
        <v>423</v>
      </c>
      <c r="G1395" s="693">
        <v>30.71</v>
      </c>
      <c r="H1395" s="693"/>
      <c r="I1395" s="688"/>
      <c r="J1395" s="563">
        <v>27.638999999999999</v>
      </c>
      <c r="K1395" s="552"/>
    </row>
    <row r="1396" spans="1:11" s="89" customFormat="1" ht="15" customHeight="1" x14ac:dyDescent="0.3">
      <c r="A1396" s="689"/>
      <c r="B1396" s="689"/>
      <c r="C1396" s="689"/>
      <c r="D1396" s="689"/>
      <c r="E1396" s="689"/>
      <c r="F1396" s="689" t="s">
        <v>578</v>
      </c>
      <c r="G1396" s="689"/>
      <c r="H1396" s="689"/>
      <c r="I1396" s="689"/>
      <c r="J1396" s="564">
        <v>49.374000000000002</v>
      </c>
      <c r="K1396" s="546"/>
    </row>
    <row r="1397" spans="1:11" ht="14.25" customHeight="1" x14ac:dyDescent="0.3">
      <c r="A1397" s="553" t="s">
        <v>579</v>
      </c>
      <c r="B1397" s="554" t="s">
        <v>5</v>
      </c>
      <c r="C1397" s="553" t="s">
        <v>433</v>
      </c>
      <c r="D1397" s="553" t="s">
        <v>580</v>
      </c>
      <c r="E1397" s="554" t="s">
        <v>4</v>
      </c>
      <c r="F1397" s="554" t="s">
        <v>463</v>
      </c>
      <c r="G1397" s="555" t="s">
        <v>575</v>
      </c>
      <c r="H1397" s="692" t="s">
        <v>576</v>
      </c>
      <c r="I1397" s="692"/>
      <c r="J1397" s="554" t="s">
        <v>466</v>
      </c>
      <c r="K1397" s="552"/>
    </row>
    <row r="1398" spans="1:11" ht="14.25" customHeight="1" x14ac:dyDescent="0.3">
      <c r="A1398" s="547" t="s">
        <v>581</v>
      </c>
      <c r="B1398" s="548" t="s">
        <v>115</v>
      </c>
      <c r="C1398" s="547" t="s">
        <v>833</v>
      </c>
      <c r="D1398" s="547" t="s">
        <v>844</v>
      </c>
      <c r="E1398" s="548">
        <v>5914655</v>
      </c>
      <c r="F1398" s="550">
        <v>2.0000000000000002E-5</v>
      </c>
      <c r="G1398" s="549" t="s">
        <v>584</v>
      </c>
      <c r="H1398" s="693">
        <v>33.159999999999997</v>
      </c>
      <c r="I1398" s="688"/>
      <c r="J1398" s="563">
        <v>6.9999999999999999E-4</v>
      </c>
      <c r="K1398" s="552"/>
    </row>
    <row r="1399" spans="1:11" ht="14.25" customHeight="1" x14ac:dyDescent="0.3">
      <c r="A1399" s="547" t="s">
        <v>581</v>
      </c>
      <c r="B1399" s="548" t="s">
        <v>115</v>
      </c>
      <c r="C1399" s="547" t="s">
        <v>838</v>
      </c>
      <c r="D1399" s="547" t="s">
        <v>844</v>
      </c>
      <c r="E1399" s="548">
        <v>5914655</v>
      </c>
      <c r="F1399" s="550">
        <v>2.0000000000000002E-5</v>
      </c>
      <c r="G1399" s="549" t="s">
        <v>584</v>
      </c>
      <c r="H1399" s="693">
        <v>33.159999999999997</v>
      </c>
      <c r="I1399" s="688"/>
      <c r="J1399" s="563">
        <v>6.9999999999999999E-4</v>
      </c>
      <c r="K1399" s="552"/>
    </row>
    <row r="1400" spans="1:11" ht="15" customHeight="1" x14ac:dyDescent="0.3">
      <c r="A1400" s="547" t="s">
        <v>581</v>
      </c>
      <c r="B1400" s="548" t="s">
        <v>115</v>
      </c>
      <c r="C1400" s="547" t="s">
        <v>840</v>
      </c>
      <c r="D1400" s="547" t="s">
        <v>844</v>
      </c>
      <c r="E1400" s="548">
        <v>5914655</v>
      </c>
      <c r="F1400" s="550">
        <v>3.0400000000000002E-3</v>
      </c>
      <c r="G1400" s="549" t="s">
        <v>584</v>
      </c>
      <c r="H1400" s="693">
        <v>33.159999999999997</v>
      </c>
      <c r="I1400" s="688"/>
      <c r="J1400" s="563">
        <v>0.1008</v>
      </c>
      <c r="K1400" s="552"/>
    </row>
    <row r="1401" spans="1:11" ht="25" x14ac:dyDescent="0.3">
      <c r="A1401" s="547" t="s">
        <v>581</v>
      </c>
      <c r="B1401" s="548" t="s">
        <v>115</v>
      </c>
      <c r="C1401" s="547" t="s">
        <v>1070</v>
      </c>
      <c r="D1401" s="547" t="s">
        <v>844</v>
      </c>
      <c r="E1401" s="548">
        <v>5914655</v>
      </c>
      <c r="F1401" s="550">
        <v>1.0109999999999999E-2</v>
      </c>
      <c r="G1401" s="549" t="s">
        <v>584</v>
      </c>
      <c r="H1401" s="693">
        <v>33.159999999999997</v>
      </c>
      <c r="I1401" s="688"/>
      <c r="J1401" s="563">
        <v>0.3352</v>
      </c>
      <c r="K1401" s="552"/>
    </row>
    <row r="1402" spans="1:11" ht="14.25" customHeight="1" x14ac:dyDescent="0.3">
      <c r="A1402" s="689"/>
      <c r="B1402" s="689"/>
      <c r="C1402" s="689"/>
      <c r="D1402" s="689"/>
      <c r="E1402" s="689"/>
      <c r="F1402" s="689" t="s">
        <v>585</v>
      </c>
      <c r="G1402" s="689"/>
      <c r="H1402" s="689"/>
      <c r="I1402" s="689"/>
      <c r="J1402" s="564">
        <v>0.43740000000000001</v>
      </c>
      <c r="K1402" s="552"/>
    </row>
    <row r="1403" spans="1:11" ht="15" customHeight="1" x14ac:dyDescent="0.3">
      <c r="A1403" s="553" t="s">
        <v>586</v>
      </c>
      <c r="B1403" s="554" t="s">
        <v>5</v>
      </c>
      <c r="C1403" s="553" t="s">
        <v>433</v>
      </c>
      <c r="D1403" s="553" t="s">
        <v>587</v>
      </c>
      <c r="E1403" s="554" t="s">
        <v>463</v>
      </c>
      <c r="F1403" s="554" t="s">
        <v>575</v>
      </c>
      <c r="G1403" s="694" t="s">
        <v>588</v>
      </c>
      <c r="H1403" s="692"/>
      <c r="I1403" s="692"/>
      <c r="J1403" s="554" t="s">
        <v>466</v>
      </c>
      <c r="K1403" s="552"/>
    </row>
    <row r="1404" spans="1:11" ht="14.25" customHeight="1" x14ac:dyDescent="0.3">
      <c r="A1404" s="555"/>
      <c r="B1404" s="555"/>
      <c r="C1404" s="555"/>
      <c r="D1404" s="555"/>
      <c r="E1404" s="555"/>
      <c r="F1404" s="555"/>
      <c r="G1404" s="555" t="s">
        <v>589</v>
      </c>
      <c r="H1404" s="555" t="s">
        <v>590</v>
      </c>
      <c r="I1404" s="555" t="s">
        <v>591</v>
      </c>
      <c r="J1404" s="555"/>
      <c r="K1404" s="552"/>
    </row>
    <row r="1405" spans="1:11" ht="14.25" customHeight="1" x14ac:dyDescent="0.3">
      <c r="A1405" s="547" t="s">
        <v>587</v>
      </c>
      <c r="B1405" s="548" t="s">
        <v>115</v>
      </c>
      <c r="C1405" s="547" t="s">
        <v>833</v>
      </c>
      <c r="D1405" s="547" t="s">
        <v>847</v>
      </c>
      <c r="E1405" s="550">
        <v>2.0000000000000002E-5</v>
      </c>
      <c r="F1405" s="549" t="s">
        <v>593</v>
      </c>
      <c r="G1405" s="548" t="s">
        <v>3846</v>
      </c>
      <c r="H1405" s="548" t="s">
        <v>3847</v>
      </c>
      <c r="I1405" s="548" t="s">
        <v>3848</v>
      </c>
      <c r="J1405" s="563">
        <v>0</v>
      </c>
      <c r="K1405" s="552"/>
    </row>
    <row r="1406" spans="1:11" ht="15" customHeight="1" x14ac:dyDescent="0.3">
      <c r="A1406" s="547" t="s">
        <v>587</v>
      </c>
      <c r="B1406" s="548" t="s">
        <v>115</v>
      </c>
      <c r="C1406" s="547" t="s">
        <v>838</v>
      </c>
      <c r="D1406" s="547" t="s">
        <v>849</v>
      </c>
      <c r="E1406" s="550">
        <v>2.0000000000000002E-5</v>
      </c>
      <c r="F1406" s="549" t="s">
        <v>593</v>
      </c>
      <c r="G1406" s="548" t="s">
        <v>3846</v>
      </c>
      <c r="H1406" s="548" t="s">
        <v>3847</v>
      </c>
      <c r="I1406" s="548" t="s">
        <v>3848</v>
      </c>
      <c r="J1406" s="563">
        <v>0</v>
      </c>
      <c r="K1406" s="552"/>
    </row>
    <row r="1407" spans="1:11" ht="37.5" x14ac:dyDescent="0.3">
      <c r="A1407" s="547" t="s">
        <v>587</v>
      </c>
      <c r="B1407" s="548" t="s">
        <v>115</v>
      </c>
      <c r="C1407" s="547" t="s">
        <v>840</v>
      </c>
      <c r="D1407" s="547" t="s">
        <v>850</v>
      </c>
      <c r="E1407" s="550">
        <v>3.0400000000000002E-3</v>
      </c>
      <c r="F1407" s="549" t="s">
        <v>593</v>
      </c>
      <c r="G1407" s="548" t="s">
        <v>3846</v>
      </c>
      <c r="H1407" s="548" t="s">
        <v>3847</v>
      </c>
      <c r="I1407" s="548" t="s">
        <v>3848</v>
      </c>
      <c r="J1407" s="563">
        <v>0</v>
      </c>
      <c r="K1407" s="552"/>
    </row>
    <row r="1408" spans="1:11" s="89" customFormat="1" ht="15" customHeight="1" x14ac:dyDescent="0.3">
      <c r="A1408" s="547" t="s">
        <v>587</v>
      </c>
      <c r="B1408" s="548" t="s">
        <v>115</v>
      </c>
      <c r="C1408" s="547" t="s">
        <v>1070</v>
      </c>
      <c r="D1408" s="547" t="s">
        <v>1072</v>
      </c>
      <c r="E1408" s="550">
        <v>1.0109999999999999E-2</v>
      </c>
      <c r="F1408" s="549" t="s">
        <v>593</v>
      </c>
      <c r="G1408" s="548" t="s">
        <v>3846</v>
      </c>
      <c r="H1408" s="548" t="s">
        <v>3847</v>
      </c>
      <c r="I1408" s="548" t="s">
        <v>3848</v>
      </c>
      <c r="J1408" s="563">
        <v>0</v>
      </c>
      <c r="K1408" s="546"/>
    </row>
    <row r="1409" spans="1:11" s="89" customFormat="1" ht="15" customHeight="1" thickBot="1" x14ac:dyDescent="0.35">
      <c r="A1409" s="689"/>
      <c r="B1409" s="689"/>
      <c r="C1409" s="689"/>
      <c r="D1409" s="689"/>
      <c r="E1409" s="689"/>
      <c r="F1409" s="689" t="s">
        <v>594</v>
      </c>
      <c r="G1409" s="689"/>
      <c r="H1409" s="689"/>
      <c r="I1409" s="689"/>
      <c r="J1409" s="564">
        <v>0</v>
      </c>
      <c r="K1409" s="546"/>
    </row>
    <row r="1410" spans="1:11" ht="14.5" thickTop="1" x14ac:dyDescent="0.3">
      <c r="A1410" s="562"/>
      <c r="B1410" s="562"/>
      <c r="C1410" s="562"/>
      <c r="D1410" s="562"/>
      <c r="E1410" s="562"/>
      <c r="F1410" s="562"/>
      <c r="G1410" s="562"/>
      <c r="H1410" s="562"/>
      <c r="I1410" s="562"/>
      <c r="J1410" s="562"/>
      <c r="K1410" s="552"/>
    </row>
    <row r="1411" spans="1:11" s="89" customFormat="1" x14ac:dyDescent="0.3">
      <c r="A1411" s="553"/>
      <c r="B1411" s="554" t="s">
        <v>4</v>
      </c>
      <c r="C1411" s="553" t="s">
        <v>5</v>
      </c>
      <c r="D1411" s="553" t="s">
        <v>6</v>
      </c>
      <c r="E1411" s="691" t="s">
        <v>427</v>
      </c>
      <c r="F1411" s="691"/>
      <c r="G1411" s="555" t="s">
        <v>7</v>
      </c>
      <c r="H1411" s="554" t="s">
        <v>8</v>
      </c>
      <c r="I1411" s="554" t="s">
        <v>9</v>
      </c>
      <c r="J1411" s="554" t="s">
        <v>11</v>
      </c>
      <c r="K1411" s="546"/>
    </row>
    <row r="1412" spans="1:11" ht="15" customHeight="1" x14ac:dyDescent="0.3">
      <c r="A1412" s="607" t="s">
        <v>428</v>
      </c>
      <c r="B1412" s="608" t="s">
        <v>318</v>
      </c>
      <c r="C1412" s="607" t="s">
        <v>19</v>
      </c>
      <c r="D1412" s="607" t="s">
        <v>319</v>
      </c>
      <c r="E1412" s="690" t="s">
        <v>1033</v>
      </c>
      <c r="F1412" s="690"/>
      <c r="G1412" s="609" t="s">
        <v>173</v>
      </c>
      <c r="H1412" s="610">
        <v>1</v>
      </c>
      <c r="I1412" s="611">
        <v>300.54000000000002</v>
      </c>
      <c r="J1412" s="611">
        <v>300.54000000000002</v>
      </c>
      <c r="K1412" s="552"/>
    </row>
    <row r="1413" spans="1:11" ht="50" x14ac:dyDescent="0.3">
      <c r="A1413" s="547" t="s">
        <v>430</v>
      </c>
      <c r="B1413" s="548" t="s">
        <v>756</v>
      </c>
      <c r="C1413" s="547" t="s">
        <v>19</v>
      </c>
      <c r="D1413" s="547" t="s">
        <v>757</v>
      </c>
      <c r="E1413" s="688" t="s">
        <v>461</v>
      </c>
      <c r="F1413" s="688"/>
      <c r="G1413" s="549" t="s">
        <v>95</v>
      </c>
      <c r="H1413" s="550">
        <v>7.4200000000000002E-2</v>
      </c>
      <c r="I1413" s="551">
        <v>139.99</v>
      </c>
      <c r="J1413" s="551">
        <v>10.38</v>
      </c>
      <c r="K1413" s="552"/>
    </row>
    <row r="1414" spans="1:11" ht="14.25" customHeight="1" x14ac:dyDescent="0.3">
      <c r="A1414" s="547" t="s">
        <v>430</v>
      </c>
      <c r="B1414" s="548" t="s">
        <v>758</v>
      </c>
      <c r="C1414" s="547" t="s">
        <v>19</v>
      </c>
      <c r="D1414" s="547" t="s">
        <v>759</v>
      </c>
      <c r="E1414" s="688" t="s">
        <v>461</v>
      </c>
      <c r="F1414" s="688"/>
      <c r="G1414" s="549" t="s">
        <v>102</v>
      </c>
      <c r="H1414" s="550">
        <v>0.1512</v>
      </c>
      <c r="I1414" s="551">
        <v>61.95</v>
      </c>
      <c r="J1414" s="551">
        <v>9.36</v>
      </c>
      <c r="K1414" s="552"/>
    </row>
    <row r="1415" spans="1:11" s="89" customFormat="1" ht="15" customHeight="1" x14ac:dyDescent="0.3">
      <c r="A1415" s="547" t="s">
        <v>430</v>
      </c>
      <c r="B1415" s="548" t="s">
        <v>760</v>
      </c>
      <c r="C1415" s="547" t="s">
        <v>19</v>
      </c>
      <c r="D1415" s="547" t="s">
        <v>761</v>
      </c>
      <c r="E1415" s="688" t="s">
        <v>429</v>
      </c>
      <c r="F1415" s="688"/>
      <c r="G1415" s="549" t="s">
        <v>423</v>
      </c>
      <c r="H1415" s="550">
        <v>0.2999</v>
      </c>
      <c r="I1415" s="551">
        <v>31.1</v>
      </c>
      <c r="J1415" s="551">
        <v>9.32</v>
      </c>
      <c r="K1415" s="546"/>
    </row>
    <row r="1416" spans="1:11" ht="14.25" customHeight="1" x14ac:dyDescent="0.3">
      <c r="A1416" s="547" t="s">
        <v>430</v>
      </c>
      <c r="B1416" s="548" t="s">
        <v>559</v>
      </c>
      <c r="C1416" s="547" t="s">
        <v>19</v>
      </c>
      <c r="D1416" s="547" t="s">
        <v>560</v>
      </c>
      <c r="E1416" s="688" t="s">
        <v>429</v>
      </c>
      <c r="F1416" s="688"/>
      <c r="G1416" s="549" t="s">
        <v>423</v>
      </c>
      <c r="H1416" s="550">
        <v>0.2356</v>
      </c>
      <c r="I1416" s="551">
        <v>23.4</v>
      </c>
      <c r="J1416" s="551">
        <v>5.51</v>
      </c>
      <c r="K1416" s="552"/>
    </row>
    <row r="1417" spans="1:11" s="89" customFormat="1" ht="25" x14ac:dyDescent="0.3">
      <c r="A1417" s="547" t="s">
        <v>430</v>
      </c>
      <c r="B1417" s="548" t="s">
        <v>762</v>
      </c>
      <c r="C1417" s="547" t="s">
        <v>19</v>
      </c>
      <c r="D1417" s="547" t="s">
        <v>763</v>
      </c>
      <c r="E1417" s="688" t="s">
        <v>429</v>
      </c>
      <c r="F1417" s="688"/>
      <c r="G1417" s="549" t="s">
        <v>532</v>
      </c>
      <c r="H1417" s="550">
        <v>6.1999999999999998E-3</v>
      </c>
      <c r="I1417" s="551">
        <v>524.29</v>
      </c>
      <c r="J1417" s="551">
        <v>3.25</v>
      </c>
      <c r="K1417" s="546"/>
    </row>
    <row r="1418" spans="1:11" ht="14.25" customHeight="1" thickBot="1" x14ac:dyDescent="0.35">
      <c r="A1418" s="547" t="s">
        <v>433</v>
      </c>
      <c r="B1418" s="548" t="s">
        <v>1073</v>
      </c>
      <c r="C1418" s="547" t="s">
        <v>19</v>
      </c>
      <c r="D1418" s="547" t="s">
        <v>1074</v>
      </c>
      <c r="E1418" s="688" t="s">
        <v>438</v>
      </c>
      <c r="F1418" s="688"/>
      <c r="G1418" s="549" t="s">
        <v>81</v>
      </c>
      <c r="H1418" s="550">
        <v>2</v>
      </c>
      <c r="I1418" s="551">
        <v>131.36000000000001</v>
      </c>
      <c r="J1418" s="551">
        <v>262.72000000000003</v>
      </c>
      <c r="K1418" s="552"/>
    </row>
    <row r="1419" spans="1:11" ht="14.25" customHeight="1" thickTop="1" x14ac:dyDescent="0.3">
      <c r="A1419" s="562"/>
      <c r="B1419" s="562"/>
      <c r="C1419" s="562"/>
      <c r="D1419" s="562"/>
      <c r="E1419" s="562"/>
      <c r="F1419" s="562"/>
      <c r="G1419" s="562"/>
      <c r="H1419" s="562"/>
      <c r="I1419" s="562"/>
      <c r="J1419" s="562"/>
      <c r="K1419" s="552"/>
    </row>
    <row r="1420" spans="1:11" x14ac:dyDescent="0.3">
      <c r="A1420" s="553"/>
      <c r="B1420" s="554" t="s">
        <v>4</v>
      </c>
      <c r="C1420" s="553" t="s">
        <v>5</v>
      </c>
      <c r="D1420" s="553" t="s">
        <v>6</v>
      </c>
      <c r="E1420" s="691" t="s">
        <v>427</v>
      </c>
      <c r="F1420" s="691"/>
      <c r="G1420" s="555" t="s">
        <v>7</v>
      </c>
      <c r="H1420" s="554" t="s">
        <v>8</v>
      </c>
      <c r="I1420" s="554" t="s">
        <v>9</v>
      </c>
      <c r="J1420" s="554" t="s">
        <v>11</v>
      </c>
      <c r="K1420" s="552"/>
    </row>
    <row r="1421" spans="1:11" ht="15" customHeight="1" x14ac:dyDescent="0.3">
      <c r="A1421" s="607" t="s">
        <v>428</v>
      </c>
      <c r="B1421" s="608" t="s">
        <v>321</v>
      </c>
      <c r="C1421" s="607" t="s">
        <v>175</v>
      </c>
      <c r="D1421" s="607" t="s">
        <v>3882</v>
      </c>
      <c r="E1421" s="690" t="s">
        <v>402</v>
      </c>
      <c r="F1421" s="690"/>
      <c r="G1421" s="609" t="s">
        <v>173</v>
      </c>
      <c r="H1421" s="610">
        <v>1</v>
      </c>
      <c r="I1421" s="611">
        <v>5.19</v>
      </c>
      <c r="J1421" s="611">
        <v>5.19</v>
      </c>
      <c r="K1421" s="552"/>
    </row>
    <row r="1422" spans="1:11" ht="14.25" customHeight="1" x14ac:dyDescent="0.3">
      <c r="A1422" s="547" t="s">
        <v>430</v>
      </c>
      <c r="B1422" s="548" t="s">
        <v>1011</v>
      </c>
      <c r="C1422" s="547" t="s">
        <v>19</v>
      </c>
      <c r="D1422" s="547" t="s">
        <v>1012</v>
      </c>
      <c r="E1422" s="688" t="s">
        <v>429</v>
      </c>
      <c r="F1422" s="688"/>
      <c r="G1422" s="549" t="s">
        <v>423</v>
      </c>
      <c r="H1422" s="550">
        <v>0.03</v>
      </c>
      <c r="I1422" s="551">
        <v>25.19</v>
      </c>
      <c r="J1422" s="551">
        <v>0.75</v>
      </c>
      <c r="K1422" s="552"/>
    </row>
    <row r="1423" spans="1:11" ht="62.5" x14ac:dyDescent="0.3">
      <c r="A1423" s="547" t="s">
        <v>430</v>
      </c>
      <c r="B1423" s="548" t="s">
        <v>1077</v>
      </c>
      <c r="C1423" s="547" t="s">
        <v>19</v>
      </c>
      <c r="D1423" s="547" t="s">
        <v>3561</v>
      </c>
      <c r="E1423" s="688" t="s">
        <v>461</v>
      </c>
      <c r="F1423" s="688"/>
      <c r="G1423" s="549" t="s">
        <v>95</v>
      </c>
      <c r="H1423" s="550">
        <v>8.9999999999999993E-3</v>
      </c>
      <c r="I1423" s="551">
        <v>338.68</v>
      </c>
      <c r="J1423" s="551">
        <v>3.04</v>
      </c>
      <c r="K1423" s="552"/>
    </row>
    <row r="1424" spans="1:11" s="89" customFormat="1" ht="25.5" customHeight="1" thickBot="1" x14ac:dyDescent="0.35">
      <c r="A1424" s="547" t="s">
        <v>430</v>
      </c>
      <c r="B1424" s="548" t="s">
        <v>559</v>
      </c>
      <c r="C1424" s="547" t="s">
        <v>19</v>
      </c>
      <c r="D1424" s="547" t="s">
        <v>560</v>
      </c>
      <c r="E1424" s="688" t="s">
        <v>429</v>
      </c>
      <c r="F1424" s="688"/>
      <c r="G1424" s="549" t="s">
        <v>423</v>
      </c>
      <c r="H1424" s="550">
        <v>0.06</v>
      </c>
      <c r="I1424" s="551">
        <v>23.4</v>
      </c>
      <c r="J1424" s="551">
        <v>1.4</v>
      </c>
      <c r="K1424" s="546"/>
    </row>
    <row r="1425" spans="1:11" ht="14.25" customHeight="1" thickTop="1" x14ac:dyDescent="0.3">
      <c r="A1425" s="562"/>
      <c r="B1425" s="562"/>
      <c r="C1425" s="562"/>
      <c r="D1425" s="562"/>
      <c r="E1425" s="562"/>
      <c r="F1425" s="562"/>
      <c r="G1425" s="562"/>
      <c r="H1425" s="562"/>
      <c r="I1425" s="562"/>
      <c r="J1425" s="562"/>
      <c r="K1425" s="552"/>
    </row>
    <row r="1426" spans="1:11" ht="14.25" customHeight="1" x14ac:dyDescent="0.3">
      <c r="A1426" s="553"/>
      <c r="B1426" s="554" t="s">
        <v>4</v>
      </c>
      <c r="C1426" s="553" t="s">
        <v>5</v>
      </c>
      <c r="D1426" s="553" t="s">
        <v>6</v>
      </c>
      <c r="E1426" s="691" t="s">
        <v>427</v>
      </c>
      <c r="F1426" s="691"/>
      <c r="G1426" s="555" t="s">
        <v>7</v>
      </c>
      <c r="H1426" s="554" t="s">
        <v>8</v>
      </c>
      <c r="I1426" s="554" t="s">
        <v>9</v>
      </c>
      <c r="J1426" s="554" t="s">
        <v>11</v>
      </c>
      <c r="K1426" s="552"/>
    </row>
    <row r="1427" spans="1:11" ht="14.25" customHeight="1" x14ac:dyDescent="0.3">
      <c r="A1427" s="607" t="s">
        <v>428</v>
      </c>
      <c r="B1427" s="608" t="s">
        <v>341</v>
      </c>
      <c r="C1427" s="607" t="s">
        <v>188</v>
      </c>
      <c r="D1427" s="607" t="s">
        <v>3562</v>
      </c>
      <c r="E1427" s="690" t="s">
        <v>1134</v>
      </c>
      <c r="F1427" s="690"/>
      <c r="G1427" s="609" t="s">
        <v>869</v>
      </c>
      <c r="H1427" s="610">
        <v>1</v>
      </c>
      <c r="I1427" s="611">
        <v>35.1</v>
      </c>
      <c r="J1427" s="611">
        <v>35.1</v>
      </c>
      <c r="K1427" s="552"/>
    </row>
    <row r="1428" spans="1:11" ht="14.25" customHeight="1" thickBot="1" x14ac:dyDescent="0.35">
      <c r="A1428" s="547" t="s">
        <v>430</v>
      </c>
      <c r="B1428" s="548" t="s">
        <v>559</v>
      </c>
      <c r="C1428" s="547" t="s">
        <v>19</v>
      </c>
      <c r="D1428" s="547" t="s">
        <v>560</v>
      </c>
      <c r="E1428" s="688" t="s">
        <v>429</v>
      </c>
      <c r="F1428" s="688"/>
      <c r="G1428" s="549" t="s">
        <v>423</v>
      </c>
      <c r="H1428" s="550">
        <v>1.5</v>
      </c>
      <c r="I1428" s="551">
        <v>23.4</v>
      </c>
      <c r="J1428" s="551">
        <v>35.1</v>
      </c>
      <c r="K1428" s="552"/>
    </row>
    <row r="1429" spans="1:11" s="89" customFormat="1" ht="14.5" thickTop="1" x14ac:dyDescent="0.3">
      <c r="A1429" s="562"/>
      <c r="B1429" s="562"/>
      <c r="C1429" s="562"/>
      <c r="D1429" s="562"/>
      <c r="E1429" s="562"/>
      <c r="F1429" s="562"/>
      <c r="G1429" s="562"/>
      <c r="H1429" s="562"/>
      <c r="I1429" s="562"/>
      <c r="J1429" s="562"/>
      <c r="K1429" s="546"/>
    </row>
    <row r="1430" spans="1:11" s="89" customFormat="1" x14ac:dyDescent="0.3">
      <c r="A1430" s="553"/>
      <c r="B1430" s="554" t="s">
        <v>4</v>
      </c>
      <c r="C1430" s="553" t="s">
        <v>5</v>
      </c>
      <c r="D1430" s="553" t="s">
        <v>6</v>
      </c>
      <c r="E1430" s="691" t="s">
        <v>427</v>
      </c>
      <c r="F1430" s="691"/>
      <c r="G1430" s="555" t="s">
        <v>7</v>
      </c>
      <c r="H1430" s="554" t="s">
        <v>8</v>
      </c>
      <c r="I1430" s="554" t="s">
        <v>9</v>
      </c>
      <c r="J1430" s="554" t="s">
        <v>11</v>
      </c>
      <c r="K1430" s="546"/>
    </row>
    <row r="1431" spans="1:11" ht="15" customHeight="1" x14ac:dyDescent="0.3">
      <c r="A1431" s="607" t="s">
        <v>428</v>
      </c>
      <c r="B1431" s="608" t="s">
        <v>344</v>
      </c>
      <c r="C1431" s="607" t="s">
        <v>196</v>
      </c>
      <c r="D1431" s="607" t="s">
        <v>3883</v>
      </c>
      <c r="E1431" s="690">
        <v>2514</v>
      </c>
      <c r="F1431" s="690"/>
      <c r="G1431" s="609" t="s">
        <v>81</v>
      </c>
      <c r="H1431" s="610">
        <v>1</v>
      </c>
      <c r="I1431" s="611">
        <v>165.13</v>
      </c>
      <c r="J1431" s="611">
        <v>165.13</v>
      </c>
      <c r="K1431" s="552"/>
    </row>
    <row r="1432" spans="1:11" ht="14.5" thickBot="1" x14ac:dyDescent="0.35">
      <c r="A1432" s="547" t="s">
        <v>430</v>
      </c>
      <c r="B1432" s="548" t="s">
        <v>1135</v>
      </c>
      <c r="C1432" s="547" t="s">
        <v>196</v>
      </c>
      <c r="D1432" s="547" t="s">
        <v>1136</v>
      </c>
      <c r="E1432" s="688">
        <v>81</v>
      </c>
      <c r="F1432" s="688"/>
      <c r="G1432" s="549" t="s">
        <v>1137</v>
      </c>
      <c r="H1432" s="550">
        <v>2.2000000000000002</v>
      </c>
      <c r="I1432" s="551">
        <v>75.06</v>
      </c>
      <c r="J1432" s="551">
        <v>165.13</v>
      </c>
      <c r="K1432" s="552"/>
    </row>
    <row r="1433" spans="1:11" s="89" customFormat="1" ht="14.5" thickTop="1" x14ac:dyDescent="0.3">
      <c r="A1433" s="562"/>
      <c r="B1433" s="562"/>
      <c r="C1433" s="562"/>
      <c r="D1433" s="562"/>
      <c r="E1433" s="562"/>
      <c r="F1433" s="562"/>
      <c r="G1433" s="562"/>
      <c r="H1433" s="562"/>
      <c r="I1433" s="562"/>
      <c r="J1433" s="562"/>
      <c r="K1433" s="546"/>
    </row>
    <row r="1434" spans="1:11" s="89" customFormat="1" ht="15" customHeight="1" x14ac:dyDescent="0.3">
      <c r="A1434" s="553"/>
      <c r="B1434" s="554" t="s">
        <v>4</v>
      </c>
      <c r="C1434" s="553" t="s">
        <v>5</v>
      </c>
      <c r="D1434" s="553" t="s">
        <v>6</v>
      </c>
      <c r="E1434" s="691" t="s">
        <v>427</v>
      </c>
      <c r="F1434" s="691"/>
      <c r="G1434" s="555" t="s">
        <v>7</v>
      </c>
      <c r="H1434" s="554" t="s">
        <v>8</v>
      </c>
      <c r="I1434" s="554" t="s">
        <v>9</v>
      </c>
      <c r="J1434" s="554" t="s">
        <v>11</v>
      </c>
      <c r="K1434" s="546"/>
    </row>
    <row r="1435" spans="1:11" x14ac:dyDescent="0.3">
      <c r="A1435" s="607" t="s">
        <v>428</v>
      </c>
      <c r="B1435" s="608" t="s">
        <v>346</v>
      </c>
      <c r="C1435" s="607" t="s">
        <v>196</v>
      </c>
      <c r="D1435" s="607" t="s">
        <v>3884</v>
      </c>
      <c r="E1435" s="690">
        <v>2514</v>
      </c>
      <c r="F1435" s="690"/>
      <c r="G1435" s="609" t="s">
        <v>81</v>
      </c>
      <c r="H1435" s="610">
        <v>1</v>
      </c>
      <c r="I1435" s="611">
        <v>27.02</v>
      </c>
      <c r="J1435" s="611">
        <v>27.02</v>
      </c>
      <c r="K1435" s="552"/>
    </row>
    <row r="1436" spans="1:11" ht="15" customHeight="1" thickBot="1" x14ac:dyDescent="0.35">
      <c r="A1436" s="547" t="s">
        <v>430</v>
      </c>
      <c r="B1436" s="548" t="s">
        <v>1135</v>
      </c>
      <c r="C1436" s="547" t="s">
        <v>196</v>
      </c>
      <c r="D1436" s="547" t="s">
        <v>1136</v>
      </c>
      <c r="E1436" s="688">
        <v>81</v>
      </c>
      <c r="F1436" s="688"/>
      <c r="G1436" s="549" t="s">
        <v>1137</v>
      </c>
      <c r="H1436" s="550">
        <v>0.36</v>
      </c>
      <c r="I1436" s="551">
        <v>75.06</v>
      </c>
      <c r="J1436" s="551">
        <v>27.02</v>
      </c>
      <c r="K1436" s="552"/>
    </row>
    <row r="1437" spans="1:11" ht="14.5" thickTop="1" x14ac:dyDescent="0.3">
      <c r="A1437" s="562"/>
      <c r="B1437" s="562"/>
      <c r="C1437" s="562"/>
      <c r="D1437" s="562"/>
      <c r="E1437" s="562"/>
      <c r="F1437" s="562"/>
      <c r="G1437" s="562"/>
      <c r="H1437" s="562"/>
      <c r="I1437" s="562"/>
      <c r="J1437" s="562"/>
      <c r="K1437" s="552"/>
    </row>
    <row r="1438" spans="1:11" s="89" customFormat="1" x14ac:dyDescent="0.3">
      <c r="A1438" s="553"/>
      <c r="B1438" s="554" t="s">
        <v>4</v>
      </c>
      <c r="C1438" s="553" t="s">
        <v>5</v>
      </c>
      <c r="D1438" s="553" t="s">
        <v>6</v>
      </c>
      <c r="E1438" s="691" t="s">
        <v>427</v>
      </c>
      <c r="F1438" s="691"/>
      <c r="G1438" s="555" t="s">
        <v>7</v>
      </c>
      <c r="H1438" s="554" t="s">
        <v>8</v>
      </c>
      <c r="I1438" s="554" t="s">
        <v>9</v>
      </c>
      <c r="J1438" s="554" t="s">
        <v>11</v>
      </c>
      <c r="K1438" s="546"/>
    </row>
    <row r="1439" spans="1:11" s="89" customFormat="1" ht="25" x14ac:dyDescent="0.3">
      <c r="A1439" s="607" t="s">
        <v>428</v>
      </c>
      <c r="B1439" s="608" t="s">
        <v>349</v>
      </c>
      <c r="C1439" s="607" t="s">
        <v>188</v>
      </c>
      <c r="D1439" s="607" t="s">
        <v>3885</v>
      </c>
      <c r="E1439" s="690" t="s">
        <v>1138</v>
      </c>
      <c r="F1439" s="690"/>
      <c r="G1439" s="609" t="s">
        <v>869</v>
      </c>
      <c r="H1439" s="610">
        <v>1</v>
      </c>
      <c r="I1439" s="611">
        <v>541.14</v>
      </c>
      <c r="J1439" s="611">
        <v>541.14</v>
      </c>
      <c r="K1439" s="546"/>
    </row>
    <row r="1440" spans="1:11" s="89" customFormat="1" ht="15.75" customHeight="1" x14ac:dyDescent="0.3">
      <c r="A1440" s="547" t="s">
        <v>430</v>
      </c>
      <c r="B1440" s="548" t="s">
        <v>1139</v>
      </c>
      <c r="C1440" s="547" t="s">
        <v>188</v>
      </c>
      <c r="D1440" s="547" t="s">
        <v>1140</v>
      </c>
      <c r="E1440" s="688" t="s">
        <v>1141</v>
      </c>
      <c r="F1440" s="688"/>
      <c r="G1440" s="549" t="s">
        <v>556</v>
      </c>
      <c r="H1440" s="550">
        <v>0.189</v>
      </c>
      <c r="I1440" s="551">
        <v>124.29</v>
      </c>
      <c r="J1440" s="551">
        <v>23.49</v>
      </c>
      <c r="K1440" s="546"/>
    </row>
    <row r="1441" spans="1:11" ht="25" x14ac:dyDescent="0.3">
      <c r="A1441" s="547" t="s">
        <v>430</v>
      </c>
      <c r="B1441" s="548" t="s">
        <v>1142</v>
      </c>
      <c r="C1441" s="547" t="s">
        <v>188</v>
      </c>
      <c r="D1441" s="547" t="s">
        <v>1143</v>
      </c>
      <c r="E1441" s="688" t="s">
        <v>1144</v>
      </c>
      <c r="F1441" s="688"/>
      <c r="G1441" s="549" t="s">
        <v>532</v>
      </c>
      <c r="H1441" s="550">
        <v>1E-3</v>
      </c>
      <c r="I1441" s="551">
        <v>511.2</v>
      </c>
      <c r="J1441" s="551">
        <v>0.51</v>
      </c>
      <c r="K1441" s="552"/>
    </row>
    <row r="1442" spans="1:11" s="89" customFormat="1" ht="15" customHeight="1" x14ac:dyDescent="0.3">
      <c r="A1442" s="547" t="s">
        <v>430</v>
      </c>
      <c r="B1442" s="548" t="s">
        <v>559</v>
      </c>
      <c r="C1442" s="547" t="s">
        <v>19</v>
      </c>
      <c r="D1442" s="547" t="s">
        <v>560</v>
      </c>
      <c r="E1442" s="688" t="s">
        <v>429</v>
      </c>
      <c r="F1442" s="688"/>
      <c r="G1442" s="549" t="s">
        <v>423</v>
      </c>
      <c r="H1442" s="550">
        <v>0.5</v>
      </c>
      <c r="I1442" s="551">
        <v>23.4</v>
      </c>
      <c r="J1442" s="551">
        <v>11.7</v>
      </c>
      <c r="K1442" s="546"/>
    </row>
    <row r="1443" spans="1:11" ht="14.25" customHeight="1" x14ac:dyDescent="0.3">
      <c r="A1443" s="547" t="s">
        <v>430</v>
      </c>
      <c r="B1443" s="548" t="s">
        <v>760</v>
      </c>
      <c r="C1443" s="547" t="s">
        <v>19</v>
      </c>
      <c r="D1443" s="547" t="s">
        <v>761</v>
      </c>
      <c r="E1443" s="688" t="s">
        <v>429</v>
      </c>
      <c r="F1443" s="688"/>
      <c r="G1443" s="549" t="s">
        <v>423</v>
      </c>
      <c r="H1443" s="550">
        <v>0.5</v>
      </c>
      <c r="I1443" s="551">
        <v>31.1</v>
      </c>
      <c r="J1443" s="551">
        <v>15.55</v>
      </c>
      <c r="K1443" s="552"/>
    </row>
    <row r="1444" spans="1:11" ht="38" thickBot="1" x14ac:dyDescent="0.35">
      <c r="A1444" s="547" t="s">
        <v>433</v>
      </c>
      <c r="B1444" s="548" t="s">
        <v>1145</v>
      </c>
      <c r="C1444" s="547" t="s">
        <v>19</v>
      </c>
      <c r="D1444" s="547" t="s">
        <v>3886</v>
      </c>
      <c r="E1444" s="688" t="s">
        <v>438</v>
      </c>
      <c r="F1444" s="688"/>
      <c r="G1444" s="549" t="s">
        <v>81</v>
      </c>
      <c r="H1444" s="550">
        <v>1</v>
      </c>
      <c r="I1444" s="551">
        <v>489.89</v>
      </c>
      <c r="J1444" s="551">
        <v>489.89</v>
      </c>
      <c r="K1444" s="552"/>
    </row>
    <row r="1445" spans="1:11" ht="14.25" customHeight="1" thickTop="1" x14ac:dyDescent="0.3">
      <c r="A1445" s="562"/>
      <c r="B1445" s="562"/>
      <c r="C1445" s="562"/>
      <c r="D1445" s="562"/>
      <c r="E1445" s="562"/>
      <c r="F1445" s="562"/>
      <c r="G1445" s="562"/>
      <c r="H1445" s="562"/>
      <c r="I1445" s="562"/>
      <c r="J1445" s="562"/>
      <c r="K1445" s="552"/>
    </row>
    <row r="1446" spans="1:11" ht="14.25" customHeight="1" x14ac:dyDescent="0.3">
      <c r="A1446" s="553"/>
      <c r="B1446" s="554" t="s">
        <v>4</v>
      </c>
      <c r="C1446" s="553" t="s">
        <v>5</v>
      </c>
      <c r="D1446" s="553" t="s">
        <v>6</v>
      </c>
      <c r="E1446" s="691" t="s">
        <v>427</v>
      </c>
      <c r="F1446" s="691"/>
      <c r="G1446" s="555" t="s">
        <v>7</v>
      </c>
      <c r="H1446" s="554" t="s">
        <v>8</v>
      </c>
      <c r="I1446" s="554" t="s">
        <v>9</v>
      </c>
      <c r="J1446" s="554" t="s">
        <v>11</v>
      </c>
      <c r="K1446" s="552"/>
    </row>
    <row r="1447" spans="1:11" x14ac:dyDescent="0.3">
      <c r="A1447" s="607" t="s">
        <v>428</v>
      </c>
      <c r="B1447" s="608" t="s">
        <v>332</v>
      </c>
      <c r="C1447" s="607" t="s">
        <v>115</v>
      </c>
      <c r="D1447" s="607" t="s">
        <v>1094</v>
      </c>
      <c r="E1447" s="690" t="s">
        <v>402</v>
      </c>
      <c r="F1447" s="690"/>
      <c r="G1447" s="609" t="s">
        <v>532</v>
      </c>
      <c r="H1447" s="610">
        <v>1</v>
      </c>
      <c r="I1447" s="611">
        <v>8.59</v>
      </c>
      <c r="J1447" s="611">
        <v>8.59</v>
      </c>
      <c r="K1447" s="552"/>
    </row>
    <row r="1448" spans="1:11" ht="15" customHeight="1" x14ac:dyDescent="0.3">
      <c r="A1448" s="691" t="s">
        <v>408</v>
      </c>
      <c r="B1448" s="692" t="s">
        <v>4</v>
      </c>
      <c r="C1448" s="691" t="s">
        <v>5</v>
      </c>
      <c r="D1448" s="691" t="s">
        <v>462</v>
      </c>
      <c r="E1448" s="692" t="s">
        <v>463</v>
      </c>
      <c r="F1448" s="694" t="s">
        <v>464</v>
      </c>
      <c r="G1448" s="692"/>
      <c r="H1448" s="694" t="s">
        <v>465</v>
      </c>
      <c r="I1448" s="692"/>
      <c r="J1448" s="692" t="s">
        <v>466</v>
      </c>
      <c r="K1448" s="552"/>
    </row>
    <row r="1449" spans="1:11" x14ac:dyDescent="0.3">
      <c r="A1449" s="692"/>
      <c r="B1449" s="692"/>
      <c r="C1449" s="692"/>
      <c r="D1449" s="692"/>
      <c r="E1449" s="692"/>
      <c r="F1449" s="554" t="s">
        <v>467</v>
      </c>
      <c r="G1449" s="554" t="s">
        <v>468</v>
      </c>
      <c r="H1449" s="554" t="s">
        <v>467</v>
      </c>
      <c r="I1449" s="554" t="s">
        <v>468</v>
      </c>
      <c r="J1449" s="692"/>
      <c r="K1449" s="552"/>
    </row>
    <row r="1450" spans="1:11" s="89" customFormat="1" x14ac:dyDescent="0.3">
      <c r="A1450" s="547" t="s">
        <v>433</v>
      </c>
      <c r="B1450" s="548" t="s">
        <v>974</v>
      </c>
      <c r="C1450" s="547" t="s">
        <v>115</v>
      </c>
      <c r="D1450" s="547" t="s">
        <v>975</v>
      </c>
      <c r="E1450" s="550">
        <v>1</v>
      </c>
      <c r="F1450" s="551">
        <v>0.41</v>
      </c>
      <c r="G1450" s="551">
        <v>0.59</v>
      </c>
      <c r="H1450" s="563">
        <v>318.66019999999997</v>
      </c>
      <c r="I1450" s="563">
        <v>78.744600000000005</v>
      </c>
      <c r="J1450" s="563">
        <v>177.11</v>
      </c>
      <c r="K1450" s="546"/>
    </row>
    <row r="1451" spans="1:11" ht="15" customHeight="1" x14ac:dyDescent="0.3">
      <c r="A1451" s="547" t="s">
        <v>433</v>
      </c>
      <c r="B1451" s="548" t="s">
        <v>1091</v>
      </c>
      <c r="C1451" s="547" t="s">
        <v>115</v>
      </c>
      <c r="D1451" s="547" t="s">
        <v>1064</v>
      </c>
      <c r="E1451" s="550">
        <v>1</v>
      </c>
      <c r="F1451" s="551">
        <v>0.24</v>
      </c>
      <c r="G1451" s="551">
        <v>0.76</v>
      </c>
      <c r="H1451" s="563">
        <v>4.9696999999999996</v>
      </c>
      <c r="I1451" s="563">
        <v>3.4607999999999999</v>
      </c>
      <c r="J1451" s="563">
        <v>3.8229000000000002</v>
      </c>
      <c r="K1451" s="552"/>
    </row>
    <row r="1452" spans="1:11" s="89" customFormat="1" x14ac:dyDescent="0.3">
      <c r="A1452" s="547" t="s">
        <v>433</v>
      </c>
      <c r="B1452" s="548" t="s">
        <v>571</v>
      </c>
      <c r="C1452" s="547" t="s">
        <v>115</v>
      </c>
      <c r="D1452" s="547" t="s">
        <v>572</v>
      </c>
      <c r="E1452" s="550">
        <v>1</v>
      </c>
      <c r="F1452" s="551">
        <v>0.13</v>
      </c>
      <c r="G1452" s="551">
        <v>0.87</v>
      </c>
      <c r="H1452" s="563">
        <v>283.4787</v>
      </c>
      <c r="I1452" s="563">
        <v>121.99</v>
      </c>
      <c r="J1452" s="563">
        <v>142.98349999999999</v>
      </c>
      <c r="K1452" s="546"/>
    </row>
    <row r="1453" spans="1:11" s="89" customFormat="1" ht="25" x14ac:dyDescent="0.3">
      <c r="A1453" s="547" t="s">
        <v>433</v>
      </c>
      <c r="B1453" s="548" t="s">
        <v>1092</v>
      </c>
      <c r="C1453" s="547" t="s">
        <v>115</v>
      </c>
      <c r="D1453" s="547" t="s">
        <v>1058</v>
      </c>
      <c r="E1453" s="550">
        <v>1</v>
      </c>
      <c r="F1453" s="551">
        <v>1</v>
      </c>
      <c r="G1453" s="551">
        <v>0</v>
      </c>
      <c r="H1453" s="563">
        <v>220.7818</v>
      </c>
      <c r="I1453" s="563">
        <v>97.687299999999993</v>
      </c>
      <c r="J1453" s="563">
        <v>220.7818</v>
      </c>
      <c r="K1453" s="546"/>
    </row>
    <row r="1454" spans="1:11" ht="14.25" customHeight="1" x14ac:dyDescent="0.3">
      <c r="A1454" s="547" t="s">
        <v>433</v>
      </c>
      <c r="B1454" s="548" t="s">
        <v>1093</v>
      </c>
      <c r="C1454" s="547" t="s">
        <v>115</v>
      </c>
      <c r="D1454" s="547" t="s">
        <v>1060</v>
      </c>
      <c r="E1454" s="550">
        <v>1</v>
      </c>
      <c r="F1454" s="551">
        <v>0.24</v>
      </c>
      <c r="G1454" s="551">
        <v>0.76</v>
      </c>
      <c r="H1454" s="563">
        <v>151.00700000000001</v>
      </c>
      <c r="I1454" s="563">
        <v>55.2605</v>
      </c>
      <c r="J1454" s="563">
        <v>78.239699999999999</v>
      </c>
      <c r="K1454" s="552"/>
    </row>
    <row r="1455" spans="1:11" ht="14.25" customHeight="1" x14ac:dyDescent="0.3">
      <c r="A1455" s="689"/>
      <c r="B1455" s="689"/>
      <c r="C1455" s="689"/>
      <c r="D1455" s="689"/>
      <c r="E1455" s="689"/>
      <c r="F1455" s="689" t="s">
        <v>471</v>
      </c>
      <c r="G1455" s="689"/>
      <c r="H1455" s="689"/>
      <c r="I1455" s="689"/>
      <c r="J1455" s="564">
        <v>622.93790000000001</v>
      </c>
      <c r="K1455" s="552"/>
    </row>
    <row r="1456" spans="1:11" ht="14.25" customHeight="1" x14ac:dyDescent="0.3">
      <c r="A1456" s="689"/>
      <c r="B1456" s="689"/>
      <c r="C1456" s="689"/>
      <c r="D1456" s="689"/>
      <c r="E1456" s="689"/>
      <c r="F1456" s="689" t="s">
        <v>472</v>
      </c>
      <c r="G1456" s="689"/>
      <c r="H1456" s="689"/>
      <c r="I1456" s="689"/>
      <c r="J1456" s="564">
        <v>622.93790000000001</v>
      </c>
      <c r="K1456" s="552"/>
    </row>
    <row r="1457" spans="1:11" s="89" customFormat="1" ht="15" customHeight="1" x14ac:dyDescent="0.3">
      <c r="A1457" s="689"/>
      <c r="B1457" s="689"/>
      <c r="C1457" s="689"/>
      <c r="D1457" s="689"/>
      <c r="E1457" s="689"/>
      <c r="F1457" s="689" t="s">
        <v>473</v>
      </c>
      <c r="G1457" s="689"/>
      <c r="H1457" s="689"/>
      <c r="I1457" s="689"/>
      <c r="J1457" s="564">
        <v>2.24E-2</v>
      </c>
      <c r="K1457" s="546"/>
    </row>
    <row r="1458" spans="1:11" x14ac:dyDescent="0.3">
      <c r="A1458" s="689"/>
      <c r="B1458" s="689"/>
      <c r="C1458" s="689"/>
      <c r="D1458" s="689"/>
      <c r="E1458" s="689"/>
      <c r="F1458" s="689" t="s">
        <v>474</v>
      </c>
      <c r="G1458" s="689"/>
      <c r="H1458" s="689"/>
      <c r="I1458" s="689"/>
      <c r="J1458" s="564">
        <v>0.18149999999999999</v>
      </c>
      <c r="K1458" s="552"/>
    </row>
    <row r="1459" spans="1:11" ht="14.25" customHeight="1" x14ac:dyDescent="0.3">
      <c r="A1459" s="689"/>
      <c r="B1459" s="689"/>
      <c r="C1459" s="689"/>
      <c r="D1459" s="689"/>
      <c r="E1459" s="689"/>
      <c r="F1459" s="689" t="s">
        <v>475</v>
      </c>
      <c r="G1459" s="689"/>
      <c r="H1459" s="689"/>
      <c r="I1459" s="689"/>
      <c r="J1459" s="564">
        <v>76.89</v>
      </c>
      <c r="K1459" s="552"/>
    </row>
    <row r="1460" spans="1:11" ht="14.25" customHeight="1" x14ac:dyDescent="0.3">
      <c r="A1460" s="689"/>
      <c r="B1460" s="689"/>
      <c r="C1460" s="689"/>
      <c r="D1460" s="689"/>
      <c r="E1460" s="689"/>
      <c r="F1460" s="689" t="s">
        <v>476</v>
      </c>
      <c r="G1460" s="689"/>
      <c r="H1460" s="689"/>
      <c r="I1460" s="689"/>
      <c r="J1460" s="564">
        <v>8.1016999999999992</v>
      </c>
      <c r="K1460" s="552"/>
    </row>
    <row r="1461" spans="1:11" ht="15" customHeight="1" x14ac:dyDescent="0.3">
      <c r="A1461" s="553" t="s">
        <v>573</v>
      </c>
      <c r="B1461" s="554" t="s">
        <v>5</v>
      </c>
      <c r="C1461" s="553" t="s">
        <v>4</v>
      </c>
      <c r="D1461" s="553" t="s">
        <v>574</v>
      </c>
      <c r="E1461" s="554" t="s">
        <v>463</v>
      </c>
      <c r="F1461" s="554" t="s">
        <v>575</v>
      </c>
      <c r="G1461" s="692" t="s">
        <v>576</v>
      </c>
      <c r="H1461" s="692"/>
      <c r="I1461" s="692"/>
      <c r="J1461" s="554" t="s">
        <v>466</v>
      </c>
      <c r="K1461" s="552"/>
    </row>
    <row r="1462" spans="1:11" x14ac:dyDescent="0.3">
      <c r="A1462" s="547" t="s">
        <v>577</v>
      </c>
      <c r="B1462" s="548" t="s">
        <v>19</v>
      </c>
      <c r="C1462" s="547">
        <v>88316</v>
      </c>
      <c r="D1462" s="547" t="s">
        <v>560</v>
      </c>
      <c r="E1462" s="550">
        <v>1.3005600000000001E-2</v>
      </c>
      <c r="F1462" s="549" t="s">
        <v>423</v>
      </c>
      <c r="G1462" s="693">
        <v>23.4</v>
      </c>
      <c r="H1462" s="693"/>
      <c r="I1462" s="688"/>
      <c r="J1462" s="563">
        <v>0.30430000000000001</v>
      </c>
      <c r="K1462" s="552"/>
    </row>
    <row r="1463" spans="1:11" s="89" customFormat="1" ht="15" customHeight="1" thickBot="1" x14ac:dyDescent="0.35">
      <c r="A1463" s="689"/>
      <c r="B1463" s="689"/>
      <c r="C1463" s="689"/>
      <c r="D1463" s="689"/>
      <c r="E1463" s="689"/>
      <c r="F1463" s="689" t="s">
        <v>578</v>
      </c>
      <c r="G1463" s="689"/>
      <c r="H1463" s="689"/>
      <c r="I1463" s="689"/>
      <c r="J1463" s="564">
        <v>0.30430000000000001</v>
      </c>
      <c r="K1463" s="546"/>
    </row>
    <row r="1464" spans="1:11" ht="14.5" thickTop="1" x14ac:dyDescent="0.3">
      <c r="A1464" s="562"/>
      <c r="B1464" s="562"/>
      <c r="C1464" s="562"/>
      <c r="D1464" s="562"/>
      <c r="E1464" s="562"/>
      <c r="F1464" s="562"/>
      <c r="G1464" s="562"/>
      <c r="H1464" s="562"/>
      <c r="I1464" s="562"/>
      <c r="J1464" s="562"/>
      <c r="K1464" s="552"/>
    </row>
    <row r="1465" spans="1:11" s="89" customFormat="1" x14ac:dyDescent="0.3">
      <c r="A1465" s="553"/>
      <c r="B1465" s="554" t="s">
        <v>4</v>
      </c>
      <c r="C1465" s="553" t="s">
        <v>5</v>
      </c>
      <c r="D1465" s="553" t="s">
        <v>6</v>
      </c>
      <c r="E1465" s="691" t="s">
        <v>427</v>
      </c>
      <c r="F1465" s="691"/>
      <c r="G1465" s="555" t="s">
        <v>7</v>
      </c>
      <c r="H1465" s="554" t="s">
        <v>8</v>
      </c>
      <c r="I1465" s="554" t="s">
        <v>9</v>
      </c>
      <c r="J1465" s="554" t="s">
        <v>11</v>
      </c>
      <c r="K1465" s="546"/>
    </row>
    <row r="1466" spans="1:11" s="89" customFormat="1" ht="15.75" customHeight="1" x14ac:dyDescent="0.3">
      <c r="A1466" s="607" t="s">
        <v>428</v>
      </c>
      <c r="B1466" s="608" t="s">
        <v>217</v>
      </c>
      <c r="C1466" s="607" t="s">
        <v>19</v>
      </c>
      <c r="D1466" s="607" t="s">
        <v>3791</v>
      </c>
      <c r="E1466" s="690" t="s">
        <v>709</v>
      </c>
      <c r="F1466" s="690"/>
      <c r="G1466" s="609" t="s">
        <v>532</v>
      </c>
      <c r="H1466" s="610">
        <v>1</v>
      </c>
      <c r="I1466" s="611">
        <v>10.96</v>
      </c>
      <c r="J1466" s="611">
        <v>10.96</v>
      </c>
      <c r="K1466" s="546"/>
    </row>
    <row r="1467" spans="1:11" ht="14.25" customHeight="1" x14ac:dyDescent="0.3">
      <c r="A1467" s="547" t="s">
        <v>430</v>
      </c>
      <c r="B1467" s="548" t="s">
        <v>559</v>
      </c>
      <c r="C1467" s="547" t="s">
        <v>19</v>
      </c>
      <c r="D1467" s="547" t="s">
        <v>560</v>
      </c>
      <c r="E1467" s="688" t="s">
        <v>429</v>
      </c>
      <c r="F1467" s="688"/>
      <c r="G1467" s="549" t="s">
        <v>423</v>
      </c>
      <c r="H1467" s="550">
        <v>5.44199E-2</v>
      </c>
      <c r="I1467" s="551">
        <v>23.4</v>
      </c>
      <c r="J1467" s="551">
        <v>1.27</v>
      </c>
      <c r="K1467" s="552"/>
    </row>
    <row r="1468" spans="1:11" ht="14.25" customHeight="1" x14ac:dyDescent="0.3">
      <c r="A1468" s="547" t="s">
        <v>430</v>
      </c>
      <c r="B1468" s="548" t="s">
        <v>595</v>
      </c>
      <c r="C1468" s="547" t="s">
        <v>19</v>
      </c>
      <c r="D1468" s="547" t="s">
        <v>596</v>
      </c>
      <c r="E1468" s="688" t="s">
        <v>461</v>
      </c>
      <c r="F1468" s="688"/>
      <c r="G1468" s="549" t="s">
        <v>95</v>
      </c>
      <c r="H1468" s="550">
        <v>3.0441099999999999E-2</v>
      </c>
      <c r="I1468" s="551">
        <v>242.79</v>
      </c>
      <c r="J1468" s="551">
        <v>7.39</v>
      </c>
      <c r="K1468" s="552"/>
    </row>
    <row r="1469" spans="1:11" s="89" customFormat="1" ht="15" customHeight="1" thickBot="1" x14ac:dyDescent="0.35">
      <c r="A1469" s="547" t="s">
        <v>430</v>
      </c>
      <c r="B1469" s="548" t="s">
        <v>597</v>
      </c>
      <c r="C1469" s="547" t="s">
        <v>19</v>
      </c>
      <c r="D1469" s="547" t="s">
        <v>598</v>
      </c>
      <c r="E1469" s="688" t="s">
        <v>461</v>
      </c>
      <c r="F1469" s="688"/>
      <c r="G1469" s="549" t="s">
        <v>102</v>
      </c>
      <c r="H1469" s="550">
        <v>2.3978800000000002E-2</v>
      </c>
      <c r="I1469" s="551">
        <v>95.97</v>
      </c>
      <c r="J1469" s="551">
        <v>2.2999999999999998</v>
      </c>
      <c r="K1469" s="546"/>
    </row>
    <row r="1470" spans="1:11" ht="14.5" thickTop="1" x14ac:dyDescent="0.3">
      <c r="A1470" s="562"/>
      <c r="B1470" s="562"/>
      <c r="C1470" s="562"/>
      <c r="D1470" s="562"/>
      <c r="E1470" s="562"/>
      <c r="F1470" s="562"/>
      <c r="G1470" s="562"/>
      <c r="H1470" s="562"/>
      <c r="I1470" s="562"/>
      <c r="J1470" s="562"/>
      <c r="K1470" s="552"/>
    </row>
    <row r="1471" spans="1:11" ht="14.25" customHeight="1" x14ac:dyDescent="0.3">
      <c r="A1471" s="553"/>
      <c r="B1471" s="554" t="s">
        <v>4</v>
      </c>
      <c r="C1471" s="553" t="s">
        <v>5</v>
      </c>
      <c r="D1471" s="553" t="s">
        <v>6</v>
      </c>
      <c r="E1471" s="691" t="s">
        <v>427</v>
      </c>
      <c r="F1471" s="691"/>
      <c r="G1471" s="555" t="s">
        <v>7</v>
      </c>
      <c r="H1471" s="554" t="s">
        <v>8</v>
      </c>
      <c r="I1471" s="554" t="s">
        <v>9</v>
      </c>
      <c r="J1471" s="554" t="s">
        <v>11</v>
      </c>
      <c r="K1471" s="552"/>
    </row>
    <row r="1472" spans="1:11" s="89" customFormat="1" ht="15" customHeight="1" x14ac:dyDescent="0.3">
      <c r="A1472" s="607" t="s">
        <v>428</v>
      </c>
      <c r="B1472" s="608" t="s">
        <v>218</v>
      </c>
      <c r="C1472" s="607" t="s">
        <v>19</v>
      </c>
      <c r="D1472" s="607" t="s">
        <v>3792</v>
      </c>
      <c r="E1472" s="690" t="s">
        <v>709</v>
      </c>
      <c r="F1472" s="690"/>
      <c r="G1472" s="609" t="s">
        <v>532</v>
      </c>
      <c r="H1472" s="610">
        <v>1</v>
      </c>
      <c r="I1472" s="611">
        <v>10.73</v>
      </c>
      <c r="J1472" s="611">
        <v>10.73</v>
      </c>
      <c r="K1472" s="546"/>
    </row>
    <row r="1473" spans="1:11" s="89" customFormat="1" ht="15" customHeight="1" x14ac:dyDescent="0.3">
      <c r="A1473" s="547" t="s">
        <v>430</v>
      </c>
      <c r="B1473" s="548" t="s">
        <v>559</v>
      </c>
      <c r="C1473" s="547" t="s">
        <v>19</v>
      </c>
      <c r="D1473" s="547" t="s">
        <v>560</v>
      </c>
      <c r="E1473" s="688" t="s">
        <v>429</v>
      </c>
      <c r="F1473" s="688"/>
      <c r="G1473" s="549" t="s">
        <v>423</v>
      </c>
      <c r="H1473" s="550">
        <v>5.3334100000000002E-2</v>
      </c>
      <c r="I1473" s="551">
        <v>23.4</v>
      </c>
      <c r="J1473" s="551">
        <v>1.24</v>
      </c>
      <c r="K1473" s="546"/>
    </row>
    <row r="1474" spans="1:11" ht="38.25" customHeight="1" x14ac:dyDescent="0.3">
      <c r="A1474" s="547" t="s">
        <v>430</v>
      </c>
      <c r="B1474" s="548" t="s">
        <v>595</v>
      </c>
      <c r="C1474" s="547" t="s">
        <v>19</v>
      </c>
      <c r="D1474" s="547" t="s">
        <v>596</v>
      </c>
      <c r="E1474" s="688" t="s">
        <v>461</v>
      </c>
      <c r="F1474" s="688"/>
      <c r="G1474" s="549" t="s">
        <v>95</v>
      </c>
      <c r="H1474" s="550">
        <v>2.9833800000000001E-2</v>
      </c>
      <c r="I1474" s="551">
        <v>242.79</v>
      </c>
      <c r="J1474" s="551">
        <v>7.24</v>
      </c>
      <c r="K1474" s="552"/>
    </row>
    <row r="1475" spans="1:11" s="89" customFormat="1" ht="39" customHeight="1" thickBot="1" x14ac:dyDescent="0.35">
      <c r="A1475" s="547" t="s">
        <v>430</v>
      </c>
      <c r="B1475" s="548" t="s">
        <v>597</v>
      </c>
      <c r="C1475" s="547" t="s">
        <v>19</v>
      </c>
      <c r="D1475" s="547" t="s">
        <v>598</v>
      </c>
      <c r="E1475" s="688" t="s">
        <v>461</v>
      </c>
      <c r="F1475" s="688"/>
      <c r="G1475" s="549" t="s">
        <v>102</v>
      </c>
      <c r="H1475" s="550">
        <v>2.3500299999999998E-2</v>
      </c>
      <c r="I1475" s="551">
        <v>95.97</v>
      </c>
      <c r="J1475" s="551">
        <v>2.25</v>
      </c>
      <c r="K1475" s="546"/>
    </row>
    <row r="1476" spans="1:11" ht="14.5" thickTop="1" x14ac:dyDescent="0.3">
      <c r="A1476" s="562"/>
      <c r="B1476" s="562"/>
      <c r="C1476" s="562"/>
      <c r="D1476" s="562"/>
      <c r="E1476" s="562"/>
      <c r="F1476" s="562"/>
      <c r="G1476" s="562"/>
      <c r="H1476" s="562"/>
      <c r="I1476" s="562"/>
      <c r="J1476" s="562"/>
      <c r="K1476" s="552"/>
    </row>
    <row r="1477" spans="1:11" x14ac:dyDescent="0.3">
      <c r="A1477" s="553"/>
      <c r="B1477" s="554" t="s">
        <v>4</v>
      </c>
      <c r="C1477" s="553" t="s">
        <v>5</v>
      </c>
      <c r="D1477" s="553" t="s">
        <v>6</v>
      </c>
      <c r="E1477" s="691" t="s">
        <v>427</v>
      </c>
      <c r="F1477" s="691"/>
      <c r="G1477" s="555" t="s">
        <v>7</v>
      </c>
      <c r="H1477" s="554" t="s">
        <v>8</v>
      </c>
      <c r="I1477" s="554" t="s">
        <v>9</v>
      </c>
      <c r="J1477" s="554" t="s">
        <v>11</v>
      </c>
      <c r="K1477" s="552"/>
    </row>
    <row r="1478" spans="1:11" s="89" customFormat="1" ht="37.5" x14ac:dyDescent="0.3">
      <c r="A1478" s="607" t="s">
        <v>428</v>
      </c>
      <c r="B1478" s="608" t="s">
        <v>230</v>
      </c>
      <c r="C1478" s="607" t="s">
        <v>26</v>
      </c>
      <c r="D1478" s="607" t="s">
        <v>231</v>
      </c>
      <c r="E1478" s="690" t="s">
        <v>709</v>
      </c>
      <c r="F1478" s="690"/>
      <c r="G1478" s="609" t="s">
        <v>227</v>
      </c>
      <c r="H1478" s="610">
        <v>1</v>
      </c>
      <c r="I1478" s="611">
        <v>26.13</v>
      </c>
      <c r="J1478" s="611">
        <v>26.13</v>
      </c>
      <c r="K1478" s="546"/>
    </row>
    <row r="1479" spans="1:11" ht="14.25" customHeight="1" x14ac:dyDescent="0.3">
      <c r="A1479" s="547" t="s">
        <v>430</v>
      </c>
      <c r="B1479" s="548" t="s">
        <v>756</v>
      </c>
      <c r="C1479" s="547" t="s">
        <v>19</v>
      </c>
      <c r="D1479" s="547" t="s">
        <v>757</v>
      </c>
      <c r="E1479" s="688" t="s">
        <v>461</v>
      </c>
      <c r="F1479" s="688"/>
      <c r="G1479" s="549" t="s">
        <v>95</v>
      </c>
      <c r="H1479" s="550">
        <v>0.16</v>
      </c>
      <c r="I1479" s="551">
        <v>139.99</v>
      </c>
      <c r="J1479" s="551">
        <v>22.39</v>
      </c>
      <c r="K1479" s="552"/>
    </row>
    <row r="1480" spans="1:11" s="89" customFormat="1" ht="38.25" customHeight="1" x14ac:dyDescent="0.3">
      <c r="A1480" s="547" t="s">
        <v>430</v>
      </c>
      <c r="B1480" s="548" t="s">
        <v>559</v>
      </c>
      <c r="C1480" s="547" t="s">
        <v>19</v>
      </c>
      <c r="D1480" s="547" t="s">
        <v>560</v>
      </c>
      <c r="E1480" s="688" t="s">
        <v>429</v>
      </c>
      <c r="F1480" s="688"/>
      <c r="G1480" s="549" t="s">
        <v>423</v>
      </c>
      <c r="H1480" s="550">
        <v>0.16</v>
      </c>
      <c r="I1480" s="551">
        <v>23.4</v>
      </c>
      <c r="J1480" s="551">
        <v>3.74</v>
      </c>
      <c r="K1480" s="546"/>
    </row>
    <row r="1481" spans="1:11" s="89" customFormat="1" ht="39" customHeight="1" x14ac:dyDescent="0.3">
      <c r="A1481" s="686" t="s">
        <v>3754</v>
      </c>
      <c r="B1481" s="686"/>
      <c r="C1481" s="686"/>
      <c r="D1481" s="686"/>
      <c r="E1481" s="686"/>
      <c r="F1481" s="686"/>
      <c r="G1481" s="686"/>
      <c r="H1481" s="686"/>
      <c r="I1481" s="686"/>
      <c r="J1481" s="686"/>
      <c r="K1481" s="546"/>
    </row>
    <row r="1482" spans="1:11" ht="14.5" thickBot="1" x14ac:dyDescent="0.35">
      <c r="A1482" s="695" t="s">
        <v>3766</v>
      </c>
      <c r="B1482" s="695"/>
      <c r="C1482" s="695"/>
      <c r="D1482" s="695"/>
      <c r="E1482" s="695"/>
      <c r="F1482" s="695"/>
      <c r="G1482" s="695"/>
      <c r="H1482" s="695"/>
      <c r="I1482" s="695"/>
      <c r="J1482" s="695"/>
      <c r="K1482" s="552"/>
    </row>
    <row r="1483" spans="1:11" s="89" customFormat="1" ht="14.5" thickTop="1" x14ac:dyDescent="0.3">
      <c r="A1483" s="562"/>
      <c r="B1483" s="562"/>
      <c r="C1483" s="562"/>
      <c r="D1483" s="562"/>
      <c r="E1483" s="562"/>
      <c r="F1483" s="562"/>
      <c r="G1483" s="562"/>
      <c r="H1483" s="562"/>
      <c r="I1483" s="562"/>
      <c r="J1483" s="562"/>
      <c r="K1483" s="546"/>
    </row>
    <row r="1484" spans="1:11" s="89" customFormat="1" x14ac:dyDescent="0.3">
      <c r="A1484" s="553"/>
      <c r="B1484" s="554" t="s">
        <v>4</v>
      </c>
      <c r="C1484" s="553" t="s">
        <v>5</v>
      </c>
      <c r="D1484" s="553" t="s">
        <v>6</v>
      </c>
      <c r="E1484" s="691" t="s">
        <v>427</v>
      </c>
      <c r="F1484" s="691"/>
      <c r="G1484" s="555" t="s">
        <v>7</v>
      </c>
      <c r="H1484" s="554" t="s">
        <v>8</v>
      </c>
      <c r="I1484" s="554" t="s">
        <v>9</v>
      </c>
      <c r="J1484" s="554" t="s">
        <v>11</v>
      </c>
      <c r="K1484" s="546"/>
    </row>
    <row r="1485" spans="1:11" s="89" customFormat="1" ht="15" customHeight="1" x14ac:dyDescent="0.3">
      <c r="A1485" s="607" t="s">
        <v>428</v>
      </c>
      <c r="B1485" s="608" t="s">
        <v>247</v>
      </c>
      <c r="C1485" s="607" t="s">
        <v>196</v>
      </c>
      <c r="D1485" s="607" t="s">
        <v>3805</v>
      </c>
      <c r="E1485" s="690">
        <v>793</v>
      </c>
      <c r="F1485" s="690"/>
      <c r="G1485" s="609" t="s">
        <v>556</v>
      </c>
      <c r="H1485" s="610">
        <v>1</v>
      </c>
      <c r="I1485" s="611">
        <v>35.18</v>
      </c>
      <c r="J1485" s="611">
        <v>35.18</v>
      </c>
      <c r="K1485" s="546"/>
    </row>
    <row r="1486" spans="1:11" ht="14.25" customHeight="1" x14ac:dyDescent="0.3">
      <c r="A1486" s="547" t="s">
        <v>430</v>
      </c>
      <c r="B1486" s="548" t="s">
        <v>941</v>
      </c>
      <c r="C1486" s="547" t="s">
        <v>196</v>
      </c>
      <c r="D1486" s="547" t="s">
        <v>3875</v>
      </c>
      <c r="E1486" s="688">
        <v>9</v>
      </c>
      <c r="F1486" s="688"/>
      <c r="G1486" s="549" t="s">
        <v>81</v>
      </c>
      <c r="H1486" s="550">
        <v>1E-4</v>
      </c>
      <c r="I1486" s="551">
        <v>86644.36</v>
      </c>
      <c r="J1486" s="551">
        <v>8.66</v>
      </c>
      <c r="K1486" s="552"/>
    </row>
    <row r="1487" spans="1:11" s="89" customFormat="1" ht="39" customHeight="1" x14ac:dyDescent="0.3">
      <c r="A1487" s="547" t="s">
        <v>430</v>
      </c>
      <c r="B1487" s="548" t="s">
        <v>559</v>
      </c>
      <c r="C1487" s="547" t="s">
        <v>19</v>
      </c>
      <c r="D1487" s="547" t="s">
        <v>560</v>
      </c>
      <c r="E1487" s="688" t="s">
        <v>429</v>
      </c>
      <c r="F1487" s="688"/>
      <c r="G1487" s="549" t="s">
        <v>423</v>
      </c>
      <c r="H1487" s="550">
        <v>0.47099999999999997</v>
      </c>
      <c r="I1487" s="551">
        <v>23.4</v>
      </c>
      <c r="J1487" s="551">
        <v>11.02</v>
      </c>
      <c r="K1487" s="546"/>
    </row>
    <row r="1488" spans="1:11" s="89" customFormat="1" ht="38.25" customHeight="1" x14ac:dyDescent="0.3">
      <c r="A1488" s="547" t="s">
        <v>430</v>
      </c>
      <c r="B1488" s="548" t="s">
        <v>562</v>
      </c>
      <c r="C1488" s="547" t="s">
        <v>19</v>
      </c>
      <c r="D1488" s="547" t="s">
        <v>563</v>
      </c>
      <c r="E1488" s="688" t="s">
        <v>461</v>
      </c>
      <c r="F1488" s="688"/>
      <c r="G1488" s="549" t="s">
        <v>95</v>
      </c>
      <c r="H1488" s="550">
        <v>5.2999999999999999E-2</v>
      </c>
      <c r="I1488" s="551">
        <v>204.43</v>
      </c>
      <c r="J1488" s="551">
        <v>10.83</v>
      </c>
      <c r="K1488" s="546"/>
    </row>
    <row r="1489" spans="1:11" s="89" customFormat="1" ht="39" customHeight="1" thickBot="1" x14ac:dyDescent="0.35">
      <c r="A1489" s="547" t="s">
        <v>430</v>
      </c>
      <c r="B1489" s="548" t="s">
        <v>564</v>
      </c>
      <c r="C1489" s="547" t="s">
        <v>19</v>
      </c>
      <c r="D1489" s="547" t="s">
        <v>565</v>
      </c>
      <c r="E1489" s="688" t="s">
        <v>461</v>
      </c>
      <c r="F1489" s="688"/>
      <c r="G1489" s="549" t="s">
        <v>102</v>
      </c>
      <c r="H1489" s="550">
        <v>5.2999999999999999E-2</v>
      </c>
      <c r="I1489" s="551">
        <v>88.26</v>
      </c>
      <c r="J1489" s="551">
        <v>4.67</v>
      </c>
      <c r="K1489" s="546"/>
    </row>
    <row r="1490" spans="1:11" ht="14.5" thickTop="1" x14ac:dyDescent="0.3">
      <c r="A1490" s="562"/>
      <c r="B1490" s="562"/>
      <c r="C1490" s="562"/>
      <c r="D1490" s="562"/>
      <c r="E1490" s="562"/>
      <c r="F1490" s="562"/>
      <c r="G1490" s="562"/>
      <c r="H1490" s="562"/>
      <c r="I1490" s="562"/>
      <c r="J1490" s="562"/>
      <c r="K1490" s="552"/>
    </row>
    <row r="1491" spans="1:11" s="89" customFormat="1" x14ac:dyDescent="0.3">
      <c r="A1491" s="553"/>
      <c r="B1491" s="554" t="s">
        <v>4</v>
      </c>
      <c r="C1491" s="553" t="s">
        <v>5</v>
      </c>
      <c r="D1491" s="553" t="s">
        <v>6</v>
      </c>
      <c r="E1491" s="691" t="s">
        <v>427</v>
      </c>
      <c r="F1491" s="691"/>
      <c r="G1491" s="555" t="s">
        <v>7</v>
      </c>
      <c r="H1491" s="554" t="s">
        <v>8</v>
      </c>
      <c r="I1491" s="554" t="s">
        <v>9</v>
      </c>
      <c r="J1491" s="554" t="s">
        <v>11</v>
      </c>
      <c r="K1491" s="546"/>
    </row>
    <row r="1492" spans="1:11" s="89" customFormat="1" ht="15" customHeight="1" x14ac:dyDescent="0.3">
      <c r="A1492" s="607" t="s">
        <v>428</v>
      </c>
      <c r="B1492" s="608" t="s">
        <v>272</v>
      </c>
      <c r="C1492" s="607" t="s">
        <v>19</v>
      </c>
      <c r="D1492" s="607" t="s">
        <v>3808</v>
      </c>
      <c r="E1492" s="690" t="s">
        <v>1010</v>
      </c>
      <c r="F1492" s="690"/>
      <c r="G1492" s="609" t="s">
        <v>173</v>
      </c>
      <c r="H1492" s="610">
        <v>1</v>
      </c>
      <c r="I1492" s="611">
        <v>83.73</v>
      </c>
      <c r="J1492" s="611">
        <v>83.73</v>
      </c>
      <c r="K1492" s="546"/>
    </row>
    <row r="1493" spans="1:11" ht="14.25" customHeight="1" x14ac:dyDescent="0.3">
      <c r="A1493" s="547" t="s">
        <v>430</v>
      </c>
      <c r="B1493" s="548" t="s">
        <v>562</v>
      </c>
      <c r="C1493" s="547" t="s">
        <v>19</v>
      </c>
      <c r="D1493" s="547" t="s">
        <v>563</v>
      </c>
      <c r="E1493" s="688" t="s">
        <v>461</v>
      </c>
      <c r="F1493" s="688"/>
      <c r="G1493" s="549" t="s">
        <v>95</v>
      </c>
      <c r="H1493" s="550">
        <v>0.1116</v>
      </c>
      <c r="I1493" s="551">
        <v>204.43</v>
      </c>
      <c r="J1493" s="551">
        <v>22.81</v>
      </c>
      <c r="K1493" s="552"/>
    </row>
    <row r="1494" spans="1:11" ht="38.25" customHeight="1" x14ac:dyDescent="0.3">
      <c r="A1494" s="547" t="s">
        <v>430</v>
      </c>
      <c r="B1494" s="548" t="s">
        <v>564</v>
      </c>
      <c r="C1494" s="547" t="s">
        <v>19</v>
      </c>
      <c r="D1494" s="547" t="s">
        <v>565</v>
      </c>
      <c r="E1494" s="688" t="s">
        <v>461</v>
      </c>
      <c r="F1494" s="688"/>
      <c r="G1494" s="549" t="s">
        <v>102</v>
      </c>
      <c r="H1494" s="550">
        <v>0.2167</v>
      </c>
      <c r="I1494" s="551">
        <v>88.26</v>
      </c>
      <c r="J1494" s="551">
        <v>19.12</v>
      </c>
      <c r="K1494" s="552"/>
    </row>
    <row r="1495" spans="1:11" ht="39" customHeight="1" x14ac:dyDescent="0.3">
      <c r="A1495" s="547" t="s">
        <v>430</v>
      </c>
      <c r="B1495" s="548" t="s">
        <v>1011</v>
      </c>
      <c r="C1495" s="547" t="s">
        <v>19</v>
      </c>
      <c r="D1495" s="547" t="s">
        <v>1012</v>
      </c>
      <c r="E1495" s="688" t="s">
        <v>429</v>
      </c>
      <c r="F1495" s="688"/>
      <c r="G1495" s="549" t="s">
        <v>423</v>
      </c>
      <c r="H1495" s="550">
        <v>0.499</v>
      </c>
      <c r="I1495" s="551">
        <v>25.19</v>
      </c>
      <c r="J1495" s="551">
        <v>12.56</v>
      </c>
      <c r="K1495" s="552"/>
    </row>
    <row r="1496" spans="1:11" s="89" customFormat="1" ht="15" customHeight="1" x14ac:dyDescent="0.3">
      <c r="A1496" s="547" t="s">
        <v>430</v>
      </c>
      <c r="B1496" s="548" t="s">
        <v>559</v>
      </c>
      <c r="C1496" s="547" t="s">
        <v>19</v>
      </c>
      <c r="D1496" s="547" t="s">
        <v>560</v>
      </c>
      <c r="E1496" s="688" t="s">
        <v>429</v>
      </c>
      <c r="F1496" s="688"/>
      <c r="G1496" s="549" t="s">
        <v>423</v>
      </c>
      <c r="H1496" s="550">
        <v>0.998</v>
      </c>
      <c r="I1496" s="551">
        <v>23.4</v>
      </c>
      <c r="J1496" s="551">
        <v>23.35</v>
      </c>
      <c r="K1496" s="546"/>
    </row>
    <row r="1497" spans="1:11" ht="25.5" thickBot="1" x14ac:dyDescent="0.35">
      <c r="A1497" s="547" t="s">
        <v>430</v>
      </c>
      <c r="B1497" s="548" t="s">
        <v>1013</v>
      </c>
      <c r="C1497" s="547" t="s">
        <v>19</v>
      </c>
      <c r="D1497" s="547" t="s">
        <v>1014</v>
      </c>
      <c r="E1497" s="688" t="s">
        <v>429</v>
      </c>
      <c r="F1497" s="688"/>
      <c r="G1497" s="549" t="s">
        <v>532</v>
      </c>
      <c r="H1497" s="550">
        <v>9.2999999999999992E-3</v>
      </c>
      <c r="I1497" s="551">
        <v>634.08000000000004</v>
      </c>
      <c r="J1497" s="551">
        <v>5.89</v>
      </c>
      <c r="K1497" s="552"/>
    </row>
    <row r="1498" spans="1:11" s="89" customFormat="1" ht="14.5" thickTop="1" x14ac:dyDescent="0.3">
      <c r="A1498" s="562"/>
      <c r="B1498" s="562"/>
      <c r="C1498" s="562"/>
      <c r="D1498" s="562"/>
      <c r="E1498" s="562"/>
      <c r="F1498" s="562"/>
      <c r="G1498" s="562"/>
      <c r="H1498" s="562"/>
      <c r="I1498" s="562"/>
      <c r="J1498" s="562"/>
      <c r="K1498" s="546"/>
    </row>
    <row r="1499" spans="1:11" ht="38.25" customHeight="1" x14ac:dyDescent="0.3">
      <c r="A1499" s="553"/>
      <c r="B1499" s="554" t="s">
        <v>4</v>
      </c>
      <c r="C1499" s="553" t="s">
        <v>5</v>
      </c>
      <c r="D1499" s="553" t="s">
        <v>6</v>
      </c>
      <c r="E1499" s="691" t="s">
        <v>427</v>
      </c>
      <c r="F1499" s="691"/>
      <c r="G1499" s="555" t="s">
        <v>7</v>
      </c>
      <c r="H1499" s="554" t="s">
        <v>8</v>
      </c>
      <c r="I1499" s="554" t="s">
        <v>9</v>
      </c>
      <c r="J1499" s="554" t="s">
        <v>11</v>
      </c>
      <c r="K1499" s="552"/>
    </row>
    <row r="1500" spans="1:11" ht="38.25" customHeight="1" x14ac:dyDescent="0.3">
      <c r="A1500" s="607" t="s">
        <v>428</v>
      </c>
      <c r="B1500" s="608" t="s">
        <v>3499</v>
      </c>
      <c r="C1500" s="607" t="s">
        <v>19</v>
      </c>
      <c r="D1500" s="607" t="s">
        <v>2090</v>
      </c>
      <c r="E1500" s="690" t="s">
        <v>561</v>
      </c>
      <c r="F1500" s="690"/>
      <c r="G1500" s="609" t="s">
        <v>262</v>
      </c>
      <c r="H1500" s="610">
        <v>1</v>
      </c>
      <c r="I1500" s="611">
        <v>40.47</v>
      </c>
      <c r="J1500" s="611">
        <v>40.47</v>
      </c>
      <c r="K1500" s="552"/>
    </row>
    <row r="1501" spans="1:11" ht="14.25" customHeight="1" x14ac:dyDescent="0.3">
      <c r="A1501" s="547" t="s">
        <v>430</v>
      </c>
      <c r="B1501" s="548" t="s">
        <v>1015</v>
      </c>
      <c r="C1501" s="547" t="s">
        <v>19</v>
      </c>
      <c r="D1501" s="547" t="s">
        <v>1016</v>
      </c>
      <c r="E1501" s="688" t="s">
        <v>461</v>
      </c>
      <c r="F1501" s="688"/>
      <c r="G1501" s="549" t="s">
        <v>95</v>
      </c>
      <c r="H1501" s="550">
        <v>0.11260000000000001</v>
      </c>
      <c r="I1501" s="551">
        <v>261.58999999999997</v>
      </c>
      <c r="J1501" s="551">
        <v>29.45</v>
      </c>
      <c r="K1501" s="552"/>
    </row>
    <row r="1502" spans="1:11" ht="14.25" customHeight="1" x14ac:dyDescent="0.3">
      <c r="A1502" s="547" t="s">
        <v>430</v>
      </c>
      <c r="B1502" s="548" t="s">
        <v>1017</v>
      </c>
      <c r="C1502" s="547" t="s">
        <v>19</v>
      </c>
      <c r="D1502" s="547" t="s">
        <v>1018</v>
      </c>
      <c r="E1502" s="688" t="s">
        <v>461</v>
      </c>
      <c r="F1502" s="688"/>
      <c r="G1502" s="549" t="s">
        <v>102</v>
      </c>
      <c r="H1502" s="550">
        <v>4.8300000000000003E-2</v>
      </c>
      <c r="I1502" s="551">
        <v>72.45</v>
      </c>
      <c r="J1502" s="551">
        <v>3.49</v>
      </c>
      <c r="K1502" s="552"/>
    </row>
    <row r="1503" spans="1:11" ht="15" customHeight="1" thickBot="1" x14ac:dyDescent="0.35">
      <c r="A1503" s="547" t="s">
        <v>430</v>
      </c>
      <c r="B1503" s="548" t="s">
        <v>559</v>
      </c>
      <c r="C1503" s="547" t="s">
        <v>19</v>
      </c>
      <c r="D1503" s="547" t="s">
        <v>560</v>
      </c>
      <c r="E1503" s="688" t="s">
        <v>429</v>
      </c>
      <c r="F1503" s="688"/>
      <c r="G1503" s="549" t="s">
        <v>423</v>
      </c>
      <c r="H1503" s="550">
        <v>0.32179999999999997</v>
      </c>
      <c r="I1503" s="551">
        <v>23.4</v>
      </c>
      <c r="J1503" s="551">
        <v>7.53</v>
      </c>
      <c r="K1503" s="552"/>
    </row>
    <row r="1504" spans="1:11" ht="14.5" thickTop="1" x14ac:dyDescent="0.3">
      <c r="A1504" s="562"/>
      <c r="B1504" s="562"/>
      <c r="C1504" s="562"/>
      <c r="D1504" s="562"/>
      <c r="E1504" s="562"/>
      <c r="F1504" s="562"/>
      <c r="G1504" s="562"/>
      <c r="H1504" s="562"/>
      <c r="I1504" s="562"/>
      <c r="J1504" s="562"/>
      <c r="K1504" s="552"/>
    </row>
    <row r="1505" spans="1:11" s="89" customFormat="1" ht="38.25" customHeight="1" x14ac:dyDescent="0.3">
      <c r="A1505" s="553"/>
      <c r="B1505" s="554" t="s">
        <v>4</v>
      </c>
      <c r="C1505" s="553" t="s">
        <v>5</v>
      </c>
      <c r="D1505" s="553" t="s">
        <v>6</v>
      </c>
      <c r="E1505" s="691" t="s">
        <v>427</v>
      </c>
      <c r="F1505" s="691"/>
      <c r="G1505" s="555" t="s">
        <v>7</v>
      </c>
      <c r="H1505" s="554" t="s">
        <v>8</v>
      </c>
      <c r="I1505" s="554" t="s">
        <v>9</v>
      </c>
      <c r="J1505" s="554" t="s">
        <v>11</v>
      </c>
      <c r="K1505" s="546"/>
    </row>
    <row r="1506" spans="1:11" s="89" customFormat="1" ht="38.25" customHeight="1" x14ac:dyDescent="0.3">
      <c r="A1506" s="607" t="s">
        <v>428</v>
      </c>
      <c r="B1506" s="608" t="s">
        <v>283</v>
      </c>
      <c r="C1506" s="607" t="s">
        <v>19</v>
      </c>
      <c r="D1506" s="607" t="s">
        <v>284</v>
      </c>
      <c r="E1506" s="690" t="s">
        <v>561</v>
      </c>
      <c r="F1506" s="690"/>
      <c r="G1506" s="609" t="s">
        <v>262</v>
      </c>
      <c r="H1506" s="610">
        <v>1</v>
      </c>
      <c r="I1506" s="611">
        <v>26.01</v>
      </c>
      <c r="J1506" s="611">
        <v>26.01</v>
      </c>
      <c r="K1506" s="546"/>
    </row>
    <row r="1507" spans="1:11" s="89" customFormat="1" ht="15" customHeight="1" x14ac:dyDescent="0.3">
      <c r="A1507" s="547" t="s">
        <v>430</v>
      </c>
      <c r="B1507" s="548" t="s">
        <v>1015</v>
      </c>
      <c r="C1507" s="547" t="s">
        <v>19</v>
      </c>
      <c r="D1507" s="547" t="s">
        <v>1016</v>
      </c>
      <c r="E1507" s="688" t="s">
        <v>461</v>
      </c>
      <c r="F1507" s="688"/>
      <c r="G1507" s="549" t="s">
        <v>95</v>
      </c>
      <c r="H1507" s="550">
        <v>7.2400000000000006E-2</v>
      </c>
      <c r="I1507" s="551">
        <v>261.58999999999997</v>
      </c>
      <c r="J1507" s="551">
        <v>18.93</v>
      </c>
      <c r="K1507" s="546"/>
    </row>
    <row r="1508" spans="1:11" ht="14.25" customHeight="1" x14ac:dyDescent="0.3">
      <c r="A1508" s="547" t="s">
        <v>430</v>
      </c>
      <c r="B1508" s="548" t="s">
        <v>1017</v>
      </c>
      <c r="C1508" s="547" t="s">
        <v>19</v>
      </c>
      <c r="D1508" s="547" t="s">
        <v>1018</v>
      </c>
      <c r="E1508" s="688" t="s">
        <v>461</v>
      </c>
      <c r="F1508" s="688"/>
      <c r="G1508" s="549" t="s">
        <v>102</v>
      </c>
      <c r="H1508" s="550">
        <v>3.1E-2</v>
      </c>
      <c r="I1508" s="551">
        <v>72.45</v>
      </c>
      <c r="J1508" s="551">
        <v>2.2400000000000002</v>
      </c>
      <c r="K1508" s="552"/>
    </row>
    <row r="1509" spans="1:11" s="89" customFormat="1" ht="15.75" customHeight="1" thickBot="1" x14ac:dyDescent="0.35">
      <c r="A1509" s="547" t="s">
        <v>430</v>
      </c>
      <c r="B1509" s="548" t="s">
        <v>559</v>
      </c>
      <c r="C1509" s="547" t="s">
        <v>19</v>
      </c>
      <c r="D1509" s="547" t="s">
        <v>560</v>
      </c>
      <c r="E1509" s="688" t="s">
        <v>429</v>
      </c>
      <c r="F1509" s="688"/>
      <c r="G1509" s="549" t="s">
        <v>423</v>
      </c>
      <c r="H1509" s="550">
        <v>0.2069</v>
      </c>
      <c r="I1509" s="551">
        <v>23.4</v>
      </c>
      <c r="J1509" s="551">
        <v>4.84</v>
      </c>
      <c r="K1509" s="546"/>
    </row>
    <row r="1510" spans="1:11" ht="14.5" thickTop="1" x14ac:dyDescent="0.3">
      <c r="A1510" s="562"/>
      <c r="B1510" s="562"/>
      <c r="C1510" s="562"/>
      <c r="D1510" s="562"/>
      <c r="E1510" s="562"/>
      <c r="F1510" s="562"/>
      <c r="G1510" s="562"/>
      <c r="H1510" s="562"/>
      <c r="I1510" s="562"/>
      <c r="J1510" s="562"/>
      <c r="K1510" s="552"/>
    </row>
    <row r="1511" spans="1:11" s="89" customFormat="1" x14ac:dyDescent="0.3">
      <c r="A1511" s="553"/>
      <c r="B1511" s="554" t="s">
        <v>4</v>
      </c>
      <c r="C1511" s="553" t="s">
        <v>5</v>
      </c>
      <c r="D1511" s="553" t="s">
        <v>6</v>
      </c>
      <c r="E1511" s="691" t="s">
        <v>427</v>
      </c>
      <c r="F1511" s="691"/>
      <c r="G1511" s="555" t="s">
        <v>7</v>
      </c>
      <c r="H1511" s="554" t="s">
        <v>8</v>
      </c>
      <c r="I1511" s="554" t="s">
        <v>9</v>
      </c>
      <c r="J1511" s="554" t="s">
        <v>11</v>
      </c>
      <c r="K1511" s="546"/>
    </row>
    <row r="1512" spans="1:11" s="89" customFormat="1" ht="38.25" customHeight="1" x14ac:dyDescent="0.3">
      <c r="A1512" s="607" t="s">
        <v>428</v>
      </c>
      <c r="B1512" s="608" t="s">
        <v>3504</v>
      </c>
      <c r="C1512" s="607" t="s">
        <v>26</v>
      </c>
      <c r="D1512" s="607" t="s">
        <v>2092</v>
      </c>
      <c r="E1512" s="690" t="s">
        <v>689</v>
      </c>
      <c r="F1512" s="690"/>
      <c r="G1512" s="609" t="s">
        <v>173</v>
      </c>
      <c r="H1512" s="610">
        <v>1</v>
      </c>
      <c r="I1512" s="611">
        <v>11292.61</v>
      </c>
      <c r="J1512" s="611">
        <v>11292.61</v>
      </c>
      <c r="K1512" s="546"/>
    </row>
    <row r="1513" spans="1:11" ht="38.25" customHeight="1" x14ac:dyDescent="0.3">
      <c r="A1513" s="547" t="s">
        <v>430</v>
      </c>
      <c r="B1513" s="548" t="s">
        <v>3563</v>
      </c>
      <c r="C1513" s="547" t="s">
        <v>19</v>
      </c>
      <c r="D1513" s="547" t="s">
        <v>3564</v>
      </c>
      <c r="E1513" s="688" t="s">
        <v>461</v>
      </c>
      <c r="F1513" s="688"/>
      <c r="G1513" s="549" t="s">
        <v>95</v>
      </c>
      <c r="H1513" s="550">
        <v>2.3148148000000002</v>
      </c>
      <c r="I1513" s="551">
        <v>25.83</v>
      </c>
      <c r="J1513" s="551">
        <v>59.79</v>
      </c>
      <c r="K1513" s="552"/>
    </row>
    <row r="1514" spans="1:11" ht="50" x14ac:dyDescent="0.3">
      <c r="A1514" s="547" t="s">
        <v>430</v>
      </c>
      <c r="B1514" s="548" t="s">
        <v>3565</v>
      </c>
      <c r="C1514" s="547" t="s">
        <v>19</v>
      </c>
      <c r="D1514" s="547" t="s">
        <v>3566</v>
      </c>
      <c r="E1514" s="688" t="s">
        <v>461</v>
      </c>
      <c r="F1514" s="688"/>
      <c r="G1514" s="549" t="s">
        <v>95</v>
      </c>
      <c r="H1514" s="550">
        <v>4.6296296000000003</v>
      </c>
      <c r="I1514" s="551">
        <v>14.19</v>
      </c>
      <c r="J1514" s="551">
        <v>65.69</v>
      </c>
      <c r="K1514" s="552"/>
    </row>
    <row r="1515" spans="1:11" ht="15" customHeight="1" x14ac:dyDescent="0.3">
      <c r="A1515" s="547" t="s">
        <v>430</v>
      </c>
      <c r="B1515" s="548" t="s">
        <v>3567</v>
      </c>
      <c r="C1515" s="547" t="s">
        <v>19</v>
      </c>
      <c r="D1515" s="547" t="s">
        <v>3568</v>
      </c>
      <c r="E1515" s="688" t="s">
        <v>429</v>
      </c>
      <c r="F1515" s="688"/>
      <c r="G1515" s="549" t="s">
        <v>423</v>
      </c>
      <c r="H1515" s="550">
        <v>9.2592593000000001</v>
      </c>
      <c r="I1515" s="551">
        <v>24.87</v>
      </c>
      <c r="J1515" s="551">
        <v>230.27</v>
      </c>
      <c r="K1515" s="552"/>
    </row>
    <row r="1516" spans="1:11" s="89" customFormat="1" ht="15" customHeight="1" x14ac:dyDescent="0.3">
      <c r="A1516" s="547" t="s">
        <v>430</v>
      </c>
      <c r="B1516" s="548" t="s">
        <v>559</v>
      </c>
      <c r="C1516" s="547" t="s">
        <v>19</v>
      </c>
      <c r="D1516" s="547" t="s">
        <v>560</v>
      </c>
      <c r="E1516" s="688" t="s">
        <v>429</v>
      </c>
      <c r="F1516" s="688"/>
      <c r="G1516" s="549" t="s">
        <v>423</v>
      </c>
      <c r="H1516" s="550">
        <v>27.777777799999999</v>
      </c>
      <c r="I1516" s="551">
        <v>23.4</v>
      </c>
      <c r="J1516" s="551">
        <v>650</v>
      </c>
      <c r="K1516" s="546"/>
    </row>
    <row r="1517" spans="1:11" ht="25" x14ac:dyDescent="0.3">
      <c r="A1517" s="547" t="s">
        <v>430</v>
      </c>
      <c r="B1517" s="548" t="s">
        <v>3569</v>
      </c>
      <c r="C1517" s="547" t="s">
        <v>115</v>
      </c>
      <c r="D1517" s="547" t="s">
        <v>3570</v>
      </c>
      <c r="E1517" s="688" t="s">
        <v>402</v>
      </c>
      <c r="F1517" s="688"/>
      <c r="G1517" s="549" t="s">
        <v>532</v>
      </c>
      <c r="H1517" s="550">
        <v>0.59689999999999999</v>
      </c>
      <c r="I1517" s="551">
        <v>295.22000000000003</v>
      </c>
      <c r="J1517" s="551">
        <v>176.21</v>
      </c>
      <c r="K1517" s="552"/>
    </row>
    <row r="1518" spans="1:11" s="89" customFormat="1" ht="38.25" customHeight="1" x14ac:dyDescent="0.3">
      <c r="A1518" s="547" t="s">
        <v>430</v>
      </c>
      <c r="B1518" s="548" t="s">
        <v>3571</v>
      </c>
      <c r="C1518" s="547" t="s">
        <v>115</v>
      </c>
      <c r="D1518" s="547" t="s">
        <v>3572</v>
      </c>
      <c r="E1518" s="688" t="s">
        <v>402</v>
      </c>
      <c r="F1518" s="688"/>
      <c r="G1518" s="549" t="s">
        <v>532</v>
      </c>
      <c r="H1518" s="550">
        <v>3.1415999999999999</v>
      </c>
      <c r="I1518" s="551">
        <v>502.25</v>
      </c>
      <c r="J1518" s="551">
        <v>1577.86</v>
      </c>
      <c r="K1518" s="546"/>
    </row>
    <row r="1519" spans="1:11" ht="38.25" customHeight="1" x14ac:dyDescent="0.3">
      <c r="A1519" s="547" t="s">
        <v>430</v>
      </c>
      <c r="B1519" s="548" t="s">
        <v>3573</v>
      </c>
      <c r="C1519" s="547" t="s">
        <v>115</v>
      </c>
      <c r="D1519" s="547" t="s">
        <v>3574</v>
      </c>
      <c r="E1519" s="688" t="s">
        <v>402</v>
      </c>
      <c r="F1519" s="688"/>
      <c r="G1519" s="549" t="s">
        <v>830</v>
      </c>
      <c r="H1519" s="550">
        <v>1</v>
      </c>
      <c r="I1519" s="551">
        <v>44.38</v>
      </c>
      <c r="J1519" s="551">
        <v>44.38</v>
      </c>
      <c r="K1519" s="552"/>
    </row>
    <row r="1520" spans="1:11" x14ac:dyDescent="0.3">
      <c r="A1520" s="547" t="s">
        <v>430</v>
      </c>
      <c r="B1520" s="548" t="s">
        <v>3575</v>
      </c>
      <c r="C1520" s="547" t="s">
        <v>115</v>
      </c>
      <c r="D1520" s="547" t="s">
        <v>3576</v>
      </c>
      <c r="E1520" s="688" t="s">
        <v>402</v>
      </c>
      <c r="F1520" s="688"/>
      <c r="G1520" s="549" t="s">
        <v>830</v>
      </c>
      <c r="H1520" s="550">
        <v>1</v>
      </c>
      <c r="I1520" s="551">
        <v>56.21</v>
      </c>
      <c r="J1520" s="551">
        <v>56.21</v>
      </c>
      <c r="K1520" s="552"/>
    </row>
    <row r="1521" spans="1:11" ht="15" customHeight="1" x14ac:dyDescent="0.3">
      <c r="A1521" s="547" t="s">
        <v>430</v>
      </c>
      <c r="B1521" s="548" t="s">
        <v>3577</v>
      </c>
      <c r="C1521" s="547" t="s">
        <v>19</v>
      </c>
      <c r="D1521" s="547" t="s">
        <v>3578</v>
      </c>
      <c r="E1521" s="688" t="s">
        <v>1033</v>
      </c>
      <c r="F1521" s="688"/>
      <c r="G1521" s="549" t="s">
        <v>556</v>
      </c>
      <c r="H1521" s="550">
        <v>5.6548667999999997</v>
      </c>
      <c r="I1521" s="551">
        <v>327.64999999999998</v>
      </c>
      <c r="J1521" s="551">
        <v>1852.81</v>
      </c>
      <c r="K1521" s="552"/>
    </row>
    <row r="1522" spans="1:11" x14ac:dyDescent="0.3">
      <c r="A1522" s="547" t="s">
        <v>433</v>
      </c>
      <c r="B1522" s="548" t="s">
        <v>3579</v>
      </c>
      <c r="C1522" s="547" t="s">
        <v>115</v>
      </c>
      <c r="D1522" s="547" t="s">
        <v>3580</v>
      </c>
      <c r="E1522" s="688" t="s">
        <v>442</v>
      </c>
      <c r="F1522" s="688"/>
      <c r="G1522" s="549" t="s">
        <v>81</v>
      </c>
      <c r="H1522" s="550">
        <v>4.6296296000000003</v>
      </c>
      <c r="I1522" s="551">
        <v>2.3490000000000002</v>
      </c>
      <c r="J1522" s="551">
        <v>10.87</v>
      </c>
      <c r="K1522" s="552"/>
    </row>
    <row r="1523" spans="1:11" s="89" customFormat="1" ht="25" x14ac:dyDescent="0.3">
      <c r="A1523" s="547" t="s">
        <v>433</v>
      </c>
      <c r="B1523" s="548" t="s">
        <v>3581</v>
      </c>
      <c r="C1523" s="547" t="s">
        <v>115</v>
      </c>
      <c r="D1523" s="547" t="s">
        <v>3582</v>
      </c>
      <c r="E1523" s="688" t="s">
        <v>442</v>
      </c>
      <c r="F1523" s="688"/>
      <c r="G1523" s="549" t="s">
        <v>81</v>
      </c>
      <c r="H1523" s="550">
        <v>9.2592593000000001</v>
      </c>
      <c r="I1523" s="551">
        <v>0.13189999999999999</v>
      </c>
      <c r="J1523" s="551">
        <v>1.22</v>
      </c>
      <c r="K1523" s="546"/>
    </row>
    <row r="1524" spans="1:11" ht="25" x14ac:dyDescent="0.3">
      <c r="A1524" s="547" t="s">
        <v>433</v>
      </c>
      <c r="B1524" s="548" t="s">
        <v>3583</v>
      </c>
      <c r="C1524" s="547" t="s">
        <v>115</v>
      </c>
      <c r="D1524" s="547" t="s">
        <v>3584</v>
      </c>
      <c r="E1524" s="688" t="s">
        <v>438</v>
      </c>
      <c r="F1524" s="688"/>
      <c r="G1524" s="549" t="s">
        <v>830</v>
      </c>
      <c r="H1524" s="550">
        <v>20.538910000000001</v>
      </c>
      <c r="I1524" s="551">
        <v>3.0146999999999999</v>
      </c>
      <c r="J1524" s="551">
        <v>61.91</v>
      </c>
      <c r="K1524" s="552"/>
    </row>
    <row r="1525" spans="1:11" s="89" customFormat="1" ht="38.25" customHeight="1" x14ac:dyDescent="0.3">
      <c r="A1525" s="547" t="s">
        <v>433</v>
      </c>
      <c r="B1525" s="548" t="s">
        <v>3585</v>
      </c>
      <c r="C1525" s="547" t="s">
        <v>115</v>
      </c>
      <c r="D1525" s="547" t="s">
        <v>3586</v>
      </c>
      <c r="E1525" s="688" t="s">
        <v>438</v>
      </c>
      <c r="F1525" s="688"/>
      <c r="G1525" s="549" t="s">
        <v>830</v>
      </c>
      <c r="H1525" s="550">
        <v>1</v>
      </c>
      <c r="I1525" s="551">
        <v>6505.3963000000003</v>
      </c>
      <c r="J1525" s="551">
        <v>6505.39</v>
      </c>
      <c r="K1525" s="546"/>
    </row>
    <row r="1526" spans="1:11" x14ac:dyDescent="0.3">
      <c r="A1526" s="686" t="s">
        <v>3754</v>
      </c>
      <c r="B1526" s="686"/>
      <c r="C1526" s="686"/>
      <c r="D1526" s="686"/>
      <c r="E1526" s="686"/>
      <c r="F1526" s="686"/>
      <c r="G1526" s="686"/>
      <c r="H1526" s="686"/>
      <c r="I1526" s="686"/>
      <c r="J1526" s="686"/>
      <c r="K1526" s="552"/>
    </row>
    <row r="1527" spans="1:11" s="89" customFormat="1" ht="51" customHeight="1" thickBot="1" x14ac:dyDescent="0.35">
      <c r="A1527" s="695" t="s">
        <v>3767</v>
      </c>
      <c r="B1527" s="695"/>
      <c r="C1527" s="695"/>
      <c r="D1527" s="695"/>
      <c r="E1527" s="695"/>
      <c r="F1527" s="695"/>
      <c r="G1527" s="695"/>
      <c r="H1527" s="695"/>
      <c r="I1527" s="695"/>
      <c r="J1527" s="695"/>
      <c r="K1527" s="546"/>
    </row>
    <row r="1528" spans="1:11" ht="14.25" customHeight="1" thickTop="1" x14ac:dyDescent="0.3">
      <c r="A1528" s="562"/>
      <c r="B1528" s="562"/>
      <c r="C1528" s="562"/>
      <c r="D1528" s="562"/>
      <c r="E1528" s="562"/>
      <c r="F1528" s="562"/>
      <c r="G1528" s="562"/>
      <c r="H1528" s="562"/>
      <c r="I1528" s="562"/>
      <c r="J1528" s="562"/>
      <c r="K1528" s="552"/>
    </row>
    <row r="1529" spans="1:11" x14ac:dyDescent="0.3">
      <c r="A1529" s="553"/>
      <c r="B1529" s="554" t="s">
        <v>4</v>
      </c>
      <c r="C1529" s="553" t="s">
        <v>5</v>
      </c>
      <c r="D1529" s="553" t="s">
        <v>6</v>
      </c>
      <c r="E1529" s="691" t="s">
        <v>427</v>
      </c>
      <c r="F1529" s="691"/>
      <c r="G1529" s="555" t="s">
        <v>7</v>
      </c>
      <c r="H1529" s="554" t="s">
        <v>8</v>
      </c>
      <c r="I1529" s="554" t="s">
        <v>9</v>
      </c>
      <c r="J1529" s="554" t="s">
        <v>11</v>
      </c>
      <c r="K1529" s="552"/>
    </row>
    <row r="1530" spans="1:11" ht="38.25" customHeight="1" x14ac:dyDescent="0.3">
      <c r="A1530" s="607" t="s">
        <v>428</v>
      </c>
      <c r="B1530" s="608" t="s">
        <v>367</v>
      </c>
      <c r="C1530" s="607" t="s">
        <v>19</v>
      </c>
      <c r="D1530" s="607" t="s">
        <v>368</v>
      </c>
      <c r="E1530" s="690" t="s">
        <v>1033</v>
      </c>
      <c r="F1530" s="690"/>
      <c r="G1530" s="609" t="s">
        <v>556</v>
      </c>
      <c r="H1530" s="610">
        <v>1</v>
      </c>
      <c r="I1530" s="611">
        <v>94.68</v>
      </c>
      <c r="J1530" s="611">
        <v>94.68</v>
      </c>
      <c r="K1530" s="552"/>
    </row>
    <row r="1531" spans="1:11" ht="14.25" customHeight="1" x14ac:dyDescent="0.3">
      <c r="A1531" s="547" t="s">
        <v>430</v>
      </c>
      <c r="B1531" s="548" t="s">
        <v>629</v>
      </c>
      <c r="C1531" s="547" t="s">
        <v>19</v>
      </c>
      <c r="D1531" s="547" t="s">
        <v>630</v>
      </c>
      <c r="E1531" s="688" t="s">
        <v>429</v>
      </c>
      <c r="F1531" s="688"/>
      <c r="G1531" s="549" t="s">
        <v>423</v>
      </c>
      <c r="H1531" s="550">
        <v>5.4899999999999997E-2</v>
      </c>
      <c r="I1531" s="551">
        <v>24.12</v>
      </c>
      <c r="J1531" s="551">
        <v>1.32</v>
      </c>
      <c r="K1531" s="552"/>
    </row>
    <row r="1532" spans="1:11" ht="14.25" customHeight="1" x14ac:dyDescent="0.3">
      <c r="A1532" s="547" t="s">
        <v>430</v>
      </c>
      <c r="B1532" s="548" t="s">
        <v>620</v>
      </c>
      <c r="C1532" s="547" t="s">
        <v>19</v>
      </c>
      <c r="D1532" s="547" t="s">
        <v>621</v>
      </c>
      <c r="E1532" s="688" t="s">
        <v>429</v>
      </c>
      <c r="F1532" s="688"/>
      <c r="G1532" s="549" t="s">
        <v>423</v>
      </c>
      <c r="H1532" s="550">
        <v>1.5588</v>
      </c>
      <c r="I1532" s="551">
        <v>30.71</v>
      </c>
      <c r="J1532" s="551">
        <v>47.87</v>
      </c>
      <c r="K1532" s="552"/>
    </row>
    <row r="1533" spans="1:11" ht="15" customHeight="1" x14ac:dyDescent="0.3">
      <c r="A1533" s="547" t="s">
        <v>430</v>
      </c>
      <c r="B1533" s="548" t="s">
        <v>631</v>
      </c>
      <c r="C1533" s="547" t="s">
        <v>19</v>
      </c>
      <c r="D1533" s="547" t="s">
        <v>632</v>
      </c>
      <c r="E1533" s="688" t="s">
        <v>461</v>
      </c>
      <c r="F1533" s="688"/>
      <c r="G1533" s="549" t="s">
        <v>95</v>
      </c>
      <c r="H1533" s="550">
        <v>8.3999999999999995E-3</v>
      </c>
      <c r="I1533" s="551">
        <v>26.94</v>
      </c>
      <c r="J1533" s="551">
        <v>0.22</v>
      </c>
      <c r="K1533" s="552"/>
    </row>
    <row r="1534" spans="1:11" s="89" customFormat="1" ht="25.5" customHeight="1" x14ac:dyDescent="0.3">
      <c r="A1534" s="547" t="s">
        <v>430</v>
      </c>
      <c r="B1534" s="548" t="s">
        <v>633</v>
      </c>
      <c r="C1534" s="547" t="s">
        <v>19</v>
      </c>
      <c r="D1534" s="547" t="s">
        <v>634</v>
      </c>
      <c r="E1534" s="688" t="s">
        <v>461</v>
      </c>
      <c r="F1534" s="688"/>
      <c r="G1534" s="549" t="s">
        <v>102</v>
      </c>
      <c r="H1534" s="550">
        <v>3.3700000000000001E-2</v>
      </c>
      <c r="I1534" s="551">
        <v>25.9</v>
      </c>
      <c r="J1534" s="551">
        <v>0.87</v>
      </c>
      <c r="K1534" s="546"/>
    </row>
    <row r="1535" spans="1:11" ht="37.5" x14ac:dyDescent="0.3">
      <c r="A1535" s="547" t="s">
        <v>433</v>
      </c>
      <c r="B1535" s="548" t="s">
        <v>1067</v>
      </c>
      <c r="C1535" s="547" t="s">
        <v>19</v>
      </c>
      <c r="D1535" s="547" t="s">
        <v>1068</v>
      </c>
      <c r="E1535" s="688" t="s">
        <v>438</v>
      </c>
      <c r="F1535" s="688"/>
      <c r="G1535" s="549" t="s">
        <v>556</v>
      </c>
      <c r="H1535" s="550">
        <v>0.55130000000000001</v>
      </c>
      <c r="I1535" s="551">
        <v>36.07</v>
      </c>
      <c r="J1535" s="551">
        <v>19.88</v>
      </c>
      <c r="K1535" s="552"/>
    </row>
    <row r="1536" spans="1:11" s="89" customFormat="1" ht="38.25" customHeight="1" x14ac:dyDescent="0.3">
      <c r="A1536" s="547" t="s">
        <v>433</v>
      </c>
      <c r="B1536" s="548" t="s">
        <v>912</v>
      </c>
      <c r="C1536" s="547" t="s">
        <v>19</v>
      </c>
      <c r="D1536" s="547" t="s">
        <v>913</v>
      </c>
      <c r="E1536" s="688" t="s">
        <v>438</v>
      </c>
      <c r="F1536" s="688"/>
      <c r="G1536" s="549" t="s">
        <v>906</v>
      </c>
      <c r="H1536" s="550">
        <v>3.5000000000000001E-3</v>
      </c>
      <c r="I1536" s="551">
        <v>7.96</v>
      </c>
      <c r="J1536" s="551">
        <v>0.02</v>
      </c>
      <c r="K1536" s="546"/>
    </row>
    <row r="1537" spans="1:11" ht="14.25" customHeight="1" x14ac:dyDescent="0.3">
      <c r="A1537" s="547" t="s">
        <v>433</v>
      </c>
      <c r="B1537" s="548" t="s">
        <v>624</v>
      </c>
      <c r="C1537" s="547" t="s">
        <v>19</v>
      </c>
      <c r="D1537" s="547" t="s">
        <v>625</v>
      </c>
      <c r="E1537" s="688" t="s">
        <v>438</v>
      </c>
      <c r="F1537" s="688"/>
      <c r="G1537" s="549" t="s">
        <v>173</v>
      </c>
      <c r="H1537" s="550">
        <v>1.8654999999999999</v>
      </c>
      <c r="I1537" s="551">
        <v>7.78</v>
      </c>
      <c r="J1537" s="551">
        <v>14.51</v>
      </c>
      <c r="K1537" s="552"/>
    </row>
    <row r="1538" spans="1:11" ht="14.25" customHeight="1" x14ac:dyDescent="0.3">
      <c r="A1538" s="547" t="s">
        <v>433</v>
      </c>
      <c r="B1538" s="548" t="s">
        <v>1147</v>
      </c>
      <c r="C1538" s="547" t="s">
        <v>19</v>
      </c>
      <c r="D1538" s="547" t="s">
        <v>1148</v>
      </c>
      <c r="E1538" s="688" t="s">
        <v>442</v>
      </c>
      <c r="F1538" s="688"/>
      <c r="G1538" s="549" t="s">
        <v>3587</v>
      </c>
      <c r="H1538" s="550">
        <v>9.5000000000000001E-2</v>
      </c>
      <c r="I1538" s="551">
        <v>23.06</v>
      </c>
      <c r="J1538" s="551">
        <v>2.19</v>
      </c>
      <c r="K1538" s="552"/>
    </row>
    <row r="1539" spans="1:11" ht="25.5" customHeight="1" x14ac:dyDescent="0.3">
      <c r="A1539" s="547" t="s">
        <v>433</v>
      </c>
      <c r="B1539" s="548" t="s">
        <v>1149</v>
      </c>
      <c r="C1539" s="547" t="s">
        <v>19</v>
      </c>
      <c r="D1539" s="547" t="s">
        <v>1150</v>
      </c>
      <c r="E1539" s="688" t="s">
        <v>442</v>
      </c>
      <c r="F1539" s="688"/>
      <c r="G1539" s="549" t="s">
        <v>3587</v>
      </c>
      <c r="H1539" s="550">
        <v>0.16109999999999999</v>
      </c>
      <c r="I1539" s="551">
        <v>24.1</v>
      </c>
      <c r="J1539" s="551">
        <v>3.88</v>
      </c>
      <c r="K1539" s="552"/>
    </row>
    <row r="1540" spans="1:11" ht="25" x14ac:dyDescent="0.3">
      <c r="A1540" s="547" t="s">
        <v>433</v>
      </c>
      <c r="B1540" s="548" t="s">
        <v>1151</v>
      </c>
      <c r="C1540" s="547" t="s">
        <v>19</v>
      </c>
      <c r="D1540" s="547" t="s">
        <v>1152</v>
      </c>
      <c r="E1540" s="688" t="s">
        <v>442</v>
      </c>
      <c r="F1540" s="688"/>
      <c r="G1540" s="549" t="s">
        <v>21</v>
      </c>
      <c r="H1540" s="550">
        <v>0.35610000000000003</v>
      </c>
      <c r="I1540" s="551">
        <v>8.8800000000000008</v>
      </c>
      <c r="J1540" s="551">
        <v>3.16</v>
      </c>
      <c r="K1540" s="552"/>
    </row>
    <row r="1541" spans="1:11" s="89" customFormat="1" ht="14.5" thickBot="1" x14ac:dyDescent="0.35">
      <c r="A1541" s="547" t="s">
        <v>433</v>
      </c>
      <c r="B1541" s="548" t="s">
        <v>1075</v>
      </c>
      <c r="C1541" s="547" t="s">
        <v>19</v>
      </c>
      <c r="D1541" s="547" t="s">
        <v>1076</v>
      </c>
      <c r="E1541" s="688" t="s">
        <v>438</v>
      </c>
      <c r="F1541" s="688"/>
      <c r="G1541" s="549" t="s">
        <v>424</v>
      </c>
      <c r="H1541" s="550">
        <v>3.1199999999999999E-2</v>
      </c>
      <c r="I1541" s="551">
        <v>24.48</v>
      </c>
      <c r="J1541" s="551">
        <v>0.76</v>
      </c>
      <c r="K1541" s="546"/>
    </row>
    <row r="1542" spans="1:11" s="89" customFormat="1" ht="38.25" customHeight="1" thickTop="1" x14ac:dyDescent="0.3">
      <c r="A1542" s="562"/>
      <c r="B1542" s="562"/>
      <c r="C1542" s="562"/>
      <c r="D1542" s="562"/>
      <c r="E1542" s="562"/>
      <c r="F1542" s="562"/>
      <c r="G1542" s="562"/>
      <c r="H1542" s="562"/>
      <c r="I1542" s="562"/>
      <c r="J1542" s="562"/>
      <c r="K1542" s="546"/>
    </row>
    <row r="1543" spans="1:11" s="89" customFormat="1" ht="15" customHeight="1" x14ac:dyDescent="0.3">
      <c r="A1543" s="553"/>
      <c r="B1543" s="554" t="s">
        <v>4</v>
      </c>
      <c r="C1543" s="553" t="s">
        <v>5</v>
      </c>
      <c r="D1543" s="553" t="s">
        <v>6</v>
      </c>
      <c r="E1543" s="691" t="s">
        <v>427</v>
      </c>
      <c r="F1543" s="691"/>
      <c r="G1543" s="555" t="s">
        <v>7</v>
      </c>
      <c r="H1543" s="554" t="s">
        <v>8</v>
      </c>
      <c r="I1543" s="554" t="s">
        <v>9</v>
      </c>
      <c r="J1543" s="554" t="s">
        <v>11</v>
      </c>
      <c r="K1543" s="546"/>
    </row>
    <row r="1544" spans="1:11" ht="14.25" customHeight="1" x14ac:dyDescent="0.3">
      <c r="A1544" s="607" t="s">
        <v>428</v>
      </c>
      <c r="B1544" s="608" t="s">
        <v>359</v>
      </c>
      <c r="C1544" s="607" t="s">
        <v>19</v>
      </c>
      <c r="D1544" s="607" t="s">
        <v>3822</v>
      </c>
      <c r="E1544" s="690" t="s">
        <v>602</v>
      </c>
      <c r="F1544" s="690"/>
      <c r="G1544" s="609" t="s">
        <v>556</v>
      </c>
      <c r="H1544" s="610">
        <v>1</v>
      </c>
      <c r="I1544" s="611">
        <v>4.9800000000000004</v>
      </c>
      <c r="J1544" s="611">
        <v>4.9800000000000004</v>
      </c>
      <c r="K1544" s="552"/>
    </row>
    <row r="1545" spans="1:11" ht="25.5" customHeight="1" thickBot="1" x14ac:dyDescent="0.35">
      <c r="A1545" s="547" t="s">
        <v>430</v>
      </c>
      <c r="B1545" s="548" t="s">
        <v>559</v>
      </c>
      <c r="C1545" s="547" t="s">
        <v>19</v>
      </c>
      <c r="D1545" s="547" t="s">
        <v>560</v>
      </c>
      <c r="E1545" s="688" t="s">
        <v>429</v>
      </c>
      <c r="F1545" s="688"/>
      <c r="G1545" s="549" t="s">
        <v>423</v>
      </c>
      <c r="H1545" s="550">
        <v>0.2132</v>
      </c>
      <c r="I1545" s="551">
        <v>23.4</v>
      </c>
      <c r="J1545" s="551">
        <v>4.9800000000000004</v>
      </c>
      <c r="K1545" s="552"/>
    </row>
    <row r="1546" spans="1:11" ht="25.5" customHeight="1" thickTop="1" x14ac:dyDescent="0.3">
      <c r="A1546" s="562"/>
      <c r="B1546" s="562"/>
      <c r="C1546" s="562"/>
      <c r="D1546" s="562"/>
      <c r="E1546" s="562"/>
      <c r="F1546" s="562"/>
      <c r="G1546" s="562"/>
      <c r="H1546" s="562"/>
      <c r="I1546" s="562"/>
      <c r="J1546" s="562"/>
      <c r="K1546" s="552"/>
    </row>
    <row r="1547" spans="1:11" x14ac:dyDescent="0.3">
      <c r="A1547" s="553"/>
      <c r="B1547" s="554" t="s">
        <v>4</v>
      </c>
      <c r="C1547" s="553" t="s">
        <v>5</v>
      </c>
      <c r="D1547" s="553" t="s">
        <v>6</v>
      </c>
      <c r="E1547" s="691" t="s">
        <v>427</v>
      </c>
      <c r="F1547" s="691"/>
      <c r="G1547" s="555" t="s">
        <v>7</v>
      </c>
      <c r="H1547" s="554" t="s">
        <v>8</v>
      </c>
      <c r="I1547" s="554" t="s">
        <v>9</v>
      </c>
      <c r="J1547" s="554" t="s">
        <v>11</v>
      </c>
      <c r="K1547" s="552"/>
    </row>
    <row r="1548" spans="1:11" s="89" customFormat="1" ht="25" x14ac:dyDescent="0.3">
      <c r="A1548" s="607" t="s">
        <v>428</v>
      </c>
      <c r="B1548" s="608" t="s">
        <v>360</v>
      </c>
      <c r="C1548" s="607" t="s">
        <v>361</v>
      </c>
      <c r="D1548" s="607" t="s">
        <v>362</v>
      </c>
      <c r="E1548" s="690" t="s">
        <v>1146</v>
      </c>
      <c r="F1548" s="690"/>
      <c r="G1548" s="609" t="s">
        <v>532</v>
      </c>
      <c r="H1548" s="610">
        <v>1</v>
      </c>
      <c r="I1548" s="611">
        <v>223.83</v>
      </c>
      <c r="J1548" s="611">
        <v>223.83</v>
      </c>
      <c r="K1548" s="546"/>
    </row>
    <row r="1549" spans="1:11" s="89" customFormat="1" ht="38.25" customHeight="1" x14ac:dyDescent="0.3">
      <c r="A1549" s="547" t="s">
        <v>430</v>
      </c>
      <c r="B1549" s="548" t="s">
        <v>993</v>
      </c>
      <c r="C1549" s="547" t="s">
        <v>19</v>
      </c>
      <c r="D1549" s="547" t="s">
        <v>994</v>
      </c>
      <c r="E1549" s="688" t="s">
        <v>461</v>
      </c>
      <c r="F1549" s="688"/>
      <c r="G1549" s="549" t="s">
        <v>95</v>
      </c>
      <c r="H1549" s="550">
        <v>1.4999999999999999E-2</v>
      </c>
      <c r="I1549" s="551">
        <v>160.65</v>
      </c>
      <c r="J1549" s="551">
        <v>2.4</v>
      </c>
      <c r="K1549" s="546"/>
    </row>
    <row r="1550" spans="1:11" s="89" customFormat="1" ht="38.25" customHeight="1" x14ac:dyDescent="0.3">
      <c r="A1550" s="547" t="s">
        <v>430</v>
      </c>
      <c r="B1550" s="548" t="s">
        <v>3588</v>
      </c>
      <c r="C1550" s="547" t="s">
        <v>19</v>
      </c>
      <c r="D1550" s="547" t="s">
        <v>3589</v>
      </c>
      <c r="E1550" s="688" t="s">
        <v>461</v>
      </c>
      <c r="F1550" s="688"/>
      <c r="G1550" s="549" t="s">
        <v>95</v>
      </c>
      <c r="H1550" s="550">
        <v>0.22</v>
      </c>
      <c r="I1550" s="551">
        <v>196.07</v>
      </c>
      <c r="J1550" s="551">
        <v>43.13</v>
      </c>
      <c r="K1550" s="546"/>
    </row>
    <row r="1551" spans="1:11" ht="14.25" customHeight="1" thickBot="1" x14ac:dyDescent="0.35">
      <c r="A1551" s="547" t="s">
        <v>430</v>
      </c>
      <c r="B1551" s="548" t="s">
        <v>559</v>
      </c>
      <c r="C1551" s="547" t="s">
        <v>19</v>
      </c>
      <c r="D1551" s="547" t="s">
        <v>560</v>
      </c>
      <c r="E1551" s="688" t="s">
        <v>429</v>
      </c>
      <c r="F1551" s="688"/>
      <c r="G1551" s="549" t="s">
        <v>423</v>
      </c>
      <c r="H1551" s="550">
        <v>7.62</v>
      </c>
      <c r="I1551" s="551">
        <v>23.4</v>
      </c>
      <c r="J1551" s="551">
        <v>178.3</v>
      </c>
      <c r="K1551" s="552"/>
    </row>
    <row r="1552" spans="1:11" ht="14.5" thickTop="1" x14ac:dyDescent="0.3">
      <c r="A1552" s="562"/>
      <c r="B1552" s="562"/>
      <c r="C1552" s="562"/>
      <c r="D1552" s="562"/>
      <c r="E1552" s="562"/>
      <c r="F1552" s="562"/>
      <c r="G1552" s="562"/>
      <c r="H1552" s="562"/>
      <c r="I1552" s="562"/>
      <c r="J1552" s="562"/>
      <c r="K1552" s="552"/>
    </row>
    <row r="1553" spans="1:11" s="89" customFormat="1" x14ac:dyDescent="0.3">
      <c r="A1553" s="553"/>
      <c r="B1553" s="554" t="s">
        <v>4</v>
      </c>
      <c r="C1553" s="553" t="s">
        <v>5</v>
      </c>
      <c r="D1553" s="553" t="s">
        <v>6</v>
      </c>
      <c r="E1553" s="691" t="s">
        <v>427</v>
      </c>
      <c r="F1553" s="691"/>
      <c r="G1553" s="555" t="s">
        <v>7</v>
      </c>
      <c r="H1553" s="554" t="s">
        <v>8</v>
      </c>
      <c r="I1553" s="554" t="s">
        <v>9</v>
      </c>
      <c r="J1553" s="554" t="s">
        <v>11</v>
      </c>
      <c r="K1553" s="546"/>
    </row>
    <row r="1554" spans="1:11" ht="50" x14ac:dyDescent="0.3">
      <c r="A1554" s="607" t="s">
        <v>428</v>
      </c>
      <c r="B1554" s="608" t="s">
        <v>326</v>
      </c>
      <c r="C1554" s="607" t="s">
        <v>19</v>
      </c>
      <c r="D1554" s="607" t="s">
        <v>327</v>
      </c>
      <c r="E1554" s="690" t="s">
        <v>709</v>
      </c>
      <c r="F1554" s="690"/>
      <c r="G1554" s="609" t="s">
        <v>532</v>
      </c>
      <c r="H1554" s="610">
        <v>1</v>
      </c>
      <c r="I1554" s="611">
        <v>13.23</v>
      </c>
      <c r="J1554" s="611">
        <v>13.23</v>
      </c>
      <c r="K1554" s="552"/>
    </row>
    <row r="1555" spans="1:11" s="89" customFormat="1" ht="50" x14ac:dyDescent="0.3">
      <c r="A1555" s="547" t="s">
        <v>430</v>
      </c>
      <c r="B1555" s="548" t="s">
        <v>1078</v>
      </c>
      <c r="C1555" s="547" t="s">
        <v>19</v>
      </c>
      <c r="D1555" s="547" t="s">
        <v>1079</v>
      </c>
      <c r="E1555" s="688" t="s">
        <v>561</v>
      </c>
      <c r="F1555" s="688"/>
      <c r="G1555" s="549" t="s">
        <v>532</v>
      </c>
      <c r="H1555" s="550">
        <v>1.25</v>
      </c>
      <c r="I1555" s="551">
        <v>8.31</v>
      </c>
      <c r="J1555" s="551">
        <v>10.38</v>
      </c>
      <c r="K1555" s="546"/>
    </row>
    <row r="1556" spans="1:11" s="89" customFormat="1" ht="38.25" customHeight="1" x14ac:dyDescent="0.3">
      <c r="A1556" s="547" t="s">
        <v>430</v>
      </c>
      <c r="B1556" s="548" t="s">
        <v>1080</v>
      </c>
      <c r="C1556" s="547" t="s">
        <v>19</v>
      </c>
      <c r="D1556" s="547" t="s">
        <v>1081</v>
      </c>
      <c r="E1556" s="688" t="s">
        <v>461</v>
      </c>
      <c r="F1556" s="688"/>
      <c r="G1556" s="549" t="s">
        <v>95</v>
      </c>
      <c r="H1556" s="550">
        <v>4.7999999999999996E-3</v>
      </c>
      <c r="I1556" s="551">
        <v>261.49</v>
      </c>
      <c r="J1556" s="551">
        <v>1.25</v>
      </c>
      <c r="K1556" s="546"/>
    </row>
    <row r="1557" spans="1:11" ht="38.25" customHeight="1" x14ac:dyDescent="0.3">
      <c r="A1557" s="547" t="s">
        <v>430</v>
      </c>
      <c r="B1557" s="548" t="s">
        <v>1082</v>
      </c>
      <c r="C1557" s="547" t="s">
        <v>19</v>
      </c>
      <c r="D1557" s="547" t="s">
        <v>1083</v>
      </c>
      <c r="E1557" s="688" t="s">
        <v>461</v>
      </c>
      <c r="F1557" s="688"/>
      <c r="G1557" s="549" t="s">
        <v>102</v>
      </c>
      <c r="H1557" s="550">
        <v>8.2000000000000007E-3</v>
      </c>
      <c r="I1557" s="551">
        <v>88.11</v>
      </c>
      <c r="J1557" s="551">
        <v>0.72</v>
      </c>
      <c r="K1557" s="552"/>
    </row>
    <row r="1558" spans="1:11" ht="15" customHeight="1" x14ac:dyDescent="0.3">
      <c r="A1558" s="547" t="s">
        <v>430</v>
      </c>
      <c r="B1558" s="548" t="s">
        <v>559</v>
      </c>
      <c r="C1558" s="547" t="s">
        <v>19</v>
      </c>
      <c r="D1558" s="547" t="s">
        <v>560</v>
      </c>
      <c r="E1558" s="688" t="s">
        <v>429</v>
      </c>
      <c r="F1558" s="688"/>
      <c r="G1558" s="549" t="s">
        <v>423</v>
      </c>
      <c r="H1558" s="550">
        <v>1.3100000000000001E-2</v>
      </c>
      <c r="I1558" s="551">
        <v>23.4</v>
      </c>
      <c r="J1558" s="551">
        <v>0.3</v>
      </c>
      <c r="K1558" s="552"/>
    </row>
    <row r="1559" spans="1:11" ht="26.25" customHeight="1" thickBot="1" x14ac:dyDescent="0.35">
      <c r="A1559" s="547" t="s">
        <v>430</v>
      </c>
      <c r="B1559" s="548" t="s">
        <v>1084</v>
      </c>
      <c r="C1559" s="547" t="s">
        <v>19</v>
      </c>
      <c r="D1559" s="547" t="s">
        <v>1085</v>
      </c>
      <c r="E1559" s="688" t="s">
        <v>561</v>
      </c>
      <c r="F1559" s="688"/>
      <c r="G1559" s="549" t="s">
        <v>111</v>
      </c>
      <c r="H1559" s="550">
        <v>0.25</v>
      </c>
      <c r="I1559" s="551">
        <v>2.3199999999999998</v>
      </c>
      <c r="J1559" s="551">
        <v>0.57999999999999996</v>
      </c>
      <c r="K1559" s="552"/>
    </row>
    <row r="1560" spans="1:11" s="89" customFormat="1" ht="14.5" thickTop="1" x14ac:dyDescent="0.3">
      <c r="A1560" s="562"/>
      <c r="B1560" s="562"/>
      <c r="C1560" s="562"/>
      <c r="D1560" s="562"/>
      <c r="E1560" s="562"/>
      <c r="F1560" s="562"/>
      <c r="G1560" s="562"/>
      <c r="H1560" s="562"/>
      <c r="I1560" s="562"/>
      <c r="J1560" s="562"/>
      <c r="K1560" s="546"/>
    </row>
    <row r="1561" spans="1:11" s="89" customFormat="1" ht="38.25" customHeight="1" x14ac:dyDescent="0.3">
      <c r="A1561" s="553"/>
      <c r="B1561" s="554" t="s">
        <v>4</v>
      </c>
      <c r="C1561" s="553" t="s">
        <v>5</v>
      </c>
      <c r="D1561" s="553" t="s">
        <v>6</v>
      </c>
      <c r="E1561" s="691" t="s">
        <v>427</v>
      </c>
      <c r="F1561" s="691"/>
      <c r="G1561" s="555" t="s">
        <v>7</v>
      </c>
      <c r="H1561" s="554" t="s">
        <v>8</v>
      </c>
      <c r="I1561" s="554" t="s">
        <v>9</v>
      </c>
      <c r="J1561" s="554" t="s">
        <v>11</v>
      </c>
      <c r="K1561" s="546"/>
    </row>
    <row r="1562" spans="1:11" s="89" customFormat="1" ht="38.25" customHeight="1" x14ac:dyDescent="0.3">
      <c r="A1562" s="607" t="s">
        <v>428</v>
      </c>
      <c r="B1562" s="608" t="s">
        <v>329</v>
      </c>
      <c r="C1562" s="607" t="s">
        <v>19</v>
      </c>
      <c r="D1562" s="607" t="s">
        <v>3819</v>
      </c>
      <c r="E1562" s="690" t="s">
        <v>709</v>
      </c>
      <c r="F1562" s="690"/>
      <c r="G1562" s="609" t="s">
        <v>532</v>
      </c>
      <c r="H1562" s="610">
        <v>1</v>
      </c>
      <c r="I1562" s="611">
        <v>12.17</v>
      </c>
      <c r="J1562" s="611">
        <v>12.17</v>
      </c>
      <c r="K1562" s="546"/>
    </row>
    <row r="1563" spans="1:11" s="89" customFormat="1" ht="25.5" customHeight="1" x14ac:dyDescent="0.3">
      <c r="A1563" s="547" t="s">
        <v>430</v>
      </c>
      <c r="B1563" s="548" t="s">
        <v>953</v>
      </c>
      <c r="C1563" s="547" t="s">
        <v>19</v>
      </c>
      <c r="D1563" s="547" t="s">
        <v>954</v>
      </c>
      <c r="E1563" s="688" t="s">
        <v>461</v>
      </c>
      <c r="F1563" s="688"/>
      <c r="G1563" s="549" t="s">
        <v>95</v>
      </c>
      <c r="H1563" s="550">
        <v>4.2570000000000004E-3</v>
      </c>
      <c r="I1563" s="551">
        <v>299.89999999999998</v>
      </c>
      <c r="J1563" s="551">
        <v>1.27</v>
      </c>
      <c r="K1563" s="546"/>
    </row>
    <row r="1564" spans="1:11" ht="25.5" customHeight="1" x14ac:dyDescent="0.3">
      <c r="A1564" s="547" t="s">
        <v>430</v>
      </c>
      <c r="B1564" s="548" t="s">
        <v>955</v>
      </c>
      <c r="C1564" s="547" t="s">
        <v>19</v>
      </c>
      <c r="D1564" s="547" t="s">
        <v>956</v>
      </c>
      <c r="E1564" s="688" t="s">
        <v>461</v>
      </c>
      <c r="F1564" s="688"/>
      <c r="G1564" s="549" t="s">
        <v>102</v>
      </c>
      <c r="H1564" s="550">
        <v>3.14119E-2</v>
      </c>
      <c r="I1564" s="551">
        <v>74.400000000000006</v>
      </c>
      <c r="J1564" s="551">
        <v>2.33</v>
      </c>
      <c r="K1564" s="552"/>
    </row>
    <row r="1565" spans="1:11" ht="14.25" customHeight="1" x14ac:dyDescent="0.3">
      <c r="A1565" s="547" t="s">
        <v>430</v>
      </c>
      <c r="B1565" s="548" t="s">
        <v>961</v>
      </c>
      <c r="C1565" s="547" t="s">
        <v>19</v>
      </c>
      <c r="D1565" s="547" t="s">
        <v>962</v>
      </c>
      <c r="E1565" s="688" t="s">
        <v>461</v>
      </c>
      <c r="F1565" s="688"/>
      <c r="G1565" s="549" t="s">
        <v>95</v>
      </c>
      <c r="H1565" s="550">
        <v>4.5111999999999999E-3</v>
      </c>
      <c r="I1565" s="551">
        <v>254.07</v>
      </c>
      <c r="J1565" s="551">
        <v>1.1399999999999999</v>
      </c>
      <c r="K1565" s="552"/>
    </row>
    <row r="1566" spans="1:11" s="89" customFormat="1" ht="26.25" customHeight="1" x14ac:dyDescent="0.3">
      <c r="A1566" s="547" t="s">
        <v>430</v>
      </c>
      <c r="B1566" s="548" t="s">
        <v>963</v>
      </c>
      <c r="C1566" s="547" t="s">
        <v>19</v>
      </c>
      <c r="D1566" s="547" t="s">
        <v>964</v>
      </c>
      <c r="E1566" s="688" t="s">
        <v>461</v>
      </c>
      <c r="F1566" s="688"/>
      <c r="G1566" s="549" t="s">
        <v>102</v>
      </c>
      <c r="H1566" s="550">
        <v>3.11577E-2</v>
      </c>
      <c r="I1566" s="551">
        <v>103.2</v>
      </c>
      <c r="J1566" s="551">
        <v>3.21</v>
      </c>
      <c r="K1566" s="546"/>
    </row>
    <row r="1567" spans="1:11" ht="38.25" customHeight="1" x14ac:dyDescent="0.3">
      <c r="A1567" s="547" t="s">
        <v>430</v>
      </c>
      <c r="B1567" s="548" t="s">
        <v>1086</v>
      </c>
      <c r="C1567" s="547" t="s">
        <v>19</v>
      </c>
      <c r="D1567" s="547" t="s">
        <v>1087</v>
      </c>
      <c r="E1567" s="688" t="s">
        <v>461</v>
      </c>
      <c r="F1567" s="688"/>
      <c r="G1567" s="549" t="s">
        <v>95</v>
      </c>
      <c r="H1567" s="550">
        <v>1.04312E-2</v>
      </c>
      <c r="I1567" s="551">
        <v>161.38999999999999</v>
      </c>
      <c r="J1567" s="551">
        <v>1.68</v>
      </c>
      <c r="K1567" s="552"/>
    </row>
    <row r="1568" spans="1:11" ht="25.5" customHeight="1" x14ac:dyDescent="0.3">
      <c r="A1568" s="547" t="s">
        <v>430</v>
      </c>
      <c r="B1568" s="548" t="s">
        <v>559</v>
      </c>
      <c r="C1568" s="547" t="s">
        <v>19</v>
      </c>
      <c r="D1568" s="547" t="s">
        <v>560</v>
      </c>
      <c r="E1568" s="688" t="s">
        <v>429</v>
      </c>
      <c r="F1568" s="688"/>
      <c r="G1568" s="549" t="s">
        <v>423</v>
      </c>
      <c r="H1568" s="550">
        <v>3.5668900000000003E-2</v>
      </c>
      <c r="I1568" s="551">
        <v>23.4</v>
      </c>
      <c r="J1568" s="551">
        <v>0.83</v>
      </c>
      <c r="K1568" s="552"/>
    </row>
    <row r="1569" spans="1:11" s="89" customFormat="1" ht="25.5" customHeight="1" thickBot="1" x14ac:dyDescent="0.35">
      <c r="A1569" s="547" t="s">
        <v>430</v>
      </c>
      <c r="B1569" s="548" t="s">
        <v>1088</v>
      </c>
      <c r="C1569" s="547" t="s">
        <v>19</v>
      </c>
      <c r="D1569" s="547" t="s">
        <v>1089</v>
      </c>
      <c r="E1569" s="688" t="s">
        <v>461</v>
      </c>
      <c r="F1569" s="688"/>
      <c r="G1569" s="549" t="s">
        <v>102</v>
      </c>
      <c r="H1569" s="550">
        <v>2.5237800000000001E-2</v>
      </c>
      <c r="I1569" s="551">
        <v>68.05</v>
      </c>
      <c r="J1569" s="551">
        <v>1.71</v>
      </c>
      <c r="K1569" s="546"/>
    </row>
    <row r="1570" spans="1:11" s="89" customFormat="1" ht="15" customHeight="1" thickTop="1" x14ac:dyDescent="0.3">
      <c r="A1570" s="562"/>
      <c r="B1570" s="562"/>
      <c r="C1570" s="562"/>
      <c r="D1570" s="562"/>
      <c r="E1570" s="562"/>
      <c r="F1570" s="562"/>
      <c r="G1570" s="562"/>
      <c r="H1570" s="562"/>
      <c r="I1570" s="562"/>
      <c r="J1570" s="562"/>
      <c r="K1570" s="546"/>
    </row>
    <row r="1571" spans="1:11" ht="26.25" customHeight="1" x14ac:dyDescent="0.3">
      <c r="A1571" s="553"/>
      <c r="B1571" s="554" t="s">
        <v>4</v>
      </c>
      <c r="C1571" s="553" t="s">
        <v>5</v>
      </c>
      <c r="D1571" s="553" t="s">
        <v>6</v>
      </c>
      <c r="E1571" s="691" t="s">
        <v>427</v>
      </c>
      <c r="F1571" s="691"/>
      <c r="G1571" s="555" t="s">
        <v>7</v>
      </c>
      <c r="H1571" s="554" t="s">
        <v>8</v>
      </c>
      <c r="I1571" s="554" t="s">
        <v>9</v>
      </c>
      <c r="J1571" s="554" t="s">
        <v>11</v>
      </c>
      <c r="K1571" s="552"/>
    </row>
    <row r="1572" spans="1:11" s="89" customFormat="1" ht="38.25" customHeight="1" x14ac:dyDescent="0.3">
      <c r="A1572" s="607" t="s">
        <v>428</v>
      </c>
      <c r="B1572" s="608" t="s">
        <v>331</v>
      </c>
      <c r="C1572" s="607" t="s">
        <v>115</v>
      </c>
      <c r="D1572" s="607" t="s">
        <v>1090</v>
      </c>
      <c r="E1572" s="690" t="s">
        <v>402</v>
      </c>
      <c r="F1572" s="690"/>
      <c r="G1572" s="609" t="s">
        <v>556</v>
      </c>
      <c r="H1572" s="610">
        <v>1</v>
      </c>
      <c r="I1572" s="611">
        <v>1.1399999999999999</v>
      </c>
      <c r="J1572" s="611">
        <v>1.1399999999999999</v>
      </c>
      <c r="K1572" s="546"/>
    </row>
    <row r="1573" spans="1:11" ht="38.25" customHeight="1" x14ac:dyDescent="0.3">
      <c r="A1573" s="691" t="s">
        <v>408</v>
      </c>
      <c r="B1573" s="692" t="s">
        <v>4</v>
      </c>
      <c r="C1573" s="691" t="s">
        <v>5</v>
      </c>
      <c r="D1573" s="691" t="s">
        <v>462</v>
      </c>
      <c r="E1573" s="692" t="s">
        <v>463</v>
      </c>
      <c r="F1573" s="694" t="s">
        <v>464</v>
      </c>
      <c r="G1573" s="692"/>
      <c r="H1573" s="694" t="s">
        <v>465</v>
      </c>
      <c r="I1573" s="692"/>
      <c r="J1573" s="692" t="s">
        <v>466</v>
      </c>
      <c r="K1573" s="552"/>
    </row>
    <row r="1574" spans="1:11" s="89" customFormat="1" ht="38.25" customHeight="1" x14ac:dyDescent="0.3">
      <c r="A1574" s="692"/>
      <c r="B1574" s="692"/>
      <c r="C1574" s="692"/>
      <c r="D1574" s="692"/>
      <c r="E1574" s="692"/>
      <c r="F1574" s="554" t="s">
        <v>467</v>
      </c>
      <c r="G1574" s="554" t="s">
        <v>468</v>
      </c>
      <c r="H1574" s="554" t="s">
        <v>467</v>
      </c>
      <c r="I1574" s="554" t="s">
        <v>468</v>
      </c>
      <c r="J1574" s="692"/>
      <c r="K1574" s="546"/>
    </row>
    <row r="1575" spans="1:11" s="89" customFormat="1" x14ac:dyDescent="0.3">
      <c r="A1575" s="547" t="s">
        <v>433</v>
      </c>
      <c r="B1575" s="548" t="s">
        <v>974</v>
      </c>
      <c r="C1575" s="547" t="s">
        <v>115</v>
      </c>
      <c r="D1575" s="547" t="s">
        <v>975</v>
      </c>
      <c r="E1575" s="550">
        <v>2</v>
      </c>
      <c r="F1575" s="551">
        <v>0.51</v>
      </c>
      <c r="G1575" s="551">
        <v>0.49</v>
      </c>
      <c r="H1575" s="563">
        <v>318.66019999999997</v>
      </c>
      <c r="I1575" s="563">
        <v>78.744600000000005</v>
      </c>
      <c r="J1575" s="563">
        <v>402.20310000000001</v>
      </c>
      <c r="K1575" s="546"/>
    </row>
    <row r="1576" spans="1:11" ht="39" customHeight="1" x14ac:dyDescent="0.3">
      <c r="A1576" s="547" t="s">
        <v>433</v>
      </c>
      <c r="B1576" s="548" t="s">
        <v>1091</v>
      </c>
      <c r="C1576" s="547" t="s">
        <v>115</v>
      </c>
      <c r="D1576" s="547" t="s">
        <v>1064</v>
      </c>
      <c r="E1576" s="550">
        <v>1</v>
      </c>
      <c r="F1576" s="551">
        <v>0.69</v>
      </c>
      <c r="G1576" s="551">
        <v>0.31</v>
      </c>
      <c r="H1576" s="563">
        <v>4.9696999999999996</v>
      </c>
      <c r="I1576" s="563">
        <v>3.4607999999999999</v>
      </c>
      <c r="J1576" s="563">
        <v>4.5019</v>
      </c>
      <c r="K1576" s="552"/>
    </row>
    <row r="1577" spans="1:11" ht="38.25" customHeight="1" x14ac:dyDescent="0.3">
      <c r="A1577" s="547" t="s">
        <v>433</v>
      </c>
      <c r="B1577" s="548" t="s">
        <v>571</v>
      </c>
      <c r="C1577" s="547" t="s">
        <v>115</v>
      </c>
      <c r="D1577" s="547" t="s">
        <v>572</v>
      </c>
      <c r="E1577" s="550">
        <v>1</v>
      </c>
      <c r="F1577" s="551">
        <v>0.71</v>
      </c>
      <c r="G1577" s="551">
        <v>0.28999999999999998</v>
      </c>
      <c r="H1577" s="563">
        <v>283.4787</v>
      </c>
      <c r="I1577" s="563">
        <v>121.99</v>
      </c>
      <c r="J1577" s="563">
        <v>236.64699999999999</v>
      </c>
      <c r="K1577" s="552"/>
    </row>
    <row r="1578" spans="1:11" s="89" customFormat="1" ht="38.25" customHeight="1" x14ac:dyDescent="0.3">
      <c r="A1578" s="547" t="s">
        <v>433</v>
      </c>
      <c r="B1578" s="548" t="s">
        <v>978</v>
      </c>
      <c r="C1578" s="547" t="s">
        <v>115</v>
      </c>
      <c r="D1578" s="547" t="s">
        <v>979</v>
      </c>
      <c r="E1578" s="550">
        <v>1</v>
      </c>
      <c r="F1578" s="551">
        <v>0.96</v>
      </c>
      <c r="G1578" s="551">
        <v>0.04</v>
      </c>
      <c r="H1578" s="563">
        <v>251.39009999999999</v>
      </c>
      <c r="I1578" s="563">
        <v>121.07299999999999</v>
      </c>
      <c r="J1578" s="563">
        <v>246.17740000000001</v>
      </c>
      <c r="K1578" s="546"/>
    </row>
    <row r="1579" spans="1:11" s="89" customFormat="1" ht="38.25" customHeight="1" x14ac:dyDescent="0.3">
      <c r="A1579" s="547" t="s">
        <v>433</v>
      </c>
      <c r="B1579" s="548" t="s">
        <v>1092</v>
      </c>
      <c r="C1579" s="547" t="s">
        <v>115</v>
      </c>
      <c r="D1579" s="547" t="s">
        <v>1058</v>
      </c>
      <c r="E1579" s="550">
        <v>1</v>
      </c>
      <c r="F1579" s="551">
        <v>1</v>
      </c>
      <c r="G1579" s="551">
        <v>0</v>
      </c>
      <c r="H1579" s="563">
        <v>220.7818</v>
      </c>
      <c r="I1579" s="563">
        <v>97.687299999999993</v>
      </c>
      <c r="J1579" s="563">
        <v>220.7818</v>
      </c>
      <c r="K1579" s="546"/>
    </row>
    <row r="1580" spans="1:11" s="89" customFormat="1" ht="15" customHeight="1" x14ac:dyDescent="0.3">
      <c r="A1580" s="547" t="s">
        <v>433</v>
      </c>
      <c r="B1580" s="548" t="s">
        <v>1093</v>
      </c>
      <c r="C1580" s="547" t="s">
        <v>115</v>
      </c>
      <c r="D1580" s="547" t="s">
        <v>1060</v>
      </c>
      <c r="E1580" s="550">
        <v>1</v>
      </c>
      <c r="F1580" s="551">
        <v>0.69</v>
      </c>
      <c r="G1580" s="551">
        <v>0.31</v>
      </c>
      <c r="H1580" s="563">
        <v>151.00700000000001</v>
      </c>
      <c r="I1580" s="563">
        <v>55.2605</v>
      </c>
      <c r="J1580" s="563">
        <v>121.32559999999999</v>
      </c>
      <c r="K1580" s="546"/>
    </row>
    <row r="1581" spans="1:11" ht="39" customHeight="1" x14ac:dyDescent="0.3">
      <c r="A1581" s="689"/>
      <c r="B1581" s="689"/>
      <c r="C1581" s="689"/>
      <c r="D1581" s="689"/>
      <c r="E1581" s="689"/>
      <c r="F1581" s="689" t="s">
        <v>471</v>
      </c>
      <c r="G1581" s="689"/>
      <c r="H1581" s="689"/>
      <c r="I1581" s="689"/>
      <c r="J1581" s="564">
        <v>1231.6368</v>
      </c>
      <c r="K1581" s="552"/>
    </row>
    <row r="1582" spans="1:11" ht="14.25" customHeight="1" x14ac:dyDescent="0.3">
      <c r="A1582" s="689"/>
      <c r="B1582" s="689"/>
      <c r="C1582" s="689"/>
      <c r="D1582" s="689"/>
      <c r="E1582" s="689"/>
      <c r="F1582" s="689" t="s">
        <v>472</v>
      </c>
      <c r="G1582" s="689"/>
      <c r="H1582" s="689"/>
      <c r="I1582" s="689"/>
      <c r="J1582" s="564">
        <v>1231.6368</v>
      </c>
      <c r="K1582" s="552"/>
    </row>
    <row r="1583" spans="1:11" ht="14.25" customHeight="1" x14ac:dyDescent="0.3">
      <c r="A1583" s="689"/>
      <c r="B1583" s="689"/>
      <c r="C1583" s="689"/>
      <c r="D1583" s="689"/>
      <c r="E1583" s="689"/>
      <c r="F1583" s="689" t="s">
        <v>473</v>
      </c>
      <c r="G1583" s="689"/>
      <c r="H1583" s="689"/>
      <c r="I1583" s="689"/>
      <c r="J1583" s="564">
        <v>2.24E-2</v>
      </c>
      <c r="K1583" s="552"/>
    </row>
    <row r="1584" spans="1:11" s="89" customFormat="1" x14ac:dyDescent="0.3">
      <c r="A1584" s="689"/>
      <c r="B1584" s="689"/>
      <c r="C1584" s="689"/>
      <c r="D1584" s="689"/>
      <c r="E1584" s="689"/>
      <c r="F1584" s="689" t="s">
        <v>474</v>
      </c>
      <c r="G1584" s="689"/>
      <c r="H1584" s="689"/>
      <c r="I1584" s="689"/>
      <c r="J1584" s="564">
        <v>2.46E-2</v>
      </c>
      <c r="K1584" s="546"/>
    </row>
    <row r="1585" spans="1:11" ht="15" customHeight="1" x14ac:dyDescent="0.3">
      <c r="A1585" s="689"/>
      <c r="B1585" s="689"/>
      <c r="C1585" s="689"/>
      <c r="D1585" s="689"/>
      <c r="E1585" s="689"/>
      <c r="F1585" s="689" t="s">
        <v>475</v>
      </c>
      <c r="G1585" s="689"/>
      <c r="H1585" s="689"/>
      <c r="I1585" s="689"/>
      <c r="J1585" s="564">
        <v>1121.33</v>
      </c>
      <c r="K1585" s="552"/>
    </row>
    <row r="1586" spans="1:11" ht="14.25" customHeight="1" x14ac:dyDescent="0.3">
      <c r="A1586" s="689"/>
      <c r="B1586" s="689"/>
      <c r="C1586" s="689"/>
      <c r="D1586" s="689"/>
      <c r="E1586" s="689"/>
      <c r="F1586" s="689" t="s">
        <v>476</v>
      </c>
      <c r="G1586" s="689"/>
      <c r="H1586" s="689"/>
      <c r="I1586" s="689"/>
      <c r="J1586" s="564">
        <v>1.0984</v>
      </c>
      <c r="K1586" s="552"/>
    </row>
    <row r="1587" spans="1:11" ht="15" customHeight="1" x14ac:dyDescent="0.3">
      <c r="A1587" s="553" t="s">
        <v>573</v>
      </c>
      <c r="B1587" s="554" t="s">
        <v>5</v>
      </c>
      <c r="C1587" s="553" t="s">
        <v>4</v>
      </c>
      <c r="D1587" s="553" t="s">
        <v>574</v>
      </c>
      <c r="E1587" s="554" t="s">
        <v>463</v>
      </c>
      <c r="F1587" s="554" t="s">
        <v>575</v>
      </c>
      <c r="G1587" s="692" t="s">
        <v>576</v>
      </c>
      <c r="H1587" s="692"/>
      <c r="I1587" s="692"/>
      <c r="J1587" s="554" t="s">
        <v>466</v>
      </c>
      <c r="K1587" s="552"/>
    </row>
    <row r="1588" spans="1:11" s="89" customFormat="1" x14ac:dyDescent="0.3">
      <c r="A1588" s="547" t="s">
        <v>577</v>
      </c>
      <c r="B1588" s="548" t="s">
        <v>19</v>
      </c>
      <c r="C1588" s="547">
        <v>88316</v>
      </c>
      <c r="D1588" s="547" t="s">
        <v>560</v>
      </c>
      <c r="E1588" s="550">
        <v>8.9179999999999999E-4</v>
      </c>
      <c r="F1588" s="549" t="s">
        <v>423</v>
      </c>
      <c r="G1588" s="693">
        <v>23.4</v>
      </c>
      <c r="H1588" s="693"/>
      <c r="I1588" s="688"/>
      <c r="J1588" s="563">
        <v>2.0899999999999998E-2</v>
      </c>
      <c r="K1588" s="546"/>
    </row>
    <row r="1589" spans="1:11" s="89" customFormat="1" ht="15" customHeight="1" thickBot="1" x14ac:dyDescent="0.35">
      <c r="A1589" s="689"/>
      <c r="B1589" s="689"/>
      <c r="C1589" s="689"/>
      <c r="D1589" s="689"/>
      <c r="E1589" s="689"/>
      <c r="F1589" s="689" t="s">
        <v>578</v>
      </c>
      <c r="G1589" s="689"/>
      <c r="H1589" s="689"/>
      <c r="I1589" s="689"/>
      <c r="J1589" s="564">
        <v>2.0899999999999998E-2</v>
      </c>
      <c r="K1589" s="546"/>
    </row>
    <row r="1590" spans="1:11" ht="14.25" customHeight="1" thickTop="1" x14ac:dyDescent="0.3">
      <c r="A1590" s="562"/>
      <c r="B1590" s="562"/>
      <c r="C1590" s="562"/>
      <c r="D1590" s="562"/>
      <c r="E1590" s="562"/>
      <c r="F1590" s="562"/>
      <c r="G1590" s="562"/>
      <c r="H1590" s="562"/>
      <c r="I1590" s="562"/>
      <c r="J1590" s="562"/>
      <c r="K1590" s="552"/>
    </row>
    <row r="1591" spans="1:11" s="89" customFormat="1" x14ac:dyDescent="0.3">
      <c r="A1591" s="553"/>
      <c r="B1591" s="554" t="s">
        <v>4</v>
      </c>
      <c r="C1591" s="553" t="s">
        <v>5</v>
      </c>
      <c r="D1591" s="553" t="s">
        <v>6</v>
      </c>
      <c r="E1591" s="691" t="s">
        <v>427</v>
      </c>
      <c r="F1591" s="691"/>
      <c r="G1591" s="555" t="s">
        <v>7</v>
      </c>
      <c r="H1591" s="554" t="s">
        <v>8</v>
      </c>
      <c r="I1591" s="554" t="s">
        <v>9</v>
      </c>
      <c r="J1591" s="554" t="s">
        <v>11</v>
      </c>
      <c r="K1591" s="546"/>
    </row>
    <row r="1592" spans="1:11" x14ac:dyDescent="0.3">
      <c r="A1592" s="607" t="s">
        <v>428</v>
      </c>
      <c r="B1592" s="608" t="s">
        <v>333</v>
      </c>
      <c r="C1592" s="607" t="s">
        <v>115</v>
      </c>
      <c r="D1592" s="607" t="s">
        <v>1095</v>
      </c>
      <c r="E1592" s="690" t="s">
        <v>402</v>
      </c>
      <c r="F1592" s="690"/>
      <c r="G1592" s="609" t="s">
        <v>556</v>
      </c>
      <c r="H1592" s="610">
        <v>1</v>
      </c>
      <c r="I1592" s="611">
        <v>10.38</v>
      </c>
      <c r="J1592" s="611">
        <v>10.38</v>
      </c>
      <c r="K1592" s="552"/>
    </row>
    <row r="1593" spans="1:11" ht="14.25" customHeight="1" x14ac:dyDescent="0.3">
      <c r="A1593" s="689"/>
      <c r="B1593" s="689"/>
      <c r="C1593" s="689"/>
      <c r="D1593" s="689"/>
      <c r="E1593" s="689"/>
      <c r="F1593" s="689" t="s">
        <v>472</v>
      </c>
      <c r="G1593" s="689"/>
      <c r="H1593" s="689"/>
      <c r="I1593" s="689"/>
      <c r="J1593" s="564">
        <v>0</v>
      </c>
      <c r="K1593" s="552"/>
    </row>
    <row r="1594" spans="1:11" ht="15" customHeight="1" x14ac:dyDescent="0.3">
      <c r="A1594" s="689"/>
      <c r="B1594" s="689"/>
      <c r="C1594" s="689"/>
      <c r="D1594" s="689"/>
      <c r="E1594" s="689"/>
      <c r="F1594" s="689" t="s">
        <v>473</v>
      </c>
      <c r="G1594" s="689"/>
      <c r="H1594" s="689"/>
      <c r="I1594" s="689"/>
      <c r="J1594" s="564">
        <v>0</v>
      </c>
      <c r="K1594" s="552"/>
    </row>
    <row r="1595" spans="1:11" ht="14.25" customHeight="1" x14ac:dyDescent="0.3">
      <c r="A1595" s="689"/>
      <c r="B1595" s="689"/>
      <c r="C1595" s="689"/>
      <c r="D1595" s="689"/>
      <c r="E1595" s="689"/>
      <c r="F1595" s="689" t="s">
        <v>474</v>
      </c>
      <c r="G1595" s="689"/>
      <c r="H1595" s="689"/>
      <c r="I1595" s="689"/>
      <c r="J1595" s="564">
        <v>0</v>
      </c>
      <c r="K1595" s="552"/>
    </row>
    <row r="1596" spans="1:11" ht="15" customHeight="1" x14ac:dyDescent="0.3">
      <c r="A1596" s="689"/>
      <c r="B1596" s="689"/>
      <c r="C1596" s="689"/>
      <c r="D1596" s="689"/>
      <c r="E1596" s="689"/>
      <c r="F1596" s="689" t="s">
        <v>475</v>
      </c>
      <c r="G1596" s="689"/>
      <c r="H1596" s="689"/>
      <c r="I1596" s="689"/>
      <c r="J1596" s="564">
        <v>50</v>
      </c>
      <c r="K1596" s="552"/>
    </row>
    <row r="1597" spans="1:11" s="89" customFormat="1" ht="15" customHeight="1" x14ac:dyDescent="0.3">
      <c r="A1597" s="689"/>
      <c r="B1597" s="689"/>
      <c r="C1597" s="689"/>
      <c r="D1597" s="689"/>
      <c r="E1597" s="689"/>
      <c r="F1597" s="689" t="s">
        <v>476</v>
      </c>
      <c r="G1597" s="689"/>
      <c r="H1597" s="689"/>
      <c r="I1597" s="689"/>
      <c r="J1597" s="564">
        <v>0</v>
      </c>
      <c r="K1597" s="546"/>
    </row>
    <row r="1598" spans="1:11" s="89" customFormat="1" ht="15" customHeight="1" x14ac:dyDescent="0.3">
      <c r="A1598" s="553" t="s">
        <v>410</v>
      </c>
      <c r="B1598" s="554" t="s">
        <v>5</v>
      </c>
      <c r="C1598" s="553" t="s">
        <v>4</v>
      </c>
      <c r="D1598" s="553" t="s">
        <v>438</v>
      </c>
      <c r="E1598" s="554" t="s">
        <v>463</v>
      </c>
      <c r="F1598" s="554" t="s">
        <v>575</v>
      </c>
      <c r="G1598" s="692" t="s">
        <v>576</v>
      </c>
      <c r="H1598" s="692"/>
      <c r="I1598" s="692"/>
      <c r="J1598" s="554" t="s">
        <v>466</v>
      </c>
      <c r="K1598" s="546"/>
    </row>
    <row r="1599" spans="1:11" s="89" customFormat="1" ht="15" customHeight="1" x14ac:dyDescent="0.3">
      <c r="A1599" s="547" t="s">
        <v>433</v>
      </c>
      <c r="B1599" s="548" t="s">
        <v>115</v>
      </c>
      <c r="C1599" s="547" t="s">
        <v>1096</v>
      </c>
      <c r="D1599" s="547" t="s">
        <v>1097</v>
      </c>
      <c r="E1599" s="550">
        <v>0.06</v>
      </c>
      <c r="F1599" s="549" t="s">
        <v>655</v>
      </c>
      <c r="G1599" s="693">
        <v>3.7061999999999999</v>
      </c>
      <c r="H1599" s="693"/>
      <c r="I1599" s="688"/>
      <c r="J1599" s="563">
        <v>0.22239999999999999</v>
      </c>
      <c r="K1599" s="546"/>
    </row>
    <row r="1600" spans="1:11" x14ac:dyDescent="0.3">
      <c r="A1600" s="547" t="s">
        <v>433</v>
      </c>
      <c r="B1600" s="548" t="s">
        <v>115</v>
      </c>
      <c r="C1600" s="547" t="s">
        <v>1098</v>
      </c>
      <c r="D1600" s="547" t="s">
        <v>1099</v>
      </c>
      <c r="E1600" s="550">
        <v>0.2</v>
      </c>
      <c r="F1600" s="549" t="s">
        <v>655</v>
      </c>
      <c r="G1600" s="693">
        <v>0.2863</v>
      </c>
      <c r="H1600" s="693"/>
      <c r="I1600" s="688"/>
      <c r="J1600" s="563">
        <v>5.7299999999999997E-2</v>
      </c>
      <c r="K1600" s="552"/>
    </row>
    <row r="1601" spans="1:11" ht="15" customHeight="1" x14ac:dyDescent="0.3">
      <c r="A1601" s="547" t="s">
        <v>433</v>
      </c>
      <c r="B1601" s="548" t="s">
        <v>115</v>
      </c>
      <c r="C1601" s="547" t="s">
        <v>1100</v>
      </c>
      <c r="D1601" s="547" t="s">
        <v>1101</v>
      </c>
      <c r="E1601" s="550">
        <v>3.0000000000000001E-3</v>
      </c>
      <c r="F1601" s="549" t="s">
        <v>655</v>
      </c>
      <c r="G1601" s="693">
        <v>3.9861</v>
      </c>
      <c r="H1601" s="693"/>
      <c r="I1601" s="688"/>
      <c r="J1601" s="563">
        <v>1.2E-2</v>
      </c>
      <c r="K1601" s="552"/>
    </row>
    <row r="1602" spans="1:11" s="89" customFormat="1" x14ac:dyDescent="0.3">
      <c r="A1602" s="547" t="s">
        <v>433</v>
      </c>
      <c r="B1602" s="548" t="s">
        <v>115</v>
      </c>
      <c r="C1602" s="547" t="s">
        <v>1102</v>
      </c>
      <c r="D1602" s="547" t="s">
        <v>1103</v>
      </c>
      <c r="E1602" s="550">
        <v>0.17499999999999999</v>
      </c>
      <c r="F1602" s="549" t="s">
        <v>655</v>
      </c>
      <c r="G1602" s="693">
        <v>0.18240000000000001</v>
      </c>
      <c r="H1602" s="693"/>
      <c r="I1602" s="688"/>
      <c r="J1602" s="563">
        <v>3.1899999999999998E-2</v>
      </c>
      <c r="K1602" s="546"/>
    </row>
    <row r="1603" spans="1:11" s="89" customFormat="1" x14ac:dyDescent="0.3">
      <c r="A1603" s="547" t="s">
        <v>433</v>
      </c>
      <c r="B1603" s="548" t="s">
        <v>115</v>
      </c>
      <c r="C1603" s="547" t="s">
        <v>1104</v>
      </c>
      <c r="D1603" s="547" t="s">
        <v>1105</v>
      </c>
      <c r="E1603" s="550">
        <v>0.6</v>
      </c>
      <c r="F1603" s="549" t="s">
        <v>830</v>
      </c>
      <c r="G1603" s="693">
        <v>2.4834000000000001</v>
      </c>
      <c r="H1603" s="693"/>
      <c r="I1603" s="688"/>
      <c r="J1603" s="563">
        <v>1.49</v>
      </c>
      <c r="K1603" s="546"/>
    </row>
    <row r="1604" spans="1:11" s="89" customFormat="1" ht="15" customHeight="1" x14ac:dyDescent="0.3">
      <c r="A1604" s="689"/>
      <c r="B1604" s="689"/>
      <c r="C1604" s="689"/>
      <c r="D1604" s="689"/>
      <c r="E1604" s="689"/>
      <c r="F1604" s="689" t="s">
        <v>813</v>
      </c>
      <c r="G1604" s="689"/>
      <c r="H1604" s="689"/>
      <c r="I1604" s="689"/>
      <c r="J1604" s="564">
        <v>1.8136000000000001</v>
      </c>
      <c r="K1604" s="546"/>
    </row>
    <row r="1605" spans="1:11" s="89" customFormat="1" ht="15" customHeight="1" x14ac:dyDescent="0.3">
      <c r="A1605" s="553" t="s">
        <v>573</v>
      </c>
      <c r="B1605" s="554" t="s">
        <v>5</v>
      </c>
      <c r="C1605" s="553" t="s">
        <v>4</v>
      </c>
      <c r="D1605" s="553" t="s">
        <v>574</v>
      </c>
      <c r="E1605" s="554" t="s">
        <v>463</v>
      </c>
      <c r="F1605" s="554" t="s">
        <v>575</v>
      </c>
      <c r="G1605" s="692" t="s">
        <v>576</v>
      </c>
      <c r="H1605" s="692"/>
      <c r="I1605" s="692"/>
      <c r="J1605" s="554" t="s">
        <v>466</v>
      </c>
      <c r="K1605" s="546"/>
    </row>
    <row r="1606" spans="1:11" ht="14.25" customHeight="1" x14ac:dyDescent="0.3">
      <c r="A1606" s="547" t="s">
        <v>577</v>
      </c>
      <c r="B1606" s="548" t="s">
        <v>115</v>
      </c>
      <c r="C1606" s="547">
        <v>4413995</v>
      </c>
      <c r="D1606" s="547" t="s">
        <v>1106</v>
      </c>
      <c r="E1606" s="550">
        <v>1</v>
      </c>
      <c r="F1606" s="549" t="s">
        <v>556</v>
      </c>
      <c r="G1606" s="693">
        <v>3.08</v>
      </c>
      <c r="H1606" s="693"/>
      <c r="I1606" s="688"/>
      <c r="J1606" s="563">
        <v>3.08</v>
      </c>
      <c r="K1606" s="552"/>
    </row>
    <row r="1607" spans="1:11" x14ac:dyDescent="0.3">
      <c r="A1607" s="547" t="s">
        <v>577</v>
      </c>
      <c r="B1607" s="548" t="s">
        <v>19</v>
      </c>
      <c r="C1607" s="547">
        <v>88316</v>
      </c>
      <c r="D1607" s="547" t="s">
        <v>560</v>
      </c>
      <c r="E1607" s="550">
        <v>0.2</v>
      </c>
      <c r="F1607" s="549" t="s">
        <v>423</v>
      </c>
      <c r="G1607" s="693">
        <v>23.4</v>
      </c>
      <c r="H1607" s="693"/>
      <c r="I1607" s="688"/>
      <c r="J1607" s="563">
        <v>4.68</v>
      </c>
      <c r="K1607" s="552"/>
    </row>
    <row r="1608" spans="1:11" s="89" customFormat="1" ht="15" customHeight="1" x14ac:dyDescent="0.3">
      <c r="A1608" s="689"/>
      <c r="B1608" s="689"/>
      <c r="C1608" s="689"/>
      <c r="D1608" s="689"/>
      <c r="E1608" s="689"/>
      <c r="F1608" s="689" t="s">
        <v>578</v>
      </c>
      <c r="G1608" s="689"/>
      <c r="H1608" s="689"/>
      <c r="I1608" s="689"/>
      <c r="J1608" s="564">
        <v>7.76</v>
      </c>
      <c r="K1608" s="546"/>
    </row>
    <row r="1609" spans="1:11" ht="14.25" customHeight="1" x14ac:dyDescent="0.3">
      <c r="A1609" s="553" t="s">
        <v>579</v>
      </c>
      <c r="B1609" s="554" t="s">
        <v>5</v>
      </c>
      <c r="C1609" s="553" t="s">
        <v>433</v>
      </c>
      <c r="D1609" s="553" t="s">
        <v>580</v>
      </c>
      <c r="E1609" s="554" t="s">
        <v>4</v>
      </c>
      <c r="F1609" s="554" t="s">
        <v>463</v>
      </c>
      <c r="G1609" s="555" t="s">
        <v>575</v>
      </c>
      <c r="H1609" s="692" t="s">
        <v>576</v>
      </c>
      <c r="I1609" s="692"/>
      <c r="J1609" s="554" t="s">
        <v>466</v>
      </c>
      <c r="K1609" s="552"/>
    </row>
    <row r="1610" spans="1:11" ht="15" customHeight="1" x14ac:dyDescent="0.3">
      <c r="A1610" s="547" t="s">
        <v>581</v>
      </c>
      <c r="B1610" s="548" t="s">
        <v>115</v>
      </c>
      <c r="C1610" s="547">
        <v>4413995</v>
      </c>
      <c r="D1610" s="547" t="s">
        <v>844</v>
      </c>
      <c r="E1610" s="548">
        <v>5914655</v>
      </c>
      <c r="F1610" s="550">
        <v>2.3E-2</v>
      </c>
      <c r="G1610" s="549" t="s">
        <v>584</v>
      </c>
      <c r="H1610" s="693">
        <v>33.159999999999997</v>
      </c>
      <c r="I1610" s="688"/>
      <c r="J1610" s="563">
        <v>0.76270000000000004</v>
      </c>
      <c r="K1610" s="552"/>
    </row>
    <row r="1611" spans="1:11" ht="14.25" customHeight="1" x14ac:dyDescent="0.3">
      <c r="A1611" s="547" t="s">
        <v>581</v>
      </c>
      <c r="B1611" s="548" t="s">
        <v>115</v>
      </c>
      <c r="C1611" s="547" t="s">
        <v>1096</v>
      </c>
      <c r="D1611" s="547" t="s">
        <v>844</v>
      </c>
      <c r="E1611" s="548">
        <v>5914655</v>
      </c>
      <c r="F1611" s="550">
        <v>6.0000000000000002E-5</v>
      </c>
      <c r="G1611" s="549" t="s">
        <v>584</v>
      </c>
      <c r="H1611" s="693">
        <v>33.159999999999997</v>
      </c>
      <c r="I1611" s="688"/>
      <c r="J1611" s="563">
        <v>2E-3</v>
      </c>
      <c r="K1611" s="552"/>
    </row>
    <row r="1612" spans="1:11" ht="15" customHeight="1" x14ac:dyDescent="0.3">
      <c r="A1612" s="547" t="s">
        <v>581</v>
      </c>
      <c r="B1612" s="548" t="s">
        <v>115</v>
      </c>
      <c r="C1612" s="547" t="s">
        <v>1098</v>
      </c>
      <c r="D1612" s="547" t="s">
        <v>844</v>
      </c>
      <c r="E1612" s="548">
        <v>5914655</v>
      </c>
      <c r="F1612" s="550">
        <v>2.0000000000000001E-4</v>
      </c>
      <c r="G1612" s="549" t="s">
        <v>584</v>
      </c>
      <c r="H1612" s="693">
        <v>33.159999999999997</v>
      </c>
      <c r="I1612" s="688"/>
      <c r="J1612" s="563">
        <v>6.6E-3</v>
      </c>
      <c r="K1612" s="552"/>
    </row>
    <row r="1613" spans="1:11" s="89" customFormat="1" ht="25" x14ac:dyDescent="0.3">
      <c r="A1613" s="547" t="s">
        <v>581</v>
      </c>
      <c r="B1613" s="548" t="s">
        <v>115</v>
      </c>
      <c r="C1613" s="547" t="s">
        <v>1102</v>
      </c>
      <c r="D1613" s="547" t="s">
        <v>844</v>
      </c>
      <c r="E1613" s="548">
        <v>5914655</v>
      </c>
      <c r="F1613" s="550">
        <v>1.8000000000000001E-4</v>
      </c>
      <c r="G1613" s="549" t="s">
        <v>584</v>
      </c>
      <c r="H1613" s="693">
        <v>33.159999999999997</v>
      </c>
      <c r="I1613" s="688"/>
      <c r="J1613" s="563">
        <v>6.0000000000000001E-3</v>
      </c>
      <c r="K1613" s="546"/>
    </row>
    <row r="1614" spans="1:11" s="89" customFormat="1" ht="25" x14ac:dyDescent="0.3">
      <c r="A1614" s="547" t="s">
        <v>581</v>
      </c>
      <c r="B1614" s="548" t="s">
        <v>115</v>
      </c>
      <c r="C1614" s="547" t="s">
        <v>1104</v>
      </c>
      <c r="D1614" s="547" t="s">
        <v>844</v>
      </c>
      <c r="E1614" s="548">
        <v>5914655</v>
      </c>
      <c r="F1614" s="550">
        <v>7.5000000000000002E-4</v>
      </c>
      <c r="G1614" s="549" t="s">
        <v>584</v>
      </c>
      <c r="H1614" s="693">
        <v>33.159999999999997</v>
      </c>
      <c r="I1614" s="688"/>
      <c r="J1614" s="563">
        <v>2.4899999999999999E-2</v>
      </c>
      <c r="K1614" s="546"/>
    </row>
    <row r="1615" spans="1:11" ht="14.25" customHeight="1" x14ac:dyDescent="0.3">
      <c r="A1615" s="689"/>
      <c r="B1615" s="689"/>
      <c r="C1615" s="689"/>
      <c r="D1615" s="689"/>
      <c r="E1615" s="689"/>
      <c r="F1615" s="689" t="s">
        <v>585</v>
      </c>
      <c r="G1615" s="689"/>
      <c r="H1615" s="689"/>
      <c r="I1615" s="689"/>
      <c r="J1615" s="564">
        <v>0.80220000000000002</v>
      </c>
      <c r="K1615" s="552"/>
    </row>
    <row r="1616" spans="1:11" s="89" customFormat="1" ht="15" customHeight="1" x14ac:dyDescent="0.3">
      <c r="A1616" s="553" t="s">
        <v>586</v>
      </c>
      <c r="B1616" s="554" t="s">
        <v>5</v>
      </c>
      <c r="C1616" s="553" t="s">
        <v>433</v>
      </c>
      <c r="D1616" s="553" t="s">
        <v>587</v>
      </c>
      <c r="E1616" s="554" t="s">
        <v>463</v>
      </c>
      <c r="F1616" s="554" t="s">
        <v>575</v>
      </c>
      <c r="G1616" s="694" t="s">
        <v>588</v>
      </c>
      <c r="H1616" s="692"/>
      <c r="I1616" s="692"/>
      <c r="J1616" s="554" t="s">
        <v>466</v>
      </c>
      <c r="K1616" s="546"/>
    </row>
    <row r="1617" spans="1:11" ht="15" customHeight="1" x14ac:dyDescent="0.3">
      <c r="A1617" s="555"/>
      <c r="B1617" s="555"/>
      <c r="C1617" s="555"/>
      <c r="D1617" s="555"/>
      <c r="E1617" s="555"/>
      <c r="F1617" s="555"/>
      <c r="G1617" s="555" t="s">
        <v>589</v>
      </c>
      <c r="H1617" s="555" t="s">
        <v>590</v>
      </c>
      <c r="I1617" s="555" t="s">
        <v>591</v>
      </c>
      <c r="J1617" s="555"/>
      <c r="K1617" s="552"/>
    </row>
    <row r="1618" spans="1:11" s="89" customFormat="1" ht="37.5" x14ac:dyDescent="0.3">
      <c r="A1618" s="547" t="s">
        <v>587</v>
      </c>
      <c r="B1618" s="548" t="s">
        <v>115</v>
      </c>
      <c r="C1618" s="547">
        <v>4413995</v>
      </c>
      <c r="D1618" s="547" t="s">
        <v>1107</v>
      </c>
      <c r="E1618" s="550">
        <v>2.3E-2</v>
      </c>
      <c r="F1618" s="549" t="s">
        <v>593</v>
      </c>
      <c r="G1618" s="548" t="s">
        <v>3846</v>
      </c>
      <c r="H1618" s="548" t="s">
        <v>3847</v>
      </c>
      <c r="I1618" s="548" t="s">
        <v>3848</v>
      </c>
      <c r="J1618" s="563">
        <v>0</v>
      </c>
      <c r="K1618" s="546"/>
    </row>
    <row r="1619" spans="1:11" ht="37.5" x14ac:dyDescent="0.3">
      <c r="A1619" s="547" t="s">
        <v>587</v>
      </c>
      <c r="B1619" s="548" t="s">
        <v>115</v>
      </c>
      <c r="C1619" s="547" t="s">
        <v>1096</v>
      </c>
      <c r="D1619" s="547" t="s">
        <v>1108</v>
      </c>
      <c r="E1619" s="550">
        <v>6.0000000000000002E-5</v>
      </c>
      <c r="F1619" s="549" t="s">
        <v>593</v>
      </c>
      <c r="G1619" s="548" t="s">
        <v>3846</v>
      </c>
      <c r="H1619" s="548" t="s">
        <v>3847</v>
      </c>
      <c r="I1619" s="548" t="s">
        <v>3848</v>
      </c>
      <c r="J1619" s="563">
        <v>0</v>
      </c>
      <c r="K1619" s="552"/>
    </row>
    <row r="1620" spans="1:11" ht="14.25" customHeight="1" x14ac:dyDescent="0.3">
      <c r="A1620" s="547" t="s">
        <v>587</v>
      </c>
      <c r="B1620" s="548" t="s">
        <v>115</v>
      </c>
      <c r="C1620" s="547" t="s">
        <v>1098</v>
      </c>
      <c r="D1620" s="547" t="s">
        <v>1109</v>
      </c>
      <c r="E1620" s="550">
        <v>2.0000000000000001E-4</v>
      </c>
      <c r="F1620" s="549" t="s">
        <v>593</v>
      </c>
      <c r="G1620" s="548" t="s">
        <v>3846</v>
      </c>
      <c r="H1620" s="548" t="s">
        <v>3847</v>
      </c>
      <c r="I1620" s="548" t="s">
        <v>3848</v>
      </c>
      <c r="J1620" s="563">
        <v>0</v>
      </c>
      <c r="K1620" s="552"/>
    </row>
    <row r="1621" spans="1:11" ht="15" customHeight="1" x14ac:dyDescent="0.3">
      <c r="A1621" s="547" t="s">
        <v>587</v>
      </c>
      <c r="B1621" s="548" t="s">
        <v>115</v>
      </c>
      <c r="C1621" s="547" t="s">
        <v>1102</v>
      </c>
      <c r="D1621" s="547" t="s">
        <v>1110</v>
      </c>
      <c r="E1621" s="550">
        <v>1.8000000000000001E-4</v>
      </c>
      <c r="F1621" s="549" t="s">
        <v>593</v>
      </c>
      <c r="G1621" s="548" t="s">
        <v>3846</v>
      </c>
      <c r="H1621" s="548" t="s">
        <v>3847</v>
      </c>
      <c r="I1621" s="548" t="s">
        <v>3848</v>
      </c>
      <c r="J1621" s="563">
        <v>0</v>
      </c>
      <c r="K1621" s="552"/>
    </row>
    <row r="1622" spans="1:11" s="89" customFormat="1" ht="15" customHeight="1" x14ac:dyDescent="0.3">
      <c r="A1622" s="547" t="s">
        <v>587</v>
      </c>
      <c r="B1622" s="548" t="s">
        <v>115</v>
      </c>
      <c r="C1622" s="547" t="s">
        <v>1104</v>
      </c>
      <c r="D1622" s="547" t="s">
        <v>1111</v>
      </c>
      <c r="E1622" s="550">
        <v>7.5000000000000002E-4</v>
      </c>
      <c r="F1622" s="549" t="s">
        <v>593</v>
      </c>
      <c r="G1622" s="548" t="s">
        <v>3846</v>
      </c>
      <c r="H1622" s="548" t="s">
        <v>3847</v>
      </c>
      <c r="I1622" s="548" t="s">
        <v>3848</v>
      </c>
      <c r="J1622" s="563">
        <v>0</v>
      </c>
      <c r="K1622" s="546"/>
    </row>
    <row r="1623" spans="1:11" ht="15" customHeight="1" thickBot="1" x14ac:dyDescent="0.35">
      <c r="A1623" s="689"/>
      <c r="B1623" s="689"/>
      <c r="C1623" s="689"/>
      <c r="D1623" s="689"/>
      <c r="E1623" s="689"/>
      <c r="F1623" s="689" t="s">
        <v>594</v>
      </c>
      <c r="G1623" s="689"/>
      <c r="H1623" s="689"/>
      <c r="I1623" s="689"/>
      <c r="J1623" s="564">
        <v>0</v>
      </c>
      <c r="K1623" s="552"/>
    </row>
    <row r="1624" spans="1:11" ht="14.5" thickTop="1" x14ac:dyDescent="0.3">
      <c r="A1624" s="562"/>
      <c r="B1624" s="562"/>
      <c r="C1624" s="562"/>
      <c r="D1624" s="562"/>
      <c r="E1624" s="562"/>
      <c r="F1624" s="562"/>
      <c r="G1624" s="562"/>
      <c r="H1624" s="562"/>
      <c r="I1624" s="562"/>
      <c r="J1624" s="562"/>
      <c r="K1624" s="552"/>
    </row>
    <row r="1625" spans="1:11" s="89" customFormat="1" x14ac:dyDescent="0.3">
      <c r="A1625" s="553"/>
      <c r="B1625" s="554" t="s">
        <v>4</v>
      </c>
      <c r="C1625" s="553" t="s">
        <v>5</v>
      </c>
      <c r="D1625" s="553" t="s">
        <v>6</v>
      </c>
      <c r="E1625" s="691" t="s">
        <v>427</v>
      </c>
      <c r="F1625" s="691"/>
      <c r="G1625" s="555" t="s">
        <v>7</v>
      </c>
      <c r="H1625" s="554" t="s">
        <v>8</v>
      </c>
      <c r="I1625" s="554" t="s">
        <v>9</v>
      </c>
      <c r="J1625" s="554" t="s">
        <v>11</v>
      </c>
      <c r="K1625" s="546"/>
    </row>
    <row r="1626" spans="1:11" ht="51" customHeight="1" x14ac:dyDescent="0.3">
      <c r="A1626" s="607" t="s">
        <v>428</v>
      </c>
      <c r="B1626" s="608" t="s">
        <v>334</v>
      </c>
      <c r="C1626" s="607" t="s">
        <v>19</v>
      </c>
      <c r="D1626" s="607" t="s">
        <v>3820</v>
      </c>
      <c r="E1626" s="690" t="s">
        <v>1033</v>
      </c>
      <c r="F1626" s="690"/>
      <c r="G1626" s="609" t="s">
        <v>173</v>
      </c>
      <c r="H1626" s="610">
        <v>1</v>
      </c>
      <c r="I1626" s="611">
        <v>48.36</v>
      </c>
      <c r="J1626" s="611">
        <v>48.36</v>
      </c>
      <c r="K1626" s="552"/>
    </row>
    <row r="1627" spans="1:11" s="89" customFormat="1" ht="15" customHeight="1" x14ac:dyDescent="0.3">
      <c r="A1627" s="547" t="s">
        <v>430</v>
      </c>
      <c r="B1627" s="548" t="s">
        <v>760</v>
      </c>
      <c r="C1627" s="547" t="s">
        <v>19</v>
      </c>
      <c r="D1627" s="547" t="s">
        <v>761</v>
      </c>
      <c r="E1627" s="688" t="s">
        <v>429</v>
      </c>
      <c r="F1627" s="688"/>
      <c r="G1627" s="549" t="s">
        <v>423</v>
      </c>
      <c r="H1627" s="550">
        <v>0.2296</v>
      </c>
      <c r="I1627" s="551">
        <v>31.1</v>
      </c>
      <c r="J1627" s="551">
        <v>7.14</v>
      </c>
      <c r="K1627" s="546"/>
    </row>
    <row r="1628" spans="1:11" s="89" customFormat="1" ht="15" customHeight="1" x14ac:dyDescent="0.3">
      <c r="A1628" s="547" t="s">
        <v>430</v>
      </c>
      <c r="B1628" s="548" t="s">
        <v>559</v>
      </c>
      <c r="C1628" s="547" t="s">
        <v>19</v>
      </c>
      <c r="D1628" s="547" t="s">
        <v>560</v>
      </c>
      <c r="E1628" s="688" t="s">
        <v>429</v>
      </c>
      <c r="F1628" s="688"/>
      <c r="G1628" s="549" t="s">
        <v>423</v>
      </c>
      <c r="H1628" s="550">
        <v>0.2296</v>
      </c>
      <c r="I1628" s="551">
        <v>23.4</v>
      </c>
      <c r="J1628" s="551">
        <v>5.37</v>
      </c>
      <c r="K1628" s="546"/>
    </row>
    <row r="1629" spans="1:11" ht="25" x14ac:dyDescent="0.3">
      <c r="A1629" s="547" t="s">
        <v>430</v>
      </c>
      <c r="B1629" s="548" t="s">
        <v>1013</v>
      </c>
      <c r="C1629" s="547" t="s">
        <v>19</v>
      </c>
      <c r="D1629" s="547" t="s">
        <v>1014</v>
      </c>
      <c r="E1629" s="688" t="s">
        <v>429</v>
      </c>
      <c r="F1629" s="688"/>
      <c r="G1629" s="549" t="s">
        <v>532</v>
      </c>
      <c r="H1629" s="550">
        <v>1.8E-3</v>
      </c>
      <c r="I1629" s="551">
        <v>634.08000000000004</v>
      </c>
      <c r="J1629" s="551">
        <v>1.1399999999999999</v>
      </c>
      <c r="K1629" s="552"/>
    </row>
    <row r="1630" spans="1:11" ht="15" customHeight="1" x14ac:dyDescent="0.3">
      <c r="A1630" s="547" t="s">
        <v>433</v>
      </c>
      <c r="B1630" s="548" t="s">
        <v>820</v>
      </c>
      <c r="C1630" s="547" t="s">
        <v>115</v>
      </c>
      <c r="D1630" s="547" t="s">
        <v>821</v>
      </c>
      <c r="E1630" s="688" t="s">
        <v>438</v>
      </c>
      <c r="F1630" s="688"/>
      <c r="G1630" s="549" t="s">
        <v>532</v>
      </c>
      <c r="H1630" s="550">
        <v>6.6E-3</v>
      </c>
      <c r="I1630" s="551">
        <v>149.36019999999999</v>
      </c>
      <c r="J1630" s="551">
        <v>0.98</v>
      </c>
      <c r="K1630" s="552"/>
    </row>
    <row r="1631" spans="1:11" ht="25.5" thickBot="1" x14ac:dyDescent="0.35">
      <c r="A1631" s="547" t="s">
        <v>433</v>
      </c>
      <c r="B1631" s="548" t="s">
        <v>1112</v>
      </c>
      <c r="C1631" s="547" t="s">
        <v>19</v>
      </c>
      <c r="D1631" s="547" t="s">
        <v>1113</v>
      </c>
      <c r="E1631" s="688" t="s">
        <v>438</v>
      </c>
      <c r="F1631" s="688"/>
      <c r="G1631" s="549" t="s">
        <v>173</v>
      </c>
      <c r="H1631" s="550">
        <v>1.0049999999999999</v>
      </c>
      <c r="I1631" s="551">
        <v>33.57</v>
      </c>
      <c r="J1631" s="551">
        <v>33.729999999999997</v>
      </c>
      <c r="K1631" s="552"/>
    </row>
    <row r="1632" spans="1:11" ht="14.5" thickTop="1" x14ac:dyDescent="0.3">
      <c r="A1632" s="562"/>
      <c r="B1632" s="562"/>
      <c r="C1632" s="562"/>
      <c r="D1632" s="562"/>
      <c r="E1632" s="562"/>
      <c r="F1632" s="562"/>
      <c r="G1632" s="562"/>
      <c r="H1632" s="562"/>
      <c r="I1632" s="562"/>
      <c r="J1632" s="562"/>
      <c r="K1632" s="552"/>
    </row>
    <row r="1633" spans="1:11" s="89" customFormat="1" ht="51" customHeight="1" x14ac:dyDescent="0.3">
      <c r="A1633" s="553"/>
      <c r="B1633" s="554" t="s">
        <v>4</v>
      </c>
      <c r="C1633" s="553" t="s">
        <v>5</v>
      </c>
      <c r="D1633" s="553" t="s">
        <v>6</v>
      </c>
      <c r="E1633" s="691" t="s">
        <v>427</v>
      </c>
      <c r="F1633" s="691"/>
      <c r="G1633" s="555" t="s">
        <v>7</v>
      </c>
      <c r="H1633" s="554" t="s">
        <v>8</v>
      </c>
      <c r="I1633" s="554" t="s">
        <v>9</v>
      </c>
      <c r="J1633" s="554" t="s">
        <v>11</v>
      </c>
      <c r="K1633" s="546"/>
    </row>
    <row r="1634" spans="1:11" s="89" customFormat="1" x14ac:dyDescent="0.3">
      <c r="A1634" s="607" t="s">
        <v>428</v>
      </c>
      <c r="B1634" s="608" t="s">
        <v>336</v>
      </c>
      <c r="C1634" s="607" t="s">
        <v>115</v>
      </c>
      <c r="D1634" s="607" t="s">
        <v>1114</v>
      </c>
      <c r="E1634" s="690" t="s">
        <v>402</v>
      </c>
      <c r="F1634" s="690"/>
      <c r="G1634" s="609" t="s">
        <v>556</v>
      </c>
      <c r="H1634" s="610">
        <v>1</v>
      </c>
      <c r="I1634" s="611">
        <v>501.28</v>
      </c>
      <c r="J1634" s="611">
        <v>501.28</v>
      </c>
      <c r="K1634" s="546"/>
    </row>
    <row r="1635" spans="1:11" ht="14.25" customHeight="1" x14ac:dyDescent="0.3">
      <c r="A1635" s="691" t="s">
        <v>408</v>
      </c>
      <c r="B1635" s="692" t="s">
        <v>4</v>
      </c>
      <c r="C1635" s="691" t="s">
        <v>5</v>
      </c>
      <c r="D1635" s="691" t="s">
        <v>462</v>
      </c>
      <c r="E1635" s="692" t="s">
        <v>463</v>
      </c>
      <c r="F1635" s="694" t="s">
        <v>464</v>
      </c>
      <c r="G1635" s="692"/>
      <c r="H1635" s="694" t="s">
        <v>465</v>
      </c>
      <c r="I1635" s="692"/>
      <c r="J1635" s="692" t="s">
        <v>466</v>
      </c>
      <c r="K1635" s="552"/>
    </row>
    <row r="1636" spans="1:11" s="89" customFormat="1" x14ac:dyDescent="0.3">
      <c r="A1636" s="692"/>
      <c r="B1636" s="692"/>
      <c r="C1636" s="692"/>
      <c r="D1636" s="692"/>
      <c r="E1636" s="692"/>
      <c r="F1636" s="554" t="s">
        <v>467</v>
      </c>
      <c r="G1636" s="554" t="s">
        <v>468</v>
      </c>
      <c r="H1636" s="554" t="s">
        <v>467</v>
      </c>
      <c r="I1636" s="554" t="s">
        <v>468</v>
      </c>
      <c r="J1636" s="692"/>
      <c r="K1636" s="546"/>
    </row>
    <row r="1637" spans="1:11" x14ac:dyDescent="0.3">
      <c r="A1637" s="547" t="s">
        <v>433</v>
      </c>
      <c r="B1637" s="548" t="s">
        <v>1115</v>
      </c>
      <c r="C1637" s="547" t="s">
        <v>115</v>
      </c>
      <c r="D1637" s="547" t="s">
        <v>1116</v>
      </c>
      <c r="E1637" s="550">
        <v>1</v>
      </c>
      <c r="F1637" s="551">
        <v>0.3</v>
      </c>
      <c r="G1637" s="551">
        <v>0.7</v>
      </c>
      <c r="H1637" s="563">
        <v>142.7852</v>
      </c>
      <c r="I1637" s="563">
        <v>55.155700000000003</v>
      </c>
      <c r="J1637" s="563">
        <v>81.444599999999994</v>
      </c>
      <c r="K1637" s="552"/>
    </row>
    <row r="1638" spans="1:11" ht="51" customHeight="1" x14ac:dyDescent="0.3">
      <c r="A1638" s="689"/>
      <c r="B1638" s="689"/>
      <c r="C1638" s="689"/>
      <c r="D1638" s="689"/>
      <c r="E1638" s="689"/>
      <c r="F1638" s="689" t="s">
        <v>471</v>
      </c>
      <c r="G1638" s="689"/>
      <c r="H1638" s="689"/>
      <c r="I1638" s="689"/>
      <c r="J1638" s="564">
        <v>81.444599999999994</v>
      </c>
      <c r="K1638" s="552"/>
    </row>
    <row r="1639" spans="1:11" ht="14.25" customHeight="1" x14ac:dyDescent="0.3">
      <c r="A1639" s="689"/>
      <c r="B1639" s="689"/>
      <c r="C1639" s="689"/>
      <c r="D1639" s="689"/>
      <c r="E1639" s="689"/>
      <c r="F1639" s="689" t="s">
        <v>472</v>
      </c>
      <c r="G1639" s="689"/>
      <c r="H1639" s="689"/>
      <c r="I1639" s="689"/>
      <c r="J1639" s="564">
        <v>81.444599999999994</v>
      </c>
      <c r="K1639" s="552"/>
    </row>
    <row r="1640" spans="1:11" ht="14.25" customHeight="1" x14ac:dyDescent="0.3">
      <c r="A1640" s="689"/>
      <c r="B1640" s="689"/>
      <c r="C1640" s="689"/>
      <c r="D1640" s="689"/>
      <c r="E1640" s="689"/>
      <c r="F1640" s="689" t="s">
        <v>473</v>
      </c>
      <c r="G1640" s="689"/>
      <c r="H1640" s="689"/>
      <c r="I1640" s="689"/>
      <c r="J1640" s="564">
        <v>0</v>
      </c>
      <c r="K1640" s="552"/>
    </row>
    <row r="1641" spans="1:11" s="89" customFormat="1" x14ac:dyDescent="0.3">
      <c r="A1641" s="689"/>
      <c r="B1641" s="689"/>
      <c r="C1641" s="689"/>
      <c r="D1641" s="689"/>
      <c r="E1641" s="689"/>
      <c r="F1641" s="689" t="s">
        <v>474</v>
      </c>
      <c r="G1641" s="689"/>
      <c r="H1641" s="689"/>
      <c r="I1641" s="689"/>
      <c r="J1641" s="564">
        <v>0</v>
      </c>
      <c r="K1641" s="546"/>
    </row>
    <row r="1642" spans="1:11" ht="15" customHeight="1" x14ac:dyDescent="0.3">
      <c r="A1642" s="689"/>
      <c r="B1642" s="689"/>
      <c r="C1642" s="689"/>
      <c r="D1642" s="689"/>
      <c r="E1642" s="689"/>
      <c r="F1642" s="689" t="s">
        <v>475</v>
      </c>
      <c r="G1642" s="689"/>
      <c r="H1642" s="689"/>
      <c r="I1642" s="689"/>
      <c r="J1642" s="564">
        <v>3</v>
      </c>
      <c r="K1642" s="552"/>
    </row>
    <row r="1643" spans="1:11" s="89" customFormat="1" ht="15" customHeight="1" x14ac:dyDescent="0.3">
      <c r="A1643" s="689"/>
      <c r="B1643" s="689"/>
      <c r="C1643" s="689"/>
      <c r="D1643" s="689"/>
      <c r="E1643" s="689"/>
      <c r="F1643" s="689" t="s">
        <v>476</v>
      </c>
      <c r="G1643" s="689"/>
      <c r="H1643" s="689"/>
      <c r="I1643" s="689"/>
      <c r="J1643" s="564">
        <v>27.148199999999999</v>
      </c>
      <c r="K1643" s="546"/>
    </row>
    <row r="1644" spans="1:11" ht="15" customHeight="1" x14ac:dyDescent="0.3">
      <c r="A1644" s="553" t="s">
        <v>573</v>
      </c>
      <c r="B1644" s="554" t="s">
        <v>5</v>
      </c>
      <c r="C1644" s="553" t="s">
        <v>4</v>
      </c>
      <c r="D1644" s="553" t="s">
        <v>574</v>
      </c>
      <c r="E1644" s="554" t="s">
        <v>463</v>
      </c>
      <c r="F1644" s="554" t="s">
        <v>575</v>
      </c>
      <c r="G1644" s="692" t="s">
        <v>576</v>
      </c>
      <c r="H1644" s="692"/>
      <c r="I1644" s="692"/>
      <c r="J1644" s="554" t="s">
        <v>466</v>
      </c>
      <c r="K1644" s="552"/>
    </row>
    <row r="1645" spans="1:11" s="89" customFormat="1" ht="15" customHeight="1" x14ac:dyDescent="0.3">
      <c r="A1645" s="547" t="s">
        <v>577</v>
      </c>
      <c r="B1645" s="548" t="s">
        <v>115</v>
      </c>
      <c r="C1645" s="547">
        <v>5213417</v>
      </c>
      <c r="D1645" s="547" t="s">
        <v>1117</v>
      </c>
      <c r="E1645" s="550">
        <v>1</v>
      </c>
      <c r="F1645" s="549" t="s">
        <v>556</v>
      </c>
      <c r="G1645" s="693">
        <v>450.08</v>
      </c>
      <c r="H1645" s="693"/>
      <c r="I1645" s="688"/>
      <c r="J1645" s="563">
        <v>450.08</v>
      </c>
      <c r="K1645" s="546"/>
    </row>
    <row r="1646" spans="1:11" x14ac:dyDescent="0.3">
      <c r="A1646" s="547" t="s">
        <v>577</v>
      </c>
      <c r="B1646" s="548" t="s">
        <v>19</v>
      </c>
      <c r="C1646" s="547">
        <v>88316</v>
      </c>
      <c r="D1646" s="547" t="s">
        <v>560</v>
      </c>
      <c r="E1646" s="550">
        <v>0.66666669999999995</v>
      </c>
      <c r="F1646" s="549" t="s">
        <v>423</v>
      </c>
      <c r="G1646" s="693">
        <v>23.4</v>
      </c>
      <c r="H1646" s="693"/>
      <c r="I1646" s="688"/>
      <c r="J1646" s="563">
        <v>15.6</v>
      </c>
      <c r="K1646" s="552"/>
    </row>
    <row r="1647" spans="1:11" ht="14.25" customHeight="1" x14ac:dyDescent="0.3">
      <c r="A1647" s="547" t="s">
        <v>577</v>
      </c>
      <c r="B1647" s="548" t="s">
        <v>19</v>
      </c>
      <c r="C1647" s="547">
        <v>88278</v>
      </c>
      <c r="D1647" s="547" t="s">
        <v>558</v>
      </c>
      <c r="E1647" s="550">
        <v>0.3333333</v>
      </c>
      <c r="F1647" s="549" t="s">
        <v>423</v>
      </c>
      <c r="G1647" s="693">
        <v>25.36</v>
      </c>
      <c r="H1647" s="693"/>
      <c r="I1647" s="688"/>
      <c r="J1647" s="563">
        <v>8.4533000000000005</v>
      </c>
      <c r="K1647" s="552"/>
    </row>
    <row r="1648" spans="1:11" ht="15" customHeight="1" thickBot="1" x14ac:dyDescent="0.35">
      <c r="A1648" s="689"/>
      <c r="B1648" s="689"/>
      <c r="C1648" s="689"/>
      <c r="D1648" s="689"/>
      <c r="E1648" s="689"/>
      <c r="F1648" s="689" t="s">
        <v>578</v>
      </c>
      <c r="G1648" s="689"/>
      <c r="H1648" s="689"/>
      <c r="I1648" s="689"/>
      <c r="J1648" s="564">
        <v>474.13330000000002</v>
      </c>
      <c r="K1648" s="552"/>
    </row>
    <row r="1649" spans="1:11" ht="14.25" customHeight="1" thickTop="1" x14ac:dyDescent="0.3">
      <c r="A1649" s="562"/>
      <c r="B1649" s="562"/>
      <c r="C1649" s="562"/>
      <c r="D1649" s="562"/>
      <c r="E1649" s="562"/>
      <c r="F1649" s="562"/>
      <c r="G1649" s="562"/>
      <c r="H1649" s="562"/>
      <c r="I1649" s="562"/>
      <c r="J1649" s="562"/>
      <c r="K1649" s="552"/>
    </row>
    <row r="1650" spans="1:11" s="89" customFormat="1" ht="15" customHeight="1" x14ac:dyDescent="0.3">
      <c r="A1650" s="553"/>
      <c r="B1650" s="554" t="s">
        <v>4</v>
      </c>
      <c r="C1650" s="553" t="s">
        <v>5</v>
      </c>
      <c r="D1650" s="553" t="s">
        <v>6</v>
      </c>
      <c r="E1650" s="691" t="s">
        <v>427</v>
      </c>
      <c r="F1650" s="691"/>
      <c r="G1650" s="555" t="s">
        <v>7</v>
      </c>
      <c r="H1650" s="554" t="s">
        <v>8</v>
      </c>
      <c r="I1650" s="554" t="s">
        <v>9</v>
      </c>
      <c r="J1650" s="554" t="s">
        <v>11</v>
      </c>
      <c r="K1650" s="546"/>
    </row>
    <row r="1651" spans="1:11" ht="15" customHeight="1" x14ac:dyDescent="0.3">
      <c r="A1651" s="607" t="s">
        <v>428</v>
      </c>
      <c r="B1651" s="608" t="s">
        <v>337</v>
      </c>
      <c r="C1651" s="607" t="s">
        <v>115</v>
      </c>
      <c r="D1651" s="607" t="s">
        <v>3887</v>
      </c>
      <c r="E1651" s="690" t="s">
        <v>402</v>
      </c>
      <c r="F1651" s="690"/>
      <c r="G1651" s="609" t="s">
        <v>869</v>
      </c>
      <c r="H1651" s="610">
        <v>1</v>
      </c>
      <c r="I1651" s="611">
        <v>509.43</v>
      </c>
      <c r="J1651" s="611">
        <v>509.43</v>
      </c>
      <c r="K1651" s="552"/>
    </row>
    <row r="1652" spans="1:11" s="89" customFormat="1" ht="15" customHeight="1" x14ac:dyDescent="0.3">
      <c r="A1652" s="691" t="s">
        <v>408</v>
      </c>
      <c r="B1652" s="692" t="s">
        <v>4</v>
      </c>
      <c r="C1652" s="691" t="s">
        <v>5</v>
      </c>
      <c r="D1652" s="691" t="s">
        <v>462</v>
      </c>
      <c r="E1652" s="692" t="s">
        <v>463</v>
      </c>
      <c r="F1652" s="694" t="s">
        <v>464</v>
      </c>
      <c r="G1652" s="692"/>
      <c r="H1652" s="694" t="s">
        <v>465</v>
      </c>
      <c r="I1652" s="692"/>
      <c r="J1652" s="692" t="s">
        <v>466</v>
      </c>
      <c r="K1652" s="546"/>
    </row>
    <row r="1653" spans="1:11" x14ac:dyDescent="0.3">
      <c r="A1653" s="692"/>
      <c r="B1653" s="692"/>
      <c r="C1653" s="692"/>
      <c r="D1653" s="692"/>
      <c r="E1653" s="692"/>
      <c r="F1653" s="554" t="s">
        <v>467</v>
      </c>
      <c r="G1653" s="554" t="s">
        <v>468</v>
      </c>
      <c r="H1653" s="554" t="s">
        <v>467</v>
      </c>
      <c r="I1653" s="554" t="s">
        <v>468</v>
      </c>
      <c r="J1653" s="692"/>
      <c r="K1653" s="552"/>
    </row>
    <row r="1654" spans="1:11" ht="14.25" customHeight="1" x14ac:dyDescent="0.3">
      <c r="A1654" s="547" t="s">
        <v>433</v>
      </c>
      <c r="B1654" s="548" t="s">
        <v>1115</v>
      </c>
      <c r="C1654" s="547" t="s">
        <v>115</v>
      </c>
      <c r="D1654" s="547" t="s">
        <v>1116</v>
      </c>
      <c r="E1654" s="550">
        <v>1</v>
      </c>
      <c r="F1654" s="551">
        <v>0.3</v>
      </c>
      <c r="G1654" s="551">
        <v>0.7</v>
      </c>
      <c r="H1654" s="563">
        <v>142.7852</v>
      </c>
      <c r="I1654" s="563">
        <v>55.155700000000003</v>
      </c>
      <c r="J1654" s="563">
        <v>81.444599999999994</v>
      </c>
      <c r="K1654" s="552"/>
    </row>
    <row r="1655" spans="1:11" ht="15" customHeight="1" x14ac:dyDescent="0.3">
      <c r="A1655" s="689"/>
      <c r="B1655" s="689"/>
      <c r="C1655" s="689"/>
      <c r="D1655" s="689"/>
      <c r="E1655" s="689"/>
      <c r="F1655" s="689" t="s">
        <v>471</v>
      </c>
      <c r="G1655" s="689"/>
      <c r="H1655" s="689"/>
      <c r="I1655" s="689"/>
      <c r="J1655" s="564">
        <v>81.444599999999994</v>
      </c>
      <c r="K1655" s="552"/>
    </row>
    <row r="1656" spans="1:11" s="89" customFormat="1" ht="15" customHeight="1" x14ac:dyDescent="0.3">
      <c r="A1656" s="689"/>
      <c r="B1656" s="689"/>
      <c r="C1656" s="689"/>
      <c r="D1656" s="689"/>
      <c r="E1656" s="689"/>
      <c r="F1656" s="689" t="s">
        <v>472</v>
      </c>
      <c r="G1656" s="689"/>
      <c r="H1656" s="689"/>
      <c r="I1656" s="689"/>
      <c r="J1656" s="564">
        <v>81.444599999999994</v>
      </c>
      <c r="K1656" s="546"/>
    </row>
    <row r="1657" spans="1:11" ht="14.25" customHeight="1" x14ac:dyDescent="0.3">
      <c r="A1657" s="689"/>
      <c r="B1657" s="689"/>
      <c r="C1657" s="689"/>
      <c r="D1657" s="689"/>
      <c r="E1657" s="689"/>
      <c r="F1657" s="689" t="s">
        <v>473</v>
      </c>
      <c r="G1657" s="689"/>
      <c r="H1657" s="689"/>
      <c r="I1657" s="689"/>
      <c r="J1657" s="564">
        <v>0</v>
      </c>
      <c r="K1657" s="552"/>
    </row>
    <row r="1658" spans="1:11" s="89" customFormat="1" x14ac:dyDescent="0.3">
      <c r="A1658" s="689"/>
      <c r="B1658" s="689"/>
      <c r="C1658" s="689"/>
      <c r="D1658" s="689"/>
      <c r="E1658" s="689"/>
      <c r="F1658" s="689" t="s">
        <v>474</v>
      </c>
      <c r="G1658" s="689"/>
      <c r="H1658" s="689"/>
      <c r="I1658" s="689"/>
      <c r="J1658" s="564">
        <v>0</v>
      </c>
      <c r="K1658" s="546"/>
    </row>
    <row r="1659" spans="1:11" ht="15" customHeight="1" x14ac:dyDescent="0.3">
      <c r="A1659" s="689"/>
      <c r="B1659" s="689"/>
      <c r="C1659" s="689"/>
      <c r="D1659" s="689"/>
      <c r="E1659" s="689"/>
      <c r="F1659" s="689" t="s">
        <v>475</v>
      </c>
      <c r="G1659" s="689"/>
      <c r="H1659" s="689"/>
      <c r="I1659" s="689"/>
      <c r="J1659" s="564">
        <v>3.7</v>
      </c>
      <c r="K1659" s="552"/>
    </row>
    <row r="1660" spans="1:11" ht="15" customHeight="1" x14ac:dyDescent="0.3">
      <c r="A1660" s="689"/>
      <c r="B1660" s="689"/>
      <c r="C1660" s="689"/>
      <c r="D1660" s="689"/>
      <c r="E1660" s="689"/>
      <c r="F1660" s="689" t="s">
        <v>476</v>
      </c>
      <c r="G1660" s="689"/>
      <c r="H1660" s="689"/>
      <c r="I1660" s="689"/>
      <c r="J1660" s="564">
        <v>22.0121</v>
      </c>
      <c r="K1660" s="552"/>
    </row>
    <row r="1661" spans="1:11" ht="15" customHeight="1" x14ac:dyDescent="0.3">
      <c r="A1661" s="553" t="s">
        <v>410</v>
      </c>
      <c r="B1661" s="554" t="s">
        <v>5</v>
      </c>
      <c r="C1661" s="553" t="s">
        <v>4</v>
      </c>
      <c r="D1661" s="553" t="s">
        <v>438</v>
      </c>
      <c r="E1661" s="554" t="s">
        <v>463</v>
      </c>
      <c r="F1661" s="554" t="s">
        <v>575</v>
      </c>
      <c r="G1661" s="692" t="s">
        <v>576</v>
      </c>
      <c r="H1661" s="692"/>
      <c r="I1661" s="692"/>
      <c r="J1661" s="554" t="s">
        <v>466</v>
      </c>
      <c r="K1661" s="552"/>
    </row>
    <row r="1662" spans="1:11" ht="14.25" customHeight="1" x14ac:dyDescent="0.3">
      <c r="A1662" s="547" t="s">
        <v>433</v>
      </c>
      <c r="B1662" s="548" t="s">
        <v>115</v>
      </c>
      <c r="C1662" s="547" t="s">
        <v>875</v>
      </c>
      <c r="D1662" s="547" t="s">
        <v>876</v>
      </c>
      <c r="E1662" s="550">
        <v>0.69699999999999995</v>
      </c>
      <c r="F1662" s="549" t="s">
        <v>655</v>
      </c>
      <c r="G1662" s="693">
        <v>28.6631</v>
      </c>
      <c r="H1662" s="693"/>
      <c r="I1662" s="688"/>
      <c r="J1662" s="563">
        <v>19.978200000000001</v>
      </c>
      <c r="K1662" s="552"/>
    </row>
    <row r="1663" spans="1:11" x14ac:dyDescent="0.3">
      <c r="A1663" s="547" t="s">
        <v>433</v>
      </c>
      <c r="B1663" s="548" t="s">
        <v>115</v>
      </c>
      <c r="C1663" s="547" t="s">
        <v>1118</v>
      </c>
      <c r="D1663" s="547" t="s">
        <v>1119</v>
      </c>
      <c r="E1663" s="550">
        <v>14.601000000000001</v>
      </c>
      <c r="F1663" s="549" t="s">
        <v>655</v>
      </c>
      <c r="G1663" s="693">
        <v>29.3703</v>
      </c>
      <c r="H1663" s="693"/>
      <c r="I1663" s="688"/>
      <c r="J1663" s="563">
        <v>428.83580000000001</v>
      </c>
      <c r="K1663" s="552"/>
    </row>
    <row r="1664" spans="1:11" ht="14.25" customHeight="1" x14ac:dyDescent="0.3">
      <c r="A1664" s="689"/>
      <c r="B1664" s="689"/>
      <c r="C1664" s="689"/>
      <c r="D1664" s="689"/>
      <c r="E1664" s="689"/>
      <c r="F1664" s="689" t="s">
        <v>813</v>
      </c>
      <c r="G1664" s="689"/>
      <c r="H1664" s="689"/>
      <c r="I1664" s="689"/>
      <c r="J1664" s="564">
        <v>448.81400000000002</v>
      </c>
      <c r="K1664" s="552"/>
    </row>
    <row r="1665" spans="1:11" s="89" customFormat="1" ht="15" customHeight="1" x14ac:dyDescent="0.3">
      <c r="A1665" s="553" t="s">
        <v>573</v>
      </c>
      <c r="B1665" s="554" t="s">
        <v>5</v>
      </c>
      <c r="C1665" s="553" t="s">
        <v>4</v>
      </c>
      <c r="D1665" s="553" t="s">
        <v>574</v>
      </c>
      <c r="E1665" s="554" t="s">
        <v>463</v>
      </c>
      <c r="F1665" s="554" t="s">
        <v>575</v>
      </c>
      <c r="G1665" s="692" t="s">
        <v>576</v>
      </c>
      <c r="H1665" s="692"/>
      <c r="I1665" s="692"/>
      <c r="J1665" s="554" t="s">
        <v>466</v>
      </c>
      <c r="K1665" s="546"/>
    </row>
    <row r="1666" spans="1:11" ht="14.25" customHeight="1" x14ac:dyDescent="0.3">
      <c r="A1666" s="547" t="s">
        <v>577</v>
      </c>
      <c r="B1666" s="548" t="s">
        <v>115</v>
      </c>
      <c r="C1666" s="547">
        <v>1107892</v>
      </c>
      <c r="D1666" s="547" t="s">
        <v>1120</v>
      </c>
      <c r="E1666" s="550">
        <v>5.0270000000000002E-2</v>
      </c>
      <c r="F1666" s="549" t="s">
        <v>532</v>
      </c>
      <c r="G1666" s="693">
        <v>448.91</v>
      </c>
      <c r="H1666" s="693"/>
      <c r="I1666" s="688"/>
      <c r="J1666" s="563">
        <v>22.566700000000001</v>
      </c>
      <c r="K1666" s="552"/>
    </row>
    <row r="1667" spans="1:11" ht="14.25" customHeight="1" x14ac:dyDescent="0.3">
      <c r="A1667" s="547" t="s">
        <v>577</v>
      </c>
      <c r="B1667" s="548" t="s">
        <v>115</v>
      </c>
      <c r="C1667" s="547">
        <v>4805750</v>
      </c>
      <c r="D1667" s="547" t="s">
        <v>1121</v>
      </c>
      <c r="E1667" s="550">
        <v>5.0270000000000002E-2</v>
      </c>
      <c r="F1667" s="549" t="s">
        <v>532</v>
      </c>
      <c r="G1667" s="693">
        <v>46.8</v>
      </c>
      <c r="H1667" s="693"/>
      <c r="I1667" s="688"/>
      <c r="J1667" s="563">
        <v>2.3525999999999998</v>
      </c>
      <c r="K1667" s="552"/>
    </row>
    <row r="1668" spans="1:11" ht="15" customHeight="1" x14ac:dyDescent="0.3">
      <c r="A1668" s="547" t="s">
        <v>577</v>
      </c>
      <c r="B1668" s="548" t="s">
        <v>19</v>
      </c>
      <c r="C1668" s="547">
        <v>88316</v>
      </c>
      <c r="D1668" s="547" t="s">
        <v>560</v>
      </c>
      <c r="E1668" s="550">
        <v>0.27027030000000002</v>
      </c>
      <c r="F1668" s="549" t="s">
        <v>423</v>
      </c>
      <c r="G1668" s="693">
        <v>23.4</v>
      </c>
      <c r="H1668" s="693"/>
      <c r="I1668" s="688"/>
      <c r="J1668" s="563">
        <v>6.3243</v>
      </c>
      <c r="K1668" s="552"/>
    </row>
    <row r="1669" spans="1:11" ht="14.25" customHeight="1" x14ac:dyDescent="0.3">
      <c r="A1669" s="547" t="s">
        <v>577</v>
      </c>
      <c r="B1669" s="548" t="s">
        <v>19</v>
      </c>
      <c r="C1669" s="547">
        <v>88278</v>
      </c>
      <c r="D1669" s="547" t="s">
        <v>558</v>
      </c>
      <c r="E1669" s="550">
        <v>0.27027030000000002</v>
      </c>
      <c r="F1669" s="549" t="s">
        <v>423</v>
      </c>
      <c r="G1669" s="693">
        <v>25.36</v>
      </c>
      <c r="H1669" s="693"/>
      <c r="I1669" s="688"/>
      <c r="J1669" s="563">
        <v>6.8540999999999999</v>
      </c>
      <c r="K1669" s="552"/>
    </row>
    <row r="1670" spans="1:11" ht="14.25" customHeight="1" x14ac:dyDescent="0.3">
      <c r="A1670" s="689"/>
      <c r="B1670" s="689"/>
      <c r="C1670" s="689"/>
      <c r="D1670" s="689"/>
      <c r="E1670" s="689"/>
      <c r="F1670" s="689" t="s">
        <v>578</v>
      </c>
      <c r="G1670" s="689"/>
      <c r="H1670" s="689"/>
      <c r="I1670" s="689"/>
      <c r="J1670" s="564">
        <v>38.097700000000003</v>
      </c>
      <c r="K1670" s="552"/>
    </row>
    <row r="1671" spans="1:11" ht="14.25" customHeight="1" x14ac:dyDescent="0.3">
      <c r="A1671" s="553" t="s">
        <v>579</v>
      </c>
      <c r="B1671" s="554" t="s">
        <v>5</v>
      </c>
      <c r="C1671" s="553" t="s">
        <v>433</v>
      </c>
      <c r="D1671" s="553" t="s">
        <v>580</v>
      </c>
      <c r="E1671" s="554" t="s">
        <v>4</v>
      </c>
      <c r="F1671" s="554" t="s">
        <v>463</v>
      </c>
      <c r="G1671" s="555" t="s">
        <v>575</v>
      </c>
      <c r="H1671" s="692" t="s">
        <v>576</v>
      </c>
      <c r="I1671" s="692"/>
      <c r="J1671" s="554" t="s">
        <v>466</v>
      </c>
      <c r="K1671" s="552"/>
    </row>
    <row r="1672" spans="1:11" s="89" customFormat="1" ht="15" customHeight="1" x14ac:dyDescent="0.3">
      <c r="A1672" s="547" t="s">
        <v>581</v>
      </c>
      <c r="B1672" s="548" t="s">
        <v>115</v>
      </c>
      <c r="C1672" s="547" t="s">
        <v>875</v>
      </c>
      <c r="D1672" s="547" t="s">
        <v>844</v>
      </c>
      <c r="E1672" s="548">
        <v>5914655</v>
      </c>
      <c r="F1672" s="550">
        <v>6.9999999999999999E-4</v>
      </c>
      <c r="G1672" s="549" t="s">
        <v>584</v>
      </c>
      <c r="H1672" s="693">
        <v>33.159999999999997</v>
      </c>
      <c r="I1672" s="688"/>
      <c r="J1672" s="563">
        <v>2.3199999999999998E-2</v>
      </c>
      <c r="K1672" s="546"/>
    </row>
    <row r="1673" spans="1:11" ht="15" customHeight="1" x14ac:dyDescent="0.3">
      <c r="A1673" s="547" t="s">
        <v>581</v>
      </c>
      <c r="B1673" s="548" t="s">
        <v>115</v>
      </c>
      <c r="C1673" s="547" t="s">
        <v>1118</v>
      </c>
      <c r="D1673" s="547" t="s">
        <v>844</v>
      </c>
      <c r="E1673" s="548">
        <v>5914655</v>
      </c>
      <c r="F1673" s="550">
        <v>1.46E-2</v>
      </c>
      <c r="G1673" s="549" t="s">
        <v>584</v>
      </c>
      <c r="H1673" s="693">
        <v>33.159999999999997</v>
      </c>
      <c r="I1673" s="688"/>
      <c r="J1673" s="563">
        <v>0.48409999999999997</v>
      </c>
      <c r="K1673" s="552"/>
    </row>
    <row r="1674" spans="1:11" ht="14.25" customHeight="1" x14ac:dyDescent="0.3">
      <c r="A1674" s="689"/>
      <c r="B1674" s="689"/>
      <c r="C1674" s="689"/>
      <c r="D1674" s="689"/>
      <c r="E1674" s="689"/>
      <c r="F1674" s="689" t="s">
        <v>585</v>
      </c>
      <c r="G1674" s="689"/>
      <c r="H1674" s="689"/>
      <c r="I1674" s="689"/>
      <c r="J1674" s="564">
        <v>0.50729999999999997</v>
      </c>
      <c r="K1674" s="552"/>
    </row>
    <row r="1675" spans="1:11" ht="15" customHeight="1" x14ac:dyDescent="0.3">
      <c r="A1675" s="553" t="s">
        <v>586</v>
      </c>
      <c r="B1675" s="554" t="s">
        <v>5</v>
      </c>
      <c r="C1675" s="553" t="s">
        <v>433</v>
      </c>
      <c r="D1675" s="553" t="s">
        <v>587</v>
      </c>
      <c r="E1675" s="554" t="s">
        <v>463</v>
      </c>
      <c r="F1675" s="554" t="s">
        <v>575</v>
      </c>
      <c r="G1675" s="694" t="s">
        <v>588</v>
      </c>
      <c r="H1675" s="692"/>
      <c r="I1675" s="692"/>
      <c r="J1675" s="554" t="s">
        <v>466</v>
      </c>
      <c r="K1675" s="552"/>
    </row>
    <row r="1676" spans="1:11" ht="14.25" customHeight="1" x14ac:dyDescent="0.3">
      <c r="A1676" s="555"/>
      <c r="B1676" s="555"/>
      <c r="C1676" s="555"/>
      <c r="D1676" s="555"/>
      <c r="E1676" s="555"/>
      <c r="F1676" s="555"/>
      <c r="G1676" s="555" t="s">
        <v>589</v>
      </c>
      <c r="H1676" s="555" t="s">
        <v>590</v>
      </c>
      <c r="I1676" s="555" t="s">
        <v>591</v>
      </c>
      <c r="J1676" s="555"/>
      <c r="K1676" s="552"/>
    </row>
    <row r="1677" spans="1:11" ht="14.25" customHeight="1" x14ac:dyDescent="0.3">
      <c r="A1677" s="547" t="s">
        <v>587</v>
      </c>
      <c r="B1677" s="548" t="s">
        <v>115</v>
      </c>
      <c r="C1677" s="547" t="s">
        <v>875</v>
      </c>
      <c r="D1677" s="547" t="s">
        <v>879</v>
      </c>
      <c r="E1677" s="550">
        <v>6.9999999999999999E-4</v>
      </c>
      <c r="F1677" s="549" t="s">
        <v>593</v>
      </c>
      <c r="G1677" s="548" t="s">
        <v>3846</v>
      </c>
      <c r="H1677" s="548" t="s">
        <v>3847</v>
      </c>
      <c r="I1677" s="548" t="s">
        <v>3848</v>
      </c>
      <c r="J1677" s="563">
        <v>0</v>
      </c>
      <c r="K1677" s="552"/>
    </row>
    <row r="1678" spans="1:11" ht="15" customHeight="1" x14ac:dyDescent="0.3">
      <c r="A1678" s="547" t="s">
        <v>587</v>
      </c>
      <c r="B1678" s="548" t="s">
        <v>115</v>
      </c>
      <c r="C1678" s="547" t="s">
        <v>1118</v>
      </c>
      <c r="D1678" s="547" t="s">
        <v>1122</v>
      </c>
      <c r="E1678" s="550">
        <v>1.46E-2</v>
      </c>
      <c r="F1678" s="549" t="s">
        <v>593</v>
      </c>
      <c r="G1678" s="548" t="s">
        <v>3846</v>
      </c>
      <c r="H1678" s="548" t="s">
        <v>3847</v>
      </c>
      <c r="I1678" s="548" t="s">
        <v>3848</v>
      </c>
      <c r="J1678" s="563">
        <v>0</v>
      </c>
      <c r="K1678" s="552"/>
    </row>
    <row r="1679" spans="1:11" s="89" customFormat="1" ht="15.75" customHeight="1" thickBot="1" x14ac:dyDescent="0.35">
      <c r="A1679" s="689"/>
      <c r="B1679" s="689"/>
      <c r="C1679" s="689"/>
      <c r="D1679" s="689"/>
      <c r="E1679" s="689"/>
      <c r="F1679" s="689" t="s">
        <v>594</v>
      </c>
      <c r="G1679" s="689"/>
      <c r="H1679" s="689"/>
      <c r="I1679" s="689"/>
      <c r="J1679" s="564">
        <v>0</v>
      </c>
      <c r="K1679" s="546"/>
    </row>
    <row r="1680" spans="1:11" ht="14.5" thickTop="1" x14ac:dyDescent="0.3">
      <c r="A1680" s="562"/>
      <c r="B1680" s="562"/>
      <c r="C1680" s="562"/>
      <c r="D1680" s="562"/>
      <c r="E1680" s="562"/>
      <c r="F1680" s="562"/>
      <c r="G1680" s="562"/>
      <c r="H1680" s="562"/>
      <c r="I1680" s="562"/>
      <c r="J1680" s="562"/>
      <c r="K1680" s="552"/>
    </row>
    <row r="1681" spans="1:11" ht="14.25" customHeight="1" x14ac:dyDescent="0.3">
      <c r="A1681" s="553"/>
      <c r="B1681" s="554" t="s">
        <v>4</v>
      </c>
      <c r="C1681" s="553" t="s">
        <v>5</v>
      </c>
      <c r="D1681" s="553" t="s">
        <v>6</v>
      </c>
      <c r="E1681" s="691" t="s">
        <v>427</v>
      </c>
      <c r="F1681" s="691"/>
      <c r="G1681" s="555" t="s">
        <v>7</v>
      </c>
      <c r="H1681" s="554" t="s">
        <v>8</v>
      </c>
      <c r="I1681" s="554" t="s">
        <v>9</v>
      </c>
      <c r="J1681" s="554" t="s">
        <v>11</v>
      </c>
      <c r="K1681" s="552"/>
    </row>
    <row r="1682" spans="1:11" ht="15" customHeight="1" x14ac:dyDescent="0.3">
      <c r="A1682" s="607" t="s">
        <v>428</v>
      </c>
      <c r="B1682" s="608" t="s">
        <v>338</v>
      </c>
      <c r="C1682" s="607" t="s">
        <v>115</v>
      </c>
      <c r="D1682" s="607" t="s">
        <v>1123</v>
      </c>
      <c r="E1682" s="690" t="s">
        <v>402</v>
      </c>
      <c r="F1682" s="690"/>
      <c r="G1682" s="609" t="s">
        <v>556</v>
      </c>
      <c r="H1682" s="610">
        <v>1</v>
      </c>
      <c r="I1682" s="611">
        <v>47.66</v>
      </c>
      <c r="J1682" s="611">
        <v>47.66</v>
      </c>
      <c r="K1682" s="552"/>
    </row>
    <row r="1683" spans="1:11" ht="15" customHeight="1" x14ac:dyDescent="0.3">
      <c r="A1683" s="691" t="s">
        <v>408</v>
      </c>
      <c r="B1683" s="692" t="s">
        <v>4</v>
      </c>
      <c r="C1683" s="691" t="s">
        <v>5</v>
      </c>
      <c r="D1683" s="691" t="s">
        <v>462</v>
      </c>
      <c r="E1683" s="692" t="s">
        <v>463</v>
      </c>
      <c r="F1683" s="694" t="s">
        <v>464</v>
      </c>
      <c r="G1683" s="692"/>
      <c r="H1683" s="694" t="s">
        <v>465</v>
      </c>
      <c r="I1683" s="692"/>
      <c r="J1683" s="692" t="s">
        <v>466</v>
      </c>
      <c r="K1683" s="552"/>
    </row>
    <row r="1684" spans="1:11" s="89" customFormat="1" x14ac:dyDescent="0.3">
      <c r="A1684" s="692"/>
      <c r="B1684" s="692"/>
      <c r="C1684" s="692"/>
      <c r="D1684" s="692"/>
      <c r="E1684" s="692"/>
      <c r="F1684" s="554" t="s">
        <v>467</v>
      </c>
      <c r="G1684" s="554" t="s">
        <v>468</v>
      </c>
      <c r="H1684" s="554" t="s">
        <v>467</v>
      </c>
      <c r="I1684" s="554" t="s">
        <v>468</v>
      </c>
      <c r="J1684" s="692"/>
      <c r="K1684" s="546"/>
    </row>
    <row r="1685" spans="1:11" ht="25" x14ac:dyDescent="0.3">
      <c r="A1685" s="547" t="s">
        <v>433</v>
      </c>
      <c r="B1685" s="548" t="s">
        <v>1124</v>
      </c>
      <c r="C1685" s="547" t="s">
        <v>115</v>
      </c>
      <c r="D1685" s="547" t="s">
        <v>1125</v>
      </c>
      <c r="E1685" s="550">
        <v>1</v>
      </c>
      <c r="F1685" s="551">
        <v>1</v>
      </c>
      <c r="G1685" s="551">
        <v>0</v>
      </c>
      <c r="H1685" s="563">
        <v>558.59780000000001</v>
      </c>
      <c r="I1685" s="563">
        <v>245.2484</v>
      </c>
      <c r="J1685" s="563">
        <v>558.59780000000001</v>
      </c>
      <c r="K1685" s="552"/>
    </row>
    <row r="1686" spans="1:11" s="89" customFormat="1" ht="15.75" customHeight="1" x14ac:dyDescent="0.3">
      <c r="A1686" s="689"/>
      <c r="B1686" s="689"/>
      <c r="C1686" s="689"/>
      <c r="D1686" s="689"/>
      <c r="E1686" s="689"/>
      <c r="F1686" s="689" t="s">
        <v>471</v>
      </c>
      <c r="G1686" s="689"/>
      <c r="H1686" s="689"/>
      <c r="I1686" s="689"/>
      <c r="J1686" s="564">
        <v>558.59780000000001</v>
      </c>
      <c r="K1686" s="546"/>
    </row>
    <row r="1687" spans="1:11" ht="15" customHeight="1" x14ac:dyDescent="0.3">
      <c r="A1687" s="689"/>
      <c r="B1687" s="689"/>
      <c r="C1687" s="689"/>
      <c r="D1687" s="689"/>
      <c r="E1687" s="689"/>
      <c r="F1687" s="689" t="s">
        <v>472</v>
      </c>
      <c r="G1687" s="689"/>
      <c r="H1687" s="689"/>
      <c r="I1687" s="689"/>
      <c r="J1687" s="564">
        <v>558.59780000000001</v>
      </c>
      <c r="K1687" s="552"/>
    </row>
    <row r="1688" spans="1:11" ht="14.25" customHeight="1" x14ac:dyDescent="0.3">
      <c r="A1688" s="689"/>
      <c r="B1688" s="689"/>
      <c r="C1688" s="689"/>
      <c r="D1688" s="689"/>
      <c r="E1688" s="689"/>
      <c r="F1688" s="689" t="s">
        <v>473</v>
      </c>
      <c r="G1688" s="689"/>
      <c r="H1688" s="689"/>
      <c r="I1688" s="689"/>
      <c r="J1688" s="564">
        <v>0</v>
      </c>
      <c r="K1688" s="552"/>
    </row>
    <row r="1689" spans="1:11" s="89" customFormat="1" x14ac:dyDescent="0.3">
      <c r="A1689" s="689"/>
      <c r="B1689" s="689"/>
      <c r="C1689" s="689"/>
      <c r="D1689" s="689"/>
      <c r="E1689" s="689"/>
      <c r="F1689" s="689" t="s">
        <v>474</v>
      </c>
      <c r="G1689" s="689"/>
      <c r="H1689" s="689"/>
      <c r="I1689" s="689"/>
      <c r="J1689" s="564">
        <v>0</v>
      </c>
      <c r="K1689" s="546"/>
    </row>
    <row r="1690" spans="1:11" s="89" customFormat="1" ht="15" customHeight="1" x14ac:dyDescent="0.3">
      <c r="A1690" s="689"/>
      <c r="B1690" s="689"/>
      <c r="C1690" s="689"/>
      <c r="D1690" s="689"/>
      <c r="E1690" s="689"/>
      <c r="F1690" s="689" t="s">
        <v>475</v>
      </c>
      <c r="G1690" s="689"/>
      <c r="H1690" s="689"/>
      <c r="I1690" s="689"/>
      <c r="J1690" s="564">
        <v>95.4</v>
      </c>
      <c r="K1690" s="546"/>
    </row>
    <row r="1691" spans="1:11" s="89" customFormat="1" ht="15.75" customHeight="1" x14ac:dyDescent="0.3">
      <c r="A1691" s="689"/>
      <c r="B1691" s="689"/>
      <c r="C1691" s="689"/>
      <c r="D1691" s="689"/>
      <c r="E1691" s="689"/>
      <c r="F1691" s="689" t="s">
        <v>476</v>
      </c>
      <c r="G1691" s="689"/>
      <c r="H1691" s="689"/>
      <c r="I1691" s="689"/>
      <c r="J1691" s="564">
        <v>5.8552999999999997</v>
      </c>
      <c r="K1691" s="546"/>
    </row>
    <row r="1692" spans="1:11" ht="15" customHeight="1" x14ac:dyDescent="0.3">
      <c r="A1692" s="553" t="s">
        <v>410</v>
      </c>
      <c r="B1692" s="554" t="s">
        <v>5</v>
      </c>
      <c r="C1692" s="553" t="s">
        <v>4</v>
      </c>
      <c r="D1692" s="553" t="s">
        <v>438</v>
      </c>
      <c r="E1692" s="554" t="s">
        <v>463</v>
      </c>
      <c r="F1692" s="554" t="s">
        <v>575</v>
      </c>
      <c r="G1692" s="692" t="s">
        <v>576</v>
      </c>
      <c r="H1692" s="692"/>
      <c r="I1692" s="692"/>
      <c r="J1692" s="554" t="s">
        <v>466</v>
      </c>
      <c r="K1692" s="552"/>
    </row>
    <row r="1693" spans="1:11" x14ac:dyDescent="0.3">
      <c r="A1693" s="547" t="s">
        <v>433</v>
      </c>
      <c r="B1693" s="548" t="s">
        <v>115</v>
      </c>
      <c r="C1693" s="547" t="s">
        <v>1126</v>
      </c>
      <c r="D1693" s="547" t="s">
        <v>1127</v>
      </c>
      <c r="E1693" s="550">
        <v>3.0750000000000002</v>
      </c>
      <c r="F1693" s="549" t="s">
        <v>655</v>
      </c>
      <c r="G1693" s="693">
        <v>11.798299999999999</v>
      </c>
      <c r="H1693" s="693"/>
      <c r="I1693" s="688"/>
      <c r="J1693" s="563">
        <v>36.279800000000002</v>
      </c>
      <c r="K1693" s="552"/>
    </row>
    <row r="1694" spans="1:11" s="89" customFormat="1" x14ac:dyDescent="0.3">
      <c r="A1694" s="547" t="s">
        <v>433</v>
      </c>
      <c r="B1694" s="548" t="s">
        <v>115</v>
      </c>
      <c r="C1694" s="547" t="s">
        <v>1128</v>
      </c>
      <c r="D1694" s="547" t="s">
        <v>1129</v>
      </c>
      <c r="E1694" s="550">
        <v>0.4</v>
      </c>
      <c r="F1694" s="549" t="s">
        <v>655</v>
      </c>
      <c r="G1694" s="693">
        <v>9.5541999999999998</v>
      </c>
      <c r="H1694" s="693"/>
      <c r="I1694" s="688"/>
      <c r="J1694" s="563">
        <v>3.8216999999999999</v>
      </c>
      <c r="K1694" s="546"/>
    </row>
    <row r="1695" spans="1:11" ht="15" customHeight="1" x14ac:dyDescent="0.3">
      <c r="A1695" s="547" t="s">
        <v>433</v>
      </c>
      <c r="B1695" s="548" t="s">
        <v>115</v>
      </c>
      <c r="C1695" s="547" t="s">
        <v>1130</v>
      </c>
      <c r="D1695" s="547" t="s">
        <v>1131</v>
      </c>
      <c r="E1695" s="550">
        <v>9.7000000000000005E-4</v>
      </c>
      <c r="F1695" s="549" t="s">
        <v>835</v>
      </c>
      <c r="G1695" s="693">
        <v>22.376000000000001</v>
      </c>
      <c r="H1695" s="693"/>
      <c r="I1695" s="688"/>
      <c r="J1695" s="563">
        <v>2.1700000000000001E-2</v>
      </c>
      <c r="K1695" s="552"/>
    </row>
    <row r="1696" spans="1:11" s="89" customFormat="1" ht="15" customHeight="1" x14ac:dyDescent="0.3">
      <c r="A1696" s="689"/>
      <c r="B1696" s="689"/>
      <c r="C1696" s="689"/>
      <c r="D1696" s="689"/>
      <c r="E1696" s="689"/>
      <c r="F1696" s="689" t="s">
        <v>813</v>
      </c>
      <c r="G1696" s="689"/>
      <c r="H1696" s="689"/>
      <c r="I1696" s="689"/>
      <c r="J1696" s="564">
        <v>40.123199999999997</v>
      </c>
      <c r="K1696" s="546"/>
    </row>
    <row r="1697" spans="1:11" s="89" customFormat="1" ht="15" customHeight="1" x14ac:dyDescent="0.3">
      <c r="A1697" s="553" t="s">
        <v>573</v>
      </c>
      <c r="B1697" s="554" t="s">
        <v>5</v>
      </c>
      <c r="C1697" s="553" t="s">
        <v>4</v>
      </c>
      <c r="D1697" s="553" t="s">
        <v>574</v>
      </c>
      <c r="E1697" s="554" t="s">
        <v>463</v>
      </c>
      <c r="F1697" s="554" t="s">
        <v>575</v>
      </c>
      <c r="G1697" s="692" t="s">
        <v>576</v>
      </c>
      <c r="H1697" s="692"/>
      <c r="I1697" s="692"/>
      <c r="J1697" s="554" t="s">
        <v>466</v>
      </c>
      <c r="K1697" s="546"/>
    </row>
    <row r="1698" spans="1:11" ht="14.25" customHeight="1" x14ac:dyDescent="0.3">
      <c r="A1698" s="547" t="s">
        <v>577</v>
      </c>
      <c r="B1698" s="548" t="s">
        <v>19</v>
      </c>
      <c r="C1698" s="547">
        <v>88316</v>
      </c>
      <c r="D1698" s="547" t="s">
        <v>560</v>
      </c>
      <c r="E1698" s="550">
        <v>5.2410900000000003E-2</v>
      </c>
      <c r="F1698" s="549" t="s">
        <v>423</v>
      </c>
      <c r="G1698" s="693">
        <v>23.4</v>
      </c>
      <c r="H1698" s="693"/>
      <c r="I1698" s="688"/>
      <c r="J1698" s="563">
        <v>1.2263999999999999</v>
      </c>
      <c r="K1698" s="552"/>
    </row>
    <row r="1699" spans="1:11" ht="15" customHeight="1" x14ac:dyDescent="0.3">
      <c r="A1699" s="547" t="s">
        <v>577</v>
      </c>
      <c r="B1699" s="548" t="s">
        <v>19</v>
      </c>
      <c r="C1699" s="547">
        <v>88310</v>
      </c>
      <c r="D1699" s="547" t="s">
        <v>1025</v>
      </c>
      <c r="E1699" s="550">
        <v>1.0482200000000001E-2</v>
      </c>
      <c r="F1699" s="549" t="s">
        <v>423</v>
      </c>
      <c r="G1699" s="693">
        <v>32.58</v>
      </c>
      <c r="H1699" s="693"/>
      <c r="I1699" s="688"/>
      <c r="J1699" s="563">
        <v>0.34150000000000003</v>
      </c>
      <c r="K1699" s="552"/>
    </row>
    <row r="1700" spans="1:11" ht="14.25" customHeight="1" x14ac:dyDescent="0.3">
      <c r="A1700" s="689"/>
      <c r="B1700" s="689"/>
      <c r="C1700" s="689"/>
      <c r="D1700" s="689"/>
      <c r="E1700" s="689"/>
      <c r="F1700" s="689" t="s">
        <v>578</v>
      </c>
      <c r="G1700" s="689"/>
      <c r="H1700" s="689"/>
      <c r="I1700" s="689"/>
      <c r="J1700" s="564">
        <v>1.5679000000000001</v>
      </c>
      <c r="K1700" s="552"/>
    </row>
    <row r="1701" spans="1:11" s="89" customFormat="1" ht="15" customHeight="1" x14ac:dyDescent="0.3">
      <c r="A1701" s="553" t="s">
        <v>579</v>
      </c>
      <c r="B1701" s="554" t="s">
        <v>5</v>
      </c>
      <c r="C1701" s="553" t="s">
        <v>433</v>
      </c>
      <c r="D1701" s="553" t="s">
        <v>580</v>
      </c>
      <c r="E1701" s="554" t="s">
        <v>4</v>
      </c>
      <c r="F1701" s="554" t="s">
        <v>463</v>
      </c>
      <c r="G1701" s="555" t="s">
        <v>575</v>
      </c>
      <c r="H1701" s="692" t="s">
        <v>576</v>
      </c>
      <c r="I1701" s="692"/>
      <c r="J1701" s="554" t="s">
        <v>466</v>
      </c>
      <c r="K1701" s="546"/>
    </row>
    <row r="1702" spans="1:11" ht="14.25" customHeight="1" x14ac:dyDescent="0.3">
      <c r="A1702" s="547" t="s">
        <v>581</v>
      </c>
      <c r="B1702" s="548" t="s">
        <v>115</v>
      </c>
      <c r="C1702" s="547" t="s">
        <v>1126</v>
      </c>
      <c r="D1702" s="547" t="s">
        <v>844</v>
      </c>
      <c r="E1702" s="548">
        <v>5914655</v>
      </c>
      <c r="F1702" s="550">
        <v>3.0799999999999998E-3</v>
      </c>
      <c r="G1702" s="549" t="s">
        <v>584</v>
      </c>
      <c r="H1702" s="693">
        <v>33.159999999999997</v>
      </c>
      <c r="I1702" s="688"/>
      <c r="J1702" s="563">
        <v>0.1021</v>
      </c>
      <c r="K1702" s="552"/>
    </row>
    <row r="1703" spans="1:11" s="89" customFormat="1" ht="15" customHeight="1" x14ac:dyDescent="0.3">
      <c r="A1703" s="547" t="s">
        <v>581</v>
      </c>
      <c r="B1703" s="548" t="s">
        <v>115</v>
      </c>
      <c r="C1703" s="547" t="s">
        <v>1128</v>
      </c>
      <c r="D1703" s="547" t="s">
        <v>844</v>
      </c>
      <c r="E1703" s="548">
        <v>5914655</v>
      </c>
      <c r="F1703" s="550">
        <v>4.0000000000000002E-4</v>
      </c>
      <c r="G1703" s="549" t="s">
        <v>584</v>
      </c>
      <c r="H1703" s="693">
        <v>33.159999999999997</v>
      </c>
      <c r="I1703" s="688"/>
      <c r="J1703" s="563">
        <v>1.3299999999999999E-2</v>
      </c>
      <c r="K1703" s="546"/>
    </row>
    <row r="1704" spans="1:11" ht="15" customHeight="1" x14ac:dyDescent="0.3">
      <c r="A1704" s="689"/>
      <c r="B1704" s="689"/>
      <c r="C1704" s="689"/>
      <c r="D1704" s="689"/>
      <c r="E1704" s="689"/>
      <c r="F1704" s="689" t="s">
        <v>585</v>
      </c>
      <c r="G1704" s="689"/>
      <c r="H1704" s="689"/>
      <c r="I1704" s="689"/>
      <c r="J1704" s="564">
        <v>0.1154</v>
      </c>
      <c r="K1704" s="552"/>
    </row>
    <row r="1705" spans="1:11" s="89" customFormat="1" ht="15" customHeight="1" x14ac:dyDescent="0.3">
      <c r="A1705" s="553" t="s">
        <v>586</v>
      </c>
      <c r="B1705" s="554" t="s">
        <v>5</v>
      </c>
      <c r="C1705" s="553" t="s">
        <v>433</v>
      </c>
      <c r="D1705" s="553" t="s">
        <v>587</v>
      </c>
      <c r="E1705" s="554" t="s">
        <v>463</v>
      </c>
      <c r="F1705" s="554" t="s">
        <v>575</v>
      </c>
      <c r="G1705" s="694" t="s">
        <v>588</v>
      </c>
      <c r="H1705" s="692"/>
      <c r="I1705" s="692"/>
      <c r="J1705" s="554" t="s">
        <v>466</v>
      </c>
      <c r="K1705" s="546"/>
    </row>
    <row r="1706" spans="1:11" x14ac:dyDescent="0.3">
      <c r="A1706" s="555"/>
      <c r="B1706" s="555"/>
      <c r="C1706" s="555"/>
      <c r="D1706" s="555"/>
      <c r="E1706" s="555"/>
      <c r="F1706" s="555"/>
      <c r="G1706" s="555" t="s">
        <v>589</v>
      </c>
      <c r="H1706" s="555" t="s">
        <v>590</v>
      </c>
      <c r="I1706" s="555" t="s">
        <v>591</v>
      </c>
      <c r="J1706" s="555"/>
      <c r="K1706" s="552"/>
    </row>
    <row r="1707" spans="1:11" s="89" customFormat="1" ht="15" customHeight="1" x14ac:dyDescent="0.3">
      <c r="A1707" s="547" t="s">
        <v>587</v>
      </c>
      <c r="B1707" s="548" t="s">
        <v>115</v>
      </c>
      <c r="C1707" s="547" t="s">
        <v>1126</v>
      </c>
      <c r="D1707" s="547" t="s">
        <v>1132</v>
      </c>
      <c r="E1707" s="550">
        <v>3.0799999999999998E-3</v>
      </c>
      <c r="F1707" s="549" t="s">
        <v>593</v>
      </c>
      <c r="G1707" s="548" t="s">
        <v>3846</v>
      </c>
      <c r="H1707" s="548" t="s">
        <v>3847</v>
      </c>
      <c r="I1707" s="548" t="s">
        <v>3848</v>
      </c>
      <c r="J1707" s="563">
        <v>0</v>
      </c>
      <c r="K1707" s="546"/>
    </row>
    <row r="1708" spans="1:11" s="89" customFormat="1" ht="15" customHeight="1" x14ac:dyDescent="0.3">
      <c r="A1708" s="547" t="s">
        <v>587</v>
      </c>
      <c r="B1708" s="548" t="s">
        <v>115</v>
      </c>
      <c r="C1708" s="547" t="s">
        <v>1128</v>
      </c>
      <c r="D1708" s="547" t="s">
        <v>1133</v>
      </c>
      <c r="E1708" s="550">
        <v>4.0000000000000002E-4</v>
      </c>
      <c r="F1708" s="549" t="s">
        <v>593</v>
      </c>
      <c r="G1708" s="548" t="s">
        <v>3846</v>
      </c>
      <c r="H1708" s="548" t="s">
        <v>3847</v>
      </c>
      <c r="I1708" s="548" t="s">
        <v>3848</v>
      </c>
      <c r="J1708" s="563">
        <v>0</v>
      </c>
      <c r="K1708" s="546"/>
    </row>
    <row r="1709" spans="1:11" s="89" customFormat="1" ht="15" customHeight="1" thickBot="1" x14ac:dyDescent="0.35">
      <c r="A1709" s="689"/>
      <c r="B1709" s="689"/>
      <c r="C1709" s="689"/>
      <c r="D1709" s="689"/>
      <c r="E1709" s="689"/>
      <c r="F1709" s="689" t="s">
        <v>594</v>
      </c>
      <c r="G1709" s="689"/>
      <c r="H1709" s="689"/>
      <c r="I1709" s="689"/>
      <c r="J1709" s="564">
        <v>0</v>
      </c>
      <c r="K1709" s="546"/>
    </row>
    <row r="1710" spans="1:11" ht="14.5" thickTop="1" x14ac:dyDescent="0.3">
      <c r="A1710" s="562"/>
      <c r="B1710" s="562"/>
      <c r="C1710" s="562"/>
      <c r="D1710" s="562"/>
      <c r="E1710" s="562"/>
      <c r="F1710" s="562"/>
      <c r="G1710" s="562"/>
      <c r="H1710" s="562"/>
      <c r="I1710" s="562"/>
      <c r="J1710" s="562"/>
      <c r="K1710" s="552"/>
    </row>
    <row r="1711" spans="1:11" s="89" customFormat="1" ht="15" customHeight="1" x14ac:dyDescent="0.3">
      <c r="A1711" s="696" t="s">
        <v>1170</v>
      </c>
      <c r="B1711" s="697"/>
      <c r="C1711" s="697"/>
      <c r="D1711" s="697"/>
      <c r="E1711" s="697"/>
      <c r="F1711" s="697"/>
      <c r="G1711" s="697"/>
      <c r="H1711" s="697"/>
      <c r="I1711" s="697"/>
      <c r="J1711" s="697"/>
      <c r="K1711" s="546"/>
    </row>
    <row r="1712" spans="1:11" ht="14.25" customHeight="1" x14ac:dyDescent="0.3">
      <c r="A1712" s="553"/>
      <c r="B1712" s="554" t="s">
        <v>4</v>
      </c>
      <c r="C1712" s="553" t="s">
        <v>5</v>
      </c>
      <c r="D1712" s="553" t="s">
        <v>6</v>
      </c>
      <c r="E1712" s="691" t="s">
        <v>427</v>
      </c>
      <c r="F1712" s="691"/>
      <c r="G1712" s="555" t="s">
        <v>7</v>
      </c>
      <c r="H1712" s="554" t="s">
        <v>8</v>
      </c>
      <c r="I1712" s="554" t="s">
        <v>9</v>
      </c>
      <c r="J1712" s="554" t="s">
        <v>11</v>
      </c>
      <c r="K1712" s="552"/>
    </row>
    <row r="1713" spans="1:11" s="89" customFormat="1" ht="15" customHeight="1" x14ac:dyDescent="0.3">
      <c r="A1713" s="607" t="s">
        <v>428</v>
      </c>
      <c r="B1713" s="608" t="s">
        <v>1171</v>
      </c>
      <c r="C1713" s="607" t="s">
        <v>115</v>
      </c>
      <c r="D1713" s="607" t="s">
        <v>814</v>
      </c>
      <c r="E1713" s="690" t="s">
        <v>402</v>
      </c>
      <c r="F1713" s="690"/>
      <c r="G1713" s="609" t="s">
        <v>584</v>
      </c>
      <c r="H1713" s="610">
        <v>1</v>
      </c>
      <c r="I1713" s="611">
        <v>1.78</v>
      </c>
      <c r="J1713" s="611">
        <v>1.78</v>
      </c>
      <c r="K1713" s="546"/>
    </row>
    <row r="1714" spans="1:11" ht="15" customHeight="1" x14ac:dyDescent="0.3">
      <c r="A1714" s="691" t="s">
        <v>408</v>
      </c>
      <c r="B1714" s="692" t="s">
        <v>4</v>
      </c>
      <c r="C1714" s="691" t="s">
        <v>5</v>
      </c>
      <c r="D1714" s="691" t="s">
        <v>462</v>
      </c>
      <c r="E1714" s="692" t="s">
        <v>463</v>
      </c>
      <c r="F1714" s="694" t="s">
        <v>464</v>
      </c>
      <c r="G1714" s="692"/>
      <c r="H1714" s="694" t="s">
        <v>465</v>
      </c>
      <c r="I1714" s="692"/>
      <c r="J1714" s="692" t="s">
        <v>466</v>
      </c>
      <c r="K1714" s="552"/>
    </row>
    <row r="1715" spans="1:11" s="89" customFormat="1" x14ac:dyDescent="0.3">
      <c r="A1715" s="692"/>
      <c r="B1715" s="692"/>
      <c r="C1715" s="692"/>
      <c r="D1715" s="692"/>
      <c r="E1715" s="692"/>
      <c r="F1715" s="554" t="s">
        <v>467</v>
      </c>
      <c r="G1715" s="554" t="s">
        <v>468</v>
      </c>
      <c r="H1715" s="554" t="s">
        <v>467</v>
      </c>
      <c r="I1715" s="554" t="s">
        <v>468</v>
      </c>
      <c r="J1715" s="692"/>
      <c r="K1715" s="546"/>
    </row>
    <row r="1716" spans="1:11" ht="15" customHeight="1" x14ac:dyDescent="0.3">
      <c r="A1716" s="547" t="s">
        <v>433</v>
      </c>
      <c r="B1716" s="548" t="s">
        <v>1172</v>
      </c>
      <c r="C1716" s="547" t="s">
        <v>115</v>
      </c>
      <c r="D1716" s="547" t="s">
        <v>1173</v>
      </c>
      <c r="E1716" s="550">
        <v>3</v>
      </c>
      <c r="F1716" s="551">
        <v>0.86</v>
      </c>
      <c r="G1716" s="551">
        <v>0.14000000000000001</v>
      </c>
      <c r="H1716" s="563">
        <v>301.85669999999999</v>
      </c>
      <c r="I1716" s="563">
        <v>87.055000000000007</v>
      </c>
      <c r="J1716" s="563">
        <v>815.35339999999997</v>
      </c>
      <c r="K1716" s="552"/>
    </row>
    <row r="1717" spans="1:11" s="89" customFormat="1" ht="15" customHeight="1" x14ac:dyDescent="0.3">
      <c r="A1717" s="689"/>
      <c r="B1717" s="689"/>
      <c r="C1717" s="689"/>
      <c r="D1717" s="689"/>
      <c r="E1717" s="689"/>
      <c r="F1717" s="689" t="s">
        <v>471</v>
      </c>
      <c r="G1717" s="689"/>
      <c r="H1717" s="689"/>
      <c r="I1717" s="689"/>
      <c r="J1717" s="564">
        <v>815.35339999999997</v>
      </c>
      <c r="K1717" s="546"/>
    </row>
    <row r="1718" spans="1:11" ht="15" customHeight="1" x14ac:dyDescent="0.3">
      <c r="A1718" s="689"/>
      <c r="B1718" s="689"/>
      <c r="C1718" s="689"/>
      <c r="D1718" s="689"/>
      <c r="E1718" s="689"/>
      <c r="F1718" s="689" t="s">
        <v>472</v>
      </c>
      <c r="G1718" s="689"/>
      <c r="H1718" s="689"/>
      <c r="I1718" s="689"/>
      <c r="J1718" s="564">
        <v>815.35339999999997</v>
      </c>
      <c r="K1718" s="552"/>
    </row>
    <row r="1719" spans="1:11" ht="14.25" customHeight="1" x14ac:dyDescent="0.3">
      <c r="A1719" s="689"/>
      <c r="B1719" s="689"/>
      <c r="C1719" s="689"/>
      <c r="D1719" s="689"/>
      <c r="E1719" s="689"/>
      <c r="F1719" s="689" t="s">
        <v>473</v>
      </c>
      <c r="G1719" s="689"/>
      <c r="H1719" s="689"/>
      <c r="I1719" s="689"/>
      <c r="J1719" s="564">
        <v>0</v>
      </c>
      <c r="K1719" s="552"/>
    </row>
    <row r="1720" spans="1:11" s="89" customFormat="1" x14ac:dyDescent="0.3">
      <c r="A1720" s="689"/>
      <c r="B1720" s="689"/>
      <c r="C1720" s="689"/>
      <c r="D1720" s="689"/>
      <c r="E1720" s="689"/>
      <c r="F1720" s="689" t="s">
        <v>474</v>
      </c>
      <c r="G1720" s="689"/>
      <c r="H1720" s="689"/>
      <c r="I1720" s="689"/>
      <c r="J1720" s="564">
        <v>0</v>
      </c>
      <c r="K1720" s="546"/>
    </row>
    <row r="1721" spans="1:11" ht="15" customHeight="1" x14ac:dyDescent="0.3">
      <c r="A1721" s="689"/>
      <c r="B1721" s="689"/>
      <c r="C1721" s="689"/>
      <c r="D1721" s="689"/>
      <c r="E1721" s="689"/>
      <c r="F1721" s="689" t="s">
        <v>475</v>
      </c>
      <c r="G1721" s="689"/>
      <c r="H1721" s="689"/>
      <c r="I1721" s="689"/>
      <c r="J1721" s="564">
        <v>457.16</v>
      </c>
      <c r="K1721" s="552"/>
    </row>
    <row r="1722" spans="1:11" s="89" customFormat="1" ht="15.75" customHeight="1" thickBot="1" x14ac:dyDescent="0.35">
      <c r="A1722" s="689"/>
      <c r="B1722" s="689"/>
      <c r="C1722" s="689"/>
      <c r="D1722" s="689"/>
      <c r="E1722" s="689"/>
      <c r="F1722" s="689" t="s">
        <v>476</v>
      </c>
      <c r="G1722" s="689"/>
      <c r="H1722" s="689"/>
      <c r="I1722" s="689"/>
      <c r="J1722" s="564">
        <v>1.7835000000000001</v>
      </c>
      <c r="K1722" s="546"/>
    </row>
    <row r="1723" spans="1:11" s="89" customFormat="1" ht="15" customHeight="1" thickTop="1" x14ac:dyDescent="0.3">
      <c r="A1723" s="562"/>
      <c r="B1723" s="562"/>
      <c r="C1723" s="562"/>
      <c r="D1723" s="562"/>
      <c r="E1723" s="562"/>
      <c r="F1723" s="562"/>
      <c r="G1723" s="562"/>
      <c r="H1723" s="562"/>
      <c r="I1723" s="562"/>
      <c r="J1723" s="562"/>
      <c r="K1723" s="546"/>
    </row>
    <row r="1724" spans="1:11" ht="14.25" customHeight="1" x14ac:dyDescent="0.3">
      <c r="A1724" s="553"/>
      <c r="B1724" s="554" t="s">
        <v>4</v>
      </c>
      <c r="C1724" s="553" t="s">
        <v>5</v>
      </c>
      <c r="D1724" s="553" t="s">
        <v>6</v>
      </c>
      <c r="E1724" s="691" t="s">
        <v>427</v>
      </c>
      <c r="F1724" s="691"/>
      <c r="G1724" s="555" t="s">
        <v>7</v>
      </c>
      <c r="H1724" s="554" t="s">
        <v>8</v>
      </c>
      <c r="I1724" s="554" t="s">
        <v>9</v>
      </c>
      <c r="J1724" s="554" t="s">
        <v>11</v>
      </c>
      <c r="K1724" s="552"/>
    </row>
    <row r="1725" spans="1:11" ht="14.25" customHeight="1" x14ac:dyDescent="0.3">
      <c r="A1725" s="607" t="s">
        <v>428</v>
      </c>
      <c r="B1725" s="608" t="s">
        <v>3590</v>
      </c>
      <c r="C1725" s="607" t="s">
        <v>115</v>
      </c>
      <c r="D1725" s="607" t="s">
        <v>3591</v>
      </c>
      <c r="E1725" s="690" t="s">
        <v>402</v>
      </c>
      <c r="F1725" s="690"/>
      <c r="G1725" s="609" t="s">
        <v>584</v>
      </c>
      <c r="H1725" s="610">
        <v>1</v>
      </c>
      <c r="I1725" s="611">
        <v>1.86</v>
      </c>
      <c r="J1725" s="611">
        <v>1.86</v>
      </c>
      <c r="K1725" s="552"/>
    </row>
    <row r="1726" spans="1:11" ht="14.25" customHeight="1" x14ac:dyDescent="0.3">
      <c r="A1726" s="691" t="s">
        <v>408</v>
      </c>
      <c r="B1726" s="692" t="s">
        <v>4</v>
      </c>
      <c r="C1726" s="691" t="s">
        <v>5</v>
      </c>
      <c r="D1726" s="691" t="s">
        <v>462</v>
      </c>
      <c r="E1726" s="692" t="s">
        <v>463</v>
      </c>
      <c r="F1726" s="694" t="s">
        <v>464</v>
      </c>
      <c r="G1726" s="692"/>
      <c r="H1726" s="694" t="s">
        <v>465</v>
      </c>
      <c r="I1726" s="692"/>
      <c r="J1726" s="692" t="s">
        <v>466</v>
      </c>
      <c r="K1726" s="552"/>
    </row>
    <row r="1727" spans="1:11" s="89" customFormat="1" x14ac:dyDescent="0.3">
      <c r="A1727" s="692"/>
      <c r="B1727" s="692"/>
      <c r="C1727" s="692"/>
      <c r="D1727" s="692"/>
      <c r="E1727" s="692"/>
      <c r="F1727" s="554" t="s">
        <v>467</v>
      </c>
      <c r="G1727" s="554" t="s">
        <v>468</v>
      </c>
      <c r="H1727" s="554" t="s">
        <v>467</v>
      </c>
      <c r="I1727" s="554" t="s">
        <v>468</v>
      </c>
      <c r="J1727" s="692"/>
      <c r="K1727" s="546"/>
    </row>
    <row r="1728" spans="1:11" x14ac:dyDescent="0.3">
      <c r="A1728" s="547" t="s">
        <v>433</v>
      </c>
      <c r="B1728" s="548" t="s">
        <v>1172</v>
      </c>
      <c r="C1728" s="547" t="s">
        <v>115</v>
      </c>
      <c r="D1728" s="547" t="s">
        <v>1173</v>
      </c>
      <c r="E1728" s="550">
        <v>3</v>
      </c>
      <c r="F1728" s="551">
        <v>0.84</v>
      </c>
      <c r="G1728" s="551">
        <v>0.16</v>
      </c>
      <c r="H1728" s="563">
        <v>301.85669999999999</v>
      </c>
      <c r="I1728" s="563">
        <v>87.055000000000007</v>
      </c>
      <c r="J1728" s="563">
        <v>802.46529999999996</v>
      </c>
      <c r="K1728" s="552"/>
    </row>
    <row r="1729" spans="1:11" s="89" customFormat="1" ht="15.75" customHeight="1" x14ac:dyDescent="0.3">
      <c r="A1729" s="689"/>
      <c r="B1729" s="689"/>
      <c r="C1729" s="689"/>
      <c r="D1729" s="689"/>
      <c r="E1729" s="689"/>
      <c r="F1729" s="689" t="s">
        <v>471</v>
      </c>
      <c r="G1729" s="689"/>
      <c r="H1729" s="689"/>
      <c r="I1729" s="689"/>
      <c r="J1729" s="564">
        <v>802.46529999999996</v>
      </c>
      <c r="K1729" s="546"/>
    </row>
    <row r="1730" spans="1:11" ht="14.25" customHeight="1" x14ac:dyDescent="0.3">
      <c r="A1730" s="689"/>
      <c r="B1730" s="689"/>
      <c r="C1730" s="689"/>
      <c r="D1730" s="689"/>
      <c r="E1730" s="689"/>
      <c r="F1730" s="689" t="s">
        <v>472</v>
      </c>
      <c r="G1730" s="689"/>
      <c r="H1730" s="689"/>
      <c r="I1730" s="689"/>
      <c r="J1730" s="564">
        <v>802.46529999999996</v>
      </c>
      <c r="K1730" s="552"/>
    </row>
    <row r="1731" spans="1:11" s="89" customFormat="1" ht="15" customHeight="1" x14ac:dyDescent="0.3">
      <c r="A1731" s="689"/>
      <c r="B1731" s="689"/>
      <c r="C1731" s="689"/>
      <c r="D1731" s="689"/>
      <c r="E1731" s="689"/>
      <c r="F1731" s="689" t="s">
        <v>473</v>
      </c>
      <c r="G1731" s="689"/>
      <c r="H1731" s="689"/>
      <c r="I1731" s="689"/>
      <c r="J1731" s="564">
        <v>0</v>
      </c>
      <c r="K1731" s="546"/>
    </row>
    <row r="1732" spans="1:11" s="89" customFormat="1" x14ac:dyDescent="0.3">
      <c r="A1732" s="689"/>
      <c r="B1732" s="689"/>
      <c r="C1732" s="689"/>
      <c r="D1732" s="689"/>
      <c r="E1732" s="689"/>
      <c r="F1732" s="689" t="s">
        <v>474</v>
      </c>
      <c r="G1732" s="689"/>
      <c r="H1732" s="689"/>
      <c r="I1732" s="689"/>
      <c r="J1732" s="564">
        <v>0</v>
      </c>
      <c r="K1732" s="546"/>
    </row>
    <row r="1733" spans="1:11" s="89" customFormat="1" ht="15" customHeight="1" x14ac:dyDescent="0.3">
      <c r="A1733" s="689"/>
      <c r="B1733" s="689"/>
      <c r="C1733" s="689"/>
      <c r="D1733" s="689"/>
      <c r="E1733" s="689"/>
      <c r="F1733" s="689" t="s">
        <v>475</v>
      </c>
      <c r="G1733" s="689"/>
      <c r="H1733" s="689"/>
      <c r="I1733" s="689"/>
      <c r="J1733" s="564">
        <v>431.6</v>
      </c>
      <c r="K1733" s="546"/>
    </row>
    <row r="1734" spans="1:11" ht="15" customHeight="1" thickBot="1" x14ac:dyDescent="0.35">
      <c r="A1734" s="689"/>
      <c r="B1734" s="689"/>
      <c r="C1734" s="689"/>
      <c r="D1734" s="689"/>
      <c r="E1734" s="689"/>
      <c r="F1734" s="689" t="s">
        <v>476</v>
      </c>
      <c r="G1734" s="689"/>
      <c r="H1734" s="689"/>
      <c r="I1734" s="689"/>
      <c r="J1734" s="564">
        <v>1.8593</v>
      </c>
      <c r="K1734" s="552"/>
    </row>
    <row r="1735" spans="1:11" s="89" customFormat="1" ht="14.5" thickTop="1" x14ac:dyDescent="0.3">
      <c r="A1735" s="562"/>
      <c r="B1735" s="562"/>
      <c r="C1735" s="562"/>
      <c r="D1735" s="562"/>
      <c r="E1735" s="562"/>
      <c r="F1735" s="562"/>
      <c r="G1735" s="562"/>
      <c r="H1735" s="562"/>
      <c r="I1735" s="562"/>
      <c r="J1735" s="562"/>
      <c r="K1735" s="546"/>
    </row>
    <row r="1736" spans="1:11" ht="14.25" customHeight="1" x14ac:dyDescent="0.3">
      <c r="A1736" s="553"/>
      <c r="B1736" s="554" t="s">
        <v>4</v>
      </c>
      <c r="C1736" s="553" t="s">
        <v>5</v>
      </c>
      <c r="D1736" s="553" t="s">
        <v>6</v>
      </c>
      <c r="E1736" s="691" t="s">
        <v>427</v>
      </c>
      <c r="F1736" s="691"/>
      <c r="G1736" s="555" t="s">
        <v>7</v>
      </c>
      <c r="H1736" s="554" t="s">
        <v>8</v>
      </c>
      <c r="I1736" s="554" t="s">
        <v>9</v>
      </c>
      <c r="J1736" s="554" t="s">
        <v>11</v>
      </c>
      <c r="K1736" s="552"/>
    </row>
    <row r="1737" spans="1:11" s="89" customFormat="1" ht="15" customHeight="1" x14ac:dyDescent="0.3">
      <c r="A1737" s="607" t="s">
        <v>428</v>
      </c>
      <c r="B1737" s="608" t="s">
        <v>1174</v>
      </c>
      <c r="C1737" s="607" t="s">
        <v>115</v>
      </c>
      <c r="D1737" s="607" t="s">
        <v>583</v>
      </c>
      <c r="E1737" s="690" t="s">
        <v>402</v>
      </c>
      <c r="F1737" s="690"/>
      <c r="G1737" s="609" t="s">
        <v>584</v>
      </c>
      <c r="H1737" s="610">
        <v>1</v>
      </c>
      <c r="I1737" s="611">
        <v>2.72</v>
      </c>
      <c r="J1737" s="611">
        <v>2.72</v>
      </c>
      <c r="K1737" s="546"/>
    </row>
    <row r="1738" spans="1:11" ht="14.25" customHeight="1" x14ac:dyDescent="0.3">
      <c r="A1738" s="691" t="s">
        <v>408</v>
      </c>
      <c r="B1738" s="692" t="s">
        <v>4</v>
      </c>
      <c r="C1738" s="691" t="s">
        <v>5</v>
      </c>
      <c r="D1738" s="691" t="s">
        <v>462</v>
      </c>
      <c r="E1738" s="692" t="s">
        <v>463</v>
      </c>
      <c r="F1738" s="694" t="s">
        <v>464</v>
      </c>
      <c r="G1738" s="692"/>
      <c r="H1738" s="694" t="s">
        <v>465</v>
      </c>
      <c r="I1738" s="692"/>
      <c r="J1738" s="692" t="s">
        <v>466</v>
      </c>
      <c r="K1738" s="552"/>
    </row>
    <row r="1739" spans="1:11" s="89" customFormat="1" x14ac:dyDescent="0.3">
      <c r="A1739" s="692"/>
      <c r="B1739" s="692"/>
      <c r="C1739" s="692"/>
      <c r="D1739" s="692"/>
      <c r="E1739" s="692"/>
      <c r="F1739" s="554" t="s">
        <v>467</v>
      </c>
      <c r="G1739" s="554" t="s">
        <v>468</v>
      </c>
      <c r="H1739" s="554" t="s">
        <v>467</v>
      </c>
      <c r="I1739" s="554" t="s">
        <v>468</v>
      </c>
      <c r="J1739" s="692"/>
      <c r="K1739" s="546"/>
    </row>
    <row r="1740" spans="1:11" x14ac:dyDescent="0.3">
      <c r="A1740" s="547" t="s">
        <v>433</v>
      </c>
      <c r="B1740" s="548" t="s">
        <v>1175</v>
      </c>
      <c r="C1740" s="547" t="s">
        <v>115</v>
      </c>
      <c r="D1740" s="547" t="s">
        <v>1176</v>
      </c>
      <c r="E1740" s="550">
        <v>3</v>
      </c>
      <c r="F1740" s="551">
        <v>0.72</v>
      </c>
      <c r="G1740" s="551">
        <v>0.28000000000000003</v>
      </c>
      <c r="H1740" s="563">
        <v>174.29050000000001</v>
      </c>
      <c r="I1740" s="563">
        <v>65.426199999999994</v>
      </c>
      <c r="J1740" s="563">
        <v>431.4255</v>
      </c>
      <c r="K1740" s="552"/>
    </row>
    <row r="1741" spans="1:11" s="89" customFormat="1" ht="15.75" customHeight="1" x14ac:dyDescent="0.3">
      <c r="A1741" s="547" t="s">
        <v>433</v>
      </c>
      <c r="B1741" s="548" t="s">
        <v>1177</v>
      </c>
      <c r="C1741" s="547" t="s">
        <v>115</v>
      </c>
      <c r="D1741" s="547" t="s">
        <v>1178</v>
      </c>
      <c r="E1741" s="550">
        <v>1</v>
      </c>
      <c r="F1741" s="551">
        <v>1</v>
      </c>
      <c r="G1741" s="551">
        <v>0</v>
      </c>
      <c r="H1741" s="563">
        <v>196.70859999999999</v>
      </c>
      <c r="I1741" s="563">
        <v>96.436300000000003</v>
      </c>
      <c r="J1741" s="563">
        <v>196.70859999999999</v>
      </c>
      <c r="K1741" s="546"/>
    </row>
    <row r="1742" spans="1:11" s="89" customFormat="1" ht="15" customHeight="1" x14ac:dyDescent="0.3">
      <c r="A1742" s="689"/>
      <c r="B1742" s="689"/>
      <c r="C1742" s="689"/>
      <c r="D1742" s="689"/>
      <c r="E1742" s="689"/>
      <c r="F1742" s="689" t="s">
        <v>471</v>
      </c>
      <c r="G1742" s="689"/>
      <c r="H1742" s="689"/>
      <c r="I1742" s="689"/>
      <c r="J1742" s="564">
        <v>628.13409999999999</v>
      </c>
      <c r="K1742" s="546"/>
    </row>
    <row r="1743" spans="1:11" ht="14.25" customHeight="1" x14ac:dyDescent="0.3">
      <c r="A1743" s="689"/>
      <c r="B1743" s="689"/>
      <c r="C1743" s="689"/>
      <c r="D1743" s="689"/>
      <c r="E1743" s="689"/>
      <c r="F1743" s="689" t="s">
        <v>472</v>
      </c>
      <c r="G1743" s="689"/>
      <c r="H1743" s="689"/>
      <c r="I1743" s="689"/>
      <c r="J1743" s="564">
        <v>628.13409999999999</v>
      </c>
      <c r="K1743" s="552"/>
    </row>
    <row r="1744" spans="1:11" s="89" customFormat="1" ht="15" customHeight="1" x14ac:dyDescent="0.3">
      <c r="A1744" s="689"/>
      <c r="B1744" s="689"/>
      <c r="C1744" s="689"/>
      <c r="D1744" s="689"/>
      <c r="E1744" s="689"/>
      <c r="F1744" s="689" t="s">
        <v>473</v>
      </c>
      <c r="G1744" s="689"/>
      <c r="H1744" s="689"/>
      <c r="I1744" s="689"/>
      <c r="J1744" s="564">
        <v>0</v>
      </c>
      <c r="K1744" s="546"/>
    </row>
    <row r="1745" spans="1:11" s="89" customFormat="1" ht="15" customHeight="1" x14ac:dyDescent="0.3">
      <c r="A1745" s="689"/>
      <c r="B1745" s="689"/>
      <c r="C1745" s="689"/>
      <c r="D1745" s="689"/>
      <c r="E1745" s="689"/>
      <c r="F1745" s="689" t="s">
        <v>474</v>
      </c>
      <c r="G1745" s="689"/>
      <c r="H1745" s="689"/>
      <c r="I1745" s="689"/>
      <c r="J1745" s="564">
        <v>0</v>
      </c>
      <c r="K1745" s="546"/>
    </row>
    <row r="1746" spans="1:11" s="89" customFormat="1" ht="15.75" customHeight="1" x14ac:dyDescent="0.3">
      <c r="A1746" s="689"/>
      <c r="B1746" s="689"/>
      <c r="C1746" s="689"/>
      <c r="D1746" s="689"/>
      <c r="E1746" s="689"/>
      <c r="F1746" s="689" t="s">
        <v>475</v>
      </c>
      <c r="G1746" s="689"/>
      <c r="H1746" s="689"/>
      <c r="I1746" s="689"/>
      <c r="J1746" s="564">
        <v>231.27</v>
      </c>
      <c r="K1746" s="546"/>
    </row>
    <row r="1747" spans="1:11" ht="15" customHeight="1" thickBot="1" x14ac:dyDescent="0.35">
      <c r="A1747" s="689"/>
      <c r="B1747" s="689"/>
      <c r="C1747" s="689"/>
      <c r="D1747" s="689"/>
      <c r="E1747" s="689"/>
      <c r="F1747" s="689" t="s">
        <v>476</v>
      </c>
      <c r="G1747" s="689"/>
      <c r="H1747" s="689"/>
      <c r="I1747" s="689"/>
      <c r="J1747" s="564">
        <v>2.7160000000000002</v>
      </c>
      <c r="K1747" s="552"/>
    </row>
    <row r="1748" spans="1:11" ht="14.5" thickTop="1" x14ac:dyDescent="0.3">
      <c r="A1748" s="562"/>
      <c r="B1748" s="562"/>
      <c r="C1748" s="562"/>
      <c r="D1748" s="562"/>
      <c r="E1748" s="562"/>
      <c r="F1748" s="562"/>
      <c r="G1748" s="562"/>
      <c r="H1748" s="562"/>
      <c r="I1748" s="562"/>
      <c r="J1748" s="562"/>
      <c r="K1748" s="552"/>
    </row>
    <row r="1749" spans="1:11" ht="14.25" customHeight="1" x14ac:dyDescent="0.3">
      <c r="A1749" s="553"/>
      <c r="B1749" s="554" t="s">
        <v>4</v>
      </c>
      <c r="C1749" s="553" t="s">
        <v>5</v>
      </c>
      <c r="D1749" s="553" t="s">
        <v>6</v>
      </c>
      <c r="E1749" s="691" t="s">
        <v>427</v>
      </c>
      <c r="F1749" s="691"/>
      <c r="G1749" s="555" t="s">
        <v>7</v>
      </c>
      <c r="H1749" s="554" t="s">
        <v>8</v>
      </c>
      <c r="I1749" s="554" t="s">
        <v>9</v>
      </c>
      <c r="J1749" s="554" t="s">
        <v>11</v>
      </c>
      <c r="K1749" s="552"/>
    </row>
    <row r="1750" spans="1:11" s="89" customFormat="1" ht="15" customHeight="1" x14ac:dyDescent="0.3">
      <c r="A1750" s="607" t="s">
        <v>428</v>
      </c>
      <c r="B1750" s="608" t="s">
        <v>1179</v>
      </c>
      <c r="C1750" s="607" t="s">
        <v>115</v>
      </c>
      <c r="D1750" s="607" t="s">
        <v>1180</v>
      </c>
      <c r="E1750" s="690" t="s">
        <v>402</v>
      </c>
      <c r="F1750" s="690"/>
      <c r="G1750" s="609" t="s">
        <v>584</v>
      </c>
      <c r="H1750" s="610">
        <v>1</v>
      </c>
      <c r="I1750" s="611">
        <v>31.97</v>
      </c>
      <c r="J1750" s="611">
        <v>31.97</v>
      </c>
      <c r="K1750" s="546"/>
    </row>
    <row r="1751" spans="1:11" s="89" customFormat="1" ht="15" customHeight="1" x14ac:dyDescent="0.3">
      <c r="A1751" s="691" t="s">
        <v>408</v>
      </c>
      <c r="B1751" s="692" t="s">
        <v>4</v>
      </c>
      <c r="C1751" s="691" t="s">
        <v>5</v>
      </c>
      <c r="D1751" s="691" t="s">
        <v>462</v>
      </c>
      <c r="E1751" s="692" t="s">
        <v>463</v>
      </c>
      <c r="F1751" s="694" t="s">
        <v>464</v>
      </c>
      <c r="G1751" s="692"/>
      <c r="H1751" s="694" t="s">
        <v>465</v>
      </c>
      <c r="I1751" s="692"/>
      <c r="J1751" s="692" t="s">
        <v>466</v>
      </c>
      <c r="K1751" s="546"/>
    </row>
    <row r="1752" spans="1:11" x14ac:dyDescent="0.3">
      <c r="A1752" s="692"/>
      <c r="B1752" s="692"/>
      <c r="C1752" s="692"/>
      <c r="D1752" s="692"/>
      <c r="E1752" s="692"/>
      <c r="F1752" s="554" t="s">
        <v>467</v>
      </c>
      <c r="G1752" s="554" t="s">
        <v>468</v>
      </c>
      <c r="H1752" s="554" t="s">
        <v>467</v>
      </c>
      <c r="I1752" s="554" t="s">
        <v>468</v>
      </c>
      <c r="J1752" s="692"/>
      <c r="K1752" s="552"/>
    </row>
    <row r="1753" spans="1:11" s="89" customFormat="1" x14ac:dyDescent="0.3">
      <c r="A1753" s="547" t="s">
        <v>433</v>
      </c>
      <c r="B1753" s="548" t="s">
        <v>1181</v>
      </c>
      <c r="C1753" s="547" t="s">
        <v>115</v>
      </c>
      <c r="D1753" s="547" t="s">
        <v>1182</v>
      </c>
      <c r="E1753" s="550">
        <v>2</v>
      </c>
      <c r="F1753" s="551">
        <v>0.53</v>
      </c>
      <c r="G1753" s="551">
        <v>0.47</v>
      </c>
      <c r="H1753" s="563">
        <v>252.2268</v>
      </c>
      <c r="I1753" s="563">
        <v>70.313900000000004</v>
      </c>
      <c r="J1753" s="563">
        <v>333.45549999999997</v>
      </c>
      <c r="K1753" s="546"/>
    </row>
    <row r="1754" spans="1:11" ht="15" customHeight="1" x14ac:dyDescent="0.3">
      <c r="A1754" s="547" t="s">
        <v>433</v>
      </c>
      <c r="B1754" s="548" t="s">
        <v>1183</v>
      </c>
      <c r="C1754" s="547" t="s">
        <v>115</v>
      </c>
      <c r="D1754" s="547" t="s">
        <v>1184</v>
      </c>
      <c r="E1754" s="550">
        <v>1</v>
      </c>
      <c r="F1754" s="551">
        <v>1</v>
      </c>
      <c r="G1754" s="551">
        <v>0</v>
      </c>
      <c r="H1754" s="563">
        <v>302.88959999999997</v>
      </c>
      <c r="I1754" s="563">
        <v>112.36109999999999</v>
      </c>
      <c r="J1754" s="563">
        <v>302.88959999999997</v>
      </c>
      <c r="K1754" s="552"/>
    </row>
    <row r="1755" spans="1:11" s="89" customFormat="1" ht="15" customHeight="1" x14ac:dyDescent="0.3">
      <c r="A1755" s="689"/>
      <c r="B1755" s="689"/>
      <c r="C1755" s="689"/>
      <c r="D1755" s="689"/>
      <c r="E1755" s="689"/>
      <c r="F1755" s="689" t="s">
        <v>471</v>
      </c>
      <c r="G1755" s="689"/>
      <c r="H1755" s="689"/>
      <c r="I1755" s="689"/>
      <c r="J1755" s="564">
        <v>636.3451</v>
      </c>
      <c r="K1755" s="546"/>
    </row>
    <row r="1756" spans="1:11" ht="14.25" customHeight="1" x14ac:dyDescent="0.3">
      <c r="A1756" s="689"/>
      <c r="B1756" s="689"/>
      <c r="C1756" s="689"/>
      <c r="D1756" s="689"/>
      <c r="E1756" s="689"/>
      <c r="F1756" s="689" t="s">
        <v>472</v>
      </c>
      <c r="G1756" s="689"/>
      <c r="H1756" s="689"/>
      <c r="I1756" s="689"/>
      <c r="J1756" s="564">
        <v>636.3451</v>
      </c>
      <c r="K1756" s="552"/>
    </row>
    <row r="1757" spans="1:11" s="89" customFormat="1" ht="15" customHeight="1" x14ac:dyDescent="0.3">
      <c r="A1757" s="689"/>
      <c r="B1757" s="689"/>
      <c r="C1757" s="689"/>
      <c r="D1757" s="689"/>
      <c r="E1757" s="689"/>
      <c r="F1757" s="689" t="s">
        <v>473</v>
      </c>
      <c r="G1757" s="689"/>
      <c r="H1757" s="689"/>
      <c r="I1757" s="689"/>
      <c r="J1757" s="564">
        <v>0</v>
      </c>
      <c r="K1757" s="546"/>
    </row>
    <row r="1758" spans="1:11" ht="15" customHeight="1" x14ac:dyDescent="0.3">
      <c r="A1758" s="689"/>
      <c r="B1758" s="689"/>
      <c r="C1758" s="689"/>
      <c r="D1758" s="689"/>
      <c r="E1758" s="689"/>
      <c r="F1758" s="689" t="s">
        <v>474</v>
      </c>
      <c r="G1758" s="689"/>
      <c r="H1758" s="689"/>
      <c r="I1758" s="689"/>
      <c r="J1758" s="564">
        <v>0</v>
      </c>
      <c r="K1758" s="552"/>
    </row>
    <row r="1759" spans="1:11" s="89" customFormat="1" ht="15.75" customHeight="1" x14ac:dyDescent="0.3">
      <c r="A1759" s="689"/>
      <c r="B1759" s="689"/>
      <c r="C1759" s="689"/>
      <c r="D1759" s="689"/>
      <c r="E1759" s="689"/>
      <c r="F1759" s="689" t="s">
        <v>475</v>
      </c>
      <c r="G1759" s="689"/>
      <c r="H1759" s="689"/>
      <c r="I1759" s="689"/>
      <c r="J1759" s="564">
        <v>21.37</v>
      </c>
      <c r="K1759" s="546"/>
    </row>
    <row r="1760" spans="1:11" ht="14.25" customHeight="1" x14ac:dyDescent="0.3">
      <c r="A1760" s="689"/>
      <c r="B1760" s="689"/>
      <c r="C1760" s="689"/>
      <c r="D1760" s="689"/>
      <c r="E1760" s="689"/>
      <c r="F1760" s="689" t="s">
        <v>476</v>
      </c>
      <c r="G1760" s="689"/>
      <c r="H1760" s="689"/>
      <c r="I1760" s="689"/>
      <c r="J1760" s="564">
        <v>29.7775</v>
      </c>
      <c r="K1760" s="552"/>
    </row>
    <row r="1761" spans="1:11" s="89" customFormat="1" ht="15" customHeight="1" x14ac:dyDescent="0.3">
      <c r="A1761" s="553" t="s">
        <v>573</v>
      </c>
      <c r="B1761" s="554" t="s">
        <v>5</v>
      </c>
      <c r="C1761" s="553" t="s">
        <v>4</v>
      </c>
      <c r="D1761" s="553" t="s">
        <v>574</v>
      </c>
      <c r="E1761" s="554" t="s">
        <v>463</v>
      </c>
      <c r="F1761" s="554" t="s">
        <v>575</v>
      </c>
      <c r="G1761" s="692" t="s">
        <v>576</v>
      </c>
      <c r="H1761" s="692"/>
      <c r="I1761" s="692"/>
      <c r="J1761" s="554" t="s">
        <v>466</v>
      </c>
      <c r="K1761" s="546"/>
    </row>
    <row r="1762" spans="1:11" x14ac:dyDescent="0.3">
      <c r="A1762" s="547" t="s">
        <v>577</v>
      </c>
      <c r="B1762" s="548" t="s">
        <v>19</v>
      </c>
      <c r="C1762" s="547">
        <v>88316</v>
      </c>
      <c r="D1762" s="547" t="s">
        <v>560</v>
      </c>
      <c r="E1762" s="550">
        <v>9.3589099999999995E-2</v>
      </c>
      <c r="F1762" s="549" t="s">
        <v>423</v>
      </c>
      <c r="G1762" s="693">
        <v>23.4</v>
      </c>
      <c r="H1762" s="693"/>
      <c r="I1762" s="688"/>
      <c r="J1762" s="563">
        <v>2.19</v>
      </c>
      <c r="K1762" s="552"/>
    </row>
    <row r="1763" spans="1:11" s="89" customFormat="1" ht="15" customHeight="1" thickBot="1" x14ac:dyDescent="0.35">
      <c r="A1763" s="689"/>
      <c r="B1763" s="689"/>
      <c r="C1763" s="689"/>
      <c r="D1763" s="689"/>
      <c r="E1763" s="689"/>
      <c r="F1763" s="689" t="s">
        <v>578</v>
      </c>
      <c r="G1763" s="689"/>
      <c r="H1763" s="689"/>
      <c r="I1763" s="689"/>
      <c r="J1763" s="564">
        <v>2.19</v>
      </c>
      <c r="K1763" s="546"/>
    </row>
    <row r="1764" spans="1:11" ht="14.25" customHeight="1" thickTop="1" x14ac:dyDescent="0.3">
      <c r="A1764" s="562"/>
      <c r="B1764" s="562"/>
      <c r="C1764" s="562"/>
      <c r="D1764" s="562"/>
      <c r="E1764" s="562"/>
      <c r="F1764" s="562"/>
      <c r="G1764" s="562"/>
      <c r="H1764" s="562"/>
      <c r="I1764" s="562"/>
      <c r="J1764" s="562"/>
      <c r="K1764" s="552"/>
    </row>
    <row r="1765" spans="1:11" s="89" customFormat="1" x14ac:dyDescent="0.3">
      <c r="A1765" s="553"/>
      <c r="B1765" s="554" t="s">
        <v>4</v>
      </c>
      <c r="C1765" s="553" t="s">
        <v>5</v>
      </c>
      <c r="D1765" s="553" t="s">
        <v>6</v>
      </c>
      <c r="E1765" s="691" t="s">
        <v>427</v>
      </c>
      <c r="F1765" s="691"/>
      <c r="G1765" s="555" t="s">
        <v>7</v>
      </c>
      <c r="H1765" s="554" t="s">
        <v>8</v>
      </c>
      <c r="I1765" s="554" t="s">
        <v>9</v>
      </c>
      <c r="J1765" s="554" t="s">
        <v>11</v>
      </c>
      <c r="K1765" s="546"/>
    </row>
    <row r="1766" spans="1:11" ht="14.25" customHeight="1" x14ac:dyDescent="0.3">
      <c r="A1766" s="607" t="s">
        <v>428</v>
      </c>
      <c r="B1766" s="608" t="s">
        <v>746</v>
      </c>
      <c r="C1766" s="607" t="s">
        <v>19</v>
      </c>
      <c r="D1766" s="607" t="s">
        <v>747</v>
      </c>
      <c r="E1766" s="690" t="s">
        <v>670</v>
      </c>
      <c r="F1766" s="690"/>
      <c r="G1766" s="609" t="s">
        <v>81</v>
      </c>
      <c r="H1766" s="610">
        <v>1</v>
      </c>
      <c r="I1766" s="611">
        <v>20.62</v>
      </c>
      <c r="J1766" s="611">
        <v>20.62</v>
      </c>
      <c r="K1766" s="552"/>
    </row>
    <row r="1767" spans="1:11" s="89" customFormat="1" ht="15" customHeight="1" x14ac:dyDescent="0.3">
      <c r="A1767" s="547" t="s">
        <v>430</v>
      </c>
      <c r="B1767" s="548" t="s">
        <v>1195</v>
      </c>
      <c r="C1767" s="547" t="s">
        <v>19</v>
      </c>
      <c r="D1767" s="547" t="s">
        <v>1196</v>
      </c>
      <c r="E1767" s="688" t="s">
        <v>429</v>
      </c>
      <c r="F1767" s="688"/>
      <c r="G1767" s="549" t="s">
        <v>423</v>
      </c>
      <c r="H1767" s="550">
        <v>0.1338</v>
      </c>
      <c r="I1767" s="551">
        <v>23.63</v>
      </c>
      <c r="J1767" s="551">
        <v>3.16</v>
      </c>
      <c r="K1767" s="546"/>
    </row>
    <row r="1768" spans="1:11" s="89" customFormat="1" ht="15" customHeight="1" x14ac:dyDescent="0.3">
      <c r="A1768" s="547" t="s">
        <v>430</v>
      </c>
      <c r="B1768" s="548" t="s">
        <v>789</v>
      </c>
      <c r="C1768" s="547" t="s">
        <v>19</v>
      </c>
      <c r="D1768" s="547" t="s">
        <v>790</v>
      </c>
      <c r="E1768" s="688" t="s">
        <v>429</v>
      </c>
      <c r="F1768" s="688"/>
      <c r="G1768" s="549" t="s">
        <v>423</v>
      </c>
      <c r="H1768" s="550">
        <v>0.1338</v>
      </c>
      <c r="I1768" s="551">
        <v>30.33</v>
      </c>
      <c r="J1768" s="551">
        <v>4.05</v>
      </c>
      <c r="K1768" s="546"/>
    </row>
    <row r="1769" spans="1:11" ht="14.25" customHeight="1" x14ac:dyDescent="0.3">
      <c r="A1769" s="547" t="s">
        <v>433</v>
      </c>
      <c r="B1769" s="548" t="s">
        <v>1197</v>
      </c>
      <c r="C1769" s="547" t="s">
        <v>19</v>
      </c>
      <c r="D1769" s="547" t="s">
        <v>1198</v>
      </c>
      <c r="E1769" s="688" t="s">
        <v>438</v>
      </c>
      <c r="F1769" s="688"/>
      <c r="G1769" s="549" t="s">
        <v>81</v>
      </c>
      <c r="H1769" s="550">
        <v>1</v>
      </c>
      <c r="I1769" s="551">
        <v>12.84</v>
      </c>
      <c r="J1769" s="551">
        <v>12.84</v>
      </c>
      <c r="K1769" s="552"/>
    </row>
    <row r="1770" spans="1:11" s="89" customFormat="1" ht="15.75" customHeight="1" x14ac:dyDescent="0.3">
      <c r="A1770" s="547" t="s">
        <v>433</v>
      </c>
      <c r="B1770" s="548" t="s">
        <v>1207</v>
      </c>
      <c r="C1770" s="547" t="s">
        <v>19</v>
      </c>
      <c r="D1770" s="547" t="s">
        <v>1208</v>
      </c>
      <c r="E1770" s="688" t="s">
        <v>438</v>
      </c>
      <c r="F1770" s="688"/>
      <c r="G1770" s="549" t="s">
        <v>81</v>
      </c>
      <c r="H1770" s="550">
        <v>3.5000000000000001E-3</v>
      </c>
      <c r="I1770" s="551">
        <v>72.09</v>
      </c>
      <c r="J1770" s="551">
        <v>0.25</v>
      </c>
      <c r="K1770" s="546"/>
    </row>
    <row r="1771" spans="1:11" ht="14.25" customHeight="1" thickBot="1" x14ac:dyDescent="0.35">
      <c r="A1771" s="547" t="s">
        <v>433</v>
      </c>
      <c r="B1771" s="548" t="s">
        <v>1199</v>
      </c>
      <c r="C1771" s="547" t="s">
        <v>19</v>
      </c>
      <c r="D1771" s="547" t="s">
        <v>1200</v>
      </c>
      <c r="E1771" s="688" t="s">
        <v>438</v>
      </c>
      <c r="F1771" s="688"/>
      <c r="G1771" s="549" t="s">
        <v>81</v>
      </c>
      <c r="H1771" s="550">
        <v>4.0000000000000001E-3</v>
      </c>
      <c r="I1771" s="551">
        <v>81.680000000000007</v>
      </c>
      <c r="J1771" s="551">
        <v>0.32</v>
      </c>
      <c r="K1771" s="552"/>
    </row>
    <row r="1772" spans="1:11" ht="14.25" customHeight="1" thickTop="1" x14ac:dyDescent="0.3">
      <c r="A1772" s="562"/>
      <c r="B1772" s="562"/>
      <c r="C1772" s="562"/>
      <c r="D1772" s="562"/>
      <c r="E1772" s="562"/>
      <c r="F1772" s="562"/>
      <c r="G1772" s="562"/>
      <c r="H1772" s="562"/>
      <c r="I1772" s="562"/>
      <c r="J1772" s="562"/>
      <c r="K1772" s="552"/>
    </row>
    <row r="1773" spans="1:11" s="89" customFormat="1" ht="15" customHeight="1" x14ac:dyDescent="0.3">
      <c r="A1773" s="553"/>
      <c r="B1773" s="554" t="s">
        <v>4</v>
      </c>
      <c r="C1773" s="553" t="s">
        <v>5</v>
      </c>
      <c r="D1773" s="553" t="s">
        <v>6</v>
      </c>
      <c r="E1773" s="691" t="s">
        <v>427</v>
      </c>
      <c r="F1773" s="691"/>
      <c r="G1773" s="555" t="s">
        <v>7</v>
      </c>
      <c r="H1773" s="554" t="s">
        <v>8</v>
      </c>
      <c r="I1773" s="554" t="s">
        <v>9</v>
      </c>
      <c r="J1773" s="554" t="s">
        <v>11</v>
      </c>
      <c r="K1773" s="546"/>
    </row>
    <row r="1774" spans="1:11" s="89" customFormat="1" ht="37.5" x14ac:dyDescent="0.3">
      <c r="A1774" s="607" t="s">
        <v>428</v>
      </c>
      <c r="B1774" s="608" t="s">
        <v>1203</v>
      </c>
      <c r="C1774" s="607" t="s">
        <v>19</v>
      </c>
      <c r="D1774" s="607" t="s">
        <v>1204</v>
      </c>
      <c r="E1774" s="690" t="s">
        <v>670</v>
      </c>
      <c r="F1774" s="690"/>
      <c r="G1774" s="609" t="s">
        <v>81</v>
      </c>
      <c r="H1774" s="610">
        <v>1</v>
      </c>
      <c r="I1774" s="611">
        <v>7.08</v>
      </c>
      <c r="J1774" s="611">
        <v>7.08</v>
      </c>
      <c r="K1774" s="546"/>
    </row>
    <row r="1775" spans="1:11" s="89" customFormat="1" ht="15.75" customHeight="1" x14ac:dyDescent="0.3">
      <c r="A1775" s="547" t="s">
        <v>430</v>
      </c>
      <c r="B1775" s="548" t="s">
        <v>1195</v>
      </c>
      <c r="C1775" s="547" t="s">
        <v>19</v>
      </c>
      <c r="D1775" s="547" t="s">
        <v>1196</v>
      </c>
      <c r="E1775" s="688" t="s">
        <v>429</v>
      </c>
      <c r="F1775" s="688"/>
      <c r="G1775" s="549" t="s">
        <v>423</v>
      </c>
      <c r="H1775" s="550">
        <v>9.4399999999999998E-2</v>
      </c>
      <c r="I1775" s="551">
        <v>23.63</v>
      </c>
      <c r="J1775" s="551">
        <v>2.23</v>
      </c>
      <c r="K1775" s="546"/>
    </row>
    <row r="1776" spans="1:11" ht="25" x14ac:dyDescent="0.3">
      <c r="A1776" s="547" t="s">
        <v>430</v>
      </c>
      <c r="B1776" s="548" t="s">
        <v>789</v>
      </c>
      <c r="C1776" s="547" t="s">
        <v>19</v>
      </c>
      <c r="D1776" s="547" t="s">
        <v>790</v>
      </c>
      <c r="E1776" s="688" t="s">
        <v>429</v>
      </c>
      <c r="F1776" s="688"/>
      <c r="G1776" s="549" t="s">
        <v>423</v>
      </c>
      <c r="H1776" s="550">
        <v>9.4399999999999998E-2</v>
      </c>
      <c r="I1776" s="551">
        <v>30.33</v>
      </c>
      <c r="J1776" s="551">
        <v>2.86</v>
      </c>
      <c r="K1776" s="552"/>
    </row>
    <row r="1777" spans="1:11" s="89" customFormat="1" ht="25" x14ac:dyDescent="0.3">
      <c r="A1777" s="547" t="s">
        <v>433</v>
      </c>
      <c r="B1777" s="548" t="s">
        <v>1205</v>
      </c>
      <c r="C1777" s="547" t="s">
        <v>19</v>
      </c>
      <c r="D1777" s="547" t="s">
        <v>1206</v>
      </c>
      <c r="E1777" s="688" t="s">
        <v>438</v>
      </c>
      <c r="F1777" s="688"/>
      <c r="G1777" s="549" t="s">
        <v>81</v>
      </c>
      <c r="H1777" s="550">
        <v>1</v>
      </c>
      <c r="I1777" s="551">
        <v>0.93</v>
      </c>
      <c r="J1777" s="551">
        <v>0.93</v>
      </c>
      <c r="K1777" s="546"/>
    </row>
    <row r="1778" spans="1:11" x14ac:dyDescent="0.3">
      <c r="A1778" s="547" t="s">
        <v>433</v>
      </c>
      <c r="B1778" s="548" t="s">
        <v>1207</v>
      </c>
      <c r="C1778" s="547" t="s">
        <v>19</v>
      </c>
      <c r="D1778" s="547" t="s">
        <v>1208</v>
      </c>
      <c r="E1778" s="688" t="s">
        <v>438</v>
      </c>
      <c r="F1778" s="688"/>
      <c r="G1778" s="549" t="s">
        <v>81</v>
      </c>
      <c r="H1778" s="550">
        <v>5.8999999999999999E-3</v>
      </c>
      <c r="I1778" s="551">
        <v>72.09</v>
      </c>
      <c r="J1778" s="551">
        <v>0.42</v>
      </c>
      <c r="K1778" s="552"/>
    </row>
    <row r="1779" spans="1:11" s="89" customFormat="1" ht="25" x14ac:dyDescent="0.3">
      <c r="A1779" s="547" t="s">
        <v>433</v>
      </c>
      <c r="B1779" s="548" t="s">
        <v>1199</v>
      </c>
      <c r="C1779" s="547" t="s">
        <v>19</v>
      </c>
      <c r="D1779" s="547" t="s">
        <v>1200</v>
      </c>
      <c r="E1779" s="688" t="s">
        <v>438</v>
      </c>
      <c r="F1779" s="688"/>
      <c r="G1779" s="549" t="s">
        <v>81</v>
      </c>
      <c r="H1779" s="550">
        <v>7.0000000000000001E-3</v>
      </c>
      <c r="I1779" s="551">
        <v>81.680000000000007</v>
      </c>
      <c r="J1779" s="551">
        <v>0.56999999999999995</v>
      </c>
      <c r="K1779" s="546"/>
    </row>
    <row r="1780" spans="1:11" ht="14.5" thickBot="1" x14ac:dyDescent="0.35">
      <c r="A1780" s="547" t="s">
        <v>433</v>
      </c>
      <c r="B1780" s="548" t="s">
        <v>1201</v>
      </c>
      <c r="C1780" s="547" t="s">
        <v>19</v>
      </c>
      <c r="D1780" s="547" t="s">
        <v>1202</v>
      </c>
      <c r="E1780" s="688" t="s">
        <v>438</v>
      </c>
      <c r="F1780" s="688"/>
      <c r="G1780" s="549" t="s">
        <v>81</v>
      </c>
      <c r="H1780" s="550">
        <v>3.15E-2</v>
      </c>
      <c r="I1780" s="551">
        <v>2.38</v>
      </c>
      <c r="J1780" s="551">
        <v>7.0000000000000007E-2</v>
      </c>
      <c r="K1780" s="552"/>
    </row>
    <row r="1781" spans="1:11" s="89" customFormat="1" ht="14.5" thickTop="1" x14ac:dyDescent="0.3">
      <c r="A1781" s="562"/>
      <c r="B1781" s="562"/>
      <c r="C1781" s="562"/>
      <c r="D1781" s="562"/>
      <c r="E1781" s="562"/>
      <c r="F1781" s="562"/>
      <c r="G1781" s="562"/>
      <c r="H1781" s="562"/>
      <c r="I1781" s="562"/>
      <c r="J1781" s="562"/>
      <c r="K1781" s="546"/>
    </row>
    <row r="1782" spans="1:11" x14ac:dyDescent="0.3">
      <c r="A1782" s="553"/>
      <c r="B1782" s="554" t="s">
        <v>4</v>
      </c>
      <c r="C1782" s="553" t="s">
        <v>5</v>
      </c>
      <c r="D1782" s="553" t="s">
        <v>6</v>
      </c>
      <c r="E1782" s="691" t="s">
        <v>427</v>
      </c>
      <c r="F1782" s="691"/>
      <c r="G1782" s="555" t="s">
        <v>7</v>
      </c>
      <c r="H1782" s="554" t="s">
        <v>8</v>
      </c>
      <c r="I1782" s="554" t="s">
        <v>9</v>
      </c>
      <c r="J1782" s="554" t="s">
        <v>11</v>
      </c>
      <c r="K1782" s="552"/>
    </row>
    <row r="1783" spans="1:11" s="89" customFormat="1" ht="25" x14ac:dyDescent="0.3">
      <c r="A1783" s="607" t="s">
        <v>428</v>
      </c>
      <c r="B1783" s="608" t="s">
        <v>484</v>
      </c>
      <c r="C1783" s="607" t="s">
        <v>26</v>
      </c>
      <c r="D1783" s="607" t="s">
        <v>485</v>
      </c>
      <c r="E1783" s="690" t="s">
        <v>429</v>
      </c>
      <c r="F1783" s="690"/>
      <c r="G1783" s="609" t="s">
        <v>81</v>
      </c>
      <c r="H1783" s="610">
        <v>1</v>
      </c>
      <c r="I1783" s="611">
        <v>391.76</v>
      </c>
      <c r="J1783" s="611">
        <v>391.76</v>
      </c>
      <c r="K1783" s="546"/>
    </row>
    <row r="1784" spans="1:11" ht="14.5" thickBot="1" x14ac:dyDescent="0.35">
      <c r="A1784" s="547" t="s">
        <v>433</v>
      </c>
      <c r="B1784" s="548" t="s">
        <v>490</v>
      </c>
      <c r="C1784" s="547" t="s">
        <v>19</v>
      </c>
      <c r="D1784" s="547" t="s">
        <v>491</v>
      </c>
      <c r="E1784" s="688" t="s">
        <v>436</v>
      </c>
      <c r="F1784" s="688"/>
      <c r="G1784" s="549" t="s">
        <v>21</v>
      </c>
      <c r="H1784" s="550">
        <v>0.1429</v>
      </c>
      <c r="I1784" s="551">
        <v>2741.53</v>
      </c>
      <c r="J1784" s="551">
        <v>391.76</v>
      </c>
      <c r="K1784" s="552"/>
    </row>
    <row r="1785" spans="1:11" s="89" customFormat="1" ht="14.5" thickTop="1" x14ac:dyDescent="0.3">
      <c r="A1785" s="562"/>
      <c r="B1785" s="562"/>
      <c r="C1785" s="562"/>
      <c r="D1785" s="562"/>
      <c r="E1785" s="562"/>
      <c r="F1785" s="562"/>
      <c r="G1785" s="562"/>
      <c r="H1785" s="562"/>
      <c r="I1785" s="562"/>
      <c r="J1785" s="562"/>
      <c r="K1785" s="546"/>
    </row>
    <row r="1786" spans="1:11" s="89" customFormat="1" ht="15.75" customHeight="1" x14ac:dyDescent="0.3">
      <c r="A1786" s="553"/>
      <c r="B1786" s="554" t="s">
        <v>4</v>
      </c>
      <c r="C1786" s="553" t="s">
        <v>5</v>
      </c>
      <c r="D1786" s="553" t="s">
        <v>6</v>
      </c>
      <c r="E1786" s="691" t="s">
        <v>427</v>
      </c>
      <c r="F1786" s="691"/>
      <c r="G1786" s="555" t="s">
        <v>7</v>
      </c>
      <c r="H1786" s="554" t="s">
        <v>8</v>
      </c>
      <c r="I1786" s="554" t="s">
        <v>9</v>
      </c>
      <c r="J1786" s="554" t="s">
        <v>11</v>
      </c>
      <c r="K1786" s="546"/>
    </row>
    <row r="1787" spans="1:11" s="89" customFormat="1" ht="15" customHeight="1" x14ac:dyDescent="0.3">
      <c r="A1787" s="607" t="s">
        <v>428</v>
      </c>
      <c r="B1787" s="608" t="s">
        <v>1167</v>
      </c>
      <c r="C1787" s="607" t="s">
        <v>19</v>
      </c>
      <c r="D1787" s="607" t="s">
        <v>1168</v>
      </c>
      <c r="E1787" s="690" t="s">
        <v>429</v>
      </c>
      <c r="F1787" s="690"/>
      <c r="G1787" s="609" t="s">
        <v>423</v>
      </c>
      <c r="H1787" s="610">
        <v>1</v>
      </c>
      <c r="I1787" s="611">
        <v>24.21</v>
      </c>
      <c r="J1787" s="611">
        <v>24.21</v>
      </c>
      <c r="K1787" s="546"/>
    </row>
    <row r="1788" spans="1:11" ht="25" x14ac:dyDescent="0.3">
      <c r="A1788" s="547" t="s">
        <v>430</v>
      </c>
      <c r="B1788" s="548" t="s">
        <v>1209</v>
      </c>
      <c r="C1788" s="547" t="s">
        <v>19</v>
      </c>
      <c r="D1788" s="547" t="s">
        <v>1210</v>
      </c>
      <c r="E1788" s="688" t="s">
        <v>429</v>
      </c>
      <c r="F1788" s="688"/>
      <c r="G1788" s="549" t="s">
        <v>423</v>
      </c>
      <c r="H1788" s="550">
        <v>1</v>
      </c>
      <c r="I1788" s="551">
        <v>0.2</v>
      </c>
      <c r="J1788" s="551">
        <v>0.2</v>
      </c>
      <c r="K1788" s="552"/>
    </row>
    <row r="1789" spans="1:11" s="89" customFormat="1" x14ac:dyDescent="0.3">
      <c r="A1789" s="547" t="s">
        <v>433</v>
      </c>
      <c r="B1789" s="548" t="s">
        <v>1211</v>
      </c>
      <c r="C1789" s="547" t="s">
        <v>19</v>
      </c>
      <c r="D1789" s="547" t="s">
        <v>1212</v>
      </c>
      <c r="E1789" s="688" t="s">
        <v>436</v>
      </c>
      <c r="F1789" s="688"/>
      <c r="G1789" s="549" t="s">
        <v>423</v>
      </c>
      <c r="H1789" s="550">
        <v>1</v>
      </c>
      <c r="I1789" s="551">
        <v>15.27</v>
      </c>
      <c r="J1789" s="551">
        <v>15.27</v>
      </c>
      <c r="K1789" s="546"/>
    </row>
    <row r="1790" spans="1:11" ht="15" customHeight="1" x14ac:dyDescent="0.3">
      <c r="A1790" s="547" t="s">
        <v>433</v>
      </c>
      <c r="B1790" s="548" t="s">
        <v>1213</v>
      </c>
      <c r="C1790" s="547" t="s">
        <v>19</v>
      </c>
      <c r="D1790" s="547" t="s">
        <v>3592</v>
      </c>
      <c r="E1790" s="688" t="s">
        <v>862</v>
      </c>
      <c r="F1790" s="688"/>
      <c r="G1790" s="549" t="s">
        <v>423</v>
      </c>
      <c r="H1790" s="550">
        <v>1</v>
      </c>
      <c r="I1790" s="551">
        <v>3.8</v>
      </c>
      <c r="J1790" s="551">
        <v>3.8</v>
      </c>
      <c r="K1790" s="552"/>
    </row>
    <row r="1791" spans="1:11" ht="25" x14ac:dyDescent="0.3">
      <c r="A1791" s="547" t="s">
        <v>433</v>
      </c>
      <c r="B1791" s="548" t="s">
        <v>1214</v>
      </c>
      <c r="C1791" s="547" t="s">
        <v>19</v>
      </c>
      <c r="D1791" s="547" t="s">
        <v>3593</v>
      </c>
      <c r="E1791" s="688" t="s">
        <v>1215</v>
      </c>
      <c r="F1791" s="688"/>
      <c r="G1791" s="549" t="s">
        <v>423</v>
      </c>
      <c r="H1791" s="550">
        <v>1</v>
      </c>
      <c r="I1791" s="551">
        <v>1.5</v>
      </c>
      <c r="J1791" s="551">
        <v>1.5</v>
      </c>
      <c r="K1791" s="552"/>
    </row>
    <row r="1792" spans="1:11" s="89" customFormat="1" ht="25" x14ac:dyDescent="0.3">
      <c r="A1792" s="547" t="s">
        <v>433</v>
      </c>
      <c r="B1792" s="548" t="s">
        <v>1216</v>
      </c>
      <c r="C1792" s="547" t="s">
        <v>19</v>
      </c>
      <c r="D1792" s="547" t="s">
        <v>3594</v>
      </c>
      <c r="E1792" s="688" t="s">
        <v>862</v>
      </c>
      <c r="F1792" s="688"/>
      <c r="G1792" s="549" t="s">
        <v>423</v>
      </c>
      <c r="H1792" s="550">
        <v>1</v>
      </c>
      <c r="I1792" s="551">
        <v>1.34</v>
      </c>
      <c r="J1792" s="551">
        <v>1.34</v>
      </c>
      <c r="K1792" s="546"/>
    </row>
    <row r="1793" spans="1:11" s="89" customFormat="1" ht="25" x14ac:dyDescent="0.3">
      <c r="A1793" s="547" t="s">
        <v>433</v>
      </c>
      <c r="B1793" s="548" t="s">
        <v>1217</v>
      </c>
      <c r="C1793" s="547" t="s">
        <v>19</v>
      </c>
      <c r="D1793" s="547" t="s">
        <v>3595</v>
      </c>
      <c r="E1793" s="688" t="s">
        <v>531</v>
      </c>
      <c r="F1793" s="688"/>
      <c r="G1793" s="549" t="s">
        <v>423</v>
      </c>
      <c r="H1793" s="550">
        <v>1</v>
      </c>
      <c r="I1793" s="551">
        <v>0.04</v>
      </c>
      <c r="J1793" s="551">
        <v>0.04</v>
      </c>
      <c r="K1793" s="546"/>
    </row>
    <row r="1794" spans="1:11" s="89" customFormat="1" ht="25" x14ac:dyDescent="0.3">
      <c r="A1794" s="547" t="s">
        <v>433</v>
      </c>
      <c r="B1794" s="548" t="s">
        <v>1218</v>
      </c>
      <c r="C1794" s="547" t="s">
        <v>19</v>
      </c>
      <c r="D1794" s="547" t="s">
        <v>1219</v>
      </c>
      <c r="E1794" s="688" t="s">
        <v>442</v>
      </c>
      <c r="F1794" s="688"/>
      <c r="G1794" s="549" t="s">
        <v>423</v>
      </c>
      <c r="H1794" s="550">
        <v>1</v>
      </c>
      <c r="I1794" s="551">
        <v>0.82</v>
      </c>
      <c r="J1794" s="551">
        <v>0.82</v>
      </c>
      <c r="K1794" s="546"/>
    </row>
    <row r="1795" spans="1:11" ht="25.5" thickBot="1" x14ac:dyDescent="0.35">
      <c r="A1795" s="547" t="s">
        <v>433</v>
      </c>
      <c r="B1795" s="548" t="s">
        <v>1220</v>
      </c>
      <c r="C1795" s="547" t="s">
        <v>19</v>
      </c>
      <c r="D1795" s="547" t="s">
        <v>1221</v>
      </c>
      <c r="E1795" s="688" t="s">
        <v>442</v>
      </c>
      <c r="F1795" s="688"/>
      <c r="G1795" s="549" t="s">
        <v>423</v>
      </c>
      <c r="H1795" s="550">
        <v>1</v>
      </c>
      <c r="I1795" s="551">
        <v>1.24</v>
      </c>
      <c r="J1795" s="551">
        <v>1.24</v>
      </c>
      <c r="K1795" s="552"/>
    </row>
    <row r="1796" spans="1:11" s="89" customFormat="1" ht="14.5" thickTop="1" x14ac:dyDescent="0.3">
      <c r="A1796" s="562"/>
      <c r="B1796" s="562"/>
      <c r="C1796" s="562"/>
      <c r="D1796" s="562"/>
      <c r="E1796" s="562"/>
      <c r="F1796" s="562"/>
      <c r="G1796" s="562"/>
      <c r="H1796" s="562"/>
      <c r="I1796" s="562"/>
      <c r="J1796" s="562"/>
      <c r="K1796" s="546"/>
    </row>
    <row r="1797" spans="1:11" x14ac:dyDescent="0.3">
      <c r="A1797" s="553"/>
      <c r="B1797" s="554" t="s">
        <v>4</v>
      </c>
      <c r="C1797" s="553" t="s">
        <v>5</v>
      </c>
      <c r="D1797" s="553" t="s">
        <v>6</v>
      </c>
      <c r="E1797" s="691" t="s">
        <v>427</v>
      </c>
      <c r="F1797" s="691"/>
      <c r="G1797" s="555" t="s">
        <v>7</v>
      </c>
      <c r="H1797" s="554" t="s">
        <v>8</v>
      </c>
      <c r="I1797" s="554" t="s">
        <v>9</v>
      </c>
      <c r="J1797" s="554" t="s">
        <v>11</v>
      </c>
      <c r="K1797" s="552"/>
    </row>
    <row r="1798" spans="1:11" s="89" customFormat="1" ht="15" customHeight="1" x14ac:dyDescent="0.3">
      <c r="A1798" s="607" t="s">
        <v>428</v>
      </c>
      <c r="B1798" s="608" t="s">
        <v>629</v>
      </c>
      <c r="C1798" s="607" t="s">
        <v>19</v>
      </c>
      <c r="D1798" s="607" t="s">
        <v>630</v>
      </c>
      <c r="E1798" s="690" t="s">
        <v>429</v>
      </c>
      <c r="F1798" s="690"/>
      <c r="G1798" s="609" t="s">
        <v>423</v>
      </c>
      <c r="H1798" s="610">
        <v>1</v>
      </c>
      <c r="I1798" s="611">
        <v>24.12</v>
      </c>
      <c r="J1798" s="611">
        <v>24.12</v>
      </c>
      <c r="K1798" s="546"/>
    </row>
    <row r="1799" spans="1:11" s="89" customFormat="1" ht="15" customHeight="1" x14ac:dyDescent="0.3">
      <c r="A1799" s="547" t="s">
        <v>430</v>
      </c>
      <c r="B1799" s="548" t="s">
        <v>1222</v>
      </c>
      <c r="C1799" s="547" t="s">
        <v>19</v>
      </c>
      <c r="D1799" s="547" t="s">
        <v>1223</v>
      </c>
      <c r="E1799" s="688" t="s">
        <v>429</v>
      </c>
      <c r="F1799" s="688"/>
      <c r="G1799" s="549" t="s">
        <v>423</v>
      </c>
      <c r="H1799" s="550">
        <v>1</v>
      </c>
      <c r="I1799" s="551">
        <v>0.25</v>
      </c>
      <c r="J1799" s="551">
        <v>0.25</v>
      </c>
      <c r="K1799" s="546"/>
    </row>
    <row r="1800" spans="1:11" s="89" customFormat="1" x14ac:dyDescent="0.3">
      <c r="A1800" s="547" t="s">
        <v>433</v>
      </c>
      <c r="B1800" s="548" t="s">
        <v>1224</v>
      </c>
      <c r="C1800" s="547" t="s">
        <v>19</v>
      </c>
      <c r="D1800" s="547" t="s">
        <v>1225</v>
      </c>
      <c r="E1800" s="688" t="s">
        <v>436</v>
      </c>
      <c r="F1800" s="688"/>
      <c r="G1800" s="549" t="s">
        <v>423</v>
      </c>
      <c r="H1800" s="550">
        <v>1</v>
      </c>
      <c r="I1800" s="551">
        <v>15.27</v>
      </c>
      <c r="J1800" s="551">
        <v>15.27</v>
      </c>
      <c r="K1800" s="546"/>
    </row>
    <row r="1801" spans="1:11" ht="25" x14ac:dyDescent="0.3">
      <c r="A1801" s="547" t="s">
        <v>433</v>
      </c>
      <c r="B1801" s="548" t="s">
        <v>1213</v>
      </c>
      <c r="C1801" s="547" t="s">
        <v>19</v>
      </c>
      <c r="D1801" s="547" t="s">
        <v>3592</v>
      </c>
      <c r="E1801" s="688" t="s">
        <v>862</v>
      </c>
      <c r="F1801" s="688"/>
      <c r="G1801" s="549" t="s">
        <v>423</v>
      </c>
      <c r="H1801" s="550">
        <v>1</v>
      </c>
      <c r="I1801" s="551">
        <v>3.8</v>
      </c>
      <c r="J1801" s="551">
        <v>3.8</v>
      </c>
      <c r="K1801" s="552"/>
    </row>
    <row r="1802" spans="1:11" s="89" customFormat="1" ht="25" x14ac:dyDescent="0.3">
      <c r="A1802" s="547" t="s">
        <v>433</v>
      </c>
      <c r="B1802" s="548" t="s">
        <v>1214</v>
      </c>
      <c r="C1802" s="547" t="s">
        <v>19</v>
      </c>
      <c r="D1802" s="547" t="s">
        <v>3593</v>
      </c>
      <c r="E1802" s="688" t="s">
        <v>1215</v>
      </c>
      <c r="F1802" s="688"/>
      <c r="G1802" s="549" t="s">
        <v>423</v>
      </c>
      <c r="H1802" s="550">
        <v>1</v>
      </c>
      <c r="I1802" s="551">
        <v>1.5</v>
      </c>
      <c r="J1802" s="551">
        <v>1.5</v>
      </c>
      <c r="K1802" s="546"/>
    </row>
    <row r="1803" spans="1:11" ht="25" x14ac:dyDescent="0.3">
      <c r="A1803" s="547" t="s">
        <v>433</v>
      </c>
      <c r="B1803" s="548" t="s">
        <v>1216</v>
      </c>
      <c r="C1803" s="547" t="s">
        <v>19</v>
      </c>
      <c r="D1803" s="547" t="s">
        <v>3594</v>
      </c>
      <c r="E1803" s="688" t="s">
        <v>862</v>
      </c>
      <c r="F1803" s="688"/>
      <c r="G1803" s="549" t="s">
        <v>423</v>
      </c>
      <c r="H1803" s="550">
        <v>1</v>
      </c>
      <c r="I1803" s="551">
        <v>1.34</v>
      </c>
      <c r="J1803" s="551">
        <v>1.34</v>
      </c>
      <c r="K1803" s="552"/>
    </row>
    <row r="1804" spans="1:11" s="89" customFormat="1" ht="25" x14ac:dyDescent="0.3">
      <c r="A1804" s="547" t="s">
        <v>433</v>
      </c>
      <c r="B1804" s="548" t="s">
        <v>1217</v>
      </c>
      <c r="C1804" s="547" t="s">
        <v>19</v>
      </c>
      <c r="D1804" s="547" t="s">
        <v>3595</v>
      </c>
      <c r="E1804" s="688" t="s">
        <v>531</v>
      </c>
      <c r="F1804" s="688"/>
      <c r="G1804" s="549" t="s">
        <v>423</v>
      </c>
      <c r="H1804" s="550">
        <v>1</v>
      </c>
      <c r="I1804" s="551">
        <v>0.04</v>
      </c>
      <c r="J1804" s="551">
        <v>0.04</v>
      </c>
      <c r="K1804" s="546"/>
    </row>
    <row r="1805" spans="1:11" ht="25" x14ac:dyDescent="0.3">
      <c r="A1805" s="547" t="s">
        <v>433</v>
      </c>
      <c r="B1805" s="548" t="s">
        <v>1226</v>
      </c>
      <c r="C1805" s="547" t="s">
        <v>19</v>
      </c>
      <c r="D1805" s="547" t="s">
        <v>1227</v>
      </c>
      <c r="E1805" s="688" t="s">
        <v>442</v>
      </c>
      <c r="F1805" s="688"/>
      <c r="G1805" s="549" t="s">
        <v>423</v>
      </c>
      <c r="H1805" s="550">
        <v>1</v>
      </c>
      <c r="I1805" s="551">
        <v>0.49</v>
      </c>
      <c r="J1805" s="551">
        <v>0.49</v>
      </c>
      <c r="K1805" s="552"/>
    </row>
    <row r="1806" spans="1:11" s="89" customFormat="1" ht="25.5" thickBot="1" x14ac:dyDescent="0.35">
      <c r="A1806" s="547" t="s">
        <v>433</v>
      </c>
      <c r="B1806" s="548" t="s">
        <v>1228</v>
      </c>
      <c r="C1806" s="547" t="s">
        <v>19</v>
      </c>
      <c r="D1806" s="547" t="s">
        <v>1229</v>
      </c>
      <c r="E1806" s="688" t="s">
        <v>442</v>
      </c>
      <c r="F1806" s="688"/>
      <c r="G1806" s="549" t="s">
        <v>423</v>
      </c>
      <c r="H1806" s="550">
        <v>1</v>
      </c>
      <c r="I1806" s="551">
        <v>1.43</v>
      </c>
      <c r="J1806" s="551">
        <v>1.43</v>
      </c>
      <c r="K1806" s="546"/>
    </row>
    <row r="1807" spans="1:11" ht="14.5" thickTop="1" x14ac:dyDescent="0.3">
      <c r="A1807" s="562"/>
      <c r="B1807" s="562"/>
      <c r="C1807" s="562"/>
      <c r="D1807" s="562"/>
      <c r="E1807" s="562"/>
      <c r="F1807" s="562"/>
      <c r="G1807" s="562"/>
      <c r="H1807" s="562"/>
      <c r="I1807" s="562"/>
      <c r="J1807" s="562"/>
      <c r="K1807" s="552"/>
    </row>
    <row r="1808" spans="1:11" x14ac:dyDescent="0.3">
      <c r="A1808" s="553"/>
      <c r="B1808" s="554" t="s">
        <v>4</v>
      </c>
      <c r="C1808" s="553" t="s">
        <v>5</v>
      </c>
      <c r="D1808" s="553" t="s">
        <v>6</v>
      </c>
      <c r="E1808" s="691" t="s">
        <v>427</v>
      </c>
      <c r="F1808" s="691"/>
      <c r="G1808" s="555" t="s">
        <v>7</v>
      </c>
      <c r="H1808" s="554" t="s">
        <v>8</v>
      </c>
      <c r="I1808" s="554" t="s">
        <v>9</v>
      </c>
      <c r="J1808" s="554" t="s">
        <v>11</v>
      </c>
      <c r="K1808" s="552"/>
    </row>
    <row r="1809" spans="1:11" ht="25" x14ac:dyDescent="0.3">
      <c r="A1809" s="607" t="s">
        <v>428</v>
      </c>
      <c r="B1809" s="608" t="s">
        <v>793</v>
      </c>
      <c r="C1809" s="607" t="s">
        <v>19</v>
      </c>
      <c r="D1809" s="607" t="s">
        <v>794</v>
      </c>
      <c r="E1809" s="690" t="s">
        <v>429</v>
      </c>
      <c r="F1809" s="690"/>
      <c r="G1809" s="609" t="s">
        <v>423</v>
      </c>
      <c r="H1809" s="610">
        <v>1</v>
      </c>
      <c r="I1809" s="611">
        <v>24.15</v>
      </c>
      <c r="J1809" s="611">
        <v>24.15</v>
      </c>
      <c r="K1809" s="552"/>
    </row>
    <row r="1810" spans="1:11" ht="14.25" customHeight="1" x14ac:dyDescent="0.3">
      <c r="A1810" s="547" t="s">
        <v>430</v>
      </c>
      <c r="B1810" s="548" t="s">
        <v>1230</v>
      </c>
      <c r="C1810" s="547" t="s">
        <v>19</v>
      </c>
      <c r="D1810" s="547" t="s">
        <v>1231</v>
      </c>
      <c r="E1810" s="688" t="s">
        <v>429</v>
      </c>
      <c r="F1810" s="688"/>
      <c r="G1810" s="549" t="s">
        <v>423</v>
      </c>
      <c r="H1810" s="550">
        <v>1</v>
      </c>
      <c r="I1810" s="551">
        <v>0.2</v>
      </c>
      <c r="J1810" s="551">
        <v>0.2</v>
      </c>
      <c r="K1810" s="552"/>
    </row>
    <row r="1811" spans="1:11" s="89" customFormat="1" x14ac:dyDescent="0.3">
      <c r="A1811" s="547" t="s">
        <v>433</v>
      </c>
      <c r="B1811" s="548" t="s">
        <v>1232</v>
      </c>
      <c r="C1811" s="547" t="s">
        <v>19</v>
      </c>
      <c r="D1811" s="547" t="s">
        <v>1233</v>
      </c>
      <c r="E1811" s="688" t="s">
        <v>436</v>
      </c>
      <c r="F1811" s="688"/>
      <c r="G1811" s="549" t="s">
        <v>423</v>
      </c>
      <c r="H1811" s="550">
        <v>1</v>
      </c>
      <c r="I1811" s="551">
        <v>15.21</v>
      </c>
      <c r="J1811" s="551">
        <v>15.21</v>
      </c>
      <c r="K1811" s="546"/>
    </row>
    <row r="1812" spans="1:11" ht="25" x14ac:dyDescent="0.3">
      <c r="A1812" s="547" t="s">
        <v>433</v>
      </c>
      <c r="B1812" s="548" t="s">
        <v>1213</v>
      </c>
      <c r="C1812" s="547" t="s">
        <v>19</v>
      </c>
      <c r="D1812" s="547" t="s">
        <v>3592</v>
      </c>
      <c r="E1812" s="688" t="s">
        <v>862</v>
      </c>
      <c r="F1812" s="688"/>
      <c r="G1812" s="549" t="s">
        <v>423</v>
      </c>
      <c r="H1812" s="550">
        <v>1</v>
      </c>
      <c r="I1812" s="551">
        <v>3.8</v>
      </c>
      <c r="J1812" s="551">
        <v>3.8</v>
      </c>
      <c r="K1812" s="552"/>
    </row>
    <row r="1813" spans="1:11" ht="25" x14ac:dyDescent="0.3">
      <c r="A1813" s="547" t="s">
        <v>433</v>
      </c>
      <c r="B1813" s="548" t="s">
        <v>1214</v>
      </c>
      <c r="C1813" s="547" t="s">
        <v>19</v>
      </c>
      <c r="D1813" s="547" t="s">
        <v>3593</v>
      </c>
      <c r="E1813" s="688" t="s">
        <v>1215</v>
      </c>
      <c r="F1813" s="688"/>
      <c r="G1813" s="549" t="s">
        <v>423</v>
      </c>
      <c r="H1813" s="550">
        <v>1</v>
      </c>
      <c r="I1813" s="551">
        <v>1.5</v>
      </c>
      <c r="J1813" s="551">
        <v>1.5</v>
      </c>
      <c r="K1813" s="552"/>
    </row>
    <row r="1814" spans="1:11" ht="25" x14ac:dyDescent="0.3">
      <c r="A1814" s="547" t="s">
        <v>433</v>
      </c>
      <c r="B1814" s="548" t="s">
        <v>1216</v>
      </c>
      <c r="C1814" s="547" t="s">
        <v>19</v>
      </c>
      <c r="D1814" s="547" t="s">
        <v>3594</v>
      </c>
      <c r="E1814" s="688" t="s">
        <v>862</v>
      </c>
      <c r="F1814" s="688"/>
      <c r="G1814" s="549" t="s">
        <v>423</v>
      </c>
      <c r="H1814" s="550">
        <v>1</v>
      </c>
      <c r="I1814" s="551">
        <v>1.34</v>
      </c>
      <c r="J1814" s="551">
        <v>1.34</v>
      </c>
      <c r="K1814" s="552"/>
    </row>
    <row r="1815" spans="1:11" s="89" customFormat="1" ht="15" customHeight="1" x14ac:dyDescent="0.3">
      <c r="A1815" s="547" t="s">
        <v>433</v>
      </c>
      <c r="B1815" s="548" t="s">
        <v>1217</v>
      </c>
      <c r="C1815" s="547" t="s">
        <v>19</v>
      </c>
      <c r="D1815" s="547" t="s">
        <v>3595</v>
      </c>
      <c r="E1815" s="688" t="s">
        <v>531</v>
      </c>
      <c r="F1815" s="688"/>
      <c r="G1815" s="549" t="s">
        <v>423</v>
      </c>
      <c r="H1815" s="550">
        <v>1</v>
      </c>
      <c r="I1815" s="551">
        <v>0.04</v>
      </c>
      <c r="J1815" s="551">
        <v>0.04</v>
      </c>
      <c r="K1815" s="546"/>
    </row>
    <row r="1816" spans="1:11" ht="25" x14ac:dyDescent="0.3">
      <c r="A1816" s="547" t="s">
        <v>433</v>
      </c>
      <c r="B1816" s="548" t="s">
        <v>1218</v>
      </c>
      <c r="C1816" s="547" t="s">
        <v>19</v>
      </c>
      <c r="D1816" s="547" t="s">
        <v>1219</v>
      </c>
      <c r="E1816" s="688" t="s">
        <v>442</v>
      </c>
      <c r="F1816" s="688"/>
      <c r="G1816" s="549" t="s">
        <v>423</v>
      </c>
      <c r="H1816" s="550">
        <v>1</v>
      </c>
      <c r="I1816" s="551">
        <v>0.82</v>
      </c>
      <c r="J1816" s="551">
        <v>0.82</v>
      </c>
      <c r="K1816" s="552"/>
    </row>
    <row r="1817" spans="1:11" s="89" customFormat="1" ht="25.5" thickBot="1" x14ac:dyDescent="0.35">
      <c r="A1817" s="547" t="s">
        <v>433</v>
      </c>
      <c r="B1817" s="548" t="s">
        <v>1220</v>
      </c>
      <c r="C1817" s="547" t="s">
        <v>19</v>
      </c>
      <c r="D1817" s="547" t="s">
        <v>1221</v>
      </c>
      <c r="E1817" s="688" t="s">
        <v>442</v>
      </c>
      <c r="F1817" s="688"/>
      <c r="G1817" s="549" t="s">
        <v>423</v>
      </c>
      <c r="H1817" s="550">
        <v>1</v>
      </c>
      <c r="I1817" s="551">
        <v>1.24</v>
      </c>
      <c r="J1817" s="551">
        <v>1.24</v>
      </c>
      <c r="K1817" s="546"/>
    </row>
    <row r="1818" spans="1:11" ht="14.5" thickTop="1" x14ac:dyDescent="0.3">
      <c r="A1818" s="562"/>
      <c r="B1818" s="562"/>
      <c r="C1818" s="562"/>
      <c r="D1818" s="562"/>
      <c r="E1818" s="562"/>
      <c r="F1818" s="562"/>
      <c r="G1818" s="562"/>
      <c r="H1818" s="562"/>
      <c r="I1818" s="562"/>
      <c r="J1818" s="562"/>
      <c r="K1818" s="552"/>
    </row>
    <row r="1819" spans="1:11" x14ac:dyDescent="0.3">
      <c r="A1819" s="553"/>
      <c r="B1819" s="554" t="s">
        <v>4</v>
      </c>
      <c r="C1819" s="553" t="s">
        <v>5</v>
      </c>
      <c r="D1819" s="553" t="s">
        <v>6</v>
      </c>
      <c r="E1819" s="691" t="s">
        <v>427</v>
      </c>
      <c r="F1819" s="691"/>
      <c r="G1819" s="555" t="s">
        <v>7</v>
      </c>
      <c r="H1819" s="554" t="s">
        <v>8</v>
      </c>
      <c r="I1819" s="554" t="s">
        <v>9</v>
      </c>
      <c r="J1819" s="554" t="s">
        <v>11</v>
      </c>
      <c r="K1819" s="552"/>
    </row>
    <row r="1820" spans="1:11" ht="37.5" x14ac:dyDescent="0.3">
      <c r="A1820" s="607" t="s">
        <v>428</v>
      </c>
      <c r="B1820" s="608" t="s">
        <v>701</v>
      </c>
      <c r="C1820" s="607" t="s">
        <v>19</v>
      </c>
      <c r="D1820" s="607" t="s">
        <v>702</v>
      </c>
      <c r="E1820" s="690" t="s">
        <v>619</v>
      </c>
      <c r="F1820" s="690"/>
      <c r="G1820" s="609" t="s">
        <v>532</v>
      </c>
      <c r="H1820" s="610">
        <v>1</v>
      </c>
      <c r="I1820" s="611">
        <v>1099.54</v>
      </c>
      <c r="J1820" s="611">
        <v>1099.54</v>
      </c>
      <c r="K1820" s="552"/>
    </row>
    <row r="1821" spans="1:11" ht="50" x14ac:dyDescent="0.3">
      <c r="A1821" s="547" t="s">
        <v>430</v>
      </c>
      <c r="B1821" s="548" t="s">
        <v>1042</v>
      </c>
      <c r="C1821" s="547" t="s">
        <v>19</v>
      </c>
      <c r="D1821" s="547" t="s">
        <v>1043</v>
      </c>
      <c r="E1821" s="688" t="s">
        <v>429</v>
      </c>
      <c r="F1821" s="688"/>
      <c r="G1821" s="549" t="s">
        <v>532</v>
      </c>
      <c r="H1821" s="550">
        <v>0.13</v>
      </c>
      <c r="I1821" s="551">
        <v>498.8</v>
      </c>
      <c r="J1821" s="551">
        <v>64.84</v>
      </c>
      <c r="K1821" s="552"/>
    </row>
    <row r="1822" spans="1:11" ht="14.25" customHeight="1" x14ac:dyDescent="0.3">
      <c r="A1822" s="547" t="s">
        <v>430</v>
      </c>
      <c r="B1822" s="548" t="s">
        <v>760</v>
      </c>
      <c r="C1822" s="547" t="s">
        <v>19</v>
      </c>
      <c r="D1822" s="547" t="s">
        <v>761</v>
      </c>
      <c r="E1822" s="688" t="s">
        <v>429</v>
      </c>
      <c r="F1822" s="688"/>
      <c r="G1822" s="549" t="s">
        <v>423</v>
      </c>
      <c r="H1822" s="550">
        <v>10.263</v>
      </c>
      <c r="I1822" s="551">
        <v>31.1</v>
      </c>
      <c r="J1822" s="551">
        <v>319.17</v>
      </c>
      <c r="K1822" s="552"/>
    </row>
    <row r="1823" spans="1:11" ht="14.25" customHeight="1" x14ac:dyDescent="0.3">
      <c r="A1823" s="547" t="s">
        <v>430</v>
      </c>
      <c r="B1823" s="548" t="s">
        <v>559</v>
      </c>
      <c r="C1823" s="547" t="s">
        <v>19</v>
      </c>
      <c r="D1823" s="547" t="s">
        <v>560</v>
      </c>
      <c r="E1823" s="688" t="s">
        <v>429</v>
      </c>
      <c r="F1823" s="688"/>
      <c r="G1823" s="549" t="s">
        <v>423</v>
      </c>
      <c r="H1823" s="550">
        <v>5.1319999999999997</v>
      </c>
      <c r="I1823" s="551">
        <v>23.4</v>
      </c>
      <c r="J1823" s="551">
        <v>120.08</v>
      </c>
      <c r="K1823" s="552"/>
    </row>
    <row r="1824" spans="1:11" ht="25.5" thickBot="1" x14ac:dyDescent="0.35">
      <c r="A1824" s="547" t="s">
        <v>433</v>
      </c>
      <c r="B1824" s="548" t="s">
        <v>1234</v>
      </c>
      <c r="C1824" s="547" t="s">
        <v>19</v>
      </c>
      <c r="D1824" s="547" t="s">
        <v>1235</v>
      </c>
      <c r="E1824" s="688" t="s">
        <v>438</v>
      </c>
      <c r="F1824" s="688"/>
      <c r="G1824" s="549" t="s">
        <v>81</v>
      </c>
      <c r="H1824" s="550">
        <v>122.27</v>
      </c>
      <c r="I1824" s="551">
        <v>4.87</v>
      </c>
      <c r="J1824" s="551">
        <v>595.45000000000005</v>
      </c>
      <c r="K1824" s="552"/>
    </row>
    <row r="1825" spans="1:11" ht="14.5" thickTop="1" x14ac:dyDescent="0.3">
      <c r="A1825" s="562"/>
      <c r="B1825" s="562"/>
      <c r="C1825" s="562"/>
      <c r="D1825" s="562"/>
      <c r="E1825" s="562"/>
      <c r="F1825" s="562"/>
      <c r="G1825" s="562"/>
      <c r="H1825" s="562"/>
      <c r="I1825" s="562"/>
      <c r="J1825" s="562"/>
      <c r="K1825" s="552"/>
    </row>
    <row r="1826" spans="1:11" s="89" customFormat="1" x14ac:dyDescent="0.3">
      <c r="A1826" s="553"/>
      <c r="B1826" s="554" t="s">
        <v>4</v>
      </c>
      <c r="C1826" s="553" t="s">
        <v>5</v>
      </c>
      <c r="D1826" s="553" t="s">
        <v>6</v>
      </c>
      <c r="E1826" s="691" t="s">
        <v>427</v>
      </c>
      <c r="F1826" s="691"/>
      <c r="G1826" s="555" t="s">
        <v>7</v>
      </c>
      <c r="H1826" s="554" t="s">
        <v>8</v>
      </c>
      <c r="I1826" s="554" t="s">
        <v>9</v>
      </c>
      <c r="J1826" s="554" t="s">
        <v>11</v>
      </c>
      <c r="K1826" s="546"/>
    </row>
    <row r="1827" spans="1:11" s="89" customFormat="1" ht="37.5" x14ac:dyDescent="0.3">
      <c r="A1827" s="607" t="s">
        <v>428</v>
      </c>
      <c r="B1827" s="608" t="s">
        <v>1238</v>
      </c>
      <c r="C1827" s="607" t="s">
        <v>19</v>
      </c>
      <c r="D1827" s="607" t="s">
        <v>1239</v>
      </c>
      <c r="E1827" s="690" t="s">
        <v>429</v>
      </c>
      <c r="F1827" s="690"/>
      <c r="G1827" s="609" t="s">
        <v>532</v>
      </c>
      <c r="H1827" s="610">
        <v>1</v>
      </c>
      <c r="I1827" s="611">
        <v>648.42999999999995</v>
      </c>
      <c r="J1827" s="611">
        <v>648.42999999999995</v>
      </c>
      <c r="K1827" s="546"/>
    </row>
    <row r="1828" spans="1:11" ht="14.25" customHeight="1" x14ac:dyDescent="0.3">
      <c r="A1828" s="547" t="s">
        <v>430</v>
      </c>
      <c r="B1828" s="548" t="s">
        <v>559</v>
      </c>
      <c r="C1828" s="547" t="s">
        <v>19</v>
      </c>
      <c r="D1828" s="547" t="s">
        <v>560</v>
      </c>
      <c r="E1828" s="688" t="s">
        <v>429</v>
      </c>
      <c r="F1828" s="688"/>
      <c r="G1828" s="549" t="s">
        <v>423</v>
      </c>
      <c r="H1828" s="550">
        <v>11.23</v>
      </c>
      <c r="I1828" s="551">
        <v>23.4</v>
      </c>
      <c r="J1828" s="551">
        <v>262.77999999999997</v>
      </c>
      <c r="K1828" s="552"/>
    </row>
    <row r="1829" spans="1:11" x14ac:dyDescent="0.3">
      <c r="A1829" s="547" t="s">
        <v>433</v>
      </c>
      <c r="B1829" s="548" t="s">
        <v>820</v>
      </c>
      <c r="C1829" s="547" t="s">
        <v>115</v>
      </c>
      <c r="D1829" s="547" t="s">
        <v>821</v>
      </c>
      <c r="E1829" s="688" t="s">
        <v>438</v>
      </c>
      <c r="F1829" s="688"/>
      <c r="G1829" s="549" t="s">
        <v>532</v>
      </c>
      <c r="H1829" s="550">
        <v>1.1599999999999999</v>
      </c>
      <c r="I1829" s="551">
        <v>149.36019999999999</v>
      </c>
      <c r="J1829" s="551">
        <v>173.25</v>
      </c>
      <c r="K1829" s="552"/>
    </row>
    <row r="1830" spans="1:11" x14ac:dyDescent="0.3">
      <c r="A1830" s="547" t="s">
        <v>433</v>
      </c>
      <c r="B1830" s="548" t="s">
        <v>263</v>
      </c>
      <c r="C1830" s="547" t="s">
        <v>115</v>
      </c>
      <c r="D1830" s="547" t="s">
        <v>3888</v>
      </c>
      <c r="E1830" s="688" t="s">
        <v>438</v>
      </c>
      <c r="F1830" s="688"/>
      <c r="G1830" s="549" t="s">
        <v>655</v>
      </c>
      <c r="H1830" s="550">
        <v>116.4</v>
      </c>
      <c r="I1830" s="551">
        <v>0.54959999999999998</v>
      </c>
      <c r="J1830" s="551">
        <v>63.97</v>
      </c>
      <c r="K1830" s="552"/>
    </row>
    <row r="1831" spans="1:11" s="89" customFormat="1" ht="14.5" thickBot="1" x14ac:dyDescent="0.35">
      <c r="A1831" s="547" t="s">
        <v>433</v>
      </c>
      <c r="B1831" s="548" t="s">
        <v>3844</v>
      </c>
      <c r="C1831" s="547" t="s">
        <v>115</v>
      </c>
      <c r="D1831" s="547" t="s">
        <v>3845</v>
      </c>
      <c r="E1831" s="688" t="s">
        <v>438</v>
      </c>
      <c r="F1831" s="688"/>
      <c r="G1831" s="549" t="s">
        <v>655</v>
      </c>
      <c r="H1831" s="550">
        <v>261.89</v>
      </c>
      <c r="I1831" s="551">
        <v>0.56679999999999997</v>
      </c>
      <c r="J1831" s="551">
        <v>148.43</v>
      </c>
      <c r="K1831" s="546"/>
    </row>
    <row r="1832" spans="1:11" ht="14.5" thickTop="1" x14ac:dyDescent="0.3">
      <c r="A1832" s="562"/>
      <c r="B1832" s="562"/>
      <c r="C1832" s="562"/>
      <c r="D1832" s="562"/>
      <c r="E1832" s="562"/>
      <c r="F1832" s="562"/>
      <c r="G1832" s="562"/>
      <c r="H1832" s="562"/>
      <c r="I1832" s="562"/>
      <c r="J1832" s="562"/>
      <c r="K1832" s="552"/>
    </row>
    <row r="1833" spans="1:11" x14ac:dyDescent="0.3">
      <c r="A1833" s="553"/>
      <c r="B1833" s="554" t="s">
        <v>4</v>
      </c>
      <c r="C1833" s="553" t="s">
        <v>5</v>
      </c>
      <c r="D1833" s="553" t="s">
        <v>6</v>
      </c>
      <c r="E1833" s="691" t="s">
        <v>427</v>
      </c>
      <c r="F1833" s="691"/>
      <c r="G1833" s="555" t="s">
        <v>7</v>
      </c>
      <c r="H1833" s="554" t="s">
        <v>8</v>
      </c>
      <c r="I1833" s="554" t="s">
        <v>9</v>
      </c>
      <c r="J1833" s="554" t="s">
        <v>11</v>
      </c>
      <c r="K1833" s="552"/>
    </row>
    <row r="1834" spans="1:11" ht="14.25" customHeight="1" x14ac:dyDescent="0.3">
      <c r="A1834" s="607" t="s">
        <v>428</v>
      </c>
      <c r="B1834" s="608" t="s">
        <v>1042</v>
      </c>
      <c r="C1834" s="607" t="s">
        <v>19</v>
      </c>
      <c r="D1834" s="607" t="s">
        <v>1043</v>
      </c>
      <c r="E1834" s="690" t="s">
        <v>429</v>
      </c>
      <c r="F1834" s="690"/>
      <c r="G1834" s="609" t="s">
        <v>532</v>
      </c>
      <c r="H1834" s="610">
        <v>1</v>
      </c>
      <c r="I1834" s="611">
        <v>498.8</v>
      </c>
      <c r="J1834" s="611">
        <v>498.8</v>
      </c>
      <c r="K1834" s="552"/>
    </row>
    <row r="1835" spans="1:11" ht="14.25" customHeight="1" x14ac:dyDescent="0.3">
      <c r="A1835" s="547" t="s">
        <v>430</v>
      </c>
      <c r="B1835" s="548" t="s">
        <v>816</v>
      </c>
      <c r="C1835" s="547" t="s">
        <v>19</v>
      </c>
      <c r="D1835" s="547" t="s">
        <v>817</v>
      </c>
      <c r="E1835" s="688" t="s">
        <v>429</v>
      </c>
      <c r="F1835" s="688"/>
      <c r="G1835" s="549" t="s">
        <v>423</v>
      </c>
      <c r="H1835" s="550">
        <v>4.5</v>
      </c>
      <c r="I1835" s="551">
        <v>25.72</v>
      </c>
      <c r="J1835" s="551">
        <v>115.74</v>
      </c>
      <c r="K1835" s="552"/>
    </row>
    <row r="1836" spans="1:11" ht="38.25" customHeight="1" x14ac:dyDescent="0.3">
      <c r="A1836" s="547" t="s">
        <v>430</v>
      </c>
      <c r="B1836" s="548" t="s">
        <v>1163</v>
      </c>
      <c r="C1836" s="547" t="s">
        <v>19</v>
      </c>
      <c r="D1836" s="547" t="s">
        <v>3596</v>
      </c>
      <c r="E1836" s="688" t="s">
        <v>461</v>
      </c>
      <c r="F1836" s="688"/>
      <c r="G1836" s="549" t="s">
        <v>95</v>
      </c>
      <c r="H1836" s="550">
        <v>1.05</v>
      </c>
      <c r="I1836" s="551">
        <v>1.66</v>
      </c>
      <c r="J1836" s="551">
        <v>1.74</v>
      </c>
      <c r="K1836" s="552"/>
    </row>
    <row r="1837" spans="1:11" s="89" customFormat="1" ht="38.25" customHeight="1" x14ac:dyDescent="0.3">
      <c r="A1837" s="547" t="s">
        <v>430</v>
      </c>
      <c r="B1837" s="548" t="s">
        <v>1164</v>
      </c>
      <c r="C1837" s="547" t="s">
        <v>19</v>
      </c>
      <c r="D1837" s="547" t="s">
        <v>3597</v>
      </c>
      <c r="E1837" s="688" t="s">
        <v>461</v>
      </c>
      <c r="F1837" s="688"/>
      <c r="G1837" s="549" t="s">
        <v>102</v>
      </c>
      <c r="H1837" s="550">
        <v>3.45</v>
      </c>
      <c r="I1837" s="551">
        <v>0.4</v>
      </c>
      <c r="J1837" s="551">
        <v>1.38</v>
      </c>
      <c r="K1837" s="546"/>
    </row>
    <row r="1838" spans="1:11" x14ac:dyDescent="0.3">
      <c r="A1838" s="547" t="s">
        <v>433</v>
      </c>
      <c r="B1838" s="548" t="s">
        <v>820</v>
      </c>
      <c r="C1838" s="547" t="s">
        <v>115</v>
      </c>
      <c r="D1838" s="547" t="s">
        <v>821</v>
      </c>
      <c r="E1838" s="688" t="s">
        <v>438</v>
      </c>
      <c r="F1838" s="688"/>
      <c r="G1838" s="549" t="s">
        <v>532</v>
      </c>
      <c r="H1838" s="550">
        <v>1.1599999999999999</v>
      </c>
      <c r="I1838" s="551">
        <v>149.36019999999999</v>
      </c>
      <c r="J1838" s="551">
        <v>173.25</v>
      </c>
      <c r="K1838" s="552"/>
    </row>
    <row r="1839" spans="1:11" x14ac:dyDescent="0.3">
      <c r="A1839" s="547" t="s">
        <v>433</v>
      </c>
      <c r="B1839" s="548" t="s">
        <v>263</v>
      </c>
      <c r="C1839" s="547" t="s">
        <v>115</v>
      </c>
      <c r="D1839" s="547" t="s">
        <v>3888</v>
      </c>
      <c r="E1839" s="688" t="s">
        <v>438</v>
      </c>
      <c r="F1839" s="688"/>
      <c r="G1839" s="549" t="s">
        <v>655</v>
      </c>
      <c r="H1839" s="550">
        <v>174.1</v>
      </c>
      <c r="I1839" s="551">
        <v>0.54959999999999998</v>
      </c>
      <c r="J1839" s="551">
        <v>95.68</v>
      </c>
      <c r="K1839" s="552"/>
    </row>
    <row r="1840" spans="1:11" ht="14.25" customHeight="1" thickBot="1" x14ac:dyDescent="0.35">
      <c r="A1840" s="547" t="s">
        <v>433</v>
      </c>
      <c r="B1840" s="548" t="s">
        <v>3844</v>
      </c>
      <c r="C1840" s="547" t="s">
        <v>115</v>
      </c>
      <c r="D1840" s="547" t="s">
        <v>3845</v>
      </c>
      <c r="E1840" s="688" t="s">
        <v>438</v>
      </c>
      <c r="F1840" s="688"/>
      <c r="G1840" s="549" t="s">
        <v>655</v>
      </c>
      <c r="H1840" s="550">
        <v>195.86</v>
      </c>
      <c r="I1840" s="551">
        <v>0.56679999999999997</v>
      </c>
      <c r="J1840" s="551">
        <v>111.01</v>
      </c>
      <c r="K1840" s="552"/>
    </row>
    <row r="1841" spans="1:11" ht="14.5" thickTop="1" x14ac:dyDescent="0.3">
      <c r="A1841" s="562"/>
      <c r="B1841" s="562"/>
      <c r="C1841" s="562"/>
      <c r="D1841" s="562"/>
      <c r="E1841" s="562"/>
      <c r="F1841" s="562"/>
      <c r="G1841" s="562"/>
      <c r="H1841" s="562"/>
      <c r="I1841" s="562"/>
      <c r="J1841" s="562"/>
      <c r="K1841" s="552"/>
    </row>
    <row r="1842" spans="1:11" s="89" customFormat="1" x14ac:dyDescent="0.3">
      <c r="A1842" s="553"/>
      <c r="B1842" s="554" t="s">
        <v>4</v>
      </c>
      <c r="C1842" s="553" t="s">
        <v>5</v>
      </c>
      <c r="D1842" s="553" t="s">
        <v>6</v>
      </c>
      <c r="E1842" s="691" t="s">
        <v>427</v>
      </c>
      <c r="F1842" s="691"/>
      <c r="G1842" s="555" t="s">
        <v>7</v>
      </c>
      <c r="H1842" s="554" t="s">
        <v>8</v>
      </c>
      <c r="I1842" s="554" t="s">
        <v>9</v>
      </c>
      <c r="J1842" s="554" t="s">
        <v>11</v>
      </c>
      <c r="K1842" s="546"/>
    </row>
    <row r="1843" spans="1:11" s="89" customFormat="1" ht="37.5" x14ac:dyDescent="0.3">
      <c r="A1843" s="607" t="s">
        <v>428</v>
      </c>
      <c r="B1843" s="608" t="s">
        <v>1240</v>
      </c>
      <c r="C1843" s="607" t="s">
        <v>19</v>
      </c>
      <c r="D1843" s="607" t="s">
        <v>1241</v>
      </c>
      <c r="E1843" s="690" t="s">
        <v>429</v>
      </c>
      <c r="F1843" s="690"/>
      <c r="G1843" s="609" t="s">
        <v>532</v>
      </c>
      <c r="H1843" s="610">
        <v>1</v>
      </c>
      <c r="I1843" s="611">
        <v>696.95</v>
      </c>
      <c r="J1843" s="611">
        <v>696.95</v>
      </c>
      <c r="K1843" s="546"/>
    </row>
    <row r="1844" spans="1:11" ht="25" x14ac:dyDescent="0.3">
      <c r="A1844" s="547" t="s">
        <v>430</v>
      </c>
      <c r="B1844" s="548" t="s">
        <v>816</v>
      </c>
      <c r="C1844" s="547" t="s">
        <v>19</v>
      </c>
      <c r="D1844" s="547" t="s">
        <v>817</v>
      </c>
      <c r="E1844" s="688" t="s">
        <v>429</v>
      </c>
      <c r="F1844" s="688"/>
      <c r="G1844" s="549" t="s">
        <v>423</v>
      </c>
      <c r="H1844" s="550">
        <v>3.75</v>
      </c>
      <c r="I1844" s="551">
        <v>25.72</v>
      </c>
      <c r="J1844" s="551">
        <v>96.45</v>
      </c>
      <c r="K1844" s="552"/>
    </row>
    <row r="1845" spans="1:11" s="89" customFormat="1" ht="38.25" customHeight="1" x14ac:dyDescent="0.3">
      <c r="A1845" s="547" t="s">
        <v>430</v>
      </c>
      <c r="B1845" s="548" t="s">
        <v>1163</v>
      </c>
      <c r="C1845" s="547" t="s">
        <v>19</v>
      </c>
      <c r="D1845" s="547" t="s">
        <v>3596</v>
      </c>
      <c r="E1845" s="688" t="s">
        <v>461</v>
      </c>
      <c r="F1845" s="688"/>
      <c r="G1845" s="549" t="s">
        <v>95</v>
      </c>
      <c r="H1845" s="550">
        <v>0.87</v>
      </c>
      <c r="I1845" s="551">
        <v>1.66</v>
      </c>
      <c r="J1845" s="551">
        <v>1.44</v>
      </c>
      <c r="K1845" s="546"/>
    </row>
    <row r="1846" spans="1:11" ht="38.25" customHeight="1" x14ac:dyDescent="0.3">
      <c r="A1846" s="547" t="s">
        <v>430</v>
      </c>
      <c r="B1846" s="548" t="s">
        <v>1164</v>
      </c>
      <c r="C1846" s="547" t="s">
        <v>19</v>
      </c>
      <c r="D1846" s="547" t="s">
        <v>3597</v>
      </c>
      <c r="E1846" s="688" t="s">
        <v>461</v>
      </c>
      <c r="F1846" s="688"/>
      <c r="G1846" s="549" t="s">
        <v>102</v>
      </c>
      <c r="H1846" s="550">
        <v>2.88</v>
      </c>
      <c r="I1846" s="551">
        <v>0.4</v>
      </c>
      <c r="J1846" s="551">
        <v>1.1499999999999999</v>
      </c>
      <c r="K1846" s="552"/>
    </row>
    <row r="1847" spans="1:11" ht="25" x14ac:dyDescent="0.3">
      <c r="A1847" s="547" t="s">
        <v>433</v>
      </c>
      <c r="B1847" s="548" t="s">
        <v>1242</v>
      </c>
      <c r="C1847" s="547" t="s">
        <v>19</v>
      </c>
      <c r="D1847" s="547" t="s">
        <v>1243</v>
      </c>
      <c r="E1847" s="688" t="s">
        <v>438</v>
      </c>
      <c r="F1847" s="688"/>
      <c r="G1847" s="549" t="s">
        <v>906</v>
      </c>
      <c r="H1847" s="550">
        <v>19.440000000000001</v>
      </c>
      <c r="I1847" s="551">
        <v>8.2899999999999991</v>
      </c>
      <c r="J1847" s="551">
        <v>161.15</v>
      </c>
      <c r="K1847" s="552"/>
    </row>
    <row r="1848" spans="1:11" s="89" customFormat="1" ht="38.25" customHeight="1" x14ac:dyDescent="0.3">
      <c r="A1848" s="547" t="s">
        <v>433</v>
      </c>
      <c r="B1848" s="548" t="s">
        <v>820</v>
      </c>
      <c r="C1848" s="547" t="s">
        <v>115</v>
      </c>
      <c r="D1848" s="547" t="s">
        <v>821</v>
      </c>
      <c r="E1848" s="688" t="s">
        <v>438</v>
      </c>
      <c r="F1848" s="688"/>
      <c r="G1848" s="549" t="s">
        <v>532</v>
      </c>
      <c r="H1848" s="550">
        <v>1.08</v>
      </c>
      <c r="I1848" s="551">
        <v>149.36019999999999</v>
      </c>
      <c r="J1848" s="551">
        <v>161.30000000000001</v>
      </c>
      <c r="K1848" s="546"/>
    </row>
    <row r="1849" spans="1:11" ht="38.25" customHeight="1" thickBot="1" x14ac:dyDescent="0.35">
      <c r="A1849" s="547" t="s">
        <v>433</v>
      </c>
      <c r="B1849" s="548" t="s">
        <v>3844</v>
      </c>
      <c r="C1849" s="547" t="s">
        <v>115</v>
      </c>
      <c r="D1849" s="547" t="s">
        <v>3845</v>
      </c>
      <c r="E1849" s="688" t="s">
        <v>438</v>
      </c>
      <c r="F1849" s="688"/>
      <c r="G1849" s="549" t="s">
        <v>655</v>
      </c>
      <c r="H1849" s="550">
        <v>486</v>
      </c>
      <c r="I1849" s="551">
        <v>0.56679999999999997</v>
      </c>
      <c r="J1849" s="551">
        <v>275.45999999999998</v>
      </c>
      <c r="K1849" s="552"/>
    </row>
    <row r="1850" spans="1:11" s="89" customFormat="1" ht="15" customHeight="1" thickTop="1" x14ac:dyDescent="0.3">
      <c r="A1850" s="562"/>
      <c r="B1850" s="562"/>
      <c r="C1850" s="562"/>
      <c r="D1850" s="562"/>
      <c r="E1850" s="562"/>
      <c r="F1850" s="562"/>
      <c r="G1850" s="562"/>
      <c r="H1850" s="562"/>
      <c r="I1850" s="562"/>
      <c r="J1850" s="562"/>
      <c r="K1850" s="546"/>
    </row>
    <row r="1851" spans="1:11" s="89" customFormat="1" x14ac:dyDescent="0.3">
      <c r="A1851" s="553"/>
      <c r="B1851" s="554" t="s">
        <v>4</v>
      </c>
      <c r="C1851" s="553" t="s">
        <v>5</v>
      </c>
      <c r="D1851" s="553" t="s">
        <v>6</v>
      </c>
      <c r="E1851" s="691" t="s">
        <v>427</v>
      </c>
      <c r="F1851" s="691"/>
      <c r="G1851" s="555" t="s">
        <v>7</v>
      </c>
      <c r="H1851" s="554" t="s">
        <v>8</v>
      </c>
      <c r="I1851" s="554" t="s">
        <v>9</v>
      </c>
      <c r="J1851" s="554" t="s">
        <v>11</v>
      </c>
      <c r="K1851" s="546"/>
    </row>
    <row r="1852" spans="1:11" ht="25" x14ac:dyDescent="0.3">
      <c r="A1852" s="607" t="s">
        <v>428</v>
      </c>
      <c r="B1852" s="608" t="s">
        <v>1013</v>
      </c>
      <c r="C1852" s="607" t="s">
        <v>19</v>
      </c>
      <c r="D1852" s="607" t="s">
        <v>1014</v>
      </c>
      <c r="E1852" s="690" t="s">
        <v>429</v>
      </c>
      <c r="F1852" s="690"/>
      <c r="G1852" s="609" t="s">
        <v>532</v>
      </c>
      <c r="H1852" s="610">
        <v>1</v>
      </c>
      <c r="I1852" s="611">
        <v>634.08000000000004</v>
      </c>
      <c r="J1852" s="611">
        <v>634.08000000000004</v>
      </c>
      <c r="K1852" s="552"/>
    </row>
    <row r="1853" spans="1:11" s="89" customFormat="1" ht="15" customHeight="1" x14ac:dyDescent="0.3">
      <c r="A1853" s="547" t="s">
        <v>430</v>
      </c>
      <c r="B1853" s="548" t="s">
        <v>559</v>
      </c>
      <c r="C1853" s="547" t="s">
        <v>19</v>
      </c>
      <c r="D1853" s="547" t="s">
        <v>560</v>
      </c>
      <c r="E1853" s="688" t="s">
        <v>429</v>
      </c>
      <c r="F1853" s="688"/>
      <c r="G1853" s="549" t="s">
        <v>423</v>
      </c>
      <c r="H1853" s="550">
        <v>8.57</v>
      </c>
      <c r="I1853" s="551">
        <v>23.4</v>
      </c>
      <c r="J1853" s="551">
        <v>200.53</v>
      </c>
      <c r="K1853" s="546"/>
    </row>
    <row r="1854" spans="1:11" x14ac:dyDescent="0.3">
      <c r="A1854" s="547" t="s">
        <v>433</v>
      </c>
      <c r="B1854" s="548" t="s">
        <v>820</v>
      </c>
      <c r="C1854" s="547" t="s">
        <v>115</v>
      </c>
      <c r="D1854" s="547" t="s">
        <v>821</v>
      </c>
      <c r="E1854" s="688" t="s">
        <v>438</v>
      </c>
      <c r="F1854" s="688"/>
      <c r="G1854" s="549" t="s">
        <v>532</v>
      </c>
      <c r="H1854" s="550">
        <v>1.07</v>
      </c>
      <c r="I1854" s="551">
        <v>149.36019999999999</v>
      </c>
      <c r="J1854" s="551">
        <v>159.81</v>
      </c>
      <c r="K1854" s="552"/>
    </row>
    <row r="1855" spans="1:11" s="89" customFormat="1" ht="14.5" thickBot="1" x14ac:dyDescent="0.35">
      <c r="A1855" s="547" t="s">
        <v>433</v>
      </c>
      <c r="B1855" s="548" t="s">
        <v>3844</v>
      </c>
      <c r="C1855" s="547" t="s">
        <v>115</v>
      </c>
      <c r="D1855" s="547" t="s">
        <v>3845</v>
      </c>
      <c r="E1855" s="688" t="s">
        <v>438</v>
      </c>
      <c r="F1855" s="688"/>
      <c r="G1855" s="549" t="s">
        <v>655</v>
      </c>
      <c r="H1855" s="550">
        <v>482.96</v>
      </c>
      <c r="I1855" s="551">
        <v>0.56679999999999997</v>
      </c>
      <c r="J1855" s="551">
        <v>273.74</v>
      </c>
      <c r="K1855" s="546"/>
    </row>
    <row r="1856" spans="1:11" ht="14.25" customHeight="1" thickTop="1" x14ac:dyDescent="0.3">
      <c r="A1856" s="562"/>
      <c r="B1856" s="562"/>
      <c r="C1856" s="562"/>
      <c r="D1856" s="562"/>
      <c r="E1856" s="562"/>
      <c r="F1856" s="562"/>
      <c r="G1856" s="562"/>
      <c r="H1856" s="562"/>
      <c r="I1856" s="562"/>
      <c r="J1856" s="562"/>
      <c r="K1856" s="552"/>
    </row>
    <row r="1857" spans="1:11" ht="38.25" customHeight="1" x14ac:dyDescent="0.3">
      <c r="A1857" s="553"/>
      <c r="B1857" s="554" t="s">
        <v>4</v>
      </c>
      <c r="C1857" s="553" t="s">
        <v>5</v>
      </c>
      <c r="D1857" s="553" t="s">
        <v>6</v>
      </c>
      <c r="E1857" s="691" t="s">
        <v>427</v>
      </c>
      <c r="F1857" s="691"/>
      <c r="G1857" s="555" t="s">
        <v>7</v>
      </c>
      <c r="H1857" s="554" t="s">
        <v>8</v>
      </c>
      <c r="I1857" s="554" t="s">
        <v>9</v>
      </c>
      <c r="J1857" s="554" t="s">
        <v>11</v>
      </c>
      <c r="K1857" s="552"/>
    </row>
    <row r="1858" spans="1:11" ht="38.25" customHeight="1" x14ac:dyDescent="0.3">
      <c r="A1858" s="607" t="s">
        <v>428</v>
      </c>
      <c r="B1858" s="608" t="s">
        <v>762</v>
      </c>
      <c r="C1858" s="607" t="s">
        <v>19</v>
      </c>
      <c r="D1858" s="607" t="s">
        <v>763</v>
      </c>
      <c r="E1858" s="690" t="s">
        <v>429</v>
      </c>
      <c r="F1858" s="690"/>
      <c r="G1858" s="609" t="s">
        <v>532</v>
      </c>
      <c r="H1858" s="610">
        <v>1</v>
      </c>
      <c r="I1858" s="611">
        <v>524.29</v>
      </c>
      <c r="J1858" s="611">
        <v>524.29</v>
      </c>
      <c r="K1858" s="552"/>
    </row>
    <row r="1859" spans="1:11" ht="25" x14ac:dyDescent="0.3">
      <c r="A1859" s="547" t="s">
        <v>430</v>
      </c>
      <c r="B1859" s="548" t="s">
        <v>816</v>
      </c>
      <c r="C1859" s="547" t="s">
        <v>19</v>
      </c>
      <c r="D1859" s="547" t="s">
        <v>817</v>
      </c>
      <c r="E1859" s="688" t="s">
        <v>429</v>
      </c>
      <c r="F1859" s="688"/>
      <c r="G1859" s="549" t="s">
        <v>423</v>
      </c>
      <c r="H1859" s="550">
        <v>3.42</v>
      </c>
      <c r="I1859" s="551">
        <v>25.72</v>
      </c>
      <c r="J1859" s="551">
        <v>87.96</v>
      </c>
      <c r="K1859" s="552"/>
    </row>
    <row r="1860" spans="1:11" s="89" customFormat="1" ht="38.25" customHeight="1" x14ac:dyDescent="0.3">
      <c r="A1860" s="547" t="s">
        <v>430</v>
      </c>
      <c r="B1860" s="548" t="s">
        <v>1163</v>
      </c>
      <c r="C1860" s="547" t="s">
        <v>19</v>
      </c>
      <c r="D1860" s="547" t="s">
        <v>3596</v>
      </c>
      <c r="E1860" s="688" t="s">
        <v>461</v>
      </c>
      <c r="F1860" s="688"/>
      <c r="G1860" s="549" t="s">
        <v>95</v>
      </c>
      <c r="H1860" s="550">
        <v>0.8</v>
      </c>
      <c r="I1860" s="551">
        <v>1.66</v>
      </c>
      <c r="J1860" s="551">
        <v>1.32</v>
      </c>
      <c r="K1860" s="546"/>
    </row>
    <row r="1861" spans="1:11" ht="38.25" customHeight="1" x14ac:dyDescent="0.3">
      <c r="A1861" s="547" t="s">
        <v>430</v>
      </c>
      <c r="B1861" s="548" t="s">
        <v>1164</v>
      </c>
      <c r="C1861" s="547" t="s">
        <v>19</v>
      </c>
      <c r="D1861" s="547" t="s">
        <v>3597</v>
      </c>
      <c r="E1861" s="688" t="s">
        <v>461</v>
      </c>
      <c r="F1861" s="688"/>
      <c r="G1861" s="549" t="s">
        <v>102</v>
      </c>
      <c r="H1861" s="550">
        <v>2.62</v>
      </c>
      <c r="I1861" s="551">
        <v>0.4</v>
      </c>
      <c r="J1861" s="551">
        <v>1.04</v>
      </c>
      <c r="K1861" s="552"/>
    </row>
    <row r="1862" spans="1:11" s="89" customFormat="1" x14ac:dyDescent="0.3">
      <c r="A1862" s="547" t="s">
        <v>433</v>
      </c>
      <c r="B1862" s="548" t="s">
        <v>820</v>
      </c>
      <c r="C1862" s="547" t="s">
        <v>115</v>
      </c>
      <c r="D1862" s="547" t="s">
        <v>821</v>
      </c>
      <c r="E1862" s="688" t="s">
        <v>438</v>
      </c>
      <c r="F1862" s="688"/>
      <c r="G1862" s="549" t="s">
        <v>532</v>
      </c>
      <c r="H1862" s="550">
        <v>1.07</v>
      </c>
      <c r="I1862" s="551">
        <v>149.36019999999999</v>
      </c>
      <c r="J1862" s="551">
        <v>159.81</v>
      </c>
      <c r="K1862" s="546"/>
    </row>
    <row r="1863" spans="1:11" s="89" customFormat="1" ht="14.5" thickBot="1" x14ac:dyDescent="0.35">
      <c r="A1863" s="547" t="s">
        <v>433</v>
      </c>
      <c r="B1863" s="548" t="s">
        <v>3844</v>
      </c>
      <c r="C1863" s="547" t="s">
        <v>115</v>
      </c>
      <c r="D1863" s="547" t="s">
        <v>3845</v>
      </c>
      <c r="E1863" s="688" t="s">
        <v>438</v>
      </c>
      <c r="F1863" s="688"/>
      <c r="G1863" s="549" t="s">
        <v>655</v>
      </c>
      <c r="H1863" s="550">
        <v>483.7</v>
      </c>
      <c r="I1863" s="551">
        <v>0.56679999999999997</v>
      </c>
      <c r="J1863" s="551">
        <v>274.16000000000003</v>
      </c>
      <c r="K1863" s="546"/>
    </row>
    <row r="1864" spans="1:11" ht="38.25" customHeight="1" thickTop="1" x14ac:dyDescent="0.3">
      <c r="A1864" s="562"/>
      <c r="B1864" s="562"/>
      <c r="C1864" s="562"/>
      <c r="D1864" s="562"/>
      <c r="E1864" s="562"/>
      <c r="F1864" s="562"/>
      <c r="G1864" s="562"/>
      <c r="H1864" s="562"/>
      <c r="I1864" s="562"/>
      <c r="J1864" s="562"/>
      <c r="K1864" s="552"/>
    </row>
    <row r="1865" spans="1:11" ht="38.25" customHeight="1" x14ac:dyDescent="0.3">
      <c r="A1865" s="553"/>
      <c r="B1865" s="554" t="s">
        <v>4</v>
      </c>
      <c r="C1865" s="553" t="s">
        <v>5</v>
      </c>
      <c r="D1865" s="553" t="s">
        <v>6</v>
      </c>
      <c r="E1865" s="691" t="s">
        <v>427</v>
      </c>
      <c r="F1865" s="691"/>
      <c r="G1865" s="555" t="s">
        <v>7</v>
      </c>
      <c r="H1865" s="554" t="s">
        <v>8</v>
      </c>
      <c r="I1865" s="554" t="s">
        <v>9</v>
      </c>
      <c r="J1865" s="554" t="s">
        <v>11</v>
      </c>
      <c r="K1865" s="552"/>
    </row>
    <row r="1866" spans="1:11" ht="37.5" x14ac:dyDescent="0.3">
      <c r="A1866" s="607" t="s">
        <v>428</v>
      </c>
      <c r="B1866" s="608" t="s">
        <v>1244</v>
      </c>
      <c r="C1866" s="607" t="s">
        <v>19</v>
      </c>
      <c r="D1866" s="607" t="s">
        <v>1245</v>
      </c>
      <c r="E1866" s="690" t="s">
        <v>429</v>
      </c>
      <c r="F1866" s="690"/>
      <c r="G1866" s="609" t="s">
        <v>532</v>
      </c>
      <c r="H1866" s="610">
        <v>1</v>
      </c>
      <c r="I1866" s="611">
        <v>459.68</v>
      </c>
      <c r="J1866" s="611">
        <v>459.68</v>
      </c>
      <c r="K1866" s="552"/>
    </row>
    <row r="1867" spans="1:11" s="89" customFormat="1" ht="25" x14ac:dyDescent="0.3">
      <c r="A1867" s="547" t="s">
        <v>430</v>
      </c>
      <c r="B1867" s="548" t="s">
        <v>816</v>
      </c>
      <c r="C1867" s="547" t="s">
        <v>19</v>
      </c>
      <c r="D1867" s="547" t="s">
        <v>817</v>
      </c>
      <c r="E1867" s="688" t="s">
        <v>429</v>
      </c>
      <c r="F1867" s="688"/>
      <c r="G1867" s="549" t="s">
        <v>423</v>
      </c>
      <c r="H1867" s="550">
        <v>4.6399999999999997</v>
      </c>
      <c r="I1867" s="551">
        <v>25.72</v>
      </c>
      <c r="J1867" s="551">
        <v>119.34</v>
      </c>
      <c r="K1867" s="546"/>
    </row>
    <row r="1868" spans="1:11" s="89" customFormat="1" ht="38.25" customHeight="1" x14ac:dyDescent="0.3">
      <c r="A1868" s="547" t="s">
        <v>430</v>
      </c>
      <c r="B1868" s="548" t="s">
        <v>1163</v>
      </c>
      <c r="C1868" s="547" t="s">
        <v>19</v>
      </c>
      <c r="D1868" s="547" t="s">
        <v>3596</v>
      </c>
      <c r="E1868" s="688" t="s">
        <v>461</v>
      </c>
      <c r="F1868" s="688"/>
      <c r="G1868" s="549" t="s">
        <v>95</v>
      </c>
      <c r="H1868" s="550">
        <v>1.08</v>
      </c>
      <c r="I1868" s="551">
        <v>1.66</v>
      </c>
      <c r="J1868" s="551">
        <v>1.79</v>
      </c>
      <c r="K1868" s="546"/>
    </row>
    <row r="1869" spans="1:11" ht="38.25" customHeight="1" x14ac:dyDescent="0.3">
      <c r="A1869" s="547" t="s">
        <v>430</v>
      </c>
      <c r="B1869" s="548" t="s">
        <v>1164</v>
      </c>
      <c r="C1869" s="547" t="s">
        <v>19</v>
      </c>
      <c r="D1869" s="547" t="s">
        <v>3597</v>
      </c>
      <c r="E1869" s="688" t="s">
        <v>461</v>
      </c>
      <c r="F1869" s="688"/>
      <c r="G1869" s="549" t="s">
        <v>102</v>
      </c>
      <c r="H1869" s="550">
        <v>3.56</v>
      </c>
      <c r="I1869" s="551">
        <v>0.4</v>
      </c>
      <c r="J1869" s="551">
        <v>1.42</v>
      </c>
      <c r="K1869" s="552"/>
    </row>
    <row r="1870" spans="1:11" x14ac:dyDescent="0.3">
      <c r="A1870" s="547" t="s">
        <v>433</v>
      </c>
      <c r="B1870" s="548" t="s">
        <v>795</v>
      </c>
      <c r="C1870" s="547" t="s">
        <v>115</v>
      </c>
      <c r="D1870" s="547" t="s">
        <v>796</v>
      </c>
      <c r="E1870" s="688" t="s">
        <v>438</v>
      </c>
      <c r="F1870" s="688"/>
      <c r="G1870" s="549" t="s">
        <v>532</v>
      </c>
      <c r="H1870" s="550">
        <v>1.02</v>
      </c>
      <c r="I1870" s="551">
        <v>139.642</v>
      </c>
      <c r="J1870" s="551">
        <v>142.43</v>
      </c>
      <c r="K1870" s="552"/>
    </row>
    <row r="1871" spans="1:11" s="89" customFormat="1" ht="14.5" thickBot="1" x14ac:dyDescent="0.35">
      <c r="A1871" s="547" t="s">
        <v>433</v>
      </c>
      <c r="B1871" s="548" t="s">
        <v>3844</v>
      </c>
      <c r="C1871" s="547" t="s">
        <v>115</v>
      </c>
      <c r="D1871" s="547" t="s">
        <v>3845</v>
      </c>
      <c r="E1871" s="688" t="s">
        <v>438</v>
      </c>
      <c r="F1871" s="688"/>
      <c r="G1871" s="549" t="s">
        <v>655</v>
      </c>
      <c r="H1871" s="550">
        <v>343.52</v>
      </c>
      <c r="I1871" s="551">
        <v>0.56679999999999997</v>
      </c>
      <c r="J1871" s="551">
        <v>194.7</v>
      </c>
      <c r="K1871" s="546"/>
    </row>
    <row r="1872" spans="1:11" ht="38.25" customHeight="1" thickTop="1" x14ac:dyDescent="0.3">
      <c r="A1872" s="562"/>
      <c r="B1872" s="562"/>
      <c r="C1872" s="562"/>
      <c r="D1872" s="562"/>
      <c r="E1872" s="562"/>
      <c r="F1872" s="562"/>
      <c r="G1872" s="562"/>
      <c r="H1872" s="562"/>
      <c r="I1872" s="562"/>
      <c r="J1872" s="562"/>
      <c r="K1872" s="552"/>
    </row>
    <row r="1873" spans="1:11" ht="38.25" customHeight="1" x14ac:dyDescent="0.3">
      <c r="A1873" s="553"/>
      <c r="B1873" s="554" t="s">
        <v>4</v>
      </c>
      <c r="C1873" s="553" t="s">
        <v>5</v>
      </c>
      <c r="D1873" s="553" t="s">
        <v>6</v>
      </c>
      <c r="E1873" s="691" t="s">
        <v>427</v>
      </c>
      <c r="F1873" s="691"/>
      <c r="G1873" s="555" t="s">
        <v>7</v>
      </c>
      <c r="H1873" s="554" t="s">
        <v>8</v>
      </c>
      <c r="I1873" s="554" t="s">
        <v>9</v>
      </c>
      <c r="J1873" s="554" t="s">
        <v>11</v>
      </c>
      <c r="K1873" s="552"/>
    </row>
    <row r="1874" spans="1:11" ht="38.25" customHeight="1" x14ac:dyDescent="0.3">
      <c r="A1874" s="607" t="s">
        <v>428</v>
      </c>
      <c r="B1874" s="608" t="s">
        <v>1169</v>
      </c>
      <c r="C1874" s="607" t="s">
        <v>19</v>
      </c>
      <c r="D1874" s="607" t="s">
        <v>1038</v>
      </c>
      <c r="E1874" s="690" t="s">
        <v>429</v>
      </c>
      <c r="F1874" s="690"/>
      <c r="G1874" s="609" t="s">
        <v>423</v>
      </c>
      <c r="H1874" s="610">
        <v>1</v>
      </c>
      <c r="I1874" s="611">
        <v>30.85</v>
      </c>
      <c r="J1874" s="611">
        <v>30.85</v>
      </c>
      <c r="K1874" s="552"/>
    </row>
    <row r="1875" spans="1:11" s="89" customFormat="1" ht="25" x14ac:dyDescent="0.3">
      <c r="A1875" s="547" t="s">
        <v>430</v>
      </c>
      <c r="B1875" s="548" t="s">
        <v>1246</v>
      </c>
      <c r="C1875" s="547" t="s">
        <v>19</v>
      </c>
      <c r="D1875" s="547" t="s">
        <v>1247</v>
      </c>
      <c r="E1875" s="688" t="s">
        <v>429</v>
      </c>
      <c r="F1875" s="688"/>
      <c r="G1875" s="549" t="s">
        <v>423</v>
      </c>
      <c r="H1875" s="550">
        <v>1</v>
      </c>
      <c r="I1875" s="551">
        <v>0.28000000000000003</v>
      </c>
      <c r="J1875" s="551">
        <v>0.28000000000000003</v>
      </c>
      <c r="K1875" s="546"/>
    </row>
    <row r="1876" spans="1:11" x14ac:dyDescent="0.3">
      <c r="A1876" s="547" t="s">
        <v>433</v>
      </c>
      <c r="B1876" s="548" t="s">
        <v>1248</v>
      </c>
      <c r="C1876" s="547" t="s">
        <v>19</v>
      </c>
      <c r="D1876" s="547" t="s">
        <v>1249</v>
      </c>
      <c r="E1876" s="688" t="s">
        <v>436</v>
      </c>
      <c r="F1876" s="688"/>
      <c r="G1876" s="549" t="s">
        <v>423</v>
      </c>
      <c r="H1876" s="550">
        <v>1</v>
      </c>
      <c r="I1876" s="551">
        <v>21.83</v>
      </c>
      <c r="J1876" s="551">
        <v>21.83</v>
      </c>
      <c r="K1876" s="552"/>
    </row>
    <row r="1877" spans="1:11" s="89" customFormat="1" ht="25" x14ac:dyDescent="0.3">
      <c r="A1877" s="547" t="s">
        <v>433</v>
      </c>
      <c r="B1877" s="548" t="s">
        <v>1213</v>
      </c>
      <c r="C1877" s="547" t="s">
        <v>19</v>
      </c>
      <c r="D1877" s="547" t="s">
        <v>3592</v>
      </c>
      <c r="E1877" s="688" t="s">
        <v>862</v>
      </c>
      <c r="F1877" s="688"/>
      <c r="G1877" s="549" t="s">
        <v>423</v>
      </c>
      <c r="H1877" s="550">
        <v>1</v>
      </c>
      <c r="I1877" s="551">
        <v>3.8</v>
      </c>
      <c r="J1877" s="551">
        <v>3.8</v>
      </c>
      <c r="K1877" s="546"/>
    </row>
    <row r="1878" spans="1:11" s="89" customFormat="1" ht="25" x14ac:dyDescent="0.3">
      <c r="A1878" s="547" t="s">
        <v>433</v>
      </c>
      <c r="B1878" s="548" t="s">
        <v>1214</v>
      </c>
      <c r="C1878" s="547" t="s">
        <v>19</v>
      </c>
      <c r="D1878" s="547" t="s">
        <v>3593</v>
      </c>
      <c r="E1878" s="688" t="s">
        <v>1215</v>
      </c>
      <c r="F1878" s="688"/>
      <c r="G1878" s="549" t="s">
        <v>423</v>
      </c>
      <c r="H1878" s="550">
        <v>1</v>
      </c>
      <c r="I1878" s="551">
        <v>1.5</v>
      </c>
      <c r="J1878" s="551">
        <v>1.5</v>
      </c>
      <c r="K1878" s="546"/>
    </row>
    <row r="1879" spans="1:11" ht="25" x14ac:dyDescent="0.3">
      <c r="A1879" s="547" t="s">
        <v>433</v>
      </c>
      <c r="B1879" s="548" t="s">
        <v>1216</v>
      </c>
      <c r="C1879" s="547" t="s">
        <v>19</v>
      </c>
      <c r="D1879" s="547" t="s">
        <v>3594</v>
      </c>
      <c r="E1879" s="688" t="s">
        <v>862</v>
      </c>
      <c r="F1879" s="688"/>
      <c r="G1879" s="549" t="s">
        <v>423</v>
      </c>
      <c r="H1879" s="550">
        <v>1</v>
      </c>
      <c r="I1879" s="551">
        <v>1.34</v>
      </c>
      <c r="J1879" s="551">
        <v>1.34</v>
      </c>
      <c r="K1879" s="552"/>
    </row>
    <row r="1880" spans="1:11" s="89" customFormat="1" ht="38.25" customHeight="1" x14ac:dyDescent="0.3">
      <c r="A1880" s="547" t="s">
        <v>433</v>
      </c>
      <c r="B1880" s="548" t="s">
        <v>1217</v>
      </c>
      <c r="C1880" s="547" t="s">
        <v>19</v>
      </c>
      <c r="D1880" s="547" t="s">
        <v>3595</v>
      </c>
      <c r="E1880" s="688" t="s">
        <v>531</v>
      </c>
      <c r="F1880" s="688"/>
      <c r="G1880" s="549" t="s">
        <v>423</v>
      </c>
      <c r="H1880" s="550">
        <v>1</v>
      </c>
      <c r="I1880" s="551">
        <v>0.04</v>
      </c>
      <c r="J1880" s="551">
        <v>0.04</v>
      </c>
      <c r="K1880" s="546"/>
    </row>
    <row r="1881" spans="1:11" ht="14.25" customHeight="1" x14ac:dyDescent="0.3">
      <c r="A1881" s="547" t="s">
        <v>433</v>
      </c>
      <c r="B1881" s="548" t="s">
        <v>1218</v>
      </c>
      <c r="C1881" s="547" t="s">
        <v>19</v>
      </c>
      <c r="D1881" s="547" t="s">
        <v>1219</v>
      </c>
      <c r="E1881" s="688" t="s">
        <v>442</v>
      </c>
      <c r="F1881" s="688"/>
      <c r="G1881" s="549" t="s">
        <v>423</v>
      </c>
      <c r="H1881" s="550">
        <v>1</v>
      </c>
      <c r="I1881" s="551">
        <v>0.82</v>
      </c>
      <c r="J1881" s="551">
        <v>0.82</v>
      </c>
      <c r="K1881" s="552"/>
    </row>
    <row r="1882" spans="1:11" ht="25.5" thickBot="1" x14ac:dyDescent="0.35">
      <c r="A1882" s="547" t="s">
        <v>433</v>
      </c>
      <c r="B1882" s="548" t="s">
        <v>1220</v>
      </c>
      <c r="C1882" s="547" t="s">
        <v>19</v>
      </c>
      <c r="D1882" s="547" t="s">
        <v>1221</v>
      </c>
      <c r="E1882" s="688" t="s">
        <v>442</v>
      </c>
      <c r="F1882" s="688"/>
      <c r="G1882" s="549" t="s">
        <v>423</v>
      </c>
      <c r="H1882" s="550">
        <v>1</v>
      </c>
      <c r="I1882" s="551">
        <v>1.24</v>
      </c>
      <c r="J1882" s="551">
        <v>1.24</v>
      </c>
      <c r="K1882" s="552"/>
    </row>
    <row r="1883" spans="1:11" s="89" customFormat="1" ht="14.5" thickTop="1" x14ac:dyDescent="0.3">
      <c r="A1883" s="562"/>
      <c r="B1883" s="562"/>
      <c r="C1883" s="562"/>
      <c r="D1883" s="562"/>
      <c r="E1883" s="562"/>
      <c r="F1883" s="562"/>
      <c r="G1883" s="562"/>
      <c r="H1883" s="562"/>
      <c r="I1883" s="562"/>
      <c r="J1883" s="562"/>
      <c r="K1883" s="546"/>
    </row>
    <row r="1884" spans="1:11" x14ac:dyDescent="0.3">
      <c r="A1884" s="553"/>
      <c r="B1884" s="554" t="s">
        <v>4</v>
      </c>
      <c r="C1884" s="553" t="s">
        <v>5</v>
      </c>
      <c r="D1884" s="553" t="s">
        <v>6</v>
      </c>
      <c r="E1884" s="691" t="s">
        <v>427</v>
      </c>
      <c r="F1884" s="691"/>
      <c r="G1884" s="555" t="s">
        <v>7</v>
      </c>
      <c r="H1884" s="554" t="s">
        <v>8</v>
      </c>
      <c r="I1884" s="554" t="s">
        <v>9</v>
      </c>
      <c r="J1884" s="554" t="s">
        <v>11</v>
      </c>
      <c r="K1884" s="552"/>
    </row>
    <row r="1885" spans="1:11" ht="25" x14ac:dyDescent="0.3">
      <c r="A1885" s="607" t="s">
        <v>428</v>
      </c>
      <c r="B1885" s="608" t="s">
        <v>1065</v>
      </c>
      <c r="C1885" s="607" t="s">
        <v>19</v>
      </c>
      <c r="D1885" s="607" t="s">
        <v>1066</v>
      </c>
      <c r="E1885" s="690" t="s">
        <v>619</v>
      </c>
      <c r="F1885" s="690"/>
      <c r="G1885" s="609" t="s">
        <v>424</v>
      </c>
      <c r="H1885" s="610">
        <v>1</v>
      </c>
      <c r="I1885" s="611">
        <v>16.54</v>
      </c>
      <c r="J1885" s="611">
        <v>16.54</v>
      </c>
      <c r="K1885" s="552"/>
    </row>
    <row r="1886" spans="1:11" s="89" customFormat="1" ht="15" customHeight="1" x14ac:dyDescent="0.3">
      <c r="A1886" s="547" t="s">
        <v>430</v>
      </c>
      <c r="B1886" s="548" t="s">
        <v>1167</v>
      </c>
      <c r="C1886" s="547" t="s">
        <v>19</v>
      </c>
      <c r="D1886" s="547" t="s">
        <v>1168</v>
      </c>
      <c r="E1886" s="688" t="s">
        <v>429</v>
      </c>
      <c r="F1886" s="688"/>
      <c r="G1886" s="549" t="s">
        <v>423</v>
      </c>
      <c r="H1886" s="550">
        <v>1.72E-2</v>
      </c>
      <c r="I1886" s="551">
        <v>24.21</v>
      </c>
      <c r="J1886" s="551">
        <v>0.41</v>
      </c>
      <c r="K1886" s="546"/>
    </row>
    <row r="1887" spans="1:11" ht="14.25" customHeight="1" x14ac:dyDescent="0.3">
      <c r="A1887" s="547" t="s">
        <v>430</v>
      </c>
      <c r="B1887" s="548" t="s">
        <v>1169</v>
      </c>
      <c r="C1887" s="547" t="s">
        <v>19</v>
      </c>
      <c r="D1887" s="547" t="s">
        <v>1038</v>
      </c>
      <c r="E1887" s="688" t="s">
        <v>429</v>
      </c>
      <c r="F1887" s="688"/>
      <c r="G1887" s="549" t="s">
        <v>423</v>
      </c>
      <c r="H1887" s="550">
        <v>0.1055</v>
      </c>
      <c r="I1887" s="551">
        <v>30.85</v>
      </c>
      <c r="J1887" s="551">
        <v>3.25</v>
      </c>
      <c r="K1887" s="552"/>
    </row>
    <row r="1888" spans="1:11" s="89" customFormat="1" ht="38.25" customHeight="1" x14ac:dyDescent="0.3">
      <c r="A1888" s="547" t="s">
        <v>430</v>
      </c>
      <c r="B1888" s="548" t="s">
        <v>1250</v>
      </c>
      <c r="C1888" s="547" t="s">
        <v>19</v>
      </c>
      <c r="D1888" s="547" t="s">
        <v>3598</v>
      </c>
      <c r="E1888" s="688" t="s">
        <v>619</v>
      </c>
      <c r="F1888" s="688"/>
      <c r="G1888" s="549" t="s">
        <v>424</v>
      </c>
      <c r="H1888" s="550">
        <v>1</v>
      </c>
      <c r="I1888" s="551">
        <v>11.79</v>
      </c>
      <c r="J1888" s="551">
        <v>11.79</v>
      </c>
      <c r="K1888" s="546"/>
    </row>
    <row r="1889" spans="1:11" ht="38.25" customHeight="1" x14ac:dyDescent="0.3">
      <c r="A1889" s="547" t="s">
        <v>433</v>
      </c>
      <c r="B1889" s="548" t="s">
        <v>1251</v>
      </c>
      <c r="C1889" s="547" t="s">
        <v>19</v>
      </c>
      <c r="D1889" s="547" t="s">
        <v>1252</v>
      </c>
      <c r="E1889" s="688" t="s">
        <v>438</v>
      </c>
      <c r="F1889" s="688"/>
      <c r="G1889" s="549" t="s">
        <v>81</v>
      </c>
      <c r="H1889" s="550">
        <v>2.8159999999999998</v>
      </c>
      <c r="I1889" s="551">
        <v>0.22</v>
      </c>
      <c r="J1889" s="551">
        <v>0.61</v>
      </c>
      <c r="K1889" s="552"/>
    </row>
    <row r="1890" spans="1:11" s="89" customFormat="1" ht="25.5" thickBot="1" x14ac:dyDescent="0.35">
      <c r="A1890" s="547" t="s">
        <v>433</v>
      </c>
      <c r="B1890" s="548" t="s">
        <v>1253</v>
      </c>
      <c r="C1890" s="547" t="s">
        <v>19</v>
      </c>
      <c r="D1890" s="547" t="s">
        <v>1254</v>
      </c>
      <c r="E1890" s="688" t="s">
        <v>438</v>
      </c>
      <c r="F1890" s="688"/>
      <c r="G1890" s="549" t="s">
        <v>424</v>
      </c>
      <c r="H1890" s="550">
        <v>2.5000000000000001E-2</v>
      </c>
      <c r="I1890" s="551">
        <v>19.38</v>
      </c>
      <c r="J1890" s="551">
        <v>0.48</v>
      </c>
      <c r="K1890" s="546"/>
    </row>
    <row r="1891" spans="1:11" s="89" customFormat="1" ht="14.5" thickTop="1" x14ac:dyDescent="0.3">
      <c r="A1891" s="562"/>
      <c r="B1891" s="562"/>
      <c r="C1891" s="562"/>
      <c r="D1891" s="562"/>
      <c r="E1891" s="562"/>
      <c r="F1891" s="562"/>
      <c r="G1891" s="562"/>
      <c r="H1891" s="562"/>
      <c r="I1891" s="562"/>
      <c r="J1891" s="562"/>
      <c r="K1891" s="546"/>
    </row>
    <row r="1892" spans="1:11" x14ac:dyDescent="0.3">
      <c r="A1892" s="553"/>
      <c r="B1892" s="554" t="s">
        <v>4</v>
      </c>
      <c r="C1892" s="553" t="s">
        <v>5</v>
      </c>
      <c r="D1892" s="553" t="s">
        <v>6</v>
      </c>
      <c r="E1892" s="691" t="s">
        <v>427</v>
      </c>
      <c r="F1892" s="691"/>
      <c r="G1892" s="555" t="s">
        <v>7</v>
      </c>
      <c r="H1892" s="554" t="s">
        <v>8</v>
      </c>
      <c r="I1892" s="554" t="s">
        <v>9</v>
      </c>
      <c r="J1892" s="554" t="s">
        <v>11</v>
      </c>
      <c r="K1892" s="552"/>
    </row>
    <row r="1893" spans="1:11" s="89" customFormat="1" ht="25" x14ac:dyDescent="0.3">
      <c r="A1893" s="607" t="s">
        <v>428</v>
      </c>
      <c r="B1893" s="608" t="s">
        <v>1255</v>
      </c>
      <c r="C1893" s="607" t="s">
        <v>19</v>
      </c>
      <c r="D1893" s="607" t="s">
        <v>1256</v>
      </c>
      <c r="E1893" s="690" t="s">
        <v>619</v>
      </c>
      <c r="F1893" s="690"/>
      <c r="G1893" s="609" t="s">
        <v>424</v>
      </c>
      <c r="H1893" s="610">
        <v>1</v>
      </c>
      <c r="I1893" s="611">
        <v>14.4</v>
      </c>
      <c r="J1893" s="611">
        <v>14.4</v>
      </c>
      <c r="K1893" s="546"/>
    </row>
    <row r="1894" spans="1:11" s="89" customFormat="1" ht="15" customHeight="1" x14ac:dyDescent="0.3">
      <c r="A1894" s="547" t="s">
        <v>430</v>
      </c>
      <c r="B1894" s="548" t="s">
        <v>1167</v>
      </c>
      <c r="C1894" s="547" t="s">
        <v>19</v>
      </c>
      <c r="D1894" s="547" t="s">
        <v>1168</v>
      </c>
      <c r="E1894" s="688" t="s">
        <v>429</v>
      </c>
      <c r="F1894" s="688"/>
      <c r="G1894" s="549" t="s">
        <v>423</v>
      </c>
      <c r="H1894" s="550">
        <v>1.3599999999999999E-2</v>
      </c>
      <c r="I1894" s="551">
        <v>24.21</v>
      </c>
      <c r="J1894" s="551">
        <v>0.32</v>
      </c>
      <c r="K1894" s="546"/>
    </row>
    <row r="1895" spans="1:11" s="89" customFormat="1" ht="15" customHeight="1" x14ac:dyDescent="0.3">
      <c r="A1895" s="547" t="s">
        <v>430</v>
      </c>
      <c r="B1895" s="548" t="s">
        <v>1169</v>
      </c>
      <c r="C1895" s="547" t="s">
        <v>19</v>
      </c>
      <c r="D1895" s="547" t="s">
        <v>1038</v>
      </c>
      <c r="E1895" s="688" t="s">
        <v>429</v>
      </c>
      <c r="F1895" s="688"/>
      <c r="G1895" s="549" t="s">
        <v>423</v>
      </c>
      <c r="H1895" s="550">
        <v>8.3599999999999994E-2</v>
      </c>
      <c r="I1895" s="551">
        <v>30.85</v>
      </c>
      <c r="J1895" s="551">
        <v>2.57</v>
      </c>
      <c r="K1895" s="546"/>
    </row>
    <row r="1896" spans="1:11" ht="38.25" customHeight="1" x14ac:dyDescent="0.3">
      <c r="A1896" s="547" t="s">
        <v>430</v>
      </c>
      <c r="B1896" s="548" t="s">
        <v>1257</v>
      </c>
      <c r="C1896" s="547" t="s">
        <v>19</v>
      </c>
      <c r="D1896" s="547" t="s">
        <v>1258</v>
      </c>
      <c r="E1896" s="688" t="s">
        <v>619</v>
      </c>
      <c r="F1896" s="688"/>
      <c r="G1896" s="549" t="s">
        <v>424</v>
      </c>
      <c r="H1896" s="550">
        <v>1</v>
      </c>
      <c r="I1896" s="551">
        <v>10.57</v>
      </c>
      <c r="J1896" s="551">
        <v>10.57</v>
      </c>
      <c r="K1896" s="552"/>
    </row>
    <row r="1897" spans="1:11" ht="38.25" customHeight="1" x14ac:dyDescent="0.3">
      <c r="A1897" s="547" t="s">
        <v>433</v>
      </c>
      <c r="B1897" s="548" t="s">
        <v>1251</v>
      </c>
      <c r="C1897" s="547" t="s">
        <v>19</v>
      </c>
      <c r="D1897" s="547" t="s">
        <v>1252</v>
      </c>
      <c r="E1897" s="688" t="s">
        <v>438</v>
      </c>
      <c r="F1897" s="688"/>
      <c r="G1897" s="549" t="s">
        <v>81</v>
      </c>
      <c r="H1897" s="550">
        <v>2.1179999999999999</v>
      </c>
      <c r="I1897" s="551">
        <v>0.22</v>
      </c>
      <c r="J1897" s="551">
        <v>0.46</v>
      </c>
      <c r="K1897" s="552"/>
    </row>
    <row r="1898" spans="1:11" ht="14.25" customHeight="1" thickBot="1" x14ac:dyDescent="0.35">
      <c r="A1898" s="547" t="s">
        <v>433</v>
      </c>
      <c r="B1898" s="548" t="s">
        <v>1253</v>
      </c>
      <c r="C1898" s="547" t="s">
        <v>19</v>
      </c>
      <c r="D1898" s="547" t="s">
        <v>1254</v>
      </c>
      <c r="E1898" s="688" t="s">
        <v>438</v>
      </c>
      <c r="F1898" s="688"/>
      <c r="G1898" s="549" t="s">
        <v>424</v>
      </c>
      <c r="H1898" s="550">
        <v>2.5000000000000001E-2</v>
      </c>
      <c r="I1898" s="551">
        <v>19.38</v>
      </c>
      <c r="J1898" s="551">
        <v>0.48</v>
      </c>
      <c r="K1898" s="552"/>
    </row>
    <row r="1899" spans="1:11" ht="14.25" customHeight="1" thickTop="1" x14ac:dyDescent="0.3">
      <c r="A1899" s="562"/>
      <c r="B1899" s="562"/>
      <c r="C1899" s="562"/>
      <c r="D1899" s="562"/>
      <c r="E1899" s="562"/>
      <c r="F1899" s="562"/>
      <c r="G1899" s="562"/>
      <c r="H1899" s="562"/>
      <c r="I1899" s="562"/>
      <c r="J1899" s="562"/>
      <c r="K1899" s="552"/>
    </row>
    <row r="1900" spans="1:11" s="89" customFormat="1" ht="15" customHeight="1" x14ac:dyDescent="0.3">
      <c r="A1900" s="553"/>
      <c r="B1900" s="554" t="s">
        <v>4</v>
      </c>
      <c r="C1900" s="553" t="s">
        <v>5</v>
      </c>
      <c r="D1900" s="553" t="s">
        <v>6</v>
      </c>
      <c r="E1900" s="691" t="s">
        <v>427</v>
      </c>
      <c r="F1900" s="691"/>
      <c r="G1900" s="555" t="s">
        <v>7</v>
      </c>
      <c r="H1900" s="554" t="s">
        <v>8</v>
      </c>
      <c r="I1900" s="554" t="s">
        <v>9</v>
      </c>
      <c r="J1900" s="554" t="s">
        <v>11</v>
      </c>
      <c r="K1900" s="546"/>
    </row>
    <row r="1901" spans="1:11" ht="14.25" customHeight="1" x14ac:dyDescent="0.3">
      <c r="A1901" s="607" t="s">
        <v>428</v>
      </c>
      <c r="B1901" s="608" t="s">
        <v>1011</v>
      </c>
      <c r="C1901" s="607" t="s">
        <v>19</v>
      </c>
      <c r="D1901" s="607" t="s">
        <v>1012</v>
      </c>
      <c r="E1901" s="690" t="s">
        <v>429</v>
      </c>
      <c r="F1901" s="690"/>
      <c r="G1901" s="609" t="s">
        <v>423</v>
      </c>
      <c r="H1901" s="610">
        <v>1</v>
      </c>
      <c r="I1901" s="611">
        <v>25.19</v>
      </c>
      <c r="J1901" s="611">
        <v>25.19</v>
      </c>
      <c r="K1901" s="552"/>
    </row>
    <row r="1902" spans="1:11" s="89" customFormat="1" ht="15" customHeight="1" x14ac:dyDescent="0.3">
      <c r="A1902" s="547" t="s">
        <v>430</v>
      </c>
      <c r="B1902" s="548" t="s">
        <v>1259</v>
      </c>
      <c r="C1902" s="547" t="s">
        <v>19</v>
      </c>
      <c r="D1902" s="547" t="s">
        <v>1260</v>
      </c>
      <c r="E1902" s="688" t="s">
        <v>429</v>
      </c>
      <c r="F1902" s="688"/>
      <c r="G1902" s="549" t="s">
        <v>423</v>
      </c>
      <c r="H1902" s="550">
        <v>1</v>
      </c>
      <c r="I1902" s="551">
        <v>0.28999999999999998</v>
      </c>
      <c r="J1902" s="551">
        <v>0.28999999999999998</v>
      </c>
      <c r="K1902" s="546"/>
    </row>
    <row r="1903" spans="1:11" ht="25" x14ac:dyDescent="0.3">
      <c r="A1903" s="547" t="s">
        <v>433</v>
      </c>
      <c r="B1903" s="548" t="s">
        <v>1213</v>
      </c>
      <c r="C1903" s="547" t="s">
        <v>19</v>
      </c>
      <c r="D1903" s="547" t="s">
        <v>3592</v>
      </c>
      <c r="E1903" s="688" t="s">
        <v>862</v>
      </c>
      <c r="F1903" s="688"/>
      <c r="G1903" s="549" t="s">
        <v>423</v>
      </c>
      <c r="H1903" s="550">
        <v>1</v>
      </c>
      <c r="I1903" s="551">
        <v>3.8</v>
      </c>
      <c r="J1903" s="551">
        <v>3.8</v>
      </c>
      <c r="K1903" s="552"/>
    </row>
    <row r="1904" spans="1:11" s="89" customFormat="1" ht="25" x14ac:dyDescent="0.3">
      <c r="A1904" s="547" t="s">
        <v>433</v>
      </c>
      <c r="B1904" s="548" t="s">
        <v>1214</v>
      </c>
      <c r="C1904" s="547" t="s">
        <v>19</v>
      </c>
      <c r="D1904" s="547" t="s">
        <v>3593</v>
      </c>
      <c r="E1904" s="688" t="s">
        <v>1215</v>
      </c>
      <c r="F1904" s="688"/>
      <c r="G1904" s="549" t="s">
        <v>423</v>
      </c>
      <c r="H1904" s="550">
        <v>1</v>
      </c>
      <c r="I1904" s="551">
        <v>1.5</v>
      </c>
      <c r="J1904" s="551">
        <v>1.5</v>
      </c>
      <c r="K1904" s="546"/>
    </row>
    <row r="1905" spans="1:11" ht="25" x14ac:dyDescent="0.3">
      <c r="A1905" s="547" t="s">
        <v>433</v>
      </c>
      <c r="B1905" s="548" t="s">
        <v>1216</v>
      </c>
      <c r="C1905" s="547" t="s">
        <v>19</v>
      </c>
      <c r="D1905" s="547" t="s">
        <v>3594</v>
      </c>
      <c r="E1905" s="688" t="s">
        <v>862</v>
      </c>
      <c r="F1905" s="688"/>
      <c r="G1905" s="549" t="s">
        <v>423</v>
      </c>
      <c r="H1905" s="550">
        <v>1</v>
      </c>
      <c r="I1905" s="551">
        <v>1.34</v>
      </c>
      <c r="J1905" s="551">
        <v>1.34</v>
      </c>
      <c r="K1905" s="552"/>
    </row>
    <row r="1906" spans="1:11" ht="14.25" customHeight="1" x14ac:dyDescent="0.3">
      <c r="A1906" s="547" t="s">
        <v>433</v>
      </c>
      <c r="B1906" s="548" t="s">
        <v>1217</v>
      </c>
      <c r="C1906" s="547" t="s">
        <v>19</v>
      </c>
      <c r="D1906" s="547" t="s">
        <v>3595</v>
      </c>
      <c r="E1906" s="688" t="s">
        <v>531</v>
      </c>
      <c r="F1906" s="688"/>
      <c r="G1906" s="549" t="s">
        <v>423</v>
      </c>
      <c r="H1906" s="550">
        <v>1</v>
      </c>
      <c r="I1906" s="551">
        <v>0.04</v>
      </c>
      <c r="J1906" s="551">
        <v>0.04</v>
      </c>
      <c r="K1906" s="552"/>
    </row>
    <row r="1907" spans="1:11" s="89" customFormat="1" ht="15" customHeight="1" x14ac:dyDescent="0.3">
      <c r="A1907" s="547" t="s">
        <v>433</v>
      </c>
      <c r="B1907" s="548" t="s">
        <v>1261</v>
      </c>
      <c r="C1907" s="547" t="s">
        <v>19</v>
      </c>
      <c r="D1907" s="547" t="s">
        <v>3599</v>
      </c>
      <c r="E1907" s="688" t="s">
        <v>436</v>
      </c>
      <c r="F1907" s="688"/>
      <c r="G1907" s="549" t="s">
        <v>423</v>
      </c>
      <c r="H1907" s="550">
        <v>1</v>
      </c>
      <c r="I1907" s="551">
        <v>17.350000000000001</v>
      </c>
      <c r="J1907" s="551">
        <v>17.350000000000001</v>
      </c>
      <c r="K1907" s="546"/>
    </row>
    <row r="1908" spans="1:11" s="89" customFormat="1" ht="15" customHeight="1" x14ac:dyDescent="0.3">
      <c r="A1908" s="547" t="s">
        <v>433</v>
      </c>
      <c r="B1908" s="548" t="s">
        <v>1262</v>
      </c>
      <c r="C1908" s="547" t="s">
        <v>19</v>
      </c>
      <c r="D1908" s="547" t="s">
        <v>1263</v>
      </c>
      <c r="E1908" s="688" t="s">
        <v>442</v>
      </c>
      <c r="F1908" s="688"/>
      <c r="G1908" s="549" t="s">
        <v>423</v>
      </c>
      <c r="H1908" s="550">
        <v>1</v>
      </c>
      <c r="I1908" s="551">
        <v>0.01</v>
      </c>
      <c r="J1908" s="551">
        <v>0.01</v>
      </c>
      <c r="K1908" s="546"/>
    </row>
    <row r="1909" spans="1:11" s="89" customFormat="1" ht="25.5" thickBot="1" x14ac:dyDescent="0.35">
      <c r="A1909" s="547" t="s">
        <v>433</v>
      </c>
      <c r="B1909" s="548" t="s">
        <v>1264</v>
      </c>
      <c r="C1909" s="547" t="s">
        <v>19</v>
      </c>
      <c r="D1909" s="547" t="s">
        <v>1265</v>
      </c>
      <c r="E1909" s="688" t="s">
        <v>442</v>
      </c>
      <c r="F1909" s="688"/>
      <c r="G1909" s="549" t="s">
        <v>423</v>
      </c>
      <c r="H1909" s="550">
        <v>1</v>
      </c>
      <c r="I1909" s="551">
        <v>0.86</v>
      </c>
      <c r="J1909" s="551">
        <v>0.86</v>
      </c>
      <c r="K1909" s="546"/>
    </row>
    <row r="1910" spans="1:11" ht="14.5" thickTop="1" x14ac:dyDescent="0.3">
      <c r="A1910" s="562"/>
      <c r="B1910" s="562"/>
      <c r="C1910" s="562"/>
      <c r="D1910" s="562"/>
      <c r="E1910" s="562"/>
      <c r="F1910" s="562"/>
      <c r="G1910" s="562"/>
      <c r="H1910" s="562"/>
      <c r="I1910" s="562"/>
      <c r="J1910" s="562"/>
      <c r="K1910" s="552"/>
    </row>
    <row r="1911" spans="1:11" x14ac:dyDescent="0.3">
      <c r="A1911" s="553"/>
      <c r="B1911" s="554" t="s">
        <v>4</v>
      </c>
      <c r="C1911" s="553" t="s">
        <v>5</v>
      </c>
      <c r="D1911" s="553" t="s">
        <v>6</v>
      </c>
      <c r="E1911" s="691" t="s">
        <v>427</v>
      </c>
      <c r="F1911" s="691"/>
      <c r="G1911" s="555" t="s">
        <v>7</v>
      </c>
      <c r="H1911" s="554" t="s">
        <v>8</v>
      </c>
      <c r="I1911" s="554" t="s">
        <v>9</v>
      </c>
      <c r="J1911" s="554" t="s">
        <v>11</v>
      </c>
      <c r="K1911" s="552"/>
    </row>
    <row r="1912" spans="1:11" s="89" customFormat="1" ht="15" customHeight="1" x14ac:dyDescent="0.3">
      <c r="A1912" s="607" t="s">
        <v>428</v>
      </c>
      <c r="B1912" s="608" t="s">
        <v>863</v>
      </c>
      <c r="C1912" s="607" t="s">
        <v>19</v>
      </c>
      <c r="D1912" s="607" t="s">
        <v>864</v>
      </c>
      <c r="E1912" s="690" t="s">
        <v>429</v>
      </c>
      <c r="F1912" s="690"/>
      <c r="G1912" s="609" t="s">
        <v>423</v>
      </c>
      <c r="H1912" s="610">
        <v>1</v>
      </c>
      <c r="I1912" s="611">
        <v>24.65</v>
      </c>
      <c r="J1912" s="611">
        <v>24.65</v>
      </c>
      <c r="K1912" s="546"/>
    </row>
    <row r="1913" spans="1:11" s="89" customFormat="1" ht="15" customHeight="1" x14ac:dyDescent="0.3">
      <c r="A1913" s="547" t="s">
        <v>430</v>
      </c>
      <c r="B1913" s="548" t="s">
        <v>1266</v>
      </c>
      <c r="C1913" s="547" t="s">
        <v>19</v>
      </c>
      <c r="D1913" s="547" t="s">
        <v>1267</v>
      </c>
      <c r="E1913" s="688" t="s">
        <v>429</v>
      </c>
      <c r="F1913" s="688"/>
      <c r="G1913" s="549" t="s">
        <v>423</v>
      </c>
      <c r="H1913" s="550">
        <v>1</v>
      </c>
      <c r="I1913" s="551">
        <v>0.65</v>
      </c>
      <c r="J1913" s="551">
        <v>0.65</v>
      </c>
      <c r="K1913" s="546"/>
    </row>
    <row r="1914" spans="1:11" x14ac:dyDescent="0.3">
      <c r="A1914" s="547" t="s">
        <v>433</v>
      </c>
      <c r="B1914" s="548" t="s">
        <v>1268</v>
      </c>
      <c r="C1914" s="547" t="s">
        <v>19</v>
      </c>
      <c r="D1914" s="547" t="s">
        <v>1269</v>
      </c>
      <c r="E1914" s="688" t="s">
        <v>436</v>
      </c>
      <c r="F1914" s="688"/>
      <c r="G1914" s="549" t="s">
        <v>423</v>
      </c>
      <c r="H1914" s="550">
        <v>1</v>
      </c>
      <c r="I1914" s="551">
        <v>15.27</v>
      </c>
      <c r="J1914" s="551">
        <v>15.27</v>
      </c>
      <c r="K1914" s="552"/>
    </row>
    <row r="1915" spans="1:11" s="89" customFormat="1" ht="15" customHeight="1" x14ac:dyDescent="0.3">
      <c r="A1915" s="547" t="s">
        <v>433</v>
      </c>
      <c r="B1915" s="548" t="s">
        <v>1213</v>
      </c>
      <c r="C1915" s="547" t="s">
        <v>19</v>
      </c>
      <c r="D1915" s="547" t="s">
        <v>3592</v>
      </c>
      <c r="E1915" s="688" t="s">
        <v>862</v>
      </c>
      <c r="F1915" s="688"/>
      <c r="G1915" s="549" t="s">
        <v>423</v>
      </c>
      <c r="H1915" s="550">
        <v>1</v>
      </c>
      <c r="I1915" s="551">
        <v>3.8</v>
      </c>
      <c r="J1915" s="551">
        <v>3.8</v>
      </c>
      <c r="K1915" s="546"/>
    </row>
    <row r="1916" spans="1:11" ht="14.25" customHeight="1" x14ac:dyDescent="0.3">
      <c r="A1916" s="547" t="s">
        <v>433</v>
      </c>
      <c r="B1916" s="548" t="s">
        <v>1214</v>
      </c>
      <c r="C1916" s="547" t="s">
        <v>19</v>
      </c>
      <c r="D1916" s="547" t="s">
        <v>3593</v>
      </c>
      <c r="E1916" s="688" t="s">
        <v>1215</v>
      </c>
      <c r="F1916" s="688"/>
      <c r="G1916" s="549" t="s">
        <v>423</v>
      </c>
      <c r="H1916" s="550">
        <v>1</v>
      </c>
      <c r="I1916" s="551">
        <v>1.5</v>
      </c>
      <c r="J1916" s="551">
        <v>1.5</v>
      </c>
      <c r="K1916" s="552"/>
    </row>
    <row r="1917" spans="1:11" s="89" customFormat="1" ht="25" x14ac:dyDescent="0.3">
      <c r="A1917" s="547" t="s">
        <v>433</v>
      </c>
      <c r="B1917" s="548" t="s">
        <v>1216</v>
      </c>
      <c r="C1917" s="547" t="s">
        <v>19</v>
      </c>
      <c r="D1917" s="547" t="s">
        <v>3594</v>
      </c>
      <c r="E1917" s="688" t="s">
        <v>862</v>
      </c>
      <c r="F1917" s="688"/>
      <c r="G1917" s="549" t="s">
        <v>423</v>
      </c>
      <c r="H1917" s="550">
        <v>1</v>
      </c>
      <c r="I1917" s="551">
        <v>1.34</v>
      </c>
      <c r="J1917" s="551">
        <v>1.34</v>
      </c>
      <c r="K1917" s="546"/>
    </row>
    <row r="1918" spans="1:11" s="89" customFormat="1" ht="25" x14ac:dyDescent="0.3">
      <c r="A1918" s="547" t="s">
        <v>433</v>
      </c>
      <c r="B1918" s="548" t="s">
        <v>1217</v>
      </c>
      <c r="C1918" s="547" t="s">
        <v>19</v>
      </c>
      <c r="D1918" s="547" t="s">
        <v>3595</v>
      </c>
      <c r="E1918" s="688" t="s">
        <v>531</v>
      </c>
      <c r="F1918" s="688"/>
      <c r="G1918" s="549" t="s">
        <v>423</v>
      </c>
      <c r="H1918" s="550">
        <v>1</v>
      </c>
      <c r="I1918" s="551">
        <v>0.04</v>
      </c>
      <c r="J1918" s="551">
        <v>0.04</v>
      </c>
      <c r="K1918" s="546"/>
    </row>
    <row r="1919" spans="1:11" s="89" customFormat="1" ht="25" x14ac:dyDescent="0.3">
      <c r="A1919" s="547" t="s">
        <v>433</v>
      </c>
      <c r="B1919" s="548" t="s">
        <v>1270</v>
      </c>
      <c r="C1919" s="547" t="s">
        <v>19</v>
      </c>
      <c r="D1919" s="547" t="s">
        <v>1271</v>
      </c>
      <c r="E1919" s="688" t="s">
        <v>442</v>
      </c>
      <c r="F1919" s="688"/>
      <c r="G1919" s="549" t="s">
        <v>423</v>
      </c>
      <c r="H1919" s="550">
        <v>1</v>
      </c>
      <c r="I1919" s="551">
        <v>0.85</v>
      </c>
      <c r="J1919" s="551">
        <v>0.85</v>
      </c>
      <c r="K1919" s="546"/>
    </row>
    <row r="1920" spans="1:11" s="89" customFormat="1" ht="25.5" thickBot="1" x14ac:dyDescent="0.35">
      <c r="A1920" s="547" t="s">
        <v>433</v>
      </c>
      <c r="B1920" s="548" t="s">
        <v>1272</v>
      </c>
      <c r="C1920" s="547" t="s">
        <v>19</v>
      </c>
      <c r="D1920" s="547" t="s">
        <v>1273</v>
      </c>
      <c r="E1920" s="688" t="s">
        <v>442</v>
      </c>
      <c r="F1920" s="688"/>
      <c r="G1920" s="549" t="s">
        <v>423</v>
      </c>
      <c r="H1920" s="550">
        <v>1</v>
      </c>
      <c r="I1920" s="551">
        <v>1.2</v>
      </c>
      <c r="J1920" s="551">
        <v>1.2</v>
      </c>
      <c r="K1920" s="546"/>
    </row>
    <row r="1921" spans="1:11" s="89" customFormat="1" ht="14.5" thickTop="1" x14ac:dyDescent="0.3">
      <c r="A1921" s="562"/>
      <c r="B1921" s="562"/>
      <c r="C1921" s="562"/>
      <c r="D1921" s="562"/>
      <c r="E1921" s="562"/>
      <c r="F1921" s="562"/>
      <c r="G1921" s="562"/>
      <c r="H1921" s="562"/>
      <c r="I1921" s="562"/>
      <c r="J1921" s="562"/>
      <c r="K1921" s="546"/>
    </row>
    <row r="1922" spans="1:11" ht="14.25" customHeight="1" x14ac:dyDescent="0.3">
      <c r="A1922" s="553"/>
      <c r="B1922" s="554" t="s">
        <v>4</v>
      </c>
      <c r="C1922" s="553" t="s">
        <v>5</v>
      </c>
      <c r="D1922" s="553" t="s">
        <v>6</v>
      </c>
      <c r="E1922" s="691" t="s">
        <v>427</v>
      </c>
      <c r="F1922" s="691"/>
      <c r="G1922" s="555" t="s">
        <v>7</v>
      </c>
      <c r="H1922" s="554" t="s">
        <v>8</v>
      </c>
      <c r="I1922" s="554" t="s">
        <v>9</v>
      </c>
      <c r="J1922" s="554" t="s">
        <v>11</v>
      </c>
      <c r="K1922" s="552"/>
    </row>
    <row r="1923" spans="1:11" s="89" customFormat="1" ht="15" customHeight="1" x14ac:dyDescent="0.3">
      <c r="A1923" s="607" t="s">
        <v>428</v>
      </c>
      <c r="B1923" s="608" t="s">
        <v>1195</v>
      </c>
      <c r="C1923" s="607" t="s">
        <v>19</v>
      </c>
      <c r="D1923" s="607" t="s">
        <v>1196</v>
      </c>
      <c r="E1923" s="690" t="s">
        <v>429</v>
      </c>
      <c r="F1923" s="690"/>
      <c r="G1923" s="609" t="s">
        <v>423</v>
      </c>
      <c r="H1923" s="610">
        <v>1</v>
      </c>
      <c r="I1923" s="611">
        <v>23.63</v>
      </c>
      <c r="J1923" s="611">
        <v>23.63</v>
      </c>
      <c r="K1923" s="546"/>
    </row>
    <row r="1924" spans="1:11" ht="14.25" customHeight="1" x14ac:dyDescent="0.3">
      <c r="A1924" s="547" t="s">
        <v>430</v>
      </c>
      <c r="B1924" s="548" t="s">
        <v>1274</v>
      </c>
      <c r="C1924" s="547" t="s">
        <v>19</v>
      </c>
      <c r="D1924" s="547" t="s">
        <v>1275</v>
      </c>
      <c r="E1924" s="688" t="s">
        <v>429</v>
      </c>
      <c r="F1924" s="688"/>
      <c r="G1924" s="549" t="s">
        <v>423</v>
      </c>
      <c r="H1924" s="550">
        <v>1</v>
      </c>
      <c r="I1924" s="551">
        <v>0.31</v>
      </c>
      <c r="J1924" s="551">
        <v>0.31</v>
      </c>
      <c r="K1924" s="552"/>
    </row>
    <row r="1925" spans="1:11" s="89" customFormat="1" x14ac:dyDescent="0.3">
      <c r="A1925" s="547" t="s">
        <v>433</v>
      </c>
      <c r="B1925" s="548" t="s">
        <v>1276</v>
      </c>
      <c r="C1925" s="547" t="s">
        <v>19</v>
      </c>
      <c r="D1925" s="547" t="s">
        <v>1277</v>
      </c>
      <c r="E1925" s="688" t="s">
        <v>436</v>
      </c>
      <c r="F1925" s="688"/>
      <c r="G1925" s="549" t="s">
        <v>423</v>
      </c>
      <c r="H1925" s="550">
        <v>1</v>
      </c>
      <c r="I1925" s="551">
        <v>15.27</v>
      </c>
      <c r="J1925" s="551">
        <v>15.27</v>
      </c>
      <c r="K1925" s="546"/>
    </row>
    <row r="1926" spans="1:11" s="89" customFormat="1" ht="25" x14ac:dyDescent="0.3">
      <c r="A1926" s="547" t="s">
        <v>433</v>
      </c>
      <c r="B1926" s="548" t="s">
        <v>1213</v>
      </c>
      <c r="C1926" s="547" t="s">
        <v>19</v>
      </c>
      <c r="D1926" s="547" t="s">
        <v>3592</v>
      </c>
      <c r="E1926" s="688" t="s">
        <v>862</v>
      </c>
      <c r="F1926" s="688"/>
      <c r="G1926" s="549" t="s">
        <v>423</v>
      </c>
      <c r="H1926" s="550">
        <v>1</v>
      </c>
      <c r="I1926" s="551">
        <v>3.8</v>
      </c>
      <c r="J1926" s="551">
        <v>3.8</v>
      </c>
      <c r="K1926" s="546"/>
    </row>
    <row r="1927" spans="1:11" s="89" customFormat="1" ht="25" x14ac:dyDescent="0.3">
      <c r="A1927" s="547" t="s">
        <v>433</v>
      </c>
      <c r="B1927" s="548" t="s">
        <v>1214</v>
      </c>
      <c r="C1927" s="547" t="s">
        <v>19</v>
      </c>
      <c r="D1927" s="547" t="s">
        <v>3593</v>
      </c>
      <c r="E1927" s="688" t="s">
        <v>1215</v>
      </c>
      <c r="F1927" s="688"/>
      <c r="G1927" s="549" t="s">
        <v>423</v>
      </c>
      <c r="H1927" s="550">
        <v>1</v>
      </c>
      <c r="I1927" s="551">
        <v>1.5</v>
      </c>
      <c r="J1927" s="551">
        <v>1.5</v>
      </c>
      <c r="K1927" s="546"/>
    </row>
    <row r="1928" spans="1:11" ht="25" x14ac:dyDescent="0.3">
      <c r="A1928" s="547" t="s">
        <v>433</v>
      </c>
      <c r="B1928" s="548" t="s">
        <v>1216</v>
      </c>
      <c r="C1928" s="547" t="s">
        <v>19</v>
      </c>
      <c r="D1928" s="547" t="s">
        <v>3594</v>
      </c>
      <c r="E1928" s="688" t="s">
        <v>862</v>
      </c>
      <c r="F1928" s="688"/>
      <c r="G1928" s="549" t="s">
        <v>423</v>
      </c>
      <c r="H1928" s="550">
        <v>1</v>
      </c>
      <c r="I1928" s="551">
        <v>1.34</v>
      </c>
      <c r="J1928" s="551">
        <v>1.34</v>
      </c>
      <c r="K1928" s="552"/>
    </row>
    <row r="1929" spans="1:11" s="89" customFormat="1" ht="15" customHeight="1" x14ac:dyDescent="0.3">
      <c r="A1929" s="547" t="s">
        <v>433</v>
      </c>
      <c r="B1929" s="548" t="s">
        <v>1217</v>
      </c>
      <c r="C1929" s="547" t="s">
        <v>19</v>
      </c>
      <c r="D1929" s="547" t="s">
        <v>3595</v>
      </c>
      <c r="E1929" s="688" t="s">
        <v>531</v>
      </c>
      <c r="F1929" s="688"/>
      <c r="G1929" s="549" t="s">
        <v>423</v>
      </c>
      <c r="H1929" s="550">
        <v>1</v>
      </c>
      <c r="I1929" s="551">
        <v>0.04</v>
      </c>
      <c r="J1929" s="551">
        <v>0.04</v>
      </c>
      <c r="K1929" s="546"/>
    </row>
    <row r="1930" spans="1:11" ht="25" x14ac:dyDescent="0.3">
      <c r="A1930" s="547" t="s">
        <v>433</v>
      </c>
      <c r="B1930" s="548" t="s">
        <v>1278</v>
      </c>
      <c r="C1930" s="547" t="s">
        <v>19</v>
      </c>
      <c r="D1930" s="547" t="s">
        <v>1279</v>
      </c>
      <c r="E1930" s="688" t="s">
        <v>442</v>
      </c>
      <c r="F1930" s="688"/>
      <c r="G1930" s="549" t="s">
        <v>423</v>
      </c>
      <c r="H1930" s="550">
        <v>1</v>
      </c>
      <c r="I1930" s="551">
        <v>0.31</v>
      </c>
      <c r="J1930" s="551">
        <v>0.31</v>
      </c>
      <c r="K1930" s="552"/>
    </row>
    <row r="1931" spans="1:11" ht="25.5" thickBot="1" x14ac:dyDescent="0.35">
      <c r="A1931" s="547" t="s">
        <v>433</v>
      </c>
      <c r="B1931" s="548" t="s">
        <v>1280</v>
      </c>
      <c r="C1931" s="547" t="s">
        <v>19</v>
      </c>
      <c r="D1931" s="547" t="s">
        <v>1281</v>
      </c>
      <c r="E1931" s="688" t="s">
        <v>442</v>
      </c>
      <c r="F1931" s="688"/>
      <c r="G1931" s="549" t="s">
        <v>423</v>
      </c>
      <c r="H1931" s="550">
        <v>1</v>
      </c>
      <c r="I1931" s="551">
        <v>1.06</v>
      </c>
      <c r="J1931" s="551">
        <v>1.06</v>
      </c>
      <c r="K1931" s="552"/>
    </row>
    <row r="1932" spans="1:11" s="89" customFormat="1" ht="14.5" thickTop="1" x14ac:dyDescent="0.3">
      <c r="A1932" s="562"/>
      <c r="B1932" s="562"/>
      <c r="C1932" s="562"/>
      <c r="D1932" s="562"/>
      <c r="E1932" s="562"/>
      <c r="F1932" s="562"/>
      <c r="G1932" s="562"/>
      <c r="H1932" s="562"/>
      <c r="I1932" s="562"/>
      <c r="J1932" s="562"/>
      <c r="K1932" s="546"/>
    </row>
    <row r="1933" spans="1:11" x14ac:dyDescent="0.3">
      <c r="A1933" s="553"/>
      <c r="B1933" s="554" t="s">
        <v>4</v>
      </c>
      <c r="C1933" s="553" t="s">
        <v>5</v>
      </c>
      <c r="D1933" s="553" t="s">
        <v>6</v>
      </c>
      <c r="E1933" s="691" t="s">
        <v>427</v>
      </c>
      <c r="F1933" s="691"/>
      <c r="G1933" s="555" t="s">
        <v>7</v>
      </c>
      <c r="H1933" s="554" t="s">
        <v>8</v>
      </c>
      <c r="I1933" s="554" t="s">
        <v>9</v>
      </c>
      <c r="J1933" s="554" t="s">
        <v>11</v>
      </c>
      <c r="K1933" s="552"/>
    </row>
    <row r="1934" spans="1:11" s="89" customFormat="1" ht="15" customHeight="1" x14ac:dyDescent="0.3">
      <c r="A1934" s="607" t="s">
        <v>428</v>
      </c>
      <c r="B1934" s="608" t="s">
        <v>791</v>
      </c>
      <c r="C1934" s="607" t="s">
        <v>19</v>
      </c>
      <c r="D1934" s="607" t="s">
        <v>792</v>
      </c>
      <c r="E1934" s="690" t="s">
        <v>429</v>
      </c>
      <c r="F1934" s="690"/>
      <c r="G1934" s="609" t="s">
        <v>423</v>
      </c>
      <c r="H1934" s="610">
        <v>1</v>
      </c>
      <c r="I1934" s="611">
        <v>23.24</v>
      </c>
      <c r="J1934" s="611">
        <v>23.24</v>
      </c>
      <c r="K1934" s="546"/>
    </row>
    <row r="1935" spans="1:11" ht="25" x14ac:dyDescent="0.3">
      <c r="A1935" s="547" t="s">
        <v>430</v>
      </c>
      <c r="B1935" s="548" t="s">
        <v>1282</v>
      </c>
      <c r="C1935" s="547" t="s">
        <v>19</v>
      </c>
      <c r="D1935" s="547" t="s">
        <v>1283</v>
      </c>
      <c r="E1935" s="688" t="s">
        <v>429</v>
      </c>
      <c r="F1935" s="688"/>
      <c r="G1935" s="549" t="s">
        <v>423</v>
      </c>
      <c r="H1935" s="550">
        <v>1</v>
      </c>
      <c r="I1935" s="551">
        <v>0.19</v>
      </c>
      <c r="J1935" s="551">
        <v>0.19</v>
      </c>
      <c r="K1935" s="552"/>
    </row>
    <row r="1936" spans="1:11" s="89" customFormat="1" x14ac:dyDescent="0.3">
      <c r="A1936" s="547" t="s">
        <v>433</v>
      </c>
      <c r="B1936" s="548" t="s">
        <v>1284</v>
      </c>
      <c r="C1936" s="547" t="s">
        <v>19</v>
      </c>
      <c r="D1936" s="547" t="s">
        <v>3600</v>
      </c>
      <c r="E1936" s="688" t="s">
        <v>436</v>
      </c>
      <c r="F1936" s="688"/>
      <c r="G1936" s="549" t="s">
        <v>423</v>
      </c>
      <c r="H1936" s="550">
        <v>1</v>
      </c>
      <c r="I1936" s="551">
        <v>14.43</v>
      </c>
      <c r="J1936" s="551">
        <v>14.43</v>
      </c>
      <c r="K1936" s="546"/>
    </row>
    <row r="1937" spans="1:11" ht="25" x14ac:dyDescent="0.3">
      <c r="A1937" s="547" t="s">
        <v>433</v>
      </c>
      <c r="B1937" s="548" t="s">
        <v>1213</v>
      </c>
      <c r="C1937" s="547" t="s">
        <v>19</v>
      </c>
      <c r="D1937" s="547" t="s">
        <v>3592</v>
      </c>
      <c r="E1937" s="688" t="s">
        <v>862</v>
      </c>
      <c r="F1937" s="688"/>
      <c r="G1937" s="549" t="s">
        <v>423</v>
      </c>
      <c r="H1937" s="550">
        <v>1</v>
      </c>
      <c r="I1937" s="551">
        <v>3.8</v>
      </c>
      <c r="J1937" s="551">
        <v>3.8</v>
      </c>
      <c r="K1937" s="552"/>
    </row>
    <row r="1938" spans="1:11" ht="25" x14ac:dyDescent="0.3">
      <c r="A1938" s="547" t="s">
        <v>433</v>
      </c>
      <c r="B1938" s="548" t="s">
        <v>1214</v>
      </c>
      <c r="C1938" s="547" t="s">
        <v>19</v>
      </c>
      <c r="D1938" s="547" t="s">
        <v>3593</v>
      </c>
      <c r="E1938" s="688" t="s">
        <v>1215</v>
      </c>
      <c r="F1938" s="688"/>
      <c r="G1938" s="549" t="s">
        <v>423</v>
      </c>
      <c r="H1938" s="550">
        <v>1</v>
      </c>
      <c r="I1938" s="551">
        <v>1.5</v>
      </c>
      <c r="J1938" s="551">
        <v>1.5</v>
      </c>
      <c r="K1938" s="552"/>
    </row>
    <row r="1939" spans="1:11" s="89" customFormat="1" ht="25" x14ac:dyDescent="0.3">
      <c r="A1939" s="547" t="s">
        <v>433</v>
      </c>
      <c r="B1939" s="548" t="s">
        <v>1216</v>
      </c>
      <c r="C1939" s="547" t="s">
        <v>19</v>
      </c>
      <c r="D1939" s="547" t="s">
        <v>3594</v>
      </c>
      <c r="E1939" s="688" t="s">
        <v>862</v>
      </c>
      <c r="F1939" s="688"/>
      <c r="G1939" s="549" t="s">
        <v>423</v>
      </c>
      <c r="H1939" s="550">
        <v>1</v>
      </c>
      <c r="I1939" s="551">
        <v>1.34</v>
      </c>
      <c r="J1939" s="551">
        <v>1.34</v>
      </c>
      <c r="K1939" s="546"/>
    </row>
    <row r="1940" spans="1:11" s="89" customFormat="1" ht="15" customHeight="1" x14ac:dyDescent="0.3">
      <c r="A1940" s="547" t="s">
        <v>433</v>
      </c>
      <c r="B1940" s="548" t="s">
        <v>1217</v>
      </c>
      <c r="C1940" s="547" t="s">
        <v>19</v>
      </c>
      <c r="D1940" s="547" t="s">
        <v>3595</v>
      </c>
      <c r="E1940" s="688" t="s">
        <v>531</v>
      </c>
      <c r="F1940" s="688"/>
      <c r="G1940" s="549" t="s">
        <v>423</v>
      </c>
      <c r="H1940" s="550">
        <v>1</v>
      </c>
      <c r="I1940" s="551">
        <v>0.04</v>
      </c>
      <c r="J1940" s="551">
        <v>0.04</v>
      </c>
      <c r="K1940" s="546"/>
    </row>
    <row r="1941" spans="1:11" ht="25" x14ac:dyDescent="0.3">
      <c r="A1941" s="547" t="s">
        <v>433</v>
      </c>
      <c r="B1941" s="548" t="s">
        <v>1285</v>
      </c>
      <c r="C1941" s="547" t="s">
        <v>19</v>
      </c>
      <c r="D1941" s="547" t="s">
        <v>1286</v>
      </c>
      <c r="E1941" s="688" t="s">
        <v>442</v>
      </c>
      <c r="F1941" s="688"/>
      <c r="G1941" s="549" t="s">
        <v>423</v>
      </c>
      <c r="H1941" s="550">
        <v>1</v>
      </c>
      <c r="I1941" s="551">
        <v>0.61</v>
      </c>
      <c r="J1941" s="551">
        <v>0.61</v>
      </c>
      <c r="K1941" s="552"/>
    </row>
    <row r="1942" spans="1:11" s="89" customFormat="1" ht="25.5" thickBot="1" x14ac:dyDescent="0.35">
      <c r="A1942" s="547" t="s">
        <v>433</v>
      </c>
      <c r="B1942" s="548" t="s">
        <v>1287</v>
      </c>
      <c r="C1942" s="547" t="s">
        <v>19</v>
      </c>
      <c r="D1942" s="547" t="s">
        <v>1288</v>
      </c>
      <c r="E1942" s="688" t="s">
        <v>442</v>
      </c>
      <c r="F1942" s="688"/>
      <c r="G1942" s="549" t="s">
        <v>423</v>
      </c>
      <c r="H1942" s="550">
        <v>1</v>
      </c>
      <c r="I1942" s="551">
        <v>1.33</v>
      </c>
      <c r="J1942" s="551">
        <v>1.33</v>
      </c>
      <c r="K1942" s="546"/>
    </row>
    <row r="1943" spans="1:11" ht="14.5" thickTop="1" x14ac:dyDescent="0.3">
      <c r="A1943" s="562"/>
      <c r="B1943" s="562"/>
      <c r="C1943" s="562"/>
      <c r="D1943" s="562"/>
      <c r="E1943" s="562"/>
      <c r="F1943" s="562"/>
      <c r="G1943" s="562"/>
      <c r="H1943" s="562"/>
      <c r="I1943" s="562"/>
      <c r="J1943" s="562"/>
      <c r="K1943" s="552"/>
    </row>
    <row r="1944" spans="1:11" s="89" customFormat="1" x14ac:dyDescent="0.3">
      <c r="A1944" s="553"/>
      <c r="B1944" s="554" t="s">
        <v>4</v>
      </c>
      <c r="C1944" s="553" t="s">
        <v>5</v>
      </c>
      <c r="D1944" s="553" t="s">
        <v>6</v>
      </c>
      <c r="E1944" s="691" t="s">
        <v>427</v>
      </c>
      <c r="F1944" s="691"/>
      <c r="G1944" s="555" t="s">
        <v>7</v>
      </c>
      <c r="H1944" s="554" t="s">
        <v>8</v>
      </c>
      <c r="I1944" s="554" t="s">
        <v>9</v>
      </c>
      <c r="J1944" s="554" t="s">
        <v>11</v>
      </c>
      <c r="K1944" s="546"/>
    </row>
    <row r="1945" spans="1:11" ht="25" x14ac:dyDescent="0.3">
      <c r="A1945" s="607" t="s">
        <v>428</v>
      </c>
      <c r="B1945" s="608" t="s">
        <v>1139</v>
      </c>
      <c r="C1945" s="607" t="s">
        <v>188</v>
      </c>
      <c r="D1945" s="607" t="s">
        <v>1140</v>
      </c>
      <c r="E1945" s="690" t="s">
        <v>1141</v>
      </c>
      <c r="F1945" s="690"/>
      <c r="G1945" s="609" t="s">
        <v>556</v>
      </c>
      <c r="H1945" s="610">
        <v>1</v>
      </c>
      <c r="I1945" s="611">
        <v>124.29</v>
      </c>
      <c r="J1945" s="611">
        <v>124.29</v>
      </c>
      <c r="K1945" s="552"/>
    </row>
    <row r="1946" spans="1:11" s="89" customFormat="1" ht="15" customHeight="1" x14ac:dyDescent="0.3">
      <c r="A1946" s="547" t="s">
        <v>430</v>
      </c>
      <c r="B1946" s="548" t="s">
        <v>1289</v>
      </c>
      <c r="C1946" s="547" t="s">
        <v>188</v>
      </c>
      <c r="D1946" s="547" t="s">
        <v>1290</v>
      </c>
      <c r="E1946" s="688" t="s">
        <v>1138</v>
      </c>
      <c r="F1946" s="688"/>
      <c r="G1946" s="549" t="s">
        <v>532</v>
      </c>
      <c r="H1946" s="550">
        <v>3.2000000000000001E-2</v>
      </c>
      <c r="I1946" s="551">
        <v>466.57</v>
      </c>
      <c r="J1946" s="551">
        <v>14.93</v>
      </c>
      <c r="K1946" s="546"/>
    </row>
    <row r="1947" spans="1:11" s="89" customFormat="1" ht="15" customHeight="1" x14ac:dyDescent="0.3">
      <c r="A1947" s="547" t="s">
        <v>430</v>
      </c>
      <c r="B1947" s="548" t="s">
        <v>760</v>
      </c>
      <c r="C1947" s="547" t="s">
        <v>19</v>
      </c>
      <c r="D1947" s="547" t="s">
        <v>761</v>
      </c>
      <c r="E1947" s="688" t="s">
        <v>429</v>
      </c>
      <c r="F1947" s="688"/>
      <c r="G1947" s="549" t="s">
        <v>423</v>
      </c>
      <c r="H1947" s="550">
        <v>1.52</v>
      </c>
      <c r="I1947" s="551">
        <v>31.1</v>
      </c>
      <c r="J1947" s="551">
        <v>47.27</v>
      </c>
      <c r="K1947" s="546"/>
    </row>
    <row r="1948" spans="1:11" s="89" customFormat="1" ht="15" customHeight="1" x14ac:dyDescent="0.3">
      <c r="A1948" s="547" t="s">
        <v>430</v>
      </c>
      <c r="B1948" s="548" t="s">
        <v>559</v>
      </c>
      <c r="C1948" s="547" t="s">
        <v>19</v>
      </c>
      <c r="D1948" s="547" t="s">
        <v>560</v>
      </c>
      <c r="E1948" s="688" t="s">
        <v>429</v>
      </c>
      <c r="F1948" s="688"/>
      <c r="G1948" s="549" t="s">
        <v>423</v>
      </c>
      <c r="H1948" s="550">
        <v>0.91</v>
      </c>
      <c r="I1948" s="551">
        <v>23.4</v>
      </c>
      <c r="J1948" s="551">
        <v>21.29</v>
      </c>
      <c r="K1948" s="546"/>
    </row>
    <row r="1949" spans="1:11" ht="14.5" thickBot="1" x14ac:dyDescent="0.35">
      <c r="A1949" s="547" t="s">
        <v>433</v>
      </c>
      <c r="B1949" s="548" t="s">
        <v>1291</v>
      </c>
      <c r="C1949" s="547" t="s">
        <v>188</v>
      </c>
      <c r="D1949" s="547" t="s">
        <v>1292</v>
      </c>
      <c r="E1949" s="688" t="s">
        <v>438</v>
      </c>
      <c r="F1949" s="688"/>
      <c r="G1949" s="549" t="s">
        <v>869</v>
      </c>
      <c r="H1949" s="550">
        <v>68</v>
      </c>
      <c r="I1949" s="551">
        <v>0.6</v>
      </c>
      <c r="J1949" s="551">
        <v>40.799999999999997</v>
      </c>
      <c r="K1949" s="552"/>
    </row>
    <row r="1950" spans="1:11" s="89" customFormat="1" ht="14.5" thickTop="1" x14ac:dyDescent="0.3">
      <c r="A1950" s="562"/>
      <c r="B1950" s="562"/>
      <c r="C1950" s="562"/>
      <c r="D1950" s="562"/>
      <c r="E1950" s="562"/>
      <c r="F1950" s="562"/>
      <c r="G1950" s="562"/>
      <c r="H1950" s="562"/>
      <c r="I1950" s="562"/>
      <c r="J1950" s="562"/>
      <c r="K1950" s="546"/>
    </row>
    <row r="1951" spans="1:11" s="89" customFormat="1" x14ac:dyDescent="0.3">
      <c r="A1951" s="553"/>
      <c r="B1951" s="554" t="s">
        <v>4</v>
      </c>
      <c r="C1951" s="553" t="s">
        <v>5</v>
      </c>
      <c r="D1951" s="553" t="s">
        <v>6</v>
      </c>
      <c r="E1951" s="691" t="s">
        <v>427</v>
      </c>
      <c r="F1951" s="691"/>
      <c r="G1951" s="555" t="s">
        <v>7</v>
      </c>
      <c r="H1951" s="554" t="s">
        <v>8</v>
      </c>
      <c r="I1951" s="554" t="s">
        <v>9</v>
      </c>
      <c r="J1951" s="554" t="s">
        <v>11</v>
      </c>
      <c r="K1951" s="546"/>
    </row>
    <row r="1952" spans="1:11" s="89" customFormat="1" ht="25" x14ac:dyDescent="0.3">
      <c r="A1952" s="607" t="s">
        <v>428</v>
      </c>
      <c r="B1952" s="608" t="s">
        <v>1142</v>
      </c>
      <c r="C1952" s="607" t="s">
        <v>188</v>
      </c>
      <c r="D1952" s="607" t="s">
        <v>1143</v>
      </c>
      <c r="E1952" s="690" t="s">
        <v>1144</v>
      </c>
      <c r="F1952" s="690"/>
      <c r="G1952" s="609" t="s">
        <v>532</v>
      </c>
      <c r="H1952" s="610">
        <v>1</v>
      </c>
      <c r="I1952" s="611">
        <v>511.2</v>
      </c>
      <c r="J1952" s="611">
        <v>511.2</v>
      </c>
      <c r="K1952" s="546"/>
    </row>
    <row r="1953" spans="1:11" ht="14.25" customHeight="1" x14ac:dyDescent="0.3">
      <c r="A1953" s="547" t="s">
        <v>430</v>
      </c>
      <c r="B1953" s="548" t="s">
        <v>559</v>
      </c>
      <c r="C1953" s="547" t="s">
        <v>19</v>
      </c>
      <c r="D1953" s="547" t="s">
        <v>560</v>
      </c>
      <c r="E1953" s="688" t="s">
        <v>429</v>
      </c>
      <c r="F1953" s="688"/>
      <c r="G1953" s="549" t="s">
        <v>423</v>
      </c>
      <c r="H1953" s="550">
        <v>4</v>
      </c>
      <c r="I1953" s="551">
        <v>23.4</v>
      </c>
      <c r="J1953" s="551">
        <v>93.6</v>
      </c>
      <c r="K1953" s="552"/>
    </row>
    <row r="1954" spans="1:11" s="89" customFormat="1" x14ac:dyDescent="0.3">
      <c r="A1954" s="547" t="s">
        <v>433</v>
      </c>
      <c r="B1954" s="548" t="s">
        <v>820</v>
      </c>
      <c r="C1954" s="547" t="s">
        <v>115</v>
      </c>
      <c r="D1954" s="547" t="s">
        <v>821</v>
      </c>
      <c r="E1954" s="688" t="s">
        <v>438</v>
      </c>
      <c r="F1954" s="688"/>
      <c r="G1954" s="549" t="s">
        <v>532</v>
      </c>
      <c r="H1954" s="550">
        <v>1.08</v>
      </c>
      <c r="I1954" s="551">
        <v>149.36019999999999</v>
      </c>
      <c r="J1954" s="551">
        <v>161.30000000000001</v>
      </c>
      <c r="K1954" s="546"/>
    </row>
    <row r="1955" spans="1:11" ht="14.5" thickBot="1" x14ac:dyDescent="0.35">
      <c r="A1955" s="547" t="s">
        <v>433</v>
      </c>
      <c r="B1955" s="548" t="s">
        <v>3844</v>
      </c>
      <c r="C1955" s="547" t="s">
        <v>115</v>
      </c>
      <c r="D1955" s="547" t="s">
        <v>3845</v>
      </c>
      <c r="E1955" s="688" t="s">
        <v>438</v>
      </c>
      <c r="F1955" s="688"/>
      <c r="G1955" s="549" t="s">
        <v>655</v>
      </c>
      <c r="H1955" s="550">
        <v>452.2</v>
      </c>
      <c r="I1955" s="551">
        <v>0.56679999999999997</v>
      </c>
      <c r="J1955" s="551">
        <v>256.3</v>
      </c>
      <c r="K1955" s="552"/>
    </row>
    <row r="1956" spans="1:11" s="89" customFormat="1" ht="14.5" thickTop="1" x14ac:dyDescent="0.3">
      <c r="A1956" s="562"/>
      <c r="B1956" s="562"/>
      <c r="C1956" s="562"/>
      <c r="D1956" s="562"/>
      <c r="E1956" s="562"/>
      <c r="F1956" s="562"/>
      <c r="G1956" s="562"/>
      <c r="H1956" s="562"/>
      <c r="I1956" s="562"/>
      <c r="J1956" s="562"/>
      <c r="K1956" s="546"/>
    </row>
    <row r="1957" spans="1:11" x14ac:dyDescent="0.3">
      <c r="A1957" s="553"/>
      <c r="B1957" s="554" t="s">
        <v>4</v>
      </c>
      <c r="C1957" s="553" t="s">
        <v>5</v>
      </c>
      <c r="D1957" s="553" t="s">
        <v>6</v>
      </c>
      <c r="E1957" s="691" t="s">
        <v>427</v>
      </c>
      <c r="F1957" s="691"/>
      <c r="G1957" s="555" t="s">
        <v>7</v>
      </c>
      <c r="H1957" s="554" t="s">
        <v>8</v>
      </c>
      <c r="I1957" s="554" t="s">
        <v>9</v>
      </c>
      <c r="J1957" s="554" t="s">
        <v>11</v>
      </c>
      <c r="K1957" s="552"/>
    </row>
    <row r="1958" spans="1:11" s="89" customFormat="1" ht="25" x14ac:dyDescent="0.3">
      <c r="A1958" s="607" t="s">
        <v>428</v>
      </c>
      <c r="B1958" s="608" t="s">
        <v>3569</v>
      </c>
      <c r="C1958" s="607" t="s">
        <v>115</v>
      </c>
      <c r="D1958" s="607" t="s">
        <v>3570</v>
      </c>
      <c r="E1958" s="690" t="s">
        <v>402</v>
      </c>
      <c r="F1958" s="690"/>
      <c r="G1958" s="609" t="s">
        <v>532</v>
      </c>
      <c r="H1958" s="610">
        <v>1</v>
      </c>
      <c r="I1958" s="611">
        <v>295.22000000000003</v>
      </c>
      <c r="J1958" s="611">
        <v>295.22000000000003</v>
      </c>
      <c r="K1958" s="546"/>
    </row>
    <row r="1959" spans="1:11" ht="14.25" customHeight="1" x14ac:dyDescent="0.3">
      <c r="A1959" s="691" t="s">
        <v>408</v>
      </c>
      <c r="B1959" s="692" t="s">
        <v>4</v>
      </c>
      <c r="C1959" s="691" t="s">
        <v>5</v>
      </c>
      <c r="D1959" s="691" t="s">
        <v>462</v>
      </c>
      <c r="E1959" s="692" t="s">
        <v>463</v>
      </c>
      <c r="F1959" s="694" t="s">
        <v>464</v>
      </c>
      <c r="G1959" s="692"/>
      <c r="H1959" s="694" t="s">
        <v>465</v>
      </c>
      <c r="I1959" s="692"/>
      <c r="J1959" s="692" t="s">
        <v>466</v>
      </c>
      <c r="K1959" s="552"/>
    </row>
    <row r="1960" spans="1:11" ht="14.25" customHeight="1" x14ac:dyDescent="0.3">
      <c r="A1960" s="692"/>
      <c r="B1960" s="692"/>
      <c r="C1960" s="692"/>
      <c r="D1960" s="692"/>
      <c r="E1960" s="692"/>
      <c r="F1960" s="554" t="s">
        <v>467</v>
      </c>
      <c r="G1960" s="554" t="s">
        <v>468</v>
      </c>
      <c r="H1960" s="554" t="s">
        <v>467</v>
      </c>
      <c r="I1960" s="554" t="s">
        <v>468</v>
      </c>
      <c r="J1960" s="692"/>
      <c r="K1960" s="552"/>
    </row>
    <row r="1961" spans="1:11" s="89" customFormat="1" ht="25" x14ac:dyDescent="0.3">
      <c r="A1961" s="547" t="s">
        <v>433</v>
      </c>
      <c r="B1961" s="548" t="s">
        <v>3601</v>
      </c>
      <c r="C1961" s="547" t="s">
        <v>115</v>
      </c>
      <c r="D1961" s="547" t="s">
        <v>3602</v>
      </c>
      <c r="E1961" s="550">
        <v>1</v>
      </c>
      <c r="F1961" s="551">
        <v>1</v>
      </c>
      <c r="G1961" s="551">
        <v>0</v>
      </c>
      <c r="H1961" s="563">
        <v>34.011699999999998</v>
      </c>
      <c r="I1961" s="563">
        <v>30.001000000000001</v>
      </c>
      <c r="J1961" s="563">
        <v>34.011699999999998</v>
      </c>
      <c r="K1961" s="546"/>
    </row>
    <row r="1962" spans="1:11" s="89" customFormat="1" x14ac:dyDescent="0.3">
      <c r="A1962" s="547" t="s">
        <v>433</v>
      </c>
      <c r="B1962" s="548" t="s">
        <v>825</v>
      </c>
      <c r="C1962" s="547" t="s">
        <v>115</v>
      </c>
      <c r="D1962" s="547" t="s">
        <v>3550</v>
      </c>
      <c r="E1962" s="550">
        <v>1</v>
      </c>
      <c r="F1962" s="551">
        <v>1</v>
      </c>
      <c r="G1962" s="551">
        <v>0</v>
      </c>
      <c r="H1962" s="563">
        <v>18.346599999999999</v>
      </c>
      <c r="I1962" s="563">
        <v>4.6111000000000004</v>
      </c>
      <c r="J1962" s="563">
        <v>18.346599999999999</v>
      </c>
      <c r="K1962" s="546"/>
    </row>
    <row r="1963" spans="1:11" s="89" customFormat="1" x14ac:dyDescent="0.3">
      <c r="A1963" s="547" t="s">
        <v>433</v>
      </c>
      <c r="B1963" s="548" t="s">
        <v>893</v>
      </c>
      <c r="C1963" s="547" t="s">
        <v>115</v>
      </c>
      <c r="D1963" s="547" t="s">
        <v>894</v>
      </c>
      <c r="E1963" s="550">
        <v>1</v>
      </c>
      <c r="F1963" s="551">
        <v>0.61</v>
      </c>
      <c r="G1963" s="551">
        <v>0.39</v>
      </c>
      <c r="H1963" s="563">
        <v>0.68179999999999996</v>
      </c>
      <c r="I1963" s="563">
        <v>0.46350000000000002</v>
      </c>
      <c r="J1963" s="563">
        <v>0.59670000000000001</v>
      </c>
      <c r="K1963" s="546"/>
    </row>
    <row r="1964" spans="1:11" s="89" customFormat="1" ht="15" customHeight="1" x14ac:dyDescent="0.3">
      <c r="A1964" s="689"/>
      <c r="B1964" s="689"/>
      <c r="C1964" s="689"/>
      <c r="D1964" s="689"/>
      <c r="E1964" s="689"/>
      <c r="F1964" s="689" t="s">
        <v>471</v>
      </c>
      <c r="G1964" s="689"/>
      <c r="H1964" s="689"/>
      <c r="I1964" s="689"/>
      <c r="J1964" s="564">
        <v>52.954999999999998</v>
      </c>
      <c r="K1964" s="546"/>
    </row>
    <row r="1965" spans="1:11" ht="14.25" customHeight="1" x14ac:dyDescent="0.3">
      <c r="A1965" s="689"/>
      <c r="B1965" s="689"/>
      <c r="C1965" s="689"/>
      <c r="D1965" s="689"/>
      <c r="E1965" s="689"/>
      <c r="F1965" s="689" t="s">
        <v>472</v>
      </c>
      <c r="G1965" s="689"/>
      <c r="H1965" s="689"/>
      <c r="I1965" s="689"/>
      <c r="J1965" s="564">
        <v>52.954999999999998</v>
      </c>
      <c r="K1965" s="552"/>
    </row>
    <row r="1966" spans="1:11" s="89" customFormat="1" ht="15" customHeight="1" x14ac:dyDescent="0.3">
      <c r="A1966" s="689"/>
      <c r="B1966" s="689"/>
      <c r="C1966" s="689"/>
      <c r="D1966" s="689"/>
      <c r="E1966" s="689"/>
      <c r="F1966" s="689" t="s">
        <v>473</v>
      </c>
      <c r="G1966" s="689"/>
      <c r="H1966" s="689"/>
      <c r="I1966" s="689"/>
      <c r="J1966" s="564">
        <v>0</v>
      </c>
      <c r="K1966" s="546"/>
    </row>
    <row r="1967" spans="1:11" x14ac:dyDescent="0.3">
      <c r="A1967" s="689"/>
      <c r="B1967" s="689"/>
      <c r="C1967" s="689"/>
      <c r="D1967" s="689"/>
      <c r="E1967" s="689"/>
      <c r="F1967" s="689" t="s">
        <v>474</v>
      </c>
      <c r="G1967" s="689"/>
      <c r="H1967" s="689"/>
      <c r="I1967" s="689"/>
      <c r="J1967" s="564">
        <v>0</v>
      </c>
      <c r="K1967" s="552"/>
    </row>
    <row r="1968" spans="1:11" s="89" customFormat="1" ht="15" customHeight="1" x14ac:dyDescent="0.3">
      <c r="A1968" s="689"/>
      <c r="B1968" s="689"/>
      <c r="C1968" s="689"/>
      <c r="D1968" s="689"/>
      <c r="E1968" s="689"/>
      <c r="F1968" s="689" t="s">
        <v>475</v>
      </c>
      <c r="G1968" s="689"/>
      <c r="H1968" s="689"/>
      <c r="I1968" s="689"/>
      <c r="J1968" s="564">
        <v>0.89639999999999997</v>
      </c>
      <c r="K1968" s="546"/>
    </row>
    <row r="1969" spans="1:11" ht="14.25" customHeight="1" x14ac:dyDescent="0.3">
      <c r="A1969" s="689"/>
      <c r="B1969" s="689"/>
      <c r="C1969" s="689"/>
      <c r="D1969" s="689"/>
      <c r="E1969" s="689"/>
      <c r="F1969" s="689" t="s">
        <v>476</v>
      </c>
      <c r="G1969" s="689"/>
      <c r="H1969" s="689"/>
      <c r="I1969" s="689"/>
      <c r="J1969" s="564">
        <v>59.075200000000002</v>
      </c>
      <c r="K1969" s="552"/>
    </row>
    <row r="1970" spans="1:11" s="89" customFormat="1" ht="15" customHeight="1" x14ac:dyDescent="0.3">
      <c r="A1970" s="553" t="s">
        <v>410</v>
      </c>
      <c r="B1970" s="554" t="s">
        <v>5</v>
      </c>
      <c r="C1970" s="553" t="s">
        <v>4</v>
      </c>
      <c r="D1970" s="553" t="s">
        <v>438</v>
      </c>
      <c r="E1970" s="554" t="s">
        <v>463</v>
      </c>
      <c r="F1970" s="554" t="s">
        <v>575</v>
      </c>
      <c r="G1970" s="692" t="s">
        <v>576</v>
      </c>
      <c r="H1970" s="692"/>
      <c r="I1970" s="692"/>
      <c r="J1970" s="554" t="s">
        <v>466</v>
      </c>
      <c r="K1970" s="546"/>
    </row>
    <row r="1971" spans="1:11" s="89" customFormat="1" ht="15" customHeight="1" x14ac:dyDescent="0.3">
      <c r="A1971" s="547" t="s">
        <v>433</v>
      </c>
      <c r="B1971" s="548" t="s">
        <v>115</v>
      </c>
      <c r="C1971" s="547" t="s">
        <v>1159</v>
      </c>
      <c r="D1971" s="547" t="s">
        <v>1160</v>
      </c>
      <c r="E1971" s="550">
        <v>210</v>
      </c>
      <c r="F1971" s="549" t="s">
        <v>655</v>
      </c>
      <c r="G1971" s="693">
        <v>0.57099999999999995</v>
      </c>
      <c r="H1971" s="693"/>
      <c r="I1971" s="688"/>
      <c r="J1971" s="563">
        <v>119.91</v>
      </c>
      <c r="K1971" s="546"/>
    </row>
    <row r="1972" spans="1:11" ht="14.25" customHeight="1" x14ac:dyDescent="0.3">
      <c r="A1972" s="689"/>
      <c r="B1972" s="689"/>
      <c r="C1972" s="689"/>
      <c r="D1972" s="689"/>
      <c r="E1972" s="689"/>
      <c r="F1972" s="689" t="s">
        <v>813</v>
      </c>
      <c r="G1972" s="689"/>
      <c r="H1972" s="689"/>
      <c r="I1972" s="689"/>
      <c r="J1972" s="564">
        <v>119.91</v>
      </c>
      <c r="K1972" s="552"/>
    </row>
    <row r="1973" spans="1:11" s="89" customFormat="1" ht="15" customHeight="1" x14ac:dyDescent="0.3">
      <c r="A1973" s="553" t="s">
        <v>573</v>
      </c>
      <c r="B1973" s="554" t="s">
        <v>5</v>
      </c>
      <c r="C1973" s="553" t="s">
        <v>4</v>
      </c>
      <c r="D1973" s="553" t="s">
        <v>574</v>
      </c>
      <c r="E1973" s="554" t="s">
        <v>463</v>
      </c>
      <c r="F1973" s="554" t="s">
        <v>575</v>
      </c>
      <c r="G1973" s="692" t="s">
        <v>576</v>
      </c>
      <c r="H1973" s="692"/>
      <c r="I1973" s="692"/>
      <c r="J1973" s="554" t="s">
        <v>466</v>
      </c>
      <c r="K1973" s="546"/>
    </row>
    <row r="1974" spans="1:11" s="89" customFormat="1" ht="25" x14ac:dyDescent="0.3">
      <c r="A1974" s="547" t="s">
        <v>577</v>
      </c>
      <c r="B1974" s="548" t="s">
        <v>115</v>
      </c>
      <c r="C1974" s="547">
        <v>4016096</v>
      </c>
      <c r="D1974" s="547" t="s">
        <v>3603</v>
      </c>
      <c r="E1974" s="550">
        <v>1.008</v>
      </c>
      <c r="F1974" s="549" t="s">
        <v>532</v>
      </c>
      <c r="G1974" s="693">
        <v>1.33</v>
      </c>
      <c r="H1974" s="693"/>
      <c r="I1974" s="688"/>
      <c r="J1974" s="563">
        <v>1.3406</v>
      </c>
      <c r="K1974" s="546"/>
    </row>
    <row r="1975" spans="1:11" x14ac:dyDescent="0.3">
      <c r="A1975" s="547" t="s">
        <v>577</v>
      </c>
      <c r="B1975" s="548" t="s">
        <v>19</v>
      </c>
      <c r="C1975" s="547">
        <v>88316</v>
      </c>
      <c r="D1975" s="547" t="s">
        <v>560</v>
      </c>
      <c r="E1975" s="550">
        <v>4.4622935999999997</v>
      </c>
      <c r="F1975" s="549" t="s">
        <v>423</v>
      </c>
      <c r="G1975" s="693">
        <v>23.4</v>
      </c>
      <c r="H1975" s="693"/>
      <c r="I1975" s="688"/>
      <c r="J1975" s="563">
        <v>104.4177</v>
      </c>
      <c r="K1975" s="552"/>
    </row>
    <row r="1976" spans="1:11" s="89" customFormat="1" ht="15" customHeight="1" x14ac:dyDescent="0.3">
      <c r="A1976" s="689"/>
      <c r="B1976" s="689"/>
      <c r="C1976" s="689"/>
      <c r="D1976" s="689"/>
      <c r="E1976" s="689"/>
      <c r="F1976" s="689" t="s">
        <v>578</v>
      </c>
      <c r="G1976" s="689"/>
      <c r="H1976" s="689"/>
      <c r="I1976" s="689"/>
      <c r="J1976" s="564">
        <v>105.75830000000001</v>
      </c>
      <c r="K1976" s="546"/>
    </row>
    <row r="1977" spans="1:11" ht="14.25" customHeight="1" x14ac:dyDescent="0.3">
      <c r="A1977" s="553" t="s">
        <v>579</v>
      </c>
      <c r="B1977" s="554" t="s">
        <v>5</v>
      </c>
      <c r="C1977" s="553" t="s">
        <v>433</v>
      </c>
      <c r="D1977" s="553" t="s">
        <v>580</v>
      </c>
      <c r="E1977" s="554" t="s">
        <v>4</v>
      </c>
      <c r="F1977" s="554" t="s">
        <v>463</v>
      </c>
      <c r="G1977" s="555" t="s">
        <v>575</v>
      </c>
      <c r="H1977" s="692" t="s">
        <v>576</v>
      </c>
      <c r="I1977" s="692"/>
      <c r="J1977" s="554" t="s">
        <v>466</v>
      </c>
      <c r="K1977" s="552"/>
    </row>
    <row r="1978" spans="1:11" s="89" customFormat="1" ht="15" customHeight="1" x14ac:dyDescent="0.3">
      <c r="A1978" s="547" t="s">
        <v>581</v>
      </c>
      <c r="B1978" s="548" t="s">
        <v>115</v>
      </c>
      <c r="C1978" s="547">
        <v>4016096</v>
      </c>
      <c r="D1978" s="547" t="s">
        <v>3591</v>
      </c>
      <c r="E1978" s="548">
        <v>5914354</v>
      </c>
      <c r="F1978" s="550">
        <v>1.89</v>
      </c>
      <c r="G1978" s="549" t="s">
        <v>584</v>
      </c>
      <c r="H1978" s="693">
        <v>1.86</v>
      </c>
      <c r="I1978" s="688"/>
      <c r="J1978" s="563">
        <v>3.5154000000000001</v>
      </c>
      <c r="K1978" s="546"/>
    </row>
    <row r="1979" spans="1:11" ht="25" x14ac:dyDescent="0.3">
      <c r="A1979" s="547" t="s">
        <v>581</v>
      </c>
      <c r="B1979" s="548" t="s">
        <v>115</v>
      </c>
      <c r="C1979" s="547" t="s">
        <v>1159</v>
      </c>
      <c r="D1979" s="547" t="s">
        <v>844</v>
      </c>
      <c r="E1979" s="548">
        <v>5914655</v>
      </c>
      <c r="F1979" s="550">
        <v>0.21</v>
      </c>
      <c r="G1979" s="549" t="s">
        <v>584</v>
      </c>
      <c r="H1979" s="693">
        <v>33.159999999999997</v>
      </c>
      <c r="I1979" s="688"/>
      <c r="J1979" s="563">
        <v>6.9635999999999996</v>
      </c>
      <c r="K1979" s="552"/>
    </row>
    <row r="1980" spans="1:11" s="89" customFormat="1" ht="15" customHeight="1" x14ac:dyDescent="0.3">
      <c r="A1980" s="689"/>
      <c r="B1980" s="689"/>
      <c r="C1980" s="689"/>
      <c r="D1980" s="689"/>
      <c r="E1980" s="689"/>
      <c r="F1980" s="689" t="s">
        <v>585</v>
      </c>
      <c r="G1980" s="689"/>
      <c r="H1980" s="689"/>
      <c r="I1980" s="689"/>
      <c r="J1980" s="564">
        <v>10.478999999999999</v>
      </c>
      <c r="K1980" s="546"/>
    </row>
    <row r="1981" spans="1:11" s="89" customFormat="1" ht="15" customHeight="1" x14ac:dyDescent="0.3">
      <c r="A1981" s="553" t="s">
        <v>586</v>
      </c>
      <c r="B1981" s="554" t="s">
        <v>5</v>
      </c>
      <c r="C1981" s="553" t="s">
        <v>433</v>
      </c>
      <c r="D1981" s="553" t="s">
        <v>587</v>
      </c>
      <c r="E1981" s="554" t="s">
        <v>463</v>
      </c>
      <c r="F1981" s="554" t="s">
        <v>575</v>
      </c>
      <c r="G1981" s="694" t="s">
        <v>588</v>
      </c>
      <c r="H1981" s="692"/>
      <c r="I1981" s="692"/>
      <c r="J1981" s="554" t="s">
        <v>466</v>
      </c>
      <c r="K1981" s="546"/>
    </row>
    <row r="1982" spans="1:11" ht="15" customHeight="1" x14ac:dyDescent="0.3">
      <c r="A1982" s="555"/>
      <c r="B1982" s="555"/>
      <c r="C1982" s="555"/>
      <c r="D1982" s="555"/>
      <c r="E1982" s="555"/>
      <c r="F1982" s="555"/>
      <c r="G1982" s="555" t="s">
        <v>589</v>
      </c>
      <c r="H1982" s="555" t="s">
        <v>590</v>
      </c>
      <c r="I1982" s="555" t="s">
        <v>591</v>
      </c>
      <c r="J1982" s="555"/>
      <c r="K1982" s="552"/>
    </row>
    <row r="1983" spans="1:11" s="89" customFormat="1" ht="37.5" x14ac:dyDescent="0.3">
      <c r="A1983" s="547" t="s">
        <v>587</v>
      </c>
      <c r="B1983" s="548" t="s">
        <v>115</v>
      </c>
      <c r="C1983" s="547">
        <v>4016096</v>
      </c>
      <c r="D1983" s="547" t="s">
        <v>3604</v>
      </c>
      <c r="E1983" s="550">
        <v>1.89</v>
      </c>
      <c r="F1983" s="549" t="s">
        <v>593</v>
      </c>
      <c r="G1983" s="548" t="s">
        <v>3841</v>
      </c>
      <c r="H1983" s="548" t="s">
        <v>3842</v>
      </c>
      <c r="I1983" s="548" t="s">
        <v>3843</v>
      </c>
      <c r="J1983" s="563">
        <v>0</v>
      </c>
      <c r="K1983" s="546"/>
    </row>
    <row r="1984" spans="1:11" ht="14.25" customHeight="1" x14ac:dyDescent="0.3">
      <c r="A1984" s="547" t="s">
        <v>587</v>
      </c>
      <c r="B1984" s="548" t="s">
        <v>115</v>
      </c>
      <c r="C1984" s="547" t="s">
        <v>1159</v>
      </c>
      <c r="D1984" s="547" t="s">
        <v>1162</v>
      </c>
      <c r="E1984" s="550">
        <v>0.21</v>
      </c>
      <c r="F1984" s="549" t="s">
        <v>593</v>
      </c>
      <c r="G1984" s="548" t="s">
        <v>3846</v>
      </c>
      <c r="H1984" s="548" t="s">
        <v>3847</v>
      </c>
      <c r="I1984" s="548" t="s">
        <v>3848</v>
      </c>
      <c r="J1984" s="563">
        <v>0</v>
      </c>
      <c r="K1984" s="552"/>
    </row>
    <row r="1985" spans="1:11" ht="15" customHeight="1" thickBot="1" x14ac:dyDescent="0.35">
      <c r="A1985" s="689"/>
      <c r="B1985" s="689"/>
      <c r="C1985" s="689"/>
      <c r="D1985" s="689"/>
      <c r="E1985" s="689"/>
      <c r="F1985" s="689" t="s">
        <v>594</v>
      </c>
      <c r="G1985" s="689"/>
      <c r="H1985" s="689"/>
      <c r="I1985" s="689"/>
      <c r="J1985" s="564">
        <v>0</v>
      </c>
      <c r="K1985" s="552"/>
    </row>
    <row r="1986" spans="1:11" s="89" customFormat="1" ht="14.5" thickTop="1" x14ac:dyDescent="0.3">
      <c r="A1986" s="562"/>
      <c r="B1986" s="562"/>
      <c r="C1986" s="562"/>
      <c r="D1986" s="562"/>
      <c r="E1986" s="562"/>
      <c r="F1986" s="562"/>
      <c r="G1986" s="562"/>
      <c r="H1986" s="562"/>
      <c r="I1986" s="562"/>
      <c r="J1986" s="562"/>
      <c r="K1986" s="546"/>
    </row>
    <row r="1987" spans="1:11" x14ac:dyDescent="0.3">
      <c r="A1987" s="553"/>
      <c r="B1987" s="554" t="s">
        <v>4</v>
      </c>
      <c r="C1987" s="553" t="s">
        <v>5</v>
      </c>
      <c r="D1987" s="553" t="s">
        <v>6</v>
      </c>
      <c r="E1987" s="691" t="s">
        <v>427</v>
      </c>
      <c r="F1987" s="691"/>
      <c r="G1987" s="555" t="s">
        <v>7</v>
      </c>
      <c r="H1987" s="554" t="s">
        <v>8</v>
      </c>
      <c r="I1987" s="554" t="s">
        <v>9</v>
      </c>
      <c r="J1987" s="554" t="s">
        <v>11</v>
      </c>
      <c r="K1987" s="552"/>
    </row>
    <row r="1988" spans="1:11" s="89" customFormat="1" ht="15" customHeight="1" x14ac:dyDescent="0.3">
      <c r="A1988" s="607" t="s">
        <v>428</v>
      </c>
      <c r="B1988" s="608" t="s">
        <v>1289</v>
      </c>
      <c r="C1988" s="607" t="s">
        <v>188</v>
      </c>
      <c r="D1988" s="607" t="s">
        <v>1290</v>
      </c>
      <c r="E1988" s="690" t="s">
        <v>1138</v>
      </c>
      <c r="F1988" s="690"/>
      <c r="G1988" s="609" t="s">
        <v>532</v>
      </c>
      <c r="H1988" s="610">
        <v>1</v>
      </c>
      <c r="I1988" s="611">
        <v>466.57</v>
      </c>
      <c r="J1988" s="611">
        <v>466.57</v>
      </c>
      <c r="K1988" s="546"/>
    </row>
    <row r="1989" spans="1:11" ht="15" customHeight="1" x14ac:dyDescent="0.3">
      <c r="A1989" s="547" t="s">
        <v>430</v>
      </c>
      <c r="B1989" s="548" t="s">
        <v>559</v>
      </c>
      <c r="C1989" s="547" t="s">
        <v>19</v>
      </c>
      <c r="D1989" s="547" t="s">
        <v>560</v>
      </c>
      <c r="E1989" s="688" t="s">
        <v>429</v>
      </c>
      <c r="F1989" s="688"/>
      <c r="G1989" s="549" t="s">
        <v>423</v>
      </c>
      <c r="H1989" s="550">
        <v>4</v>
      </c>
      <c r="I1989" s="551">
        <v>23.4</v>
      </c>
      <c r="J1989" s="551">
        <v>93.6</v>
      </c>
      <c r="K1989" s="552"/>
    </row>
    <row r="1990" spans="1:11" x14ac:dyDescent="0.3">
      <c r="A1990" s="547" t="s">
        <v>433</v>
      </c>
      <c r="B1990" s="548" t="s">
        <v>795</v>
      </c>
      <c r="C1990" s="547" t="s">
        <v>115</v>
      </c>
      <c r="D1990" s="547" t="s">
        <v>796</v>
      </c>
      <c r="E1990" s="688" t="s">
        <v>438</v>
      </c>
      <c r="F1990" s="688"/>
      <c r="G1990" s="549" t="s">
        <v>532</v>
      </c>
      <c r="H1990" s="550">
        <v>1.216</v>
      </c>
      <c r="I1990" s="551">
        <v>139.642</v>
      </c>
      <c r="J1990" s="551">
        <v>169.8</v>
      </c>
      <c r="K1990" s="552"/>
    </row>
    <row r="1991" spans="1:11" x14ac:dyDescent="0.3">
      <c r="A1991" s="547" t="s">
        <v>433</v>
      </c>
      <c r="B1991" s="548" t="s">
        <v>263</v>
      </c>
      <c r="C1991" s="547" t="s">
        <v>115</v>
      </c>
      <c r="D1991" s="547" t="s">
        <v>3888</v>
      </c>
      <c r="E1991" s="688" t="s">
        <v>438</v>
      </c>
      <c r="F1991" s="688"/>
      <c r="G1991" s="549" t="s">
        <v>655</v>
      </c>
      <c r="H1991" s="550">
        <v>182</v>
      </c>
      <c r="I1991" s="551">
        <v>0.54959999999999998</v>
      </c>
      <c r="J1991" s="551">
        <v>100.02</v>
      </c>
      <c r="K1991" s="552"/>
    </row>
    <row r="1992" spans="1:11" s="89" customFormat="1" ht="15" customHeight="1" thickBot="1" x14ac:dyDescent="0.35">
      <c r="A1992" s="547" t="s">
        <v>433</v>
      </c>
      <c r="B1992" s="548" t="s">
        <v>3844</v>
      </c>
      <c r="C1992" s="547" t="s">
        <v>115</v>
      </c>
      <c r="D1992" s="547" t="s">
        <v>3845</v>
      </c>
      <c r="E1992" s="688" t="s">
        <v>438</v>
      </c>
      <c r="F1992" s="688"/>
      <c r="G1992" s="549" t="s">
        <v>655</v>
      </c>
      <c r="H1992" s="550">
        <v>182</v>
      </c>
      <c r="I1992" s="551">
        <v>0.56679999999999997</v>
      </c>
      <c r="J1992" s="551">
        <v>103.15</v>
      </c>
      <c r="K1992" s="546"/>
    </row>
    <row r="1993" spans="1:11" ht="14.25" customHeight="1" thickTop="1" x14ac:dyDescent="0.3">
      <c r="A1993" s="562"/>
      <c r="B1993" s="562"/>
      <c r="C1993" s="562"/>
      <c r="D1993" s="562"/>
      <c r="E1993" s="562"/>
      <c r="F1993" s="562"/>
      <c r="G1993" s="562"/>
      <c r="H1993" s="562"/>
      <c r="I1993" s="562"/>
      <c r="J1993" s="562"/>
      <c r="K1993" s="552"/>
    </row>
    <row r="1994" spans="1:11" ht="14.25" customHeight="1" x14ac:dyDescent="0.3">
      <c r="A1994" s="553"/>
      <c r="B1994" s="554" t="s">
        <v>4</v>
      </c>
      <c r="C1994" s="553" t="s">
        <v>5</v>
      </c>
      <c r="D1994" s="553" t="s">
        <v>6</v>
      </c>
      <c r="E1994" s="691" t="s">
        <v>427</v>
      </c>
      <c r="F1994" s="691"/>
      <c r="G1994" s="555" t="s">
        <v>7</v>
      </c>
      <c r="H1994" s="554" t="s">
        <v>8</v>
      </c>
      <c r="I1994" s="554" t="s">
        <v>9</v>
      </c>
      <c r="J1994" s="554" t="s">
        <v>11</v>
      </c>
      <c r="K1994" s="552"/>
    </row>
    <row r="1995" spans="1:11" s="89" customFormat="1" ht="37.5" x14ac:dyDescent="0.3">
      <c r="A1995" s="607" t="s">
        <v>428</v>
      </c>
      <c r="B1995" s="608" t="s">
        <v>3889</v>
      </c>
      <c r="C1995" s="607" t="s">
        <v>199</v>
      </c>
      <c r="D1995" s="607" t="s">
        <v>1293</v>
      </c>
      <c r="E1995" s="690">
        <v>55</v>
      </c>
      <c r="F1995" s="690"/>
      <c r="G1995" s="609" t="s">
        <v>424</v>
      </c>
      <c r="H1995" s="610">
        <v>1</v>
      </c>
      <c r="I1995" s="611">
        <v>5.16</v>
      </c>
      <c r="J1995" s="611">
        <v>5.16</v>
      </c>
      <c r="K1995" s="546"/>
    </row>
    <row r="1996" spans="1:11" ht="14.25" customHeight="1" thickBot="1" x14ac:dyDescent="0.35">
      <c r="A1996" s="547" t="s">
        <v>433</v>
      </c>
      <c r="B1996" s="548" t="s">
        <v>1294</v>
      </c>
      <c r="C1996" s="547" t="s">
        <v>199</v>
      </c>
      <c r="D1996" s="547" t="s">
        <v>3890</v>
      </c>
      <c r="E1996" s="688" t="s">
        <v>438</v>
      </c>
      <c r="F1996" s="688"/>
      <c r="G1996" s="549" t="s">
        <v>424</v>
      </c>
      <c r="H1996" s="550">
        <v>0.41460000000000002</v>
      </c>
      <c r="I1996" s="551">
        <v>12.45</v>
      </c>
      <c r="J1996" s="551">
        <v>5.16</v>
      </c>
      <c r="K1996" s="552"/>
    </row>
    <row r="1997" spans="1:11" s="89" customFormat="1" ht="15" customHeight="1" thickTop="1" x14ac:dyDescent="0.3">
      <c r="A1997" s="562"/>
      <c r="B1997" s="562"/>
      <c r="C1997" s="562"/>
      <c r="D1997" s="562"/>
      <c r="E1997" s="562"/>
      <c r="F1997" s="562"/>
      <c r="G1997" s="562"/>
      <c r="H1997" s="562"/>
      <c r="I1997" s="562"/>
      <c r="J1997" s="562"/>
      <c r="K1997" s="546"/>
    </row>
    <row r="1998" spans="1:11" s="89" customFormat="1" x14ac:dyDescent="0.3">
      <c r="A1998" s="553"/>
      <c r="B1998" s="554" t="s">
        <v>4</v>
      </c>
      <c r="C1998" s="553" t="s">
        <v>5</v>
      </c>
      <c r="D1998" s="553" t="s">
        <v>6</v>
      </c>
      <c r="E1998" s="691" t="s">
        <v>427</v>
      </c>
      <c r="F1998" s="691"/>
      <c r="G1998" s="555" t="s">
        <v>7</v>
      </c>
      <c r="H1998" s="554" t="s">
        <v>8</v>
      </c>
      <c r="I1998" s="554" t="s">
        <v>9</v>
      </c>
      <c r="J1998" s="554" t="s">
        <v>11</v>
      </c>
      <c r="K1998" s="546"/>
    </row>
    <row r="1999" spans="1:11" ht="38.25" customHeight="1" x14ac:dyDescent="0.3">
      <c r="A1999" s="607" t="s">
        <v>428</v>
      </c>
      <c r="B1999" s="608" t="s">
        <v>1164</v>
      </c>
      <c r="C1999" s="607" t="s">
        <v>19</v>
      </c>
      <c r="D1999" s="607" t="s">
        <v>3597</v>
      </c>
      <c r="E1999" s="690" t="s">
        <v>461</v>
      </c>
      <c r="F1999" s="690"/>
      <c r="G1999" s="609" t="s">
        <v>102</v>
      </c>
      <c r="H1999" s="610">
        <v>1</v>
      </c>
      <c r="I1999" s="611">
        <v>0.4</v>
      </c>
      <c r="J1999" s="611">
        <v>0.4</v>
      </c>
      <c r="K1999" s="552"/>
    </row>
    <row r="2000" spans="1:11" s="89" customFormat="1" ht="15" customHeight="1" x14ac:dyDescent="0.3">
      <c r="A2000" s="547" t="s">
        <v>430</v>
      </c>
      <c r="B2000" s="548" t="s">
        <v>1295</v>
      </c>
      <c r="C2000" s="547" t="s">
        <v>19</v>
      </c>
      <c r="D2000" s="547" t="s">
        <v>3605</v>
      </c>
      <c r="E2000" s="688" t="s">
        <v>461</v>
      </c>
      <c r="F2000" s="688"/>
      <c r="G2000" s="549" t="s">
        <v>423</v>
      </c>
      <c r="H2000" s="550">
        <v>1</v>
      </c>
      <c r="I2000" s="551">
        <v>0.33</v>
      </c>
      <c r="J2000" s="551">
        <v>0.33</v>
      </c>
      <c r="K2000" s="546"/>
    </row>
    <row r="2001" spans="1:11" ht="15" customHeight="1" thickBot="1" x14ac:dyDescent="0.35">
      <c r="A2001" s="547" t="s">
        <v>430</v>
      </c>
      <c r="B2001" s="548" t="s">
        <v>1296</v>
      </c>
      <c r="C2001" s="547" t="s">
        <v>19</v>
      </c>
      <c r="D2001" s="547" t="s">
        <v>3606</v>
      </c>
      <c r="E2001" s="688" t="s">
        <v>461</v>
      </c>
      <c r="F2001" s="688"/>
      <c r="G2001" s="549" t="s">
        <v>423</v>
      </c>
      <c r="H2001" s="550">
        <v>1</v>
      </c>
      <c r="I2001" s="551">
        <v>7.0000000000000007E-2</v>
      </c>
      <c r="J2001" s="551">
        <v>7.0000000000000007E-2</v>
      </c>
      <c r="K2001" s="552"/>
    </row>
    <row r="2002" spans="1:11" s="89" customFormat="1" ht="14.5" thickTop="1" x14ac:dyDescent="0.3">
      <c r="A2002" s="562"/>
      <c r="B2002" s="562"/>
      <c r="C2002" s="562"/>
      <c r="D2002" s="562"/>
      <c r="E2002" s="562"/>
      <c r="F2002" s="562"/>
      <c r="G2002" s="562"/>
      <c r="H2002" s="562"/>
      <c r="I2002" s="562"/>
      <c r="J2002" s="562"/>
      <c r="K2002" s="546"/>
    </row>
    <row r="2003" spans="1:11" x14ac:dyDescent="0.3">
      <c r="A2003" s="553"/>
      <c r="B2003" s="554" t="s">
        <v>4</v>
      </c>
      <c r="C2003" s="553" t="s">
        <v>5</v>
      </c>
      <c r="D2003" s="553" t="s">
        <v>6</v>
      </c>
      <c r="E2003" s="691" t="s">
        <v>427</v>
      </c>
      <c r="F2003" s="691"/>
      <c r="G2003" s="555" t="s">
        <v>7</v>
      </c>
      <c r="H2003" s="554" t="s">
        <v>8</v>
      </c>
      <c r="I2003" s="554" t="s">
        <v>9</v>
      </c>
      <c r="J2003" s="554" t="s">
        <v>11</v>
      </c>
      <c r="K2003" s="552"/>
    </row>
    <row r="2004" spans="1:11" s="89" customFormat="1" ht="15" customHeight="1" x14ac:dyDescent="0.3">
      <c r="A2004" s="607" t="s">
        <v>428</v>
      </c>
      <c r="B2004" s="608" t="s">
        <v>1163</v>
      </c>
      <c r="C2004" s="607" t="s">
        <v>19</v>
      </c>
      <c r="D2004" s="607" t="s">
        <v>3596</v>
      </c>
      <c r="E2004" s="690" t="s">
        <v>461</v>
      </c>
      <c r="F2004" s="690"/>
      <c r="G2004" s="609" t="s">
        <v>95</v>
      </c>
      <c r="H2004" s="610">
        <v>1</v>
      </c>
      <c r="I2004" s="611">
        <v>1.66</v>
      </c>
      <c r="J2004" s="611">
        <v>1.66</v>
      </c>
      <c r="K2004" s="546"/>
    </row>
    <row r="2005" spans="1:11" s="89" customFormat="1" ht="15" customHeight="1" x14ac:dyDescent="0.3">
      <c r="A2005" s="547" t="s">
        <v>430</v>
      </c>
      <c r="B2005" s="548" t="s">
        <v>1295</v>
      </c>
      <c r="C2005" s="547" t="s">
        <v>19</v>
      </c>
      <c r="D2005" s="547" t="s">
        <v>3605</v>
      </c>
      <c r="E2005" s="688" t="s">
        <v>461</v>
      </c>
      <c r="F2005" s="688"/>
      <c r="G2005" s="549" t="s">
        <v>423</v>
      </c>
      <c r="H2005" s="550">
        <v>1</v>
      </c>
      <c r="I2005" s="551">
        <v>0.33</v>
      </c>
      <c r="J2005" s="551">
        <v>0.33</v>
      </c>
      <c r="K2005" s="546"/>
    </row>
    <row r="2006" spans="1:11" s="89" customFormat="1" ht="38.25" customHeight="1" x14ac:dyDescent="0.3">
      <c r="A2006" s="547" t="s">
        <v>430</v>
      </c>
      <c r="B2006" s="548" t="s">
        <v>1296</v>
      </c>
      <c r="C2006" s="547" t="s">
        <v>19</v>
      </c>
      <c r="D2006" s="547" t="s">
        <v>3606</v>
      </c>
      <c r="E2006" s="688" t="s">
        <v>461</v>
      </c>
      <c r="F2006" s="688"/>
      <c r="G2006" s="549" t="s">
        <v>423</v>
      </c>
      <c r="H2006" s="550">
        <v>1</v>
      </c>
      <c r="I2006" s="551">
        <v>7.0000000000000007E-2</v>
      </c>
      <c r="J2006" s="551">
        <v>7.0000000000000007E-2</v>
      </c>
      <c r="K2006" s="546"/>
    </row>
    <row r="2007" spans="1:11" s="89" customFormat="1" ht="38.25" customHeight="1" x14ac:dyDescent="0.3">
      <c r="A2007" s="547" t="s">
        <v>430</v>
      </c>
      <c r="B2007" s="548" t="s">
        <v>1297</v>
      </c>
      <c r="C2007" s="547" t="s">
        <v>19</v>
      </c>
      <c r="D2007" s="547" t="s">
        <v>3607</v>
      </c>
      <c r="E2007" s="688" t="s">
        <v>461</v>
      </c>
      <c r="F2007" s="688"/>
      <c r="G2007" s="549" t="s">
        <v>423</v>
      </c>
      <c r="H2007" s="550">
        <v>1</v>
      </c>
      <c r="I2007" s="551">
        <v>0.36</v>
      </c>
      <c r="J2007" s="551">
        <v>0.36</v>
      </c>
      <c r="K2007" s="546"/>
    </row>
    <row r="2008" spans="1:11" ht="14.25" customHeight="1" thickBot="1" x14ac:dyDescent="0.35">
      <c r="A2008" s="547" t="s">
        <v>430</v>
      </c>
      <c r="B2008" s="548" t="s">
        <v>1298</v>
      </c>
      <c r="C2008" s="547" t="s">
        <v>19</v>
      </c>
      <c r="D2008" s="547" t="s">
        <v>3608</v>
      </c>
      <c r="E2008" s="688" t="s">
        <v>461</v>
      </c>
      <c r="F2008" s="688"/>
      <c r="G2008" s="549" t="s">
        <v>423</v>
      </c>
      <c r="H2008" s="550">
        <v>1</v>
      </c>
      <c r="I2008" s="551">
        <v>0.9</v>
      </c>
      <c r="J2008" s="551">
        <v>0.9</v>
      </c>
      <c r="K2008" s="552"/>
    </row>
    <row r="2009" spans="1:11" ht="14.5" thickTop="1" x14ac:dyDescent="0.3">
      <c r="A2009" s="562"/>
      <c r="B2009" s="562"/>
      <c r="C2009" s="562"/>
      <c r="D2009" s="562"/>
      <c r="E2009" s="562"/>
      <c r="F2009" s="562"/>
      <c r="G2009" s="562"/>
      <c r="H2009" s="562"/>
      <c r="I2009" s="562"/>
      <c r="J2009" s="562"/>
      <c r="K2009" s="552"/>
    </row>
    <row r="2010" spans="1:11" s="89" customFormat="1" x14ac:dyDescent="0.3">
      <c r="A2010" s="553"/>
      <c r="B2010" s="554" t="s">
        <v>4</v>
      </c>
      <c r="C2010" s="553" t="s">
        <v>5</v>
      </c>
      <c r="D2010" s="553" t="s">
        <v>6</v>
      </c>
      <c r="E2010" s="691" t="s">
        <v>427</v>
      </c>
      <c r="F2010" s="691"/>
      <c r="G2010" s="555" t="s">
        <v>7</v>
      </c>
      <c r="H2010" s="554" t="s">
        <v>8</v>
      </c>
      <c r="I2010" s="554" t="s">
        <v>9</v>
      </c>
      <c r="J2010" s="554" t="s">
        <v>11</v>
      </c>
      <c r="K2010" s="546"/>
    </row>
    <row r="2011" spans="1:11" ht="38.25" customHeight="1" x14ac:dyDescent="0.3">
      <c r="A2011" s="607" t="s">
        <v>428</v>
      </c>
      <c r="B2011" s="608" t="s">
        <v>1295</v>
      </c>
      <c r="C2011" s="607" t="s">
        <v>19</v>
      </c>
      <c r="D2011" s="607" t="s">
        <v>3605</v>
      </c>
      <c r="E2011" s="690" t="s">
        <v>461</v>
      </c>
      <c r="F2011" s="690"/>
      <c r="G2011" s="609" t="s">
        <v>423</v>
      </c>
      <c r="H2011" s="610">
        <v>1</v>
      </c>
      <c r="I2011" s="611">
        <v>0.33</v>
      </c>
      <c r="J2011" s="611">
        <v>0.33</v>
      </c>
      <c r="K2011" s="552"/>
    </row>
    <row r="2012" spans="1:11" s="89" customFormat="1" ht="38.25" customHeight="1" thickBot="1" x14ac:dyDescent="0.35">
      <c r="A2012" s="547" t="s">
        <v>433</v>
      </c>
      <c r="B2012" s="548" t="s">
        <v>1299</v>
      </c>
      <c r="C2012" s="547" t="s">
        <v>19</v>
      </c>
      <c r="D2012" s="547" t="s">
        <v>1300</v>
      </c>
      <c r="E2012" s="688" t="s">
        <v>442</v>
      </c>
      <c r="F2012" s="688"/>
      <c r="G2012" s="549" t="s">
        <v>81</v>
      </c>
      <c r="H2012" s="550">
        <v>6.3999999999999997E-5</v>
      </c>
      <c r="I2012" s="551">
        <v>5200</v>
      </c>
      <c r="J2012" s="551">
        <v>0.33</v>
      </c>
      <c r="K2012" s="546"/>
    </row>
    <row r="2013" spans="1:11" ht="39" customHeight="1" thickTop="1" x14ac:dyDescent="0.3">
      <c r="A2013" s="562"/>
      <c r="B2013" s="562"/>
      <c r="C2013" s="562"/>
      <c r="D2013" s="562"/>
      <c r="E2013" s="562"/>
      <c r="F2013" s="562"/>
      <c r="G2013" s="562"/>
      <c r="H2013" s="562"/>
      <c r="I2013" s="562"/>
      <c r="J2013" s="562"/>
      <c r="K2013" s="552"/>
    </row>
    <row r="2014" spans="1:11" x14ac:dyDescent="0.3">
      <c r="A2014" s="553"/>
      <c r="B2014" s="554" t="s">
        <v>4</v>
      </c>
      <c r="C2014" s="553" t="s">
        <v>5</v>
      </c>
      <c r="D2014" s="553" t="s">
        <v>6</v>
      </c>
      <c r="E2014" s="691" t="s">
        <v>427</v>
      </c>
      <c r="F2014" s="691"/>
      <c r="G2014" s="555" t="s">
        <v>7</v>
      </c>
      <c r="H2014" s="554" t="s">
        <v>8</v>
      </c>
      <c r="I2014" s="554" t="s">
        <v>9</v>
      </c>
      <c r="J2014" s="554" t="s">
        <v>11</v>
      </c>
      <c r="K2014" s="552"/>
    </row>
    <row r="2015" spans="1:11" s="89" customFormat="1" ht="38.25" customHeight="1" x14ac:dyDescent="0.3">
      <c r="A2015" s="607" t="s">
        <v>428</v>
      </c>
      <c r="B2015" s="608" t="s">
        <v>1296</v>
      </c>
      <c r="C2015" s="607" t="s">
        <v>19</v>
      </c>
      <c r="D2015" s="607" t="s">
        <v>3606</v>
      </c>
      <c r="E2015" s="690" t="s">
        <v>461</v>
      </c>
      <c r="F2015" s="690"/>
      <c r="G2015" s="609" t="s">
        <v>423</v>
      </c>
      <c r="H2015" s="610">
        <v>1</v>
      </c>
      <c r="I2015" s="611">
        <v>7.0000000000000007E-2</v>
      </c>
      <c r="J2015" s="611">
        <v>7.0000000000000007E-2</v>
      </c>
      <c r="K2015" s="546"/>
    </row>
    <row r="2016" spans="1:11" s="89" customFormat="1" ht="38.25" customHeight="1" thickBot="1" x14ac:dyDescent="0.35">
      <c r="A2016" s="547" t="s">
        <v>433</v>
      </c>
      <c r="B2016" s="548" t="s">
        <v>1299</v>
      </c>
      <c r="C2016" s="547" t="s">
        <v>19</v>
      </c>
      <c r="D2016" s="547" t="s">
        <v>1300</v>
      </c>
      <c r="E2016" s="688" t="s">
        <v>442</v>
      </c>
      <c r="F2016" s="688"/>
      <c r="G2016" s="549" t="s">
        <v>81</v>
      </c>
      <c r="H2016" s="550">
        <v>1.4800000000000001E-5</v>
      </c>
      <c r="I2016" s="551">
        <v>5200</v>
      </c>
      <c r="J2016" s="551">
        <v>7.0000000000000007E-2</v>
      </c>
      <c r="K2016" s="546"/>
    </row>
    <row r="2017" spans="1:11" s="89" customFormat="1" ht="15" customHeight="1" thickTop="1" x14ac:dyDescent="0.3">
      <c r="A2017" s="562"/>
      <c r="B2017" s="562"/>
      <c r="C2017" s="562"/>
      <c r="D2017" s="562"/>
      <c r="E2017" s="562"/>
      <c r="F2017" s="562"/>
      <c r="G2017" s="562"/>
      <c r="H2017" s="562"/>
      <c r="I2017" s="562"/>
      <c r="J2017" s="562"/>
      <c r="K2017" s="546"/>
    </row>
    <row r="2018" spans="1:11" s="89" customFormat="1" ht="38.25" customHeight="1" x14ac:dyDescent="0.3">
      <c r="A2018" s="553"/>
      <c r="B2018" s="554" t="s">
        <v>4</v>
      </c>
      <c r="C2018" s="553" t="s">
        <v>5</v>
      </c>
      <c r="D2018" s="553" t="s">
        <v>6</v>
      </c>
      <c r="E2018" s="691" t="s">
        <v>427</v>
      </c>
      <c r="F2018" s="691"/>
      <c r="G2018" s="555" t="s">
        <v>7</v>
      </c>
      <c r="H2018" s="554" t="s">
        <v>8</v>
      </c>
      <c r="I2018" s="554" t="s">
        <v>9</v>
      </c>
      <c r="J2018" s="554" t="s">
        <v>11</v>
      </c>
      <c r="K2018" s="546"/>
    </row>
    <row r="2019" spans="1:11" s="89" customFormat="1" ht="38.25" customHeight="1" x14ac:dyDescent="0.3">
      <c r="A2019" s="607" t="s">
        <v>428</v>
      </c>
      <c r="B2019" s="608" t="s">
        <v>1297</v>
      </c>
      <c r="C2019" s="607" t="s">
        <v>19</v>
      </c>
      <c r="D2019" s="607" t="s">
        <v>3607</v>
      </c>
      <c r="E2019" s="690" t="s">
        <v>461</v>
      </c>
      <c r="F2019" s="690"/>
      <c r="G2019" s="609" t="s">
        <v>423</v>
      </c>
      <c r="H2019" s="610">
        <v>1</v>
      </c>
      <c r="I2019" s="611">
        <v>0.36</v>
      </c>
      <c r="J2019" s="611">
        <v>0.36</v>
      </c>
      <c r="K2019" s="546"/>
    </row>
    <row r="2020" spans="1:11" ht="39" customHeight="1" thickBot="1" x14ac:dyDescent="0.35">
      <c r="A2020" s="547" t="s">
        <v>433</v>
      </c>
      <c r="B2020" s="548" t="s">
        <v>1299</v>
      </c>
      <c r="C2020" s="547" t="s">
        <v>19</v>
      </c>
      <c r="D2020" s="547" t="s">
        <v>1300</v>
      </c>
      <c r="E2020" s="688" t="s">
        <v>442</v>
      </c>
      <c r="F2020" s="688"/>
      <c r="G2020" s="549" t="s">
        <v>81</v>
      </c>
      <c r="H2020" s="550">
        <v>6.9999999999999994E-5</v>
      </c>
      <c r="I2020" s="551">
        <v>5200</v>
      </c>
      <c r="J2020" s="551">
        <v>0.36</v>
      </c>
      <c r="K2020" s="552"/>
    </row>
    <row r="2021" spans="1:11" ht="14.5" thickTop="1" x14ac:dyDescent="0.3">
      <c r="A2021" s="562"/>
      <c r="B2021" s="562"/>
      <c r="C2021" s="562"/>
      <c r="D2021" s="562"/>
      <c r="E2021" s="562"/>
      <c r="F2021" s="562"/>
      <c r="G2021" s="562"/>
      <c r="H2021" s="562"/>
      <c r="I2021" s="562"/>
      <c r="J2021" s="562"/>
      <c r="K2021" s="552"/>
    </row>
    <row r="2022" spans="1:11" s="89" customFormat="1" x14ac:dyDescent="0.3">
      <c r="A2022" s="553"/>
      <c r="B2022" s="554" t="s">
        <v>4</v>
      </c>
      <c r="C2022" s="553" t="s">
        <v>5</v>
      </c>
      <c r="D2022" s="553" t="s">
        <v>6</v>
      </c>
      <c r="E2022" s="691" t="s">
        <v>427</v>
      </c>
      <c r="F2022" s="691"/>
      <c r="G2022" s="555" t="s">
        <v>7</v>
      </c>
      <c r="H2022" s="554" t="s">
        <v>8</v>
      </c>
      <c r="I2022" s="554" t="s">
        <v>9</v>
      </c>
      <c r="J2022" s="554" t="s">
        <v>11</v>
      </c>
      <c r="K2022" s="546"/>
    </row>
    <row r="2023" spans="1:11" s="89" customFormat="1" ht="38.25" customHeight="1" x14ac:dyDescent="0.3">
      <c r="A2023" s="607" t="s">
        <v>428</v>
      </c>
      <c r="B2023" s="608" t="s">
        <v>1298</v>
      </c>
      <c r="C2023" s="607" t="s">
        <v>19</v>
      </c>
      <c r="D2023" s="607" t="s">
        <v>3608</v>
      </c>
      <c r="E2023" s="690" t="s">
        <v>461</v>
      </c>
      <c r="F2023" s="690"/>
      <c r="G2023" s="609" t="s">
        <v>423</v>
      </c>
      <c r="H2023" s="610">
        <v>1</v>
      </c>
      <c r="I2023" s="611">
        <v>0.9</v>
      </c>
      <c r="J2023" s="611">
        <v>0.9</v>
      </c>
      <c r="K2023" s="546"/>
    </row>
    <row r="2024" spans="1:11" ht="38.25" customHeight="1" thickBot="1" x14ac:dyDescent="0.35">
      <c r="A2024" s="547" t="s">
        <v>433</v>
      </c>
      <c r="B2024" s="548" t="s">
        <v>1301</v>
      </c>
      <c r="C2024" s="547" t="s">
        <v>19</v>
      </c>
      <c r="D2024" s="547" t="s">
        <v>1302</v>
      </c>
      <c r="E2024" s="688" t="s">
        <v>438</v>
      </c>
      <c r="F2024" s="688"/>
      <c r="G2024" s="549" t="s">
        <v>528</v>
      </c>
      <c r="H2024" s="550">
        <v>1.25</v>
      </c>
      <c r="I2024" s="551">
        <v>0.72</v>
      </c>
      <c r="J2024" s="551">
        <v>0.9</v>
      </c>
      <c r="K2024" s="552"/>
    </row>
    <row r="2025" spans="1:11" s="89" customFormat="1" ht="39" customHeight="1" thickTop="1" x14ac:dyDescent="0.3">
      <c r="A2025" s="562"/>
      <c r="B2025" s="562"/>
      <c r="C2025" s="562"/>
      <c r="D2025" s="562"/>
      <c r="E2025" s="562"/>
      <c r="F2025" s="562"/>
      <c r="G2025" s="562"/>
      <c r="H2025" s="562"/>
      <c r="I2025" s="562"/>
      <c r="J2025" s="562"/>
      <c r="K2025" s="546"/>
    </row>
    <row r="2026" spans="1:11" s="89" customFormat="1" x14ac:dyDescent="0.3">
      <c r="A2026" s="553"/>
      <c r="B2026" s="554" t="s">
        <v>4</v>
      </c>
      <c r="C2026" s="553" t="s">
        <v>5</v>
      </c>
      <c r="D2026" s="553" t="s">
        <v>6</v>
      </c>
      <c r="E2026" s="691" t="s">
        <v>427</v>
      </c>
      <c r="F2026" s="691"/>
      <c r="G2026" s="555" t="s">
        <v>7</v>
      </c>
      <c r="H2026" s="554" t="s">
        <v>8</v>
      </c>
      <c r="I2026" s="554" t="s">
        <v>9</v>
      </c>
      <c r="J2026" s="554" t="s">
        <v>11</v>
      </c>
      <c r="K2026" s="546"/>
    </row>
    <row r="2027" spans="1:11" ht="38.25" customHeight="1" x14ac:dyDescent="0.3">
      <c r="A2027" s="607" t="s">
        <v>428</v>
      </c>
      <c r="B2027" s="608" t="s">
        <v>819</v>
      </c>
      <c r="C2027" s="607" t="s">
        <v>19</v>
      </c>
      <c r="D2027" s="607" t="s">
        <v>3549</v>
      </c>
      <c r="E2027" s="690" t="s">
        <v>461</v>
      </c>
      <c r="F2027" s="690"/>
      <c r="G2027" s="609" t="s">
        <v>102</v>
      </c>
      <c r="H2027" s="610">
        <v>1</v>
      </c>
      <c r="I2027" s="611">
        <v>1.66</v>
      </c>
      <c r="J2027" s="611">
        <v>1.66</v>
      </c>
      <c r="K2027" s="552"/>
    </row>
    <row r="2028" spans="1:11" s="89" customFormat="1" ht="38.25" customHeight="1" x14ac:dyDescent="0.3">
      <c r="A2028" s="547" t="s">
        <v>430</v>
      </c>
      <c r="B2028" s="548" t="s">
        <v>1303</v>
      </c>
      <c r="C2028" s="547" t="s">
        <v>19</v>
      </c>
      <c r="D2028" s="547" t="s">
        <v>3609</v>
      </c>
      <c r="E2028" s="688" t="s">
        <v>461</v>
      </c>
      <c r="F2028" s="688"/>
      <c r="G2028" s="549" t="s">
        <v>423</v>
      </c>
      <c r="H2028" s="550">
        <v>1</v>
      </c>
      <c r="I2028" s="551">
        <v>1.35</v>
      </c>
      <c r="J2028" s="551">
        <v>1.35</v>
      </c>
      <c r="K2028" s="546"/>
    </row>
    <row r="2029" spans="1:11" ht="38.25" customHeight="1" thickBot="1" x14ac:dyDescent="0.35">
      <c r="A2029" s="547" t="s">
        <v>430</v>
      </c>
      <c r="B2029" s="548" t="s">
        <v>1304</v>
      </c>
      <c r="C2029" s="547" t="s">
        <v>19</v>
      </c>
      <c r="D2029" s="547" t="s">
        <v>3610</v>
      </c>
      <c r="E2029" s="688" t="s">
        <v>461</v>
      </c>
      <c r="F2029" s="688"/>
      <c r="G2029" s="549" t="s">
        <v>423</v>
      </c>
      <c r="H2029" s="550">
        <v>1</v>
      </c>
      <c r="I2029" s="551">
        <v>0.31</v>
      </c>
      <c r="J2029" s="551">
        <v>0.31</v>
      </c>
      <c r="K2029" s="552"/>
    </row>
    <row r="2030" spans="1:11" s="89" customFormat="1" ht="38.25" customHeight="1" thickTop="1" x14ac:dyDescent="0.3">
      <c r="A2030" s="562"/>
      <c r="B2030" s="562"/>
      <c r="C2030" s="562"/>
      <c r="D2030" s="562"/>
      <c r="E2030" s="562"/>
      <c r="F2030" s="562"/>
      <c r="G2030" s="562"/>
      <c r="H2030" s="562"/>
      <c r="I2030" s="562"/>
      <c r="J2030" s="562"/>
      <c r="K2030" s="546"/>
    </row>
    <row r="2031" spans="1:11" ht="38.25" customHeight="1" x14ac:dyDescent="0.3">
      <c r="A2031" s="553"/>
      <c r="B2031" s="554" t="s">
        <v>4</v>
      </c>
      <c r="C2031" s="553" t="s">
        <v>5</v>
      </c>
      <c r="D2031" s="553" t="s">
        <v>6</v>
      </c>
      <c r="E2031" s="691" t="s">
        <v>427</v>
      </c>
      <c r="F2031" s="691"/>
      <c r="G2031" s="555" t="s">
        <v>7</v>
      </c>
      <c r="H2031" s="554" t="s">
        <v>8</v>
      </c>
      <c r="I2031" s="554" t="s">
        <v>9</v>
      </c>
      <c r="J2031" s="554" t="s">
        <v>11</v>
      </c>
      <c r="K2031" s="552"/>
    </row>
    <row r="2032" spans="1:11" s="89" customFormat="1" ht="39" customHeight="1" x14ac:dyDescent="0.3">
      <c r="A2032" s="607" t="s">
        <v>428</v>
      </c>
      <c r="B2032" s="608" t="s">
        <v>818</v>
      </c>
      <c r="C2032" s="607" t="s">
        <v>19</v>
      </c>
      <c r="D2032" s="607" t="s">
        <v>3548</v>
      </c>
      <c r="E2032" s="690" t="s">
        <v>461</v>
      </c>
      <c r="F2032" s="690"/>
      <c r="G2032" s="609" t="s">
        <v>95</v>
      </c>
      <c r="H2032" s="610">
        <v>1</v>
      </c>
      <c r="I2032" s="611">
        <v>4.9400000000000004</v>
      </c>
      <c r="J2032" s="611">
        <v>4.9400000000000004</v>
      </c>
      <c r="K2032" s="546"/>
    </row>
    <row r="2033" spans="1:11" s="89" customFormat="1" ht="38.25" customHeight="1" x14ac:dyDescent="0.3">
      <c r="A2033" s="547" t="s">
        <v>430</v>
      </c>
      <c r="B2033" s="548" t="s">
        <v>1303</v>
      </c>
      <c r="C2033" s="547" t="s">
        <v>19</v>
      </c>
      <c r="D2033" s="547" t="s">
        <v>3609</v>
      </c>
      <c r="E2033" s="688" t="s">
        <v>461</v>
      </c>
      <c r="F2033" s="688"/>
      <c r="G2033" s="549" t="s">
        <v>423</v>
      </c>
      <c r="H2033" s="550">
        <v>1</v>
      </c>
      <c r="I2033" s="551">
        <v>1.35</v>
      </c>
      <c r="J2033" s="551">
        <v>1.35</v>
      </c>
      <c r="K2033" s="546"/>
    </row>
    <row r="2034" spans="1:11" ht="38.25" customHeight="1" x14ac:dyDescent="0.3">
      <c r="A2034" s="547" t="s">
        <v>430</v>
      </c>
      <c r="B2034" s="548" t="s">
        <v>1304</v>
      </c>
      <c r="C2034" s="547" t="s">
        <v>19</v>
      </c>
      <c r="D2034" s="547" t="s">
        <v>3610</v>
      </c>
      <c r="E2034" s="688" t="s">
        <v>461</v>
      </c>
      <c r="F2034" s="688"/>
      <c r="G2034" s="549" t="s">
        <v>423</v>
      </c>
      <c r="H2034" s="550">
        <v>1</v>
      </c>
      <c r="I2034" s="551">
        <v>0.31</v>
      </c>
      <c r="J2034" s="551">
        <v>0.31</v>
      </c>
      <c r="K2034" s="552"/>
    </row>
    <row r="2035" spans="1:11" s="89" customFormat="1" ht="38.25" customHeight="1" x14ac:dyDescent="0.3">
      <c r="A2035" s="547" t="s">
        <v>430</v>
      </c>
      <c r="B2035" s="548" t="s">
        <v>1305</v>
      </c>
      <c r="C2035" s="547" t="s">
        <v>19</v>
      </c>
      <c r="D2035" s="547" t="s">
        <v>3611</v>
      </c>
      <c r="E2035" s="688" t="s">
        <v>461</v>
      </c>
      <c r="F2035" s="688"/>
      <c r="G2035" s="549" t="s">
        <v>423</v>
      </c>
      <c r="H2035" s="550">
        <v>1</v>
      </c>
      <c r="I2035" s="551">
        <v>1.48</v>
      </c>
      <c r="J2035" s="551">
        <v>1.48</v>
      </c>
      <c r="K2035" s="546"/>
    </row>
    <row r="2036" spans="1:11" ht="39" customHeight="1" thickBot="1" x14ac:dyDescent="0.35">
      <c r="A2036" s="547" t="s">
        <v>430</v>
      </c>
      <c r="B2036" s="548" t="s">
        <v>1306</v>
      </c>
      <c r="C2036" s="547" t="s">
        <v>19</v>
      </c>
      <c r="D2036" s="547" t="s">
        <v>3612</v>
      </c>
      <c r="E2036" s="688" t="s">
        <v>461</v>
      </c>
      <c r="F2036" s="688"/>
      <c r="G2036" s="549" t="s">
        <v>423</v>
      </c>
      <c r="H2036" s="550">
        <v>1</v>
      </c>
      <c r="I2036" s="551">
        <v>1.8</v>
      </c>
      <c r="J2036" s="551">
        <v>1.8</v>
      </c>
      <c r="K2036" s="552"/>
    </row>
    <row r="2037" spans="1:11" s="89" customFormat="1" ht="14.5" thickTop="1" x14ac:dyDescent="0.3">
      <c r="A2037" s="562"/>
      <c r="B2037" s="562"/>
      <c r="C2037" s="562"/>
      <c r="D2037" s="562"/>
      <c r="E2037" s="562"/>
      <c r="F2037" s="562"/>
      <c r="G2037" s="562"/>
      <c r="H2037" s="562"/>
      <c r="I2037" s="562"/>
      <c r="J2037" s="562"/>
      <c r="K2037" s="546"/>
    </row>
    <row r="2038" spans="1:11" s="89" customFormat="1" x14ac:dyDescent="0.3">
      <c r="A2038" s="553"/>
      <c r="B2038" s="554" t="s">
        <v>4</v>
      </c>
      <c r="C2038" s="553" t="s">
        <v>5</v>
      </c>
      <c r="D2038" s="553" t="s">
        <v>6</v>
      </c>
      <c r="E2038" s="691" t="s">
        <v>427</v>
      </c>
      <c r="F2038" s="691"/>
      <c r="G2038" s="555" t="s">
        <v>7</v>
      </c>
      <c r="H2038" s="554" t="s">
        <v>8</v>
      </c>
      <c r="I2038" s="554" t="s">
        <v>9</v>
      </c>
      <c r="J2038" s="554" t="s">
        <v>11</v>
      </c>
      <c r="K2038" s="546"/>
    </row>
    <row r="2039" spans="1:11" s="89" customFormat="1" ht="38.25" customHeight="1" x14ac:dyDescent="0.3">
      <c r="A2039" s="607" t="s">
        <v>428</v>
      </c>
      <c r="B2039" s="608" t="s">
        <v>1303</v>
      </c>
      <c r="C2039" s="607" t="s">
        <v>19</v>
      </c>
      <c r="D2039" s="607" t="s">
        <v>3609</v>
      </c>
      <c r="E2039" s="690" t="s">
        <v>461</v>
      </c>
      <c r="F2039" s="690"/>
      <c r="G2039" s="609" t="s">
        <v>423</v>
      </c>
      <c r="H2039" s="610">
        <v>1</v>
      </c>
      <c r="I2039" s="611">
        <v>1.35</v>
      </c>
      <c r="J2039" s="611">
        <v>1.35</v>
      </c>
      <c r="K2039" s="546"/>
    </row>
    <row r="2040" spans="1:11" ht="38.25" customHeight="1" thickBot="1" x14ac:dyDescent="0.35">
      <c r="A2040" s="547" t="s">
        <v>433</v>
      </c>
      <c r="B2040" s="548" t="s">
        <v>1307</v>
      </c>
      <c r="C2040" s="547" t="s">
        <v>19</v>
      </c>
      <c r="D2040" s="547" t="s">
        <v>1308</v>
      </c>
      <c r="E2040" s="688" t="s">
        <v>442</v>
      </c>
      <c r="F2040" s="688"/>
      <c r="G2040" s="549" t="s">
        <v>81</v>
      </c>
      <c r="H2040" s="550">
        <v>6.3999999999999997E-5</v>
      </c>
      <c r="I2040" s="551">
        <v>21152.54</v>
      </c>
      <c r="J2040" s="551">
        <v>1.35</v>
      </c>
      <c r="K2040" s="552"/>
    </row>
    <row r="2041" spans="1:11" ht="39" customHeight="1" thickTop="1" x14ac:dyDescent="0.3">
      <c r="A2041" s="562"/>
      <c r="B2041" s="562"/>
      <c r="C2041" s="562"/>
      <c r="D2041" s="562"/>
      <c r="E2041" s="562"/>
      <c r="F2041" s="562"/>
      <c r="G2041" s="562"/>
      <c r="H2041" s="562"/>
      <c r="I2041" s="562"/>
      <c r="J2041" s="562"/>
      <c r="K2041" s="552"/>
    </row>
    <row r="2042" spans="1:11" s="89" customFormat="1" x14ac:dyDescent="0.3">
      <c r="A2042" s="553"/>
      <c r="B2042" s="554" t="s">
        <v>4</v>
      </c>
      <c r="C2042" s="553" t="s">
        <v>5</v>
      </c>
      <c r="D2042" s="553" t="s">
        <v>6</v>
      </c>
      <c r="E2042" s="691" t="s">
        <v>427</v>
      </c>
      <c r="F2042" s="691"/>
      <c r="G2042" s="555" t="s">
        <v>7</v>
      </c>
      <c r="H2042" s="554" t="s">
        <v>8</v>
      </c>
      <c r="I2042" s="554" t="s">
        <v>9</v>
      </c>
      <c r="J2042" s="554" t="s">
        <v>11</v>
      </c>
      <c r="K2042" s="546"/>
    </row>
    <row r="2043" spans="1:11" s="89" customFormat="1" ht="38.25" customHeight="1" x14ac:dyDescent="0.3">
      <c r="A2043" s="607" t="s">
        <v>428</v>
      </c>
      <c r="B2043" s="608" t="s">
        <v>1304</v>
      </c>
      <c r="C2043" s="607" t="s">
        <v>19</v>
      </c>
      <c r="D2043" s="607" t="s">
        <v>3610</v>
      </c>
      <c r="E2043" s="690" t="s">
        <v>461</v>
      </c>
      <c r="F2043" s="690"/>
      <c r="G2043" s="609" t="s">
        <v>423</v>
      </c>
      <c r="H2043" s="610">
        <v>1</v>
      </c>
      <c r="I2043" s="611">
        <v>0.31</v>
      </c>
      <c r="J2043" s="611">
        <v>0.31</v>
      </c>
      <c r="K2043" s="546"/>
    </row>
    <row r="2044" spans="1:11" s="89" customFormat="1" ht="38.25" customHeight="1" thickBot="1" x14ac:dyDescent="0.35">
      <c r="A2044" s="547" t="s">
        <v>433</v>
      </c>
      <c r="B2044" s="548" t="s">
        <v>1307</v>
      </c>
      <c r="C2044" s="547" t="s">
        <v>19</v>
      </c>
      <c r="D2044" s="547" t="s">
        <v>1308</v>
      </c>
      <c r="E2044" s="688" t="s">
        <v>442</v>
      </c>
      <c r="F2044" s="688"/>
      <c r="G2044" s="549" t="s">
        <v>81</v>
      </c>
      <c r="H2044" s="550">
        <v>1.4800000000000001E-5</v>
      </c>
      <c r="I2044" s="551">
        <v>21152.54</v>
      </c>
      <c r="J2044" s="551">
        <v>0.31</v>
      </c>
      <c r="K2044" s="546"/>
    </row>
    <row r="2045" spans="1:11" ht="38.25" customHeight="1" thickTop="1" x14ac:dyDescent="0.3">
      <c r="A2045" s="562"/>
      <c r="B2045" s="562"/>
      <c r="C2045" s="562"/>
      <c r="D2045" s="562"/>
      <c r="E2045" s="562"/>
      <c r="F2045" s="562"/>
      <c r="G2045" s="562"/>
      <c r="H2045" s="562"/>
      <c r="I2045" s="562"/>
      <c r="J2045" s="562"/>
      <c r="K2045" s="552"/>
    </row>
    <row r="2046" spans="1:11" ht="38.25" customHeight="1" x14ac:dyDescent="0.3">
      <c r="A2046" s="553"/>
      <c r="B2046" s="554" t="s">
        <v>4</v>
      </c>
      <c r="C2046" s="553" t="s">
        <v>5</v>
      </c>
      <c r="D2046" s="553" t="s">
        <v>6</v>
      </c>
      <c r="E2046" s="691" t="s">
        <v>427</v>
      </c>
      <c r="F2046" s="691"/>
      <c r="G2046" s="555" t="s">
        <v>7</v>
      </c>
      <c r="H2046" s="554" t="s">
        <v>8</v>
      </c>
      <c r="I2046" s="554" t="s">
        <v>9</v>
      </c>
      <c r="J2046" s="554" t="s">
        <v>11</v>
      </c>
      <c r="K2046" s="552"/>
    </row>
    <row r="2047" spans="1:11" s="89" customFormat="1" ht="38.25" customHeight="1" x14ac:dyDescent="0.3">
      <c r="A2047" s="607" t="s">
        <v>428</v>
      </c>
      <c r="B2047" s="608" t="s">
        <v>1305</v>
      </c>
      <c r="C2047" s="607" t="s">
        <v>19</v>
      </c>
      <c r="D2047" s="607" t="s">
        <v>3611</v>
      </c>
      <c r="E2047" s="690" t="s">
        <v>461</v>
      </c>
      <c r="F2047" s="690"/>
      <c r="G2047" s="609" t="s">
        <v>423</v>
      </c>
      <c r="H2047" s="610">
        <v>1</v>
      </c>
      <c r="I2047" s="611">
        <v>1.48</v>
      </c>
      <c r="J2047" s="611">
        <v>1.48</v>
      </c>
      <c r="K2047" s="546"/>
    </row>
    <row r="2048" spans="1:11" s="89" customFormat="1" ht="39" customHeight="1" thickBot="1" x14ac:dyDescent="0.35">
      <c r="A2048" s="547" t="s">
        <v>433</v>
      </c>
      <c r="B2048" s="548" t="s">
        <v>1307</v>
      </c>
      <c r="C2048" s="547" t="s">
        <v>19</v>
      </c>
      <c r="D2048" s="547" t="s">
        <v>1308</v>
      </c>
      <c r="E2048" s="688" t="s">
        <v>442</v>
      </c>
      <c r="F2048" s="688"/>
      <c r="G2048" s="549" t="s">
        <v>81</v>
      </c>
      <c r="H2048" s="550">
        <v>6.9999999999999994E-5</v>
      </c>
      <c r="I2048" s="551">
        <v>21152.54</v>
      </c>
      <c r="J2048" s="551">
        <v>1.48</v>
      </c>
      <c r="K2048" s="546"/>
    </row>
    <row r="2049" spans="1:11" s="89" customFormat="1" ht="14.5" thickTop="1" x14ac:dyDescent="0.3">
      <c r="A2049" s="562"/>
      <c r="B2049" s="562"/>
      <c r="C2049" s="562"/>
      <c r="D2049" s="562"/>
      <c r="E2049" s="562"/>
      <c r="F2049" s="562"/>
      <c r="G2049" s="562"/>
      <c r="H2049" s="562"/>
      <c r="I2049" s="562"/>
      <c r="J2049" s="562"/>
      <c r="K2049" s="546"/>
    </row>
    <row r="2050" spans="1:11" x14ac:dyDescent="0.3">
      <c r="A2050" s="553"/>
      <c r="B2050" s="554" t="s">
        <v>4</v>
      </c>
      <c r="C2050" s="553" t="s">
        <v>5</v>
      </c>
      <c r="D2050" s="553" t="s">
        <v>6</v>
      </c>
      <c r="E2050" s="691" t="s">
        <v>427</v>
      </c>
      <c r="F2050" s="691"/>
      <c r="G2050" s="555" t="s">
        <v>7</v>
      </c>
      <c r="H2050" s="554" t="s">
        <v>8</v>
      </c>
      <c r="I2050" s="554" t="s">
        <v>9</v>
      </c>
      <c r="J2050" s="554" t="s">
        <v>11</v>
      </c>
      <c r="K2050" s="552"/>
    </row>
    <row r="2051" spans="1:11" s="89" customFormat="1" ht="38.25" customHeight="1" x14ac:dyDescent="0.3">
      <c r="A2051" s="607" t="s">
        <v>428</v>
      </c>
      <c r="B2051" s="608" t="s">
        <v>1306</v>
      </c>
      <c r="C2051" s="607" t="s">
        <v>19</v>
      </c>
      <c r="D2051" s="607" t="s">
        <v>3612</v>
      </c>
      <c r="E2051" s="690" t="s">
        <v>461</v>
      </c>
      <c r="F2051" s="690"/>
      <c r="G2051" s="609" t="s">
        <v>423</v>
      </c>
      <c r="H2051" s="610">
        <v>1</v>
      </c>
      <c r="I2051" s="611">
        <v>1.8</v>
      </c>
      <c r="J2051" s="611">
        <v>1.8</v>
      </c>
      <c r="K2051" s="546"/>
    </row>
    <row r="2052" spans="1:11" s="89" customFormat="1" ht="38.25" customHeight="1" thickBot="1" x14ac:dyDescent="0.35">
      <c r="A2052" s="547" t="s">
        <v>433</v>
      </c>
      <c r="B2052" s="548" t="s">
        <v>1301</v>
      </c>
      <c r="C2052" s="547" t="s">
        <v>19</v>
      </c>
      <c r="D2052" s="547" t="s">
        <v>1302</v>
      </c>
      <c r="E2052" s="688" t="s">
        <v>438</v>
      </c>
      <c r="F2052" s="688"/>
      <c r="G2052" s="549" t="s">
        <v>528</v>
      </c>
      <c r="H2052" s="550">
        <v>2.5</v>
      </c>
      <c r="I2052" s="551">
        <v>0.72</v>
      </c>
      <c r="J2052" s="551">
        <v>1.8</v>
      </c>
      <c r="K2052" s="546"/>
    </row>
    <row r="2053" spans="1:11" ht="39" customHeight="1" thickTop="1" x14ac:dyDescent="0.3">
      <c r="A2053" s="562"/>
      <c r="B2053" s="562"/>
      <c r="C2053" s="562"/>
      <c r="D2053" s="562"/>
      <c r="E2053" s="562"/>
      <c r="F2053" s="562"/>
      <c r="G2053" s="562"/>
      <c r="H2053" s="562"/>
      <c r="I2053" s="562"/>
      <c r="J2053" s="562"/>
      <c r="K2053" s="552"/>
    </row>
    <row r="2054" spans="1:11" s="89" customFormat="1" x14ac:dyDescent="0.3">
      <c r="A2054" s="553"/>
      <c r="B2054" s="554" t="s">
        <v>4</v>
      </c>
      <c r="C2054" s="553" t="s">
        <v>5</v>
      </c>
      <c r="D2054" s="553" t="s">
        <v>6</v>
      </c>
      <c r="E2054" s="691" t="s">
        <v>427</v>
      </c>
      <c r="F2054" s="691"/>
      <c r="G2054" s="555" t="s">
        <v>7</v>
      </c>
      <c r="H2054" s="554" t="s">
        <v>8</v>
      </c>
      <c r="I2054" s="554" t="s">
        <v>9</v>
      </c>
      <c r="J2054" s="554" t="s">
        <v>11</v>
      </c>
      <c r="K2054" s="546"/>
    </row>
    <row r="2055" spans="1:11" ht="38.25" customHeight="1" x14ac:dyDescent="0.3">
      <c r="A2055" s="607" t="s">
        <v>428</v>
      </c>
      <c r="B2055" s="608" t="s">
        <v>3613</v>
      </c>
      <c r="C2055" s="607" t="s">
        <v>19</v>
      </c>
      <c r="D2055" s="607" t="s">
        <v>3614</v>
      </c>
      <c r="E2055" s="690" t="s">
        <v>461</v>
      </c>
      <c r="F2055" s="690"/>
      <c r="G2055" s="609" t="s">
        <v>102</v>
      </c>
      <c r="H2055" s="610">
        <v>1</v>
      </c>
      <c r="I2055" s="611">
        <v>1.28</v>
      </c>
      <c r="J2055" s="611">
        <v>1.28</v>
      </c>
      <c r="K2055" s="552"/>
    </row>
    <row r="2056" spans="1:11" s="89" customFormat="1" ht="38.25" customHeight="1" x14ac:dyDescent="0.3">
      <c r="A2056" s="547" t="s">
        <v>430</v>
      </c>
      <c r="B2056" s="548" t="s">
        <v>3615</v>
      </c>
      <c r="C2056" s="547" t="s">
        <v>19</v>
      </c>
      <c r="D2056" s="547" t="s">
        <v>3616</v>
      </c>
      <c r="E2056" s="688" t="s">
        <v>461</v>
      </c>
      <c r="F2056" s="688"/>
      <c r="G2056" s="549" t="s">
        <v>423</v>
      </c>
      <c r="H2056" s="550">
        <v>1</v>
      </c>
      <c r="I2056" s="551">
        <v>1.04</v>
      </c>
      <c r="J2056" s="551">
        <v>1.04</v>
      </c>
      <c r="K2056" s="546"/>
    </row>
    <row r="2057" spans="1:11" ht="38.25" customHeight="1" thickBot="1" x14ac:dyDescent="0.35">
      <c r="A2057" s="547" t="s">
        <v>430</v>
      </c>
      <c r="B2057" s="548" t="s">
        <v>3617</v>
      </c>
      <c r="C2057" s="547" t="s">
        <v>19</v>
      </c>
      <c r="D2057" s="547" t="s">
        <v>3618</v>
      </c>
      <c r="E2057" s="688" t="s">
        <v>461</v>
      </c>
      <c r="F2057" s="688"/>
      <c r="G2057" s="549" t="s">
        <v>423</v>
      </c>
      <c r="H2057" s="550">
        <v>1</v>
      </c>
      <c r="I2057" s="551">
        <v>0.24</v>
      </c>
      <c r="J2057" s="551">
        <v>0.24</v>
      </c>
      <c r="K2057" s="552"/>
    </row>
    <row r="2058" spans="1:11" s="89" customFormat="1" ht="38.25" customHeight="1" thickTop="1" x14ac:dyDescent="0.3">
      <c r="A2058" s="562"/>
      <c r="B2058" s="562"/>
      <c r="C2058" s="562"/>
      <c r="D2058" s="562"/>
      <c r="E2058" s="562"/>
      <c r="F2058" s="562"/>
      <c r="G2058" s="562"/>
      <c r="H2058" s="562"/>
      <c r="I2058" s="562"/>
      <c r="J2058" s="562"/>
      <c r="K2058" s="546"/>
    </row>
    <row r="2059" spans="1:11" ht="38.25" customHeight="1" x14ac:dyDescent="0.3">
      <c r="A2059" s="553"/>
      <c r="B2059" s="554" t="s">
        <v>4</v>
      </c>
      <c r="C2059" s="553" t="s">
        <v>5</v>
      </c>
      <c r="D2059" s="553" t="s">
        <v>6</v>
      </c>
      <c r="E2059" s="691" t="s">
        <v>427</v>
      </c>
      <c r="F2059" s="691"/>
      <c r="G2059" s="555" t="s">
        <v>7</v>
      </c>
      <c r="H2059" s="554" t="s">
        <v>8</v>
      </c>
      <c r="I2059" s="554" t="s">
        <v>9</v>
      </c>
      <c r="J2059" s="554" t="s">
        <v>11</v>
      </c>
      <c r="K2059" s="552"/>
    </row>
    <row r="2060" spans="1:11" s="89" customFormat="1" ht="39" customHeight="1" x14ac:dyDescent="0.3">
      <c r="A2060" s="607" t="s">
        <v>428</v>
      </c>
      <c r="B2060" s="608" t="s">
        <v>3619</v>
      </c>
      <c r="C2060" s="607" t="s">
        <v>19</v>
      </c>
      <c r="D2060" s="607" t="s">
        <v>3620</v>
      </c>
      <c r="E2060" s="690" t="s">
        <v>461</v>
      </c>
      <c r="F2060" s="690"/>
      <c r="G2060" s="609" t="s">
        <v>95</v>
      </c>
      <c r="H2060" s="610">
        <v>1</v>
      </c>
      <c r="I2060" s="611">
        <v>9.4499999999999993</v>
      </c>
      <c r="J2060" s="611">
        <v>9.4499999999999993</v>
      </c>
      <c r="K2060" s="546"/>
    </row>
    <row r="2061" spans="1:11" ht="38.25" customHeight="1" x14ac:dyDescent="0.3">
      <c r="A2061" s="547" t="s">
        <v>430</v>
      </c>
      <c r="B2061" s="548" t="s">
        <v>3615</v>
      </c>
      <c r="C2061" s="547" t="s">
        <v>19</v>
      </c>
      <c r="D2061" s="547" t="s">
        <v>3616</v>
      </c>
      <c r="E2061" s="688" t="s">
        <v>461</v>
      </c>
      <c r="F2061" s="688"/>
      <c r="G2061" s="549" t="s">
        <v>423</v>
      </c>
      <c r="H2061" s="550">
        <v>1</v>
      </c>
      <c r="I2061" s="551">
        <v>1.04</v>
      </c>
      <c r="J2061" s="551">
        <v>1.04</v>
      </c>
      <c r="K2061" s="552"/>
    </row>
    <row r="2062" spans="1:11" s="89" customFormat="1" ht="38.25" customHeight="1" x14ac:dyDescent="0.3">
      <c r="A2062" s="547" t="s">
        <v>430</v>
      </c>
      <c r="B2062" s="548" t="s">
        <v>3617</v>
      </c>
      <c r="C2062" s="547" t="s">
        <v>19</v>
      </c>
      <c r="D2062" s="547" t="s">
        <v>3618</v>
      </c>
      <c r="E2062" s="688" t="s">
        <v>461</v>
      </c>
      <c r="F2062" s="688"/>
      <c r="G2062" s="549" t="s">
        <v>423</v>
      </c>
      <c r="H2062" s="550">
        <v>1</v>
      </c>
      <c r="I2062" s="551">
        <v>0.24</v>
      </c>
      <c r="J2062" s="551">
        <v>0.24</v>
      </c>
      <c r="K2062" s="546"/>
    </row>
    <row r="2063" spans="1:11" s="89" customFormat="1" ht="38.25" customHeight="1" x14ac:dyDescent="0.3">
      <c r="A2063" s="547" t="s">
        <v>430</v>
      </c>
      <c r="B2063" s="548" t="s">
        <v>3621</v>
      </c>
      <c r="C2063" s="547" t="s">
        <v>19</v>
      </c>
      <c r="D2063" s="547" t="s">
        <v>3622</v>
      </c>
      <c r="E2063" s="688" t="s">
        <v>461</v>
      </c>
      <c r="F2063" s="688"/>
      <c r="G2063" s="549" t="s">
        <v>423</v>
      </c>
      <c r="H2063" s="550">
        <v>1</v>
      </c>
      <c r="I2063" s="551">
        <v>1.1399999999999999</v>
      </c>
      <c r="J2063" s="551">
        <v>1.1399999999999999</v>
      </c>
      <c r="K2063" s="546"/>
    </row>
    <row r="2064" spans="1:11" ht="50.5" thickBot="1" x14ac:dyDescent="0.35">
      <c r="A2064" s="547" t="s">
        <v>430</v>
      </c>
      <c r="B2064" s="548" t="s">
        <v>3623</v>
      </c>
      <c r="C2064" s="547" t="s">
        <v>19</v>
      </c>
      <c r="D2064" s="547" t="s">
        <v>3624</v>
      </c>
      <c r="E2064" s="688" t="s">
        <v>461</v>
      </c>
      <c r="F2064" s="688"/>
      <c r="G2064" s="549" t="s">
        <v>423</v>
      </c>
      <c r="H2064" s="550">
        <v>1</v>
      </c>
      <c r="I2064" s="551">
        <v>7.03</v>
      </c>
      <c r="J2064" s="551">
        <v>7.03</v>
      </c>
      <c r="K2064" s="552"/>
    </row>
    <row r="2065" spans="1:11" s="89" customFormat="1" ht="14.5" thickTop="1" x14ac:dyDescent="0.3">
      <c r="A2065" s="562"/>
      <c r="B2065" s="562"/>
      <c r="C2065" s="562"/>
      <c r="D2065" s="562"/>
      <c r="E2065" s="562"/>
      <c r="F2065" s="562"/>
      <c r="G2065" s="562"/>
      <c r="H2065" s="562"/>
      <c r="I2065" s="562"/>
      <c r="J2065" s="562"/>
      <c r="K2065" s="546"/>
    </row>
    <row r="2066" spans="1:11" x14ac:dyDescent="0.3">
      <c r="A2066" s="553"/>
      <c r="B2066" s="554" t="s">
        <v>4</v>
      </c>
      <c r="C2066" s="553" t="s">
        <v>5</v>
      </c>
      <c r="D2066" s="553" t="s">
        <v>6</v>
      </c>
      <c r="E2066" s="691" t="s">
        <v>427</v>
      </c>
      <c r="F2066" s="691"/>
      <c r="G2066" s="555" t="s">
        <v>7</v>
      </c>
      <c r="H2066" s="554" t="s">
        <v>8</v>
      </c>
      <c r="I2066" s="554" t="s">
        <v>9</v>
      </c>
      <c r="J2066" s="554" t="s">
        <v>11</v>
      </c>
      <c r="K2066" s="552"/>
    </row>
    <row r="2067" spans="1:11" s="89" customFormat="1" ht="38.25" customHeight="1" x14ac:dyDescent="0.3">
      <c r="A2067" s="607" t="s">
        <v>428</v>
      </c>
      <c r="B2067" s="608" t="s">
        <v>3615</v>
      </c>
      <c r="C2067" s="607" t="s">
        <v>19</v>
      </c>
      <c r="D2067" s="607" t="s">
        <v>3616</v>
      </c>
      <c r="E2067" s="690" t="s">
        <v>461</v>
      </c>
      <c r="F2067" s="690"/>
      <c r="G2067" s="609" t="s">
        <v>423</v>
      </c>
      <c r="H2067" s="610">
        <v>1</v>
      </c>
      <c r="I2067" s="611">
        <v>1.04</v>
      </c>
      <c r="J2067" s="611">
        <v>1.04</v>
      </c>
      <c r="K2067" s="546"/>
    </row>
    <row r="2068" spans="1:11" ht="38.25" customHeight="1" thickBot="1" x14ac:dyDescent="0.35">
      <c r="A2068" s="547" t="s">
        <v>433</v>
      </c>
      <c r="B2068" s="548" t="s">
        <v>3625</v>
      </c>
      <c r="C2068" s="547" t="s">
        <v>19</v>
      </c>
      <c r="D2068" s="547" t="s">
        <v>3626</v>
      </c>
      <c r="E2068" s="688" t="s">
        <v>442</v>
      </c>
      <c r="F2068" s="688"/>
      <c r="G2068" s="549" t="s">
        <v>81</v>
      </c>
      <c r="H2068" s="550">
        <v>6.3999999999999997E-5</v>
      </c>
      <c r="I2068" s="551">
        <v>16378.97</v>
      </c>
      <c r="J2068" s="551">
        <v>1.04</v>
      </c>
      <c r="K2068" s="552"/>
    </row>
    <row r="2069" spans="1:11" s="89" customFormat="1" ht="39" customHeight="1" thickTop="1" x14ac:dyDescent="0.3">
      <c r="A2069" s="562"/>
      <c r="B2069" s="562"/>
      <c r="C2069" s="562"/>
      <c r="D2069" s="562"/>
      <c r="E2069" s="562"/>
      <c r="F2069" s="562"/>
      <c r="G2069" s="562"/>
      <c r="H2069" s="562"/>
      <c r="I2069" s="562"/>
      <c r="J2069" s="562"/>
      <c r="K2069" s="546"/>
    </row>
    <row r="2070" spans="1:11" x14ac:dyDescent="0.3">
      <c r="A2070" s="553"/>
      <c r="B2070" s="554" t="s">
        <v>4</v>
      </c>
      <c r="C2070" s="553" t="s">
        <v>5</v>
      </c>
      <c r="D2070" s="553" t="s">
        <v>6</v>
      </c>
      <c r="E2070" s="691" t="s">
        <v>427</v>
      </c>
      <c r="F2070" s="691"/>
      <c r="G2070" s="555" t="s">
        <v>7</v>
      </c>
      <c r="H2070" s="554" t="s">
        <v>8</v>
      </c>
      <c r="I2070" s="554" t="s">
        <v>9</v>
      </c>
      <c r="J2070" s="554" t="s">
        <v>11</v>
      </c>
      <c r="K2070" s="552"/>
    </row>
    <row r="2071" spans="1:11" s="89" customFormat="1" ht="38.25" customHeight="1" x14ac:dyDescent="0.3">
      <c r="A2071" s="607" t="s">
        <v>428</v>
      </c>
      <c r="B2071" s="608" t="s">
        <v>3617</v>
      </c>
      <c r="C2071" s="607" t="s">
        <v>19</v>
      </c>
      <c r="D2071" s="607" t="s">
        <v>3618</v>
      </c>
      <c r="E2071" s="690" t="s">
        <v>461</v>
      </c>
      <c r="F2071" s="690"/>
      <c r="G2071" s="609" t="s">
        <v>423</v>
      </c>
      <c r="H2071" s="610">
        <v>1</v>
      </c>
      <c r="I2071" s="611">
        <v>0.24</v>
      </c>
      <c r="J2071" s="611">
        <v>0.24</v>
      </c>
      <c r="K2071" s="546"/>
    </row>
    <row r="2072" spans="1:11" ht="38.25" customHeight="1" thickBot="1" x14ac:dyDescent="0.35">
      <c r="A2072" s="547" t="s">
        <v>433</v>
      </c>
      <c r="B2072" s="548" t="s">
        <v>3625</v>
      </c>
      <c r="C2072" s="547" t="s">
        <v>19</v>
      </c>
      <c r="D2072" s="547" t="s">
        <v>3626</v>
      </c>
      <c r="E2072" s="688" t="s">
        <v>442</v>
      </c>
      <c r="F2072" s="688"/>
      <c r="G2072" s="549" t="s">
        <v>81</v>
      </c>
      <c r="H2072" s="550">
        <v>1.4800000000000001E-5</v>
      </c>
      <c r="I2072" s="551">
        <v>16378.97</v>
      </c>
      <c r="J2072" s="551">
        <v>0.24</v>
      </c>
      <c r="K2072" s="552"/>
    </row>
    <row r="2073" spans="1:11" ht="38.25" customHeight="1" thickTop="1" x14ac:dyDescent="0.3">
      <c r="A2073" s="562"/>
      <c r="B2073" s="562"/>
      <c r="C2073" s="562"/>
      <c r="D2073" s="562"/>
      <c r="E2073" s="562"/>
      <c r="F2073" s="562"/>
      <c r="G2073" s="562"/>
      <c r="H2073" s="562"/>
      <c r="I2073" s="562"/>
      <c r="J2073" s="562"/>
      <c r="K2073" s="552"/>
    </row>
    <row r="2074" spans="1:11" ht="38.25" customHeight="1" x14ac:dyDescent="0.3">
      <c r="A2074" s="553"/>
      <c r="B2074" s="554" t="s">
        <v>4</v>
      </c>
      <c r="C2074" s="553" t="s">
        <v>5</v>
      </c>
      <c r="D2074" s="553" t="s">
        <v>6</v>
      </c>
      <c r="E2074" s="691" t="s">
        <v>427</v>
      </c>
      <c r="F2074" s="691"/>
      <c r="G2074" s="555" t="s">
        <v>7</v>
      </c>
      <c r="H2074" s="554" t="s">
        <v>8</v>
      </c>
      <c r="I2074" s="554" t="s">
        <v>9</v>
      </c>
      <c r="J2074" s="554" t="s">
        <v>11</v>
      </c>
      <c r="K2074" s="552"/>
    </row>
    <row r="2075" spans="1:11" s="89" customFormat="1" ht="38.25" customHeight="1" x14ac:dyDescent="0.3">
      <c r="A2075" s="607" t="s">
        <v>428</v>
      </c>
      <c r="B2075" s="608" t="s">
        <v>3621</v>
      </c>
      <c r="C2075" s="607" t="s">
        <v>19</v>
      </c>
      <c r="D2075" s="607" t="s">
        <v>3622</v>
      </c>
      <c r="E2075" s="690" t="s">
        <v>461</v>
      </c>
      <c r="F2075" s="690"/>
      <c r="G2075" s="609" t="s">
        <v>423</v>
      </c>
      <c r="H2075" s="610">
        <v>1</v>
      </c>
      <c r="I2075" s="611">
        <v>1.1399999999999999</v>
      </c>
      <c r="J2075" s="611">
        <v>1.1399999999999999</v>
      </c>
      <c r="K2075" s="546"/>
    </row>
    <row r="2076" spans="1:11" ht="38" thickBot="1" x14ac:dyDescent="0.35">
      <c r="A2076" s="547" t="s">
        <v>433</v>
      </c>
      <c r="B2076" s="548" t="s">
        <v>3625</v>
      </c>
      <c r="C2076" s="547" t="s">
        <v>19</v>
      </c>
      <c r="D2076" s="547" t="s">
        <v>3626</v>
      </c>
      <c r="E2076" s="688" t="s">
        <v>442</v>
      </c>
      <c r="F2076" s="688"/>
      <c r="G2076" s="549" t="s">
        <v>81</v>
      </c>
      <c r="H2076" s="550">
        <v>6.9999999999999994E-5</v>
      </c>
      <c r="I2076" s="551">
        <v>16378.97</v>
      </c>
      <c r="J2076" s="551">
        <v>1.1399999999999999</v>
      </c>
      <c r="K2076" s="552"/>
    </row>
    <row r="2077" spans="1:11" s="89" customFormat="1" ht="14.5" thickTop="1" x14ac:dyDescent="0.3">
      <c r="A2077" s="562"/>
      <c r="B2077" s="562"/>
      <c r="C2077" s="562"/>
      <c r="D2077" s="562"/>
      <c r="E2077" s="562"/>
      <c r="F2077" s="562"/>
      <c r="G2077" s="562"/>
      <c r="H2077" s="562"/>
      <c r="I2077" s="562"/>
      <c r="J2077" s="562"/>
      <c r="K2077" s="546"/>
    </row>
    <row r="2078" spans="1:11" x14ac:dyDescent="0.3">
      <c r="A2078" s="553"/>
      <c r="B2078" s="554" t="s">
        <v>4</v>
      </c>
      <c r="C2078" s="553" t="s">
        <v>5</v>
      </c>
      <c r="D2078" s="553" t="s">
        <v>6</v>
      </c>
      <c r="E2078" s="691" t="s">
        <v>427</v>
      </c>
      <c r="F2078" s="691"/>
      <c r="G2078" s="555" t="s">
        <v>7</v>
      </c>
      <c r="H2078" s="554" t="s">
        <v>8</v>
      </c>
      <c r="I2078" s="554" t="s">
        <v>9</v>
      </c>
      <c r="J2078" s="554" t="s">
        <v>11</v>
      </c>
      <c r="K2078" s="552"/>
    </row>
    <row r="2079" spans="1:11" s="89" customFormat="1" ht="38.25" customHeight="1" x14ac:dyDescent="0.3">
      <c r="A2079" s="607" t="s">
        <v>428</v>
      </c>
      <c r="B2079" s="608" t="s">
        <v>3623</v>
      </c>
      <c r="C2079" s="607" t="s">
        <v>19</v>
      </c>
      <c r="D2079" s="607" t="s">
        <v>3624</v>
      </c>
      <c r="E2079" s="690" t="s">
        <v>461</v>
      </c>
      <c r="F2079" s="690"/>
      <c r="G2079" s="609" t="s">
        <v>423</v>
      </c>
      <c r="H2079" s="610">
        <v>1</v>
      </c>
      <c r="I2079" s="611">
        <v>7.03</v>
      </c>
      <c r="J2079" s="611">
        <v>7.03</v>
      </c>
      <c r="K2079" s="546"/>
    </row>
    <row r="2080" spans="1:11" ht="38.25" customHeight="1" thickBot="1" x14ac:dyDescent="0.35">
      <c r="A2080" s="547" t="s">
        <v>433</v>
      </c>
      <c r="B2080" s="548" t="s">
        <v>526</v>
      </c>
      <c r="C2080" s="547" t="s">
        <v>19</v>
      </c>
      <c r="D2080" s="547" t="s">
        <v>527</v>
      </c>
      <c r="E2080" s="688" t="s">
        <v>438</v>
      </c>
      <c r="F2080" s="688"/>
      <c r="G2080" s="549" t="s">
        <v>528</v>
      </c>
      <c r="H2080" s="550">
        <v>9.51</v>
      </c>
      <c r="I2080" s="551">
        <v>0.74</v>
      </c>
      <c r="J2080" s="551">
        <v>7.03</v>
      </c>
      <c r="K2080" s="552"/>
    </row>
    <row r="2081" spans="1:11" s="89" customFormat="1" ht="39" customHeight="1" thickTop="1" x14ac:dyDescent="0.3">
      <c r="A2081" s="562"/>
      <c r="B2081" s="562"/>
      <c r="C2081" s="562"/>
      <c r="D2081" s="562"/>
      <c r="E2081" s="562"/>
      <c r="F2081" s="562"/>
      <c r="G2081" s="562"/>
      <c r="H2081" s="562"/>
      <c r="I2081" s="562"/>
      <c r="J2081" s="562"/>
      <c r="K2081" s="546"/>
    </row>
    <row r="2082" spans="1:11" x14ac:dyDescent="0.3">
      <c r="A2082" s="553"/>
      <c r="B2082" s="554" t="s">
        <v>4</v>
      </c>
      <c r="C2082" s="553" t="s">
        <v>5</v>
      </c>
      <c r="D2082" s="553" t="s">
        <v>6</v>
      </c>
      <c r="E2082" s="691" t="s">
        <v>427</v>
      </c>
      <c r="F2082" s="691"/>
      <c r="G2082" s="555" t="s">
        <v>7</v>
      </c>
      <c r="H2082" s="554" t="s">
        <v>8</v>
      </c>
      <c r="I2082" s="554" t="s">
        <v>9</v>
      </c>
      <c r="J2082" s="554" t="s">
        <v>11</v>
      </c>
      <c r="K2082" s="552"/>
    </row>
    <row r="2083" spans="1:11" s="89" customFormat="1" ht="38.25" customHeight="1" x14ac:dyDescent="0.3">
      <c r="A2083" s="607" t="s">
        <v>428</v>
      </c>
      <c r="B2083" s="608" t="s">
        <v>3627</v>
      </c>
      <c r="C2083" s="607" t="s">
        <v>19</v>
      </c>
      <c r="D2083" s="607" t="s">
        <v>3628</v>
      </c>
      <c r="E2083" s="690" t="s">
        <v>461</v>
      </c>
      <c r="F2083" s="690"/>
      <c r="G2083" s="609" t="s">
        <v>102</v>
      </c>
      <c r="H2083" s="610">
        <v>1</v>
      </c>
      <c r="I2083" s="611">
        <v>5.34</v>
      </c>
      <c r="J2083" s="611">
        <v>5.34</v>
      </c>
      <c r="K2083" s="546"/>
    </row>
    <row r="2084" spans="1:11" s="89" customFormat="1" ht="38.25" customHeight="1" x14ac:dyDescent="0.3">
      <c r="A2084" s="547" t="s">
        <v>430</v>
      </c>
      <c r="B2084" s="548" t="s">
        <v>3629</v>
      </c>
      <c r="C2084" s="547" t="s">
        <v>19</v>
      </c>
      <c r="D2084" s="547" t="s">
        <v>3630</v>
      </c>
      <c r="E2084" s="688" t="s">
        <v>461</v>
      </c>
      <c r="F2084" s="688"/>
      <c r="G2084" s="549" t="s">
        <v>423</v>
      </c>
      <c r="H2084" s="550">
        <v>1</v>
      </c>
      <c r="I2084" s="551">
        <v>4.34</v>
      </c>
      <c r="J2084" s="551">
        <v>4.34</v>
      </c>
      <c r="K2084" s="546"/>
    </row>
    <row r="2085" spans="1:11" s="89" customFormat="1" ht="38.25" customHeight="1" thickBot="1" x14ac:dyDescent="0.35">
      <c r="A2085" s="547" t="s">
        <v>430</v>
      </c>
      <c r="B2085" s="548" t="s">
        <v>3631</v>
      </c>
      <c r="C2085" s="547" t="s">
        <v>19</v>
      </c>
      <c r="D2085" s="547" t="s">
        <v>3632</v>
      </c>
      <c r="E2085" s="688" t="s">
        <v>461</v>
      </c>
      <c r="F2085" s="688"/>
      <c r="G2085" s="549" t="s">
        <v>423</v>
      </c>
      <c r="H2085" s="550">
        <v>1</v>
      </c>
      <c r="I2085" s="551">
        <v>1</v>
      </c>
      <c r="J2085" s="551">
        <v>1</v>
      </c>
      <c r="K2085" s="546"/>
    </row>
    <row r="2086" spans="1:11" ht="38.25" customHeight="1" thickTop="1" x14ac:dyDescent="0.3">
      <c r="A2086" s="562"/>
      <c r="B2086" s="562"/>
      <c r="C2086" s="562"/>
      <c r="D2086" s="562"/>
      <c r="E2086" s="562"/>
      <c r="F2086" s="562"/>
      <c r="G2086" s="562"/>
      <c r="H2086" s="562"/>
      <c r="I2086" s="562"/>
      <c r="J2086" s="562"/>
      <c r="K2086" s="552"/>
    </row>
    <row r="2087" spans="1:11" s="89" customFormat="1" ht="38.25" customHeight="1" x14ac:dyDescent="0.3">
      <c r="A2087" s="553"/>
      <c r="B2087" s="554" t="s">
        <v>4</v>
      </c>
      <c r="C2087" s="553" t="s">
        <v>5</v>
      </c>
      <c r="D2087" s="553" t="s">
        <v>6</v>
      </c>
      <c r="E2087" s="691" t="s">
        <v>427</v>
      </c>
      <c r="F2087" s="691"/>
      <c r="G2087" s="555" t="s">
        <v>7</v>
      </c>
      <c r="H2087" s="554" t="s">
        <v>8</v>
      </c>
      <c r="I2087" s="554" t="s">
        <v>9</v>
      </c>
      <c r="J2087" s="554" t="s">
        <v>11</v>
      </c>
      <c r="K2087" s="546"/>
    </row>
    <row r="2088" spans="1:11" ht="25.5" customHeight="1" x14ac:dyDescent="0.3">
      <c r="A2088" s="607" t="s">
        <v>428</v>
      </c>
      <c r="B2088" s="608" t="s">
        <v>3633</v>
      </c>
      <c r="C2088" s="607" t="s">
        <v>19</v>
      </c>
      <c r="D2088" s="607" t="s">
        <v>3634</v>
      </c>
      <c r="E2088" s="690" t="s">
        <v>461</v>
      </c>
      <c r="F2088" s="690"/>
      <c r="G2088" s="609" t="s">
        <v>95</v>
      </c>
      <c r="H2088" s="610">
        <v>1</v>
      </c>
      <c r="I2088" s="611">
        <v>14.72</v>
      </c>
      <c r="J2088" s="611">
        <v>14.72</v>
      </c>
      <c r="K2088" s="552"/>
    </row>
    <row r="2089" spans="1:11" ht="25.5" customHeight="1" x14ac:dyDescent="0.3">
      <c r="A2089" s="547" t="s">
        <v>430</v>
      </c>
      <c r="B2089" s="548" t="s">
        <v>3629</v>
      </c>
      <c r="C2089" s="547" t="s">
        <v>19</v>
      </c>
      <c r="D2089" s="547" t="s">
        <v>3630</v>
      </c>
      <c r="E2089" s="688" t="s">
        <v>461</v>
      </c>
      <c r="F2089" s="688"/>
      <c r="G2089" s="549" t="s">
        <v>423</v>
      </c>
      <c r="H2089" s="550">
        <v>1</v>
      </c>
      <c r="I2089" s="551">
        <v>4.34</v>
      </c>
      <c r="J2089" s="551">
        <v>4.34</v>
      </c>
      <c r="K2089" s="552"/>
    </row>
    <row r="2090" spans="1:11" ht="25.5" customHeight="1" x14ac:dyDescent="0.3">
      <c r="A2090" s="547" t="s">
        <v>430</v>
      </c>
      <c r="B2090" s="548" t="s">
        <v>3631</v>
      </c>
      <c r="C2090" s="547" t="s">
        <v>19</v>
      </c>
      <c r="D2090" s="547" t="s">
        <v>3632</v>
      </c>
      <c r="E2090" s="688" t="s">
        <v>461</v>
      </c>
      <c r="F2090" s="688"/>
      <c r="G2090" s="549" t="s">
        <v>423</v>
      </c>
      <c r="H2090" s="550">
        <v>1</v>
      </c>
      <c r="I2090" s="551">
        <v>1</v>
      </c>
      <c r="J2090" s="551">
        <v>1</v>
      </c>
      <c r="K2090" s="552"/>
    </row>
    <row r="2091" spans="1:11" s="89" customFormat="1" ht="38.25" customHeight="1" x14ac:dyDescent="0.3">
      <c r="A2091" s="547" t="s">
        <v>430</v>
      </c>
      <c r="B2091" s="548" t="s">
        <v>3635</v>
      </c>
      <c r="C2091" s="547" t="s">
        <v>19</v>
      </c>
      <c r="D2091" s="547" t="s">
        <v>3636</v>
      </c>
      <c r="E2091" s="688" t="s">
        <v>461</v>
      </c>
      <c r="F2091" s="688"/>
      <c r="G2091" s="549" t="s">
        <v>423</v>
      </c>
      <c r="H2091" s="550">
        <v>1</v>
      </c>
      <c r="I2091" s="551">
        <v>4.75</v>
      </c>
      <c r="J2091" s="551">
        <v>4.75</v>
      </c>
      <c r="K2091" s="546"/>
    </row>
    <row r="2092" spans="1:11" s="89" customFormat="1" ht="26.25" customHeight="1" thickBot="1" x14ac:dyDescent="0.35">
      <c r="A2092" s="547" t="s">
        <v>430</v>
      </c>
      <c r="B2092" s="548" t="s">
        <v>3637</v>
      </c>
      <c r="C2092" s="547" t="s">
        <v>19</v>
      </c>
      <c r="D2092" s="547" t="s">
        <v>3638</v>
      </c>
      <c r="E2092" s="688" t="s">
        <v>461</v>
      </c>
      <c r="F2092" s="688"/>
      <c r="G2092" s="549" t="s">
        <v>423</v>
      </c>
      <c r="H2092" s="550">
        <v>1</v>
      </c>
      <c r="I2092" s="551">
        <v>4.63</v>
      </c>
      <c r="J2092" s="551">
        <v>4.63</v>
      </c>
      <c r="K2092" s="546"/>
    </row>
    <row r="2093" spans="1:11" ht="14.5" thickTop="1" x14ac:dyDescent="0.3">
      <c r="A2093" s="562"/>
      <c r="B2093" s="562"/>
      <c r="C2093" s="562"/>
      <c r="D2093" s="562"/>
      <c r="E2093" s="562"/>
      <c r="F2093" s="562"/>
      <c r="G2093" s="562"/>
      <c r="H2093" s="562"/>
      <c r="I2093" s="562"/>
      <c r="J2093" s="562"/>
      <c r="K2093" s="552"/>
    </row>
    <row r="2094" spans="1:11" s="89" customFormat="1" x14ac:dyDescent="0.3">
      <c r="A2094" s="553"/>
      <c r="B2094" s="554" t="s">
        <v>4</v>
      </c>
      <c r="C2094" s="553" t="s">
        <v>5</v>
      </c>
      <c r="D2094" s="553" t="s">
        <v>6</v>
      </c>
      <c r="E2094" s="691" t="s">
        <v>427</v>
      </c>
      <c r="F2094" s="691"/>
      <c r="G2094" s="555" t="s">
        <v>7</v>
      </c>
      <c r="H2094" s="554" t="s">
        <v>8</v>
      </c>
      <c r="I2094" s="554" t="s">
        <v>9</v>
      </c>
      <c r="J2094" s="554" t="s">
        <v>11</v>
      </c>
      <c r="K2094" s="546"/>
    </row>
    <row r="2095" spans="1:11" s="89" customFormat="1" ht="38.25" customHeight="1" x14ac:dyDescent="0.3">
      <c r="A2095" s="607" t="s">
        <v>428</v>
      </c>
      <c r="B2095" s="608" t="s">
        <v>3629</v>
      </c>
      <c r="C2095" s="607" t="s">
        <v>19</v>
      </c>
      <c r="D2095" s="607" t="s">
        <v>3630</v>
      </c>
      <c r="E2095" s="690" t="s">
        <v>461</v>
      </c>
      <c r="F2095" s="690"/>
      <c r="G2095" s="609" t="s">
        <v>423</v>
      </c>
      <c r="H2095" s="610">
        <v>1</v>
      </c>
      <c r="I2095" s="611">
        <v>4.34</v>
      </c>
      <c r="J2095" s="611">
        <v>4.34</v>
      </c>
      <c r="K2095" s="546"/>
    </row>
    <row r="2096" spans="1:11" s="89" customFormat="1" ht="25.5" customHeight="1" thickBot="1" x14ac:dyDescent="0.35">
      <c r="A2096" s="547" t="s">
        <v>433</v>
      </c>
      <c r="B2096" s="548" t="s">
        <v>3639</v>
      </c>
      <c r="C2096" s="547" t="s">
        <v>19</v>
      </c>
      <c r="D2096" s="547" t="s">
        <v>3640</v>
      </c>
      <c r="E2096" s="688" t="s">
        <v>442</v>
      </c>
      <c r="F2096" s="688"/>
      <c r="G2096" s="549" t="s">
        <v>81</v>
      </c>
      <c r="H2096" s="550">
        <v>6.3999999999999997E-5</v>
      </c>
      <c r="I2096" s="551">
        <v>67914.080000000002</v>
      </c>
      <c r="J2096" s="551">
        <v>4.34</v>
      </c>
      <c r="K2096" s="546"/>
    </row>
    <row r="2097" spans="1:11" ht="26.25" customHeight="1" thickTop="1" x14ac:dyDescent="0.3">
      <c r="A2097" s="562"/>
      <c r="B2097" s="562"/>
      <c r="C2097" s="562"/>
      <c r="D2097" s="562"/>
      <c r="E2097" s="562"/>
      <c r="F2097" s="562"/>
      <c r="G2097" s="562"/>
      <c r="H2097" s="562"/>
      <c r="I2097" s="562"/>
      <c r="J2097" s="562"/>
      <c r="K2097" s="552"/>
    </row>
    <row r="2098" spans="1:11" s="89" customFormat="1" x14ac:dyDescent="0.3">
      <c r="A2098" s="553"/>
      <c r="B2098" s="554" t="s">
        <v>4</v>
      </c>
      <c r="C2098" s="553" t="s">
        <v>5</v>
      </c>
      <c r="D2098" s="553" t="s">
        <v>6</v>
      </c>
      <c r="E2098" s="691" t="s">
        <v>427</v>
      </c>
      <c r="F2098" s="691"/>
      <c r="G2098" s="555" t="s">
        <v>7</v>
      </c>
      <c r="H2098" s="554" t="s">
        <v>8</v>
      </c>
      <c r="I2098" s="554" t="s">
        <v>9</v>
      </c>
      <c r="J2098" s="554" t="s">
        <v>11</v>
      </c>
      <c r="K2098" s="546"/>
    </row>
    <row r="2099" spans="1:11" s="89" customFormat="1" ht="38.25" customHeight="1" x14ac:dyDescent="0.3">
      <c r="A2099" s="607" t="s">
        <v>428</v>
      </c>
      <c r="B2099" s="608" t="s">
        <v>3631</v>
      </c>
      <c r="C2099" s="607" t="s">
        <v>19</v>
      </c>
      <c r="D2099" s="607" t="s">
        <v>3632</v>
      </c>
      <c r="E2099" s="690" t="s">
        <v>461</v>
      </c>
      <c r="F2099" s="690"/>
      <c r="G2099" s="609" t="s">
        <v>423</v>
      </c>
      <c r="H2099" s="610">
        <v>1</v>
      </c>
      <c r="I2099" s="611">
        <v>1</v>
      </c>
      <c r="J2099" s="611">
        <v>1</v>
      </c>
      <c r="K2099" s="546"/>
    </row>
    <row r="2100" spans="1:11" s="89" customFormat="1" ht="25.5" customHeight="1" thickBot="1" x14ac:dyDescent="0.35">
      <c r="A2100" s="547" t="s">
        <v>433</v>
      </c>
      <c r="B2100" s="548" t="s">
        <v>3639</v>
      </c>
      <c r="C2100" s="547" t="s">
        <v>19</v>
      </c>
      <c r="D2100" s="547" t="s">
        <v>3640</v>
      </c>
      <c r="E2100" s="688" t="s">
        <v>442</v>
      </c>
      <c r="F2100" s="688"/>
      <c r="G2100" s="549" t="s">
        <v>81</v>
      </c>
      <c r="H2100" s="550">
        <v>1.4800000000000001E-5</v>
      </c>
      <c r="I2100" s="551">
        <v>67914.080000000002</v>
      </c>
      <c r="J2100" s="551">
        <v>1</v>
      </c>
      <c r="K2100" s="546"/>
    </row>
    <row r="2101" spans="1:11" ht="25.5" customHeight="1" thickTop="1" x14ac:dyDescent="0.3">
      <c r="A2101" s="562"/>
      <c r="B2101" s="562"/>
      <c r="C2101" s="562"/>
      <c r="D2101" s="562"/>
      <c r="E2101" s="562"/>
      <c r="F2101" s="562"/>
      <c r="G2101" s="562"/>
      <c r="H2101" s="562"/>
      <c r="I2101" s="562"/>
      <c r="J2101" s="562"/>
      <c r="K2101" s="552"/>
    </row>
    <row r="2102" spans="1:11" s="89" customFormat="1" ht="25.5" customHeight="1" x14ac:dyDescent="0.3">
      <c r="A2102" s="553"/>
      <c r="B2102" s="554" t="s">
        <v>4</v>
      </c>
      <c r="C2102" s="553" t="s">
        <v>5</v>
      </c>
      <c r="D2102" s="553" t="s">
        <v>6</v>
      </c>
      <c r="E2102" s="691" t="s">
        <v>427</v>
      </c>
      <c r="F2102" s="691"/>
      <c r="G2102" s="555" t="s">
        <v>7</v>
      </c>
      <c r="H2102" s="554" t="s">
        <v>8</v>
      </c>
      <c r="I2102" s="554" t="s">
        <v>9</v>
      </c>
      <c r="J2102" s="554" t="s">
        <v>11</v>
      </c>
      <c r="K2102" s="546"/>
    </row>
    <row r="2103" spans="1:11" s="89" customFormat="1" ht="25.5" customHeight="1" x14ac:dyDescent="0.3">
      <c r="A2103" s="607" t="s">
        <v>428</v>
      </c>
      <c r="B2103" s="608" t="s">
        <v>3635</v>
      </c>
      <c r="C2103" s="607" t="s">
        <v>19</v>
      </c>
      <c r="D2103" s="607" t="s">
        <v>3636</v>
      </c>
      <c r="E2103" s="690" t="s">
        <v>461</v>
      </c>
      <c r="F2103" s="690"/>
      <c r="G2103" s="609" t="s">
        <v>423</v>
      </c>
      <c r="H2103" s="610">
        <v>1</v>
      </c>
      <c r="I2103" s="611">
        <v>4.75</v>
      </c>
      <c r="J2103" s="611">
        <v>4.75</v>
      </c>
      <c r="K2103" s="546"/>
    </row>
    <row r="2104" spans="1:11" s="89" customFormat="1" ht="26.25" customHeight="1" thickBot="1" x14ac:dyDescent="0.35">
      <c r="A2104" s="547" t="s">
        <v>433</v>
      </c>
      <c r="B2104" s="548" t="s">
        <v>3639</v>
      </c>
      <c r="C2104" s="547" t="s">
        <v>19</v>
      </c>
      <c r="D2104" s="547" t="s">
        <v>3640</v>
      </c>
      <c r="E2104" s="688" t="s">
        <v>442</v>
      </c>
      <c r="F2104" s="688"/>
      <c r="G2104" s="549" t="s">
        <v>81</v>
      </c>
      <c r="H2104" s="550">
        <v>6.9999999999999994E-5</v>
      </c>
      <c r="I2104" s="551">
        <v>67914.080000000002</v>
      </c>
      <c r="J2104" s="551">
        <v>4.75</v>
      </c>
      <c r="K2104" s="546"/>
    </row>
    <row r="2105" spans="1:11" s="89" customFormat="1" ht="14.5" thickTop="1" x14ac:dyDescent="0.3">
      <c r="A2105" s="562"/>
      <c r="B2105" s="562"/>
      <c r="C2105" s="562"/>
      <c r="D2105" s="562"/>
      <c r="E2105" s="562"/>
      <c r="F2105" s="562"/>
      <c r="G2105" s="562"/>
      <c r="H2105" s="562"/>
      <c r="I2105" s="562"/>
      <c r="J2105" s="562"/>
      <c r="K2105" s="546"/>
    </row>
    <row r="2106" spans="1:11" x14ac:dyDescent="0.3">
      <c r="A2106" s="553"/>
      <c r="B2106" s="554" t="s">
        <v>4</v>
      </c>
      <c r="C2106" s="553" t="s">
        <v>5</v>
      </c>
      <c r="D2106" s="553" t="s">
        <v>6</v>
      </c>
      <c r="E2106" s="691" t="s">
        <v>427</v>
      </c>
      <c r="F2106" s="691"/>
      <c r="G2106" s="555" t="s">
        <v>7</v>
      </c>
      <c r="H2106" s="554" t="s">
        <v>8</v>
      </c>
      <c r="I2106" s="554" t="s">
        <v>9</v>
      </c>
      <c r="J2106" s="554" t="s">
        <v>11</v>
      </c>
      <c r="K2106" s="552"/>
    </row>
    <row r="2107" spans="1:11" s="89" customFormat="1" ht="25.5" customHeight="1" x14ac:dyDescent="0.3">
      <c r="A2107" s="607" t="s">
        <v>428</v>
      </c>
      <c r="B2107" s="608" t="s">
        <v>3637</v>
      </c>
      <c r="C2107" s="607" t="s">
        <v>19</v>
      </c>
      <c r="D2107" s="607" t="s">
        <v>3638</v>
      </c>
      <c r="E2107" s="690" t="s">
        <v>461</v>
      </c>
      <c r="F2107" s="690"/>
      <c r="G2107" s="609" t="s">
        <v>423</v>
      </c>
      <c r="H2107" s="610">
        <v>1</v>
      </c>
      <c r="I2107" s="611">
        <v>4.63</v>
      </c>
      <c r="J2107" s="611">
        <v>4.63</v>
      </c>
      <c r="K2107" s="546"/>
    </row>
    <row r="2108" spans="1:11" ht="25.5" customHeight="1" thickBot="1" x14ac:dyDescent="0.35">
      <c r="A2108" s="547" t="s">
        <v>433</v>
      </c>
      <c r="B2108" s="548" t="s">
        <v>526</v>
      </c>
      <c r="C2108" s="547" t="s">
        <v>19</v>
      </c>
      <c r="D2108" s="547" t="s">
        <v>527</v>
      </c>
      <c r="E2108" s="688" t="s">
        <v>438</v>
      </c>
      <c r="F2108" s="688"/>
      <c r="G2108" s="549" t="s">
        <v>528</v>
      </c>
      <c r="H2108" s="550">
        <v>6.26</v>
      </c>
      <c r="I2108" s="551">
        <v>0.74</v>
      </c>
      <c r="J2108" s="551">
        <v>4.63</v>
      </c>
      <c r="K2108" s="552"/>
    </row>
    <row r="2109" spans="1:11" ht="26.25" customHeight="1" thickTop="1" x14ac:dyDescent="0.3">
      <c r="A2109" s="562"/>
      <c r="B2109" s="562"/>
      <c r="C2109" s="562"/>
      <c r="D2109" s="562"/>
      <c r="E2109" s="562"/>
      <c r="F2109" s="562"/>
      <c r="G2109" s="562"/>
      <c r="H2109" s="562"/>
      <c r="I2109" s="562"/>
      <c r="J2109" s="562"/>
      <c r="K2109" s="552"/>
    </row>
    <row r="2110" spans="1:11" s="89" customFormat="1" x14ac:dyDescent="0.3">
      <c r="A2110" s="553"/>
      <c r="B2110" s="554" t="s">
        <v>4</v>
      </c>
      <c r="C2110" s="553" t="s">
        <v>5</v>
      </c>
      <c r="D2110" s="553" t="s">
        <v>6</v>
      </c>
      <c r="E2110" s="691" t="s">
        <v>427</v>
      </c>
      <c r="F2110" s="691"/>
      <c r="G2110" s="555" t="s">
        <v>7</v>
      </c>
      <c r="H2110" s="554" t="s">
        <v>8</v>
      </c>
      <c r="I2110" s="554" t="s">
        <v>9</v>
      </c>
      <c r="J2110" s="554" t="s">
        <v>11</v>
      </c>
      <c r="K2110" s="546"/>
    </row>
    <row r="2111" spans="1:11" ht="25.5" customHeight="1" x14ac:dyDescent="0.3">
      <c r="A2111" s="607" t="s">
        <v>428</v>
      </c>
      <c r="B2111" s="608" t="s">
        <v>3563</v>
      </c>
      <c r="C2111" s="607" t="s">
        <v>19</v>
      </c>
      <c r="D2111" s="607" t="s">
        <v>3564</v>
      </c>
      <c r="E2111" s="690" t="s">
        <v>461</v>
      </c>
      <c r="F2111" s="690"/>
      <c r="G2111" s="609" t="s">
        <v>95</v>
      </c>
      <c r="H2111" s="610">
        <v>1</v>
      </c>
      <c r="I2111" s="611">
        <v>25.83</v>
      </c>
      <c r="J2111" s="611">
        <v>25.83</v>
      </c>
      <c r="K2111" s="552"/>
    </row>
    <row r="2112" spans="1:11" s="89" customFormat="1" ht="25.5" customHeight="1" x14ac:dyDescent="0.3">
      <c r="A2112" s="547" t="s">
        <v>430</v>
      </c>
      <c r="B2112" s="548" t="s">
        <v>3641</v>
      </c>
      <c r="C2112" s="547" t="s">
        <v>19</v>
      </c>
      <c r="D2112" s="547" t="s">
        <v>3642</v>
      </c>
      <c r="E2112" s="688" t="s">
        <v>461</v>
      </c>
      <c r="F2112" s="688"/>
      <c r="G2112" s="549" t="s">
        <v>423</v>
      </c>
      <c r="H2112" s="550">
        <v>1</v>
      </c>
      <c r="I2112" s="551">
        <v>6.23</v>
      </c>
      <c r="J2112" s="551">
        <v>6.23</v>
      </c>
      <c r="K2112" s="546"/>
    </row>
    <row r="2113" spans="1:11" ht="25.5" customHeight="1" x14ac:dyDescent="0.3">
      <c r="A2113" s="547" t="s">
        <v>430</v>
      </c>
      <c r="B2113" s="548" t="s">
        <v>3643</v>
      </c>
      <c r="C2113" s="547" t="s">
        <v>19</v>
      </c>
      <c r="D2113" s="547" t="s">
        <v>3644</v>
      </c>
      <c r="E2113" s="688" t="s">
        <v>461</v>
      </c>
      <c r="F2113" s="688"/>
      <c r="G2113" s="549" t="s">
        <v>423</v>
      </c>
      <c r="H2113" s="550">
        <v>1</v>
      </c>
      <c r="I2113" s="551">
        <v>1.44</v>
      </c>
      <c r="J2113" s="551">
        <v>1.44</v>
      </c>
      <c r="K2113" s="552"/>
    </row>
    <row r="2114" spans="1:11" s="89" customFormat="1" ht="25.5" customHeight="1" x14ac:dyDescent="0.3">
      <c r="A2114" s="547" t="s">
        <v>430</v>
      </c>
      <c r="B2114" s="548" t="s">
        <v>3645</v>
      </c>
      <c r="C2114" s="547" t="s">
        <v>19</v>
      </c>
      <c r="D2114" s="547" t="s">
        <v>3646</v>
      </c>
      <c r="E2114" s="688" t="s">
        <v>461</v>
      </c>
      <c r="F2114" s="688"/>
      <c r="G2114" s="549" t="s">
        <v>423</v>
      </c>
      <c r="H2114" s="550">
        <v>1</v>
      </c>
      <c r="I2114" s="551">
        <v>6.81</v>
      </c>
      <c r="J2114" s="551">
        <v>6.81</v>
      </c>
      <c r="K2114" s="546"/>
    </row>
    <row r="2115" spans="1:11" ht="25.5" customHeight="1" thickBot="1" x14ac:dyDescent="0.35">
      <c r="A2115" s="547" t="s">
        <v>430</v>
      </c>
      <c r="B2115" s="548" t="s">
        <v>3647</v>
      </c>
      <c r="C2115" s="547" t="s">
        <v>19</v>
      </c>
      <c r="D2115" s="547" t="s">
        <v>3648</v>
      </c>
      <c r="E2115" s="688" t="s">
        <v>461</v>
      </c>
      <c r="F2115" s="688"/>
      <c r="G2115" s="549" t="s">
        <v>423</v>
      </c>
      <c r="H2115" s="550">
        <v>1</v>
      </c>
      <c r="I2115" s="551">
        <v>11.35</v>
      </c>
      <c r="J2115" s="551">
        <v>11.35</v>
      </c>
      <c r="K2115" s="552"/>
    </row>
    <row r="2116" spans="1:11" s="89" customFormat="1" ht="26.25" customHeight="1" thickTop="1" x14ac:dyDescent="0.3">
      <c r="A2116" s="562"/>
      <c r="B2116" s="562"/>
      <c r="C2116" s="562"/>
      <c r="D2116" s="562"/>
      <c r="E2116" s="562"/>
      <c r="F2116" s="562"/>
      <c r="G2116" s="562"/>
      <c r="H2116" s="562"/>
      <c r="I2116" s="562"/>
      <c r="J2116" s="562"/>
      <c r="K2116" s="546"/>
    </row>
    <row r="2117" spans="1:11" x14ac:dyDescent="0.3">
      <c r="A2117" s="553"/>
      <c r="B2117" s="554" t="s">
        <v>4</v>
      </c>
      <c r="C2117" s="553" t="s">
        <v>5</v>
      </c>
      <c r="D2117" s="553" t="s">
        <v>6</v>
      </c>
      <c r="E2117" s="691" t="s">
        <v>427</v>
      </c>
      <c r="F2117" s="691"/>
      <c r="G2117" s="555" t="s">
        <v>7</v>
      </c>
      <c r="H2117" s="554" t="s">
        <v>8</v>
      </c>
      <c r="I2117" s="554" t="s">
        <v>9</v>
      </c>
      <c r="J2117" s="554" t="s">
        <v>11</v>
      </c>
      <c r="K2117" s="552"/>
    </row>
    <row r="2118" spans="1:11" s="89" customFormat="1" ht="38.25" customHeight="1" x14ac:dyDescent="0.3">
      <c r="A2118" s="607" t="s">
        <v>428</v>
      </c>
      <c r="B2118" s="608" t="s">
        <v>3641</v>
      </c>
      <c r="C2118" s="607" t="s">
        <v>19</v>
      </c>
      <c r="D2118" s="607" t="s">
        <v>3642</v>
      </c>
      <c r="E2118" s="690" t="s">
        <v>461</v>
      </c>
      <c r="F2118" s="690"/>
      <c r="G2118" s="609" t="s">
        <v>423</v>
      </c>
      <c r="H2118" s="610">
        <v>1</v>
      </c>
      <c r="I2118" s="611">
        <v>6.23</v>
      </c>
      <c r="J2118" s="611">
        <v>6.23</v>
      </c>
      <c r="K2118" s="546"/>
    </row>
    <row r="2119" spans="1:11" s="89" customFormat="1" ht="25.5" customHeight="1" thickBot="1" x14ac:dyDescent="0.35">
      <c r="A2119" s="547" t="s">
        <v>433</v>
      </c>
      <c r="B2119" s="548" t="s">
        <v>3649</v>
      </c>
      <c r="C2119" s="547" t="s">
        <v>19</v>
      </c>
      <c r="D2119" s="547" t="s">
        <v>3650</v>
      </c>
      <c r="E2119" s="688" t="s">
        <v>442</v>
      </c>
      <c r="F2119" s="688"/>
      <c r="G2119" s="549" t="s">
        <v>81</v>
      </c>
      <c r="H2119" s="550">
        <v>6.3999999999999997E-5</v>
      </c>
      <c r="I2119" s="551">
        <v>97370.98</v>
      </c>
      <c r="J2119" s="551">
        <v>6.23</v>
      </c>
      <c r="K2119" s="546"/>
    </row>
    <row r="2120" spans="1:11" s="89" customFormat="1" ht="14.5" thickTop="1" x14ac:dyDescent="0.3">
      <c r="A2120" s="562"/>
      <c r="B2120" s="562"/>
      <c r="C2120" s="562"/>
      <c r="D2120" s="562"/>
      <c r="E2120" s="562"/>
      <c r="F2120" s="562"/>
      <c r="G2120" s="562"/>
      <c r="H2120" s="562"/>
      <c r="I2120" s="562"/>
      <c r="J2120" s="562"/>
      <c r="K2120" s="546"/>
    </row>
    <row r="2121" spans="1:11" x14ac:dyDescent="0.3">
      <c r="A2121" s="553"/>
      <c r="B2121" s="554" t="s">
        <v>4</v>
      </c>
      <c r="C2121" s="553" t="s">
        <v>5</v>
      </c>
      <c r="D2121" s="553" t="s">
        <v>6</v>
      </c>
      <c r="E2121" s="691" t="s">
        <v>427</v>
      </c>
      <c r="F2121" s="691"/>
      <c r="G2121" s="555" t="s">
        <v>7</v>
      </c>
      <c r="H2121" s="554" t="s">
        <v>8</v>
      </c>
      <c r="I2121" s="554" t="s">
        <v>9</v>
      </c>
      <c r="J2121" s="554" t="s">
        <v>11</v>
      </c>
      <c r="K2121" s="552"/>
    </row>
    <row r="2122" spans="1:11" s="89" customFormat="1" ht="38.25" customHeight="1" x14ac:dyDescent="0.3">
      <c r="A2122" s="607" t="s">
        <v>428</v>
      </c>
      <c r="B2122" s="608" t="s">
        <v>3643</v>
      </c>
      <c r="C2122" s="607" t="s">
        <v>19</v>
      </c>
      <c r="D2122" s="607" t="s">
        <v>3644</v>
      </c>
      <c r="E2122" s="690" t="s">
        <v>461</v>
      </c>
      <c r="F2122" s="690"/>
      <c r="G2122" s="609" t="s">
        <v>423</v>
      </c>
      <c r="H2122" s="610">
        <v>1</v>
      </c>
      <c r="I2122" s="611">
        <v>1.44</v>
      </c>
      <c r="J2122" s="611">
        <v>1.44</v>
      </c>
      <c r="K2122" s="546"/>
    </row>
    <row r="2123" spans="1:11" s="89" customFormat="1" ht="25.5" customHeight="1" thickBot="1" x14ac:dyDescent="0.35">
      <c r="A2123" s="547" t="s">
        <v>433</v>
      </c>
      <c r="B2123" s="548" t="s">
        <v>3649</v>
      </c>
      <c r="C2123" s="547" t="s">
        <v>19</v>
      </c>
      <c r="D2123" s="547" t="s">
        <v>3650</v>
      </c>
      <c r="E2123" s="688" t="s">
        <v>442</v>
      </c>
      <c r="F2123" s="688"/>
      <c r="G2123" s="549" t="s">
        <v>81</v>
      </c>
      <c r="H2123" s="550">
        <v>1.4800000000000001E-5</v>
      </c>
      <c r="I2123" s="551">
        <v>97370.98</v>
      </c>
      <c r="J2123" s="551">
        <v>1.44</v>
      </c>
      <c r="K2123" s="546"/>
    </row>
    <row r="2124" spans="1:11" s="89" customFormat="1" ht="38.25" customHeight="1" thickTop="1" x14ac:dyDescent="0.3">
      <c r="A2124" s="562"/>
      <c r="B2124" s="562"/>
      <c r="C2124" s="562"/>
      <c r="D2124" s="562"/>
      <c r="E2124" s="562"/>
      <c r="F2124" s="562"/>
      <c r="G2124" s="562"/>
      <c r="H2124" s="562"/>
      <c r="I2124" s="562"/>
      <c r="J2124" s="562"/>
      <c r="K2124" s="546"/>
    </row>
    <row r="2125" spans="1:11" s="89" customFormat="1" ht="38.25" customHeight="1" x14ac:dyDescent="0.3">
      <c r="A2125" s="553"/>
      <c r="B2125" s="554" t="s">
        <v>4</v>
      </c>
      <c r="C2125" s="553" t="s">
        <v>5</v>
      </c>
      <c r="D2125" s="553" t="s">
        <v>6</v>
      </c>
      <c r="E2125" s="691" t="s">
        <v>427</v>
      </c>
      <c r="F2125" s="691"/>
      <c r="G2125" s="555" t="s">
        <v>7</v>
      </c>
      <c r="H2125" s="554" t="s">
        <v>8</v>
      </c>
      <c r="I2125" s="554" t="s">
        <v>9</v>
      </c>
      <c r="J2125" s="554" t="s">
        <v>11</v>
      </c>
      <c r="K2125" s="546"/>
    </row>
    <row r="2126" spans="1:11" s="89" customFormat="1" ht="38.25" customHeight="1" x14ac:dyDescent="0.3">
      <c r="A2126" s="607" t="s">
        <v>428</v>
      </c>
      <c r="B2126" s="608" t="s">
        <v>3645</v>
      </c>
      <c r="C2126" s="607" t="s">
        <v>19</v>
      </c>
      <c r="D2126" s="607" t="s">
        <v>3646</v>
      </c>
      <c r="E2126" s="690" t="s">
        <v>461</v>
      </c>
      <c r="F2126" s="690"/>
      <c r="G2126" s="609" t="s">
        <v>423</v>
      </c>
      <c r="H2126" s="610">
        <v>1</v>
      </c>
      <c r="I2126" s="611">
        <v>6.81</v>
      </c>
      <c r="J2126" s="611">
        <v>6.81</v>
      </c>
      <c r="K2126" s="546"/>
    </row>
    <row r="2127" spans="1:11" s="89" customFormat="1" ht="25.5" customHeight="1" thickBot="1" x14ac:dyDescent="0.35">
      <c r="A2127" s="547" t="s">
        <v>433</v>
      </c>
      <c r="B2127" s="548" t="s">
        <v>3649</v>
      </c>
      <c r="C2127" s="547" t="s">
        <v>19</v>
      </c>
      <c r="D2127" s="547" t="s">
        <v>3650</v>
      </c>
      <c r="E2127" s="688" t="s">
        <v>442</v>
      </c>
      <c r="F2127" s="688"/>
      <c r="G2127" s="549" t="s">
        <v>81</v>
      </c>
      <c r="H2127" s="550">
        <v>6.9999999999999994E-5</v>
      </c>
      <c r="I2127" s="551">
        <v>97370.98</v>
      </c>
      <c r="J2127" s="551">
        <v>6.81</v>
      </c>
      <c r="K2127" s="546"/>
    </row>
    <row r="2128" spans="1:11" ht="14.5" thickTop="1" x14ac:dyDescent="0.3">
      <c r="A2128" s="562"/>
      <c r="B2128" s="562"/>
      <c r="C2128" s="562"/>
      <c r="D2128" s="562"/>
      <c r="E2128" s="562"/>
      <c r="F2128" s="562"/>
      <c r="G2128" s="562"/>
      <c r="H2128" s="562"/>
      <c r="I2128" s="562"/>
      <c r="J2128" s="562"/>
      <c r="K2128" s="552"/>
    </row>
    <row r="2129" spans="1:11" x14ac:dyDescent="0.3">
      <c r="A2129" s="553"/>
      <c r="B2129" s="554" t="s">
        <v>4</v>
      </c>
      <c r="C2129" s="553" t="s">
        <v>5</v>
      </c>
      <c r="D2129" s="553" t="s">
        <v>6</v>
      </c>
      <c r="E2129" s="691" t="s">
        <v>427</v>
      </c>
      <c r="F2129" s="691"/>
      <c r="G2129" s="555" t="s">
        <v>7</v>
      </c>
      <c r="H2129" s="554" t="s">
        <v>8</v>
      </c>
      <c r="I2129" s="554" t="s">
        <v>9</v>
      </c>
      <c r="J2129" s="554" t="s">
        <v>11</v>
      </c>
      <c r="K2129" s="552"/>
    </row>
    <row r="2130" spans="1:11" s="89" customFormat="1" ht="38.25" customHeight="1" x14ac:dyDescent="0.3">
      <c r="A2130" s="607" t="s">
        <v>428</v>
      </c>
      <c r="B2130" s="608" t="s">
        <v>3647</v>
      </c>
      <c r="C2130" s="607" t="s">
        <v>19</v>
      </c>
      <c r="D2130" s="607" t="s">
        <v>3648</v>
      </c>
      <c r="E2130" s="690" t="s">
        <v>461</v>
      </c>
      <c r="F2130" s="690"/>
      <c r="G2130" s="609" t="s">
        <v>423</v>
      </c>
      <c r="H2130" s="610">
        <v>1</v>
      </c>
      <c r="I2130" s="611">
        <v>11.35</v>
      </c>
      <c r="J2130" s="611">
        <v>11.35</v>
      </c>
      <c r="K2130" s="546"/>
    </row>
    <row r="2131" spans="1:11" s="89" customFormat="1" ht="25.5" customHeight="1" thickBot="1" x14ac:dyDescent="0.35">
      <c r="A2131" s="547" t="s">
        <v>433</v>
      </c>
      <c r="B2131" s="548" t="s">
        <v>3859</v>
      </c>
      <c r="C2131" s="547" t="s">
        <v>115</v>
      </c>
      <c r="D2131" s="547" t="s">
        <v>3860</v>
      </c>
      <c r="E2131" s="688" t="s">
        <v>438</v>
      </c>
      <c r="F2131" s="688"/>
      <c r="G2131" s="549" t="s">
        <v>835</v>
      </c>
      <c r="H2131" s="550">
        <v>2.1</v>
      </c>
      <c r="I2131" s="551">
        <v>5.4069000000000003</v>
      </c>
      <c r="J2131" s="551">
        <v>11.35</v>
      </c>
      <c r="K2131" s="546"/>
    </row>
    <row r="2132" spans="1:11" s="89" customFormat="1" ht="14.5" thickTop="1" x14ac:dyDescent="0.3">
      <c r="A2132" s="562"/>
      <c r="B2132" s="562"/>
      <c r="C2132" s="562"/>
      <c r="D2132" s="562"/>
      <c r="E2132" s="562"/>
      <c r="F2132" s="562"/>
      <c r="G2132" s="562"/>
      <c r="H2132" s="562"/>
      <c r="I2132" s="562"/>
      <c r="J2132" s="562"/>
      <c r="K2132" s="546"/>
    </row>
    <row r="2133" spans="1:11" x14ac:dyDescent="0.3">
      <c r="A2133" s="553"/>
      <c r="B2133" s="554" t="s">
        <v>4</v>
      </c>
      <c r="C2133" s="553" t="s">
        <v>5</v>
      </c>
      <c r="D2133" s="553" t="s">
        <v>6</v>
      </c>
      <c r="E2133" s="691" t="s">
        <v>427</v>
      </c>
      <c r="F2133" s="691"/>
      <c r="G2133" s="555" t="s">
        <v>7</v>
      </c>
      <c r="H2133" s="554" t="s">
        <v>8</v>
      </c>
      <c r="I2133" s="554" t="s">
        <v>9</v>
      </c>
      <c r="J2133" s="554" t="s">
        <v>11</v>
      </c>
      <c r="K2133" s="552"/>
    </row>
    <row r="2134" spans="1:11" s="89" customFormat="1" ht="38.25" customHeight="1" x14ac:dyDescent="0.3">
      <c r="A2134" s="607" t="s">
        <v>428</v>
      </c>
      <c r="B2134" s="608" t="s">
        <v>1309</v>
      </c>
      <c r="C2134" s="607" t="s">
        <v>115</v>
      </c>
      <c r="D2134" s="607" t="s">
        <v>880</v>
      </c>
      <c r="E2134" s="690" t="s">
        <v>402</v>
      </c>
      <c r="F2134" s="690"/>
      <c r="G2134" s="609" t="s">
        <v>869</v>
      </c>
      <c r="H2134" s="610">
        <v>1</v>
      </c>
      <c r="I2134" s="611">
        <v>837.99</v>
      </c>
      <c r="J2134" s="611">
        <v>837.99</v>
      </c>
      <c r="K2134" s="546"/>
    </row>
    <row r="2135" spans="1:11" s="89" customFormat="1" ht="38.25" customHeight="1" x14ac:dyDescent="0.3">
      <c r="A2135" s="691" t="s">
        <v>408</v>
      </c>
      <c r="B2135" s="692" t="s">
        <v>4</v>
      </c>
      <c r="C2135" s="691" t="s">
        <v>5</v>
      </c>
      <c r="D2135" s="691" t="s">
        <v>462</v>
      </c>
      <c r="E2135" s="692" t="s">
        <v>463</v>
      </c>
      <c r="F2135" s="694" t="s">
        <v>464</v>
      </c>
      <c r="G2135" s="692"/>
      <c r="H2135" s="694" t="s">
        <v>465</v>
      </c>
      <c r="I2135" s="692"/>
      <c r="J2135" s="692" t="s">
        <v>466</v>
      </c>
      <c r="K2135" s="546"/>
    </row>
    <row r="2136" spans="1:11" s="89" customFormat="1" ht="38.25" customHeight="1" x14ac:dyDescent="0.3">
      <c r="A2136" s="692"/>
      <c r="B2136" s="692"/>
      <c r="C2136" s="692"/>
      <c r="D2136" s="692"/>
      <c r="E2136" s="692"/>
      <c r="F2136" s="554" t="s">
        <v>467</v>
      </c>
      <c r="G2136" s="554" t="s">
        <v>468</v>
      </c>
      <c r="H2136" s="554" t="s">
        <v>467</v>
      </c>
      <c r="I2136" s="554" t="s">
        <v>468</v>
      </c>
      <c r="J2136" s="692"/>
      <c r="K2136" s="546"/>
    </row>
    <row r="2137" spans="1:11" ht="38.25" customHeight="1" x14ac:dyDescent="0.3">
      <c r="A2137" s="547" t="s">
        <v>433</v>
      </c>
      <c r="B2137" s="548" t="s">
        <v>825</v>
      </c>
      <c r="C2137" s="547" t="s">
        <v>115</v>
      </c>
      <c r="D2137" s="547" t="s">
        <v>3550</v>
      </c>
      <c r="E2137" s="550">
        <v>0.36144999999999999</v>
      </c>
      <c r="F2137" s="551">
        <v>1</v>
      </c>
      <c r="G2137" s="551">
        <v>0</v>
      </c>
      <c r="H2137" s="563">
        <v>18.346599999999999</v>
      </c>
      <c r="I2137" s="563">
        <v>4.6111000000000004</v>
      </c>
      <c r="J2137" s="563">
        <v>6.6314000000000002</v>
      </c>
      <c r="K2137" s="552"/>
    </row>
    <row r="2138" spans="1:11" s="89" customFormat="1" ht="38.25" customHeight="1" x14ac:dyDescent="0.3">
      <c r="A2138" s="547" t="s">
        <v>433</v>
      </c>
      <c r="B2138" s="548" t="s">
        <v>826</v>
      </c>
      <c r="C2138" s="547" t="s">
        <v>115</v>
      </c>
      <c r="D2138" s="547" t="s">
        <v>827</v>
      </c>
      <c r="E2138" s="550">
        <v>0.36144999999999999</v>
      </c>
      <c r="F2138" s="551">
        <v>1</v>
      </c>
      <c r="G2138" s="551">
        <v>0</v>
      </c>
      <c r="H2138" s="563">
        <v>26.159800000000001</v>
      </c>
      <c r="I2138" s="563">
        <v>25.813600000000001</v>
      </c>
      <c r="J2138" s="563">
        <v>9.4555000000000007</v>
      </c>
      <c r="K2138" s="546"/>
    </row>
    <row r="2139" spans="1:11" ht="39" customHeight="1" x14ac:dyDescent="0.3">
      <c r="A2139" s="689"/>
      <c r="B2139" s="689"/>
      <c r="C2139" s="689"/>
      <c r="D2139" s="689"/>
      <c r="E2139" s="689"/>
      <c r="F2139" s="689" t="s">
        <v>471</v>
      </c>
      <c r="G2139" s="689"/>
      <c r="H2139" s="689"/>
      <c r="I2139" s="689"/>
      <c r="J2139" s="564">
        <v>16.0869</v>
      </c>
      <c r="K2139" s="552"/>
    </row>
    <row r="2140" spans="1:11" s="89" customFormat="1" ht="15" customHeight="1" x14ac:dyDescent="0.3">
      <c r="A2140" s="689"/>
      <c r="B2140" s="689"/>
      <c r="C2140" s="689"/>
      <c r="D2140" s="689"/>
      <c r="E2140" s="689"/>
      <c r="F2140" s="689" t="s">
        <v>472</v>
      </c>
      <c r="G2140" s="689"/>
      <c r="H2140" s="689"/>
      <c r="I2140" s="689"/>
      <c r="J2140" s="564">
        <v>16.0869</v>
      </c>
      <c r="K2140" s="546"/>
    </row>
    <row r="2141" spans="1:11" ht="14.25" customHeight="1" x14ac:dyDescent="0.3">
      <c r="A2141" s="689"/>
      <c r="B2141" s="689"/>
      <c r="C2141" s="689"/>
      <c r="D2141" s="689"/>
      <c r="E2141" s="689"/>
      <c r="F2141" s="689" t="s">
        <v>473</v>
      </c>
      <c r="G2141" s="689"/>
      <c r="H2141" s="689"/>
      <c r="I2141" s="689"/>
      <c r="J2141" s="564">
        <v>0</v>
      </c>
      <c r="K2141" s="552"/>
    </row>
    <row r="2142" spans="1:11" s="89" customFormat="1" ht="38.25" customHeight="1" x14ac:dyDescent="0.3">
      <c r="A2142" s="689"/>
      <c r="B2142" s="689"/>
      <c r="C2142" s="689"/>
      <c r="D2142" s="689"/>
      <c r="E2142" s="689"/>
      <c r="F2142" s="689" t="s">
        <v>474</v>
      </c>
      <c r="G2142" s="689"/>
      <c r="H2142" s="689"/>
      <c r="I2142" s="689"/>
      <c r="J2142" s="564">
        <v>0</v>
      </c>
      <c r="K2142" s="546"/>
    </row>
    <row r="2143" spans="1:11" ht="14.25" customHeight="1" x14ac:dyDescent="0.3">
      <c r="A2143" s="689"/>
      <c r="B2143" s="689"/>
      <c r="C2143" s="689"/>
      <c r="D2143" s="689"/>
      <c r="E2143" s="689"/>
      <c r="F2143" s="689" t="s">
        <v>475</v>
      </c>
      <c r="G2143" s="689"/>
      <c r="H2143" s="689"/>
      <c r="I2143" s="689"/>
      <c r="J2143" s="564">
        <v>2</v>
      </c>
      <c r="K2143" s="552"/>
    </row>
    <row r="2144" spans="1:11" ht="14.25" customHeight="1" x14ac:dyDescent="0.3">
      <c r="A2144" s="689"/>
      <c r="B2144" s="689"/>
      <c r="C2144" s="689"/>
      <c r="D2144" s="689"/>
      <c r="E2144" s="689"/>
      <c r="F2144" s="689" t="s">
        <v>476</v>
      </c>
      <c r="G2144" s="689"/>
      <c r="H2144" s="689"/>
      <c r="I2144" s="689"/>
      <c r="J2144" s="564">
        <v>8.0434999999999999</v>
      </c>
      <c r="K2144" s="552"/>
    </row>
    <row r="2145" spans="1:11" s="89" customFormat="1" ht="15" customHeight="1" x14ac:dyDescent="0.3">
      <c r="A2145" s="553" t="s">
        <v>410</v>
      </c>
      <c r="B2145" s="554" t="s">
        <v>5</v>
      </c>
      <c r="C2145" s="553" t="s">
        <v>4</v>
      </c>
      <c r="D2145" s="553" t="s">
        <v>438</v>
      </c>
      <c r="E2145" s="554" t="s">
        <v>463</v>
      </c>
      <c r="F2145" s="554" t="s">
        <v>575</v>
      </c>
      <c r="G2145" s="692" t="s">
        <v>576</v>
      </c>
      <c r="H2145" s="692"/>
      <c r="I2145" s="692"/>
      <c r="J2145" s="554" t="s">
        <v>466</v>
      </c>
      <c r="K2145" s="546"/>
    </row>
    <row r="2146" spans="1:11" s="89" customFormat="1" ht="38.25" customHeight="1" x14ac:dyDescent="0.3">
      <c r="A2146" s="547" t="s">
        <v>433</v>
      </c>
      <c r="B2146" s="548" t="s">
        <v>115</v>
      </c>
      <c r="C2146" s="547" t="s">
        <v>828</v>
      </c>
      <c r="D2146" s="547" t="s">
        <v>829</v>
      </c>
      <c r="E2146" s="550">
        <v>7.2160000000000002</v>
      </c>
      <c r="F2146" s="549" t="s">
        <v>830</v>
      </c>
      <c r="G2146" s="693">
        <v>13.201499999999999</v>
      </c>
      <c r="H2146" s="693"/>
      <c r="I2146" s="688"/>
      <c r="J2146" s="563">
        <v>95.262</v>
      </c>
      <c r="K2146" s="546"/>
    </row>
    <row r="2147" spans="1:11" s="89" customFormat="1" ht="15" customHeight="1" x14ac:dyDescent="0.3">
      <c r="A2147" s="547" t="s">
        <v>433</v>
      </c>
      <c r="B2147" s="548" t="s">
        <v>115</v>
      </c>
      <c r="C2147" s="547" t="s">
        <v>1310</v>
      </c>
      <c r="D2147" s="547" t="s">
        <v>1311</v>
      </c>
      <c r="E2147" s="550">
        <v>1.08</v>
      </c>
      <c r="F2147" s="549" t="s">
        <v>556</v>
      </c>
      <c r="G2147" s="693">
        <v>547.54909999999995</v>
      </c>
      <c r="H2147" s="693"/>
      <c r="I2147" s="688"/>
      <c r="J2147" s="563">
        <v>591.35299999999995</v>
      </c>
      <c r="K2147" s="546"/>
    </row>
    <row r="2148" spans="1:11" x14ac:dyDescent="0.3">
      <c r="A2148" s="547" t="s">
        <v>433</v>
      </c>
      <c r="B2148" s="548" t="s">
        <v>115</v>
      </c>
      <c r="C2148" s="547" t="s">
        <v>838</v>
      </c>
      <c r="D2148" s="547" t="s">
        <v>839</v>
      </c>
      <c r="E2148" s="550">
        <v>0.18</v>
      </c>
      <c r="F2148" s="549" t="s">
        <v>655</v>
      </c>
      <c r="G2148" s="693">
        <v>18.600000000000001</v>
      </c>
      <c r="H2148" s="693"/>
      <c r="I2148" s="688"/>
      <c r="J2148" s="563">
        <v>3.3479999999999999</v>
      </c>
      <c r="K2148" s="552"/>
    </row>
    <row r="2149" spans="1:11" x14ac:dyDescent="0.3">
      <c r="A2149" s="547" t="s">
        <v>433</v>
      </c>
      <c r="B2149" s="548" t="s">
        <v>115</v>
      </c>
      <c r="C2149" s="547" t="s">
        <v>1104</v>
      </c>
      <c r="D2149" s="547" t="s">
        <v>1105</v>
      </c>
      <c r="E2149" s="550">
        <v>2.09</v>
      </c>
      <c r="F2149" s="549" t="s">
        <v>830</v>
      </c>
      <c r="G2149" s="693">
        <v>2.4834000000000001</v>
      </c>
      <c r="H2149" s="693"/>
      <c r="I2149" s="688"/>
      <c r="J2149" s="563">
        <v>5.1902999999999997</v>
      </c>
      <c r="K2149" s="552"/>
    </row>
    <row r="2150" spans="1:11" s="89" customFormat="1" ht="38.25" customHeight="1" x14ac:dyDescent="0.3">
      <c r="A2150" s="547" t="s">
        <v>433</v>
      </c>
      <c r="B2150" s="548" t="s">
        <v>115</v>
      </c>
      <c r="C2150" s="547" t="s">
        <v>1312</v>
      </c>
      <c r="D2150" s="547" t="s">
        <v>1313</v>
      </c>
      <c r="E2150" s="550">
        <v>5.6259999999999998E-2</v>
      </c>
      <c r="F2150" s="549" t="s">
        <v>835</v>
      </c>
      <c r="G2150" s="693">
        <v>16.705500000000001</v>
      </c>
      <c r="H2150" s="693"/>
      <c r="I2150" s="688"/>
      <c r="J2150" s="563">
        <v>0.93989999999999996</v>
      </c>
      <c r="K2150" s="546"/>
    </row>
    <row r="2151" spans="1:11" ht="14.25" customHeight="1" x14ac:dyDescent="0.3">
      <c r="A2151" s="547" t="s">
        <v>433</v>
      </c>
      <c r="B2151" s="548" t="s">
        <v>115</v>
      </c>
      <c r="C2151" s="547" t="s">
        <v>842</v>
      </c>
      <c r="D2151" s="547" t="s">
        <v>843</v>
      </c>
      <c r="E2151" s="550">
        <v>3.96</v>
      </c>
      <c r="F2151" s="549" t="s">
        <v>830</v>
      </c>
      <c r="G2151" s="693">
        <v>14.931699999999999</v>
      </c>
      <c r="H2151" s="693"/>
      <c r="I2151" s="688"/>
      <c r="J2151" s="563">
        <v>59.1295</v>
      </c>
      <c r="K2151" s="552"/>
    </row>
    <row r="2152" spans="1:11" ht="14.25" customHeight="1" x14ac:dyDescent="0.3">
      <c r="A2152" s="547" t="s">
        <v>433</v>
      </c>
      <c r="B2152" s="548" t="s">
        <v>115</v>
      </c>
      <c r="C2152" s="547" t="s">
        <v>1314</v>
      </c>
      <c r="D2152" s="547" t="s">
        <v>1315</v>
      </c>
      <c r="E2152" s="550">
        <v>0.56255999999999995</v>
      </c>
      <c r="F2152" s="549" t="s">
        <v>835</v>
      </c>
      <c r="G2152" s="693">
        <v>29.9255</v>
      </c>
      <c r="H2152" s="693"/>
      <c r="I2152" s="688"/>
      <c r="J2152" s="563">
        <v>16.834900000000001</v>
      </c>
      <c r="K2152" s="552"/>
    </row>
    <row r="2153" spans="1:11" s="89" customFormat="1" ht="15" customHeight="1" x14ac:dyDescent="0.3">
      <c r="A2153" s="689"/>
      <c r="B2153" s="689"/>
      <c r="C2153" s="689"/>
      <c r="D2153" s="689"/>
      <c r="E2153" s="689"/>
      <c r="F2153" s="689" t="s">
        <v>813</v>
      </c>
      <c r="G2153" s="689"/>
      <c r="H2153" s="689"/>
      <c r="I2153" s="689"/>
      <c r="J2153" s="564">
        <v>772.05759999999998</v>
      </c>
      <c r="K2153" s="546"/>
    </row>
    <row r="2154" spans="1:11" s="89" customFormat="1" ht="38.25" customHeight="1" x14ac:dyDescent="0.3">
      <c r="A2154" s="553" t="s">
        <v>573</v>
      </c>
      <c r="B2154" s="554" t="s">
        <v>5</v>
      </c>
      <c r="C2154" s="553" t="s">
        <v>4</v>
      </c>
      <c r="D2154" s="553" t="s">
        <v>574</v>
      </c>
      <c r="E2154" s="554" t="s">
        <v>463</v>
      </c>
      <c r="F2154" s="554" t="s">
        <v>575</v>
      </c>
      <c r="G2154" s="692" t="s">
        <v>576</v>
      </c>
      <c r="H2154" s="692"/>
      <c r="I2154" s="692"/>
      <c r="J2154" s="554" t="s">
        <v>466</v>
      </c>
      <c r="K2154" s="546"/>
    </row>
    <row r="2155" spans="1:11" s="89" customFormat="1" ht="15" customHeight="1" x14ac:dyDescent="0.3">
      <c r="A2155" s="547" t="s">
        <v>577</v>
      </c>
      <c r="B2155" s="548" t="s">
        <v>19</v>
      </c>
      <c r="C2155" s="547">
        <v>88241</v>
      </c>
      <c r="D2155" s="547" t="s">
        <v>794</v>
      </c>
      <c r="E2155" s="550">
        <v>0.5</v>
      </c>
      <c r="F2155" s="549" t="s">
        <v>423</v>
      </c>
      <c r="G2155" s="693">
        <v>24.15</v>
      </c>
      <c r="H2155" s="693"/>
      <c r="I2155" s="688"/>
      <c r="J2155" s="563">
        <v>12.074999999999999</v>
      </c>
      <c r="K2155" s="546"/>
    </row>
    <row r="2156" spans="1:11" ht="14.25" customHeight="1" x14ac:dyDescent="0.3">
      <c r="A2156" s="547" t="s">
        <v>577</v>
      </c>
      <c r="B2156" s="548" t="s">
        <v>19</v>
      </c>
      <c r="C2156" s="547">
        <v>88316</v>
      </c>
      <c r="D2156" s="547" t="s">
        <v>560</v>
      </c>
      <c r="E2156" s="550">
        <v>0.5</v>
      </c>
      <c r="F2156" s="549" t="s">
        <v>423</v>
      </c>
      <c r="G2156" s="693">
        <v>23.4</v>
      </c>
      <c r="H2156" s="693"/>
      <c r="I2156" s="688"/>
      <c r="J2156" s="563">
        <v>11.7</v>
      </c>
      <c r="K2156" s="552"/>
    </row>
    <row r="2157" spans="1:11" ht="15" customHeight="1" x14ac:dyDescent="0.3">
      <c r="A2157" s="547" t="s">
        <v>577</v>
      </c>
      <c r="B2157" s="548" t="s">
        <v>19</v>
      </c>
      <c r="C2157" s="547">
        <v>88310</v>
      </c>
      <c r="D2157" s="547" t="s">
        <v>1025</v>
      </c>
      <c r="E2157" s="550">
        <v>0.5</v>
      </c>
      <c r="F2157" s="549" t="s">
        <v>423</v>
      </c>
      <c r="G2157" s="693">
        <v>32.58</v>
      </c>
      <c r="H2157" s="693"/>
      <c r="I2157" s="688"/>
      <c r="J2157" s="563">
        <v>16.29</v>
      </c>
      <c r="K2157" s="552"/>
    </row>
    <row r="2158" spans="1:11" s="89" customFormat="1" x14ac:dyDescent="0.3">
      <c r="A2158" s="547" t="s">
        <v>577</v>
      </c>
      <c r="B2158" s="548" t="s">
        <v>19</v>
      </c>
      <c r="C2158" s="547">
        <v>88262</v>
      </c>
      <c r="D2158" s="547" t="s">
        <v>621</v>
      </c>
      <c r="E2158" s="550">
        <v>0.5</v>
      </c>
      <c r="F2158" s="549" t="s">
        <v>423</v>
      </c>
      <c r="G2158" s="693">
        <v>30.71</v>
      </c>
      <c r="H2158" s="693"/>
      <c r="I2158" s="688"/>
      <c r="J2158" s="563">
        <v>15.355</v>
      </c>
      <c r="K2158" s="546"/>
    </row>
    <row r="2159" spans="1:11" ht="15" customHeight="1" x14ac:dyDescent="0.3">
      <c r="A2159" s="689"/>
      <c r="B2159" s="689"/>
      <c r="C2159" s="689"/>
      <c r="D2159" s="689"/>
      <c r="E2159" s="689"/>
      <c r="F2159" s="689" t="s">
        <v>578</v>
      </c>
      <c r="G2159" s="689"/>
      <c r="H2159" s="689"/>
      <c r="I2159" s="689"/>
      <c r="J2159" s="564">
        <v>55.42</v>
      </c>
      <c r="K2159" s="552"/>
    </row>
    <row r="2160" spans="1:11" ht="15" customHeight="1" x14ac:dyDescent="0.3">
      <c r="A2160" s="553" t="s">
        <v>579</v>
      </c>
      <c r="B2160" s="554" t="s">
        <v>5</v>
      </c>
      <c r="C2160" s="553" t="s">
        <v>433</v>
      </c>
      <c r="D2160" s="553" t="s">
        <v>580</v>
      </c>
      <c r="E2160" s="554" t="s">
        <v>4</v>
      </c>
      <c r="F2160" s="554" t="s">
        <v>463</v>
      </c>
      <c r="G2160" s="555" t="s">
        <v>575</v>
      </c>
      <c r="H2160" s="692" t="s">
        <v>576</v>
      </c>
      <c r="I2160" s="692"/>
      <c r="J2160" s="554" t="s">
        <v>466</v>
      </c>
      <c r="K2160" s="552"/>
    </row>
    <row r="2161" spans="1:11" s="89" customFormat="1" ht="25" x14ac:dyDescent="0.3">
      <c r="A2161" s="547" t="s">
        <v>581</v>
      </c>
      <c r="B2161" s="548" t="s">
        <v>115</v>
      </c>
      <c r="C2161" s="547" t="s">
        <v>828</v>
      </c>
      <c r="D2161" s="547" t="s">
        <v>844</v>
      </c>
      <c r="E2161" s="548">
        <v>5914655</v>
      </c>
      <c r="F2161" s="550">
        <v>4.0590000000000001E-2</v>
      </c>
      <c r="G2161" s="549" t="s">
        <v>584</v>
      </c>
      <c r="H2161" s="693">
        <v>33.159999999999997</v>
      </c>
      <c r="I2161" s="688"/>
      <c r="J2161" s="563">
        <v>1.3460000000000001</v>
      </c>
      <c r="K2161" s="546"/>
    </row>
    <row r="2162" spans="1:11" s="89" customFormat="1" ht="25" x14ac:dyDescent="0.3">
      <c r="A2162" s="547" t="s">
        <v>581</v>
      </c>
      <c r="B2162" s="548" t="s">
        <v>115</v>
      </c>
      <c r="C2162" s="547" t="s">
        <v>1310</v>
      </c>
      <c r="D2162" s="547" t="s">
        <v>844</v>
      </c>
      <c r="E2162" s="548">
        <v>5914655</v>
      </c>
      <c r="F2162" s="550">
        <v>5.1999999999999995E-4</v>
      </c>
      <c r="G2162" s="549" t="s">
        <v>584</v>
      </c>
      <c r="H2162" s="693">
        <v>33.159999999999997</v>
      </c>
      <c r="I2162" s="688"/>
      <c r="J2162" s="563">
        <v>1.72E-2</v>
      </c>
      <c r="K2162" s="546"/>
    </row>
    <row r="2163" spans="1:11" s="89" customFormat="1" ht="15" customHeight="1" x14ac:dyDescent="0.3">
      <c r="A2163" s="547" t="s">
        <v>581</v>
      </c>
      <c r="B2163" s="548" t="s">
        <v>115</v>
      </c>
      <c r="C2163" s="547" t="s">
        <v>838</v>
      </c>
      <c r="D2163" s="547" t="s">
        <v>844</v>
      </c>
      <c r="E2163" s="548">
        <v>5914655</v>
      </c>
      <c r="F2163" s="550">
        <v>1.8000000000000001E-4</v>
      </c>
      <c r="G2163" s="549" t="s">
        <v>584</v>
      </c>
      <c r="H2163" s="693">
        <v>33.159999999999997</v>
      </c>
      <c r="I2163" s="688"/>
      <c r="J2163" s="563">
        <v>6.0000000000000001E-3</v>
      </c>
      <c r="K2163" s="546"/>
    </row>
    <row r="2164" spans="1:11" ht="14.25" customHeight="1" x14ac:dyDescent="0.3">
      <c r="A2164" s="547" t="s">
        <v>581</v>
      </c>
      <c r="B2164" s="548" t="s">
        <v>115</v>
      </c>
      <c r="C2164" s="547" t="s">
        <v>1104</v>
      </c>
      <c r="D2164" s="547" t="s">
        <v>844</v>
      </c>
      <c r="E2164" s="548">
        <v>5914655</v>
      </c>
      <c r="F2164" s="550">
        <v>2.6099999999999999E-3</v>
      </c>
      <c r="G2164" s="549" t="s">
        <v>584</v>
      </c>
      <c r="H2164" s="693">
        <v>33.159999999999997</v>
      </c>
      <c r="I2164" s="688"/>
      <c r="J2164" s="563">
        <v>8.6499999999999994E-2</v>
      </c>
      <c r="K2164" s="552"/>
    </row>
    <row r="2165" spans="1:11" ht="14.25" customHeight="1" x14ac:dyDescent="0.3">
      <c r="A2165" s="547" t="s">
        <v>581</v>
      </c>
      <c r="B2165" s="548" t="s">
        <v>115</v>
      </c>
      <c r="C2165" s="547" t="s">
        <v>1312</v>
      </c>
      <c r="D2165" s="547" t="s">
        <v>844</v>
      </c>
      <c r="E2165" s="548">
        <v>5914655</v>
      </c>
      <c r="F2165" s="550">
        <v>5.0000000000000002E-5</v>
      </c>
      <c r="G2165" s="549" t="s">
        <v>584</v>
      </c>
      <c r="H2165" s="693">
        <v>33.159999999999997</v>
      </c>
      <c r="I2165" s="688"/>
      <c r="J2165" s="563">
        <v>1.6999999999999999E-3</v>
      </c>
      <c r="K2165" s="552"/>
    </row>
    <row r="2166" spans="1:11" ht="15" customHeight="1" x14ac:dyDescent="0.3">
      <c r="A2166" s="547" t="s">
        <v>581</v>
      </c>
      <c r="B2166" s="548" t="s">
        <v>115</v>
      </c>
      <c r="C2166" s="547" t="s">
        <v>842</v>
      </c>
      <c r="D2166" s="547" t="s">
        <v>844</v>
      </c>
      <c r="E2166" s="548">
        <v>5914655</v>
      </c>
      <c r="F2166" s="550">
        <v>2.9700000000000001E-2</v>
      </c>
      <c r="G2166" s="549" t="s">
        <v>584</v>
      </c>
      <c r="H2166" s="693">
        <v>33.159999999999997</v>
      </c>
      <c r="I2166" s="688"/>
      <c r="J2166" s="563">
        <v>0.9849</v>
      </c>
      <c r="K2166" s="552"/>
    </row>
    <row r="2167" spans="1:11" ht="14.25" customHeight="1" x14ac:dyDescent="0.3">
      <c r="A2167" s="547" t="s">
        <v>581</v>
      </c>
      <c r="B2167" s="548" t="s">
        <v>115</v>
      </c>
      <c r="C2167" s="547" t="s">
        <v>1314</v>
      </c>
      <c r="D2167" s="547" t="s">
        <v>844</v>
      </c>
      <c r="E2167" s="548">
        <v>5914655</v>
      </c>
      <c r="F2167" s="550">
        <v>7.7999999999999999E-4</v>
      </c>
      <c r="G2167" s="549" t="s">
        <v>584</v>
      </c>
      <c r="H2167" s="693">
        <v>33.159999999999997</v>
      </c>
      <c r="I2167" s="688"/>
      <c r="J2167" s="563">
        <v>2.5899999999999999E-2</v>
      </c>
      <c r="K2167" s="552"/>
    </row>
    <row r="2168" spans="1:11" s="89" customFormat="1" ht="15" customHeight="1" x14ac:dyDescent="0.3">
      <c r="A2168" s="689"/>
      <c r="B2168" s="689"/>
      <c r="C2168" s="689"/>
      <c r="D2168" s="689"/>
      <c r="E2168" s="689"/>
      <c r="F2168" s="689" t="s">
        <v>585</v>
      </c>
      <c r="G2168" s="689"/>
      <c r="H2168" s="689"/>
      <c r="I2168" s="689"/>
      <c r="J2168" s="564">
        <v>2.4681999999999999</v>
      </c>
      <c r="K2168" s="546"/>
    </row>
    <row r="2169" spans="1:11" s="89" customFormat="1" ht="15" customHeight="1" x14ac:dyDescent="0.3">
      <c r="A2169" s="553" t="s">
        <v>586</v>
      </c>
      <c r="B2169" s="554" t="s">
        <v>5</v>
      </c>
      <c r="C2169" s="553" t="s">
        <v>433</v>
      </c>
      <c r="D2169" s="553" t="s">
        <v>587</v>
      </c>
      <c r="E2169" s="554" t="s">
        <v>463</v>
      </c>
      <c r="F2169" s="554" t="s">
        <v>575</v>
      </c>
      <c r="G2169" s="694" t="s">
        <v>588</v>
      </c>
      <c r="H2169" s="692"/>
      <c r="I2169" s="692"/>
      <c r="J2169" s="554" t="s">
        <v>466</v>
      </c>
      <c r="K2169" s="546"/>
    </row>
    <row r="2170" spans="1:11" s="89" customFormat="1" x14ac:dyDescent="0.3">
      <c r="A2170" s="555"/>
      <c r="B2170" s="555"/>
      <c r="C2170" s="555"/>
      <c r="D2170" s="555"/>
      <c r="E2170" s="555"/>
      <c r="F2170" s="555"/>
      <c r="G2170" s="555" t="s">
        <v>589</v>
      </c>
      <c r="H2170" s="555" t="s">
        <v>590</v>
      </c>
      <c r="I2170" s="555" t="s">
        <v>591</v>
      </c>
      <c r="J2170" s="555"/>
      <c r="K2170" s="546"/>
    </row>
    <row r="2171" spans="1:11" ht="14.25" customHeight="1" x14ac:dyDescent="0.3">
      <c r="A2171" s="547" t="s">
        <v>587</v>
      </c>
      <c r="B2171" s="548" t="s">
        <v>115</v>
      </c>
      <c r="C2171" s="547" t="s">
        <v>828</v>
      </c>
      <c r="D2171" s="547" t="s">
        <v>845</v>
      </c>
      <c r="E2171" s="550">
        <v>4.0590000000000001E-2</v>
      </c>
      <c r="F2171" s="549" t="s">
        <v>593</v>
      </c>
      <c r="G2171" s="548" t="s">
        <v>3846</v>
      </c>
      <c r="H2171" s="548" t="s">
        <v>3847</v>
      </c>
      <c r="I2171" s="548" t="s">
        <v>3848</v>
      </c>
      <c r="J2171" s="563">
        <v>0</v>
      </c>
      <c r="K2171" s="552"/>
    </row>
    <row r="2172" spans="1:11" ht="15" customHeight="1" x14ac:dyDescent="0.3">
      <c r="A2172" s="547" t="s">
        <v>587</v>
      </c>
      <c r="B2172" s="548" t="s">
        <v>115</v>
      </c>
      <c r="C2172" s="547" t="s">
        <v>1310</v>
      </c>
      <c r="D2172" s="547" t="s">
        <v>1316</v>
      </c>
      <c r="E2172" s="550">
        <v>5.1999999999999995E-4</v>
      </c>
      <c r="F2172" s="549" t="s">
        <v>593</v>
      </c>
      <c r="G2172" s="548" t="s">
        <v>3846</v>
      </c>
      <c r="H2172" s="548" t="s">
        <v>3847</v>
      </c>
      <c r="I2172" s="548" t="s">
        <v>3848</v>
      </c>
      <c r="J2172" s="563">
        <v>0</v>
      </c>
      <c r="K2172" s="552"/>
    </row>
    <row r="2173" spans="1:11" s="89" customFormat="1" ht="37.5" x14ac:dyDescent="0.3">
      <c r="A2173" s="547" t="s">
        <v>587</v>
      </c>
      <c r="B2173" s="548" t="s">
        <v>115</v>
      </c>
      <c r="C2173" s="547" t="s">
        <v>838</v>
      </c>
      <c r="D2173" s="547" t="s">
        <v>849</v>
      </c>
      <c r="E2173" s="550">
        <v>1.8000000000000001E-4</v>
      </c>
      <c r="F2173" s="549" t="s">
        <v>593</v>
      </c>
      <c r="G2173" s="548" t="s">
        <v>3846</v>
      </c>
      <c r="H2173" s="548" t="s">
        <v>3847</v>
      </c>
      <c r="I2173" s="548" t="s">
        <v>3848</v>
      </c>
      <c r="J2173" s="563">
        <v>0</v>
      </c>
      <c r="K2173" s="546"/>
    </row>
    <row r="2174" spans="1:11" ht="37.5" x14ac:dyDescent="0.3">
      <c r="A2174" s="547" t="s">
        <v>587</v>
      </c>
      <c r="B2174" s="548" t="s">
        <v>115</v>
      </c>
      <c r="C2174" s="547" t="s">
        <v>1104</v>
      </c>
      <c r="D2174" s="547" t="s">
        <v>1111</v>
      </c>
      <c r="E2174" s="550">
        <v>2.6099999999999999E-3</v>
      </c>
      <c r="F2174" s="549" t="s">
        <v>593</v>
      </c>
      <c r="G2174" s="548" t="s">
        <v>3846</v>
      </c>
      <c r="H2174" s="548" t="s">
        <v>3847</v>
      </c>
      <c r="I2174" s="548" t="s">
        <v>3848</v>
      </c>
      <c r="J2174" s="563">
        <v>0</v>
      </c>
      <c r="K2174" s="552"/>
    </row>
    <row r="2175" spans="1:11" ht="37.5" x14ac:dyDescent="0.3">
      <c r="A2175" s="547" t="s">
        <v>587</v>
      </c>
      <c r="B2175" s="548" t="s">
        <v>115</v>
      </c>
      <c r="C2175" s="547" t="s">
        <v>1312</v>
      </c>
      <c r="D2175" s="547" t="s">
        <v>1317</v>
      </c>
      <c r="E2175" s="550">
        <v>5.0000000000000002E-5</v>
      </c>
      <c r="F2175" s="549" t="s">
        <v>593</v>
      </c>
      <c r="G2175" s="548" t="s">
        <v>3846</v>
      </c>
      <c r="H2175" s="548" t="s">
        <v>3847</v>
      </c>
      <c r="I2175" s="548" t="s">
        <v>3848</v>
      </c>
      <c r="J2175" s="563">
        <v>0</v>
      </c>
      <c r="K2175" s="552"/>
    </row>
    <row r="2176" spans="1:11" ht="37.5" x14ac:dyDescent="0.3">
      <c r="A2176" s="547" t="s">
        <v>587</v>
      </c>
      <c r="B2176" s="548" t="s">
        <v>115</v>
      </c>
      <c r="C2176" s="547" t="s">
        <v>842</v>
      </c>
      <c r="D2176" s="547" t="s">
        <v>851</v>
      </c>
      <c r="E2176" s="550">
        <v>2.9700000000000001E-2</v>
      </c>
      <c r="F2176" s="549" t="s">
        <v>593</v>
      </c>
      <c r="G2176" s="548" t="s">
        <v>3846</v>
      </c>
      <c r="H2176" s="548" t="s">
        <v>3847</v>
      </c>
      <c r="I2176" s="548" t="s">
        <v>3848</v>
      </c>
      <c r="J2176" s="563">
        <v>0</v>
      </c>
      <c r="K2176" s="552"/>
    </row>
    <row r="2177" spans="1:11" ht="14.25" customHeight="1" x14ac:dyDescent="0.3">
      <c r="A2177" s="547" t="s">
        <v>587</v>
      </c>
      <c r="B2177" s="548" t="s">
        <v>115</v>
      </c>
      <c r="C2177" s="547" t="s">
        <v>1314</v>
      </c>
      <c r="D2177" s="547" t="s">
        <v>1318</v>
      </c>
      <c r="E2177" s="550">
        <v>7.7999999999999999E-4</v>
      </c>
      <c r="F2177" s="549" t="s">
        <v>593</v>
      </c>
      <c r="G2177" s="548" t="s">
        <v>3846</v>
      </c>
      <c r="H2177" s="548" t="s">
        <v>3847</v>
      </c>
      <c r="I2177" s="548" t="s">
        <v>3848</v>
      </c>
      <c r="J2177" s="563">
        <v>0</v>
      </c>
      <c r="K2177" s="552"/>
    </row>
    <row r="2178" spans="1:11" s="89" customFormat="1" ht="15" customHeight="1" thickBot="1" x14ac:dyDescent="0.35">
      <c r="A2178" s="689"/>
      <c r="B2178" s="689"/>
      <c r="C2178" s="689"/>
      <c r="D2178" s="689"/>
      <c r="E2178" s="689"/>
      <c r="F2178" s="689" t="s">
        <v>594</v>
      </c>
      <c r="G2178" s="689"/>
      <c r="H2178" s="689"/>
      <c r="I2178" s="689"/>
      <c r="J2178" s="564">
        <v>0</v>
      </c>
      <c r="K2178" s="546"/>
    </row>
    <row r="2179" spans="1:11" ht="14.5" thickTop="1" x14ac:dyDescent="0.3">
      <c r="A2179" s="562"/>
      <c r="B2179" s="562"/>
      <c r="C2179" s="562"/>
      <c r="D2179" s="562"/>
      <c r="E2179" s="562"/>
      <c r="F2179" s="562"/>
      <c r="G2179" s="562"/>
      <c r="H2179" s="562"/>
      <c r="I2179" s="562"/>
      <c r="J2179" s="562"/>
      <c r="K2179" s="552"/>
    </row>
    <row r="2180" spans="1:11" s="89" customFormat="1" ht="15" customHeight="1" x14ac:dyDescent="0.3">
      <c r="A2180" s="553"/>
      <c r="B2180" s="554" t="s">
        <v>4</v>
      </c>
      <c r="C2180" s="553" t="s">
        <v>5</v>
      </c>
      <c r="D2180" s="553" t="s">
        <v>6</v>
      </c>
      <c r="E2180" s="691" t="s">
        <v>427</v>
      </c>
      <c r="F2180" s="691"/>
      <c r="G2180" s="555" t="s">
        <v>7</v>
      </c>
      <c r="H2180" s="554" t="s">
        <v>8</v>
      </c>
      <c r="I2180" s="554" t="s">
        <v>9</v>
      </c>
      <c r="J2180" s="554" t="s">
        <v>11</v>
      </c>
      <c r="K2180" s="546"/>
    </row>
    <row r="2181" spans="1:11" ht="15" customHeight="1" x14ac:dyDescent="0.3">
      <c r="A2181" s="607" t="s">
        <v>428</v>
      </c>
      <c r="B2181" s="608" t="s">
        <v>705</v>
      </c>
      <c r="C2181" s="607" t="s">
        <v>19</v>
      </c>
      <c r="D2181" s="607" t="s">
        <v>3529</v>
      </c>
      <c r="E2181" s="690" t="s">
        <v>664</v>
      </c>
      <c r="F2181" s="690"/>
      <c r="G2181" s="609" t="s">
        <v>173</v>
      </c>
      <c r="H2181" s="610">
        <v>1</v>
      </c>
      <c r="I2181" s="611">
        <v>3.49</v>
      </c>
      <c r="J2181" s="611">
        <v>3.49</v>
      </c>
      <c r="K2181" s="552"/>
    </row>
    <row r="2182" spans="1:11" ht="14.25" customHeight="1" x14ac:dyDescent="0.3">
      <c r="A2182" s="547" t="s">
        <v>430</v>
      </c>
      <c r="B2182" s="548" t="s">
        <v>863</v>
      </c>
      <c r="C2182" s="547" t="s">
        <v>19</v>
      </c>
      <c r="D2182" s="547" t="s">
        <v>864</v>
      </c>
      <c r="E2182" s="688" t="s">
        <v>429</v>
      </c>
      <c r="F2182" s="688"/>
      <c r="G2182" s="549" t="s">
        <v>423</v>
      </c>
      <c r="H2182" s="550">
        <v>2.3E-2</v>
      </c>
      <c r="I2182" s="551">
        <v>24.65</v>
      </c>
      <c r="J2182" s="551">
        <v>0.56000000000000005</v>
      </c>
      <c r="K2182" s="552"/>
    </row>
    <row r="2183" spans="1:11" ht="14.25" customHeight="1" x14ac:dyDescent="0.3">
      <c r="A2183" s="547" t="s">
        <v>430</v>
      </c>
      <c r="B2183" s="548" t="s">
        <v>769</v>
      </c>
      <c r="C2183" s="547" t="s">
        <v>19</v>
      </c>
      <c r="D2183" s="547" t="s">
        <v>770</v>
      </c>
      <c r="E2183" s="688" t="s">
        <v>429</v>
      </c>
      <c r="F2183" s="688"/>
      <c r="G2183" s="549" t="s">
        <v>423</v>
      </c>
      <c r="H2183" s="550">
        <v>2.3E-2</v>
      </c>
      <c r="I2183" s="551">
        <v>31.49</v>
      </c>
      <c r="J2183" s="551">
        <v>0.72</v>
      </c>
      <c r="K2183" s="552"/>
    </row>
    <row r="2184" spans="1:11" ht="15" customHeight="1" x14ac:dyDescent="0.3">
      <c r="A2184" s="547" t="s">
        <v>433</v>
      </c>
      <c r="B2184" s="548" t="s">
        <v>1319</v>
      </c>
      <c r="C2184" s="547" t="s">
        <v>19</v>
      </c>
      <c r="D2184" s="547" t="s">
        <v>1320</v>
      </c>
      <c r="E2184" s="688" t="s">
        <v>438</v>
      </c>
      <c r="F2184" s="688"/>
      <c r="G2184" s="549" t="s">
        <v>173</v>
      </c>
      <c r="H2184" s="550">
        <v>1.2434000000000001</v>
      </c>
      <c r="I2184" s="551">
        <v>1.75</v>
      </c>
      <c r="J2184" s="551">
        <v>2.17</v>
      </c>
      <c r="K2184" s="552"/>
    </row>
    <row r="2185" spans="1:11" s="89" customFormat="1" ht="25.5" thickBot="1" x14ac:dyDescent="0.35">
      <c r="A2185" s="547" t="s">
        <v>433</v>
      </c>
      <c r="B2185" s="548" t="s">
        <v>1321</v>
      </c>
      <c r="C2185" s="547" t="s">
        <v>19</v>
      </c>
      <c r="D2185" s="547" t="s">
        <v>1322</v>
      </c>
      <c r="E2185" s="688" t="s">
        <v>438</v>
      </c>
      <c r="F2185" s="688"/>
      <c r="G2185" s="549" t="s">
        <v>81</v>
      </c>
      <c r="H2185" s="550">
        <v>9.4000000000000004E-3</v>
      </c>
      <c r="I2185" s="551">
        <v>4.57</v>
      </c>
      <c r="J2185" s="551">
        <v>0.04</v>
      </c>
      <c r="K2185" s="546"/>
    </row>
    <row r="2186" spans="1:11" ht="14.5" thickTop="1" x14ac:dyDescent="0.3">
      <c r="A2186" s="562"/>
      <c r="B2186" s="562"/>
      <c r="C2186" s="562"/>
      <c r="D2186" s="562"/>
      <c r="E2186" s="562"/>
      <c r="F2186" s="562"/>
      <c r="G2186" s="562"/>
      <c r="H2186" s="562"/>
      <c r="I2186" s="562"/>
      <c r="J2186" s="562"/>
      <c r="K2186" s="552"/>
    </row>
    <row r="2187" spans="1:11" s="89" customFormat="1" x14ac:dyDescent="0.3">
      <c r="A2187" s="553"/>
      <c r="B2187" s="554" t="s">
        <v>4</v>
      </c>
      <c r="C2187" s="553" t="s">
        <v>5</v>
      </c>
      <c r="D2187" s="553" t="s">
        <v>6</v>
      </c>
      <c r="E2187" s="691" t="s">
        <v>427</v>
      </c>
      <c r="F2187" s="691"/>
      <c r="G2187" s="555" t="s">
        <v>7</v>
      </c>
      <c r="H2187" s="554" t="s">
        <v>8</v>
      </c>
      <c r="I2187" s="554" t="s">
        <v>9</v>
      </c>
      <c r="J2187" s="554" t="s">
        <v>11</v>
      </c>
      <c r="K2187" s="546"/>
    </row>
    <row r="2188" spans="1:11" ht="25.5" customHeight="1" x14ac:dyDescent="0.3">
      <c r="A2188" s="607" t="s">
        <v>428</v>
      </c>
      <c r="B2188" s="608" t="s">
        <v>726</v>
      </c>
      <c r="C2188" s="607" t="s">
        <v>19</v>
      </c>
      <c r="D2188" s="607" t="s">
        <v>727</v>
      </c>
      <c r="E2188" s="690" t="s">
        <v>664</v>
      </c>
      <c r="F2188" s="690"/>
      <c r="G2188" s="609" t="s">
        <v>173</v>
      </c>
      <c r="H2188" s="610">
        <v>1</v>
      </c>
      <c r="I2188" s="611">
        <v>19.3</v>
      </c>
      <c r="J2188" s="611">
        <v>19.3</v>
      </c>
      <c r="K2188" s="552"/>
    </row>
    <row r="2189" spans="1:11" ht="14.25" customHeight="1" x14ac:dyDescent="0.3">
      <c r="A2189" s="547" t="s">
        <v>430</v>
      </c>
      <c r="B2189" s="548" t="s">
        <v>863</v>
      </c>
      <c r="C2189" s="547" t="s">
        <v>19</v>
      </c>
      <c r="D2189" s="547" t="s">
        <v>864</v>
      </c>
      <c r="E2189" s="688" t="s">
        <v>429</v>
      </c>
      <c r="F2189" s="688"/>
      <c r="G2189" s="549" t="s">
        <v>423</v>
      </c>
      <c r="H2189" s="550">
        <v>1.2999999999999999E-2</v>
      </c>
      <c r="I2189" s="551">
        <v>24.65</v>
      </c>
      <c r="J2189" s="551">
        <v>0.32</v>
      </c>
      <c r="K2189" s="552"/>
    </row>
    <row r="2190" spans="1:11" ht="15" customHeight="1" x14ac:dyDescent="0.3">
      <c r="A2190" s="547" t="s">
        <v>430</v>
      </c>
      <c r="B2190" s="548" t="s">
        <v>769</v>
      </c>
      <c r="C2190" s="547" t="s">
        <v>19</v>
      </c>
      <c r="D2190" s="547" t="s">
        <v>770</v>
      </c>
      <c r="E2190" s="688" t="s">
        <v>429</v>
      </c>
      <c r="F2190" s="688"/>
      <c r="G2190" s="549" t="s">
        <v>423</v>
      </c>
      <c r="H2190" s="550">
        <v>1.2999999999999999E-2</v>
      </c>
      <c r="I2190" s="551">
        <v>31.49</v>
      </c>
      <c r="J2190" s="551">
        <v>0.4</v>
      </c>
      <c r="K2190" s="552"/>
    </row>
    <row r="2191" spans="1:11" s="89" customFormat="1" ht="25" x14ac:dyDescent="0.3">
      <c r="A2191" s="547" t="s">
        <v>433</v>
      </c>
      <c r="B2191" s="548" t="s">
        <v>773</v>
      </c>
      <c r="C2191" s="547" t="s">
        <v>19</v>
      </c>
      <c r="D2191" s="547" t="s">
        <v>774</v>
      </c>
      <c r="E2191" s="688" t="s">
        <v>438</v>
      </c>
      <c r="F2191" s="688"/>
      <c r="G2191" s="549" t="s">
        <v>173</v>
      </c>
      <c r="H2191" s="550">
        <v>1.0269999999999999</v>
      </c>
      <c r="I2191" s="551">
        <v>18.059999999999999</v>
      </c>
      <c r="J2191" s="551">
        <v>18.54</v>
      </c>
      <c r="K2191" s="546"/>
    </row>
    <row r="2192" spans="1:11" ht="14.25" customHeight="1" thickBot="1" x14ac:dyDescent="0.35">
      <c r="A2192" s="547" t="s">
        <v>433</v>
      </c>
      <c r="B2192" s="548" t="s">
        <v>1321</v>
      </c>
      <c r="C2192" s="547" t="s">
        <v>19</v>
      </c>
      <c r="D2192" s="547" t="s">
        <v>1322</v>
      </c>
      <c r="E2192" s="688" t="s">
        <v>438</v>
      </c>
      <c r="F2192" s="688"/>
      <c r="G2192" s="549" t="s">
        <v>81</v>
      </c>
      <c r="H2192" s="550">
        <v>0.01</v>
      </c>
      <c r="I2192" s="551">
        <v>4.57</v>
      </c>
      <c r="J2192" s="551">
        <v>0.04</v>
      </c>
      <c r="K2192" s="552"/>
    </row>
    <row r="2193" spans="1:11" s="89" customFormat="1" ht="15" customHeight="1" thickTop="1" x14ac:dyDescent="0.3">
      <c r="A2193" s="562"/>
      <c r="B2193" s="562"/>
      <c r="C2193" s="562"/>
      <c r="D2193" s="562"/>
      <c r="E2193" s="562"/>
      <c r="F2193" s="562"/>
      <c r="G2193" s="562"/>
      <c r="H2193" s="562"/>
      <c r="I2193" s="562"/>
      <c r="J2193" s="562"/>
      <c r="K2193" s="546"/>
    </row>
    <row r="2194" spans="1:11" ht="14.25" customHeight="1" x14ac:dyDescent="0.3">
      <c r="A2194" s="553"/>
      <c r="B2194" s="554" t="s">
        <v>4</v>
      </c>
      <c r="C2194" s="553" t="s">
        <v>5</v>
      </c>
      <c r="D2194" s="553" t="s">
        <v>6</v>
      </c>
      <c r="E2194" s="691" t="s">
        <v>427</v>
      </c>
      <c r="F2194" s="691"/>
      <c r="G2194" s="555" t="s">
        <v>7</v>
      </c>
      <c r="H2194" s="554" t="s">
        <v>8</v>
      </c>
      <c r="I2194" s="554" t="s">
        <v>9</v>
      </c>
      <c r="J2194" s="554" t="s">
        <v>11</v>
      </c>
      <c r="K2194" s="552"/>
    </row>
    <row r="2195" spans="1:11" s="89" customFormat="1" ht="15" customHeight="1" x14ac:dyDescent="0.3">
      <c r="A2195" s="607" t="s">
        <v>428</v>
      </c>
      <c r="B2195" s="608" t="s">
        <v>675</v>
      </c>
      <c r="C2195" s="607" t="s">
        <v>19</v>
      </c>
      <c r="D2195" s="607" t="s">
        <v>3526</v>
      </c>
      <c r="E2195" s="690" t="s">
        <v>664</v>
      </c>
      <c r="F2195" s="690"/>
      <c r="G2195" s="609" t="s">
        <v>173</v>
      </c>
      <c r="H2195" s="610">
        <v>1</v>
      </c>
      <c r="I2195" s="611">
        <v>5.0999999999999996</v>
      </c>
      <c r="J2195" s="611">
        <v>5.0999999999999996</v>
      </c>
      <c r="K2195" s="546"/>
    </row>
    <row r="2196" spans="1:11" ht="14.25" customHeight="1" x14ac:dyDescent="0.3">
      <c r="A2196" s="547" t="s">
        <v>430</v>
      </c>
      <c r="B2196" s="548" t="s">
        <v>863</v>
      </c>
      <c r="C2196" s="547" t="s">
        <v>19</v>
      </c>
      <c r="D2196" s="547" t="s">
        <v>864</v>
      </c>
      <c r="E2196" s="688" t="s">
        <v>429</v>
      </c>
      <c r="F2196" s="688"/>
      <c r="G2196" s="549" t="s">
        <v>423</v>
      </c>
      <c r="H2196" s="550">
        <v>2.9000000000000001E-2</v>
      </c>
      <c r="I2196" s="551">
        <v>24.65</v>
      </c>
      <c r="J2196" s="551">
        <v>0.71</v>
      </c>
      <c r="K2196" s="552"/>
    </row>
    <row r="2197" spans="1:11" s="89" customFormat="1" ht="15" customHeight="1" x14ac:dyDescent="0.3">
      <c r="A2197" s="547" t="s">
        <v>430</v>
      </c>
      <c r="B2197" s="548" t="s">
        <v>769</v>
      </c>
      <c r="C2197" s="547" t="s">
        <v>19</v>
      </c>
      <c r="D2197" s="547" t="s">
        <v>770</v>
      </c>
      <c r="E2197" s="688" t="s">
        <v>429</v>
      </c>
      <c r="F2197" s="688"/>
      <c r="G2197" s="549" t="s">
        <v>423</v>
      </c>
      <c r="H2197" s="550">
        <v>2.9000000000000001E-2</v>
      </c>
      <c r="I2197" s="551">
        <v>31.49</v>
      </c>
      <c r="J2197" s="551">
        <v>0.91</v>
      </c>
      <c r="K2197" s="546"/>
    </row>
    <row r="2198" spans="1:11" ht="25" x14ac:dyDescent="0.3">
      <c r="A2198" s="547" t="s">
        <v>433</v>
      </c>
      <c r="B2198" s="548" t="s">
        <v>1323</v>
      </c>
      <c r="C2198" s="547" t="s">
        <v>19</v>
      </c>
      <c r="D2198" s="547" t="s">
        <v>1324</v>
      </c>
      <c r="E2198" s="688" t="s">
        <v>438</v>
      </c>
      <c r="F2198" s="688"/>
      <c r="G2198" s="549" t="s">
        <v>173</v>
      </c>
      <c r="H2198" s="550">
        <v>1.2434000000000001</v>
      </c>
      <c r="I2198" s="551">
        <v>2.77</v>
      </c>
      <c r="J2198" s="551">
        <v>3.44</v>
      </c>
      <c r="K2198" s="552"/>
    </row>
    <row r="2199" spans="1:11" ht="25.5" thickBot="1" x14ac:dyDescent="0.35">
      <c r="A2199" s="547" t="s">
        <v>433</v>
      </c>
      <c r="B2199" s="548" t="s">
        <v>1321</v>
      </c>
      <c r="C2199" s="547" t="s">
        <v>19</v>
      </c>
      <c r="D2199" s="547" t="s">
        <v>1322</v>
      </c>
      <c r="E2199" s="688" t="s">
        <v>438</v>
      </c>
      <c r="F2199" s="688"/>
      <c r="G2199" s="549" t="s">
        <v>81</v>
      </c>
      <c r="H2199" s="550">
        <v>9.4000000000000004E-3</v>
      </c>
      <c r="I2199" s="551">
        <v>4.57</v>
      </c>
      <c r="J2199" s="551">
        <v>0.04</v>
      </c>
      <c r="K2199" s="552"/>
    </row>
    <row r="2200" spans="1:11" s="89" customFormat="1" ht="25.5" customHeight="1" thickTop="1" x14ac:dyDescent="0.3">
      <c r="A2200" s="562"/>
      <c r="B2200" s="562"/>
      <c r="C2200" s="562"/>
      <c r="D2200" s="562"/>
      <c r="E2200" s="562"/>
      <c r="F2200" s="562"/>
      <c r="G2200" s="562"/>
      <c r="H2200" s="562"/>
      <c r="I2200" s="562"/>
      <c r="J2200" s="562"/>
      <c r="K2200" s="546"/>
    </row>
    <row r="2201" spans="1:11" ht="14.25" customHeight="1" x14ac:dyDescent="0.3">
      <c r="A2201" s="553"/>
      <c r="B2201" s="554" t="s">
        <v>4</v>
      </c>
      <c r="C2201" s="553" t="s">
        <v>5</v>
      </c>
      <c r="D2201" s="553" t="s">
        <v>6</v>
      </c>
      <c r="E2201" s="691" t="s">
        <v>427</v>
      </c>
      <c r="F2201" s="691"/>
      <c r="G2201" s="555" t="s">
        <v>7</v>
      </c>
      <c r="H2201" s="554" t="s">
        <v>8</v>
      </c>
      <c r="I2201" s="554" t="s">
        <v>9</v>
      </c>
      <c r="J2201" s="554" t="s">
        <v>11</v>
      </c>
      <c r="K2201" s="552"/>
    </row>
    <row r="2202" spans="1:11" s="89" customFormat="1" ht="15.75" customHeight="1" x14ac:dyDescent="0.3">
      <c r="A2202" s="607" t="s">
        <v>428</v>
      </c>
      <c r="B2202" s="608" t="s">
        <v>729</v>
      </c>
      <c r="C2202" s="607" t="s">
        <v>19</v>
      </c>
      <c r="D2202" s="607" t="s">
        <v>730</v>
      </c>
      <c r="E2202" s="690" t="s">
        <v>664</v>
      </c>
      <c r="F2202" s="690"/>
      <c r="G2202" s="609" t="s">
        <v>81</v>
      </c>
      <c r="H2202" s="610">
        <v>1</v>
      </c>
      <c r="I2202" s="611">
        <v>172.94</v>
      </c>
      <c r="J2202" s="611">
        <v>172.94</v>
      </c>
      <c r="K2202" s="546"/>
    </row>
    <row r="2203" spans="1:11" ht="37.5" x14ac:dyDescent="0.3">
      <c r="A2203" s="547" t="s">
        <v>430</v>
      </c>
      <c r="B2203" s="548" t="s">
        <v>1240</v>
      </c>
      <c r="C2203" s="547" t="s">
        <v>19</v>
      </c>
      <c r="D2203" s="547" t="s">
        <v>1241</v>
      </c>
      <c r="E2203" s="688" t="s">
        <v>429</v>
      </c>
      <c r="F2203" s="688"/>
      <c r="G2203" s="549" t="s">
        <v>532</v>
      </c>
      <c r="H2203" s="550">
        <v>2.7799999999999998E-2</v>
      </c>
      <c r="I2203" s="551">
        <v>696.95</v>
      </c>
      <c r="J2203" s="551">
        <v>19.37</v>
      </c>
      <c r="K2203" s="552"/>
    </row>
    <row r="2204" spans="1:11" ht="25" x14ac:dyDescent="0.3">
      <c r="A2204" s="547" t="s">
        <v>430</v>
      </c>
      <c r="B2204" s="548" t="s">
        <v>1325</v>
      </c>
      <c r="C2204" s="547" t="s">
        <v>19</v>
      </c>
      <c r="D2204" s="547" t="s">
        <v>1326</v>
      </c>
      <c r="E2204" s="688" t="s">
        <v>709</v>
      </c>
      <c r="F2204" s="688"/>
      <c r="G2204" s="549" t="s">
        <v>532</v>
      </c>
      <c r="H2204" s="550">
        <v>3.5999999999999997E-2</v>
      </c>
      <c r="I2204" s="551">
        <v>318.48</v>
      </c>
      <c r="J2204" s="551">
        <v>11.46</v>
      </c>
      <c r="K2204" s="552"/>
    </row>
    <row r="2205" spans="1:11" s="89" customFormat="1" ht="37.5" x14ac:dyDescent="0.3">
      <c r="A2205" s="547" t="s">
        <v>430</v>
      </c>
      <c r="B2205" s="548" t="s">
        <v>1244</v>
      </c>
      <c r="C2205" s="547" t="s">
        <v>19</v>
      </c>
      <c r="D2205" s="547" t="s">
        <v>1245</v>
      </c>
      <c r="E2205" s="688" t="s">
        <v>429</v>
      </c>
      <c r="F2205" s="688"/>
      <c r="G2205" s="549" t="s">
        <v>532</v>
      </c>
      <c r="H2205" s="550">
        <v>3.8999999999999998E-3</v>
      </c>
      <c r="I2205" s="551">
        <v>459.68</v>
      </c>
      <c r="J2205" s="551">
        <v>1.79</v>
      </c>
      <c r="K2205" s="546"/>
    </row>
    <row r="2206" spans="1:11" ht="14.25" customHeight="1" x14ac:dyDescent="0.3">
      <c r="A2206" s="547" t="s">
        <v>430</v>
      </c>
      <c r="B2206" s="548" t="s">
        <v>760</v>
      </c>
      <c r="C2206" s="547" t="s">
        <v>19</v>
      </c>
      <c r="D2206" s="547" t="s">
        <v>761</v>
      </c>
      <c r="E2206" s="688" t="s">
        <v>429</v>
      </c>
      <c r="F2206" s="688"/>
      <c r="G2206" s="549" t="s">
        <v>423</v>
      </c>
      <c r="H2206" s="550">
        <v>1.2685999999999999</v>
      </c>
      <c r="I2206" s="551">
        <v>31.1</v>
      </c>
      <c r="J2206" s="551">
        <v>39.450000000000003</v>
      </c>
      <c r="K2206" s="552"/>
    </row>
    <row r="2207" spans="1:11" s="89" customFormat="1" ht="15" customHeight="1" x14ac:dyDescent="0.3">
      <c r="A2207" s="547" t="s">
        <v>430</v>
      </c>
      <c r="B2207" s="548" t="s">
        <v>559</v>
      </c>
      <c r="C2207" s="547" t="s">
        <v>19</v>
      </c>
      <c r="D2207" s="547" t="s">
        <v>560</v>
      </c>
      <c r="E2207" s="688" t="s">
        <v>429</v>
      </c>
      <c r="F2207" s="688"/>
      <c r="G2207" s="549" t="s">
        <v>423</v>
      </c>
      <c r="H2207" s="550">
        <v>0.99670000000000003</v>
      </c>
      <c r="I2207" s="551">
        <v>23.4</v>
      </c>
      <c r="J2207" s="551">
        <v>23.32</v>
      </c>
      <c r="K2207" s="546"/>
    </row>
    <row r="2208" spans="1:11" ht="14.25" customHeight="1" x14ac:dyDescent="0.3">
      <c r="A2208" s="547" t="s">
        <v>430</v>
      </c>
      <c r="B2208" s="548" t="s">
        <v>1327</v>
      </c>
      <c r="C2208" s="547" t="s">
        <v>19</v>
      </c>
      <c r="D2208" s="547" t="s">
        <v>1328</v>
      </c>
      <c r="E2208" s="688" t="s">
        <v>619</v>
      </c>
      <c r="F2208" s="688"/>
      <c r="G2208" s="549" t="s">
        <v>532</v>
      </c>
      <c r="H2208" s="550">
        <v>1.7500000000000002E-2</v>
      </c>
      <c r="I2208" s="551">
        <v>3083.22</v>
      </c>
      <c r="J2208" s="551">
        <v>53.95</v>
      </c>
      <c r="K2208" s="552"/>
    </row>
    <row r="2209" spans="1:11" s="89" customFormat="1" ht="15" customHeight="1" thickBot="1" x14ac:dyDescent="0.35">
      <c r="A2209" s="547" t="s">
        <v>433</v>
      </c>
      <c r="B2209" s="548" t="s">
        <v>1329</v>
      </c>
      <c r="C2209" s="547" t="s">
        <v>19</v>
      </c>
      <c r="D2209" s="547" t="s">
        <v>1330</v>
      </c>
      <c r="E2209" s="688" t="s">
        <v>438</v>
      </c>
      <c r="F2209" s="688"/>
      <c r="G2209" s="549" t="s">
        <v>81</v>
      </c>
      <c r="H2209" s="550">
        <v>38.691000000000003</v>
      </c>
      <c r="I2209" s="551">
        <v>0.61</v>
      </c>
      <c r="J2209" s="551">
        <v>23.6</v>
      </c>
      <c r="K2209" s="546"/>
    </row>
    <row r="2210" spans="1:11" s="89" customFormat="1" ht="14.5" thickTop="1" x14ac:dyDescent="0.3">
      <c r="A2210" s="562"/>
      <c r="B2210" s="562"/>
      <c r="C2210" s="562"/>
      <c r="D2210" s="562"/>
      <c r="E2210" s="562"/>
      <c r="F2210" s="562"/>
      <c r="G2210" s="562"/>
      <c r="H2210" s="562"/>
      <c r="I2210" s="562"/>
      <c r="J2210" s="562"/>
      <c r="K2210" s="546"/>
    </row>
    <row r="2211" spans="1:11" x14ac:dyDescent="0.3">
      <c r="A2211" s="553"/>
      <c r="B2211" s="554" t="s">
        <v>4</v>
      </c>
      <c r="C2211" s="553" t="s">
        <v>5</v>
      </c>
      <c r="D2211" s="553" t="s">
        <v>6</v>
      </c>
      <c r="E2211" s="691" t="s">
        <v>427</v>
      </c>
      <c r="F2211" s="691"/>
      <c r="G2211" s="555" t="s">
        <v>7</v>
      </c>
      <c r="H2211" s="554" t="s">
        <v>8</v>
      </c>
      <c r="I2211" s="554" t="s">
        <v>9</v>
      </c>
      <c r="J2211" s="554" t="s">
        <v>11</v>
      </c>
      <c r="K2211" s="552"/>
    </row>
    <row r="2212" spans="1:11" s="89" customFormat="1" ht="25.5" customHeight="1" x14ac:dyDescent="0.3">
      <c r="A2212" s="607" t="s">
        <v>428</v>
      </c>
      <c r="B2212" s="608" t="s">
        <v>1331</v>
      </c>
      <c r="C2212" s="607" t="s">
        <v>19</v>
      </c>
      <c r="D2212" s="607" t="s">
        <v>1332</v>
      </c>
      <c r="E2212" s="690" t="s">
        <v>461</v>
      </c>
      <c r="F2212" s="690"/>
      <c r="G2212" s="609" t="s">
        <v>95</v>
      </c>
      <c r="H2212" s="610">
        <v>1</v>
      </c>
      <c r="I2212" s="611">
        <v>256.01</v>
      </c>
      <c r="J2212" s="611">
        <v>256.01</v>
      </c>
      <c r="K2212" s="546"/>
    </row>
    <row r="2213" spans="1:11" ht="14.25" customHeight="1" x14ac:dyDescent="0.3">
      <c r="A2213" s="547" t="s">
        <v>430</v>
      </c>
      <c r="B2213" s="548" t="s">
        <v>1333</v>
      </c>
      <c r="C2213" s="547" t="s">
        <v>19</v>
      </c>
      <c r="D2213" s="547" t="s">
        <v>1334</v>
      </c>
      <c r="E2213" s="688" t="s">
        <v>429</v>
      </c>
      <c r="F2213" s="688"/>
      <c r="G2213" s="549" t="s">
        <v>423</v>
      </c>
      <c r="H2213" s="550">
        <v>1</v>
      </c>
      <c r="I2213" s="551">
        <v>30.35</v>
      </c>
      <c r="J2213" s="551">
        <v>30.35</v>
      </c>
      <c r="K2213" s="552"/>
    </row>
    <row r="2214" spans="1:11" s="89" customFormat="1" ht="15" customHeight="1" x14ac:dyDescent="0.3">
      <c r="A2214" s="547" t="s">
        <v>430</v>
      </c>
      <c r="B2214" s="548" t="s">
        <v>1335</v>
      </c>
      <c r="C2214" s="547" t="s">
        <v>19</v>
      </c>
      <c r="D2214" s="547" t="s">
        <v>1336</v>
      </c>
      <c r="E2214" s="688" t="s">
        <v>461</v>
      </c>
      <c r="F2214" s="688"/>
      <c r="G2214" s="549" t="s">
        <v>423</v>
      </c>
      <c r="H2214" s="550">
        <v>1</v>
      </c>
      <c r="I2214" s="551">
        <v>29.22</v>
      </c>
      <c r="J2214" s="551">
        <v>29.22</v>
      </c>
      <c r="K2214" s="546"/>
    </row>
    <row r="2215" spans="1:11" s="89" customFormat="1" ht="50" x14ac:dyDescent="0.3">
      <c r="A2215" s="547" t="s">
        <v>430</v>
      </c>
      <c r="B2215" s="548" t="s">
        <v>1337</v>
      </c>
      <c r="C2215" s="547" t="s">
        <v>19</v>
      </c>
      <c r="D2215" s="547" t="s">
        <v>1338</v>
      </c>
      <c r="E2215" s="688" t="s">
        <v>461</v>
      </c>
      <c r="F2215" s="688"/>
      <c r="G2215" s="549" t="s">
        <v>423</v>
      </c>
      <c r="H2215" s="550">
        <v>1</v>
      </c>
      <c r="I2215" s="551">
        <v>11.21</v>
      </c>
      <c r="J2215" s="551">
        <v>11.21</v>
      </c>
      <c r="K2215" s="546"/>
    </row>
    <row r="2216" spans="1:11" ht="50" x14ac:dyDescent="0.3">
      <c r="A2216" s="547" t="s">
        <v>430</v>
      </c>
      <c r="B2216" s="548" t="s">
        <v>1339</v>
      </c>
      <c r="C2216" s="547" t="s">
        <v>19</v>
      </c>
      <c r="D2216" s="547" t="s">
        <v>1340</v>
      </c>
      <c r="E2216" s="688" t="s">
        <v>461</v>
      </c>
      <c r="F2216" s="688"/>
      <c r="G2216" s="549" t="s">
        <v>423</v>
      </c>
      <c r="H2216" s="550">
        <v>1</v>
      </c>
      <c r="I2216" s="551">
        <v>4.53</v>
      </c>
      <c r="J2216" s="551">
        <v>4.53</v>
      </c>
      <c r="K2216" s="552"/>
    </row>
    <row r="2217" spans="1:11" s="89" customFormat="1" ht="50" x14ac:dyDescent="0.3">
      <c r="A2217" s="547" t="s">
        <v>430</v>
      </c>
      <c r="B2217" s="548" t="s">
        <v>1341</v>
      </c>
      <c r="C2217" s="547" t="s">
        <v>19</v>
      </c>
      <c r="D2217" s="547" t="s">
        <v>1342</v>
      </c>
      <c r="E2217" s="688" t="s">
        <v>461</v>
      </c>
      <c r="F2217" s="688"/>
      <c r="G2217" s="549" t="s">
        <v>423</v>
      </c>
      <c r="H2217" s="550">
        <v>1</v>
      </c>
      <c r="I2217" s="551">
        <v>52.56</v>
      </c>
      <c r="J2217" s="551">
        <v>52.56</v>
      </c>
      <c r="K2217" s="546"/>
    </row>
    <row r="2218" spans="1:11" ht="14.25" customHeight="1" thickBot="1" x14ac:dyDescent="0.35">
      <c r="A2218" s="547" t="s">
        <v>430</v>
      </c>
      <c r="B2218" s="548" t="s">
        <v>1343</v>
      </c>
      <c r="C2218" s="547" t="s">
        <v>19</v>
      </c>
      <c r="D2218" s="547" t="s">
        <v>1344</v>
      </c>
      <c r="E2218" s="688" t="s">
        <v>461</v>
      </c>
      <c r="F2218" s="688"/>
      <c r="G2218" s="549" t="s">
        <v>423</v>
      </c>
      <c r="H2218" s="550">
        <v>1</v>
      </c>
      <c r="I2218" s="551">
        <v>128.13999999999999</v>
      </c>
      <c r="J2218" s="551">
        <v>128.13999999999999</v>
      </c>
      <c r="K2218" s="552"/>
    </row>
    <row r="2219" spans="1:11" s="89" customFormat="1" ht="38.25" customHeight="1" thickTop="1" x14ac:dyDescent="0.3">
      <c r="A2219" s="562"/>
      <c r="B2219" s="562"/>
      <c r="C2219" s="562"/>
      <c r="D2219" s="562"/>
      <c r="E2219" s="562"/>
      <c r="F2219" s="562"/>
      <c r="G2219" s="562"/>
      <c r="H2219" s="562"/>
      <c r="I2219" s="562"/>
      <c r="J2219" s="562"/>
      <c r="K2219" s="546"/>
    </row>
    <row r="2220" spans="1:11" ht="14.25" customHeight="1" x14ac:dyDescent="0.3">
      <c r="A2220" s="553"/>
      <c r="B2220" s="554" t="s">
        <v>4</v>
      </c>
      <c r="C2220" s="553" t="s">
        <v>5</v>
      </c>
      <c r="D2220" s="553" t="s">
        <v>6</v>
      </c>
      <c r="E2220" s="691" t="s">
        <v>427</v>
      </c>
      <c r="F2220" s="691"/>
      <c r="G2220" s="555" t="s">
        <v>7</v>
      </c>
      <c r="H2220" s="554" t="s">
        <v>8</v>
      </c>
      <c r="I2220" s="554" t="s">
        <v>9</v>
      </c>
      <c r="J2220" s="554" t="s">
        <v>11</v>
      </c>
      <c r="K2220" s="552"/>
    </row>
    <row r="2221" spans="1:11" s="89" customFormat="1" ht="15" customHeight="1" x14ac:dyDescent="0.3">
      <c r="A2221" s="607" t="s">
        <v>428</v>
      </c>
      <c r="B2221" s="608" t="s">
        <v>1335</v>
      </c>
      <c r="C2221" s="607" t="s">
        <v>19</v>
      </c>
      <c r="D2221" s="607" t="s">
        <v>1336</v>
      </c>
      <c r="E2221" s="690" t="s">
        <v>461</v>
      </c>
      <c r="F2221" s="690"/>
      <c r="G2221" s="609" t="s">
        <v>423</v>
      </c>
      <c r="H2221" s="610">
        <v>1</v>
      </c>
      <c r="I2221" s="611">
        <v>29.22</v>
      </c>
      <c r="J2221" s="611">
        <v>29.22</v>
      </c>
      <c r="K2221" s="546"/>
    </row>
    <row r="2222" spans="1:11" ht="25" x14ac:dyDescent="0.3">
      <c r="A2222" s="547" t="s">
        <v>433</v>
      </c>
      <c r="B2222" s="548" t="s">
        <v>1345</v>
      </c>
      <c r="C2222" s="547" t="s">
        <v>19</v>
      </c>
      <c r="D2222" s="547" t="s">
        <v>1346</v>
      </c>
      <c r="E2222" s="688" t="s">
        <v>438</v>
      </c>
      <c r="F2222" s="688"/>
      <c r="G2222" s="549" t="s">
        <v>81</v>
      </c>
      <c r="H2222" s="550">
        <v>6.0300000000000002E-5</v>
      </c>
      <c r="I2222" s="551">
        <v>81699.7</v>
      </c>
      <c r="J2222" s="551">
        <v>4.92</v>
      </c>
      <c r="K2222" s="552"/>
    </row>
    <row r="2223" spans="1:11" ht="38" thickBot="1" x14ac:dyDescent="0.35">
      <c r="A2223" s="547" t="s">
        <v>433</v>
      </c>
      <c r="B2223" s="548" t="s">
        <v>1347</v>
      </c>
      <c r="C2223" s="547" t="s">
        <v>19</v>
      </c>
      <c r="D2223" s="547" t="s">
        <v>1348</v>
      </c>
      <c r="E2223" s="688" t="s">
        <v>442</v>
      </c>
      <c r="F2223" s="688"/>
      <c r="G2223" s="549" t="s">
        <v>81</v>
      </c>
      <c r="H2223" s="550">
        <v>3.4199999999999998E-5</v>
      </c>
      <c r="I2223" s="551">
        <v>710806.66</v>
      </c>
      <c r="J2223" s="551">
        <v>24.3</v>
      </c>
      <c r="K2223" s="552"/>
    </row>
    <row r="2224" spans="1:11" ht="14.5" thickTop="1" x14ac:dyDescent="0.3">
      <c r="A2224" s="562"/>
      <c r="B2224" s="562"/>
      <c r="C2224" s="562"/>
      <c r="D2224" s="562"/>
      <c r="E2224" s="562"/>
      <c r="F2224" s="562"/>
      <c r="G2224" s="562"/>
      <c r="H2224" s="562"/>
      <c r="I2224" s="562"/>
      <c r="J2224" s="562"/>
      <c r="K2224" s="552"/>
    </row>
    <row r="2225" spans="1:11" s="89" customFormat="1" ht="15" customHeight="1" x14ac:dyDescent="0.3">
      <c r="A2225" s="553"/>
      <c r="B2225" s="554" t="s">
        <v>4</v>
      </c>
      <c r="C2225" s="553" t="s">
        <v>5</v>
      </c>
      <c r="D2225" s="553" t="s">
        <v>6</v>
      </c>
      <c r="E2225" s="691" t="s">
        <v>427</v>
      </c>
      <c r="F2225" s="691"/>
      <c r="G2225" s="555" t="s">
        <v>7</v>
      </c>
      <c r="H2225" s="554" t="s">
        <v>8</v>
      </c>
      <c r="I2225" s="554" t="s">
        <v>9</v>
      </c>
      <c r="J2225" s="554" t="s">
        <v>11</v>
      </c>
      <c r="K2225" s="546"/>
    </row>
    <row r="2226" spans="1:11" s="89" customFormat="1" ht="38.25" customHeight="1" x14ac:dyDescent="0.3">
      <c r="A2226" s="607" t="s">
        <v>428</v>
      </c>
      <c r="B2226" s="608" t="s">
        <v>1339</v>
      </c>
      <c r="C2226" s="607" t="s">
        <v>19</v>
      </c>
      <c r="D2226" s="607" t="s">
        <v>1340</v>
      </c>
      <c r="E2226" s="690" t="s">
        <v>461</v>
      </c>
      <c r="F2226" s="690"/>
      <c r="G2226" s="609" t="s">
        <v>423</v>
      </c>
      <c r="H2226" s="610">
        <v>1</v>
      </c>
      <c r="I2226" s="611">
        <v>4.53</v>
      </c>
      <c r="J2226" s="611">
        <v>4.53</v>
      </c>
      <c r="K2226" s="546"/>
    </row>
    <row r="2227" spans="1:11" ht="25" x14ac:dyDescent="0.3">
      <c r="A2227" s="547" t="s">
        <v>433</v>
      </c>
      <c r="B2227" s="548" t="s">
        <v>1345</v>
      </c>
      <c r="C2227" s="547" t="s">
        <v>19</v>
      </c>
      <c r="D2227" s="547" t="s">
        <v>1346</v>
      </c>
      <c r="E2227" s="688" t="s">
        <v>438</v>
      </c>
      <c r="F2227" s="688"/>
      <c r="G2227" s="549" t="s">
        <v>81</v>
      </c>
      <c r="H2227" s="550">
        <v>5.9000000000000003E-6</v>
      </c>
      <c r="I2227" s="551">
        <v>81699.7</v>
      </c>
      <c r="J2227" s="551">
        <v>0.48</v>
      </c>
      <c r="K2227" s="552"/>
    </row>
    <row r="2228" spans="1:11" ht="38" thickBot="1" x14ac:dyDescent="0.35">
      <c r="A2228" s="547" t="s">
        <v>433</v>
      </c>
      <c r="B2228" s="548" t="s">
        <v>1347</v>
      </c>
      <c r="C2228" s="547" t="s">
        <v>19</v>
      </c>
      <c r="D2228" s="547" t="s">
        <v>1348</v>
      </c>
      <c r="E2228" s="688" t="s">
        <v>442</v>
      </c>
      <c r="F2228" s="688"/>
      <c r="G2228" s="549" t="s">
        <v>81</v>
      </c>
      <c r="H2228" s="550">
        <v>5.6999999999999996E-6</v>
      </c>
      <c r="I2228" s="551">
        <v>710806.66</v>
      </c>
      <c r="J2228" s="551">
        <v>4.05</v>
      </c>
      <c r="K2228" s="552"/>
    </row>
    <row r="2229" spans="1:11" s="89" customFormat="1" ht="14.5" thickTop="1" x14ac:dyDescent="0.3">
      <c r="A2229" s="562"/>
      <c r="B2229" s="562"/>
      <c r="C2229" s="562"/>
      <c r="D2229" s="562"/>
      <c r="E2229" s="562"/>
      <c r="F2229" s="562"/>
      <c r="G2229" s="562"/>
      <c r="H2229" s="562"/>
      <c r="I2229" s="562"/>
      <c r="J2229" s="562"/>
      <c r="K2229" s="546"/>
    </row>
    <row r="2230" spans="1:11" ht="14.25" customHeight="1" x14ac:dyDescent="0.3">
      <c r="A2230" s="553"/>
      <c r="B2230" s="554" t="s">
        <v>4</v>
      </c>
      <c r="C2230" s="553" t="s">
        <v>5</v>
      </c>
      <c r="D2230" s="553" t="s">
        <v>6</v>
      </c>
      <c r="E2230" s="691" t="s">
        <v>427</v>
      </c>
      <c r="F2230" s="691"/>
      <c r="G2230" s="555" t="s">
        <v>7</v>
      </c>
      <c r="H2230" s="554" t="s">
        <v>8</v>
      </c>
      <c r="I2230" s="554" t="s">
        <v>9</v>
      </c>
      <c r="J2230" s="554" t="s">
        <v>11</v>
      </c>
      <c r="K2230" s="552"/>
    </row>
    <row r="2231" spans="1:11" s="89" customFormat="1" ht="15" customHeight="1" x14ac:dyDescent="0.3">
      <c r="A2231" s="607" t="s">
        <v>428</v>
      </c>
      <c r="B2231" s="608" t="s">
        <v>1337</v>
      </c>
      <c r="C2231" s="607" t="s">
        <v>19</v>
      </c>
      <c r="D2231" s="607" t="s">
        <v>1338</v>
      </c>
      <c r="E2231" s="690" t="s">
        <v>461</v>
      </c>
      <c r="F2231" s="690"/>
      <c r="G2231" s="609" t="s">
        <v>423</v>
      </c>
      <c r="H2231" s="610">
        <v>1</v>
      </c>
      <c r="I2231" s="611">
        <v>11.21</v>
      </c>
      <c r="J2231" s="611">
        <v>11.21</v>
      </c>
      <c r="K2231" s="546"/>
    </row>
    <row r="2232" spans="1:11" ht="25" x14ac:dyDescent="0.3">
      <c r="A2232" s="547" t="s">
        <v>433</v>
      </c>
      <c r="B2232" s="548" t="s">
        <v>1345</v>
      </c>
      <c r="C2232" s="547" t="s">
        <v>19</v>
      </c>
      <c r="D2232" s="547" t="s">
        <v>1346</v>
      </c>
      <c r="E2232" s="688" t="s">
        <v>438</v>
      </c>
      <c r="F2232" s="688"/>
      <c r="G2232" s="549" t="s">
        <v>81</v>
      </c>
      <c r="H2232" s="550">
        <v>1.4600000000000001E-5</v>
      </c>
      <c r="I2232" s="551">
        <v>81699.7</v>
      </c>
      <c r="J2232" s="551">
        <v>1.19</v>
      </c>
      <c r="K2232" s="552"/>
    </row>
    <row r="2233" spans="1:11" s="89" customFormat="1" ht="38" thickBot="1" x14ac:dyDescent="0.35">
      <c r="A2233" s="547" t="s">
        <v>433</v>
      </c>
      <c r="B2233" s="548" t="s">
        <v>1347</v>
      </c>
      <c r="C2233" s="547" t="s">
        <v>19</v>
      </c>
      <c r="D2233" s="547" t="s">
        <v>1348</v>
      </c>
      <c r="E2233" s="688" t="s">
        <v>442</v>
      </c>
      <c r="F2233" s="688"/>
      <c r="G2233" s="549" t="s">
        <v>81</v>
      </c>
      <c r="H2233" s="550">
        <v>1.4100000000000001E-5</v>
      </c>
      <c r="I2233" s="551">
        <v>710806.66</v>
      </c>
      <c r="J2233" s="551">
        <v>10.02</v>
      </c>
      <c r="K2233" s="546"/>
    </row>
    <row r="2234" spans="1:11" ht="14.5" thickTop="1" x14ac:dyDescent="0.3">
      <c r="A2234" s="562"/>
      <c r="B2234" s="562"/>
      <c r="C2234" s="562"/>
      <c r="D2234" s="562"/>
      <c r="E2234" s="562"/>
      <c r="F2234" s="562"/>
      <c r="G2234" s="562"/>
      <c r="H2234" s="562"/>
      <c r="I2234" s="562"/>
      <c r="J2234" s="562"/>
      <c r="K2234" s="552"/>
    </row>
    <row r="2235" spans="1:11" s="89" customFormat="1" x14ac:dyDescent="0.3">
      <c r="A2235" s="553"/>
      <c r="B2235" s="554" t="s">
        <v>4</v>
      </c>
      <c r="C2235" s="553" t="s">
        <v>5</v>
      </c>
      <c r="D2235" s="553" t="s">
        <v>6</v>
      </c>
      <c r="E2235" s="691" t="s">
        <v>427</v>
      </c>
      <c r="F2235" s="691"/>
      <c r="G2235" s="555" t="s">
        <v>7</v>
      </c>
      <c r="H2235" s="554" t="s">
        <v>8</v>
      </c>
      <c r="I2235" s="554" t="s">
        <v>9</v>
      </c>
      <c r="J2235" s="554" t="s">
        <v>11</v>
      </c>
      <c r="K2235" s="546"/>
    </row>
    <row r="2236" spans="1:11" s="89" customFormat="1" ht="50" x14ac:dyDescent="0.3">
      <c r="A2236" s="607" t="s">
        <v>428</v>
      </c>
      <c r="B2236" s="608" t="s">
        <v>1341</v>
      </c>
      <c r="C2236" s="607" t="s">
        <v>19</v>
      </c>
      <c r="D2236" s="607" t="s">
        <v>1342</v>
      </c>
      <c r="E2236" s="690" t="s">
        <v>461</v>
      </c>
      <c r="F2236" s="690"/>
      <c r="G2236" s="609" t="s">
        <v>423</v>
      </c>
      <c r="H2236" s="610">
        <v>1</v>
      </c>
      <c r="I2236" s="611">
        <v>52.56</v>
      </c>
      <c r="J2236" s="611">
        <v>52.56</v>
      </c>
      <c r="K2236" s="546"/>
    </row>
    <row r="2237" spans="1:11" s="89" customFormat="1" ht="15" customHeight="1" x14ac:dyDescent="0.3">
      <c r="A2237" s="547" t="s">
        <v>433</v>
      </c>
      <c r="B2237" s="548" t="s">
        <v>1345</v>
      </c>
      <c r="C2237" s="547" t="s">
        <v>19</v>
      </c>
      <c r="D2237" s="547" t="s">
        <v>1346</v>
      </c>
      <c r="E2237" s="688" t="s">
        <v>438</v>
      </c>
      <c r="F2237" s="688"/>
      <c r="G2237" s="549" t="s">
        <v>81</v>
      </c>
      <c r="H2237" s="550">
        <v>8.4900000000000004E-5</v>
      </c>
      <c r="I2237" s="551">
        <v>81699.7</v>
      </c>
      <c r="J2237" s="551">
        <v>6.93</v>
      </c>
      <c r="K2237" s="546"/>
    </row>
    <row r="2238" spans="1:11" s="89" customFormat="1" ht="38" thickBot="1" x14ac:dyDescent="0.35">
      <c r="A2238" s="547" t="s">
        <v>433</v>
      </c>
      <c r="B2238" s="548" t="s">
        <v>1347</v>
      </c>
      <c r="C2238" s="547" t="s">
        <v>19</v>
      </c>
      <c r="D2238" s="547" t="s">
        <v>1348</v>
      </c>
      <c r="E2238" s="688" t="s">
        <v>442</v>
      </c>
      <c r="F2238" s="688"/>
      <c r="G2238" s="549" t="s">
        <v>81</v>
      </c>
      <c r="H2238" s="550">
        <v>6.4200000000000002E-5</v>
      </c>
      <c r="I2238" s="551">
        <v>710806.66</v>
      </c>
      <c r="J2238" s="551">
        <v>45.63</v>
      </c>
      <c r="K2238" s="546"/>
    </row>
    <row r="2239" spans="1:11" s="89" customFormat="1" ht="14.5" thickTop="1" x14ac:dyDescent="0.3">
      <c r="A2239" s="562"/>
      <c r="B2239" s="562"/>
      <c r="C2239" s="562"/>
      <c r="D2239" s="562"/>
      <c r="E2239" s="562"/>
      <c r="F2239" s="562"/>
      <c r="G2239" s="562"/>
      <c r="H2239" s="562"/>
      <c r="I2239" s="562"/>
      <c r="J2239" s="562"/>
      <c r="K2239" s="546"/>
    </row>
    <row r="2240" spans="1:11" x14ac:dyDescent="0.3">
      <c r="A2240" s="553"/>
      <c r="B2240" s="554" t="s">
        <v>4</v>
      </c>
      <c r="C2240" s="553" t="s">
        <v>5</v>
      </c>
      <c r="D2240" s="553" t="s">
        <v>6</v>
      </c>
      <c r="E2240" s="691" t="s">
        <v>427</v>
      </c>
      <c r="F2240" s="691"/>
      <c r="G2240" s="555" t="s">
        <v>7</v>
      </c>
      <c r="H2240" s="554" t="s">
        <v>8</v>
      </c>
      <c r="I2240" s="554" t="s">
        <v>9</v>
      </c>
      <c r="J2240" s="554" t="s">
        <v>11</v>
      </c>
      <c r="K2240" s="552"/>
    </row>
    <row r="2241" spans="1:11" s="89" customFormat="1" ht="50" x14ac:dyDescent="0.3">
      <c r="A2241" s="607" t="s">
        <v>428</v>
      </c>
      <c r="B2241" s="608" t="s">
        <v>1343</v>
      </c>
      <c r="C2241" s="607" t="s">
        <v>19</v>
      </c>
      <c r="D2241" s="607" t="s">
        <v>1344</v>
      </c>
      <c r="E2241" s="690" t="s">
        <v>461</v>
      </c>
      <c r="F2241" s="690"/>
      <c r="G2241" s="609" t="s">
        <v>423</v>
      </c>
      <c r="H2241" s="610">
        <v>1</v>
      </c>
      <c r="I2241" s="611">
        <v>128.13999999999999</v>
      </c>
      <c r="J2241" s="611">
        <v>128.13999999999999</v>
      </c>
      <c r="K2241" s="546"/>
    </row>
    <row r="2242" spans="1:11" ht="14.5" thickBot="1" x14ac:dyDescent="0.35">
      <c r="A2242" s="547" t="s">
        <v>433</v>
      </c>
      <c r="B2242" s="548" t="s">
        <v>3859</v>
      </c>
      <c r="C2242" s="547" t="s">
        <v>115</v>
      </c>
      <c r="D2242" s="547" t="s">
        <v>3860</v>
      </c>
      <c r="E2242" s="688" t="s">
        <v>438</v>
      </c>
      <c r="F2242" s="688"/>
      <c r="G2242" s="549" t="s">
        <v>835</v>
      </c>
      <c r="H2242" s="550">
        <v>23.7</v>
      </c>
      <c r="I2242" s="551">
        <v>5.4069000000000003</v>
      </c>
      <c r="J2242" s="551">
        <v>128.13999999999999</v>
      </c>
      <c r="K2242" s="552"/>
    </row>
    <row r="2243" spans="1:11" s="89" customFormat="1" ht="14.5" thickTop="1" x14ac:dyDescent="0.3">
      <c r="A2243" s="562"/>
      <c r="B2243" s="562"/>
      <c r="C2243" s="562"/>
      <c r="D2243" s="562"/>
      <c r="E2243" s="562"/>
      <c r="F2243" s="562"/>
      <c r="G2243" s="562"/>
      <c r="H2243" s="562"/>
      <c r="I2243" s="562"/>
      <c r="J2243" s="562"/>
      <c r="K2243" s="546"/>
    </row>
    <row r="2244" spans="1:11" x14ac:dyDescent="0.3">
      <c r="A2244" s="553"/>
      <c r="B2244" s="554" t="s">
        <v>4</v>
      </c>
      <c r="C2244" s="553" t="s">
        <v>5</v>
      </c>
      <c r="D2244" s="553" t="s">
        <v>6</v>
      </c>
      <c r="E2244" s="691" t="s">
        <v>427</v>
      </c>
      <c r="F2244" s="691"/>
      <c r="G2244" s="555" t="s">
        <v>7</v>
      </c>
      <c r="H2244" s="554" t="s">
        <v>8</v>
      </c>
      <c r="I2244" s="554" t="s">
        <v>9</v>
      </c>
      <c r="J2244" s="554" t="s">
        <v>11</v>
      </c>
      <c r="K2244" s="552"/>
    </row>
    <row r="2245" spans="1:11" s="89" customFormat="1" ht="50" x14ac:dyDescent="0.3">
      <c r="A2245" s="607" t="s">
        <v>428</v>
      </c>
      <c r="B2245" s="608" t="s">
        <v>568</v>
      </c>
      <c r="C2245" s="607" t="s">
        <v>19</v>
      </c>
      <c r="D2245" s="607" t="s">
        <v>569</v>
      </c>
      <c r="E2245" s="690" t="s">
        <v>461</v>
      </c>
      <c r="F2245" s="690"/>
      <c r="G2245" s="609" t="s">
        <v>102</v>
      </c>
      <c r="H2245" s="610">
        <v>1</v>
      </c>
      <c r="I2245" s="611">
        <v>90.58</v>
      </c>
      <c r="J2245" s="611">
        <v>90.58</v>
      </c>
      <c r="K2245" s="546"/>
    </row>
    <row r="2246" spans="1:11" s="89" customFormat="1" ht="15" customHeight="1" x14ac:dyDescent="0.3">
      <c r="A2246" s="547" t="s">
        <v>430</v>
      </c>
      <c r="B2246" s="548" t="s">
        <v>1333</v>
      </c>
      <c r="C2246" s="547" t="s">
        <v>19</v>
      </c>
      <c r="D2246" s="547" t="s">
        <v>1334</v>
      </c>
      <c r="E2246" s="688" t="s">
        <v>429</v>
      </c>
      <c r="F2246" s="688"/>
      <c r="G2246" s="549" t="s">
        <v>423</v>
      </c>
      <c r="H2246" s="550">
        <v>1</v>
      </c>
      <c r="I2246" s="551">
        <v>30.35</v>
      </c>
      <c r="J2246" s="551">
        <v>30.35</v>
      </c>
      <c r="K2246" s="546"/>
    </row>
    <row r="2247" spans="1:11" s="89" customFormat="1" ht="50" x14ac:dyDescent="0.3">
      <c r="A2247" s="547" t="s">
        <v>430</v>
      </c>
      <c r="B2247" s="548" t="s">
        <v>1349</v>
      </c>
      <c r="C2247" s="547" t="s">
        <v>19</v>
      </c>
      <c r="D2247" s="547" t="s">
        <v>1350</v>
      </c>
      <c r="E2247" s="688" t="s">
        <v>461</v>
      </c>
      <c r="F2247" s="688"/>
      <c r="G2247" s="549" t="s">
        <v>423</v>
      </c>
      <c r="H2247" s="550">
        <v>1</v>
      </c>
      <c r="I2247" s="551">
        <v>40.32</v>
      </c>
      <c r="J2247" s="551">
        <v>40.32</v>
      </c>
      <c r="K2247" s="546"/>
    </row>
    <row r="2248" spans="1:11" ht="50" x14ac:dyDescent="0.3">
      <c r="A2248" s="547" t="s">
        <v>430</v>
      </c>
      <c r="B2248" s="548" t="s">
        <v>1351</v>
      </c>
      <c r="C2248" s="547" t="s">
        <v>19</v>
      </c>
      <c r="D2248" s="547" t="s">
        <v>1352</v>
      </c>
      <c r="E2248" s="688" t="s">
        <v>461</v>
      </c>
      <c r="F2248" s="688"/>
      <c r="G2248" s="549" t="s">
        <v>423</v>
      </c>
      <c r="H2248" s="550">
        <v>1</v>
      </c>
      <c r="I2248" s="551">
        <v>14.18</v>
      </c>
      <c r="J2248" s="551">
        <v>14.18</v>
      </c>
      <c r="K2248" s="552"/>
    </row>
    <row r="2249" spans="1:11" s="89" customFormat="1" ht="50.5" thickBot="1" x14ac:dyDescent="0.35">
      <c r="A2249" s="547" t="s">
        <v>430</v>
      </c>
      <c r="B2249" s="548" t="s">
        <v>1353</v>
      </c>
      <c r="C2249" s="547" t="s">
        <v>19</v>
      </c>
      <c r="D2249" s="547" t="s">
        <v>1354</v>
      </c>
      <c r="E2249" s="688" t="s">
        <v>461</v>
      </c>
      <c r="F2249" s="688"/>
      <c r="G2249" s="549" t="s">
        <v>423</v>
      </c>
      <c r="H2249" s="550">
        <v>1</v>
      </c>
      <c r="I2249" s="551">
        <v>5.73</v>
      </c>
      <c r="J2249" s="551">
        <v>5.73</v>
      </c>
      <c r="K2249" s="546"/>
    </row>
    <row r="2250" spans="1:11" s="89" customFormat="1" ht="14.5" thickTop="1" x14ac:dyDescent="0.3">
      <c r="A2250" s="562"/>
      <c r="B2250" s="562"/>
      <c r="C2250" s="562"/>
      <c r="D2250" s="562"/>
      <c r="E2250" s="562"/>
      <c r="F2250" s="562"/>
      <c r="G2250" s="562"/>
      <c r="H2250" s="562"/>
      <c r="I2250" s="562"/>
      <c r="J2250" s="562"/>
      <c r="K2250" s="546"/>
    </row>
    <row r="2251" spans="1:11" s="89" customFormat="1" x14ac:dyDescent="0.3">
      <c r="A2251" s="553"/>
      <c r="B2251" s="554" t="s">
        <v>4</v>
      </c>
      <c r="C2251" s="553" t="s">
        <v>5</v>
      </c>
      <c r="D2251" s="553" t="s">
        <v>6</v>
      </c>
      <c r="E2251" s="691" t="s">
        <v>427</v>
      </c>
      <c r="F2251" s="691"/>
      <c r="G2251" s="555" t="s">
        <v>7</v>
      </c>
      <c r="H2251" s="554" t="s">
        <v>8</v>
      </c>
      <c r="I2251" s="554" t="s">
        <v>9</v>
      </c>
      <c r="J2251" s="554" t="s">
        <v>11</v>
      </c>
      <c r="K2251" s="546"/>
    </row>
    <row r="2252" spans="1:11" ht="50" x14ac:dyDescent="0.3">
      <c r="A2252" s="607" t="s">
        <v>428</v>
      </c>
      <c r="B2252" s="608" t="s">
        <v>566</v>
      </c>
      <c r="C2252" s="607" t="s">
        <v>19</v>
      </c>
      <c r="D2252" s="607" t="s">
        <v>567</v>
      </c>
      <c r="E2252" s="690" t="s">
        <v>461</v>
      </c>
      <c r="F2252" s="690"/>
      <c r="G2252" s="609" t="s">
        <v>95</v>
      </c>
      <c r="H2252" s="610">
        <v>1</v>
      </c>
      <c r="I2252" s="611">
        <v>318.89</v>
      </c>
      <c r="J2252" s="611">
        <v>318.89</v>
      </c>
      <c r="K2252" s="552"/>
    </row>
    <row r="2253" spans="1:11" s="89" customFormat="1" ht="15" customHeight="1" x14ac:dyDescent="0.3">
      <c r="A2253" s="547" t="s">
        <v>430</v>
      </c>
      <c r="B2253" s="548" t="s">
        <v>1333</v>
      </c>
      <c r="C2253" s="547" t="s">
        <v>19</v>
      </c>
      <c r="D2253" s="547" t="s">
        <v>1334</v>
      </c>
      <c r="E2253" s="688" t="s">
        <v>429</v>
      </c>
      <c r="F2253" s="688"/>
      <c r="G2253" s="549" t="s">
        <v>423</v>
      </c>
      <c r="H2253" s="550">
        <v>1</v>
      </c>
      <c r="I2253" s="551">
        <v>30.35</v>
      </c>
      <c r="J2253" s="551">
        <v>30.35</v>
      </c>
      <c r="K2253" s="546"/>
    </row>
    <row r="2254" spans="1:11" ht="50" x14ac:dyDescent="0.3">
      <c r="A2254" s="547" t="s">
        <v>430</v>
      </c>
      <c r="B2254" s="548" t="s">
        <v>1349</v>
      </c>
      <c r="C2254" s="547" t="s">
        <v>19</v>
      </c>
      <c r="D2254" s="547" t="s">
        <v>1350</v>
      </c>
      <c r="E2254" s="688" t="s">
        <v>461</v>
      </c>
      <c r="F2254" s="688"/>
      <c r="G2254" s="549" t="s">
        <v>423</v>
      </c>
      <c r="H2254" s="550">
        <v>1</v>
      </c>
      <c r="I2254" s="551">
        <v>40.32</v>
      </c>
      <c r="J2254" s="551">
        <v>40.32</v>
      </c>
      <c r="K2254" s="552"/>
    </row>
    <row r="2255" spans="1:11" s="89" customFormat="1" ht="50" x14ac:dyDescent="0.3">
      <c r="A2255" s="547" t="s">
        <v>430</v>
      </c>
      <c r="B2255" s="548" t="s">
        <v>1351</v>
      </c>
      <c r="C2255" s="547" t="s">
        <v>19</v>
      </c>
      <c r="D2255" s="547" t="s">
        <v>1352</v>
      </c>
      <c r="E2255" s="688" t="s">
        <v>461</v>
      </c>
      <c r="F2255" s="688"/>
      <c r="G2255" s="549" t="s">
        <v>423</v>
      </c>
      <c r="H2255" s="550">
        <v>1</v>
      </c>
      <c r="I2255" s="551">
        <v>14.18</v>
      </c>
      <c r="J2255" s="551">
        <v>14.18</v>
      </c>
      <c r="K2255" s="546"/>
    </row>
    <row r="2256" spans="1:11" ht="50" x14ac:dyDescent="0.3">
      <c r="A2256" s="547" t="s">
        <v>430</v>
      </c>
      <c r="B2256" s="548" t="s">
        <v>1353</v>
      </c>
      <c r="C2256" s="547" t="s">
        <v>19</v>
      </c>
      <c r="D2256" s="547" t="s">
        <v>1354</v>
      </c>
      <c r="E2256" s="688" t="s">
        <v>461</v>
      </c>
      <c r="F2256" s="688"/>
      <c r="G2256" s="549" t="s">
        <v>423</v>
      </c>
      <c r="H2256" s="550">
        <v>1</v>
      </c>
      <c r="I2256" s="551">
        <v>5.73</v>
      </c>
      <c r="J2256" s="551">
        <v>5.73</v>
      </c>
      <c r="K2256" s="552"/>
    </row>
    <row r="2257" spans="1:11" s="89" customFormat="1" ht="50" x14ac:dyDescent="0.3">
      <c r="A2257" s="547" t="s">
        <v>430</v>
      </c>
      <c r="B2257" s="548" t="s">
        <v>1355</v>
      </c>
      <c r="C2257" s="547" t="s">
        <v>19</v>
      </c>
      <c r="D2257" s="547" t="s">
        <v>1356</v>
      </c>
      <c r="E2257" s="688" t="s">
        <v>461</v>
      </c>
      <c r="F2257" s="688"/>
      <c r="G2257" s="549" t="s">
        <v>423</v>
      </c>
      <c r="H2257" s="550">
        <v>1</v>
      </c>
      <c r="I2257" s="551">
        <v>68.97</v>
      </c>
      <c r="J2257" s="551">
        <v>68.97</v>
      </c>
      <c r="K2257" s="546"/>
    </row>
    <row r="2258" spans="1:11" ht="14.25" customHeight="1" thickBot="1" x14ac:dyDescent="0.35">
      <c r="A2258" s="547" t="s">
        <v>430</v>
      </c>
      <c r="B2258" s="548" t="s">
        <v>1357</v>
      </c>
      <c r="C2258" s="547" t="s">
        <v>19</v>
      </c>
      <c r="D2258" s="547" t="s">
        <v>1358</v>
      </c>
      <c r="E2258" s="688" t="s">
        <v>461</v>
      </c>
      <c r="F2258" s="688"/>
      <c r="G2258" s="549" t="s">
        <v>423</v>
      </c>
      <c r="H2258" s="550">
        <v>1</v>
      </c>
      <c r="I2258" s="551">
        <v>159.34</v>
      </c>
      <c r="J2258" s="551">
        <v>159.34</v>
      </c>
      <c r="K2258" s="552"/>
    </row>
    <row r="2259" spans="1:11" s="89" customFormat="1" ht="14.5" thickTop="1" x14ac:dyDescent="0.3">
      <c r="A2259" s="562"/>
      <c r="B2259" s="562"/>
      <c r="C2259" s="562"/>
      <c r="D2259" s="562"/>
      <c r="E2259" s="562"/>
      <c r="F2259" s="562"/>
      <c r="G2259" s="562"/>
      <c r="H2259" s="562"/>
      <c r="I2259" s="562"/>
      <c r="J2259" s="562"/>
      <c r="K2259" s="546"/>
    </row>
    <row r="2260" spans="1:11" s="89" customFormat="1" x14ac:dyDescent="0.3">
      <c r="A2260" s="553"/>
      <c r="B2260" s="554" t="s">
        <v>4</v>
      </c>
      <c r="C2260" s="553" t="s">
        <v>5</v>
      </c>
      <c r="D2260" s="553" t="s">
        <v>6</v>
      </c>
      <c r="E2260" s="691" t="s">
        <v>427</v>
      </c>
      <c r="F2260" s="691"/>
      <c r="G2260" s="555" t="s">
        <v>7</v>
      </c>
      <c r="H2260" s="554" t="s">
        <v>8</v>
      </c>
      <c r="I2260" s="554" t="s">
        <v>9</v>
      </c>
      <c r="J2260" s="554" t="s">
        <v>11</v>
      </c>
      <c r="K2260" s="546"/>
    </row>
    <row r="2261" spans="1:11" s="89" customFormat="1" ht="50" x14ac:dyDescent="0.3">
      <c r="A2261" s="607" t="s">
        <v>428</v>
      </c>
      <c r="B2261" s="608" t="s">
        <v>1349</v>
      </c>
      <c r="C2261" s="607" t="s">
        <v>19</v>
      </c>
      <c r="D2261" s="607" t="s">
        <v>1350</v>
      </c>
      <c r="E2261" s="690" t="s">
        <v>461</v>
      </c>
      <c r="F2261" s="690"/>
      <c r="G2261" s="609" t="s">
        <v>423</v>
      </c>
      <c r="H2261" s="610">
        <v>1</v>
      </c>
      <c r="I2261" s="611">
        <v>40.32</v>
      </c>
      <c r="J2261" s="611">
        <v>40.32</v>
      </c>
      <c r="K2261" s="546"/>
    </row>
    <row r="2262" spans="1:11" s="89" customFormat="1" ht="37.5" x14ac:dyDescent="0.3">
      <c r="A2262" s="547" t="s">
        <v>433</v>
      </c>
      <c r="B2262" s="548" t="s">
        <v>1359</v>
      </c>
      <c r="C2262" s="547" t="s">
        <v>19</v>
      </c>
      <c r="D2262" s="547" t="s">
        <v>1360</v>
      </c>
      <c r="E2262" s="688" t="s">
        <v>438</v>
      </c>
      <c r="F2262" s="688"/>
      <c r="G2262" s="549" t="s">
        <v>81</v>
      </c>
      <c r="H2262" s="550">
        <v>6.0300000000000002E-5</v>
      </c>
      <c r="I2262" s="551">
        <v>237841.37</v>
      </c>
      <c r="J2262" s="551">
        <v>14.34</v>
      </c>
      <c r="K2262" s="546"/>
    </row>
    <row r="2263" spans="1:11" s="89" customFormat="1" ht="50.5" thickBot="1" x14ac:dyDescent="0.35">
      <c r="A2263" s="547" t="s">
        <v>433</v>
      </c>
      <c r="B2263" s="548" t="s">
        <v>1361</v>
      </c>
      <c r="C2263" s="547" t="s">
        <v>19</v>
      </c>
      <c r="D2263" s="547" t="s">
        <v>1362</v>
      </c>
      <c r="E2263" s="688" t="s">
        <v>442</v>
      </c>
      <c r="F2263" s="688"/>
      <c r="G2263" s="549" t="s">
        <v>81</v>
      </c>
      <c r="H2263" s="550">
        <v>3.4199999999999998E-5</v>
      </c>
      <c r="I2263" s="551">
        <v>759839.92</v>
      </c>
      <c r="J2263" s="551">
        <v>25.98</v>
      </c>
      <c r="K2263" s="546"/>
    </row>
    <row r="2264" spans="1:11" ht="14.5" thickTop="1" x14ac:dyDescent="0.3">
      <c r="A2264" s="562"/>
      <c r="B2264" s="562"/>
      <c r="C2264" s="562"/>
      <c r="D2264" s="562"/>
      <c r="E2264" s="562"/>
      <c r="F2264" s="562"/>
      <c r="G2264" s="562"/>
      <c r="H2264" s="562"/>
      <c r="I2264" s="562"/>
      <c r="J2264" s="562"/>
      <c r="K2264" s="552"/>
    </row>
    <row r="2265" spans="1:11" s="89" customFormat="1" ht="15" customHeight="1" x14ac:dyDescent="0.3">
      <c r="A2265" s="553"/>
      <c r="B2265" s="554" t="s">
        <v>4</v>
      </c>
      <c r="C2265" s="553" t="s">
        <v>5</v>
      </c>
      <c r="D2265" s="553" t="s">
        <v>6</v>
      </c>
      <c r="E2265" s="691" t="s">
        <v>427</v>
      </c>
      <c r="F2265" s="691"/>
      <c r="G2265" s="555" t="s">
        <v>7</v>
      </c>
      <c r="H2265" s="554" t="s">
        <v>8</v>
      </c>
      <c r="I2265" s="554" t="s">
        <v>9</v>
      </c>
      <c r="J2265" s="554" t="s">
        <v>11</v>
      </c>
      <c r="K2265" s="546"/>
    </row>
    <row r="2266" spans="1:11" ht="50" x14ac:dyDescent="0.3">
      <c r="A2266" s="607" t="s">
        <v>428</v>
      </c>
      <c r="B2266" s="608" t="s">
        <v>1353</v>
      </c>
      <c r="C2266" s="607" t="s">
        <v>19</v>
      </c>
      <c r="D2266" s="607" t="s">
        <v>1354</v>
      </c>
      <c r="E2266" s="690" t="s">
        <v>461</v>
      </c>
      <c r="F2266" s="690"/>
      <c r="G2266" s="609" t="s">
        <v>423</v>
      </c>
      <c r="H2266" s="610">
        <v>1</v>
      </c>
      <c r="I2266" s="611">
        <v>5.73</v>
      </c>
      <c r="J2266" s="611">
        <v>5.73</v>
      </c>
      <c r="K2266" s="552"/>
    </row>
    <row r="2267" spans="1:11" s="89" customFormat="1" ht="37.5" x14ac:dyDescent="0.3">
      <c r="A2267" s="547" t="s">
        <v>433</v>
      </c>
      <c r="B2267" s="548" t="s">
        <v>1359</v>
      </c>
      <c r="C2267" s="547" t="s">
        <v>19</v>
      </c>
      <c r="D2267" s="547" t="s">
        <v>1360</v>
      </c>
      <c r="E2267" s="688" t="s">
        <v>438</v>
      </c>
      <c r="F2267" s="688"/>
      <c r="G2267" s="549" t="s">
        <v>81</v>
      </c>
      <c r="H2267" s="550">
        <v>5.9000000000000003E-6</v>
      </c>
      <c r="I2267" s="551">
        <v>237841.37</v>
      </c>
      <c r="J2267" s="551">
        <v>1.4</v>
      </c>
      <c r="K2267" s="546"/>
    </row>
    <row r="2268" spans="1:11" s="89" customFormat="1" ht="50.5" thickBot="1" x14ac:dyDescent="0.35">
      <c r="A2268" s="547" t="s">
        <v>433</v>
      </c>
      <c r="B2268" s="548" t="s">
        <v>1361</v>
      </c>
      <c r="C2268" s="547" t="s">
        <v>19</v>
      </c>
      <c r="D2268" s="547" t="s">
        <v>1362</v>
      </c>
      <c r="E2268" s="688" t="s">
        <v>442</v>
      </c>
      <c r="F2268" s="688"/>
      <c r="G2268" s="549" t="s">
        <v>81</v>
      </c>
      <c r="H2268" s="550">
        <v>5.6999999999999996E-6</v>
      </c>
      <c r="I2268" s="551">
        <v>759839.92</v>
      </c>
      <c r="J2268" s="551">
        <v>4.33</v>
      </c>
      <c r="K2268" s="546"/>
    </row>
    <row r="2269" spans="1:11" s="89" customFormat="1" ht="14.5" thickTop="1" x14ac:dyDescent="0.3">
      <c r="A2269" s="562"/>
      <c r="B2269" s="562"/>
      <c r="C2269" s="562"/>
      <c r="D2269" s="562"/>
      <c r="E2269" s="562"/>
      <c r="F2269" s="562"/>
      <c r="G2269" s="562"/>
      <c r="H2269" s="562"/>
      <c r="I2269" s="562"/>
      <c r="J2269" s="562"/>
      <c r="K2269" s="546"/>
    </row>
    <row r="2270" spans="1:11" ht="14.25" customHeight="1" x14ac:dyDescent="0.3">
      <c r="A2270" s="553"/>
      <c r="B2270" s="554" t="s">
        <v>4</v>
      </c>
      <c r="C2270" s="553" t="s">
        <v>5</v>
      </c>
      <c r="D2270" s="553" t="s">
        <v>6</v>
      </c>
      <c r="E2270" s="691" t="s">
        <v>427</v>
      </c>
      <c r="F2270" s="691"/>
      <c r="G2270" s="555" t="s">
        <v>7</v>
      </c>
      <c r="H2270" s="554" t="s">
        <v>8</v>
      </c>
      <c r="I2270" s="554" t="s">
        <v>9</v>
      </c>
      <c r="J2270" s="554" t="s">
        <v>11</v>
      </c>
      <c r="K2270" s="552"/>
    </row>
    <row r="2271" spans="1:11" s="89" customFormat="1" ht="50" x14ac:dyDescent="0.3">
      <c r="A2271" s="607" t="s">
        <v>428</v>
      </c>
      <c r="B2271" s="608" t="s">
        <v>1351</v>
      </c>
      <c r="C2271" s="607" t="s">
        <v>19</v>
      </c>
      <c r="D2271" s="607" t="s">
        <v>1352</v>
      </c>
      <c r="E2271" s="690" t="s">
        <v>461</v>
      </c>
      <c r="F2271" s="690"/>
      <c r="G2271" s="609" t="s">
        <v>423</v>
      </c>
      <c r="H2271" s="610">
        <v>1</v>
      </c>
      <c r="I2271" s="611">
        <v>14.18</v>
      </c>
      <c r="J2271" s="611">
        <v>14.18</v>
      </c>
      <c r="K2271" s="546"/>
    </row>
    <row r="2272" spans="1:11" ht="37.5" x14ac:dyDescent="0.3">
      <c r="A2272" s="547" t="s">
        <v>433</v>
      </c>
      <c r="B2272" s="548" t="s">
        <v>1359</v>
      </c>
      <c r="C2272" s="547" t="s">
        <v>19</v>
      </c>
      <c r="D2272" s="547" t="s">
        <v>1360</v>
      </c>
      <c r="E2272" s="688" t="s">
        <v>438</v>
      </c>
      <c r="F2272" s="688"/>
      <c r="G2272" s="549" t="s">
        <v>81</v>
      </c>
      <c r="H2272" s="550">
        <v>1.4600000000000001E-5</v>
      </c>
      <c r="I2272" s="551">
        <v>237841.37</v>
      </c>
      <c r="J2272" s="551">
        <v>3.47</v>
      </c>
      <c r="K2272" s="552"/>
    </row>
    <row r="2273" spans="1:11" s="89" customFormat="1" ht="50.5" thickBot="1" x14ac:dyDescent="0.35">
      <c r="A2273" s="547" t="s">
        <v>433</v>
      </c>
      <c r="B2273" s="548" t="s">
        <v>1361</v>
      </c>
      <c r="C2273" s="547" t="s">
        <v>19</v>
      </c>
      <c r="D2273" s="547" t="s">
        <v>1362</v>
      </c>
      <c r="E2273" s="688" t="s">
        <v>442</v>
      </c>
      <c r="F2273" s="688"/>
      <c r="G2273" s="549" t="s">
        <v>81</v>
      </c>
      <c r="H2273" s="550">
        <v>1.4100000000000001E-5</v>
      </c>
      <c r="I2273" s="551">
        <v>759839.92</v>
      </c>
      <c r="J2273" s="551">
        <v>10.71</v>
      </c>
      <c r="K2273" s="546"/>
    </row>
    <row r="2274" spans="1:11" ht="14.5" thickTop="1" x14ac:dyDescent="0.3">
      <c r="A2274" s="562"/>
      <c r="B2274" s="562"/>
      <c r="C2274" s="562"/>
      <c r="D2274" s="562"/>
      <c r="E2274" s="562"/>
      <c r="F2274" s="562"/>
      <c r="G2274" s="562"/>
      <c r="H2274" s="562"/>
      <c r="I2274" s="562"/>
      <c r="J2274" s="562"/>
      <c r="K2274" s="552"/>
    </row>
    <row r="2275" spans="1:11" s="89" customFormat="1" x14ac:dyDescent="0.3">
      <c r="A2275" s="553"/>
      <c r="B2275" s="554" t="s">
        <v>4</v>
      </c>
      <c r="C2275" s="553" t="s">
        <v>5</v>
      </c>
      <c r="D2275" s="553" t="s">
        <v>6</v>
      </c>
      <c r="E2275" s="691" t="s">
        <v>427</v>
      </c>
      <c r="F2275" s="691"/>
      <c r="G2275" s="555" t="s">
        <v>7</v>
      </c>
      <c r="H2275" s="554" t="s">
        <v>8</v>
      </c>
      <c r="I2275" s="554" t="s">
        <v>9</v>
      </c>
      <c r="J2275" s="554" t="s">
        <v>11</v>
      </c>
      <c r="K2275" s="546"/>
    </row>
    <row r="2276" spans="1:11" s="89" customFormat="1" ht="50" x14ac:dyDescent="0.3">
      <c r="A2276" s="607" t="s">
        <v>428</v>
      </c>
      <c r="B2276" s="608" t="s">
        <v>1355</v>
      </c>
      <c r="C2276" s="607" t="s">
        <v>19</v>
      </c>
      <c r="D2276" s="607" t="s">
        <v>1356</v>
      </c>
      <c r="E2276" s="690" t="s">
        <v>461</v>
      </c>
      <c r="F2276" s="690"/>
      <c r="G2276" s="609" t="s">
        <v>423</v>
      </c>
      <c r="H2276" s="610">
        <v>1</v>
      </c>
      <c r="I2276" s="611">
        <v>68.97</v>
      </c>
      <c r="J2276" s="611">
        <v>68.97</v>
      </c>
      <c r="K2276" s="546"/>
    </row>
    <row r="2277" spans="1:11" s="89" customFormat="1" ht="15" customHeight="1" x14ac:dyDescent="0.3">
      <c r="A2277" s="547" t="s">
        <v>433</v>
      </c>
      <c r="B2277" s="548" t="s">
        <v>1359</v>
      </c>
      <c r="C2277" s="547" t="s">
        <v>19</v>
      </c>
      <c r="D2277" s="547" t="s">
        <v>1360</v>
      </c>
      <c r="E2277" s="688" t="s">
        <v>438</v>
      </c>
      <c r="F2277" s="688"/>
      <c r="G2277" s="549" t="s">
        <v>81</v>
      </c>
      <c r="H2277" s="550">
        <v>8.4900000000000004E-5</v>
      </c>
      <c r="I2277" s="551">
        <v>237841.37</v>
      </c>
      <c r="J2277" s="551">
        <v>20.190000000000001</v>
      </c>
      <c r="K2277" s="546"/>
    </row>
    <row r="2278" spans="1:11" ht="50.5" thickBot="1" x14ac:dyDescent="0.35">
      <c r="A2278" s="547" t="s">
        <v>433</v>
      </c>
      <c r="B2278" s="548" t="s">
        <v>1361</v>
      </c>
      <c r="C2278" s="547" t="s">
        <v>19</v>
      </c>
      <c r="D2278" s="547" t="s">
        <v>1362</v>
      </c>
      <c r="E2278" s="688" t="s">
        <v>442</v>
      </c>
      <c r="F2278" s="688"/>
      <c r="G2278" s="549" t="s">
        <v>81</v>
      </c>
      <c r="H2278" s="550">
        <v>6.4200000000000002E-5</v>
      </c>
      <c r="I2278" s="551">
        <v>759839.92</v>
      </c>
      <c r="J2278" s="551">
        <v>48.78</v>
      </c>
      <c r="K2278" s="552"/>
    </row>
    <row r="2279" spans="1:11" s="89" customFormat="1" ht="14.5" thickTop="1" x14ac:dyDescent="0.3">
      <c r="A2279" s="562"/>
      <c r="B2279" s="562"/>
      <c r="C2279" s="562"/>
      <c r="D2279" s="562"/>
      <c r="E2279" s="562"/>
      <c r="F2279" s="562"/>
      <c r="G2279" s="562"/>
      <c r="H2279" s="562"/>
      <c r="I2279" s="562"/>
      <c r="J2279" s="562"/>
      <c r="K2279" s="546"/>
    </row>
    <row r="2280" spans="1:11" x14ac:dyDescent="0.3">
      <c r="A2280" s="553"/>
      <c r="B2280" s="554" t="s">
        <v>4</v>
      </c>
      <c r="C2280" s="553" t="s">
        <v>5</v>
      </c>
      <c r="D2280" s="553" t="s">
        <v>6</v>
      </c>
      <c r="E2280" s="691" t="s">
        <v>427</v>
      </c>
      <c r="F2280" s="691"/>
      <c r="G2280" s="555" t="s">
        <v>7</v>
      </c>
      <c r="H2280" s="554" t="s">
        <v>8</v>
      </c>
      <c r="I2280" s="554" t="s">
        <v>9</v>
      </c>
      <c r="J2280" s="554" t="s">
        <v>11</v>
      </c>
      <c r="K2280" s="552"/>
    </row>
    <row r="2281" spans="1:11" s="89" customFormat="1" ht="50" x14ac:dyDescent="0.3">
      <c r="A2281" s="607" t="s">
        <v>428</v>
      </c>
      <c r="B2281" s="608" t="s">
        <v>1357</v>
      </c>
      <c r="C2281" s="607" t="s">
        <v>19</v>
      </c>
      <c r="D2281" s="607" t="s">
        <v>1358</v>
      </c>
      <c r="E2281" s="690" t="s">
        <v>461</v>
      </c>
      <c r="F2281" s="690"/>
      <c r="G2281" s="609" t="s">
        <v>423</v>
      </c>
      <c r="H2281" s="610">
        <v>1</v>
      </c>
      <c r="I2281" s="611">
        <v>159.34</v>
      </c>
      <c r="J2281" s="611">
        <v>159.34</v>
      </c>
      <c r="K2281" s="546"/>
    </row>
    <row r="2282" spans="1:11" ht="14.5" thickBot="1" x14ac:dyDescent="0.35">
      <c r="A2282" s="547" t="s">
        <v>433</v>
      </c>
      <c r="B2282" s="548" t="s">
        <v>3859</v>
      </c>
      <c r="C2282" s="547" t="s">
        <v>115</v>
      </c>
      <c r="D2282" s="547" t="s">
        <v>3860</v>
      </c>
      <c r="E2282" s="688" t="s">
        <v>438</v>
      </c>
      <c r="F2282" s="688"/>
      <c r="G2282" s="549" t="s">
        <v>835</v>
      </c>
      <c r="H2282" s="550">
        <v>29.47</v>
      </c>
      <c r="I2282" s="551">
        <v>5.4069000000000003</v>
      </c>
      <c r="J2282" s="551">
        <v>159.34</v>
      </c>
      <c r="K2282" s="552"/>
    </row>
    <row r="2283" spans="1:11" s="89" customFormat="1" ht="14.5" thickTop="1" x14ac:dyDescent="0.3">
      <c r="A2283" s="562"/>
      <c r="B2283" s="562"/>
      <c r="C2283" s="562"/>
      <c r="D2283" s="562"/>
      <c r="E2283" s="562"/>
      <c r="F2283" s="562"/>
      <c r="G2283" s="562"/>
      <c r="H2283" s="562"/>
      <c r="I2283" s="562"/>
      <c r="J2283" s="562"/>
      <c r="K2283" s="546"/>
    </row>
    <row r="2284" spans="1:11" x14ac:dyDescent="0.3">
      <c r="A2284" s="553"/>
      <c r="B2284" s="554" t="s">
        <v>4</v>
      </c>
      <c r="C2284" s="553" t="s">
        <v>5</v>
      </c>
      <c r="D2284" s="553" t="s">
        <v>6</v>
      </c>
      <c r="E2284" s="691" t="s">
        <v>427</v>
      </c>
      <c r="F2284" s="691"/>
      <c r="G2284" s="555" t="s">
        <v>7</v>
      </c>
      <c r="H2284" s="554" t="s">
        <v>8</v>
      </c>
      <c r="I2284" s="554" t="s">
        <v>9</v>
      </c>
      <c r="J2284" s="554" t="s">
        <v>11</v>
      </c>
      <c r="K2284" s="552"/>
    </row>
    <row r="2285" spans="1:11" s="89" customFormat="1" ht="38.25" customHeight="1" x14ac:dyDescent="0.3">
      <c r="A2285" s="607" t="s">
        <v>428</v>
      </c>
      <c r="B2285" s="608" t="s">
        <v>3588</v>
      </c>
      <c r="C2285" s="607" t="s">
        <v>19</v>
      </c>
      <c r="D2285" s="607" t="s">
        <v>3589</v>
      </c>
      <c r="E2285" s="690" t="s">
        <v>461</v>
      </c>
      <c r="F2285" s="690"/>
      <c r="G2285" s="609" t="s">
        <v>95</v>
      </c>
      <c r="H2285" s="610">
        <v>1</v>
      </c>
      <c r="I2285" s="611">
        <v>196.07</v>
      </c>
      <c r="J2285" s="611">
        <v>196.07</v>
      </c>
      <c r="K2285" s="546"/>
    </row>
    <row r="2286" spans="1:11" s="89" customFormat="1" ht="50" x14ac:dyDescent="0.3">
      <c r="A2286" s="547" t="s">
        <v>430</v>
      </c>
      <c r="B2286" s="548" t="s">
        <v>3651</v>
      </c>
      <c r="C2286" s="547" t="s">
        <v>19</v>
      </c>
      <c r="D2286" s="547" t="s">
        <v>3652</v>
      </c>
      <c r="E2286" s="688" t="s">
        <v>461</v>
      </c>
      <c r="F2286" s="688"/>
      <c r="G2286" s="549" t="s">
        <v>423</v>
      </c>
      <c r="H2286" s="550">
        <v>1</v>
      </c>
      <c r="I2286" s="551">
        <v>91.53</v>
      </c>
      <c r="J2286" s="551">
        <v>91.53</v>
      </c>
      <c r="K2286" s="546"/>
    </row>
    <row r="2287" spans="1:11" s="89" customFormat="1" ht="38.25" customHeight="1" x14ac:dyDescent="0.3">
      <c r="A2287" s="547" t="s">
        <v>430</v>
      </c>
      <c r="B2287" s="548" t="s">
        <v>3653</v>
      </c>
      <c r="C2287" s="547" t="s">
        <v>19</v>
      </c>
      <c r="D2287" s="547" t="s">
        <v>3654</v>
      </c>
      <c r="E2287" s="688" t="s">
        <v>461</v>
      </c>
      <c r="F2287" s="688"/>
      <c r="G2287" s="549" t="s">
        <v>423</v>
      </c>
      <c r="H2287" s="550">
        <v>1</v>
      </c>
      <c r="I2287" s="551">
        <v>40.020000000000003</v>
      </c>
      <c r="J2287" s="551">
        <v>40.020000000000003</v>
      </c>
      <c r="K2287" s="546"/>
    </row>
    <row r="2288" spans="1:11" ht="14.25" customHeight="1" x14ac:dyDescent="0.3">
      <c r="A2288" s="547" t="s">
        <v>430</v>
      </c>
      <c r="B2288" s="548" t="s">
        <v>1333</v>
      </c>
      <c r="C2288" s="547" t="s">
        <v>19</v>
      </c>
      <c r="D2288" s="547" t="s">
        <v>1334</v>
      </c>
      <c r="E2288" s="688" t="s">
        <v>429</v>
      </c>
      <c r="F2288" s="688"/>
      <c r="G2288" s="549" t="s">
        <v>423</v>
      </c>
      <c r="H2288" s="550">
        <v>1</v>
      </c>
      <c r="I2288" s="551">
        <v>30.35</v>
      </c>
      <c r="J2288" s="551">
        <v>30.35</v>
      </c>
      <c r="K2288" s="552"/>
    </row>
    <row r="2289" spans="1:11" s="89" customFormat="1" ht="38.25" customHeight="1" x14ac:dyDescent="0.3">
      <c r="A2289" s="547" t="s">
        <v>430</v>
      </c>
      <c r="B2289" s="548" t="s">
        <v>3655</v>
      </c>
      <c r="C2289" s="547" t="s">
        <v>19</v>
      </c>
      <c r="D2289" s="547" t="s">
        <v>3656</v>
      </c>
      <c r="E2289" s="688" t="s">
        <v>461</v>
      </c>
      <c r="F2289" s="688"/>
      <c r="G2289" s="549" t="s">
        <v>423</v>
      </c>
      <c r="H2289" s="550">
        <v>1</v>
      </c>
      <c r="I2289" s="551">
        <v>22.21</v>
      </c>
      <c r="J2289" s="551">
        <v>22.21</v>
      </c>
      <c r="K2289" s="546"/>
    </row>
    <row r="2290" spans="1:11" s="89" customFormat="1" ht="38.25" customHeight="1" x14ac:dyDescent="0.3">
      <c r="A2290" s="547" t="s">
        <v>430</v>
      </c>
      <c r="B2290" s="548" t="s">
        <v>3657</v>
      </c>
      <c r="C2290" s="547" t="s">
        <v>19</v>
      </c>
      <c r="D2290" s="547" t="s">
        <v>3658</v>
      </c>
      <c r="E2290" s="688" t="s">
        <v>461</v>
      </c>
      <c r="F2290" s="688"/>
      <c r="G2290" s="549" t="s">
        <v>423</v>
      </c>
      <c r="H2290" s="550">
        <v>1</v>
      </c>
      <c r="I2290" s="551">
        <v>8.52</v>
      </c>
      <c r="J2290" s="551">
        <v>8.52</v>
      </c>
      <c r="K2290" s="546"/>
    </row>
    <row r="2291" spans="1:11" s="89" customFormat="1" ht="50.5" thickBot="1" x14ac:dyDescent="0.35">
      <c r="A2291" s="547" t="s">
        <v>430</v>
      </c>
      <c r="B2291" s="548" t="s">
        <v>3659</v>
      </c>
      <c r="C2291" s="547" t="s">
        <v>19</v>
      </c>
      <c r="D2291" s="547" t="s">
        <v>3660</v>
      </c>
      <c r="E2291" s="688" t="s">
        <v>461</v>
      </c>
      <c r="F2291" s="688"/>
      <c r="G2291" s="549" t="s">
        <v>423</v>
      </c>
      <c r="H2291" s="550">
        <v>1</v>
      </c>
      <c r="I2291" s="551">
        <v>3.44</v>
      </c>
      <c r="J2291" s="551">
        <v>3.44</v>
      </c>
      <c r="K2291" s="546"/>
    </row>
    <row r="2292" spans="1:11" ht="14.5" thickTop="1" x14ac:dyDescent="0.3">
      <c r="A2292" s="562"/>
      <c r="B2292" s="562"/>
      <c r="C2292" s="562"/>
      <c r="D2292" s="562"/>
      <c r="E2292" s="562"/>
      <c r="F2292" s="562"/>
      <c r="G2292" s="562"/>
      <c r="H2292" s="562"/>
      <c r="I2292" s="562"/>
      <c r="J2292" s="562"/>
      <c r="K2292" s="552"/>
    </row>
    <row r="2293" spans="1:11" s="89" customFormat="1" x14ac:dyDescent="0.3">
      <c r="A2293" s="553"/>
      <c r="B2293" s="554" t="s">
        <v>4</v>
      </c>
      <c r="C2293" s="553" t="s">
        <v>5</v>
      </c>
      <c r="D2293" s="553" t="s">
        <v>6</v>
      </c>
      <c r="E2293" s="691" t="s">
        <v>427</v>
      </c>
      <c r="F2293" s="691"/>
      <c r="G2293" s="555" t="s">
        <v>7</v>
      </c>
      <c r="H2293" s="554" t="s">
        <v>8</v>
      </c>
      <c r="I2293" s="554" t="s">
        <v>9</v>
      </c>
      <c r="J2293" s="554" t="s">
        <v>11</v>
      </c>
      <c r="K2293" s="546"/>
    </row>
    <row r="2294" spans="1:11" ht="38.25" customHeight="1" x14ac:dyDescent="0.3">
      <c r="A2294" s="607" t="s">
        <v>428</v>
      </c>
      <c r="B2294" s="608" t="s">
        <v>3655</v>
      </c>
      <c r="C2294" s="607" t="s">
        <v>19</v>
      </c>
      <c r="D2294" s="607" t="s">
        <v>3656</v>
      </c>
      <c r="E2294" s="690" t="s">
        <v>461</v>
      </c>
      <c r="F2294" s="690"/>
      <c r="G2294" s="609" t="s">
        <v>423</v>
      </c>
      <c r="H2294" s="610">
        <v>1</v>
      </c>
      <c r="I2294" s="611">
        <v>22.21</v>
      </c>
      <c r="J2294" s="611">
        <v>22.21</v>
      </c>
      <c r="K2294" s="552"/>
    </row>
    <row r="2295" spans="1:11" s="89" customFormat="1" ht="25" x14ac:dyDescent="0.3">
      <c r="A2295" s="547" t="s">
        <v>433</v>
      </c>
      <c r="B2295" s="548" t="s">
        <v>3661</v>
      </c>
      <c r="C2295" s="547" t="s">
        <v>19</v>
      </c>
      <c r="D2295" s="547" t="s">
        <v>3662</v>
      </c>
      <c r="E2295" s="688" t="s">
        <v>438</v>
      </c>
      <c r="F2295" s="688"/>
      <c r="G2295" s="549" t="s">
        <v>81</v>
      </c>
      <c r="H2295" s="550">
        <v>6.0300000000000002E-5</v>
      </c>
      <c r="I2295" s="551">
        <v>61258.13</v>
      </c>
      <c r="J2295" s="551">
        <v>3.69</v>
      </c>
      <c r="K2295" s="546"/>
    </row>
    <row r="2296" spans="1:11" ht="38" thickBot="1" x14ac:dyDescent="0.35">
      <c r="A2296" s="547" t="s">
        <v>433</v>
      </c>
      <c r="B2296" s="548" t="s">
        <v>3663</v>
      </c>
      <c r="C2296" s="547" t="s">
        <v>19</v>
      </c>
      <c r="D2296" s="547" t="s">
        <v>3664</v>
      </c>
      <c r="E2296" s="688" t="s">
        <v>442</v>
      </c>
      <c r="F2296" s="688"/>
      <c r="G2296" s="549" t="s">
        <v>81</v>
      </c>
      <c r="H2296" s="550">
        <v>3.4199999999999998E-5</v>
      </c>
      <c r="I2296" s="551">
        <v>541609.63</v>
      </c>
      <c r="J2296" s="551">
        <v>18.52</v>
      </c>
      <c r="K2296" s="552"/>
    </row>
    <row r="2297" spans="1:11" s="89" customFormat="1" ht="38.25" customHeight="1" thickTop="1" x14ac:dyDescent="0.3">
      <c r="A2297" s="562"/>
      <c r="B2297" s="562"/>
      <c r="C2297" s="562"/>
      <c r="D2297" s="562"/>
      <c r="E2297" s="562"/>
      <c r="F2297" s="562"/>
      <c r="G2297" s="562"/>
      <c r="H2297" s="562"/>
      <c r="I2297" s="562"/>
      <c r="J2297" s="562"/>
      <c r="K2297" s="546"/>
    </row>
    <row r="2298" spans="1:11" x14ac:dyDescent="0.3">
      <c r="A2298" s="553"/>
      <c r="B2298" s="554" t="s">
        <v>4</v>
      </c>
      <c r="C2298" s="553" t="s">
        <v>5</v>
      </c>
      <c r="D2298" s="553" t="s">
        <v>6</v>
      </c>
      <c r="E2298" s="691" t="s">
        <v>427</v>
      </c>
      <c r="F2298" s="691"/>
      <c r="G2298" s="555" t="s">
        <v>7</v>
      </c>
      <c r="H2298" s="554" t="s">
        <v>8</v>
      </c>
      <c r="I2298" s="554" t="s">
        <v>9</v>
      </c>
      <c r="J2298" s="554" t="s">
        <v>11</v>
      </c>
      <c r="K2298" s="552"/>
    </row>
    <row r="2299" spans="1:11" s="89" customFormat="1" ht="38.25" customHeight="1" x14ac:dyDescent="0.3">
      <c r="A2299" s="607" t="s">
        <v>428</v>
      </c>
      <c r="B2299" s="608" t="s">
        <v>3659</v>
      </c>
      <c r="C2299" s="607" t="s">
        <v>19</v>
      </c>
      <c r="D2299" s="607" t="s">
        <v>3660</v>
      </c>
      <c r="E2299" s="690" t="s">
        <v>461</v>
      </c>
      <c r="F2299" s="690"/>
      <c r="G2299" s="609" t="s">
        <v>423</v>
      </c>
      <c r="H2299" s="610">
        <v>1</v>
      </c>
      <c r="I2299" s="611">
        <v>3.44</v>
      </c>
      <c r="J2299" s="611">
        <v>3.44</v>
      </c>
      <c r="K2299" s="546"/>
    </row>
    <row r="2300" spans="1:11" s="89" customFormat="1" ht="15" customHeight="1" x14ac:dyDescent="0.3">
      <c r="A2300" s="547" t="s">
        <v>433</v>
      </c>
      <c r="B2300" s="548" t="s">
        <v>3661</v>
      </c>
      <c r="C2300" s="547" t="s">
        <v>19</v>
      </c>
      <c r="D2300" s="547" t="s">
        <v>3662</v>
      </c>
      <c r="E2300" s="688" t="s">
        <v>438</v>
      </c>
      <c r="F2300" s="688"/>
      <c r="G2300" s="549" t="s">
        <v>81</v>
      </c>
      <c r="H2300" s="550">
        <v>5.9000000000000003E-6</v>
      </c>
      <c r="I2300" s="551">
        <v>61258.13</v>
      </c>
      <c r="J2300" s="551">
        <v>0.36</v>
      </c>
      <c r="K2300" s="546"/>
    </row>
    <row r="2301" spans="1:11" s="89" customFormat="1" ht="38.25" customHeight="1" thickBot="1" x14ac:dyDescent="0.35">
      <c r="A2301" s="547" t="s">
        <v>433</v>
      </c>
      <c r="B2301" s="548" t="s">
        <v>3663</v>
      </c>
      <c r="C2301" s="547" t="s">
        <v>19</v>
      </c>
      <c r="D2301" s="547" t="s">
        <v>3664</v>
      </c>
      <c r="E2301" s="688" t="s">
        <v>442</v>
      </c>
      <c r="F2301" s="688"/>
      <c r="G2301" s="549" t="s">
        <v>81</v>
      </c>
      <c r="H2301" s="550">
        <v>5.6999999999999996E-6</v>
      </c>
      <c r="I2301" s="551">
        <v>541609.63</v>
      </c>
      <c r="J2301" s="551">
        <v>3.08</v>
      </c>
      <c r="K2301" s="546"/>
    </row>
    <row r="2302" spans="1:11" ht="38.25" customHeight="1" thickTop="1" x14ac:dyDescent="0.3">
      <c r="A2302" s="562"/>
      <c r="B2302" s="562"/>
      <c r="C2302" s="562"/>
      <c r="D2302" s="562"/>
      <c r="E2302" s="562"/>
      <c r="F2302" s="562"/>
      <c r="G2302" s="562"/>
      <c r="H2302" s="562"/>
      <c r="I2302" s="562"/>
      <c r="J2302" s="562"/>
      <c r="K2302" s="552"/>
    </row>
    <row r="2303" spans="1:11" s="89" customFormat="1" x14ac:dyDescent="0.3">
      <c r="A2303" s="553"/>
      <c r="B2303" s="554" t="s">
        <v>4</v>
      </c>
      <c r="C2303" s="553" t="s">
        <v>5</v>
      </c>
      <c r="D2303" s="553" t="s">
        <v>6</v>
      </c>
      <c r="E2303" s="691" t="s">
        <v>427</v>
      </c>
      <c r="F2303" s="691"/>
      <c r="G2303" s="555" t="s">
        <v>7</v>
      </c>
      <c r="H2303" s="554" t="s">
        <v>8</v>
      </c>
      <c r="I2303" s="554" t="s">
        <v>9</v>
      </c>
      <c r="J2303" s="554" t="s">
        <v>11</v>
      </c>
      <c r="K2303" s="546"/>
    </row>
    <row r="2304" spans="1:11" ht="38.25" customHeight="1" x14ac:dyDescent="0.3">
      <c r="A2304" s="607" t="s">
        <v>428</v>
      </c>
      <c r="B2304" s="608" t="s">
        <v>3657</v>
      </c>
      <c r="C2304" s="607" t="s">
        <v>19</v>
      </c>
      <c r="D2304" s="607" t="s">
        <v>3658</v>
      </c>
      <c r="E2304" s="690" t="s">
        <v>461</v>
      </c>
      <c r="F2304" s="690"/>
      <c r="G2304" s="609" t="s">
        <v>423</v>
      </c>
      <c r="H2304" s="610">
        <v>1</v>
      </c>
      <c r="I2304" s="611">
        <v>8.52</v>
      </c>
      <c r="J2304" s="611">
        <v>8.52</v>
      </c>
      <c r="K2304" s="552"/>
    </row>
    <row r="2305" spans="1:11" s="89" customFormat="1" ht="25" x14ac:dyDescent="0.3">
      <c r="A2305" s="547" t="s">
        <v>433</v>
      </c>
      <c r="B2305" s="548" t="s">
        <v>3661</v>
      </c>
      <c r="C2305" s="547" t="s">
        <v>19</v>
      </c>
      <c r="D2305" s="547" t="s">
        <v>3662</v>
      </c>
      <c r="E2305" s="688" t="s">
        <v>438</v>
      </c>
      <c r="F2305" s="688"/>
      <c r="G2305" s="549" t="s">
        <v>81</v>
      </c>
      <c r="H2305" s="550">
        <v>1.4600000000000001E-5</v>
      </c>
      <c r="I2305" s="551">
        <v>61258.13</v>
      </c>
      <c r="J2305" s="551">
        <v>0.89</v>
      </c>
      <c r="K2305" s="546"/>
    </row>
    <row r="2306" spans="1:11" ht="38.25" customHeight="1" thickBot="1" x14ac:dyDescent="0.35">
      <c r="A2306" s="547" t="s">
        <v>433</v>
      </c>
      <c r="B2306" s="548" t="s">
        <v>3663</v>
      </c>
      <c r="C2306" s="547" t="s">
        <v>19</v>
      </c>
      <c r="D2306" s="547" t="s">
        <v>3664</v>
      </c>
      <c r="E2306" s="688" t="s">
        <v>442</v>
      </c>
      <c r="F2306" s="688"/>
      <c r="G2306" s="549" t="s">
        <v>81</v>
      </c>
      <c r="H2306" s="550">
        <v>1.4100000000000001E-5</v>
      </c>
      <c r="I2306" s="551">
        <v>541609.63</v>
      </c>
      <c r="J2306" s="551">
        <v>7.63</v>
      </c>
      <c r="K2306" s="552"/>
    </row>
    <row r="2307" spans="1:11" s="89" customFormat="1" ht="14.5" thickTop="1" x14ac:dyDescent="0.3">
      <c r="A2307" s="562"/>
      <c r="B2307" s="562"/>
      <c r="C2307" s="562"/>
      <c r="D2307" s="562"/>
      <c r="E2307" s="562"/>
      <c r="F2307" s="562"/>
      <c r="G2307" s="562"/>
      <c r="H2307" s="562"/>
      <c r="I2307" s="562"/>
      <c r="J2307" s="562"/>
      <c r="K2307" s="546"/>
    </row>
    <row r="2308" spans="1:11" x14ac:dyDescent="0.3">
      <c r="A2308" s="553"/>
      <c r="B2308" s="554" t="s">
        <v>4</v>
      </c>
      <c r="C2308" s="553" t="s">
        <v>5</v>
      </c>
      <c r="D2308" s="553" t="s">
        <v>6</v>
      </c>
      <c r="E2308" s="691" t="s">
        <v>427</v>
      </c>
      <c r="F2308" s="691"/>
      <c r="G2308" s="555" t="s">
        <v>7</v>
      </c>
      <c r="H2308" s="554" t="s">
        <v>8</v>
      </c>
      <c r="I2308" s="554" t="s">
        <v>9</v>
      </c>
      <c r="J2308" s="554" t="s">
        <v>11</v>
      </c>
      <c r="K2308" s="552"/>
    </row>
    <row r="2309" spans="1:11" s="89" customFormat="1" ht="38.25" customHeight="1" x14ac:dyDescent="0.3">
      <c r="A2309" s="607" t="s">
        <v>428</v>
      </c>
      <c r="B2309" s="608" t="s">
        <v>3653</v>
      </c>
      <c r="C2309" s="607" t="s">
        <v>19</v>
      </c>
      <c r="D2309" s="607" t="s">
        <v>3654</v>
      </c>
      <c r="E2309" s="690" t="s">
        <v>461</v>
      </c>
      <c r="F2309" s="690"/>
      <c r="G2309" s="609" t="s">
        <v>423</v>
      </c>
      <c r="H2309" s="610">
        <v>1</v>
      </c>
      <c r="I2309" s="611">
        <v>40.020000000000003</v>
      </c>
      <c r="J2309" s="611">
        <v>40.020000000000003</v>
      </c>
      <c r="K2309" s="546"/>
    </row>
    <row r="2310" spans="1:11" ht="25" x14ac:dyDescent="0.3">
      <c r="A2310" s="547" t="s">
        <v>433</v>
      </c>
      <c r="B2310" s="548" t="s">
        <v>3661</v>
      </c>
      <c r="C2310" s="547" t="s">
        <v>19</v>
      </c>
      <c r="D2310" s="547" t="s">
        <v>3662</v>
      </c>
      <c r="E2310" s="688" t="s">
        <v>438</v>
      </c>
      <c r="F2310" s="688"/>
      <c r="G2310" s="549" t="s">
        <v>81</v>
      </c>
      <c r="H2310" s="550">
        <v>8.4900000000000004E-5</v>
      </c>
      <c r="I2310" s="551">
        <v>61258.13</v>
      </c>
      <c r="J2310" s="551">
        <v>5.2</v>
      </c>
      <c r="K2310" s="552"/>
    </row>
    <row r="2311" spans="1:11" s="89" customFormat="1" ht="38.25" customHeight="1" thickBot="1" x14ac:dyDescent="0.35">
      <c r="A2311" s="547" t="s">
        <v>433</v>
      </c>
      <c r="B2311" s="548" t="s">
        <v>3663</v>
      </c>
      <c r="C2311" s="547" t="s">
        <v>19</v>
      </c>
      <c r="D2311" s="547" t="s">
        <v>3664</v>
      </c>
      <c r="E2311" s="688" t="s">
        <v>442</v>
      </c>
      <c r="F2311" s="688"/>
      <c r="G2311" s="549" t="s">
        <v>81</v>
      </c>
      <c r="H2311" s="550">
        <v>6.4300000000000004E-5</v>
      </c>
      <c r="I2311" s="551">
        <v>541609.63</v>
      </c>
      <c r="J2311" s="551">
        <v>34.82</v>
      </c>
      <c r="K2311" s="546"/>
    </row>
    <row r="2312" spans="1:11" ht="14.25" customHeight="1" thickTop="1" x14ac:dyDescent="0.3">
      <c r="A2312" s="562"/>
      <c r="B2312" s="562"/>
      <c r="C2312" s="562"/>
      <c r="D2312" s="562"/>
      <c r="E2312" s="562"/>
      <c r="F2312" s="562"/>
      <c r="G2312" s="562"/>
      <c r="H2312" s="562"/>
      <c r="I2312" s="562"/>
      <c r="J2312" s="562"/>
      <c r="K2312" s="552"/>
    </row>
    <row r="2313" spans="1:11" s="89" customFormat="1" ht="38.25" customHeight="1" x14ac:dyDescent="0.3">
      <c r="A2313" s="553"/>
      <c r="B2313" s="554" t="s">
        <v>4</v>
      </c>
      <c r="C2313" s="553" t="s">
        <v>5</v>
      </c>
      <c r="D2313" s="553" t="s">
        <v>6</v>
      </c>
      <c r="E2313" s="691" t="s">
        <v>427</v>
      </c>
      <c r="F2313" s="691"/>
      <c r="G2313" s="555" t="s">
        <v>7</v>
      </c>
      <c r="H2313" s="554" t="s">
        <v>8</v>
      </c>
      <c r="I2313" s="554" t="s">
        <v>9</v>
      </c>
      <c r="J2313" s="554" t="s">
        <v>11</v>
      </c>
      <c r="K2313" s="546"/>
    </row>
    <row r="2314" spans="1:11" ht="38.25" customHeight="1" x14ac:dyDescent="0.3">
      <c r="A2314" s="607" t="s">
        <v>428</v>
      </c>
      <c r="B2314" s="608" t="s">
        <v>3651</v>
      </c>
      <c r="C2314" s="607" t="s">
        <v>19</v>
      </c>
      <c r="D2314" s="607" t="s">
        <v>3652</v>
      </c>
      <c r="E2314" s="690" t="s">
        <v>461</v>
      </c>
      <c r="F2314" s="690"/>
      <c r="G2314" s="609" t="s">
        <v>423</v>
      </c>
      <c r="H2314" s="610">
        <v>1</v>
      </c>
      <c r="I2314" s="611">
        <v>91.53</v>
      </c>
      <c r="J2314" s="611">
        <v>91.53</v>
      </c>
      <c r="K2314" s="552"/>
    </row>
    <row r="2315" spans="1:11" s="89" customFormat="1" ht="14.5" thickBot="1" x14ac:dyDescent="0.35">
      <c r="A2315" s="547" t="s">
        <v>433</v>
      </c>
      <c r="B2315" s="548" t="s">
        <v>3859</v>
      </c>
      <c r="C2315" s="547" t="s">
        <v>115</v>
      </c>
      <c r="D2315" s="547" t="s">
        <v>3860</v>
      </c>
      <c r="E2315" s="688" t="s">
        <v>438</v>
      </c>
      <c r="F2315" s="688"/>
      <c r="G2315" s="549" t="s">
        <v>835</v>
      </c>
      <c r="H2315" s="550">
        <v>16.93</v>
      </c>
      <c r="I2315" s="551">
        <v>5.4069000000000003</v>
      </c>
      <c r="J2315" s="551">
        <v>91.53</v>
      </c>
      <c r="K2315" s="546"/>
    </row>
    <row r="2316" spans="1:11" ht="38.25" customHeight="1" thickTop="1" x14ac:dyDescent="0.3">
      <c r="A2316" s="562"/>
      <c r="B2316" s="562"/>
      <c r="C2316" s="562"/>
      <c r="D2316" s="562"/>
      <c r="E2316" s="562"/>
      <c r="F2316" s="562"/>
      <c r="G2316" s="562"/>
      <c r="H2316" s="562"/>
      <c r="I2316" s="562"/>
      <c r="J2316" s="562"/>
      <c r="K2316" s="552"/>
    </row>
    <row r="2317" spans="1:11" s="89" customFormat="1" x14ac:dyDescent="0.3">
      <c r="A2317" s="553"/>
      <c r="B2317" s="554" t="s">
        <v>4</v>
      </c>
      <c r="C2317" s="553" t="s">
        <v>5</v>
      </c>
      <c r="D2317" s="553" t="s">
        <v>6</v>
      </c>
      <c r="E2317" s="691" t="s">
        <v>427</v>
      </c>
      <c r="F2317" s="691"/>
      <c r="G2317" s="555" t="s">
        <v>7</v>
      </c>
      <c r="H2317" s="554" t="s">
        <v>8</v>
      </c>
      <c r="I2317" s="554" t="s">
        <v>9</v>
      </c>
      <c r="J2317" s="554" t="s">
        <v>11</v>
      </c>
      <c r="K2317" s="546"/>
    </row>
    <row r="2318" spans="1:11" s="89" customFormat="1" ht="38.25" customHeight="1" x14ac:dyDescent="0.3">
      <c r="A2318" s="607" t="s">
        <v>428</v>
      </c>
      <c r="B2318" s="608" t="s">
        <v>1363</v>
      </c>
      <c r="C2318" s="607" t="s">
        <v>19</v>
      </c>
      <c r="D2318" s="607" t="s">
        <v>3665</v>
      </c>
      <c r="E2318" s="690" t="s">
        <v>461</v>
      </c>
      <c r="F2318" s="690"/>
      <c r="G2318" s="609" t="s">
        <v>423</v>
      </c>
      <c r="H2318" s="610">
        <v>1</v>
      </c>
      <c r="I2318" s="611">
        <v>173.88</v>
      </c>
      <c r="J2318" s="611">
        <v>173.88</v>
      </c>
      <c r="K2318" s="546"/>
    </row>
    <row r="2319" spans="1:11" s="89" customFormat="1" ht="14.5" thickBot="1" x14ac:dyDescent="0.35">
      <c r="A2319" s="547" t="s">
        <v>433</v>
      </c>
      <c r="B2319" s="548" t="s">
        <v>3859</v>
      </c>
      <c r="C2319" s="547" t="s">
        <v>115</v>
      </c>
      <c r="D2319" s="547" t="s">
        <v>3860</v>
      </c>
      <c r="E2319" s="688" t="s">
        <v>438</v>
      </c>
      <c r="F2319" s="688"/>
      <c r="G2319" s="549" t="s">
        <v>835</v>
      </c>
      <c r="H2319" s="550">
        <v>32.159999999999997</v>
      </c>
      <c r="I2319" s="551">
        <v>5.4069000000000003</v>
      </c>
      <c r="J2319" s="551">
        <v>173.88</v>
      </c>
      <c r="K2319" s="546"/>
    </row>
    <row r="2320" spans="1:11" ht="14.5" thickTop="1" x14ac:dyDescent="0.3">
      <c r="A2320" s="562"/>
      <c r="B2320" s="562"/>
      <c r="C2320" s="562"/>
      <c r="D2320" s="562"/>
      <c r="E2320" s="562"/>
      <c r="F2320" s="562"/>
      <c r="G2320" s="562"/>
      <c r="H2320" s="562"/>
      <c r="I2320" s="562"/>
      <c r="J2320" s="562"/>
      <c r="K2320" s="552"/>
    </row>
    <row r="2321" spans="1:11" s="89" customFormat="1" ht="38.25" customHeight="1" x14ac:dyDescent="0.3">
      <c r="A2321" s="553"/>
      <c r="B2321" s="554" t="s">
        <v>4</v>
      </c>
      <c r="C2321" s="553" t="s">
        <v>5</v>
      </c>
      <c r="D2321" s="553" t="s">
        <v>6</v>
      </c>
      <c r="E2321" s="691" t="s">
        <v>427</v>
      </c>
      <c r="F2321" s="691"/>
      <c r="G2321" s="555" t="s">
        <v>7</v>
      </c>
      <c r="H2321" s="554" t="s">
        <v>8</v>
      </c>
      <c r="I2321" s="554" t="s">
        <v>9</v>
      </c>
      <c r="J2321" s="554" t="s">
        <v>11</v>
      </c>
      <c r="K2321" s="546"/>
    </row>
    <row r="2322" spans="1:11" ht="62.5" x14ac:dyDescent="0.3">
      <c r="A2322" s="607" t="s">
        <v>428</v>
      </c>
      <c r="B2322" s="608" t="s">
        <v>1364</v>
      </c>
      <c r="C2322" s="607" t="s">
        <v>19</v>
      </c>
      <c r="D2322" s="607" t="s">
        <v>3666</v>
      </c>
      <c r="E2322" s="690" t="s">
        <v>461</v>
      </c>
      <c r="F2322" s="690"/>
      <c r="G2322" s="609" t="s">
        <v>423</v>
      </c>
      <c r="H2322" s="610">
        <v>1</v>
      </c>
      <c r="I2322" s="611">
        <v>44.82</v>
      </c>
      <c r="J2322" s="611">
        <v>44.82</v>
      </c>
      <c r="K2322" s="552"/>
    </row>
    <row r="2323" spans="1:11" s="89" customFormat="1" ht="37.5" x14ac:dyDescent="0.3">
      <c r="A2323" s="547" t="s">
        <v>433</v>
      </c>
      <c r="B2323" s="548" t="s">
        <v>1365</v>
      </c>
      <c r="C2323" s="547" t="s">
        <v>19</v>
      </c>
      <c r="D2323" s="547" t="s">
        <v>1366</v>
      </c>
      <c r="E2323" s="688" t="s">
        <v>788</v>
      </c>
      <c r="F2323" s="688"/>
      <c r="G2323" s="549" t="s">
        <v>81</v>
      </c>
      <c r="H2323" s="550">
        <v>7.2000000000000002E-5</v>
      </c>
      <c r="I2323" s="551">
        <v>295000</v>
      </c>
      <c r="J2323" s="551">
        <v>21.24</v>
      </c>
      <c r="K2323" s="546"/>
    </row>
    <row r="2324" spans="1:11" s="89" customFormat="1" ht="38" thickBot="1" x14ac:dyDescent="0.35">
      <c r="A2324" s="547" t="s">
        <v>433</v>
      </c>
      <c r="B2324" s="548" t="s">
        <v>1367</v>
      </c>
      <c r="C2324" s="547" t="s">
        <v>19</v>
      </c>
      <c r="D2324" s="547" t="s">
        <v>1368</v>
      </c>
      <c r="E2324" s="688" t="s">
        <v>788</v>
      </c>
      <c r="F2324" s="688"/>
      <c r="G2324" s="549" t="s">
        <v>81</v>
      </c>
      <c r="H2324" s="550">
        <v>3.43E-5</v>
      </c>
      <c r="I2324" s="551">
        <v>687530.9</v>
      </c>
      <c r="J2324" s="551">
        <v>23.58</v>
      </c>
      <c r="K2324" s="546"/>
    </row>
    <row r="2325" spans="1:11" s="89" customFormat="1" ht="14.5" thickTop="1" x14ac:dyDescent="0.3">
      <c r="A2325" s="562"/>
      <c r="B2325" s="562"/>
      <c r="C2325" s="562"/>
      <c r="D2325" s="562"/>
      <c r="E2325" s="562"/>
      <c r="F2325" s="562"/>
      <c r="G2325" s="562"/>
      <c r="H2325" s="562"/>
      <c r="I2325" s="562"/>
      <c r="J2325" s="562"/>
      <c r="K2325" s="546"/>
    </row>
    <row r="2326" spans="1:11" x14ac:dyDescent="0.3">
      <c r="A2326" s="553"/>
      <c r="B2326" s="554" t="s">
        <v>4</v>
      </c>
      <c r="C2326" s="553" t="s">
        <v>5</v>
      </c>
      <c r="D2326" s="553" t="s">
        <v>6</v>
      </c>
      <c r="E2326" s="691" t="s">
        <v>427</v>
      </c>
      <c r="F2326" s="691"/>
      <c r="G2326" s="555" t="s">
        <v>7</v>
      </c>
      <c r="H2326" s="554" t="s">
        <v>8</v>
      </c>
      <c r="I2326" s="554" t="s">
        <v>9</v>
      </c>
      <c r="J2326" s="554" t="s">
        <v>11</v>
      </c>
      <c r="K2326" s="552"/>
    </row>
    <row r="2327" spans="1:11" s="89" customFormat="1" ht="62.5" x14ac:dyDescent="0.3">
      <c r="A2327" s="607" t="s">
        <v>428</v>
      </c>
      <c r="B2327" s="608" t="s">
        <v>1369</v>
      </c>
      <c r="C2327" s="607" t="s">
        <v>19</v>
      </c>
      <c r="D2327" s="607" t="s">
        <v>3667</v>
      </c>
      <c r="E2327" s="690" t="s">
        <v>461</v>
      </c>
      <c r="F2327" s="690"/>
      <c r="G2327" s="609" t="s">
        <v>423</v>
      </c>
      <c r="H2327" s="610">
        <v>1</v>
      </c>
      <c r="I2327" s="611">
        <v>5.68</v>
      </c>
      <c r="J2327" s="611">
        <v>5.68</v>
      </c>
      <c r="K2327" s="546"/>
    </row>
    <row r="2328" spans="1:11" s="89" customFormat="1" ht="37.5" x14ac:dyDescent="0.3">
      <c r="A2328" s="547" t="s">
        <v>433</v>
      </c>
      <c r="B2328" s="548" t="s">
        <v>1365</v>
      </c>
      <c r="C2328" s="547" t="s">
        <v>19</v>
      </c>
      <c r="D2328" s="547" t="s">
        <v>1366</v>
      </c>
      <c r="E2328" s="688" t="s">
        <v>788</v>
      </c>
      <c r="F2328" s="688"/>
      <c r="G2328" s="549" t="s">
        <v>81</v>
      </c>
      <c r="H2328" s="550">
        <v>6.0000000000000002E-6</v>
      </c>
      <c r="I2328" s="551">
        <v>295000</v>
      </c>
      <c r="J2328" s="551">
        <v>1.77</v>
      </c>
      <c r="K2328" s="546"/>
    </row>
    <row r="2329" spans="1:11" s="89" customFormat="1" ht="38" thickBot="1" x14ac:dyDescent="0.35">
      <c r="A2329" s="547" t="s">
        <v>433</v>
      </c>
      <c r="B2329" s="548" t="s">
        <v>1367</v>
      </c>
      <c r="C2329" s="547" t="s">
        <v>19</v>
      </c>
      <c r="D2329" s="547" t="s">
        <v>1368</v>
      </c>
      <c r="E2329" s="688" t="s">
        <v>788</v>
      </c>
      <c r="F2329" s="688"/>
      <c r="G2329" s="549" t="s">
        <v>81</v>
      </c>
      <c r="H2329" s="550">
        <v>5.6999999999999996E-6</v>
      </c>
      <c r="I2329" s="551">
        <v>687530.9</v>
      </c>
      <c r="J2329" s="551">
        <v>3.91</v>
      </c>
      <c r="K2329" s="546"/>
    </row>
    <row r="2330" spans="1:11" s="89" customFormat="1" ht="14.5" thickTop="1" x14ac:dyDescent="0.3">
      <c r="A2330" s="562"/>
      <c r="B2330" s="562"/>
      <c r="C2330" s="562"/>
      <c r="D2330" s="562"/>
      <c r="E2330" s="562"/>
      <c r="F2330" s="562"/>
      <c r="G2330" s="562"/>
      <c r="H2330" s="562"/>
      <c r="I2330" s="562"/>
      <c r="J2330" s="562"/>
      <c r="K2330" s="546"/>
    </row>
    <row r="2331" spans="1:11" s="89" customFormat="1" x14ac:dyDescent="0.3">
      <c r="A2331" s="553"/>
      <c r="B2331" s="554" t="s">
        <v>4</v>
      </c>
      <c r="C2331" s="553" t="s">
        <v>5</v>
      </c>
      <c r="D2331" s="553" t="s">
        <v>6</v>
      </c>
      <c r="E2331" s="691" t="s">
        <v>427</v>
      </c>
      <c r="F2331" s="691"/>
      <c r="G2331" s="555" t="s">
        <v>7</v>
      </c>
      <c r="H2331" s="554" t="s">
        <v>8</v>
      </c>
      <c r="I2331" s="554" t="s">
        <v>9</v>
      </c>
      <c r="J2331" s="554" t="s">
        <v>11</v>
      </c>
      <c r="K2331" s="546"/>
    </row>
    <row r="2332" spans="1:11" ht="62.5" x14ac:dyDescent="0.3">
      <c r="A2332" s="607" t="s">
        <v>428</v>
      </c>
      <c r="B2332" s="608" t="s">
        <v>1370</v>
      </c>
      <c r="C2332" s="607" t="s">
        <v>19</v>
      </c>
      <c r="D2332" s="607" t="s">
        <v>3668</v>
      </c>
      <c r="E2332" s="690" t="s">
        <v>461</v>
      </c>
      <c r="F2332" s="690"/>
      <c r="G2332" s="609" t="s">
        <v>423</v>
      </c>
      <c r="H2332" s="610">
        <v>1</v>
      </c>
      <c r="I2332" s="611">
        <v>14.05</v>
      </c>
      <c r="J2332" s="611">
        <v>14.05</v>
      </c>
      <c r="K2332" s="552"/>
    </row>
    <row r="2333" spans="1:11" s="89" customFormat="1" ht="37.5" x14ac:dyDescent="0.3">
      <c r="A2333" s="547" t="s">
        <v>433</v>
      </c>
      <c r="B2333" s="548" t="s">
        <v>1365</v>
      </c>
      <c r="C2333" s="547" t="s">
        <v>19</v>
      </c>
      <c r="D2333" s="547" t="s">
        <v>1366</v>
      </c>
      <c r="E2333" s="688" t="s">
        <v>788</v>
      </c>
      <c r="F2333" s="688"/>
      <c r="G2333" s="549" t="s">
        <v>81</v>
      </c>
      <c r="H2333" s="550">
        <v>1.4800000000000001E-5</v>
      </c>
      <c r="I2333" s="551">
        <v>295000</v>
      </c>
      <c r="J2333" s="551">
        <v>4.3600000000000003</v>
      </c>
      <c r="K2333" s="546"/>
    </row>
    <row r="2334" spans="1:11" ht="38" thickBot="1" x14ac:dyDescent="0.35">
      <c r="A2334" s="547" t="s">
        <v>433</v>
      </c>
      <c r="B2334" s="548" t="s">
        <v>1367</v>
      </c>
      <c r="C2334" s="547" t="s">
        <v>19</v>
      </c>
      <c r="D2334" s="547" t="s">
        <v>1368</v>
      </c>
      <c r="E2334" s="688" t="s">
        <v>788</v>
      </c>
      <c r="F2334" s="688"/>
      <c r="G2334" s="549" t="s">
        <v>81</v>
      </c>
      <c r="H2334" s="550">
        <v>1.4100000000000001E-5</v>
      </c>
      <c r="I2334" s="551">
        <v>687530.9</v>
      </c>
      <c r="J2334" s="551">
        <v>9.69</v>
      </c>
      <c r="K2334" s="552"/>
    </row>
    <row r="2335" spans="1:11" s="89" customFormat="1" ht="14.5" thickTop="1" x14ac:dyDescent="0.3">
      <c r="A2335" s="562"/>
      <c r="B2335" s="562"/>
      <c r="C2335" s="562"/>
      <c r="D2335" s="562"/>
      <c r="E2335" s="562"/>
      <c r="F2335" s="562"/>
      <c r="G2335" s="562"/>
      <c r="H2335" s="562"/>
      <c r="I2335" s="562"/>
      <c r="J2335" s="562"/>
      <c r="K2335" s="546"/>
    </row>
    <row r="2336" spans="1:11" s="89" customFormat="1" x14ac:dyDescent="0.3">
      <c r="A2336" s="553"/>
      <c r="B2336" s="554" t="s">
        <v>4</v>
      </c>
      <c r="C2336" s="553" t="s">
        <v>5</v>
      </c>
      <c r="D2336" s="553" t="s">
        <v>6</v>
      </c>
      <c r="E2336" s="691" t="s">
        <v>427</v>
      </c>
      <c r="F2336" s="691"/>
      <c r="G2336" s="555" t="s">
        <v>7</v>
      </c>
      <c r="H2336" s="554" t="s">
        <v>8</v>
      </c>
      <c r="I2336" s="554" t="s">
        <v>9</v>
      </c>
      <c r="J2336" s="554" t="s">
        <v>11</v>
      </c>
      <c r="K2336" s="546"/>
    </row>
    <row r="2337" spans="1:11" s="89" customFormat="1" ht="62.5" x14ac:dyDescent="0.3">
      <c r="A2337" s="607" t="s">
        <v>428</v>
      </c>
      <c r="B2337" s="608" t="s">
        <v>1371</v>
      </c>
      <c r="C2337" s="607" t="s">
        <v>19</v>
      </c>
      <c r="D2337" s="607" t="s">
        <v>3669</v>
      </c>
      <c r="E2337" s="690" t="s">
        <v>461</v>
      </c>
      <c r="F2337" s="690"/>
      <c r="G2337" s="609" t="s">
        <v>423</v>
      </c>
      <c r="H2337" s="610">
        <v>1</v>
      </c>
      <c r="I2337" s="611">
        <v>70.75</v>
      </c>
      <c r="J2337" s="611">
        <v>70.75</v>
      </c>
      <c r="K2337" s="546"/>
    </row>
    <row r="2338" spans="1:11" s="89" customFormat="1" ht="37.5" x14ac:dyDescent="0.3">
      <c r="A2338" s="547" t="s">
        <v>433</v>
      </c>
      <c r="B2338" s="548" t="s">
        <v>1365</v>
      </c>
      <c r="C2338" s="547" t="s">
        <v>19</v>
      </c>
      <c r="D2338" s="547" t="s">
        <v>1366</v>
      </c>
      <c r="E2338" s="688" t="s">
        <v>788</v>
      </c>
      <c r="F2338" s="688"/>
      <c r="G2338" s="549" t="s">
        <v>81</v>
      </c>
      <c r="H2338" s="550">
        <v>9.0000000000000006E-5</v>
      </c>
      <c r="I2338" s="551">
        <v>295000</v>
      </c>
      <c r="J2338" s="551">
        <v>26.55</v>
      </c>
      <c r="K2338" s="546"/>
    </row>
    <row r="2339" spans="1:11" s="89" customFormat="1" ht="38" thickBot="1" x14ac:dyDescent="0.35">
      <c r="A2339" s="547" t="s">
        <v>433</v>
      </c>
      <c r="B2339" s="548" t="s">
        <v>1367</v>
      </c>
      <c r="C2339" s="547" t="s">
        <v>19</v>
      </c>
      <c r="D2339" s="547" t="s">
        <v>1368</v>
      </c>
      <c r="E2339" s="688" t="s">
        <v>788</v>
      </c>
      <c r="F2339" s="688"/>
      <c r="G2339" s="549" t="s">
        <v>81</v>
      </c>
      <c r="H2339" s="550">
        <v>6.4300000000000004E-5</v>
      </c>
      <c r="I2339" s="551">
        <v>687530.9</v>
      </c>
      <c r="J2339" s="551">
        <v>44.2</v>
      </c>
      <c r="K2339" s="546"/>
    </row>
    <row r="2340" spans="1:11" s="89" customFormat="1" ht="14.5" thickTop="1" x14ac:dyDescent="0.3">
      <c r="A2340" s="562"/>
      <c r="B2340" s="562"/>
      <c r="C2340" s="562"/>
      <c r="D2340" s="562"/>
      <c r="E2340" s="562"/>
      <c r="F2340" s="562"/>
      <c r="G2340" s="562"/>
      <c r="H2340" s="562"/>
      <c r="I2340" s="562"/>
      <c r="J2340" s="562"/>
      <c r="K2340" s="546"/>
    </row>
    <row r="2341" spans="1:11" s="89" customFormat="1" x14ac:dyDescent="0.3">
      <c r="A2341" s="553"/>
      <c r="B2341" s="554" t="s">
        <v>4</v>
      </c>
      <c r="C2341" s="553" t="s">
        <v>5</v>
      </c>
      <c r="D2341" s="553" t="s">
        <v>6</v>
      </c>
      <c r="E2341" s="691" t="s">
        <v>427</v>
      </c>
      <c r="F2341" s="691"/>
      <c r="G2341" s="555" t="s">
        <v>7</v>
      </c>
      <c r="H2341" s="554" t="s">
        <v>8</v>
      </c>
      <c r="I2341" s="554" t="s">
        <v>9</v>
      </c>
      <c r="J2341" s="554" t="s">
        <v>11</v>
      </c>
      <c r="K2341" s="546"/>
    </row>
    <row r="2342" spans="1:11" s="89" customFormat="1" ht="62.5" x14ac:dyDescent="0.3">
      <c r="A2342" s="607" t="s">
        <v>428</v>
      </c>
      <c r="B2342" s="608" t="s">
        <v>1077</v>
      </c>
      <c r="C2342" s="607" t="s">
        <v>19</v>
      </c>
      <c r="D2342" s="607" t="s">
        <v>3561</v>
      </c>
      <c r="E2342" s="690" t="s">
        <v>461</v>
      </c>
      <c r="F2342" s="690"/>
      <c r="G2342" s="609" t="s">
        <v>95</v>
      </c>
      <c r="H2342" s="610">
        <v>1</v>
      </c>
      <c r="I2342" s="611">
        <v>338.68</v>
      </c>
      <c r="J2342" s="611">
        <v>338.68</v>
      </c>
      <c r="K2342" s="546"/>
    </row>
    <row r="2343" spans="1:11" s="89" customFormat="1" ht="15" customHeight="1" x14ac:dyDescent="0.3">
      <c r="A2343" s="547" t="s">
        <v>430</v>
      </c>
      <c r="B2343" s="548" t="s">
        <v>537</v>
      </c>
      <c r="C2343" s="547" t="s">
        <v>19</v>
      </c>
      <c r="D2343" s="547" t="s">
        <v>538</v>
      </c>
      <c r="E2343" s="688" t="s">
        <v>429</v>
      </c>
      <c r="F2343" s="688"/>
      <c r="G2343" s="549" t="s">
        <v>423</v>
      </c>
      <c r="H2343" s="550">
        <v>1</v>
      </c>
      <c r="I2343" s="551">
        <v>29.5</v>
      </c>
      <c r="J2343" s="551">
        <v>29.5</v>
      </c>
      <c r="K2343" s="546"/>
    </row>
    <row r="2344" spans="1:11" ht="62.5" x14ac:dyDescent="0.3">
      <c r="A2344" s="547" t="s">
        <v>430</v>
      </c>
      <c r="B2344" s="548" t="s">
        <v>1364</v>
      </c>
      <c r="C2344" s="547" t="s">
        <v>19</v>
      </c>
      <c r="D2344" s="547" t="s">
        <v>3666</v>
      </c>
      <c r="E2344" s="688" t="s">
        <v>461</v>
      </c>
      <c r="F2344" s="688"/>
      <c r="G2344" s="549" t="s">
        <v>423</v>
      </c>
      <c r="H2344" s="550">
        <v>1</v>
      </c>
      <c r="I2344" s="551">
        <v>44.82</v>
      </c>
      <c r="J2344" s="551">
        <v>44.82</v>
      </c>
      <c r="K2344" s="552"/>
    </row>
    <row r="2345" spans="1:11" s="89" customFormat="1" ht="62.5" x14ac:dyDescent="0.3">
      <c r="A2345" s="547" t="s">
        <v>430</v>
      </c>
      <c r="B2345" s="548" t="s">
        <v>1370</v>
      </c>
      <c r="C2345" s="547" t="s">
        <v>19</v>
      </c>
      <c r="D2345" s="547" t="s">
        <v>3668</v>
      </c>
      <c r="E2345" s="688" t="s">
        <v>461</v>
      </c>
      <c r="F2345" s="688"/>
      <c r="G2345" s="549" t="s">
        <v>423</v>
      </c>
      <c r="H2345" s="550">
        <v>1</v>
      </c>
      <c r="I2345" s="551">
        <v>14.05</v>
      </c>
      <c r="J2345" s="551">
        <v>14.05</v>
      </c>
      <c r="K2345" s="546"/>
    </row>
    <row r="2346" spans="1:11" s="89" customFormat="1" ht="62.5" x14ac:dyDescent="0.3">
      <c r="A2346" s="547" t="s">
        <v>430</v>
      </c>
      <c r="B2346" s="548" t="s">
        <v>1369</v>
      </c>
      <c r="C2346" s="547" t="s">
        <v>19</v>
      </c>
      <c r="D2346" s="547" t="s">
        <v>3667</v>
      </c>
      <c r="E2346" s="688" t="s">
        <v>461</v>
      </c>
      <c r="F2346" s="688"/>
      <c r="G2346" s="549" t="s">
        <v>423</v>
      </c>
      <c r="H2346" s="550">
        <v>1</v>
      </c>
      <c r="I2346" s="551">
        <v>5.68</v>
      </c>
      <c r="J2346" s="551">
        <v>5.68</v>
      </c>
      <c r="K2346" s="546"/>
    </row>
    <row r="2347" spans="1:11" s="89" customFormat="1" ht="62.5" x14ac:dyDescent="0.3">
      <c r="A2347" s="547" t="s">
        <v>430</v>
      </c>
      <c r="B2347" s="548" t="s">
        <v>1371</v>
      </c>
      <c r="C2347" s="547" t="s">
        <v>19</v>
      </c>
      <c r="D2347" s="547" t="s">
        <v>3669</v>
      </c>
      <c r="E2347" s="688" t="s">
        <v>461</v>
      </c>
      <c r="F2347" s="688"/>
      <c r="G2347" s="549" t="s">
        <v>423</v>
      </c>
      <c r="H2347" s="550">
        <v>1</v>
      </c>
      <c r="I2347" s="551">
        <v>70.75</v>
      </c>
      <c r="J2347" s="551">
        <v>70.75</v>
      </c>
      <c r="K2347" s="546"/>
    </row>
    <row r="2348" spans="1:11" s="89" customFormat="1" ht="63" thickBot="1" x14ac:dyDescent="0.35">
      <c r="A2348" s="547" t="s">
        <v>430</v>
      </c>
      <c r="B2348" s="548" t="s">
        <v>1363</v>
      </c>
      <c r="C2348" s="547" t="s">
        <v>19</v>
      </c>
      <c r="D2348" s="547" t="s">
        <v>3665</v>
      </c>
      <c r="E2348" s="688" t="s">
        <v>461</v>
      </c>
      <c r="F2348" s="688"/>
      <c r="G2348" s="549" t="s">
        <v>423</v>
      </c>
      <c r="H2348" s="550">
        <v>1</v>
      </c>
      <c r="I2348" s="551">
        <v>173.88</v>
      </c>
      <c r="J2348" s="551">
        <v>173.88</v>
      </c>
      <c r="K2348" s="546"/>
    </row>
    <row r="2349" spans="1:11" s="89" customFormat="1" ht="14.5" thickTop="1" x14ac:dyDescent="0.3">
      <c r="A2349" s="562"/>
      <c r="B2349" s="562"/>
      <c r="C2349" s="562"/>
      <c r="D2349" s="562"/>
      <c r="E2349" s="562"/>
      <c r="F2349" s="562"/>
      <c r="G2349" s="562"/>
      <c r="H2349" s="562"/>
      <c r="I2349" s="562"/>
      <c r="J2349" s="562"/>
      <c r="K2349" s="546"/>
    </row>
    <row r="2350" spans="1:11" x14ac:dyDescent="0.3">
      <c r="A2350" s="553"/>
      <c r="B2350" s="554" t="s">
        <v>4</v>
      </c>
      <c r="C2350" s="553" t="s">
        <v>5</v>
      </c>
      <c r="D2350" s="553" t="s">
        <v>6</v>
      </c>
      <c r="E2350" s="691" t="s">
        <v>427</v>
      </c>
      <c r="F2350" s="691"/>
      <c r="G2350" s="555" t="s">
        <v>7</v>
      </c>
      <c r="H2350" s="554" t="s">
        <v>8</v>
      </c>
      <c r="I2350" s="554" t="s">
        <v>9</v>
      </c>
      <c r="J2350" s="554" t="s">
        <v>11</v>
      </c>
      <c r="K2350" s="552"/>
    </row>
    <row r="2351" spans="1:11" s="89" customFormat="1" ht="50" x14ac:dyDescent="0.3">
      <c r="A2351" s="607" t="s">
        <v>428</v>
      </c>
      <c r="B2351" s="608" t="s">
        <v>955</v>
      </c>
      <c r="C2351" s="607" t="s">
        <v>19</v>
      </c>
      <c r="D2351" s="607" t="s">
        <v>956</v>
      </c>
      <c r="E2351" s="690" t="s">
        <v>461</v>
      </c>
      <c r="F2351" s="690"/>
      <c r="G2351" s="609" t="s">
        <v>102</v>
      </c>
      <c r="H2351" s="610">
        <v>1</v>
      </c>
      <c r="I2351" s="611">
        <v>74.400000000000006</v>
      </c>
      <c r="J2351" s="611">
        <v>74.400000000000006</v>
      </c>
      <c r="K2351" s="546"/>
    </row>
    <row r="2352" spans="1:11" s="89" customFormat="1" ht="15" customHeight="1" x14ac:dyDescent="0.3">
      <c r="A2352" s="547" t="s">
        <v>430</v>
      </c>
      <c r="B2352" s="548" t="s">
        <v>537</v>
      </c>
      <c r="C2352" s="547" t="s">
        <v>19</v>
      </c>
      <c r="D2352" s="547" t="s">
        <v>538</v>
      </c>
      <c r="E2352" s="688" t="s">
        <v>429</v>
      </c>
      <c r="F2352" s="688"/>
      <c r="G2352" s="549" t="s">
        <v>423</v>
      </c>
      <c r="H2352" s="550">
        <v>1</v>
      </c>
      <c r="I2352" s="551">
        <v>29.5</v>
      </c>
      <c r="J2352" s="551">
        <v>29.5</v>
      </c>
      <c r="K2352" s="546"/>
    </row>
    <row r="2353" spans="1:11" s="89" customFormat="1" ht="50" x14ac:dyDescent="0.3">
      <c r="A2353" s="547" t="s">
        <v>430</v>
      </c>
      <c r="B2353" s="548" t="s">
        <v>1372</v>
      </c>
      <c r="C2353" s="547" t="s">
        <v>19</v>
      </c>
      <c r="D2353" s="547" t="s">
        <v>1373</v>
      </c>
      <c r="E2353" s="688" t="s">
        <v>461</v>
      </c>
      <c r="F2353" s="688"/>
      <c r="G2353" s="549" t="s">
        <v>423</v>
      </c>
      <c r="H2353" s="550">
        <v>1</v>
      </c>
      <c r="I2353" s="551">
        <v>29.11</v>
      </c>
      <c r="J2353" s="551">
        <v>29.11</v>
      </c>
      <c r="K2353" s="546"/>
    </row>
    <row r="2354" spans="1:11" ht="50" x14ac:dyDescent="0.3">
      <c r="A2354" s="547" t="s">
        <v>430</v>
      </c>
      <c r="B2354" s="548" t="s">
        <v>1374</v>
      </c>
      <c r="C2354" s="547" t="s">
        <v>19</v>
      </c>
      <c r="D2354" s="547" t="s">
        <v>1375</v>
      </c>
      <c r="E2354" s="688" t="s">
        <v>461</v>
      </c>
      <c r="F2354" s="688"/>
      <c r="G2354" s="549" t="s">
        <v>423</v>
      </c>
      <c r="H2354" s="550">
        <v>1</v>
      </c>
      <c r="I2354" s="551">
        <v>11.25</v>
      </c>
      <c r="J2354" s="551">
        <v>11.25</v>
      </c>
      <c r="K2354" s="552"/>
    </row>
    <row r="2355" spans="1:11" s="89" customFormat="1" ht="15" customHeight="1" thickBot="1" x14ac:dyDescent="0.35">
      <c r="A2355" s="547" t="s">
        <v>430</v>
      </c>
      <c r="B2355" s="548" t="s">
        <v>1376</v>
      </c>
      <c r="C2355" s="547" t="s">
        <v>19</v>
      </c>
      <c r="D2355" s="547" t="s">
        <v>1377</v>
      </c>
      <c r="E2355" s="688" t="s">
        <v>461</v>
      </c>
      <c r="F2355" s="688"/>
      <c r="G2355" s="549" t="s">
        <v>423</v>
      </c>
      <c r="H2355" s="550">
        <v>1</v>
      </c>
      <c r="I2355" s="551">
        <v>4.54</v>
      </c>
      <c r="J2355" s="551">
        <v>4.54</v>
      </c>
      <c r="K2355" s="546"/>
    </row>
    <row r="2356" spans="1:11" s="89" customFormat="1" ht="14.5" thickTop="1" x14ac:dyDescent="0.3">
      <c r="A2356" s="562"/>
      <c r="B2356" s="562"/>
      <c r="C2356" s="562"/>
      <c r="D2356" s="562"/>
      <c r="E2356" s="562"/>
      <c r="F2356" s="562"/>
      <c r="G2356" s="562"/>
      <c r="H2356" s="562"/>
      <c r="I2356" s="562"/>
      <c r="J2356" s="562"/>
      <c r="K2356" s="546"/>
    </row>
    <row r="2357" spans="1:11" s="89" customFormat="1" x14ac:dyDescent="0.3">
      <c r="A2357" s="553"/>
      <c r="B2357" s="554" t="s">
        <v>4</v>
      </c>
      <c r="C2357" s="553" t="s">
        <v>5</v>
      </c>
      <c r="D2357" s="553" t="s">
        <v>6</v>
      </c>
      <c r="E2357" s="691" t="s">
        <v>427</v>
      </c>
      <c r="F2357" s="691"/>
      <c r="G2357" s="555" t="s">
        <v>7</v>
      </c>
      <c r="H2357" s="554" t="s">
        <v>8</v>
      </c>
      <c r="I2357" s="554" t="s">
        <v>9</v>
      </c>
      <c r="J2357" s="554" t="s">
        <v>11</v>
      </c>
      <c r="K2357" s="546"/>
    </row>
    <row r="2358" spans="1:11" s="89" customFormat="1" ht="50" x14ac:dyDescent="0.3">
      <c r="A2358" s="607" t="s">
        <v>428</v>
      </c>
      <c r="B2358" s="608" t="s">
        <v>953</v>
      </c>
      <c r="C2358" s="607" t="s">
        <v>19</v>
      </c>
      <c r="D2358" s="607" t="s">
        <v>954</v>
      </c>
      <c r="E2358" s="690" t="s">
        <v>461</v>
      </c>
      <c r="F2358" s="690"/>
      <c r="G2358" s="609" t="s">
        <v>95</v>
      </c>
      <c r="H2358" s="610">
        <v>1</v>
      </c>
      <c r="I2358" s="611">
        <v>299.89999999999998</v>
      </c>
      <c r="J2358" s="611">
        <v>299.89999999999998</v>
      </c>
      <c r="K2358" s="546"/>
    </row>
    <row r="2359" spans="1:11" s="89" customFormat="1" ht="50" x14ac:dyDescent="0.3">
      <c r="A2359" s="547" t="s">
        <v>430</v>
      </c>
      <c r="B2359" s="548" t="s">
        <v>1378</v>
      </c>
      <c r="C2359" s="547" t="s">
        <v>19</v>
      </c>
      <c r="D2359" s="547" t="s">
        <v>1379</v>
      </c>
      <c r="E2359" s="688" t="s">
        <v>461</v>
      </c>
      <c r="F2359" s="688"/>
      <c r="G2359" s="549" t="s">
        <v>423</v>
      </c>
      <c r="H2359" s="550">
        <v>1</v>
      </c>
      <c r="I2359" s="551">
        <v>173.88</v>
      </c>
      <c r="J2359" s="551">
        <v>173.88</v>
      </c>
      <c r="K2359" s="546"/>
    </row>
    <row r="2360" spans="1:11" ht="50" x14ac:dyDescent="0.3">
      <c r="A2360" s="547" t="s">
        <v>430</v>
      </c>
      <c r="B2360" s="548" t="s">
        <v>1380</v>
      </c>
      <c r="C2360" s="547" t="s">
        <v>19</v>
      </c>
      <c r="D2360" s="547" t="s">
        <v>1381</v>
      </c>
      <c r="E2360" s="688" t="s">
        <v>461</v>
      </c>
      <c r="F2360" s="688"/>
      <c r="G2360" s="549" t="s">
        <v>423</v>
      </c>
      <c r="H2360" s="550">
        <v>1</v>
      </c>
      <c r="I2360" s="551">
        <v>51.62</v>
      </c>
      <c r="J2360" s="551">
        <v>51.62</v>
      </c>
      <c r="K2360" s="552"/>
    </row>
    <row r="2361" spans="1:11" s="89" customFormat="1" ht="15" customHeight="1" x14ac:dyDescent="0.3">
      <c r="A2361" s="547" t="s">
        <v>430</v>
      </c>
      <c r="B2361" s="548" t="s">
        <v>537</v>
      </c>
      <c r="C2361" s="547" t="s">
        <v>19</v>
      </c>
      <c r="D2361" s="547" t="s">
        <v>538</v>
      </c>
      <c r="E2361" s="688" t="s">
        <v>429</v>
      </c>
      <c r="F2361" s="688"/>
      <c r="G2361" s="549" t="s">
        <v>423</v>
      </c>
      <c r="H2361" s="550">
        <v>1</v>
      </c>
      <c r="I2361" s="551">
        <v>29.5</v>
      </c>
      <c r="J2361" s="551">
        <v>29.5</v>
      </c>
      <c r="K2361" s="546"/>
    </row>
    <row r="2362" spans="1:11" ht="50" x14ac:dyDescent="0.3">
      <c r="A2362" s="547" t="s">
        <v>430</v>
      </c>
      <c r="B2362" s="548" t="s">
        <v>1372</v>
      </c>
      <c r="C2362" s="547" t="s">
        <v>19</v>
      </c>
      <c r="D2362" s="547" t="s">
        <v>1373</v>
      </c>
      <c r="E2362" s="688" t="s">
        <v>461</v>
      </c>
      <c r="F2362" s="688"/>
      <c r="G2362" s="549" t="s">
        <v>423</v>
      </c>
      <c r="H2362" s="550">
        <v>1</v>
      </c>
      <c r="I2362" s="551">
        <v>29.11</v>
      </c>
      <c r="J2362" s="551">
        <v>29.11</v>
      </c>
      <c r="K2362" s="552"/>
    </row>
    <row r="2363" spans="1:11" s="89" customFormat="1" ht="50" x14ac:dyDescent="0.3">
      <c r="A2363" s="547" t="s">
        <v>430</v>
      </c>
      <c r="B2363" s="548" t="s">
        <v>1374</v>
      </c>
      <c r="C2363" s="547" t="s">
        <v>19</v>
      </c>
      <c r="D2363" s="547" t="s">
        <v>1375</v>
      </c>
      <c r="E2363" s="688" t="s">
        <v>461</v>
      </c>
      <c r="F2363" s="688"/>
      <c r="G2363" s="549" t="s">
        <v>423</v>
      </c>
      <c r="H2363" s="550">
        <v>1</v>
      </c>
      <c r="I2363" s="551">
        <v>11.25</v>
      </c>
      <c r="J2363" s="551">
        <v>11.25</v>
      </c>
      <c r="K2363" s="546"/>
    </row>
    <row r="2364" spans="1:11" ht="14.25" customHeight="1" thickBot="1" x14ac:dyDescent="0.35">
      <c r="A2364" s="547" t="s">
        <v>430</v>
      </c>
      <c r="B2364" s="548" t="s">
        <v>1376</v>
      </c>
      <c r="C2364" s="547" t="s">
        <v>19</v>
      </c>
      <c r="D2364" s="547" t="s">
        <v>1377</v>
      </c>
      <c r="E2364" s="688" t="s">
        <v>461</v>
      </c>
      <c r="F2364" s="688"/>
      <c r="G2364" s="549" t="s">
        <v>423</v>
      </c>
      <c r="H2364" s="550">
        <v>1</v>
      </c>
      <c r="I2364" s="551">
        <v>4.54</v>
      </c>
      <c r="J2364" s="551">
        <v>4.54</v>
      </c>
      <c r="K2364" s="552"/>
    </row>
    <row r="2365" spans="1:11" s="89" customFormat="1" ht="14.5" thickTop="1" x14ac:dyDescent="0.3">
      <c r="A2365" s="562"/>
      <c r="B2365" s="562"/>
      <c r="C2365" s="562"/>
      <c r="D2365" s="562"/>
      <c r="E2365" s="562"/>
      <c r="F2365" s="562"/>
      <c r="G2365" s="562"/>
      <c r="H2365" s="562"/>
      <c r="I2365" s="562"/>
      <c r="J2365" s="562"/>
      <c r="K2365" s="546"/>
    </row>
    <row r="2366" spans="1:11" s="89" customFormat="1" x14ac:dyDescent="0.3">
      <c r="A2366" s="553"/>
      <c r="B2366" s="554" t="s">
        <v>4</v>
      </c>
      <c r="C2366" s="553" t="s">
        <v>5</v>
      </c>
      <c r="D2366" s="553" t="s">
        <v>6</v>
      </c>
      <c r="E2366" s="691" t="s">
        <v>427</v>
      </c>
      <c r="F2366" s="691"/>
      <c r="G2366" s="555" t="s">
        <v>7</v>
      </c>
      <c r="H2366" s="554" t="s">
        <v>8</v>
      </c>
      <c r="I2366" s="554" t="s">
        <v>9</v>
      </c>
      <c r="J2366" s="554" t="s">
        <v>11</v>
      </c>
      <c r="K2366" s="546"/>
    </row>
    <row r="2367" spans="1:11" s="89" customFormat="1" ht="15" customHeight="1" x14ac:dyDescent="0.3">
      <c r="A2367" s="607" t="s">
        <v>428</v>
      </c>
      <c r="B2367" s="608" t="s">
        <v>1372</v>
      </c>
      <c r="C2367" s="607" t="s">
        <v>19</v>
      </c>
      <c r="D2367" s="607" t="s">
        <v>1373</v>
      </c>
      <c r="E2367" s="690" t="s">
        <v>461</v>
      </c>
      <c r="F2367" s="690"/>
      <c r="G2367" s="609" t="s">
        <v>423</v>
      </c>
      <c r="H2367" s="610">
        <v>1</v>
      </c>
      <c r="I2367" s="611">
        <v>29.11</v>
      </c>
      <c r="J2367" s="611">
        <v>29.11</v>
      </c>
      <c r="K2367" s="546"/>
    </row>
    <row r="2368" spans="1:11" ht="50" x14ac:dyDescent="0.3">
      <c r="A2368" s="547" t="s">
        <v>433</v>
      </c>
      <c r="B2368" s="548" t="s">
        <v>1382</v>
      </c>
      <c r="C2368" s="547" t="s">
        <v>19</v>
      </c>
      <c r="D2368" s="547" t="s">
        <v>1383</v>
      </c>
      <c r="E2368" s="688" t="s">
        <v>438</v>
      </c>
      <c r="F2368" s="688"/>
      <c r="G2368" s="549" t="s">
        <v>81</v>
      </c>
      <c r="H2368" s="550">
        <v>5.5099999999999998E-5</v>
      </c>
      <c r="I2368" s="551">
        <v>85950</v>
      </c>
      <c r="J2368" s="551">
        <v>4.7300000000000004</v>
      </c>
      <c r="K2368" s="552"/>
    </row>
    <row r="2369" spans="1:11" s="89" customFormat="1" ht="38" thickBot="1" x14ac:dyDescent="0.35">
      <c r="A2369" s="547" t="s">
        <v>433</v>
      </c>
      <c r="B2369" s="548" t="s">
        <v>1347</v>
      </c>
      <c r="C2369" s="547" t="s">
        <v>19</v>
      </c>
      <c r="D2369" s="547" t="s">
        <v>1348</v>
      </c>
      <c r="E2369" s="688" t="s">
        <v>442</v>
      </c>
      <c r="F2369" s="688"/>
      <c r="G2369" s="549" t="s">
        <v>81</v>
      </c>
      <c r="H2369" s="550">
        <v>3.43E-5</v>
      </c>
      <c r="I2369" s="551">
        <v>710806.66</v>
      </c>
      <c r="J2369" s="551">
        <v>24.38</v>
      </c>
      <c r="K2369" s="546"/>
    </row>
    <row r="2370" spans="1:11" ht="14.5" thickTop="1" x14ac:dyDescent="0.3">
      <c r="A2370" s="562"/>
      <c r="B2370" s="562"/>
      <c r="C2370" s="562"/>
      <c r="D2370" s="562"/>
      <c r="E2370" s="562"/>
      <c r="F2370" s="562"/>
      <c r="G2370" s="562"/>
      <c r="H2370" s="562"/>
      <c r="I2370" s="562"/>
      <c r="J2370" s="562"/>
      <c r="K2370" s="552"/>
    </row>
    <row r="2371" spans="1:11" s="89" customFormat="1" x14ac:dyDescent="0.3">
      <c r="A2371" s="553"/>
      <c r="B2371" s="554" t="s">
        <v>4</v>
      </c>
      <c r="C2371" s="553" t="s">
        <v>5</v>
      </c>
      <c r="D2371" s="553" t="s">
        <v>6</v>
      </c>
      <c r="E2371" s="691" t="s">
        <v>427</v>
      </c>
      <c r="F2371" s="691"/>
      <c r="G2371" s="555" t="s">
        <v>7</v>
      </c>
      <c r="H2371" s="554" t="s">
        <v>8</v>
      </c>
      <c r="I2371" s="554" t="s">
        <v>9</v>
      </c>
      <c r="J2371" s="554" t="s">
        <v>11</v>
      </c>
      <c r="K2371" s="546"/>
    </row>
    <row r="2372" spans="1:11" ht="50" x14ac:dyDescent="0.3">
      <c r="A2372" s="607" t="s">
        <v>428</v>
      </c>
      <c r="B2372" s="608" t="s">
        <v>1376</v>
      </c>
      <c r="C2372" s="607" t="s">
        <v>19</v>
      </c>
      <c r="D2372" s="607" t="s">
        <v>1377</v>
      </c>
      <c r="E2372" s="690" t="s">
        <v>461</v>
      </c>
      <c r="F2372" s="690"/>
      <c r="G2372" s="609" t="s">
        <v>423</v>
      </c>
      <c r="H2372" s="610">
        <v>1</v>
      </c>
      <c r="I2372" s="611">
        <v>4.54</v>
      </c>
      <c r="J2372" s="611">
        <v>4.54</v>
      </c>
      <c r="K2372" s="552"/>
    </row>
    <row r="2373" spans="1:11" s="89" customFormat="1" ht="15" customHeight="1" x14ac:dyDescent="0.3">
      <c r="A2373" s="547" t="s">
        <v>433</v>
      </c>
      <c r="B2373" s="548" t="s">
        <v>1382</v>
      </c>
      <c r="C2373" s="547" t="s">
        <v>19</v>
      </c>
      <c r="D2373" s="547" t="s">
        <v>1383</v>
      </c>
      <c r="E2373" s="688" t="s">
        <v>438</v>
      </c>
      <c r="F2373" s="688"/>
      <c r="G2373" s="549" t="s">
        <v>81</v>
      </c>
      <c r="H2373" s="550">
        <v>5.8000000000000004E-6</v>
      </c>
      <c r="I2373" s="551">
        <v>85950</v>
      </c>
      <c r="J2373" s="551">
        <v>0.49</v>
      </c>
      <c r="K2373" s="546"/>
    </row>
    <row r="2374" spans="1:11" s="89" customFormat="1" ht="38" thickBot="1" x14ac:dyDescent="0.35">
      <c r="A2374" s="547" t="s">
        <v>433</v>
      </c>
      <c r="B2374" s="548" t="s">
        <v>1347</v>
      </c>
      <c r="C2374" s="547" t="s">
        <v>19</v>
      </c>
      <c r="D2374" s="547" t="s">
        <v>1348</v>
      </c>
      <c r="E2374" s="688" t="s">
        <v>442</v>
      </c>
      <c r="F2374" s="688"/>
      <c r="G2374" s="549" t="s">
        <v>81</v>
      </c>
      <c r="H2374" s="550">
        <v>5.6999999999999996E-6</v>
      </c>
      <c r="I2374" s="551">
        <v>710806.66</v>
      </c>
      <c r="J2374" s="551">
        <v>4.05</v>
      </c>
      <c r="K2374" s="546"/>
    </row>
    <row r="2375" spans="1:11" s="89" customFormat="1" ht="14.5" thickTop="1" x14ac:dyDescent="0.3">
      <c r="A2375" s="562"/>
      <c r="B2375" s="562"/>
      <c r="C2375" s="562"/>
      <c r="D2375" s="562"/>
      <c r="E2375" s="562"/>
      <c r="F2375" s="562"/>
      <c r="G2375" s="562"/>
      <c r="H2375" s="562"/>
      <c r="I2375" s="562"/>
      <c r="J2375" s="562"/>
      <c r="K2375" s="546"/>
    </row>
    <row r="2376" spans="1:11" ht="14.25" customHeight="1" x14ac:dyDescent="0.3">
      <c r="A2376" s="553"/>
      <c r="B2376" s="554" t="s">
        <v>4</v>
      </c>
      <c r="C2376" s="553" t="s">
        <v>5</v>
      </c>
      <c r="D2376" s="553" t="s">
        <v>6</v>
      </c>
      <c r="E2376" s="691" t="s">
        <v>427</v>
      </c>
      <c r="F2376" s="691"/>
      <c r="G2376" s="555" t="s">
        <v>7</v>
      </c>
      <c r="H2376" s="554" t="s">
        <v>8</v>
      </c>
      <c r="I2376" s="554" t="s">
        <v>9</v>
      </c>
      <c r="J2376" s="554" t="s">
        <v>11</v>
      </c>
      <c r="K2376" s="552"/>
    </row>
    <row r="2377" spans="1:11" s="89" customFormat="1" ht="50" x14ac:dyDescent="0.3">
      <c r="A2377" s="607" t="s">
        <v>428</v>
      </c>
      <c r="B2377" s="608" t="s">
        <v>1374</v>
      </c>
      <c r="C2377" s="607" t="s">
        <v>19</v>
      </c>
      <c r="D2377" s="607" t="s">
        <v>1375</v>
      </c>
      <c r="E2377" s="690" t="s">
        <v>461</v>
      </c>
      <c r="F2377" s="690"/>
      <c r="G2377" s="609" t="s">
        <v>423</v>
      </c>
      <c r="H2377" s="610">
        <v>1</v>
      </c>
      <c r="I2377" s="611">
        <v>11.25</v>
      </c>
      <c r="J2377" s="611">
        <v>11.25</v>
      </c>
      <c r="K2377" s="546"/>
    </row>
    <row r="2378" spans="1:11" ht="50" x14ac:dyDescent="0.3">
      <c r="A2378" s="547" t="s">
        <v>433</v>
      </c>
      <c r="B2378" s="548" t="s">
        <v>1382</v>
      </c>
      <c r="C2378" s="547" t="s">
        <v>19</v>
      </c>
      <c r="D2378" s="547" t="s">
        <v>1383</v>
      </c>
      <c r="E2378" s="688" t="s">
        <v>438</v>
      </c>
      <c r="F2378" s="688"/>
      <c r="G2378" s="549" t="s">
        <v>81</v>
      </c>
      <c r="H2378" s="550">
        <v>1.4399999999999999E-5</v>
      </c>
      <c r="I2378" s="551">
        <v>85950</v>
      </c>
      <c r="J2378" s="551">
        <v>1.23</v>
      </c>
      <c r="K2378" s="552"/>
    </row>
    <row r="2379" spans="1:11" s="89" customFormat="1" ht="38" thickBot="1" x14ac:dyDescent="0.35">
      <c r="A2379" s="547" t="s">
        <v>433</v>
      </c>
      <c r="B2379" s="548" t="s">
        <v>1347</v>
      </c>
      <c r="C2379" s="547" t="s">
        <v>19</v>
      </c>
      <c r="D2379" s="547" t="s">
        <v>1348</v>
      </c>
      <c r="E2379" s="688" t="s">
        <v>442</v>
      </c>
      <c r="F2379" s="688"/>
      <c r="G2379" s="549" t="s">
        <v>81</v>
      </c>
      <c r="H2379" s="550">
        <v>1.4100000000000001E-5</v>
      </c>
      <c r="I2379" s="551">
        <v>710806.66</v>
      </c>
      <c r="J2379" s="551">
        <v>10.02</v>
      </c>
      <c r="K2379" s="546"/>
    </row>
    <row r="2380" spans="1:11" ht="14.5" thickTop="1" x14ac:dyDescent="0.3">
      <c r="A2380" s="562"/>
      <c r="B2380" s="562"/>
      <c r="C2380" s="562"/>
      <c r="D2380" s="562"/>
      <c r="E2380" s="562"/>
      <c r="F2380" s="562"/>
      <c r="G2380" s="562"/>
      <c r="H2380" s="562"/>
      <c r="I2380" s="562"/>
      <c r="J2380" s="562"/>
      <c r="K2380" s="552"/>
    </row>
    <row r="2381" spans="1:11" s="89" customFormat="1" x14ac:dyDescent="0.3">
      <c r="A2381" s="553"/>
      <c r="B2381" s="554" t="s">
        <v>4</v>
      </c>
      <c r="C2381" s="553" t="s">
        <v>5</v>
      </c>
      <c r="D2381" s="553" t="s">
        <v>6</v>
      </c>
      <c r="E2381" s="691" t="s">
        <v>427</v>
      </c>
      <c r="F2381" s="691"/>
      <c r="G2381" s="555" t="s">
        <v>7</v>
      </c>
      <c r="H2381" s="554" t="s">
        <v>8</v>
      </c>
      <c r="I2381" s="554" t="s">
        <v>9</v>
      </c>
      <c r="J2381" s="554" t="s">
        <v>11</v>
      </c>
      <c r="K2381" s="546"/>
    </row>
    <row r="2382" spans="1:11" s="89" customFormat="1" ht="50" x14ac:dyDescent="0.3">
      <c r="A2382" s="607" t="s">
        <v>428</v>
      </c>
      <c r="B2382" s="608" t="s">
        <v>1380</v>
      </c>
      <c r="C2382" s="607" t="s">
        <v>19</v>
      </c>
      <c r="D2382" s="607" t="s">
        <v>1381</v>
      </c>
      <c r="E2382" s="690" t="s">
        <v>461</v>
      </c>
      <c r="F2382" s="690"/>
      <c r="G2382" s="609" t="s">
        <v>423</v>
      </c>
      <c r="H2382" s="610">
        <v>1</v>
      </c>
      <c r="I2382" s="611">
        <v>51.62</v>
      </c>
      <c r="J2382" s="611">
        <v>51.62</v>
      </c>
      <c r="K2382" s="546"/>
    </row>
    <row r="2383" spans="1:11" s="89" customFormat="1" ht="50" x14ac:dyDescent="0.3">
      <c r="A2383" s="547" t="s">
        <v>433</v>
      </c>
      <c r="B2383" s="548" t="s">
        <v>1382</v>
      </c>
      <c r="C2383" s="547" t="s">
        <v>19</v>
      </c>
      <c r="D2383" s="547" t="s">
        <v>1383</v>
      </c>
      <c r="E2383" s="688" t="s">
        <v>438</v>
      </c>
      <c r="F2383" s="688"/>
      <c r="G2383" s="549" t="s">
        <v>81</v>
      </c>
      <c r="H2383" s="550">
        <v>6.8899999999999994E-5</v>
      </c>
      <c r="I2383" s="551">
        <v>85950</v>
      </c>
      <c r="J2383" s="551">
        <v>5.92</v>
      </c>
      <c r="K2383" s="546"/>
    </row>
    <row r="2384" spans="1:11" ht="38" thickBot="1" x14ac:dyDescent="0.35">
      <c r="A2384" s="547" t="s">
        <v>433</v>
      </c>
      <c r="B2384" s="548" t="s">
        <v>1347</v>
      </c>
      <c r="C2384" s="547" t="s">
        <v>19</v>
      </c>
      <c r="D2384" s="547" t="s">
        <v>1348</v>
      </c>
      <c r="E2384" s="688" t="s">
        <v>442</v>
      </c>
      <c r="F2384" s="688"/>
      <c r="G2384" s="549" t="s">
        <v>81</v>
      </c>
      <c r="H2384" s="550">
        <v>6.4300000000000004E-5</v>
      </c>
      <c r="I2384" s="551">
        <v>710806.66</v>
      </c>
      <c r="J2384" s="551">
        <v>45.7</v>
      </c>
      <c r="K2384" s="552"/>
    </row>
    <row r="2385" spans="1:11" s="89" customFormat="1" ht="15" customHeight="1" thickTop="1" x14ac:dyDescent="0.3">
      <c r="A2385" s="562"/>
      <c r="B2385" s="562"/>
      <c r="C2385" s="562"/>
      <c r="D2385" s="562"/>
      <c r="E2385" s="562"/>
      <c r="F2385" s="562"/>
      <c r="G2385" s="562"/>
      <c r="H2385" s="562"/>
      <c r="I2385" s="562"/>
      <c r="J2385" s="562"/>
      <c r="K2385" s="546"/>
    </row>
    <row r="2386" spans="1:11" x14ac:dyDescent="0.3">
      <c r="A2386" s="553"/>
      <c r="B2386" s="554" t="s">
        <v>4</v>
      </c>
      <c r="C2386" s="553" t="s">
        <v>5</v>
      </c>
      <c r="D2386" s="553" t="s">
        <v>6</v>
      </c>
      <c r="E2386" s="691" t="s">
        <v>427</v>
      </c>
      <c r="F2386" s="691"/>
      <c r="G2386" s="555" t="s">
        <v>7</v>
      </c>
      <c r="H2386" s="554" t="s">
        <v>8</v>
      </c>
      <c r="I2386" s="554" t="s">
        <v>9</v>
      </c>
      <c r="J2386" s="554" t="s">
        <v>11</v>
      </c>
      <c r="K2386" s="552"/>
    </row>
    <row r="2387" spans="1:11" s="89" customFormat="1" ht="50" x14ac:dyDescent="0.3">
      <c r="A2387" s="607" t="s">
        <v>428</v>
      </c>
      <c r="B2387" s="608" t="s">
        <v>1378</v>
      </c>
      <c r="C2387" s="607" t="s">
        <v>19</v>
      </c>
      <c r="D2387" s="607" t="s">
        <v>1379</v>
      </c>
      <c r="E2387" s="690" t="s">
        <v>461</v>
      </c>
      <c r="F2387" s="690"/>
      <c r="G2387" s="609" t="s">
        <v>423</v>
      </c>
      <c r="H2387" s="610">
        <v>1</v>
      </c>
      <c r="I2387" s="611">
        <v>173.88</v>
      </c>
      <c r="J2387" s="611">
        <v>173.88</v>
      </c>
      <c r="K2387" s="546"/>
    </row>
    <row r="2388" spans="1:11" ht="14.5" thickBot="1" x14ac:dyDescent="0.35">
      <c r="A2388" s="547" t="s">
        <v>433</v>
      </c>
      <c r="B2388" s="548" t="s">
        <v>3859</v>
      </c>
      <c r="C2388" s="547" t="s">
        <v>115</v>
      </c>
      <c r="D2388" s="547" t="s">
        <v>3860</v>
      </c>
      <c r="E2388" s="688" t="s">
        <v>438</v>
      </c>
      <c r="F2388" s="688"/>
      <c r="G2388" s="549" t="s">
        <v>835</v>
      </c>
      <c r="H2388" s="550">
        <v>32.159999999999997</v>
      </c>
      <c r="I2388" s="551">
        <v>5.4069000000000003</v>
      </c>
      <c r="J2388" s="551">
        <v>173.88</v>
      </c>
      <c r="K2388" s="552"/>
    </row>
    <row r="2389" spans="1:11" s="89" customFormat="1" ht="14.5" thickTop="1" x14ac:dyDescent="0.3">
      <c r="A2389" s="562"/>
      <c r="B2389" s="562"/>
      <c r="C2389" s="562"/>
      <c r="D2389" s="562"/>
      <c r="E2389" s="562"/>
      <c r="F2389" s="562"/>
      <c r="G2389" s="562"/>
      <c r="H2389" s="562"/>
      <c r="I2389" s="562"/>
      <c r="J2389" s="562"/>
      <c r="K2389" s="546"/>
    </row>
    <row r="2390" spans="1:11" x14ac:dyDescent="0.3">
      <c r="A2390" s="553"/>
      <c r="B2390" s="554" t="s">
        <v>4</v>
      </c>
      <c r="C2390" s="553" t="s">
        <v>5</v>
      </c>
      <c r="D2390" s="553" t="s">
        <v>6</v>
      </c>
      <c r="E2390" s="691" t="s">
        <v>427</v>
      </c>
      <c r="F2390" s="691"/>
      <c r="G2390" s="555" t="s">
        <v>7</v>
      </c>
      <c r="H2390" s="554" t="s">
        <v>8</v>
      </c>
      <c r="I2390" s="554" t="s">
        <v>9</v>
      </c>
      <c r="J2390" s="554" t="s">
        <v>11</v>
      </c>
      <c r="K2390" s="552"/>
    </row>
    <row r="2391" spans="1:11" s="89" customFormat="1" ht="50" x14ac:dyDescent="0.3">
      <c r="A2391" s="607" t="s">
        <v>428</v>
      </c>
      <c r="B2391" s="608" t="s">
        <v>539</v>
      </c>
      <c r="C2391" s="607" t="s">
        <v>19</v>
      </c>
      <c r="D2391" s="607" t="s">
        <v>540</v>
      </c>
      <c r="E2391" s="690" t="s">
        <v>461</v>
      </c>
      <c r="F2391" s="690"/>
      <c r="G2391" s="609" t="s">
        <v>423</v>
      </c>
      <c r="H2391" s="610">
        <v>1</v>
      </c>
      <c r="I2391" s="611">
        <v>20.99</v>
      </c>
      <c r="J2391" s="611">
        <v>20.99</v>
      </c>
      <c r="K2391" s="546"/>
    </row>
    <row r="2392" spans="1:11" ht="25" x14ac:dyDescent="0.3">
      <c r="A2392" s="547" t="s">
        <v>433</v>
      </c>
      <c r="B2392" s="548" t="s">
        <v>1384</v>
      </c>
      <c r="C2392" s="547" t="s">
        <v>19</v>
      </c>
      <c r="D2392" s="547" t="s">
        <v>1385</v>
      </c>
      <c r="E2392" s="688" t="s">
        <v>438</v>
      </c>
      <c r="F2392" s="688"/>
      <c r="G2392" s="549" t="s">
        <v>81</v>
      </c>
      <c r="H2392" s="550">
        <v>5.5099999999999998E-5</v>
      </c>
      <c r="I2392" s="551">
        <v>71720.820000000007</v>
      </c>
      <c r="J2392" s="551">
        <v>3.95</v>
      </c>
      <c r="K2392" s="552"/>
    </row>
    <row r="2393" spans="1:11" s="89" customFormat="1" ht="38" thickBot="1" x14ac:dyDescent="0.35">
      <c r="A2393" s="547" t="s">
        <v>433</v>
      </c>
      <c r="B2393" s="548" t="s">
        <v>1386</v>
      </c>
      <c r="C2393" s="547" t="s">
        <v>19</v>
      </c>
      <c r="D2393" s="547" t="s">
        <v>1387</v>
      </c>
      <c r="E2393" s="688" t="s">
        <v>788</v>
      </c>
      <c r="F2393" s="688"/>
      <c r="G2393" s="549" t="s">
        <v>81</v>
      </c>
      <c r="H2393" s="550">
        <v>3.43E-5</v>
      </c>
      <c r="I2393" s="551">
        <v>496848.5</v>
      </c>
      <c r="J2393" s="551">
        <v>17.04</v>
      </c>
      <c r="K2393" s="546"/>
    </row>
    <row r="2394" spans="1:11" ht="14.5" thickTop="1" x14ac:dyDescent="0.3">
      <c r="A2394" s="562"/>
      <c r="B2394" s="562"/>
      <c r="C2394" s="562"/>
      <c r="D2394" s="562"/>
      <c r="E2394" s="562"/>
      <c r="F2394" s="562"/>
      <c r="G2394" s="562"/>
      <c r="H2394" s="562"/>
      <c r="I2394" s="562"/>
      <c r="J2394" s="562"/>
      <c r="K2394" s="552"/>
    </row>
    <row r="2395" spans="1:11" s="89" customFormat="1" x14ac:dyDescent="0.3">
      <c r="A2395" s="553"/>
      <c r="B2395" s="554" t="s">
        <v>4</v>
      </c>
      <c r="C2395" s="553" t="s">
        <v>5</v>
      </c>
      <c r="D2395" s="553" t="s">
        <v>6</v>
      </c>
      <c r="E2395" s="691" t="s">
        <v>427</v>
      </c>
      <c r="F2395" s="691"/>
      <c r="G2395" s="555" t="s">
        <v>7</v>
      </c>
      <c r="H2395" s="554" t="s">
        <v>8</v>
      </c>
      <c r="I2395" s="554" t="s">
        <v>9</v>
      </c>
      <c r="J2395" s="554" t="s">
        <v>11</v>
      </c>
      <c r="K2395" s="546"/>
    </row>
    <row r="2396" spans="1:11" s="89" customFormat="1" ht="50" x14ac:dyDescent="0.3">
      <c r="A2396" s="607" t="s">
        <v>428</v>
      </c>
      <c r="B2396" s="608" t="s">
        <v>543</v>
      </c>
      <c r="C2396" s="607" t="s">
        <v>19</v>
      </c>
      <c r="D2396" s="607" t="s">
        <v>544</v>
      </c>
      <c r="E2396" s="690" t="s">
        <v>461</v>
      </c>
      <c r="F2396" s="690"/>
      <c r="G2396" s="609" t="s">
        <v>423</v>
      </c>
      <c r="H2396" s="610">
        <v>1</v>
      </c>
      <c r="I2396" s="611">
        <v>3.24</v>
      </c>
      <c r="J2396" s="611">
        <v>3.24</v>
      </c>
      <c r="K2396" s="546"/>
    </row>
    <row r="2397" spans="1:11" ht="25" x14ac:dyDescent="0.3">
      <c r="A2397" s="547" t="s">
        <v>433</v>
      </c>
      <c r="B2397" s="548" t="s">
        <v>1384</v>
      </c>
      <c r="C2397" s="547" t="s">
        <v>19</v>
      </c>
      <c r="D2397" s="547" t="s">
        <v>1385</v>
      </c>
      <c r="E2397" s="688" t="s">
        <v>438</v>
      </c>
      <c r="F2397" s="688"/>
      <c r="G2397" s="549" t="s">
        <v>81</v>
      </c>
      <c r="H2397" s="550">
        <v>5.8000000000000004E-6</v>
      </c>
      <c r="I2397" s="551">
        <v>71720.820000000007</v>
      </c>
      <c r="J2397" s="551">
        <v>0.41</v>
      </c>
      <c r="K2397" s="552"/>
    </row>
    <row r="2398" spans="1:11" ht="38" thickBot="1" x14ac:dyDescent="0.35">
      <c r="A2398" s="547" t="s">
        <v>433</v>
      </c>
      <c r="B2398" s="548" t="s">
        <v>1386</v>
      </c>
      <c r="C2398" s="547" t="s">
        <v>19</v>
      </c>
      <c r="D2398" s="547" t="s">
        <v>1387</v>
      </c>
      <c r="E2398" s="688" t="s">
        <v>788</v>
      </c>
      <c r="F2398" s="688"/>
      <c r="G2398" s="549" t="s">
        <v>81</v>
      </c>
      <c r="H2398" s="550">
        <v>5.6999999999999996E-6</v>
      </c>
      <c r="I2398" s="551">
        <v>496848.5</v>
      </c>
      <c r="J2398" s="551">
        <v>2.83</v>
      </c>
      <c r="K2398" s="552"/>
    </row>
    <row r="2399" spans="1:11" s="89" customFormat="1" ht="14.5" thickTop="1" x14ac:dyDescent="0.3">
      <c r="A2399" s="562"/>
      <c r="B2399" s="562"/>
      <c r="C2399" s="562"/>
      <c r="D2399" s="562"/>
      <c r="E2399" s="562"/>
      <c r="F2399" s="562"/>
      <c r="G2399" s="562"/>
      <c r="H2399" s="562"/>
      <c r="I2399" s="562"/>
      <c r="J2399" s="562"/>
      <c r="K2399" s="546"/>
    </row>
    <row r="2400" spans="1:11" x14ac:dyDescent="0.3">
      <c r="A2400" s="553"/>
      <c r="B2400" s="554" t="s">
        <v>4</v>
      </c>
      <c r="C2400" s="553" t="s">
        <v>5</v>
      </c>
      <c r="D2400" s="553" t="s">
        <v>6</v>
      </c>
      <c r="E2400" s="691" t="s">
        <v>427</v>
      </c>
      <c r="F2400" s="691"/>
      <c r="G2400" s="555" t="s">
        <v>7</v>
      </c>
      <c r="H2400" s="554" t="s">
        <v>8</v>
      </c>
      <c r="I2400" s="554" t="s">
        <v>9</v>
      </c>
      <c r="J2400" s="554" t="s">
        <v>11</v>
      </c>
      <c r="K2400" s="552"/>
    </row>
    <row r="2401" spans="1:11" s="89" customFormat="1" ht="38.25" customHeight="1" x14ac:dyDescent="0.3">
      <c r="A2401" s="607" t="s">
        <v>428</v>
      </c>
      <c r="B2401" s="608" t="s">
        <v>541</v>
      </c>
      <c r="C2401" s="607" t="s">
        <v>19</v>
      </c>
      <c r="D2401" s="607" t="s">
        <v>542</v>
      </c>
      <c r="E2401" s="690" t="s">
        <v>461</v>
      </c>
      <c r="F2401" s="690"/>
      <c r="G2401" s="609" t="s">
        <v>423</v>
      </c>
      <c r="H2401" s="610">
        <v>1</v>
      </c>
      <c r="I2401" s="611">
        <v>8.0299999999999994</v>
      </c>
      <c r="J2401" s="611">
        <v>8.0299999999999994</v>
      </c>
      <c r="K2401" s="546"/>
    </row>
    <row r="2402" spans="1:11" ht="25" x14ac:dyDescent="0.3">
      <c r="A2402" s="547" t="s">
        <v>433</v>
      </c>
      <c r="B2402" s="548" t="s">
        <v>1384</v>
      </c>
      <c r="C2402" s="547" t="s">
        <v>19</v>
      </c>
      <c r="D2402" s="547" t="s">
        <v>1385</v>
      </c>
      <c r="E2402" s="688" t="s">
        <v>438</v>
      </c>
      <c r="F2402" s="688"/>
      <c r="G2402" s="549" t="s">
        <v>81</v>
      </c>
      <c r="H2402" s="550">
        <v>1.4399999999999999E-5</v>
      </c>
      <c r="I2402" s="551">
        <v>71720.820000000007</v>
      </c>
      <c r="J2402" s="551">
        <v>1.03</v>
      </c>
      <c r="K2402" s="552"/>
    </row>
    <row r="2403" spans="1:11" ht="38" thickBot="1" x14ac:dyDescent="0.35">
      <c r="A2403" s="547" t="s">
        <v>433</v>
      </c>
      <c r="B2403" s="548" t="s">
        <v>1386</v>
      </c>
      <c r="C2403" s="547" t="s">
        <v>19</v>
      </c>
      <c r="D2403" s="547" t="s">
        <v>1387</v>
      </c>
      <c r="E2403" s="688" t="s">
        <v>788</v>
      </c>
      <c r="F2403" s="688"/>
      <c r="G2403" s="549" t="s">
        <v>81</v>
      </c>
      <c r="H2403" s="550">
        <v>1.4100000000000001E-5</v>
      </c>
      <c r="I2403" s="551">
        <v>496848.5</v>
      </c>
      <c r="J2403" s="551">
        <v>7</v>
      </c>
      <c r="K2403" s="552"/>
    </row>
    <row r="2404" spans="1:11" ht="14.5" thickTop="1" x14ac:dyDescent="0.3">
      <c r="A2404" s="562"/>
      <c r="B2404" s="562"/>
      <c r="C2404" s="562"/>
      <c r="D2404" s="562"/>
      <c r="E2404" s="562"/>
      <c r="F2404" s="562"/>
      <c r="G2404" s="562"/>
      <c r="H2404" s="562"/>
      <c r="I2404" s="562"/>
      <c r="J2404" s="562"/>
      <c r="K2404" s="552"/>
    </row>
    <row r="2405" spans="1:11" s="89" customFormat="1" x14ac:dyDescent="0.3">
      <c r="A2405" s="553"/>
      <c r="B2405" s="554" t="s">
        <v>4</v>
      </c>
      <c r="C2405" s="553" t="s">
        <v>5</v>
      </c>
      <c r="D2405" s="553" t="s">
        <v>6</v>
      </c>
      <c r="E2405" s="691" t="s">
        <v>427</v>
      </c>
      <c r="F2405" s="691"/>
      <c r="G2405" s="555" t="s">
        <v>7</v>
      </c>
      <c r="H2405" s="554" t="s">
        <v>8</v>
      </c>
      <c r="I2405" s="554" t="s">
        <v>9</v>
      </c>
      <c r="J2405" s="554" t="s">
        <v>11</v>
      </c>
      <c r="K2405" s="546"/>
    </row>
    <row r="2406" spans="1:11" s="89" customFormat="1" ht="50" x14ac:dyDescent="0.3">
      <c r="A2406" s="607" t="s">
        <v>428</v>
      </c>
      <c r="B2406" s="608" t="s">
        <v>533</v>
      </c>
      <c r="C2406" s="607" t="s">
        <v>19</v>
      </c>
      <c r="D2406" s="607" t="s">
        <v>534</v>
      </c>
      <c r="E2406" s="690" t="s">
        <v>461</v>
      </c>
      <c r="F2406" s="690"/>
      <c r="G2406" s="609" t="s">
        <v>423</v>
      </c>
      <c r="H2406" s="610">
        <v>1</v>
      </c>
      <c r="I2406" s="611">
        <v>36.880000000000003</v>
      </c>
      <c r="J2406" s="611">
        <v>36.880000000000003</v>
      </c>
      <c r="K2406" s="546"/>
    </row>
    <row r="2407" spans="1:11" ht="25" x14ac:dyDescent="0.3">
      <c r="A2407" s="547" t="s">
        <v>433</v>
      </c>
      <c r="B2407" s="548" t="s">
        <v>1384</v>
      </c>
      <c r="C2407" s="547" t="s">
        <v>19</v>
      </c>
      <c r="D2407" s="547" t="s">
        <v>1385</v>
      </c>
      <c r="E2407" s="688" t="s">
        <v>438</v>
      </c>
      <c r="F2407" s="688"/>
      <c r="G2407" s="549" t="s">
        <v>81</v>
      </c>
      <c r="H2407" s="550">
        <v>6.8899999999999994E-5</v>
      </c>
      <c r="I2407" s="551">
        <v>71720.820000000007</v>
      </c>
      <c r="J2407" s="551">
        <v>4.9400000000000004</v>
      </c>
      <c r="K2407" s="552"/>
    </row>
    <row r="2408" spans="1:11" ht="38" thickBot="1" x14ac:dyDescent="0.35">
      <c r="A2408" s="547" t="s">
        <v>433</v>
      </c>
      <c r="B2408" s="548" t="s">
        <v>1386</v>
      </c>
      <c r="C2408" s="547" t="s">
        <v>19</v>
      </c>
      <c r="D2408" s="547" t="s">
        <v>1387</v>
      </c>
      <c r="E2408" s="688" t="s">
        <v>788</v>
      </c>
      <c r="F2408" s="688"/>
      <c r="G2408" s="549" t="s">
        <v>81</v>
      </c>
      <c r="H2408" s="550">
        <v>6.4300000000000004E-5</v>
      </c>
      <c r="I2408" s="551">
        <v>496848.5</v>
      </c>
      <c r="J2408" s="551">
        <v>31.94</v>
      </c>
      <c r="K2408" s="552"/>
    </row>
    <row r="2409" spans="1:11" ht="14.5" thickTop="1" x14ac:dyDescent="0.3">
      <c r="A2409" s="562"/>
      <c r="B2409" s="562"/>
      <c r="C2409" s="562"/>
      <c r="D2409" s="562"/>
      <c r="E2409" s="562"/>
      <c r="F2409" s="562"/>
      <c r="G2409" s="562"/>
      <c r="H2409" s="562"/>
      <c r="I2409" s="562"/>
      <c r="J2409" s="562"/>
      <c r="K2409" s="552"/>
    </row>
    <row r="2410" spans="1:11" s="89" customFormat="1" x14ac:dyDescent="0.3">
      <c r="A2410" s="553"/>
      <c r="B2410" s="554" t="s">
        <v>4</v>
      </c>
      <c r="C2410" s="553" t="s">
        <v>5</v>
      </c>
      <c r="D2410" s="553" t="s">
        <v>6</v>
      </c>
      <c r="E2410" s="691" t="s">
        <v>427</v>
      </c>
      <c r="F2410" s="691"/>
      <c r="G2410" s="555" t="s">
        <v>7</v>
      </c>
      <c r="H2410" s="554" t="s">
        <v>8</v>
      </c>
      <c r="I2410" s="554" t="s">
        <v>9</v>
      </c>
      <c r="J2410" s="554" t="s">
        <v>11</v>
      </c>
      <c r="K2410" s="546"/>
    </row>
    <row r="2411" spans="1:11" s="89" customFormat="1" ht="50" x14ac:dyDescent="0.3">
      <c r="A2411" s="607" t="s">
        <v>428</v>
      </c>
      <c r="B2411" s="608" t="s">
        <v>535</v>
      </c>
      <c r="C2411" s="607" t="s">
        <v>19</v>
      </c>
      <c r="D2411" s="607" t="s">
        <v>536</v>
      </c>
      <c r="E2411" s="690" t="s">
        <v>461</v>
      </c>
      <c r="F2411" s="690"/>
      <c r="G2411" s="609" t="s">
        <v>423</v>
      </c>
      <c r="H2411" s="610">
        <v>1</v>
      </c>
      <c r="I2411" s="611">
        <v>142.9</v>
      </c>
      <c r="J2411" s="611">
        <v>142.9</v>
      </c>
      <c r="K2411" s="546"/>
    </row>
    <row r="2412" spans="1:11" ht="14.5" thickBot="1" x14ac:dyDescent="0.35">
      <c r="A2412" s="547" t="s">
        <v>433</v>
      </c>
      <c r="B2412" s="548" t="s">
        <v>3859</v>
      </c>
      <c r="C2412" s="547" t="s">
        <v>115</v>
      </c>
      <c r="D2412" s="547" t="s">
        <v>3860</v>
      </c>
      <c r="E2412" s="688" t="s">
        <v>438</v>
      </c>
      <c r="F2412" s="688"/>
      <c r="G2412" s="549" t="s">
        <v>835</v>
      </c>
      <c r="H2412" s="550">
        <v>26.43</v>
      </c>
      <c r="I2412" s="551">
        <v>5.4069000000000003</v>
      </c>
      <c r="J2412" s="551">
        <v>142.9</v>
      </c>
      <c r="K2412" s="552"/>
    </row>
    <row r="2413" spans="1:11" ht="38.25" customHeight="1" thickTop="1" x14ac:dyDescent="0.3">
      <c r="A2413" s="562"/>
      <c r="B2413" s="562"/>
      <c r="C2413" s="562"/>
      <c r="D2413" s="562"/>
      <c r="E2413" s="562"/>
      <c r="F2413" s="562"/>
      <c r="G2413" s="562"/>
      <c r="H2413" s="562"/>
      <c r="I2413" s="562"/>
      <c r="J2413" s="562"/>
      <c r="K2413" s="552"/>
    </row>
    <row r="2414" spans="1:11" s="89" customFormat="1" x14ac:dyDescent="0.3">
      <c r="A2414" s="553"/>
      <c r="B2414" s="554" t="s">
        <v>4</v>
      </c>
      <c r="C2414" s="553" t="s">
        <v>5</v>
      </c>
      <c r="D2414" s="553" t="s">
        <v>6</v>
      </c>
      <c r="E2414" s="691" t="s">
        <v>427</v>
      </c>
      <c r="F2414" s="691"/>
      <c r="G2414" s="555" t="s">
        <v>7</v>
      </c>
      <c r="H2414" s="554" t="s">
        <v>8</v>
      </c>
      <c r="I2414" s="554" t="s">
        <v>9</v>
      </c>
      <c r="J2414" s="554" t="s">
        <v>11</v>
      </c>
      <c r="K2414" s="546"/>
    </row>
    <row r="2415" spans="1:11" s="89" customFormat="1" ht="25" x14ac:dyDescent="0.3">
      <c r="A2415" s="607" t="s">
        <v>428</v>
      </c>
      <c r="B2415" s="608" t="s">
        <v>898</v>
      </c>
      <c r="C2415" s="607" t="s">
        <v>196</v>
      </c>
      <c r="D2415" s="607" t="s">
        <v>899</v>
      </c>
      <c r="E2415" s="690">
        <v>6</v>
      </c>
      <c r="F2415" s="690"/>
      <c r="G2415" s="609" t="s">
        <v>532</v>
      </c>
      <c r="H2415" s="610">
        <v>1</v>
      </c>
      <c r="I2415" s="611">
        <v>35.1</v>
      </c>
      <c r="J2415" s="611">
        <v>35.1</v>
      </c>
      <c r="K2415" s="546"/>
    </row>
    <row r="2416" spans="1:11" ht="15" customHeight="1" thickBot="1" x14ac:dyDescent="0.35">
      <c r="A2416" s="547" t="s">
        <v>430</v>
      </c>
      <c r="B2416" s="548" t="s">
        <v>559</v>
      </c>
      <c r="C2416" s="547" t="s">
        <v>19</v>
      </c>
      <c r="D2416" s="547" t="s">
        <v>560</v>
      </c>
      <c r="E2416" s="688" t="s">
        <v>429</v>
      </c>
      <c r="F2416" s="688"/>
      <c r="G2416" s="549" t="s">
        <v>423</v>
      </c>
      <c r="H2416" s="550">
        <v>1.5</v>
      </c>
      <c r="I2416" s="551">
        <v>23.4</v>
      </c>
      <c r="J2416" s="551">
        <v>35.1</v>
      </c>
      <c r="K2416" s="552"/>
    </row>
    <row r="2417" spans="1:11" ht="14.5" thickTop="1" x14ac:dyDescent="0.3">
      <c r="A2417" s="562"/>
      <c r="B2417" s="562"/>
      <c r="C2417" s="562"/>
      <c r="D2417" s="562"/>
      <c r="E2417" s="562"/>
      <c r="F2417" s="562"/>
      <c r="G2417" s="562"/>
      <c r="H2417" s="562"/>
      <c r="I2417" s="562"/>
      <c r="J2417" s="562"/>
      <c r="K2417" s="552"/>
    </row>
    <row r="2418" spans="1:11" x14ac:dyDescent="0.3">
      <c r="A2418" s="553"/>
      <c r="B2418" s="554" t="s">
        <v>4</v>
      </c>
      <c r="C2418" s="553" t="s">
        <v>5</v>
      </c>
      <c r="D2418" s="553" t="s">
        <v>6</v>
      </c>
      <c r="E2418" s="691" t="s">
        <v>427</v>
      </c>
      <c r="F2418" s="691"/>
      <c r="G2418" s="555" t="s">
        <v>7</v>
      </c>
      <c r="H2418" s="554" t="s">
        <v>8</v>
      </c>
      <c r="I2418" s="554" t="s">
        <v>9</v>
      </c>
      <c r="J2418" s="554" t="s">
        <v>11</v>
      </c>
      <c r="K2418" s="552"/>
    </row>
    <row r="2419" spans="1:11" s="89" customFormat="1" ht="50" x14ac:dyDescent="0.3">
      <c r="A2419" s="607" t="s">
        <v>428</v>
      </c>
      <c r="B2419" s="608" t="s">
        <v>1078</v>
      </c>
      <c r="C2419" s="607" t="s">
        <v>19</v>
      </c>
      <c r="D2419" s="607" t="s">
        <v>1079</v>
      </c>
      <c r="E2419" s="690" t="s">
        <v>561</v>
      </c>
      <c r="F2419" s="690"/>
      <c r="G2419" s="609" t="s">
        <v>532</v>
      </c>
      <c r="H2419" s="610">
        <v>1</v>
      </c>
      <c r="I2419" s="611">
        <v>8.31</v>
      </c>
      <c r="J2419" s="611">
        <v>8.31</v>
      </c>
      <c r="K2419" s="546"/>
    </row>
    <row r="2420" spans="1:11" s="89" customFormat="1" ht="38.25" customHeight="1" x14ac:dyDescent="0.3">
      <c r="A2420" s="547" t="s">
        <v>430</v>
      </c>
      <c r="B2420" s="548" t="s">
        <v>993</v>
      </c>
      <c r="C2420" s="547" t="s">
        <v>19</v>
      </c>
      <c r="D2420" s="547" t="s">
        <v>994</v>
      </c>
      <c r="E2420" s="688" t="s">
        <v>461</v>
      </c>
      <c r="F2420" s="688"/>
      <c r="G2420" s="549" t="s">
        <v>95</v>
      </c>
      <c r="H2420" s="550">
        <v>8.3000000000000001E-3</v>
      </c>
      <c r="I2420" s="551">
        <v>160.65</v>
      </c>
      <c r="J2420" s="551">
        <v>1.33</v>
      </c>
      <c r="K2420" s="546"/>
    </row>
    <row r="2421" spans="1:11" s="89" customFormat="1" ht="38.25" customHeight="1" x14ac:dyDescent="0.3">
      <c r="A2421" s="547" t="s">
        <v>430</v>
      </c>
      <c r="B2421" s="548" t="s">
        <v>995</v>
      </c>
      <c r="C2421" s="547" t="s">
        <v>19</v>
      </c>
      <c r="D2421" s="547" t="s">
        <v>996</v>
      </c>
      <c r="E2421" s="688" t="s">
        <v>461</v>
      </c>
      <c r="F2421" s="688"/>
      <c r="G2421" s="549" t="s">
        <v>102</v>
      </c>
      <c r="H2421" s="550">
        <v>8.5000000000000006E-3</v>
      </c>
      <c r="I2421" s="551">
        <v>72.8</v>
      </c>
      <c r="J2421" s="551">
        <v>0.61</v>
      </c>
      <c r="K2421" s="546"/>
    </row>
    <row r="2422" spans="1:11" ht="50" x14ac:dyDescent="0.3">
      <c r="A2422" s="547" t="s">
        <v>430</v>
      </c>
      <c r="B2422" s="548" t="s">
        <v>566</v>
      </c>
      <c r="C2422" s="547" t="s">
        <v>19</v>
      </c>
      <c r="D2422" s="547" t="s">
        <v>567</v>
      </c>
      <c r="E2422" s="688" t="s">
        <v>461</v>
      </c>
      <c r="F2422" s="688"/>
      <c r="G2422" s="549" t="s">
        <v>95</v>
      </c>
      <c r="H2422" s="550">
        <v>1.6899999999999998E-2</v>
      </c>
      <c r="I2422" s="551">
        <v>318.89</v>
      </c>
      <c r="J2422" s="551">
        <v>5.38</v>
      </c>
      <c r="K2422" s="552"/>
    </row>
    <row r="2423" spans="1:11" s="89" customFormat="1" ht="50.5" thickBot="1" x14ac:dyDescent="0.35">
      <c r="A2423" s="547" t="s">
        <v>430</v>
      </c>
      <c r="B2423" s="548" t="s">
        <v>568</v>
      </c>
      <c r="C2423" s="547" t="s">
        <v>19</v>
      </c>
      <c r="D2423" s="547" t="s">
        <v>569</v>
      </c>
      <c r="E2423" s="688" t="s">
        <v>461</v>
      </c>
      <c r="F2423" s="688"/>
      <c r="G2423" s="549" t="s">
        <v>102</v>
      </c>
      <c r="H2423" s="550">
        <v>1.0999999999999999E-2</v>
      </c>
      <c r="I2423" s="551">
        <v>90.58</v>
      </c>
      <c r="J2423" s="551">
        <v>0.99</v>
      </c>
      <c r="K2423" s="546"/>
    </row>
    <row r="2424" spans="1:11" ht="14.5" thickTop="1" x14ac:dyDescent="0.3">
      <c r="A2424" s="562"/>
      <c r="B2424" s="562"/>
      <c r="C2424" s="562"/>
      <c r="D2424" s="562"/>
      <c r="E2424" s="562"/>
      <c r="F2424" s="562"/>
      <c r="G2424" s="562"/>
      <c r="H2424" s="562"/>
      <c r="I2424" s="562"/>
      <c r="J2424" s="562"/>
      <c r="K2424" s="552"/>
    </row>
    <row r="2425" spans="1:11" s="89" customFormat="1" ht="38.25" customHeight="1" x14ac:dyDescent="0.3">
      <c r="A2425" s="553"/>
      <c r="B2425" s="554" t="s">
        <v>4</v>
      </c>
      <c r="C2425" s="553" t="s">
        <v>5</v>
      </c>
      <c r="D2425" s="553" t="s">
        <v>6</v>
      </c>
      <c r="E2425" s="691" t="s">
        <v>427</v>
      </c>
      <c r="F2425" s="691"/>
      <c r="G2425" s="555" t="s">
        <v>7</v>
      </c>
      <c r="H2425" s="554" t="s">
        <v>8</v>
      </c>
      <c r="I2425" s="554" t="s">
        <v>9</v>
      </c>
      <c r="J2425" s="554" t="s">
        <v>11</v>
      </c>
      <c r="K2425" s="546"/>
    </row>
    <row r="2426" spans="1:11" ht="14.25" customHeight="1" x14ac:dyDescent="0.3">
      <c r="A2426" s="607" t="s">
        <v>428</v>
      </c>
      <c r="B2426" s="608" t="s">
        <v>1022</v>
      </c>
      <c r="C2426" s="607" t="s">
        <v>19</v>
      </c>
      <c r="D2426" s="607" t="s">
        <v>1023</v>
      </c>
      <c r="E2426" s="690" t="s">
        <v>429</v>
      </c>
      <c r="F2426" s="690"/>
      <c r="G2426" s="609" t="s">
        <v>423</v>
      </c>
      <c r="H2426" s="610">
        <v>1</v>
      </c>
      <c r="I2426" s="611">
        <v>29.49</v>
      </c>
      <c r="J2426" s="611">
        <v>29.49</v>
      </c>
      <c r="K2426" s="552"/>
    </row>
    <row r="2427" spans="1:11" ht="25" x14ac:dyDescent="0.3">
      <c r="A2427" s="547" t="s">
        <v>430</v>
      </c>
      <c r="B2427" s="548" t="s">
        <v>1388</v>
      </c>
      <c r="C2427" s="547" t="s">
        <v>19</v>
      </c>
      <c r="D2427" s="547" t="s">
        <v>1389</v>
      </c>
      <c r="E2427" s="688" t="s">
        <v>429</v>
      </c>
      <c r="F2427" s="688"/>
      <c r="G2427" s="549" t="s">
        <v>423</v>
      </c>
      <c r="H2427" s="550">
        <v>1</v>
      </c>
      <c r="I2427" s="551">
        <v>0.34</v>
      </c>
      <c r="J2427" s="551">
        <v>0.34</v>
      </c>
      <c r="K2427" s="552"/>
    </row>
    <row r="2428" spans="1:11" ht="15" customHeight="1" x14ac:dyDescent="0.3">
      <c r="A2428" s="547" t="s">
        <v>433</v>
      </c>
      <c r="B2428" s="548" t="s">
        <v>1390</v>
      </c>
      <c r="C2428" s="547" t="s">
        <v>19</v>
      </c>
      <c r="D2428" s="547" t="s">
        <v>1391</v>
      </c>
      <c r="E2428" s="688" t="s">
        <v>436</v>
      </c>
      <c r="F2428" s="688"/>
      <c r="G2428" s="549" t="s">
        <v>423</v>
      </c>
      <c r="H2428" s="550">
        <v>1</v>
      </c>
      <c r="I2428" s="551">
        <v>20.55</v>
      </c>
      <c r="J2428" s="551">
        <v>20.55</v>
      </c>
      <c r="K2428" s="552"/>
    </row>
    <row r="2429" spans="1:11" ht="25" x14ac:dyDescent="0.3">
      <c r="A2429" s="547" t="s">
        <v>433</v>
      </c>
      <c r="B2429" s="548" t="s">
        <v>1213</v>
      </c>
      <c r="C2429" s="547" t="s">
        <v>19</v>
      </c>
      <c r="D2429" s="547" t="s">
        <v>3592</v>
      </c>
      <c r="E2429" s="688" t="s">
        <v>862</v>
      </c>
      <c r="F2429" s="688"/>
      <c r="G2429" s="549" t="s">
        <v>423</v>
      </c>
      <c r="H2429" s="550">
        <v>1</v>
      </c>
      <c r="I2429" s="551">
        <v>3.8</v>
      </c>
      <c r="J2429" s="551">
        <v>3.8</v>
      </c>
      <c r="K2429" s="552"/>
    </row>
    <row r="2430" spans="1:11" s="89" customFormat="1" ht="25" x14ac:dyDescent="0.3">
      <c r="A2430" s="547" t="s">
        <v>433</v>
      </c>
      <c r="B2430" s="548" t="s">
        <v>1214</v>
      </c>
      <c r="C2430" s="547" t="s">
        <v>19</v>
      </c>
      <c r="D2430" s="547" t="s">
        <v>3593</v>
      </c>
      <c r="E2430" s="688" t="s">
        <v>1215</v>
      </c>
      <c r="F2430" s="688"/>
      <c r="G2430" s="549" t="s">
        <v>423</v>
      </c>
      <c r="H2430" s="550">
        <v>1</v>
      </c>
      <c r="I2430" s="551">
        <v>1.5</v>
      </c>
      <c r="J2430" s="551">
        <v>1.5</v>
      </c>
      <c r="K2430" s="546"/>
    </row>
    <row r="2431" spans="1:11" s="89" customFormat="1" ht="25" x14ac:dyDescent="0.3">
      <c r="A2431" s="547" t="s">
        <v>433</v>
      </c>
      <c r="B2431" s="548" t="s">
        <v>1216</v>
      </c>
      <c r="C2431" s="547" t="s">
        <v>19</v>
      </c>
      <c r="D2431" s="547" t="s">
        <v>3594</v>
      </c>
      <c r="E2431" s="688" t="s">
        <v>862</v>
      </c>
      <c r="F2431" s="688"/>
      <c r="G2431" s="549" t="s">
        <v>423</v>
      </c>
      <c r="H2431" s="550">
        <v>1</v>
      </c>
      <c r="I2431" s="551">
        <v>1.34</v>
      </c>
      <c r="J2431" s="551">
        <v>1.34</v>
      </c>
      <c r="K2431" s="546"/>
    </row>
    <row r="2432" spans="1:11" s="89" customFormat="1" ht="38.25" customHeight="1" x14ac:dyDescent="0.3">
      <c r="A2432" s="547" t="s">
        <v>433</v>
      </c>
      <c r="B2432" s="548" t="s">
        <v>1217</v>
      </c>
      <c r="C2432" s="547" t="s">
        <v>19</v>
      </c>
      <c r="D2432" s="547" t="s">
        <v>3595</v>
      </c>
      <c r="E2432" s="688" t="s">
        <v>531</v>
      </c>
      <c r="F2432" s="688"/>
      <c r="G2432" s="549" t="s">
        <v>423</v>
      </c>
      <c r="H2432" s="550">
        <v>1</v>
      </c>
      <c r="I2432" s="551">
        <v>0.04</v>
      </c>
      <c r="J2432" s="551">
        <v>0.04</v>
      </c>
      <c r="K2432" s="546"/>
    </row>
    <row r="2433" spans="1:11" ht="38.25" customHeight="1" x14ac:dyDescent="0.3">
      <c r="A2433" s="547" t="s">
        <v>433</v>
      </c>
      <c r="B2433" s="548" t="s">
        <v>1226</v>
      </c>
      <c r="C2433" s="547" t="s">
        <v>19</v>
      </c>
      <c r="D2433" s="547" t="s">
        <v>1227</v>
      </c>
      <c r="E2433" s="688" t="s">
        <v>442</v>
      </c>
      <c r="F2433" s="688"/>
      <c r="G2433" s="549" t="s">
        <v>423</v>
      </c>
      <c r="H2433" s="550">
        <v>1</v>
      </c>
      <c r="I2433" s="551">
        <v>0.49</v>
      </c>
      <c r="J2433" s="551">
        <v>0.49</v>
      </c>
      <c r="K2433" s="552"/>
    </row>
    <row r="2434" spans="1:11" s="89" customFormat="1" ht="25.5" thickBot="1" x14ac:dyDescent="0.35">
      <c r="A2434" s="547" t="s">
        <v>433</v>
      </c>
      <c r="B2434" s="548" t="s">
        <v>1228</v>
      </c>
      <c r="C2434" s="547" t="s">
        <v>19</v>
      </c>
      <c r="D2434" s="547" t="s">
        <v>1229</v>
      </c>
      <c r="E2434" s="688" t="s">
        <v>442</v>
      </c>
      <c r="F2434" s="688"/>
      <c r="G2434" s="549" t="s">
        <v>423</v>
      </c>
      <c r="H2434" s="550">
        <v>1</v>
      </c>
      <c r="I2434" s="551">
        <v>1.43</v>
      </c>
      <c r="J2434" s="551">
        <v>1.43</v>
      </c>
      <c r="K2434" s="546"/>
    </row>
    <row r="2435" spans="1:11" s="89" customFormat="1" ht="14.5" thickTop="1" x14ac:dyDescent="0.3">
      <c r="A2435" s="562"/>
      <c r="B2435" s="562"/>
      <c r="C2435" s="562"/>
      <c r="D2435" s="562"/>
      <c r="E2435" s="562"/>
      <c r="F2435" s="562"/>
      <c r="G2435" s="562"/>
      <c r="H2435" s="562"/>
      <c r="I2435" s="562"/>
      <c r="J2435" s="562"/>
      <c r="K2435" s="546"/>
    </row>
    <row r="2436" spans="1:11" x14ac:dyDescent="0.3">
      <c r="A2436" s="553"/>
      <c r="B2436" s="554" t="s">
        <v>4</v>
      </c>
      <c r="C2436" s="553" t="s">
        <v>5</v>
      </c>
      <c r="D2436" s="553" t="s">
        <v>6</v>
      </c>
      <c r="E2436" s="691" t="s">
        <v>427</v>
      </c>
      <c r="F2436" s="691"/>
      <c r="G2436" s="555" t="s">
        <v>7</v>
      </c>
      <c r="H2436" s="554" t="s">
        <v>8</v>
      </c>
      <c r="I2436" s="554" t="s">
        <v>9</v>
      </c>
      <c r="J2436" s="554" t="s">
        <v>11</v>
      </c>
      <c r="K2436" s="552"/>
    </row>
    <row r="2437" spans="1:11" ht="14.25" customHeight="1" x14ac:dyDescent="0.3">
      <c r="A2437" s="607" t="s">
        <v>428</v>
      </c>
      <c r="B2437" s="608" t="s">
        <v>620</v>
      </c>
      <c r="C2437" s="607" t="s">
        <v>19</v>
      </c>
      <c r="D2437" s="607" t="s">
        <v>621</v>
      </c>
      <c r="E2437" s="690" t="s">
        <v>429</v>
      </c>
      <c r="F2437" s="690"/>
      <c r="G2437" s="609" t="s">
        <v>423</v>
      </c>
      <c r="H2437" s="610">
        <v>1</v>
      </c>
      <c r="I2437" s="611">
        <v>30.71</v>
      </c>
      <c r="J2437" s="611">
        <v>30.71</v>
      </c>
      <c r="K2437" s="552"/>
    </row>
    <row r="2438" spans="1:11" ht="14.25" customHeight="1" x14ac:dyDescent="0.3">
      <c r="A2438" s="547" t="s">
        <v>430</v>
      </c>
      <c r="B2438" s="548" t="s">
        <v>1392</v>
      </c>
      <c r="C2438" s="547" t="s">
        <v>19</v>
      </c>
      <c r="D2438" s="547" t="s">
        <v>1393</v>
      </c>
      <c r="E2438" s="688" t="s">
        <v>429</v>
      </c>
      <c r="F2438" s="688"/>
      <c r="G2438" s="549" t="s">
        <v>423</v>
      </c>
      <c r="H2438" s="550">
        <v>1</v>
      </c>
      <c r="I2438" s="551">
        <v>0.28000000000000003</v>
      </c>
      <c r="J2438" s="551">
        <v>0.28000000000000003</v>
      </c>
      <c r="K2438" s="552"/>
    </row>
    <row r="2439" spans="1:11" s="89" customFormat="1" x14ac:dyDescent="0.3">
      <c r="A2439" s="547" t="s">
        <v>433</v>
      </c>
      <c r="B2439" s="548" t="s">
        <v>1394</v>
      </c>
      <c r="C2439" s="547" t="s">
        <v>19</v>
      </c>
      <c r="D2439" s="547" t="s">
        <v>1395</v>
      </c>
      <c r="E2439" s="688" t="s">
        <v>436</v>
      </c>
      <c r="F2439" s="688"/>
      <c r="G2439" s="549" t="s">
        <v>423</v>
      </c>
      <c r="H2439" s="550">
        <v>1</v>
      </c>
      <c r="I2439" s="551">
        <v>21.83</v>
      </c>
      <c r="J2439" s="551">
        <v>21.83</v>
      </c>
      <c r="K2439" s="546"/>
    </row>
    <row r="2440" spans="1:11" ht="15" customHeight="1" x14ac:dyDescent="0.3">
      <c r="A2440" s="547" t="s">
        <v>433</v>
      </c>
      <c r="B2440" s="548" t="s">
        <v>1213</v>
      </c>
      <c r="C2440" s="547" t="s">
        <v>19</v>
      </c>
      <c r="D2440" s="547" t="s">
        <v>3592</v>
      </c>
      <c r="E2440" s="688" t="s">
        <v>862</v>
      </c>
      <c r="F2440" s="688"/>
      <c r="G2440" s="549" t="s">
        <v>423</v>
      </c>
      <c r="H2440" s="550">
        <v>1</v>
      </c>
      <c r="I2440" s="551">
        <v>3.8</v>
      </c>
      <c r="J2440" s="551">
        <v>3.8</v>
      </c>
      <c r="K2440" s="552"/>
    </row>
    <row r="2441" spans="1:11" ht="25" x14ac:dyDescent="0.3">
      <c r="A2441" s="547" t="s">
        <v>433</v>
      </c>
      <c r="B2441" s="548" t="s">
        <v>1214</v>
      </c>
      <c r="C2441" s="547" t="s">
        <v>19</v>
      </c>
      <c r="D2441" s="547" t="s">
        <v>3593</v>
      </c>
      <c r="E2441" s="688" t="s">
        <v>1215</v>
      </c>
      <c r="F2441" s="688"/>
      <c r="G2441" s="549" t="s">
        <v>423</v>
      </c>
      <c r="H2441" s="550">
        <v>1</v>
      </c>
      <c r="I2441" s="551">
        <v>1.5</v>
      </c>
      <c r="J2441" s="551">
        <v>1.5</v>
      </c>
      <c r="K2441" s="552"/>
    </row>
    <row r="2442" spans="1:11" s="89" customFormat="1" ht="25" x14ac:dyDescent="0.3">
      <c r="A2442" s="547" t="s">
        <v>433</v>
      </c>
      <c r="B2442" s="548" t="s">
        <v>1216</v>
      </c>
      <c r="C2442" s="547" t="s">
        <v>19</v>
      </c>
      <c r="D2442" s="547" t="s">
        <v>3594</v>
      </c>
      <c r="E2442" s="688" t="s">
        <v>862</v>
      </c>
      <c r="F2442" s="688"/>
      <c r="G2442" s="549" t="s">
        <v>423</v>
      </c>
      <c r="H2442" s="550">
        <v>1</v>
      </c>
      <c r="I2442" s="551">
        <v>1.34</v>
      </c>
      <c r="J2442" s="551">
        <v>1.34</v>
      </c>
      <c r="K2442" s="546"/>
    </row>
    <row r="2443" spans="1:11" s="89" customFormat="1" ht="25" x14ac:dyDescent="0.3">
      <c r="A2443" s="547" t="s">
        <v>433</v>
      </c>
      <c r="B2443" s="548" t="s">
        <v>1217</v>
      </c>
      <c r="C2443" s="547" t="s">
        <v>19</v>
      </c>
      <c r="D2443" s="547" t="s">
        <v>3595</v>
      </c>
      <c r="E2443" s="688" t="s">
        <v>531</v>
      </c>
      <c r="F2443" s="688"/>
      <c r="G2443" s="549" t="s">
        <v>423</v>
      </c>
      <c r="H2443" s="550">
        <v>1</v>
      </c>
      <c r="I2443" s="551">
        <v>0.04</v>
      </c>
      <c r="J2443" s="551">
        <v>0.04</v>
      </c>
      <c r="K2443" s="546"/>
    </row>
    <row r="2444" spans="1:11" ht="38.25" customHeight="1" x14ac:dyDescent="0.3">
      <c r="A2444" s="547" t="s">
        <v>433</v>
      </c>
      <c r="B2444" s="548" t="s">
        <v>1226</v>
      </c>
      <c r="C2444" s="547" t="s">
        <v>19</v>
      </c>
      <c r="D2444" s="547" t="s">
        <v>1227</v>
      </c>
      <c r="E2444" s="688" t="s">
        <v>442</v>
      </c>
      <c r="F2444" s="688"/>
      <c r="G2444" s="549" t="s">
        <v>423</v>
      </c>
      <c r="H2444" s="550">
        <v>1</v>
      </c>
      <c r="I2444" s="551">
        <v>0.49</v>
      </c>
      <c r="J2444" s="551">
        <v>0.49</v>
      </c>
      <c r="K2444" s="552"/>
    </row>
    <row r="2445" spans="1:11" ht="38.25" customHeight="1" thickBot="1" x14ac:dyDescent="0.35">
      <c r="A2445" s="547" t="s">
        <v>433</v>
      </c>
      <c r="B2445" s="548" t="s">
        <v>1228</v>
      </c>
      <c r="C2445" s="547" t="s">
        <v>19</v>
      </c>
      <c r="D2445" s="547" t="s">
        <v>1229</v>
      </c>
      <c r="E2445" s="688" t="s">
        <v>442</v>
      </c>
      <c r="F2445" s="688"/>
      <c r="G2445" s="549" t="s">
        <v>423</v>
      </c>
      <c r="H2445" s="550">
        <v>1</v>
      </c>
      <c r="I2445" s="551">
        <v>1.43</v>
      </c>
      <c r="J2445" s="551">
        <v>1.43</v>
      </c>
      <c r="K2445" s="552"/>
    </row>
    <row r="2446" spans="1:11" ht="14.5" thickTop="1" x14ac:dyDescent="0.3">
      <c r="A2446" s="562"/>
      <c r="B2446" s="562"/>
      <c r="C2446" s="562"/>
      <c r="D2446" s="562"/>
      <c r="E2446" s="562"/>
      <c r="F2446" s="562"/>
      <c r="G2446" s="562"/>
      <c r="H2446" s="562"/>
      <c r="I2446" s="562"/>
      <c r="J2446" s="562"/>
      <c r="K2446" s="552"/>
    </row>
    <row r="2447" spans="1:11" x14ac:dyDescent="0.3">
      <c r="A2447" s="553"/>
      <c r="B2447" s="554" t="s">
        <v>4</v>
      </c>
      <c r="C2447" s="553" t="s">
        <v>5</v>
      </c>
      <c r="D2447" s="553" t="s">
        <v>6</v>
      </c>
      <c r="E2447" s="691" t="s">
        <v>427</v>
      </c>
      <c r="F2447" s="691"/>
      <c r="G2447" s="555" t="s">
        <v>7</v>
      </c>
      <c r="H2447" s="554" t="s">
        <v>8</v>
      </c>
      <c r="I2447" s="554" t="s">
        <v>9</v>
      </c>
      <c r="J2447" s="554" t="s">
        <v>11</v>
      </c>
      <c r="K2447" s="552"/>
    </row>
    <row r="2448" spans="1:11" ht="25.5" customHeight="1" x14ac:dyDescent="0.3">
      <c r="A2448" s="607" t="s">
        <v>428</v>
      </c>
      <c r="B2448" s="608" t="s">
        <v>945</v>
      </c>
      <c r="C2448" s="607" t="s">
        <v>19</v>
      </c>
      <c r="D2448" s="607" t="s">
        <v>946</v>
      </c>
      <c r="E2448" s="690" t="s">
        <v>461</v>
      </c>
      <c r="F2448" s="690"/>
      <c r="G2448" s="609" t="s">
        <v>102</v>
      </c>
      <c r="H2448" s="610">
        <v>1</v>
      </c>
      <c r="I2448" s="611">
        <v>26.89</v>
      </c>
      <c r="J2448" s="611">
        <v>26.89</v>
      </c>
      <c r="K2448" s="552"/>
    </row>
    <row r="2449" spans="1:11" ht="14.25" customHeight="1" x14ac:dyDescent="0.3">
      <c r="A2449" s="547" t="s">
        <v>430</v>
      </c>
      <c r="B2449" s="548" t="s">
        <v>907</v>
      </c>
      <c r="C2449" s="547" t="s">
        <v>19</v>
      </c>
      <c r="D2449" s="547" t="s">
        <v>908</v>
      </c>
      <c r="E2449" s="688" t="s">
        <v>429</v>
      </c>
      <c r="F2449" s="688"/>
      <c r="G2449" s="549" t="s">
        <v>423</v>
      </c>
      <c r="H2449" s="550">
        <v>1</v>
      </c>
      <c r="I2449" s="551">
        <v>25.78</v>
      </c>
      <c r="J2449" s="551">
        <v>25.78</v>
      </c>
      <c r="K2449" s="552"/>
    </row>
    <row r="2450" spans="1:11" s="89" customFormat="1" ht="15" customHeight="1" x14ac:dyDescent="0.3">
      <c r="A2450" s="547" t="s">
        <v>430</v>
      </c>
      <c r="B2450" s="548" t="s">
        <v>1396</v>
      </c>
      <c r="C2450" s="547" t="s">
        <v>19</v>
      </c>
      <c r="D2450" s="547" t="s">
        <v>1397</v>
      </c>
      <c r="E2450" s="688" t="s">
        <v>461</v>
      </c>
      <c r="F2450" s="688"/>
      <c r="G2450" s="549" t="s">
        <v>423</v>
      </c>
      <c r="H2450" s="550">
        <v>1</v>
      </c>
      <c r="I2450" s="551">
        <v>0.88</v>
      </c>
      <c r="J2450" s="551">
        <v>0.88</v>
      </c>
      <c r="K2450" s="546"/>
    </row>
    <row r="2451" spans="1:11" ht="26.25" customHeight="1" thickBot="1" x14ac:dyDescent="0.35">
      <c r="A2451" s="547" t="s">
        <v>430</v>
      </c>
      <c r="B2451" s="548" t="s">
        <v>1398</v>
      </c>
      <c r="C2451" s="547" t="s">
        <v>19</v>
      </c>
      <c r="D2451" s="547" t="s">
        <v>1399</v>
      </c>
      <c r="E2451" s="688" t="s">
        <v>461</v>
      </c>
      <c r="F2451" s="688"/>
      <c r="G2451" s="549" t="s">
        <v>423</v>
      </c>
      <c r="H2451" s="550">
        <v>1</v>
      </c>
      <c r="I2451" s="551">
        <v>0.23</v>
      </c>
      <c r="J2451" s="551">
        <v>0.23</v>
      </c>
      <c r="K2451" s="552"/>
    </row>
    <row r="2452" spans="1:11" ht="14.5" thickTop="1" x14ac:dyDescent="0.3">
      <c r="A2452" s="562"/>
      <c r="B2452" s="562"/>
      <c r="C2452" s="562"/>
      <c r="D2452" s="562"/>
      <c r="E2452" s="562"/>
      <c r="F2452" s="562"/>
      <c r="G2452" s="562"/>
      <c r="H2452" s="562"/>
      <c r="I2452" s="562"/>
      <c r="J2452" s="562"/>
      <c r="K2452" s="552"/>
    </row>
    <row r="2453" spans="1:11" s="89" customFormat="1" x14ac:dyDescent="0.3">
      <c r="A2453" s="553"/>
      <c r="B2453" s="554" t="s">
        <v>4</v>
      </c>
      <c r="C2453" s="553" t="s">
        <v>5</v>
      </c>
      <c r="D2453" s="553" t="s">
        <v>6</v>
      </c>
      <c r="E2453" s="691" t="s">
        <v>427</v>
      </c>
      <c r="F2453" s="691"/>
      <c r="G2453" s="555" t="s">
        <v>7</v>
      </c>
      <c r="H2453" s="554" t="s">
        <v>8</v>
      </c>
      <c r="I2453" s="554" t="s">
        <v>9</v>
      </c>
      <c r="J2453" s="554" t="s">
        <v>11</v>
      </c>
      <c r="K2453" s="546"/>
    </row>
    <row r="2454" spans="1:11" s="89" customFormat="1" ht="25.5" customHeight="1" x14ac:dyDescent="0.3">
      <c r="A2454" s="607" t="s">
        <v>428</v>
      </c>
      <c r="B2454" s="608" t="s">
        <v>943</v>
      </c>
      <c r="C2454" s="607" t="s">
        <v>19</v>
      </c>
      <c r="D2454" s="607" t="s">
        <v>944</v>
      </c>
      <c r="E2454" s="690" t="s">
        <v>461</v>
      </c>
      <c r="F2454" s="690"/>
      <c r="G2454" s="609" t="s">
        <v>95</v>
      </c>
      <c r="H2454" s="610">
        <v>1</v>
      </c>
      <c r="I2454" s="611">
        <v>33.549999999999997</v>
      </c>
      <c r="J2454" s="611">
        <v>33.549999999999997</v>
      </c>
      <c r="K2454" s="546"/>
    </row>
    <row r="2455" spans="1:11" ht="25" x14ac:dyDescent="0.3">
      <c r="A2455" s="547" t="s">
        <v>430</v>
      </c>
      <c r="B2455" s="548" t="s">
        <v>907</v>
      </c>
      <c r="C2455" s="547" t="s">
        <v>19</v>
      </c>
      <c r="D2455" s="547" t="s">
        <v>908</v>
      </c>
      <c r="E2455" s="688" t="s">
        <v>429</v>
      </c>
      <c r="F2455" s="688"/>
      <c r="G2455" s="549" t="s">
        <v>423</v>
      </c>
      <c r="H2455" s="550">
        <v>1</v>
      </c>
      <c r="I2455" s="551">
        <v>25.78</v>
      </c>
      <c r="J2455" s="551">
        <v>25.78</v>
      </c>
      <c r="K2455" s="552"/>
    </row>
    <row r="2456" spans="1:11" s="89" customFormat="1" ht="25.5" customHeight="1" x14ac:dyDescent="0.3">
      <c r="A2456" s="547" t="s">
        <v>430</v>
      </c>
      <c r="B2456" s="548" t="s">
        <v>1396</v>
      </c>
      <c r="C2456" s="547" t="s">
        <v>19</v>
      </c>
      <c r="D2456" s="547" t="s">
        <v>1397</v>
      </c>
      <c r="E2456" s="688" t="s">
        <v>461</v>
      </c>
      <c r="F2456" s="688"/>
      <c r="G2456" s="549" t="s">
        <v>423</v>
      </c>
      <c r="H2456" s="550">
        <v>1</v>
      </c>
      <c r="I2456" s="551">
        <v>0.88</v>
      </c>
      <c r="J2456" s="551">
        <v>0.88</v>
      </c>
      <c r="K2456" s="546"/>
    </row>
    <row r="2457" spans="1:11" ht="25.5" customHeight="1" x14ac:dyDescent="0.3">
      <c r="A2457" s="547" t="s">
        <v>430</v>
      </c>
      <c r="B2457" s="548" t="s">
        <v>1398</v>
      </c>
      <c r="C2457" s="547" t="s">
        <v>19</v>
      </c>
      <c r="D2457" s="547" t="s">
        <v>1399</v>
      </c>
      <c r="E2457" s="688" t="s">
        <v>461</v>
      </c>
      <c r="F2457" s="688"/>
      <c r="G2457" s="549" t="s">
        <v>423</v>
      </c>
      <c r="H2457" s="550">
        <v>1</v>
      </c>
      <c r="I2457" s="551">
        <v>0.23</v>
      </c>
      <c r="J2457" s="551">
        <v>0.23</v>
      </c>
      <c r="K2457" s="552"/>
    </row>
    <row r="2458" spans="1:11" ht="25.5" customHeight="1" x14ac:dyDescent="0.3">
      <c r="A2458" s="547" t="s">
        <v>430</v>
      </c>
      <c r="B2458" s="548" t="s">
        <v>1400</v>
      </c>
      <c r="C2458" s="547" t="s">
        <v>19</v>
      </c>
      <c r="D2458" s="547" t="s">
        <v>1401</v>
      </c>
      <c r="E2458" s="688" t="s">
        <v>461</v>
      </c>
      <c r="F2458" s="688"/>
      <c r="G2458" s="549" t="s">
        <v>423</v>
      </c>
      <c r="H2458" s="550">
        <v>1</v>
      </c>
      <c r="I2458" s="551">
        <v>1.1100000000000001</v>
      </c>
      <c r="J2458" s="551">
        <v>1.1100000000000001</v>
      </c>
      <c r="K2458" s="552"/>
    </row>
    <row r="2459" spans="1:11" ht="39" customHeight="1" thickBot="1" x14ac:dyDescent="0.35">
      <c r="A2459" s="547" t="s">
        <v>430</v>
      </c>
      <c r="B2459" s="548" t="s">
        <v>1402</v>
      </c>
      <c r="C2459" s="547" t="s">
        <v>19</v>
      </c>
      <c r="D2459" s="547" t="s">
        <v>1403</v>
      </c>
      <c r="E2459" s="688" t="s">
        <v>461</v>
      </c>
      <c r="F2459" s="688"/>
      <c r="G2459" s="549" t="s">
        <v>423</v>
      </c>
      <c r="H2459" s="550">
        <v>1</v>
      </c>
      <c r="I2459" s="551">
        <v>5.55</v>
      </c>
      <c r="J2459" s="551">
        <v>5.55</v>
      </c>
      <c r="K2459" s="552"/>
    </row>
    <row r="2460" spans="1:11" ht="25.5" customHeight="1" thickTop="1" x14ac:dyDescent="0.3">
      <c r="A2460" s="562"/>
      <c r="B2460" s="562"/>
      <c r="C2460" s="562"/>
      <c r="D2460" s="562"/>
      <c r="E2460" s="562"/>
      <c r="F2460" s="562"/>
      <c r="G2460" s="562"/>
      <c r="H2460" s="562"/>
      <c r="I2460" s="562"/>
      <c r="J2460" s="562"/>
      <c r="K2460" s="552"/>
    </row>
    <row r="2461" spans="1:11" s="89" customFormat="1" x14ac:dyDescent="0.3">
      <c r="A2461" s="553"/>
      <c r="B2461" s="554" t="s">
        <v>4</v>
      </c>
      <c r="C2461" s="553" t="s">
        <v>5</v>
      </c>
      <c r="D2461" s="553" t="s">
        <v>6</v>
      </c>
      <c r="E2461" s="691" t="s">
        <v>427</v>
      </c>
      <c r="F2461" s="691"/>
      <c r="G2461" s="555" t="s">
        <v>7</v>
      </c>
      <c r="H2461" s="554" t="s">
        <v>8</v>
      </c>
      <c r="I2461" s="554" t="s">
        <v>9</v>
      </c>
      <c r="J2461" s="554" t="s">
        <v>11</v>
      </c>
      <c r="K2461" s="546"/>
    </row>
    <row r="2462" spans="1:11" ht="25.5" customHeight="1" x14ac:dyDescent="0.3">
      <c r="A2462" s="607" t="s">
        <v>428</v>
      </c>
      <c r="B2462" s="608" t="s">
        <v>1396</v>
      </c>
      <c r="C2462" s="607" t="s">
        <v>19</v>
      </c>
      <c r="D2462" s="607" t="s">
        <v>1397</v>
      </c>
      <c r="E2462" s="690" t="s">
        <v>461</v>
      </c>
      <c r="F2462" s="690"/>
      <c r="G2462" s="609" t="s">
        <v>423</v>
      </c>
      <c r="H2462" s="610">
        <v>1</v>
      </c>
      <c r="I2462" s="611">
        <v>0.88</v>
      </c>
      <c r="J2462" s="611">
        <v>0.88</v>
      </c>
      <c r="K2462" s="552"/>
    </row>
    <row r="2463" spans="1:11" ht="26.25" customHeight="1" thickBot="1" x14ac:dyDescent="0.35">
      <c r="A2463" s="547" t="s">
        <v>433</v>
      </c>
      <c r="B2463" s="548" t="s">
        <v>1404</v>
      </c>
      <c r="C2463" s="547" t="s">
        <v>19</v>
      </c>
      <c r="D2463" s="547" t="s">
        <v>1405</v>
      </c>
      <c r="E2463" s="688" t="s">
        <v>442</v>
      </c>
      <c r="F2463" s="688"/>
      <c r="G2463" s="549" t="s">
        <v>81</v>
      </c>
      <c r="H2463" s="550">
        <v>5.3300000000000001E-5</v>
      </c>
      <c r="I2463" s="551">
        <v>16666.3</v>
      </c>
      <c r="J2463" s="551">
        <v>0.88</v>
      </c>
      <c r="K2463" s="552"/>
    </row>
    <row r="2464" spans="1:11" ht="14.5" thickTop="1" x14ac:dyDescent="0.3">
      <c r="A2464" s="562"/>
      <c r="B2464" s="562"/>
      <c r="C2464" s="562"/>
      <c r="D2464" s="562"/>
      <c r="E2464" s="562"/>
      <c r="F2464" s="562"/>
      <c r="G2464" s="562"/>
      <c r="H2464" s="562"/>
      <c r="I2464" s="562"/>
      <c r="J2464" s="562"/>
      <c r="K2464" s="552"/>
    </row>
    <row r="2465" spans="1:11" x14ac:dyDescent="0.3">
      <c r="A2465" s="553"/>
      <c r="B2465" s="554" t="s">
        <v>4</v>
      </c>
      <c r="C2465" s="553" t="s">
        <v>5</v>
      </c>
      <c r="D2465" s="553" t="s">
        <v>6</v>
      </c>
      <c r="E2465" s="691" t="s">
        <v>427</v>
      </c>
      <c r="F2465" s="691"/>
      <c r="G2465" s="555" t="s">
        <v>7</v>
      </c>
      <c r="H2465" s="554" t="s">
        <v>8</v>
      </c>
      <c r="I2465" s="554" t="s">
        <v>9</v>
      </c>
      <c r="J2465" s="554" t="s">
        <v>11</v>
      </c>
      <c r="K2465" s="552"/>
    </row>
    <row r="2466" spans="1:11" ht="25.5" customHeight="1" x14ac:dyDescent="0.3">
      <c r="A2466" s="607" t="s">
        <v>428</v>
      </c>
      <c r="B2466" s="608" t="s">
        <v>1398</v>
      </c>
      <c r="C2466" s="607" t="s">
        <v>19</v>
      </c>
      <c r="D2466" s="607" t="s">
        <v>1399</v>
      </c>
      <c r="E2466" s="690" t="s">
        <v>461</v>
      </c>
      <c r="F2466" s="690"/>
      <c r="G2466" s="609" t="s">
        <v>423</v>
      </c>
      <c r="H2466" s="610">
        <v>1</v>
      </c>
      <c r="I2466" s="611">
        <v>0.23</v>
      </c>
      <c r="J2466" s="611">
        <v>0.23</v>
      </c>
      <c r="K2466" s="552"/>
    </row>
    <row r="2467" spans="1:11" ht="25.5" thickBot="1" x14ac:dyDescent="0.35">
      <c r="A2467" s="547" t="s">
        <v>433</v>
      </c>
      <c r="B2467" s="548" t="s">
        <v>1404</v>
      </c>
      <c r="C2467" s="547" t="s">
        <v>19</v>
      </c>
      <c r="D2467" s="547" t="s">
        <v>1405</v>
      </c>
      <c r="E2467" s="688" t="s">
        <v>442</v>
      </c>
      <c r="F2467" s="688"/>
      <c r="G2467" s="549" t="s">
        <v>81</v>
      </c>
      <c r="H2467" s="550">
        <v>1.43E-5</v>
      </c>
      <c r="I2467" s="551">
        <v>16666.3</v>
      </c>
      <c r="J2467" s="551">
        <v>0.23</v>
      </c>
      <c r="K2467" s="552"/>
    </row>
    <row r="2468" spans="1:11" ht="25.5" customHeight="1" thickTop="1" x14ac:dyDescent="0.3">
      <c r="A2468" s="562"/>
      <c r="B2468" s="562"/>
      <c r="C2468" s="562"/>
      <c r="D2468" s="562"/>
      <c r="E2468" s="562"/>
      <c r="F2468" s="562"/>
      <c r="G2468" s="562"/>
      <c r="H2468" s="562"/>
      <c r="I2468" s="562"/>
      <c r="J2468" s="562"/>
      <c r="K2468" s="552"/>
    </row>
    <row r="2469" spans="1:11" s="89" customFormat="1" ht="25.5" customHeight="1" x14ac:dyDescent="0.3">
      <c r="A2469" s="553"/>
      <c r="B2469" s="554" t="s">
        <v>4</v>
      </c>
      <c r="C2469" s="553" t="s">
        <v>5</v>
      </c>
      <c r="D2469" s="553" t="s">
        <v>6</v>
      </c>
      <c r="E2469" s="691" t="s">
        <v>427</v>
      </c>
      <c r="F2469" s="691"/>
      <c r="G2469" s="555" t="s">
        <v>7</v>
      </c>
      <c r="H2469" s="554" t="s">
        <v>8</v>
      </c>
      <c r="I2469" s="554" t="s">
        <v>9</v>
      </c>
      <c r="J2469" s="554" t="s">
        <v>11</v>
      </c>
      <c r="K2469" s="546"/>
    </row>
    <row r="2470" spans="1:11" ht="25.5" customHeight="1" x14ac:dyDescent="0.3">
      <c r="A2470" s="607" t="s">
        <v>428</v>
      </c>
      <c r="B2470" s="608" t="s">
        <v>1400</v>
      </c>
      <c r="C2470" s="607" t="s">
        <v>19</v>
      </c>
      <c r="D2470" s="607" t="s">
        <v>1401</v>
      </c>
      <c r="E2470" s="690" t="s">
        <v>461</v>
      </c>
      <c r="F2470" s="690"/>
      <c r="G2470" s="609" t="s">
        <v>423</v>
      </c>
      <c r="H2470" s="610">
        <v>1</v>
      </c>
      <c r="I2470" s="611">
        <v>1.1100000000000001</v>
      </c>
      <c r="J2470" s="611">
        <v>1.1100000000000001</v>
      </c>
      <c r="K2470" s="552"/>
    </row>
    <row r="2471" spans="1:11" ht="39" customHeight="1" thickBot="1" x14ac:dyDescent="0.35">
      <c r="A2471" s="547" t="s">
        <v>433</v>
      </c>
      <c r="B2471" s="548" t="s">
        <v>1404</v>
      </c>
      <c r="C2471" s="547" t="s">
        <v>19</v>
      </c>
      <c r="D2471" s="547" t="s">
        <v>1405</v>
      </c>
      <c r="E2471" s="688" t="s">
        <v>442</v>
      </c>
      <c r="F2471" s="688"/>
      <c r="G2471" s="549" t="s">
        <v>81</v>
      </c>
      <c r="H2471" s="550">
        <v>6.6699999999999995E-5</v>
      </c>
      <c r="I2471" s="551">
        <v>16666.3</v>
      </c>
      <c r="J2471" s="551">
        <v>1.1100000000000001</v>
      </c>
      <c r="K2471" s="552"/>
    </row>
    <row r="2472" spans="1:11" s="89" customFormat="1" ht="14.5" thickTop="1" x14ac:dyDescent="0.3">
      <c r="A2472" s="562"/>
      <c r="B2472" s="562"/>
      <c r="C2472" s="562"/>
      <c r="D2472" s="562"/>
      <c r="E2472" s="562"/>
      <c r="F2472" s="562"/>
      <c r="G2472" s="562"/>
      <c r="H2472" s="562"/>
      <c r="I2472" s="562"/>
      <c r="J2472" s="562"/>
      <c r="K2472" s="546"/>
    </row>
    <row r="2473" spans="1:11" x14ac:dyDescent="0.3">
      <c r="A2473" s="553"/>
      <c r="B2473" s="554" t="s">
        <v>4</v>
      </c>
      <c r="C2473" s="553" t="s">
        <v>5</v>
      </c>
      <c r="D2473" s="553" t="s">
        <v>6</v>
      </c>
      <c r="E2473" s="691" t="s">
        <v>427</v>
      </c>
      <c r="F2473" s="691"/>
      <c r="G2473" s="555" t="s">
        <v>7</v>
      </c>
      <c r="H2473" s="554" t="s">
        <v>8</v>
      </c>
      <c r="I2473" s="554" t="s">
        <v>9</v>
      </c>
      <c r="J2473" s="554" t="s">
        <v>11</v>
      </c>
      <c r="K2473" s="552"/>
    </row>
    <row r="2474" spans="1:11" ht="25.5" customHeight="1" x14ac:dyDescent="0.3">
      <c r="A2474" s="607" t="s">
        <v>428</v>
      </c>
      <c r="B2474" s="608" t="s">
        <v>1402</v>
      </c>
      <c r="C2474" s="607" t="s">
        <v>19</v>
      </c>
      <c r="D2474" s="607" t="s">
        <v>1403</v>
      </c>
      <c r="E2474" s="690" t="s">
        <v>461</v>
      </c>
      <c r="F2474" s="690"/>
      <c r="G2474" s="609" t="s">
        <v>423</v>
      </c>
      <c r="H2474" s="610">
        <v>1</v>
      </c>
      <c r="I2474" s="611">
        <v>5.55</v>
      </c>
      <c r="J2474" s="611">
        <v>5.55</v>
      </c>
      <c r="K2474" s="552"/>
    </row>
    <row r="2475" spans="1:11" ht="14.5" thickBot="1" x14ac:dyDescent="0.35">
      <c r="A2475" s="547" t="s">
        <v>433</v>
      </c>
      <c r="B2475" s="548" t="s">
        <v>3670</v>
      </c>
      <c r="C2475" s="547" t="s">
        <v>115</v>
      </c>
      <c r="D2475" s="547" t="s">
        <v>3891</v>
      </c>
      <c r="E2475" s="688" t="s">
        <v>438</v>
      </c>
      <c r="F2475" s="688"/>
      <c r="G2475" s="549" t="s">
        <v>835</v>
      </c>
      <c r="H2475" s="550">
        <v>1.03</v>
      </c>
      <c r="I2475" s="551">
        <v>5.3951000000000002</v>
      </c>
      <c r="J2475" s="551">
        <v>5.55</v>
      </c>
      <c r="K2475" s="552"/>
    </row>
    <row r="2476" spans="1:11" s="89" customFormat="1" ht="14.5" thickTop="1" x14ac:dyDescent="0.3">
      <c r="A2476" s="562"/>
      <c r="B2476" s="562"/>
      <c r="C2476" s="562"/>
      <c r="D2476" s="562"/>
      <c r="E2476" s="562"/>
      <c r="F2476" s="562"/>
      <c r="G2476" s="562"/>
      <c r="H2476" s="562"/>
      <c r="I2476" s="562"/>
      <c r="J2476" s="562"/>
      <c r="K2476" s="546"/>
    </row>
    <row r="2477" spans="1:11" x14ac:dyDescent="0.3">
      <c r="A2477" s="553"/>
      <c r="B2477" s="554" t="s">
        <v>4</v>
      </c>
      <c r="C2477" s="553" t="s">
        <v>5</v>
      </c>
      <c r="D2477" s="553" t="s">
        <v>6</v>
      </c>
      <c r="E2477" s="691" t="s">
        <v>427</v>
      </c>
      <c r="F2477" s="691"/>
      <c r="G2477" s="555" t="s">
        <v>7</v>
      </c>
      <c r="H2477" s="554" t="s">
        <v>8</v>
      </c>
      <c r="I2477" s="554" t="s">
        <v>9</v>
      </c>
      <c r="J2477" s="554" t="s">
        <v>11</v>
      </c>
      <c r="K2477" s="552"/>
    </row>
    <row r="2478" spans="1:11" ht="25.5" customHeight="1" x14ac:dyDescent="0.3">
      <c r="A2478" s="607" t="s">
        <v>428</v>
      </c>
      <c r="B2478" s="608" t="s">
        <v>3866</v>
      </c>
      <c r="C2478" s="607" t="s">
        <v>199</v>
      </c>
      <c r="D2478" s="607" t="s">
        <v>3867</v>
      </c>
      <c r="E2478" s="690">
        <v>55</v>
      </c>
      <c r="F2478" s="690"/>
      <c r="G2478" s="609" t="s">
        <v>81</v>
      </c>
      <c r="H2478" s="610">
        <v>1</v>
      </c>
      <c r="I2478" s="611">
        <v>165.49</v>
      </c>
      <c r="J2478" s="611">
        <v>165.49</v>
      </c>
      <c r="K2478" s="552"/>
    </row>
    <row r="2479" spans="1:11" ht="25" x14ac:dyDescent="0.3">
      <c r="A2479" s="547" t="s">
        <v>430</v>
      </c>
      <c r="B2479" s="548" t="s">
        <v>3892</v>
      </c>
      <c r="C2479" s="547" t="s">
        <v>199</v>
      </c>
      <c r="D2479" s="547" t="s">
        <v>1406</v>
      </c>
      <c r="E2479" s="688">
        <v>55</v>
      </c>
      <c r="F2479" s="688"/>
      <c r="G2479" s="549" t="s">
        <v>81</v>
      </c>
      <c r="H2479" s="550">
        <v>2.5100000000000001E-2</v>
      </c>
      <c r="I2479" s="551">
        <v>1167.0999999999999</v>
      </c>
      <c r="J2479" s="551">
        <v>29.29</v>
      </c>
      <c r="K2479" s="552"/>
    </row>
    <row r="2480" spans="1:11" s="89" customFormat="1" ht="15.75" customHeight="1" thickBot="1" x14ac:dyDescent="0.35">
      <c r="A2480" s="547" t="s">
        <v>430</v>
      </c>
      <c r="B2480" s="548" t="s">
        <v>1407</v>
      </c>
      <c r="C2480" s="547" t="s">
        <v>19</v>
      </c>
      <c r="D2480" s="547" t="s">
        <v>1408</v>
      </c>
      <c r="E2480" s="688" t="s">
        <v>429</v>
      </c>
      <c r="F2480" s="688"/>
      <c r="G2480" s="549" t="s">
        <v>423</v>
      </c>
      <c r="H2480" s="550">
        <v>2.5392000000000001</v>
      </c>
      <c r="I2480" s="551">
        <v>53.64</v>
      </c>
      <c r="J2480" s="551">
        <v>136.19999999999999</v>
      </c>
      <c r="K2480" s="546"/>
    </row>
    <row r="2481" spans="1:11" ht="14.5" thickTop="1" x14ac:dyDescent="0.3">
      <c r="A2481" s="562"/>
      <c r="B2481" s="562"/>
      <c r="C2481" s="562"/>
      <c r="D2481" s="562"/>
      <c r="E2481" s="562"/>
      <c r="F2481" s="562"/>
      <c r="G2481" s="562"/>
      <c r="H2481" s="562"/>
      <c r="I2481" s="562"/>
      <c r="J2481" s="562"/>
      <c r="K2481" s="552"/>
    </row>
    <row r="2482" spans="1:11" ht="25.5" customHeight="1" x14ac:dyDescent="0.3">
      <c r="A2482" s="553"/>
      <c r="B2482" s="554" t="s">
        <v>4</v>
      </c>
      <c r="C2482" s="553" t="s">
        <v>5</v>
      </c>
      <c r="D2482" s="553" t="s">
        <v>6</v>
      </c>
      <c r="E2482" s="691" t="s">
        <v>427</v>
      </c>
      <c r="F2482" s="691"/>
      <c r="G2482" s="555" t="s">
        <v>7</v>
      </c>
      <c r="H2482" s="554" t="s">
        <v>8</v>
      </c>
      <c r="I2482" s="554" t="s">
        <v>9</v>
      </c>
      <c r="J2482" s="554" t="s">
        <v>11</v>
      </c>
      <c r="K2482" s="552"/>
    </row>
    <row r="2483" spans="1:11" s="89" customFormat="1" ht="25.5" customHeight="1" x14ac:dyDescent="0.3">
      <c r="A2483" s="607" t="s">
        <v>428</v>
      </c>
      <c r="B2483" s="608" t="s">
        <v>3861</v>
      </c>
      <c r="C2483" s="607" t="s">
        <v>19</v>
      </c>
      <c r="D2483" s="607" t="s">
        <v>3862</v>
      </c>
      <c r="E2483" s="690" t="s">
        <v>461</v>
      </c>
      <c r="F2483" s="690"/>
      <c r="G2483" s="609" t="s">
        <v>102</v>
      </c>
      <c r="H2483" s="610">
        <v>1</v>
      </c>
      <c r="I2483" s="611">
        <v>9.0299999999999994</v>
      </c>
      <c r="J2483" s="611">
        <v>9.0299999999999994</v>
      </c>
      <c r="K2483" s="546"/>
    </row>
    <row r="2484" spans="1:11" ht="38.25" customHeight="1" x14ac:dyDescent="0.3">
      <c r="A2484" s="547" t="s">
        <v>430</v>
      </c>
      <c r="B2484" s="548" t="s">
        <v>1409</v>
      </c>
      <c r="C2484" s="547" t="s">
        <v>19</v>
      </c>
      <c r="D2484" s="547" t="s">
        <v>1410</v>
      </c>
      <c r="E2484" s="688" t="s">
        <v>461</v>
      </c>
      <c r="F2484" s="688"/>
      <c r="G2484" s="549" t="s">
        <v>423</v>
      </c>
      <c r="H2484" s="550">
        <v>1</v>
      </c>
      <c r="I2484" s="551">
        <v>7.12</v>
      </c>
      <c r="J2484" s="551">
        <v>7.12</v>
      </c>
      <c r="K2484" s="552"/>
    </row>
    <row r="2485" spans="1:11" ht="25.5" customHeight="1" thickBot="1" x14ac:dyDescent="0.35">
      <c r="A2485" s="547" t="s">
        <v>430</v>
      </c>
      <c r="B2485" s="548" t="s">
        <v>1411</v>
      </c>
      <c r="C2485" s="547" t="s">
        <v>19</v>
      </c>
      <c r="D2485" s="547" t="s">
        <v>1412</v>
      </c>
      <c r="E2485" s="688" t="s">
        <v>461</v>
      </c>
      <c r="F2485" s="688"/>
      <c r="G2485" s="549" t="s">
        <v>423</v>
      </c>
      <c r="H2485" s="550">
        <v>1</v>
      </c>
      <c r="I2485" s="551">
        <v>1.91</v>
      </c>
      <c r="J2485" s="551">
        <v>1.91</v>
      </c>
      <c r="K2485" s="552"/>
    </row>
    <row r="2486" spans="1:11" ht="26.25" customHeight="1" thickTop="1" x14ac:dyDescent="0.3">
      <c r="A2486" s="562"/>
      <c r="B2486" s="562"/>
      <c r="C2486" s="562"/>
      <c r="D2486" s="562"/>
      <c r="E2486" s="562"/>
      <c r="F2486" s="562"/>
      <c r="G2486" s="562"/>
      <c r="H2486" s="562"/>
      <c r="I2486" s="562"/>
      <c r="J2486" s="562"/>
      <c r="K2486" s="552"/>
    </row>
    <row r="2487" spans="1:11" s="89" customFormat="1" x14ac:dyDescent="0.3">
      <c r="A2487" s="553"/>
      <c r="B2487" s="554" t="s">
        <v>4</v>
      </c>
      <c r="C2487" s="553" t="s">
        <v>5</v>
      </c>
      <c r="D2487" s="553" t="s">
        <v>6</v>
      </c>
      <c r="E2487" s="691" t="s">
        <v>427</v>
      </c>
      <c r="F2487" s="691"/>
      <c r="G2487" s="555" t="s">
        <v>7</v>
      </c>
      <c r="H2487" s="554" t="s">
        <v>8</v>
      </c>
      <c r="I2487" s="554" t="s">
        <v>9</v>
      </c>
      <c r="J2487" s="554" t="s">
        <v>11</v>
      </c>
      <c r="K2487" s="546"/>
    </row>
    <row r="2488" spans="1:11" ht="38.25" customHeight="1" x14ac:dyDescent="0.3">
      <c r="A2488" s="607" t="s">
        <v>428</v>
      </c>
      <c r="B2488" s="608" t="s">
        <v>902</v>
      </c>
      <c r="C2488" s="607" t="s">
        <v>19</v>
      </c>
      <c r="D2488" s="607" t="s">
        <v>903</v>
      </c>
      <c r="E2488" s="690" t="s">
        <v>461</v>
      </c>
      <c r="F2488" s="690"/>
      <c r="G2488" s="609" t="s">
        <v>95</v>
      </c>
      <c r="H2488" s="610">
        <v>1</v>
      </c>
      <c r="I2488" s="611">
        <v>72.709999999999994</v>
      </c>
      <c r="J2488" s="611">
        <v>72.709999999999994</v>
      </c>
      <c r="K2488" s="552"/>
    </row>
    <row r="2489" spans="1:11" s="89" customFormat="1" ht="25.5" customHeight="1" x14ac:dyDescent="0.3">
      <c r="A2489" s="547" t="s">
        <v>430</v>
      </c>
      <c r="B2489" s="548" t="s">
        <v>1409</v>
      </c>
      <c r="C2489" s="547" t="s">
        <v>19</v>
      </c>
      <c r="D2489" s="547" t="s">
        <v>1410</v>
      </c>
      <c r="E2489" s="688" t="s">
        <v>461</v>
      </c>
      <c r="F2489" s="688"/>
      <c r="G2489" s="549" t="s">
        <v>423</v>
      </c>
      <c r="H2489" s="550">
        <v>1</v>
      </c>
      <c r="I2489" s="551">
        <v>7.12</v>
      </c>
      <c r="J2489" s="551">
        <v>7.12</v>
      </c>
      <c r="K2489" s="546"/>
    </row>
    <row r="2490" spans="1:11" ht="38.25" customHeight="1" x14ac:dyDescent="0.3">
      <c r="A2490" s="547" t="s">
        <v>430</v>
      </c>
      <c r="B2490" s="548" t="s">
        <v>1411</v>
      </c>
      <c r="C2490" s="547" t="s">
        <v>19</v>
      </c>
      <c r="D2490" s="547" t="s">
        <v>1412</v>
      </c>
      <c r="E2490" s="688" t="s">
        <v>461</v>
      </c>
      <c r="F2490" s="688"/>
      <c r="G2490" s="549" t="s">
        <v>423</v>
      </c>
      <c r="H2490" s="550">
        <v>1</v>
      </c>
      <c r="I2490" s="551">
        <v>1.91</v>
      </c>
      <c r="J2490" s="551">
        <v>1.91</v>
      </c>
      <c r="K2490" s="552"/>
    </row>
    <row r="2491" spans="1:11" s="89" customFormat="1" ht="25.5" customHeight="1" x14ac:dyDescent="0.3">
      <c r="A2491" s="547" t="s">
        <v>430</v>
      </c>
      <c r="B2491" s="548" t="s">
        <v>1413</v>
      </c>
      <c r="C2491" s="547" t="s">
        <v>19</v>
      </c>
      <c r="D2491" s="547" t="s">
        <v>1414</v>
      </c>
      <c r="E2491" s="688" t="s">
        <v>461</v>
      </c>
      <c r="F2491" s="688"/>
      <c r="G2491" s="549" t="s">
        <v>423</v>
      </c>
      <c r="H2491" s="550">
        <v>1</v>
      </c>
      <c r="I2491" s="551">
        <v>8.91</v>
      </c>
      <c r="J2491" s="551">
        <v>8.91</v>
      </c>
      <c r="K2491" s="546"/>
    </row>
    <row r="2492" spans="1:11" ht="25.5" customHeight="1" thickBot="1" x14ac:dyDescent="0.35">
      <c r="A2492" s="547" t="s">
        <v>430</v>
      </c>
      <c r="B2492" s="548" t="s">
        <v>1415</v>
      </c>
      <c r="C2492" s="547" t="s">
        <v>19</v>
      </c>
      <c r="D2492" s="547" t="s">
        <v>1416</v>
      </c>
      <c r="E2492" s="688" t="s">
        <v>461</v>
      </c>
      <c r="F2492" s="688"/>
      <c r="G2492" s="549" t="s">
        <v>423</v>
      </c>
      <c r="H2492" s="550">
        <v>1</v>
      </c>
      <c r="I2492" s="551">
        <v>54.77</v>
      </c>
      <c r="J2492" s="551">
        <v>54.77</v>
      </c>
      <c r="K2492" s="552"/>
    </row>
    <row r="2493" spans="1:11" ht="25.5" customHeight="1" thickTop="1" x14ac:dyDescent="0.3">
      <c r="A2493" s="562"/>
      <c r="B2493" s="562"/>
      <c r="C2493" s="562"/>
      <c r="D2493" s="562"/>
      <c r="E2493" s="562"/>
      <c r="F2493" s="562"/>
      <c r="G2493" s="562"/>
      <c r="H2493" s="562"/>
      <c r="I2493" s="562"/>
      <c r="J2493" s="562"/>
      <c r="K2493" s="552"/>
    </row>
    <row r="2494" spans="1:11" ht="39" customHeight="1" x14ac:dyDescent="0.3">
      <c r="A2494" s="553"/>
      <c r="B2494" s="554" t="s">
        <v>4</v>
      </c>
      <c r="C2494" s="553" t="s">
        <v>5</v>
      </c>
      <c r="D2494" s="553" t="s">
        <v>6</v>
      </c>
      <c r="E2494" s="691" t="s">
        <v>427</v>
      </c>
      <c r="F2494" s="691"/>
      <c r="G2494" s="555" t="s">
        <v>7</v>
      </c>
      <c r="H2494" s="554" t="s">
        <v>8</v>
      </c>
      <c r="I2494" s="554" t="s">
        <v>9</v>
      </c>
      <c r="J2494" s="554" t="s">
        <v>11</v>
      </c>
      <c r="K2494" s="552"/>
    </row>
    <row r="2495" spans="1:11" ht="38.25" customHeight="1" x14ac:dyDescent="0.3">
      <c r="A2495" s="607" t="s">
        <v>428</v>
      </c>
      <c r="B2495" s="608" t="s">
        <v>1409</v>
      </c>
      <c r="C2495" s="607" t="s">
        <v>19</v>
      </c>
      <c r="D2495" s="607" t="s">
        <v>1410</v>
      </c>
      <c r="E2495" s="690" t="s">
        <v>461</v>
      </c>
      <c r="F2495" s="690"/>
      <c r="G2495" s="609" t="s">
        <v>423</v>
      </c>
      <c r="H2495" s="610">
        <v>1</v>
      </c>
      <c r="I2495" s="611">
        <v>7.12</v>
      </c>
      <c r="J2495" s="611">
        <v>7.12</v>
      </c>
      <c r="K2495" s="552"/>
    </row>
    <row r="2496" spans="1:11" ht="38.25" customHeight="1" thickBot="1" x14ac:dyDescent="0.35">
      <c r="A2496" s="547" t="s">
        <v>433</v>
      </c>
      <c r="B2496" s="548" t="s">
        <v>1417</v>
      </c>
      <c r="C2496" s="547" t="s">
        <v>19</v>
      </c>
      <c r="D2496" s="547" t="s">
        <v>1418</v>
      </c>
      <c r="E2496" s="688" t="s">
        <v>788</v>
      </c>
      <c r="F2496" s="688"/>
      <c r="G2496" s="549" t="s">
        <v>81</v>
      </c>
      <c r="H2496" s="550">
        <v>5.3300000000000001E-5</v>
      </c>
      <c r="I2496" s="551">
        <v>133693.23000000001</v>
      </c>
      <c r="J2496" s="551">
        <v>7.12</v>
      </c>
      <c r="K2496" s="552"/>
    </row>
    <row r="2497" spans="1:11" s="89" customFormat="1" ht="25.5" customHeight="1" thickTop="1" x14ac:dyDescent="0.3">
      <c r="A2497" s="562"/>
      <c r="B2497" s="562"/>
      <c r="C2497" s="562"/>
      <c r="D2497" s="562"/>
      <c r="E2497" s="562"/>
      <c r="F2497" s="562"/>
      <c r="G2497" s="562"/>
      <c r="H2497" s="562"/>
      <c r="I2497" s="562"/>
      <c r="J2497" s="562"/>
      <c r="K2497" s="546"/>
    </row>
    <row r="2498" spans="1:11" x14ac:dyDescent="0.3">
      <c r="A2498" s="553"/>
      <c r="B2498" s="554" t="s">
        <v>4</v>
      </c>
      <c r="C2498" s="553" t="s">
        <v>5</v>
      </c>
      <c r="D2498" s="553" t="s">
        <v>6</v>
      </c>
      <c r="E2498" s="691" t="s">
        <v>427</v>
      </c>
      <c r="F2498" s="691"/>
      <c r="G2498" s="555" t="s">
        <v>7</v>
      </c>
      <c r="H2498" s="554" t="s">
        <v>8</v>
      </c>
      <c r="I2498" s="554" t="s">
        <v>9</v>
      </c>
      <c r="J2498" s="554" t="s">
        <v>11</v>
      </c>
      <c r="K2498" s="552"/>
    </row>
    <row r="2499" spans="1:11" ht="38.25" customHeight="1" x14ac:dyDescent="0.3">
      <c r="A2499" s="607" t="s">
        <v>428</v>
      </c>
      <c r="B2499" s="608" t="s">
        <v>1411</v>
      </c>
      <c r="C2499" s="607" t="s">
        <v>19</v>
      </c>
      <c r="D2499" s="607" t="s">
        <v>1412</v>
      </c>
      <c r="E2499" s="690" t="s">
        <v>461</v>
      </c>
      <c r="F2499" s="690"/>
      <c r="G2499" s="609" t="s">
        <v>423</v>
      </c>
      <c r="H2499" s="610">
        <v>1</v>
      </c>
      <c r="I2499" s="611">
        <v>1.91</v>
      </c>
      <c r="J2499" s="611">
        <v>1.91</v>
      </c>
      <c r="K2499" s="552"/>
    </row>
    <row r="2500" spans="1:11" ht="38.25" customHeight="1" thickBot="1" x14ac:dyDescent="0.35">
      <c r="A2500" s="547" t="s">
        <v>433</v>
      </c>
      <c r="B2500" s="548" t="s">
        <v>1417</v>
      </c>
      <c r="C2500" s="547" t="s">
        <v>19</v>
      </c>
      <c r="D2500" s="547" t="s">
        <v>1418</v>
      </c>
      <c r="E2500" s="688" t="s">
        <v>788</v>
      </c>
      <c r="F2500" s="688"/>
      <c r="G2500" s="549" t="s">
        <v>81</v>
      </c>
      <c r="H2500" s="550">
        <v>1.43E-5</v>
      </c>
      <c r="I2500" s="551">
        <v>133693.23000000001</v>
      </c>
      <c r="J2500" s="551">
        <v>1.91</v>
      </c>
      <c r="K2500" s="552"/>
    </row>
    <row r="2501" spans="1:11" s="89" customFormat="1" ht="25.5" customHeight="1" thickTop="1" x14ac:dyDescent="0.3">
      <c r="A2501" s="562"/>
      <c r="B2501" s="562"/>
      <c r="C2501" s="562"/>
      <c r="D2501" s="562"/>
      <c r="E2501" s="562"/>
      <c r="F2501" s="562"/>
      <c r="G2501" s="562"/>
      <c r="H2501" s="562"/>
      <c r="I2501" s="562"/>
      <c r="J2501" s="562"/>
      <c r="K2501" s="546"/>
    </row>
    <row r="2502" spans="1:11" s="89" customFormat="1" ht="38.25" customHeight="1" x14ac:dyDescent="0.3">
      <c r="A2502" s="553"/>
      <c r="B2502" s="554" t="s">
        <v>4</v>
      </c>
      <c r="C2502" s="553" t="s">
        <v>5</v>
      </c>
      <c r="D2502" s="553" t="s">
        <v>6</v>
      </c>
      <c r="E2502" s="691" t="s">
        <v>427</v>
      </c>
      <c r="F2502" s="691"/>
      <c r="G2502" s="555" t="s">
        <v>7</v>
      </c>
      <c r="H2502" s="554" t="s">
        <v>8</v>
      </c>
      <c r="I2502" s="554" t="s">
        <v>9</v>
      </c>
      <c r="J2502" s="554" t="s">
        <v>11</v>
      </c>
      <c r="K2502" s="546"/>
    </row>
    <row r="2503" spans="1:11" ht="38.25" customHeight="1" x14ac:dyDescent="0.3">
      <c r="A2503" s="607" t="s">
        <v>428</v>
      </c>
      <c r="B2503" s="608" t="s">
        <v>1413</v>
      </c>
      <c r="C2503" s="607" t="s">
        <v>19</v>
      </c>
      <c r="D2503" s="607" t="s">
        <v>1414</v>
      </c>
      <c r="E2503" s="690" t="s">
        <v>461</v>
      </c>
      <c r="F2503" s="690"/>
      <c r="G2503" s="609" t="s">
        <v>423</v>
      </c>
      <c r="H2503" s="610">
        <v>1</v>
      </c>
      <c r="I2503" s="611">
        <v>8.91</v>
      </c>
      <c r="J2503" s="611">
        <v>8.91</v>
      </c>
      <c r="K2503" s="552"/>
    </row>
    <row r="2504" spans="1:11" ht="39" customHeight="1" thickBot="1" x14ac:dyDescent="0.35">
      <c r="A2504" s="547" t="s">
        <v>433</v>
      </c>
      <c r="B2504" s="548" t="s">
        <v>1417</v>
      </c>
      <c r="C2504" s="547" t="s">
        <v>19</v>
      </c>
      <c r="D2504" s="547" t="s">
        <v>1418</v>
      </c>
      <c r="E2504" s="688" t="s">
        <v>788</v>
      </c>
      <c r="F2504" s="688"/>
      <c r="G2504" s="549" t="s">
        <v>81</v>
      </c>
      <c r="H2504" s="550">
        <v>6.6699999999999995E-5</v>
      </c>
      <c r="I2504" s="551">
        <v>133693.23000000001</v>
      </c>
      <c r="J2504" s="551">
        <v>8.91</v>
      </c>
      <c r="K2504" s="552"/>
    </row>
    <row r="2505" spans="1:11" s="89" customFormat="1" ht="25.5" customHeight="1" thickTop="1" x14ac:dyDescent="0.3">
      <c r="A2505" s="562"/>
      <c r="B2505" s="562"/>
      <c r="C2505" s="562"/>
      <c r="D2505" s="562"/>
      <c r="E2505" s="562"/>
      <c r="F2505" s="562"/>
      <c r="G2505" s="562"/>
      <c r="H2505" s="562"/>
      <c r="I2505" s="562"/>
      <c r="J2505" s="562"/>
      <c r="K2505" s="546"/>
    </row>
    <row r="2506" spans="1:11" s="89" customFormat="1" x14ac:dyDescent="0.3">
      <c r="A2506" s="553"/>
      <c r="B2506" s="554" t="s">
        <v>4</v>
      </c>
      <c r="C2506" s="553" t="s">
        <v>5</v>
      </c>
      <c r="D2506" s="553" t="s">
        <v>6</v>
      </c>
      <c r="E2506" s="691" t="s">
        <v>427</v>
      </c>
      <c r="F2506" s="691"/>
      <c r="G2506" s="555" t="s">
        <v>7</v>
      </c>
      <c r="H2506" s="554" t="s">
        <v>8</v>
      </c>
      <c r="I2506" s="554" t="s">
        <v>9</v>
      </c>
      <c r="J2506" s="554" t="s">
        <v>11</v>
      </c>
      <c r="K2506" s="546"/>
    </row>
    <row r="2507" spans="1:11" s="89" customFormat="1" ht="38.25" customHeight="1" x14ac:dyDescent="0.3">
      <c r="A2507" s="607" t="s">
        <v>428</v>
      </c>
      <c r="B2507" s="608" t="s">
        <v>1415</v>
      </c>
      <c r="C2507" s="607" t="s">
        <v>19</v>
      </c>
      <c r="D2507" s="607" t="s">
        <v>1416</v>
      </c>
      <c r="E2507" s="690" t="s">
        <v>461</v>
      </c>
      <c r="F2507" s="690"/>
      <c r="G2507" s="609" t="s">
        <v>423</v>
      </c>
      <c r="H2507" s="610">
        <v>1</v>
      </c>
      <c r="I2507" s="611">
        <v>54.77</v>
      </c>
      <c r="J2507" s="611">
        <v>54.77</v>
      </c>
      <c r="K2507" s="546"/>
    </row>
    <row r="2508" spans="1:11" ht="14.5" thickBot="1" x14ac:dyDescent="0.35">
      <c r="A2508" s="547" t="s">
        <v>433</v>
      </c>
      <c r="B2508" s="548" t="s">
        <v>3859</v>
      </c>
      <c r="C2508" s="547" t="s">
        <v>115</v>
      </c>
      <c r="D2508" s="547" t="s">
        <v>3860</v>
      </c>
      <c r="E2508" s="688" t="s">
        <v>438</v>
      </c>
      <c r="F2508" s="688"/>
      <c r="G2508" s="549" t="s">
        <v>835</v>
      </c>
      <c r="H2508" s="550">
        <v>10.130000000000001</v>
      </c>
      <c r="I2508" s="551">
        <v>5.4069000000000003</v>
      </c>
      <c r="J2508" s="551">
        <v>54.77</v>
      </c>
      <c r="K2508" s="552"/>
    </row>
    <row r="2509" spans="1:11" s="89" customFormat="1" ht="38.25" customHeight="1" thickTop="1" x14ac:dyDescent="0.3">
      <c r="A2509" s="562"/>
      <c r="B2509" s="562"/>
      <c r="C2509" s="562"/>
      <c r="D2509" s="562"/>
      <c r="E2509" s="562"/>
      <c r="F2509" s="562"/>
      <c r="G2509" s="562"/>
      <c r="H2509" s="562"/>
      <c r="I2509" s="562"/>
      <c r="J2509" s="562"/>
      <c r="K2509" s="546"/>
    </row>
    <row r="2510" spans="1:11" x14ac:dyDescent="0.3">
      <c r="A2510" s="553"/>
      <c r="B2510" s="554" t="s">
        <v>4</v>
      </c>
      <c r="C2510" s="553" t="s">
        <v>5</v>
      </c>
      <c r="D2510" s="553" t="s">
        <v>6</v>
      </c>
      <c r="E2510" s="691" t="s">
        <v>427</v>
      </c>
      <c r="F2510" s="691"/>
      <c r="G2510" s="555" t="s">
        <v>7</v>
      </c>
      <c r="H2510" s="554" t="s">
        <v>8</v>
      </c>
      <c r="I2510" s="554" t="s">
        <v>9</v>
      </c>
      <c r="J2510" s="554" t="s">
        <v>11</v>
      </c>
      <c r="K2510" s="552"/>
    </row>
    <row r="2511" spans="1:11" ht="38.25" customHeight="1" x14ac:dyDescent="0.3">
      <c r="A2511" s="607" t="s">
        <v>428</v>
      </c>
      <c r="B2511" s="608" t="s">
        <v>3671</v>
      </c>
      <c r="C2511" s="607" t="s">
        <v>19</v>
      </c>
      <c r="D2511" s="607" t="s">
        <v>3672</v>
      </c>
      <c r="E2511" s="690" t="s">
        <v>461</v>
      </c>
      <c r="F2511" s="690"/>
      <c r="G2511" s="609" t="s">
        <v>102</v>
      </c>
      <c r="H2511" s="610">
        <v>1</v>
      </c>
      <c r="I2511" s="611">
        <v>22.94</v>
      </c>
      <c r="J2511" s="611">
        <v>22.94</v>
      </c>
      <c r="K2511" s="552"/>
    </row>
    <row r="2512" spans="1:11" ht="38.25" customHeight="1" x14ac:dyDescent="0.3">
      <c r="A2512" s="547" t="s">
        <v>430</v>
      </c>
      <c r="B2512" s="548" t="s">
        <v>3673</v>
      </c>
      <c r="C2512" s="547" t="s">
        <v>19</v>
      </c>
      <c r="D2512" s="547" t="s">
        <v>3674</v>
      </c>
      <c r="E2512" s="688" t="s">
        <v>461</v>
      </c>
      <c r="F2512" s="688"/>
      <c r="G2512" s="549" t="s">
        <v>423</v>
      </c>
      <c r="H2512" s="550">
        <v>1</v>
      </c>
      <c r="I2512" s="551">
        <v>18.09</v>
      </c>
      <c r="J2512" s="551">
        <v>18.09</v>
      </c>
      <c r="K2512" s="552"/>
    </row>
    <row r="2513" spans="1:11" s="89" customFormat="1" ht="38.25" customHeight="1" thickBot="1" x14ac:dyDescent="0.35">
      <c r="A2513" s="547" t="s">
        <v>430</v>
      </c>
      <c r="B2513" s="548" t="s">
        <v>3675</v>
      </c>
      <c r="C2513" s="547" t="s">
        <v>19</v>
      </c>
      <c r="D2513" s="547" t="s">
        <v>3676</v>
      </c>
      <c r="E2513" s="688" t="s">
        <v>461</v>
      </c>
      <c r="F2513" s="688"/>
      <c r="G2513" s="549" t="s">
        <v>423</v>
      </c>
      <c r="H2513" s="550">
        <v>1</v>
      </c>
      <c r="I2513" s="551">
        <v>4.8499999999999996</v>
      </c>
      <c r="J2513" s="551">
        <v>4.8499999999999996</v>
      </c>
      <c r="K2513" s="546"/>
    </row>
    <row r="2514" spans="1:11" s="89" customFormat="1" ht="38.25" customHeight="1" thickTop="1" x14ac:dyDescent="0.3">
      <c r="A2514" s="562"/>
      <c r="B2514" s="562"/>
      <c r="C2514" s="562"/>
      <c r="D2514" s="562"/>
      <c r="E2514" s="562"/>
      <c r="F2514" s="562"/>
      <c r="G2514" s="562"/>
      <c r="H2514" s="562"/>
      <c r="I2514" s="562"/>
      <c r="J2514" s="562"/>
      <c r="K2514" s="546"/>
    </row>
    <row r="2515" spans="1:11" ht="38.25" customHeight="1" x14ac:dyDescent="0.3">
      <c r="A2515" s="553"/>
      <c r="B2515" s="554" t="s">
        <v>4</v>
      </c>
      <c r="C2515" s="553" t="s">
        <v>5</v>
      </c>
      <c r="D2515" s="553" t="s">
        <v>6</v>
      </c>
      <c r="E2515" s="691" t="s">
        <v>427</v>
      </c>
      <c r="F2515" s="691"/>
      <c r="G2515" s="555" t="s">
        <v>7</v>
      </c>
      <c r="H2515" s="554" t="s">
        <v>8</v>
      </c>
      <c r="I2515" s="554" t="s">
        <v>9</v>
      </c>
      <c r="J2515" s="554" t="s">
        <v>11</v>
      </c>
      <c r="K2515" s="552"/>
    </row>
    <row r="2516" spans="1:11" s="89" customFormat="1" ht="38.25" customHeight="1" x14ac:dyDescent="0.3">
      <c r="A2516" s="607" t="s">
        <v>428</v>
      </c>
      <c r="B2516" s="608" t="s">
        <v>3677</v>
      </c>
      <c r="C2516" s="607" t="s">
        <v>19</v>
      </c>
      <c r="D2516" s="607" t="s">
        <v>3678</v>
      </c>
      <c r="E2516" s="690" t="s">
        <v>461</v>
      </c>
      <c r="F2516" s="690"/>
      <c r="G2516" s="609" t="s">
        <v>95</v>
      </c>
      <c r="H2516" s="610">
        <v>1</v>
      </c>
      <c r="I2516" s="611">
        <v>187.66</v>
      </c>
      <c r="J2516" s="611">
        <v>187.66</v>
      </c>
      <c r="K2516" s="546"/>
    </row>
    <row r="2517" spans="1:11" ht="39" customHeight="1" x14ac:dyDescent="0.3">
      <c r="A2517" s="547" t="s">
        <v>430</v>
      </c>
      <c r="B2517" s="548" t="s">
        <v>3673</v>
      </c>
      <c r="C2517" s="547" t="s">
        <v>19</v>
      </c>
      <c r="D2517" s="547" t="s">
        <v>3674</v>
      </c>
      <c r="E2517" s="688" t="s">
        <v>461</v>
      </c>
      <c r="F2517" s="688"/>
      <c r="G2517" s="549" t="s">
        <v>423</v>
      </c>
      <c r="H2517" s="550">
        <v>1</v>
      </c>
      <c r="I2517" s="551">
        <v>18.09</v>
      </c>
      <c r="J2517" s="551">
        <v>18.09</v>
      </c>
      <c r="K2517" s="552"/>
    </row>
    <row r="2518" spans="1:11" s="89" customFormat="1" ht="38.25" customHeight="1" x14ac:dyDescent="0.3">
      <c r="A2518" s="547" t="s">
        <v>430</v>
      </c>
      <c r="B2518" s="548" t="s">
        <v>3675</v>
      </c>
      <c r="C2518" s="547" t="s">
        <v>19</v>
      </c>
      <c r="D2518" s="547" t="s">
        <v>3676</v>
      </c>
      <c r="E2518" s="688" t="s">
        <v>461</v>
      </c>
      <c r="F2518" s="688"/>
      <c r="G2518" s="549" t="s">
        <v>423</v>
      </c>
      <c r="H2518" s="550">
        <v>1</v>
      </c>
      <c r="I2518" s="551">
        <v>4.8499999999999996</v>
      </c>
      <c r="J2518" s="551">
        <v>4.8499999999999996</v>
      </c>
      <c r="K2518" s="546"/>
    </row>
    <row r="2519" spans="1:11" ht="38.25" customHeight="1" x14ac:dyDescent="0.3">
      <c r="A2519" s="547" t="s">
        <v>430</v>
      </c>
      <c r="B2519" s="548" t="s">
        <v>3679</v>
      </c>
      <c r="C2519" s="547" t="s">
        <v>19</v>
      </c>
      <c r="D2519" s="547" t="s">
        <v>3680</v>
      </c>
      <c r="E2519" s="688" t="s">
        <v>461</v>
      </c>
      <c r="F2519" s="688"/>
      <c r="G2519" s="549" t="s">
        <v>423</v>
      </c>
      <c r="H2519" s="550">
        <v>1</v>
      </c>
      <c r="I2519" s="551">
        <v>22.63</v>
      </c>
      <c r="J2519" s="551">
        <v>22.63</v>
      </c>
      <c r="K2519" s="552"/>
    </row>
    <row r="2520" spans="1:11" s="89" customFormat="1" ht="38.25" customHeight="1" thickBot="1" x14ac:dyDescent="0.35">
      <c r="A2520" s="547" t="s">
        <v>430</v>
      </c>
      <c r="B2520" s="548" t="s">
        <v>3681</v>
      </c>
      <c r="C2520" s="547" t="s">
        <v>19</v>
      </c>
      <c r="D2520" s="547" t="s">
        <v>3682</v>
      </c>
      <c r="E2520" s="688" t="s">
        <v>461</v>
      </c>
      <c r="F2520" s="688"/>
      <c r="G2520" s="549" t="s">
        <v>423</v>
      </c>
      <c r="H2520" s="550">
        <v>1</v>
      </c>
      <c r="I2520" s="551">
        <v>142.09</v>
      </c>
      <c r="J2520" s="551">
        <v>142.09</v>
      </c>
      <c r="K2520" s="546"/>
    </row>
    <row r="2521" spans="1:11" ht="14.5" thickTop="1" x14ac:dyDescent="0.3">
      <c r="A2521" s="562"/>
      <c r="B2521" s="562"/>
      <c r="C2521" s="562"/>
      <c r="D2521" s="562"/>
      <c r="E2521" s="562"/>
      <c r="F2521" s="562"/>
      <c r="G2521" s="562"/>
      <c r="H2521" s="562"/>
      <c r="I2521" s="562"/>
      <c r="J2521" s="562"/>
      <c r="K2521" s="552"/>
    </row>
    <row r="2522" spans="1:11" s="89" customFormat="1" x14ac:dyDescent="0.3">
      <c r="A2522" s="553"/>
      <c r="B2522" s="554" t="s">
        <v>4</v>
      </c>
      <c r="C2522" s="553" t="s">
        <v>5</v>
      </c>
      <c r="D2522" s="553" t="s">
        <v>6</v>
      </c>
      <c r="E2522" s="691" t="s">
        <v>427</v>
      </c>
      <c r="F2522" s="691"/>
      <c r="G2522" s="555" t="s">
        <v>7</v>
      </c>
      <c r="H2522" s="554" t="s">
        <v>8</v>
      </c>
      <c r="I2522" s="554" t="s">
        <v>9</v>
      </c>
      <c r="J2522" s="554" t="s">
        <v>11</v>
      </c>
      <c r="K2522" s="546"/>
    </row>
    <row r="2523" spans="1:11" s="89" customFormat="1" ht="38.25" customHeight="1" x14ac:dyDescent="0.3">
      <c r="A2523" s="607" t="s">
        <v>428</v>
      </c>
      <c r="B2523" s="608" t="s">
        <v>3673</v>
      </c>
      <c r="C2523" s="607" t="s">
        <v>19</v>
      </c>
      <c r="D2523" s="607" t="s">
        <v>3674</v>
      </c>
      <c r="E2523" s="690" t="s">
        <v>461</v>
      </c>
      <c r="F2523" s="690"/>
      <c r="G2523" s="609" t="s">
        <v>423</v>
      </c>
      <c r="H2523" s="610">
        <v>1</v>
      </c>
      <c r="I2523" s="611">
        <v>18.09</v>
      </c>
      <c r="J2523" s="611">
        <v>18.09</v>
      </c>
      <c r="K2523" s="546"/>
    </row>
    <row r="2524" spans="1:11" s="89" customFormat="1" ht="38.25" customHeight="1" thickBot="1" x14ac:dyDescent="0.35">
      <c r="A2524" s="547" t="s">
        <v>433</v>
      </c>
      <c r="B2524" s="548" t="s">
        <v>3683</v>
      </c>
      <c r="C2524" s="547" t="s">
        <v>19</v>
      </c>
      <c r="D2524" s="547" t="s">
        <v>3684</v>
      </c>
      <c r="E2524" s="688" t="s">
        <v>438</v>
      </c>
      <c r="F2524" s="688"/>
      <c r="G2524" s="549" t="s">
        <v>81</v>
      </c>
      <c r="H2524" s="550">
        <v>5.3300000000000001E-5</v>
      </c>
      <c r="I2524" s="551">
        <v>339417.97</v>
      </c>
      <c r="J2524" s="551">
        <v>18.09</v>
      </c>
      <c r="K2524" s="546"/>
    </row>
    <row r="2525" spans="1:11" ht="39" customHeight="1" thickTop="1" x14ac:dyDescent="0.3">
      <c r="A2525" s="562"/>
      <c r="B2525" s="562"/>
      <c r="C2525" s="562"/>
      <c r="D2525" s="562"/>
      <c r="E2525" s="562"/>
      <c r="F2525" s="562"/>
      <c r="G2525" s="562"/>
      <c r="H2525" s="562"/>
      <c r="I2525" s="562"/>
      <c r="J2525" s="562"/>
      <c r="K2525" s="552"/>
    </row>
    <row r="2526" spans="1:11" s="89" customFormat="1" x14ac:dyDescent="0.3">
      <c r="A2526" s="553"/>
      <c r="B2526" s="554" t="s">
        <v>4</v>
      </c>
      <c r="C2526" s="553" t="s">
        <v>5</v>
      </c>
      <c r="D2526" s="553" t="s">
        <v>6</v>
      </c>
      <c r="E2526" s="691" t="s">
        <v>427</v>
      </c>
      <c r="F2526" s="691"/>
      <c r="G2526" s="555" t="s">
        <v>7</v>
      </c>
      <c r="H2526" s="554" t="s">
        <v>8</v>
      </c>
      <c r="I2526" s="554" t="s">
        <v>9</v>
      </c>
      <c r="J2526" s="554" t="s">
        <v>11</v>
      </c>
      <c r="K2526" s="546"/>
    </row>
    <row r="2527" spans="1:11" s="89" customFormat="1" ht="38.25" customHeight="1" x14ac:dyDescent="0.3">
      <c r="A2527" s="607" t="s">
        <v>428</v>
      </c>
      <c r="B2527" s="608" t="s">
        <v>3675</v>
      </c>
      <c r="C2527" s="607" t="s">
        <v>19</v>
      </c>
      <c r="D2527" s="607" t="s">
        <v>3676</v>
      </c>
      <c r="E2527" s="690" t="s">
        <v>461</v>
      </c>
      <c r="F2527" s="690"/>
      <c r="G2527" s="609" t="s">
        <v>423</v>
      </c>
      <c r="H2527" s="610">
        <v>1</v>
      </c>
      <c r="I2527" s="611">
        <v>4.8499999999999996</v>
      </c>
      <c r="J2527" s="611">
        <v>4.8499999999999996</v>
      </c>
      <c r="K2527" s="546"/>
    </row>
    <row r="2528" spans="1:11" s="89" customFormat="1" ht="38.25" customHeight="1" thickBot="1" x14ac:dyDescent="0.35">
      <c r="A2528" s="547" t="s">
        <v>433</v>
      </c>
      <c r="B2528" s="548" t="s">
        <v>3683</v>
      </c>
      <c r="C2528" s="547" t="s">
        <v>19</v>
      </c>
      <c r="D2528" s="547" t="s">
        <v>3684</v>
      </c>
      <c r="E2528" s="688" t="s">
        <v>438</v>
      </c>
      <c r="F2528" s="688"/>
      <c r="G2528" s="549" t="s">
        <v>81</v>
      </c>
      <c r="H2528" s="550">
        <v>1.43E-5</v>
      </c>
      <c r="I2528" s="551">
        <v>339417.97</v>
      </c>
      <c r="J2528" s="551">
        <v>4.8499999999999996</v>
      </c>
      <c r="K2528" s="546"/>
    </row>
    <row r="2529" spans="1:11" ht="38.25" customHeight="1" thickTop="1" x14ac:dyDescent="0.3">
      <c r="A2529" s="562"/>
      <c r="B2529" s="562"/>
      <c r="C2529" s="562"/>
      <c r="D2529" s="562"/>
      <c r="E2529" s="562"/>
      <c r="F2529" s="562"/>
      <c r="G2529" s="562"/>
      <c r="H2529" s="562"/>
      <c r="I2529" s="562"/>
      <c r="J2529" s="562"/>
      <c r="K2529" s="552"/>
    </row>
    <row r="2530" spans="1:11" ht="38.25" customHeight="1" x14ac:dyDescent="0.3">
      <c r="A2530" s="553"/>
      <c r="B2530" s="554" t="s">
        <v>4</v>
      </c>
      <c r="C2530" s="553" t="s">
        <v>5</v>
      </c>
      <c r="D2530" s="553" t="s">
        <v>6</v>
      </c>
      <c r="E2530" s="691" t="s">
        <v>427</v>
      </c>
      <c r="F2530" s="691"/>
      <c r="G2530" s="555" t="s">
        <v>7</v>
      </c>
      <c r="H2530" s="554" t="s">
        <v>8</v>
      </c>
      <c r="I2530" s="554" t="s">
        <v>9</v>
      </c>
      <c r="J2530" s="554" t="s">
        <v>11</v>
      </c>
      <c r="K2530" s="552"/>
    </row>
    <row r="2531" spans="1:11" ht="38.25" customHeight="1" x14ac:dyDescent="0.3">
      <c r="A2531" s="607" t="s">
        <v>428</v>
      </c>
      <c r="B2531" s="608" t="s">
        <v>3679</v>
      </c>
      <c r="C2531" s="607" t="s">
        <v>19</v>
      </c>
      <c r="D2531" s="607" t="s">
        <v>3680</v>
      </c>
      <c r="E2531" s="690" t="s">
        <v>461</v>
      </c>
      <c r="F2531" s="690"/>
      <c r="G2531" s="609" t="s">
        <v>423</v>
      </c>
      <c r="H2531" s="610">
        <v>1</v>
      </c>
      <c r="I2531" s="611">
        <v>22.63</v>
      </c>
      <c r="J2531" s="611">
        <v>22.63</v>
      </c>
      <c r="K2531" s="552"/>
    </row>
    <row r="2532" spans="1:11" s="89" customFormat="1" ht="38.25" customHeight="1" thickBot="1" x14ac:dyDescent="0.35">
      <c r="A2532" s="547" t="s">
        <v>433</v>
      </c>
      <c r="B2532" s="548" t="s">
        <v>3683</v>
      </c>
      <c r="C2532" s="547" t="s">
        <v>19</v>
      </c>
      <c r="D2532" s="547" t="s">
        <v>3684</v>
      </c>
      <c r="E2532" s="688" t="s">
        <v>438</v>
      </c>
      <c r="F2532" s="688"/>
      <c r="G2532" s="549" t="s">
        <v>81</v>
      </c>
      <c r="H2532" s="550">
        <v>6.6699999999999995E-5</v>
      </c>
      <c r="I2532" s="551">
        <v>339417.97</v>
      </c>
      <c r="J2532" s="551">
        <v>22.63</v>
      </c>
      <c r="K2532" s="546"/>
    </row>
    <row r="2533" spans="1:11" ht="14.5" thickTop="1" x14ac:dyDescent="0.3">
      <c r="A2533" s="562"/>
      <c r="B2533" s="562"/>
      <c r="C2533" s="562"/>
      <c r="D2533" s="562"/>
      <c r="E2533" s="562"/>
      <c r="F2533" s="562"/>
      <c r="G2533" s="562"/>
      <c r="H2533" s="562"/>
      <c r="I2533" s="562"/>
      <c r="J2533" s="562"/>
      <c r="K2533" s="552"/>
    </row>
    <row r="2534" spans="1:11" x14ac:dyDescent="0.3">
      <c r="A2534" s="553"/>
      <c r="B2534" s="554" t="s">
        <v>4</v>
      </c>
      <c r="C2534" s="553" t="s">
        <v>5</v>
      </c>
      <c r="D2534" s="553" t="s">
        <v>6</v>
      </c>
      <c r="E2534" s="691" t="s">
        <v>427</v>
      </c>
      <c r="F2534" s="691"/>
      <c r="G2534" s="555" t="s">
        <v>7</v>
      </c>
      <c r="H2534" s="554" t="s">
        <v>8</v>
      </c>
      <c r="I2534" s="554" t="s">
        <v>9</v>
      </c>
      <c r="J2534" s="554" t="s">
        <v>11</v>
      </c>
      <c r="K2534" s="552"/>
    </row>
    <row r="2535" spans="1:11" s="89" customFormat="1" ht="38.25" customHeight="1" x14ac:dyDescent="0.3">
      <c r="A2535" s="607" t="s">
        <v>428</v>
      </c>
      <c r="B2535" s="608" t="s">
        <v>3681</v>
      </c>
      <c r="C2535" s="607" t="s">
        <v>19</v>
      </c>
      <c r="D2535" s="607" t="s">
        <v>3682</v>
      </c>
      <c r="E2535" s="690" t="s">
        <v>461</v>
      </c>
      <c r="F2535" s="690"/>
      <c r="G2535" s="609" t="s">
        <v>423</v>
      </c>
      <c r="H2535" s="610">
        <v>1</v>
      </c>
      <c r="I2535" s="611">
        <v>142.09</v>
      </c>
      <c r="J2535" s="611">
        <v>142.09</v>
      </c>
      <c r="K2535" s="546"/>
    </row>
    <row r="2536" spans="1:11" s="89" customFormat="1" ht="38.25" customHeight="1" thickBot="1" x14ac:dyDescent="0.35">
      <c r="A2536" s="547" t="s">
        <v>433</v>
      </c>
      <c r="B2536" s="548" t="s">
        <v>3859</v>
      </c>
      <c r="C2536" s="547" t="s">
        <v>115</v>
      </c>
      <c r="D2536" s="547" t="s">
        <v>3860</v>
      </c>
      <c r="E2536" s="688" t="s">
        <v>438</v>
      </c>
      <c r="F2536" s="688"/>
      <c r="G2536" s="549" t="s">
        <v>835</v>
      </c>
      <c r="H2536" s="550">
        <v>26.28</v>
      </c>
      <c r="I2536" s="551">
        <v>5.4069000000000003</v>
      </c>
      <c r="J2536" s="551">
        <v>142.09</v>
      </c>
      <c r="K2536" s="546"/>
    </row>
    <row r="2537" spans="1:11" ht="38.25" customHeight="1" thickTop="1" x14ac:dyDescent="0.3">
      <c r="A2537" s="562"/>
      <c r="B2537" s="562"/>
      <c r="C2537" s="562"/>
      <c r="D2537" s="562"/>
      <c r="E2537" s="562"/>
      <c r="F2537" s="562"/>
      <c r="G2537" s="562"/>
      <c r="H2537" s="562"/>
      <c r="I2537" s="562"/>
      <c r="J2537" s="562"/>
      <c r="K2537" s="552"/>
    </row>
    <row r="2538" spans="1:11" ht="39" customHeight="1" x14ac:dyDescent="0.3">
      <c r="A2538" s="553"/>
      <c r="B2538" s="554" t="s">
        <v>4</v>
      </c>
      <c r="C2538" s="553" t="s">
        <v>5</v>
      </c>
      <c r="D2538" s="553" t="s">
        <v>6</v>
      </c>
      <c r="E2538" s="691" t="s">
        <v>427</v>
      </c>
      <c r="F2538" s="691"/>
      <c r="G2538" s="555" t="s">
        <v>7</v>
      </c>
      <c r="H2538" s="554" t="s">
        <v>8</v>
      </c>
      <c r="I2538" s="554" t="s">
        <v>9</v>
      </c>
      <c r="J2538" s="554" t="s">
        <v>11</v>
      </c>
      <c r="K2538" s="552"/>
    </row>
    <row r="2539" spans="1:11" ht="38.25" customHeight="1" x14ac:dyDescent="0.3">
      <c r="A2539" s="607" t="s">
        <v>428</v>
      </c>
      <c r="B2539" s="608" t="s">
        <v>1026</v>
      </c>
      <c r="C2539" s="607" t="s">
        <v>19</v>
      </c>
      <c r="D2539" s="607" t="s">
        <v>1027</v>
      </c>
      <c r="E2539" s="690" t="s">
        <v>619</v>
      </c>
      <c r="F2539" s="690"/>
      <c r="G2539" s="609" t="s">
        <v>532</v>
      </c>
      <c r="H2539" s="610">
        <v>1</v>
      </c>
      <c r="I2539" s="611">
        <v>817.03</v>
      </c>
      <c r="J2539" s="611">
        <v>817.03</v>
      </c>
      <c r="K2539" s="552"/>
    </row>
    <row r="2540" spans="1:11" s="89" customFormat="1" ht="15" customHeight="1" x14ac:dyDescent="0.3">
      <c r="A2540" s="547" t="s">
        <v>430</v>
      </c>
      <c r="B2540" s="548" t="s">
        <v>559</v>
      </c>
      <c r="C2540" s="547" t="s">
        <v>19</v>
      </c>
      <c r="D2540" s="547" t="s">
        <v>560</v>
      </c>
      <c r="E2540" s="688" t="s">
        <v>429</v>
      </c>
      <c r="F2540" s="688"/>
      <c r="G2540" s="549" t="s">
        <v>423</v>
      </c>
      <c r="H2540" s="550">
        <v>6.2382999999999997</v>
      </c>
      <c r="I2540" s="551">
        <v>23.4</v>
      </c>
      <c r="J2540" s="551">
        <v>145.97</v>
      </c>
      <c r="K2540" s="546"/>
    </row>
    <row r="2541" spans="1:11" s="89" customFormat="1" ht="38.25" customHeight="1" x14ac:dyDescent="0.3">
      <c r="A2541" s="547" t="s">
        <v>433</v>
      </c>
      <c r="B2541" s="548" t="s">
        <v>820</v>
      </c>
      <c r="C2541" s="547" t="s">
        <v>115</v>
      </c>
      <c r="D2541" s="547" t="s">
        <v>821</v>
      </c>
      <c r="E2541" s="688" t="s">
        <v>438</v>
      </c>
      <c r="F2541" s="688"/>
      <c r="G2541" s="549" t="s">
        <v>532</v>
      </c>
      <c r="H2541" s="550">
        <v>0.83479999999999999</v>
      </c>
      <c r="I2541" s="551">
        <v>149.36019999999999</v>
      </c>
      <c r="J2541" s="551">
        <v>124.68</v>
      </c>
      <c r="K2541" s="546"/>
    </row>
    <row r="2542" spans="1:11" s="89" customFormat="1" ht="38.25" customHeight="1" x14ac:dyDescent="0.3">
      <c r="A2542" s="547" t="s">
        <v>433</v>
      </c>
      <c r="B2542" s="548" t="s">
        <v>3844</v>
      </c>
      <c r="C2542" s="547" t="s">
        <v>115</v>
      </c>
      <c r="D2542" s="547" t="s">
        <v>3845</v>
      </c>
      <c r="E2542" s="688" t="s">
        <v>438</v>
      </c>
      <c r="F2542" s="688"/>
      <c r="G2542" s="549" t="s">
        <v>655</v>
      </c>
      <c r="H2542" s="550">
        <v>283.30919999999998</v>
      </c>
      <c r="I2542" s="551">
        <v>0.56679999999999997</v>
      </c>
      <c r="J2542" s="551">
        <v>160.57</v>
      </c>
      <c r="K2542" s="546"/>
    </row>
    <row r="2543" spans="1:11" ht="38.25" customHeight="1" thickBot="1" x14ac:dyDescent="0.35">
      <c r="A2543" s="547" t="s">
        <v>433</v>
      </c>
      <c r="B2543" s="548" t="s">
        <v>1419</v>
      </c>
      <c r="C2543" s="547" t="s">
        <v>19</v>
      </c>
      <c r="D2543" s="547" t="s">
        <v>1420</v>
      </c>
      <c r="E2543" s="688" t="s">
        <v>438</v>
      </c>
      <c r="F2543" s="688"/>
      <c r="G2543" s="549" t="s">
        <v>532</v>
      </c>
      <c r="H2543" s="550">
        <v>0.59460000000000002</v>
      </c>
      <c r="I2543" s="551">
        <v>648.87</v>
      </c>
      <c r="J2543" s="551">
        <v>385.81</v>
      </c>
      <c r="K2543" s="552"/>
    </row>
    <row r="2544" spans="1:11" s="89" customFormat="1" ht="38.25" customHeight="1" thickTop="1" x14ac:dyDescent="0.3">
      <c r="A2544" s="562"/>
      <c r="B2544" s="562"/>
      <c r="C2544" s="562"/>
      <c r="D2544" s="562"/>
      <c r="E2544" s="562"/>
      <c r="F2544" s="562"/>
      <c r="G2544" s="562"/>
      <c r="H2544" s="562"/>
      <c r="I2544" s="562"/>
      <c r="J2544" s="562"/>
      <c r="K2544" s="546"/>
    </row>
    <row r="2545" spans="1:11" ht="39" customHeight="1" x14ac:dyDescent="0.3">
      <c r="A2545" s="553"/>
      <c r="B2545" s="554" t="s">
        <v>4</v>
      </c>
      <c r="C2545" s="553" t="s">
        <v>5</v>
      </c>
      <c r="D2545" s="553" t="s">
        <v>6</v>
      </c>
      <c r="E2545" s="691" t="s">
        <v>427</v>
      </c>
      <c r="F2545" s="691"/>
      <c r="G2545" s="555" t="s">
        <v>7</v>
      </c>
      <c r="H2545" s="554" t="s">
        <v>8</v>
      </c>
      <c r="I2545" s="554" t="s">
        <v>9</v>
      </c>
      <c r="J2545" s="554" t="s">
        <v>11</v>
      </c>
      <c r="K2545" s="552"/>
    </row>
    <row r="2546" spans="1:11" s="89" customFormat="1" ht="37.5" x14ac:dyDescent="0.3">
      <c r="A2546" s="607" t="s">
        <v>428</v>
      </c>
      <c r="B2546" s="608" t="s">
        <v>910</v>
      </c>
      <c r="C2546" s="607" t="s">
        <v>19</v>
      </c>
      <c r="D2546" s="607" t="s">
        <v>911</v>
      </c>
      <c r="E2546" s="690" t="s">
        <v>619</v>
      </c>
      <c r="F2546" s="690"/>
      <c r="G2546" s="609" t="s">
        <v>532</v>
      </c>
      <c r="H2546" s="610">
        <v>1</v>
      </c>
      <c r="I2546" s="611">
        <v>468.89</v>
      </c>
      <c r="J2546" s="611">
        <v>468.89</v>
      </c>
      <c r="K2546" s="546"/>
    </row>
    <row r="2547" spans="1:11" ht="38.25" customHeight="1" x14ac:dyDescent="0.3">
      <c r="A2547" s="547" t="s">
        <v>430</v>
      </c>
      <c r="B2547" s="548" t="s">
        <v>559</v>
      </c>
      <c r="C2547" s="547" t="s">
        <v>19</v>
      </c>
      <c r="D2547" s="547" t="s">
        <v>560</v>
      </c>
      <c r="E2547" s="688" t="s">
        <v>429</v>
      </c>
      <c r="F2547" s="688"/>
      <c r="G2547" s="549" t="s">
        <v>423</v>
      </c>
      <c r="H2547" s="550">
        <v>2.5333000000000001</v>
      </c>
      <c r="I2547" s="551">
        <v>23.4</v>
      </c>
      <c r="J2547" s="551">
        <v>59.27</v>
      </c>
      <c r="K2547" s="552"/>
    </row>
    <row r="2548" spans="1:11" s="89" customFormat="1" ht="38.25" customHeight="1" x14ac:dyDescent="0.3">
      <c r="A2548" s="547" t="s">
        <v>430</v>
      </c>
      <c r="B2548" s="548" t="s">
        <v>816</v>
      </c>
      <c r="C2548" s="547" t="s">
        <v>19</v>
      </c>
      <c r="D2548" s="547" t="s">
        <v>817</v>
      </c>
      <c r="E2548" s="688" t="s">
        <v>429</v>
      </c>
      <c r="F2548" s="688"/>
      <c r="G2548" s="549" t="s">
        <v>423</v>
      </c>
      <c r="H2548" s="550">
        <v>1.6046</v>
      </c>
      <c r="I2548" s="551">
        <v>25.72</v>
      </c>
      <c r="J2548" s="551">
        <v>41.27</v>
      </c>
      <c r="K2548" s="546"/>
    </row>
    <row r="2549" spans="1:11" ht="38.25" customHeight="1" x14ac:dyDescent="0.3">
      <c r="A2549" s="547" t="s">
        <v>430</v>
      </c>
      <c r="B2549" s="548" t="s">
        <v>1163</v>
      </c>
      <c r="C2549" s="547" t="s">
        <v>19</v>
      </c>
      <c r="D2549" s="547" t="s">
        <v>3596</v>
      </c>
      <c r="E2549" s="688" t="s">
        <v>461</v>
      </c>
      <c r="F2549" s="688"/>
      <c r="G2549" s="549" t="s">
        <v>95</v>
      </c>
      <c r="H2549" s="550">
        <v>0.82589999999999997</v>
      </c>
      <c r="I2549" s="551">
        <v>1.66</v>
      </c>
      <c r="J2549" s="551">
        <v>1.37</v>
      </c>
      <c r="K2549" s="552"/>
    </row>
    <row r="2550" spans="1:11" s="89" customFormat="1" ht="38.25" customHeight="1" x14ac:dyDescent="0.3">
      <c r="A2550" s="547" t="s">
        <v>430</v>
      </c>
      <c r="B2550" s="548" t="s">
        <v>1164</v>
      </c>
      <c r="C2550" s="547" t="s">
        <v>19</v>
      </c>
      <c r="D2550" s="547" t="s">
        <v>3597</v>
      </c>
      <c r="E2550" s="688" t="s">
        <v>461</v>
      </c>
      <c r="F2550" s="688"/>
      <c r="G2550" s="549" t="s">
        <v>102</v>
      </c>
      <c r="H2550" s="550">
        <v>0.77869999999999995</v>
      </c>
      <c r="I2550" s="551">
        <v>0.4</v>
      </c>
      <c r="J2550" s="551">
        <v>0.31</v>
      </c>
      <c r="K2550" s="546"/>
    </row>
    <row r="2551" spans="1:11" ht="38.25" customHeight="1" x14ac:dyDescent="0.3">
      <c r="A2551" s="547" t="s">
        <v>433</v>
      </c>
      <c r="B2551" s="548" t="s">
        <v>820</v>
      </c>
      <c r="C2551" s="547" t="s">
        <v>115</v>
      </c>
      <c r="D2551" s="547" t="s">
        <v>821</v>
      </c>
      <c r="E2551" s="688" t="s">
        <v>438</v>
      </c>
      <c r="F2551" s="688"/>
      <c r="G2551" s="549" t="s">
        <v>532</v>
      </c>
      <c r="H2551" s="550">
        <v>0.75580000000000003</v>
      </c>
      <c r="I2551" s="551">
        <v>149.36019999999999</v>
      </c>
      <c r="J2551" s="551">
        <v>112.88</v>
      </c>
      <c r="K2551" s="552"/>
    </row>
    <row r="2552" spans="1:11" s="89" customFormat="1" ht="38.25" customHeight="1" x14ac:dyDescent="0.3">
      <c r="A2552" s="547" t="s">
        <v>433</v>
      </c>
      <c r="B2552" s="548" t="s">
        <v>3844</v>
      </c>
      <c r="C2552" s="547" t="s">
        <v>115</v>
      </c>
      <c r="D2552" s="547" t="s">
        <v>3845</v>
      </c>
      <c r="E2552" s="688" t="s">
        <v>438</v>
      </c>
      <c r="F2552" s="688"/>
      <c r="G2552" s="549" t="s">
        <v>655</v>
      </c>
      <c r="H2552" s="550">
        <v>322.97770000000003</v>
      </c>
      <c r="I2552" s="551">
        <v>0.56679999999999997</v>
      </c>
      <c r="J2552" s="551">
        <v>183.06</v>
      </c>
      <c r="K2552" s="546"/>
    </row>
    <row r="2553" spans="1:11" ht="39" customHeight="1" thickBot="1" x14ac:dyDescent="0.35">
      <c r="A2553" s="547" t="s">
        <v>433</v>
      </c>
      <c r="B2553" s="548" t="s">
        <v>822</v>
      </c>
      <c r="C2553" s="547" t="s">
        <v>115</v>
      </c>
      <c r="D2553" s="547" t="s">
        <v>823</v>
      </c>
      <c r="E2553" s="688" t="s">
        <v>438</v>
      </c>
      <c r="F2553" s="688"/>
      <c r="G2553" s="549" t="s">
        <v>532</v>
      </c>
      <c r="H2553" s="550">
        <v>0.58720000000000006</v>
      </c>
      <c r="I2553" s="551">
        <v>120.4661</v>
      </c>
      <c r="J2553" s="551">
        <v>70.73</v>
      </c>
      <c r="K2553" s="552"/>
    </row>
    <row r="2554" spans="1:11" s="89" customFormat="1" ht="14.5" thickTop="1" x14ac:dyDescent="0.3">
      <c r="A2554" s="562"/>
      <c r="B2554" s="562"/>
      <c r="C2554" s="562"/>
      <c r="D2554" s="562"/>
      <c r="E2554" s="562"/>
      <c r="F2554" s="562"/>
      <c r="G2554" s="562"/>
      <c r="H2554" s="562"/>
      <c r="I2554" s="562"/>
      <c r="J2554" s="562"/>
      <c r="K2554" s="546"/>
    </row>
    <row r="2555" spans="1:11" x14ac:dyDescent="0.3">
      <c r="A2555" s="553"/>
      <c r="B2555" s="554" t="s">
        <v>4</v>
      </c>
      <c r="C2555" s="553" t="s">
        <v>5</v>
      </c>
      <c r="D2555" s="553" t="s">
        <v>6</v>
      </c>
      <c r="E2555" s="691" t="s">
        <v>427</v>
      </c>
      <c r="F2555" s="691"/>
      <c r="G2555" s="555" t="s">
        <v>7</v>
      </c>
      <c r="H2555" s="554" t="s">
        <v>8</v>
      </c>
      <c r="I2555" s="554" t="s">
        <v>9</v>
      </c>
      <c r="J2555" s="554" t="s">
        <v>11</v>
      </c>
      <c r="K2555" s="552"/>
    </row>
    <row r="2556" spans="1:11" s="89" customFormat="1" ht="38.25" customHeight="1" x14ac:dyDescent="0.3">
      <c r="A2556" s="607" t="s">
        <v>428</v>
      </c>
      <c r="B2556" s="608" t="s">
        <v>1421</v>
      </c>
      <c r="C2556" s="607" t="s">
        <v>19</v>
      </c>
      <c r="D2556" s="607" t="s">
        <v>1422</v>
      </c>
      <c r="E2556" s="690" t="s">
        <v>619</v>
      </c>
      <c r="F2556" s="690"/>
      <c r="G2556" s="609" t="s">
        <v>532</v>
      </c>
      <c r="H2556" s="610">
        <v>1</v>
      </c>
      <c r="I2556" s="611">
        <v>481.4</v>
      </c>
      <c r="J2556" s="611">
        <v>481.4</v>
      </c>
      <c r="K2556" s="546"/>
    </row>
    <row r="2557" spans="1:11" ht="38.25" customHeight="1" x14ac:dyDescent="0.3">
      <c r="A2557" s="547" t="s">
        <v>430</v>
      </c>
      <c r="B2557" s="548" t="s">
        <v>559</v>
      </c>
      <c r="C2557" s="547" t="s">
        <v>19</v>
      </c>
      <c r="D2557" s="547" t="s">
        <v>560</v>
      </c>
      <c r="E2557" s="688" t="s">
        <v>429</v>
      </c>
      <c r="F2557" s="688"/>
      <c r="G2557" s="549" t="s">
        <v>423</v>
      </c>
      <c r="H2557" s="550">
        <v>1.9633</v>
      </c>
      <c r="I2557" s="551">
        <v>23.4</v>
      </c>
      <c r="J2557" s="551">
        <v>45.94</v>
      </c>
      <c r="K2557" s="552"/>
    </row>
    <row r="2558" spans="1:11" s="89" customFormat="1" ht="38.25" customHeight="1" x14ac:dyDescent="0.3">
      <c r="A2558" s="547" t="s">
        <v>430</v>
      </c>
      <c r="B2558" s="548" t="s">
        <v>816</v>
      </c>
      <c r="C2558" s="547" t="s">
        <v>19</v>
      </c>
      <c r="D2558" s="547" t="s">
        <v>817</v>
      </c>
      <c r="E2558" s="688" t="s">
        <v>429</v>
      </c>
      <c r="F2558" s="688"/>
      <c r="G2558" s="549" t="s">
        <v>423</v>
      </c>
      <c r="H2558" s="550">
        <v>1.24</v>
      </c>
      <c r="I2558" s="551">
        <v>25.72</v>
      </c>
      <c r="J2558" s="551">
        <v>31.89</v>
      </c>
      <c r="K2558" s="546"/>
    </row>
    <row r="2559" spans="1:11" ht="38.25" customHeight="1" x14ac:dyDescent="0.3">
      <c r="A2559" s="547" t="s">
        <v>430</v>
      </c>
      <c r="B2559" s="548" t="s">
        <v>818</v>
      </c>
      <c r="C2559" s="547" t="s">
        <v>19</v>
      </c>
      <c r="D2559" s="547" t="s">
        <v>3548</v>
      </c>
      <c r="E2559" s="688" t="s">
        <v>461</v>
      </c>
      <c r="F2559" s="688"/>
      <c r="G2559" s="549" t="s">
        <v>95</v>
      </c>
      <c r="H2559" s="550">
        <v>0.63819999999999999</v>
      </c>
      <c r="I2559" s="551">
        <v>4.9400000000000004</v>
      </c>
      <c r="J2559" s="551">
        <v>3.15</v>
      </c>
      <c r="K2559" s="552"/>
    </row>
    <row r="2560" spans="1:11" s="89" customFormat="1" ht="38.25" customHeight="1" x14ac:dyDescent="0.3">
      <c r="A2560" s="547" t="s">
        <v>430</v>
      </c>
      <c r="B2560" s="548" t="s">
        <v>819</v>
      </c>
      <c r="C2560" s="547" t="s">
        <v>19</v>
      </c>
      <c r="D2560" s="547" t="s">
        <v>3549</v>
      </c>
      <c r="E2560" s="688" t="s">
        <v>461</v>
      </c>
      <c r="F2560" s="688"/>
      <c r="G2560" s="549" t="s">
        <v>102</v>
      </c>
      <c r="H2560" s="550">
        <v>0.6018</v>
      </c>
      <c r="I2560" s="551">
        <v>1.66</v>
      </c>
      <c r="J2560" s="551">
        <v>0.99</v>
      </c>
      <c r="K2560" s="546"/>
    </row>
    <row r="2561" spans="1:11" x14ac:dyDescent="0.3">
      <c r="A2561" s="547" t="s">
        <v>433</v>
      </c>
      <c r="B2561" s="548" t="s">
        <v>820</v>
      </c>
      <c r="C2561" s="547" t="s">
        <v>115</v>
      </c>
      <c r="D2561" s="547" t="s">
        <v>821</v>
      </c>
      <c r="E2561" s="688" t="s">
        <v>438</v>
      </c>
      <c r="F2561" s="688"/>
      <c r="G2561" s="549" t="s">
        <v>532</v>
      </c>
      <c r="H2561" s="550">
        <v>0.71189999999999998</v>
      </c>
      <c r="I2561" s="551">
        <v>149.36019999999999</v>
      </c>
      <c r="J2561" s="551">
        <v>106.32</v>
      </c>
      <c r="K2561" s="552"/>
    </row>
    <row r="2562" spans="1:11" s="89" customFormat="1" x14ac:dyDescent="0.3">
      <c r="A2562" s="547" t="s">
        <v>433</v>
      </c>
      <c r="B2562" s="548" t="s">
        <v>3844</v>
      </c>
      <c r="C2562" s="547" t="s">
        <v>115</v>
      </c>
      <c r="D2562" s="547" t="s">
        <v>3845</v>
      </c>
      <c r="E2562" s="688" t="s">
        <v>438</v>
      </c>
      <c r="F2562" s="688"/>
      <c r="G2562" s="549" t="s">
        <v>655</v>
      </c>
      <c r="H2562" s="550">
        <v>391.16629999999998</v>
      </c>
      <c r="I2562" s="551">
        <v>0.56679999999999997</v>
      </c>
      <c r="J2562" s="551">
        <v>221.71</v>
      </c>
      <c r="K2562" s="546"/>
    </row>
    <row r="2563" spans="1:11" ht="38.25" customHeight="1" thickBot="1" x14ac:dyDescent="0.35">
      <c r="A2563" s="547" t="s">
        <v>433</v>
      </c>
      <c r="B2563" s="548" t="s">
        <v>822</v>
      </c>
      <c r="C2563" s="547" t="s">
        <v>115</v>
      </c>
      <c r="D2563" s="547" t="s">
        <v>823</v>
      </c>
      <c r="E2563" s="688" t="s">
        <v>438</v>
      </c>
      <c r="F2563" s="688"/>
      <c r="G2563" s="549" t="s">
        <v>532</v>
      </c>
      <c r="H2563" s="550">
        <v>0.5927</v>
      </c>
      <c r="I2563" s="551">
        <v>120.4661</v>
      </c>
      <c r="J2563" s="551">
        <v>71.400000000000006</v>
      </c>
      <c r="K2563" s="552"/>
    </row>
    <row r="2564" spans="1:11" s="89" customFormat="1" ht="38.25" customHeight="1" thickTop="1" x14ac:dyDescent="0.3">
      <c r="A2564" s="562"/>
      <c r="B2564" s="562"/>
      <c r="C2564" s="562"/>
      <c r="D2564" s="562"/>
      <c r="E2564" s="562"/>
      <c r="F2564" s="562"/>
      <c r="G2564" s="562"/>
      <c r="H2564" s="562"/>
      <c r="I2564" s="562"/>
      <c r="J2564" s="562"/>
      <c r="K2564" s="546"/>
    </row>
    <row r="2565" spans="1:11" ht="38.25" customHeight="1" x14ac:dyDescent="0.3">
      <c r="A2565" s="553"/>
      <c r="B2565" s="554" t="s">
        <v>4</v>
      </c>
      <c r="C2565" s="553" t="s">
        <v>5</v>
      </c>
      <c r="D2565" s="553" t="s">
        <v>6</v>
      </c>
      <c r="E2565" s="691" t="s">
        <v>427</v>
      </c>
      <c r="F2565" s="691"/>
      <c r="G2565" s="555" t="s">
        <v>7</v>
      </c>
      <c r="H2565" s="554" t="s">
        <v>8</v>
      </c>
      <c r="I2565" s="554" t="s">
        <v>9</v>
      </c>
      <c r="J2565" s="554" t="s">
        <v>11</v>
      </c>
      <c r="K2565" s="552"/>
    </row>
    <row r="2566" spans="1:11" s="89" customFormat="1" ht="39" customHeight="1" x14ac:dyDescent="0.3">
      <c r="A2566" s="607" t="s">
        <v>428</v>
      </c>
      <c r="B2566" s="608" t="s">
        <v>635</v>
      </c>
      <c r="C2566" s="607" t="s">
        <v>19</v>
      </c>
      <c r="D2566" s="607" t="s">
        <v>636</v>
      </c>
      <c r="E2566" s="690" t="s">
        <v>619</v>
      </c>
      <c r="F2566" s="690"/>
      <c r="G2566" s="609" t="s">
        <v>532</v>
      </c>
      <c r="H2566" s="610">
        <v>1</v>
      </c>
      <c r="I2566" s="611">
        <v>470.61</v>
      </c>
      <c r="J2566" s="611">
        <v>470.61</v>
      </c>
      <c r="K2566" s="546"/>
    </row>
    <row r="2567" spans="1:11" ht="38.25" customHeight="1" x14ac:dyDescent="0.3">
      <c r="A2567" s="547" t="s">
        <v>430</v>
      </c>
      <c r="B2567" s="548" t="s">
        <v>559</v>
      </c>
      <c r="C2567" s="547" t="s">
        <v>19</v>
      </c>
      <c r="D2567" s="547" t="s">
        <v>560</v>
      </c>
      <c r="E2567" s="688" t="s">
        <v>429</v>
      </c>
      <c r="F2567" s="688"/>
      <c r="G2567" s="549" t="s">
        <v>423</v>
      </c>
      <c r="H2567" s="550">
        <v>6.2858000000000001</v>
      </c>
      <c r="I2567" s="551">
        <v>23.4</v>
      </c>
      <c r="J2567" s="551">
        <v>147.08000000000001</v>
      </c>
      <c r="K2567" s="552"/>
    </row>
    <row r="2568" spans="1:11" s="89" customFormat="1" x14ac:dyDescent="0.3">
      <c r="A2568" s="547" t="s">
        <v>433</v>
      </c>
      <c r="B2568" s="548" t="s">
        <v>820</v>
      </c>
      <c r="C2568" s="547" t="s">
        <v>115</v>
      </c>
      <c r="D2568" s="547" t="s">
        <v>821</v>
      </c>
      <c r="E2568" s="688" t="s">
        <v>438</v>
      </c>
      <c r="F2568" s="688"/>
      <c r="G2568" s="549" t="s">
        <v>532</v>
      </c>
      <c r="H2568" s="550">
        <v>0.8538</v>
      </c>
      <c r="I2568" s="551">
        <v>149.36019999999999</v>
      </c>
      <c r="J2568" s="551">
        <v>127.52</v>
      </c>
      <c r="K2568" s="546"/>
    </row>
    <row r="2569" spans="1:11" s="89" customFormat="1" ht="38.25" customHeight="1" x14ac:dyDescent="0.3">
      <c r="A2569" s="547" t="s">
        <v>433</v>
      </c>
      <c r="B2569" s="548" t="s">
        <v>3844</v>
      </c>
      <c r="C2569" s="547" t="s">
        <v>115</v>
      </c>
      <c r="D2569" s="547" t="s">
        <v>3845</v>
      </c>
      <c r="E2569" s="688" t="s">
        <v>438</v>
      </c>
      <c r="F2569" s="688"/>
      <c r="G2569" s="549" t="s">
        <v>655</v>
      </c>
      <c r="H2569" s="550">
        <v>218.93</v>
      </c>
      <c r="I2569" s="551">
        <v>0.56679999999999997</v>
      </c>
      <c r="J2569" s="551">
        <v>124.08</v>
      </c>
      <c r="K2569" s="546"/>
    </row>
    <row r="2570" spans="1:11" s="89" customFormat="1" ht="38.25" customHeight="1" thickBot="1" x14ac:dyDescent="0.35">
      <c r="A2570" s="547" t="s">
        <v>433</v>
      </c>
      <c r="B2570" s="548" t="s">
        <v>822</v>
      </c>
      <c r="C2570" s="547" t="s">
        <v>115</v>
      </c>
      <c r="D2570" s="547" t="s">
        <v>823</v>
      </c>
      <c r="E2570" s="688" t="s">
        <v>438</v>
      </c>
      <c r="F2570" s="688"/>
      <c r="G2570" s="549" t="s">
        <v>532</v>
      </c>
      <c r="H2570" s="550">
        <v>0.59709999999999996</v>
      </c>
      <c r="I2570" s="551">
        <v>120.4661</v>
      </c>
      <c r="J2570" s="551">
        <v>71.930000000000007</v>
      </c>
      <c r="K2570" s="546"/>
    </row>
    <row r="2571" spans="1:11" ht="38.25" customHeight="1" thickTop="1" x14ac:dyDescent="0.3">
      <c r="A2571" s="562"/>
      <c r="B2571" s="562"/>
      <c r="C2571" s="562"/>
      <c r="D2571" s="562"/>
      <c r="E2571" s="562"/>
      <c r="F2571" s="562"/>
      <c r="G2571" s="562"/>
      <c r="H2571" s="562"/>
      <c r="I2571" s="562"/>
      <c r="J2571" s="562"/>
      <c r="K2571" s="552"/>
    </row>
    <row r="2572" spans="1:11" s="89" customFormat="1" ht="38.25" customHeight="1" x14ac:dyDescent="0.3">
      <c r="A2572" s="553"/>
      <c r="B2572" s="554" t="s">
        <v>4</v>
      </c>
      <c r="C2572" s="553" t="s">
        <v>5</v>
      </c>
      <c r="D2572" s="553" t="s">
        <v>6</v>
      </c>
      <c r="E2572" s="691" t="s">
        <v>427</v>
      </c>
      <c r="F2572" s="691"/>
      <c r="G2572" s="555" t="s">
        <v>7</v>
      </c>
      <c r="H2572" s="554" t="s">
        <v>8</v>
      </c>
      <c r="I2572" s="554" t="s">
        <v>9</v>
      </c>
      <c r="J2572" s="554" t="s">
        <v>11</v>
      </c>
      <c r="K2572" s="546"/>
    </row>
    <row r="2573" spans="1:11" ht="39" customHeight="1" x14ac:dyDescent="0.3">
      <c r="A2573" s="607" t="s">
        <v>428</v>
      </c>
      <c r="B2573" s="608" t="s">
        <v>617</v>
      </c>
      <c r="C2573" s="607" t="s">
        <v>19</v>
      </c>
      <c r="D2573" s="607" t="s">
        <v>618</v>
      </c>
      <c r="E2573" s="690" t="s">
        <v>619</v>
      </c>
      <c r="F2573" s="690"/>
      <c r="G2573" s="609" t="s">
        <v>532</v>
      </c>
      <c r="H2573" s="610">
        <v>1</v>
      </c>
      <c r="I2573" s="611">
        <v>407.78</v>
      </c>
      <c r="J2573" s="611">
        <v>407.78</v>
      </c>
      <c r="K2573" s="552"/>
    </row>
    <row r="2574" spans="1:11" s="89" customFormat="1" ht="15" customHeight="1" x14ac:dyDescent="0.3">
      <c r="A2574" s="547" t="s">
        <v>430</v>
      </c>
      <c r="B2574" s="548" t="s">
        <v>559</v>
      </c>
      <c r="C2574" s="547" t="s">
        <v>19</v>
      </c>
      <c r="D2574" s="547" t="s">
        <v>560</v>
      </c>
      <c r="E2574" s="688" t="s">
        <v>429</v>
      </c>
      <c r="F2574" s="688"/>
      <c r="G2574" s="549" t="s">
        <v>423</v>
      </c>
      <c r="H2574" s="550">
        <v>2.3433000000000002</v>
      </c>
      <c r="I2574" s="551">
        <v>23.4</v>
      </c>
      <c r="J2574" s="551">
        <v>54.83</v>
      </c>
      <c r="K2574" s="546"/>
    </row>
    <row r="2575" spans="1:11" ht="38.25" customHeight="1" x14ac:dyDescent="0.3">
      <c r="A2575" s="547" t="s">
        <v>430</v>
      </c>
      <c r="B2575" s="548" t="s">
        <v>816</v>
      </c>
      <c r="C2575" s="547" t="s">
        <v>19</v>
      </c>
      <c r="D2575" s="547" t="s">
        <v>817</v>
      </c>
      <c r="E2575" s="688" t="s">
        <v>429</v>
      </c>
      <c r="F2575" s="688"/>
      <c r="G2575" s="549" t="s">
        <v>423</v>
      </c>
      <c r="H2575" s="550">
        <v>1.4811000000000001</v>
      </c>
      <c r="I2575" s="551">
        <v>25.72</v>
      </c>
      <c r="J2575" s="551">
        <v>38.090000000000003</v>
      </c>
      <c r="K2575" s="552"/>
    </row>
    <row r="2576" spans="1:11" s="89" customFormat="1" ht="38.25" customHeight="1" x14ac:dyDescent="0.3">
      <c r="A2576" s="547" t="s">
        <v>430</v>
      </c>
      <c r="B2576" s="548" t="s">
        <v>1163</v>
      </c>
      <c r="C2576" s="547" t="s">
        <v>19</v>
      </c>
      <c r="D2576" s="547" t="s">
        <v>3596</v>
      </c>
      <c r="E2576" s="688" t="s">
        <v>461</v>
      </c>
      <c r="F2576" s="688"/>
      <c r="G2576" s="549" t="s">
        <v>95</v>
      </c>
      <c r="H2576" s="550">
        <v>0.76229999999999998</v>
      </c>
      <c r="I2576" s="551">
        <v>1.66</v>
      </c>
      <c r="J2576" s="551">
        <v>1.26</v>
      </c>
      <c r="K2576" s="546"/>
    </row>
    <row r="2577" spans="1:11" ht="38.25" customHeight="1" x14ac:dyDescent="0.3">
      <c r="A2577" s="547" t="s">
        <v>430</v>
      </c>
      <c r="B2577" s="548" t="s">
        <v>1164</v>
      </c>
      <c r="C2577" s="547" t="s">
        <v>19</v>
      </c>
      <c r="D2577" s="547" t="s">
        <v>3597</v>
      </c>
      <c r="E2577" s="688" t="s">
        <v>461</v>
      </c>
      <c r="F2577" s="688"/>
      <c r="G2577" s="549" t="s">
        <v>102</v>
      </c>
      <c r="H2577" s="550">
        <v>0.71879999999999999</v>
      </c>
      <c r="I2577" s="551">
        <v>0.4</v>
      </c>
      <c r="J2577" s="551">
        <v>0.28000000000000003</v>
      </c>
      <c r="K2577" s="552"/>
    </row>
    <row r="2578" spans="1:11" s="89" customFormat="1" x14ac:dyDescent="0.3">
      <c r="A2578" s="547" t="s">
        <v>433</v>
      </c>
      <c r="B2578" s="548" t="s">
        <v>820</v>
      </c>
      <c r="C2578" s="547" t="s">
        <v>115</v>
      </c>
      <c r="D2578" s="547" t="s">
        <v>821</v>
      </c>
      <c r="E2578" s="688" t="s">
        <v>438</v>
      </c>
      <c r="F2578" s="688"/>
      <c r="G2578" s="549" t="s">
        <v>532</v>
      </c>
      <c r="H2578" s="550">
        <v>0.82689999999999997</v>
      </c>
      <c r="I2578" s="551">
        <v>149.36019999999999</v>
      </c>
      <c r="J2578" s="551">
        <v>123.5</v>
      </c>
      <c r="K2578" s="546"/>
    </row>
    <row r="2579" spans="1:11" s="89" customFormat="1" x14ac:dyDescent="0.3">
      <c r="A2579" s="547" t="s">
        <v>433</v>
      </c>
      <c r="B2579" s="548" t="s">
        <v>3844</v>
      </c>
      <c r="C2579" s="547" t="s">
        <v>115</v>
      </c>
      <c r="D2579" s="547" t="s">
        <v>3845</v>
      </c>
      <c r="E2579" s="688" t="s">
        <v>438</v>
      </c>
      <c r="F2579" s="688"/>
      <c r="G2579" s="549" t="s">
        <v>655</v>
      </c>
      <c r="H2579" s="550">
        <v>212.01939999999999</v>
      </c>
      <c r="I2579" s="551">
        <v>0.56679999999999997</v>
      </c>
      <c r="J2579" s="551">
        <v>120.17</v>
      </c>
      <c r="K2579" s="546"/>
    </row>
    <row r="2580" spans="1:11" s="89" customFormat="1" ht="38.25" customHeight="1" thickBot="1" x14ac:dyDescent="0.35">
      <c r="A2580" s="547" t="s">
        <v>433</v>
      </c>
      <c r="B2580" s="548" t="s">
        <v>822</v>
      </c>
      <c r="C2580" s="547" t="s">
        <v>115</v>
      </c>
      <c r="D2580" s="547" t="s">
        <v>823</v>
      </c>
      <c r="E2580" s="688" t="s">
        <v>438</v>
      </c>
      <c r="F2580" s="688"/>
      <c r="G2580" s="549" t="s">
        <v>532</v>
      </c>
      <c r="H2580" s="550">
        <v>0.57820000000000005</v>
      </c>
      <c r="I2580" s="551">
        <v>120.4661</v>
      </c>
      <c r="J2580" s="551">
        <v>69.650000000000006</v>
      </c>
      <c r="K2580" s="546"/>
    </row>
    <row r="2581" spans="1:11" ht="14.5" thickTop="1" x14ac:dyDescent="0.3">
      <c r="A2581" s="562"/>
      <c r="B2581" s="562"/>
      <c r="C2581" s="562"/>
      <c r="D2581" s="562"/>
      <c r="E2581" s="562"/>
      <c r="F2581" s="562"/>
      <c r="G2581" s="562"/>
      <c r="H2581" s="562"/>
      <c r="I2581" s="562"/>
      <c r="J2581" s="562"/>
      <c r="K2581" s="552"/>
    </row>
    <row r="2582" spans="1:11" x14ac:dyDescent="0.3">
      <c r="A2582" s="553"/>
      <c r="B2582" s="554" t="s">
        <v>4</v>
      </c>
      <c r="C2582" s="553" t="s">
        <v>5</v>
      </c>
      <c r="D2582" s="553" t="s">
        <v>6</v>
      </c>
      <c r="E2582" s="691" t="s">
        <v>427</v>
      </c>
      <c r="F2582" s="691"/>
      <c r="G2582" s="555" t="s">
        <v>7</v>
      </c>
      <c r="H2582" s="554" t="s">
        <v>8</v>
      </c>
      <c r="I2582" s="554" t="s">
        <v>9</v>
      </c>
      <c r="J2582" s="554" t="s">
        <v>11</v>
      </c>
      <c r="K2582" s="552"/>
    </row>
    <row r="2583" spans="1:11" ht="38.25" customHeight="1" x14ac:dyDescent="0.3">
      <c r="A2583" s="607" t="s">
        <v>428</v>
      </c>
      <c r="B2583" s="608" t="s">
        <v>716</v>
      </c>
      <c r="C2583" s="607" t="s">
        <v>19</v>
      </c>
      <c r="D2583" s="607" t="s">
        <v>3531</v>
      </c>
      <c r="E2583" s="690" t="s">
        <v>664</v>
      </c>
      <c r="F2583" s="690"/>
      <c r="G2583" s="609" t="s">
        <v>81</v>
      </c>
      <c r="H2583" s="610">
        <v>1</v>
      </c>
      <c r="I2583" s="611">
        <v>25.24</v>
      </c>
      <c r="J2583" s="611">
        <v>25.24</v>
      </c>
      <c r="K2583" s="552"/>
    </row>
    <row r="2584" spans="1:11" s="89" customFormat="1" ht="38.25" customHeight="1" x14ac:dyDescent="0.3">
      <c r="A2584" s="547" t="s">
        <v>430</v>
      </c>
      <c r="B2584" s="548" t="s">
        <v>863</v>
      </c>
      <c r="C2584" s="547" t="s">
        <v>19</v>
      </c>
      <c r="D2584" s="547" t="s">
        <v>864</v>
      </c>
      <c r="E2584" s="688" t="s">
        <v>429</v>
      </c>
      <c r="F2584" s="688"/>
      <c r="G2584" s="549" t="s">
        <v>423</v>
      </c>
      <c r="H2584" s="550">
        <v>0.2397</v>
      </c>
      <c r="I2584" s="551">
        <v>24.65</v>
      </c>
      <c r="J2584" s="551">
        <v>5.9</v>
      </c>
      <c r="K2584" s="546"/>
    </row>
    <row r="2585" spans="1:11" ht="14.25" customHeight="1" x14ac:dyDescent="0.3">
      <c r="A2585" s="547" t="s">
        <v>430</v>
      </c>
      <c r="B2585" s="548" t="s">
        <v>769</v>
      </c>
      <c r="C2585" s="547" t="s">
        <v>19</v>
      </c>
      <c r="D2585" s="547" t="s">
        <v>770</v>
      </c>
      <c r="E2585" s="688" t="s">
        <v>429</v>
      </c>
      <c r="F2585" s="688"/>
      <c r="G2585" s="549" t="s">
        <v>423</v>
      </c>
      <c r="H2585" s="550">
        <v>0.2397</v>
      </c>
      <c r="I2585" s="551">
        <v>31.49</v>
      </c>
      <c r="J2585" s="551">
        <v>7.54</v>
      </c>
      <c r="K2585" s="552"/>
    </row>
    <row r="2586" spans="1:11" s="89" customFormat="1" ht="37.5" x14ac:dyDescent="0.3">
      <c r="A2586" s="547" t="s">
        <v>433</v>
      </c>
      <c r="B2586" s="548" t="s">
        <v>1423</v>
      </c>
      <c r="C2586" s="547" t="s">
        <v>19</v>
      </c>
      <c r="D2586" s="547" t="s">
        <v>1424</v>
      </c>
      <c r="E2586" s="688" t="s">
        <v>438</v>
      </c>
      <c r="F2586" s="688"/>
      <c r="G2586" s="549" t="s">
        <v>81</v>
      </c>
      <c r="H2586" s="550">
        <v>2</v>
      </c>
      <c r="I2586" s="551">
        <v>0.39</v>
      </c>
      <c r="J2586" s="551">
        <v>0.78</v>
      </c>
      <c r="K2586" s="546"/>
    </row>
    <row r="2587" spans="1:11" ht="14.25" customHeight="1" thickBot="1" x14ac:dyDescent="0.35">
      <c r="A2587" s="547" t="s">
        <v>433</v>
      </c>
      <c r="B2587" s="548" t="s">
        <v>1425</v>
      </c>
      <c r="C2587" s="547" t="s">
        <v>19</v>
      </c>
      <c r="D2587" s="547" t="s">
        <v>1426</v>
      </c>
      <c r="E2587" s="688" t="s">
        <v>438</v>
      </c>
      <c r="F2587" s="688"/>
      <c r="G2587" s="549" t="s">
        <v>81</v>
      </c>
      <c r="H2587" s="550">
        <v>1</v>
      </c>
      <c r="I2587" s="551">
        <v>11.02</v>
      </c>
      <c r="J2587" s="551">
        <v>11.02</v>
      </c>
      <c r="K2587" s="552"/>
    </row>
    <row r="2588" spans="1:11" s="89" customFormat="1" ht="38.25" customHeight="1" thickTop="1" x14ac:dyDescent="0.3">
      <c r="A2588" s="562"/>
      <c r="B2588" s="562"/>
      <c r="C2588" s="562"/>
      <c r="D2588" s="562"/>
      <c r="E2588" s="562"/>
      <c r="F2588" s="562"/>
      <c r="G2588" s="562"/>
      <c r="H2588" s="562"/>
      <c r="I2588" s="562"/>
      <c r="J2588" s="562"/>
      <c r="K2588" s="546"/>
    </row>
    <row r="2589" spans="1:11" ht="38.25" customHeight="1" x14ac:dyDescent="0.3">
      <c r="A2589" s="553"/>
      <c r="B2589" s="554" t="s">
        <v>4</v>
      </c>
      <c r="C2589" s="553" t="s">
        <v>5</v>
      </c>
      <c r="D2589" s="553" t="s">
        <v>6</v>
      </c>
      <c r="E2589" s="691" t="s">
        <v>427</v>
      </c>
      <c r="F2589" s="691"/>
      <c r="G2589" s="555" t="s">
        <v>7</v>
      </c>
      <c r="H2589" s="554" t="s">
        <v>8</v>
      </c>
      <c r="I2589" s="554" t="s">
        <v>9</v>
      </c>
      <c r="J2589" s="554" t="s">
        <v>11</v>
      </c>
      <c r="K2589" s="552"/>
    </row>
    <row r="2590" spans="1:11" s="89" customFormat="1" ht="38.25" customHeight="1" x14ac:dyDescent="0.3">
      <c r="A2590" s="607" t="s">
        <v>428</v>
      </c>
      <c r="B2590" s="608" t="s">
        <v>684</v>
      </c>
      <c r="C2590" s="607" t="s">
        <v>19</v>
      </c>
      <c r="D2590" s="607" t="s">
        <v>3528</v>
      </c>
      <c r="E2590" s="690" t="s">
        <v>664</v>
      </c>
      <c r="F2590" s="690"/>
      <c r="G2590" s="609" t="s">
        <v>81</v>
      </c>
      <c r="H2590" s="610">
        <v>1</v>
      </c>
      <c r="I2590" s="611">
        <v>20.95</v>
      </c>
      <c r="J2590" s="611">
        <v>20.95</v>
      </c>
      <c r="K2590" s="546"/>
    </row>
    <row r="2591" spans="1:11" ht="14.25" customHeight="1" x14ac:dyDescent="0.3">
      <c r="A2591" s="547" t="s">
        <v>430</v>
      </c>
      <c r="B2591" s="548" t="s">
        <v>863</v>
      </c>
      <c r="C2591" s="547" t="s">
        <v>19</v>
      </c>
      <c r="D2591" s="547" t="s">
        <v>864</v>
      </c>
      <c r="E2591" s="688" t="s">
        <v>429</v>
      </c>
      <c r="F2591" s="688"/>
      <c r="G2591" s="549" t="s">
        <v>423</v>
      </c>
      <c r="H2591" s="550">
        <v>0.157</v>
      </c>
      <c r="I2591" s="551">
        <v>24.65</v>
      </c>
      <c r="J2591" s="551">
        <v>3.87</v>
      </c>
      <c r="K2591" s="552"/>
    </row>
    <row r="2592" spans="1:11" s="89" customFormat="1" ht="15" customHeight="1" x14ac:dyDescent="0.3">
      <c r="A2592" s="547" t="s">
        <v>430</v>
      </c>
      <c r="B2592" s="548" t="s">
        <v>769</v>
      </c>
      <c r="C2592" s="547" t="s">
        <v>19</v>
      </c>
      <c r="D2592" s="547" t="s">
        <v>770</v>
      </c>
      <c r="E2592" s="688" t="s">
        <v>429</v>
      </c>
      <c r="F2592" s="688"/>
      <c r="G2592" s="549" t="s">
        <v>423</v>
      </c>
      <c r="H2592" s="550">
        <v>0.157</v>
      </c>
      <c r="I2592" s="551">
        <v>31.49</v>
      </c>
      <c r="J2592" s="551">
        <v>4.9400000000000004</v>
      </c>
      <c r="K2592" s="546"/>
    </row>
    <row r="2593" spans="1:11" ht="14.25" customHeight="1" thickBot="1" x14ac:dyDescent="0.35">
      <c r="A2593" s="547" t="s">
        <v>433</v>
      </c>
      <c r="B2593" s="548" t="s">
        <v>1427</v>
      </c>
      <c r="C2593" s="547" t="s">
        <v>19</v>
      </c>
      <c r="D2593" s="547" t="s">
        <v>1428</v>
      </c>
      <c r="E2593" s="688" t="s">
        <v>438</v>
      </c>
      <c r="F2593" s="688"/>
      <c r="G2593" s="549" t="s">
        <v>81</v>
      </c>
      <c r="H2593" s="550">
        <v>1</v>
      </c>
      <c r="I2593" s="551">
        <v>12.14</v>
      </c>
      <c r="J2593" s="551">
        <v>12.14</v>
      </c>
      <c r="K2593" s="552"/>
    </row>
    <row r="2594" spans="1:11" s="89" customFormat="1" ht="14.5" thickTop="1" x14ac:dyDescent="0.3">
      <c r="A2594" s="562"/>
      <c r="B2594" s="562"/>
      <c r="C2594" s="562"/>
      <c r="D2594" s="562"/>
      <c r="E2594" s="562"/>
      <c r="F2594" s="562"/>
      <c r="G2594" s="562"/>
      <c r="H2594" s="562"/>
      <c r="I2594" s="562"/>
      <c r="J2594" s="562"/>
      <c r="K2594" s="546"/>
    </row>
    <row r="2595" spans="1:11" x14ac:dyDescent="0.3">
      <c r="A2595" s="553"/>
      <c r="B2595" s="554" t="s">
        <v>4</v>
      </c>
      <c r="C2595" s="553" t="s">
        <v>5</v>
      </c>
      <c r="D2595" s="553" t="s">
        <v>6</v>
      </c>
      <c r="E2595" s="691" t="s">
        <v>427</v>
      </c>
      <c r="F2595" s="691"/>
      <c r="G2595" s="555" t="s">
        <v>7</v>
      </c>
      <c r="H2595" s="554" t="s">
        <v>8</v>
      </c>
      <c r="I2595" s="554" t="s">
        <v>9</v>
      </c>
      <c r="J2595" s="554" t="s">
        <v>11</v>
      </c>
      <c r="K2595" s="552"/>
    </row>
    <row r="2596" spans="1:11" s="89" customFormat="1" x14ac:dyDescent="0.3">
      <c r="A2596" s="607" t="s">
        <v>428</v>
      </c>
      <c r="B2596" s="608" t="s">
        <v>1189</v>
      </c>
      <c r="C2596" s="607" t="s">
        <v>196</v>
      </c>
      <c r="D2596" s="607" t="s">
        <v>1190</v>
      </c>
      <c r="E2596" s="690">
        <v>59</v>
      </c>
      <c r="F2596" s="690"/>
      <c r="G2596" s="609" t="s">
        <v>21</v>
      </c>
      <c r="H2596" s="610">
        <v>1</v>
      </c>
      <c r="I2596" s="611">
        <v>1424.3</v>
      </c>
      <c r="J2596" s="611">
        <v>1424.3</v>
      </c>
      <c r="K2596" s="546"/>
    </row>
    <row r="2597" spans="1:11" ht="14.25" customHeight="1" thickBot="1" x14ac:dyDescent="0.35">
      <c r="A2597" s="547" t="s">
        <v>433</v>
      </c>
      <c r="B2597" s="548" t="s">
        <v>3670</v>
      </c>
      <c r="C2597" s="547" t="s">
        <v>115</v>
      </c>
      <c r="D2597" s="547" t="s">
        <v>3891</v>
      </c>
      <c r="E2597" s="688" t="s">
        <v>438</v>
      </c>
      <c r="F2597" s="688"/>
      <c r="G2597" s="549" t="s">
        <v>835</v>
      </c>
      <c r="H2597" s="550">
        <v>264</v>
      </c>
      <c r="I2597" s="551">
        <v>5.3951000000000002</v>
      </c>
      <c r="J2597" s="551">
        <v>1424.3</v>
      </c>
      <c r="K2597" s="552"/>
    </row>
    <row r="2598" spans="1:11" s="89" customFormat="1" ht="14.5" thickTop="1" x14ac:dyDescent="0.3">
      <c r="A2598" s="562"/>
      <c r="B2598" s="562"/>
      <c r="C2598" s="562"/>
      <c r="D2598" s="562"/>
      <c r="E2598" s="562"/>
      <c r="F2598" s="562"/>
      <c r="G2598" s="562"/>
      <c r="H2598" s="562"/>
      <c r="I2598" s="562"/>
      <c r="J2598" s="562"/>
      <c r="K2598" s="546"/>
    </row>
    <row r="2599" spans="1:11" s="89" customFormat="1" ht="38.25" customHeight="1" x14ac:dyDescent="0.3">
      <c r="A2599" s="553"/>
      <c r="B2599" s="554" t="s">
        <v>4</v>
      </c>
      <c r="C2599" s="553" t="s">
        <v>5</v>
      </c>
      <c r="D2599" s="553" t="s">
        <v>6</v>
      </c>
      <c r="E2599" s="691" t="s">
        <v>427</v>
      </c>
      <c r="F2599" s="691"/>
      <c r="G2599" s="555" t="s">
        <v>7</v>
      </c>
      <c r="H2599" s="554" t="s">
        <v>8</v>
      </c>
      <c r="I2599" s="554" t="s">
        <v>9</v>
      </c>
      <c r="J2599" s="554" t="s">
        <v>11</v>
      </c>
      <c r="K2599" s="546"/>
    </row>
    <row r="2600" spans="1:11" s="89" customFormat="1" ht="15" customHeight="1" x14ac:dyDescent="0.3">
      <c r="A2600" s="607" t="s">
        <v>428</v>
      </c>
      <c r="B2600" s="608" t="s">
        <v>891</v>
      </c>
      <c r="C2600" s="607" t="s">
        <v>19</v>
      </c>
      <c r="D2600" s="607" t="s">
        <v>892</v>
      </c>
      <c r="E2600" s="690" t="s">
        <v>461</v>
      </c>
      <c r="F2600" s="690"/>
      <c r="G2600" s="609" t="s">
        <v>102</v>
      </c>
      <c r="H2600" s="610">
        <v>1</v>
      </c>
      <c r="I2600" s="611">
        <v>1.1000000000000001</v>
      </c>
      <c r="J2600" s="611">
        <v>1.1000000000000001</v>
      </c>
      <c r="K2600" s="546"/>
    </row>
    <row r="2601" spans="1:11" ht="50" x14ac:dyDescent="0.3">
      <c r="A2601" s="547" t="s">
        <v>430</v>
      </c>
      <c r="B2601" s="548" t="s">
        <v>1429</v>
      </c>
      <c r="C2601" s="547" t="s">
        <v>19</v>
      </c>
      <c r="D2601" s="547" t="s">
        <v>1430</v>
      </c>
      <c r="E2601" s="688" t="s">
        <v>461</v>
      </c>
      <c r="F2601" s="688"/>
      <c r="G2601" s="549" t="s">
        <v>423</v>
      </c>
      <c r="H2601" s="550">
        <v>1</v>
      </c>
      <c r="I2601" s="551">
        <v>0.9</v>
      </c>
      <c r="J2601" s="551">
        <v>0.9</v>
      </c>
      <c r="K2601" s="552"/>
    </row>
    <row r="2602" spans="1:11" ht="38.25" customHeight="1" thickBot="1" x14ac:dyDescent="0.35">
      <c r="A2602" s="547" t="s">
        <v>430</v>
      </c>
      <c r="B2602" s="548" t="s">
        <v>1431</v>
      </c>
      <c r="C2602" s="547" t="s">
        <v>19</v>
      </c>
      <c r="D2602" s="547" t="s">
        <v>1432</v>
      </c>
      <c r="E2602" s="688" t="s">
        <v>461</v>
      </c>
      <c r="F2602" s="688"/>
      <c r="G2602" s="549" t="s">
        <v>423</v>
      </c>
      <c r="H2602" s="550">
        <v>1</v>
      </c>
      <c r="I2602" s="551">
        <v>0.2</v>
      </c>
      <c r="J2602" s="551">
        <v>0.2</v>
      </c>
      <c r="K2602" s="552"/>
    </row>
    <row r="2603" spans="1:11" s="89" customFormat="1" ht="38.25" customHeight="1" thickTop="1" x14ac:dyDescent="0.3">
      <c r="A2603" s="562"/>
      <c r="B2603" s="562"/>
      <c r="C2603" s="562"/>
      <c r="D2603" s="562"/>
      <c r="E2603" s="562"/>
      <c r="F2603" s="562"/>
      <c r="G2603" s="562"/>
      <c r="H2603" s="562"/>
      <c r="I2603" s="562"/>
      <c r="J2603" s="562"/>
      <c r="K2603" s="546"/>
    </row>
    <row r="2604" spans="1:11" x14ac:dyDescent="0.3">
      <c r="A2604" s="553"/>
      <c r="B2604" s="554" t="s">
        <v>4</v>
      </c>
      <c r="C2604" s="553" t="s">
        <v>5</v>
      </c>
      <c r="D2604" s="553" t="s">
        <v>6</v>
      </c>
      <c r="E2604" s="691" t="s">
        <v>427</v>
      </c>
      <c r="F2604" s="691"/>
      <c r="G2604" s="555" t="s">
        <v>7</v>
      </c>
      <c r="H2604" s="554" t="s">
        <v>8</v>
      </c>
      <c r="I2604" s="554" t="s">
        <v>9</v>
      </c>
      <c r="J2604" s="554" t="s">
        <v>11</v>
      </c>
      <c r="K2604" s="552"/>
    </row>
    <row r="2605" spans="1:11" ht="50" x14ac:dyDescent="0.3">
      <c r="A2605" s="607" t="s">
        <v>428</v>
      </c>
      <c r="B2605" s="608" t="s">
        <v>889</v>
      </c>
      <c r="C2605" s="607" t="s">
        <v>19</v>
      </c>
      <c r="D2605" s="607" t="s">
        <v>890</v>
      </c>
      <c r="E2605" s="690" t="s">
        <v>461</v>
      </c>
      <c r="F2605" s="690"/>
      <c r="G2605" s="609" t="s">
        <v>95</v>
      </c>
      <c r="H2605" s="610">
        <v>1</v>
      </c>
      <c r="I2605" s="611">
        <v>10.050000000000001</v>
      </c>
      <c r="J2605" s="611">
        <v>10.050000000000001</v>
      </c>
      <c r="K2605" s="552"/>
    </row>
    <row r="2606" spans="1:11" ht="50" x14ac:dyDescent="0.3">
      <c r="A2606" s="547" t="s">
        <v>430</v>
      </c>
      <c r="B2606" s="548" t="s">
        <v>1429</v>
      </c>
      <c r="C2606" s="547" t="s">
        <v>19</v>
      </c>
      <c r="D2606" s="547" t="s">
        <v>1430</v>
      </c>
      <c r="E2606" s="688" t="s">
        <v>461</v>
      </c>
      <c r="F2606" s="688"/>
      <c r="G2606" s="549" t="s">
        <v>423</v>
      </c>
      <c r="H2606" s="550">
        <v>1</v>
      </c>
      <c r="I2606" s="551">
        <v>0.9</v>
      </c>
      <c r="J2606" s="551">
        <v>0.9</v>
      </c>
      <c r="K2606" s="552"/>
    </row>
    <row r="2607" spans="1:11" ht="14.25" customHeight="1" x14ac:dyDescent="0.3">
      <c r="A2607" s="547" t="s">
        <v>430</v>
      </c>
      <c r="B2607" s="548" t="s">
        <v>1431</v>
      </c>
      <c r="C2607" s="547" t="s">
        <v>19</v>
      </c>
      <c r="D2607" s="547" t="s">
        <v>1432</v>
      </c>
      <c r="E2607" s="688" t="s">
        <v>461</v>
      </c>
      <c r="F2607" s="688"/>
      <c r="G2607" s="549" t="s">
        <v>423</v>
      </c>
      <c r="H2607" s="550">
        <v>1</v>
      </c>
      <c r="I2607" s="551">
        <v>0.2</v>
      </c>
      <c r="J2607" s="551">
        <v>0.2</v>
      </c>
      <c r="K2607" s="552"/>
    </row>
    <row r="2608" spans="1:11" ht="50" x14ac:dyDescent="0.3">
      <c r="A2608" s="547" t="s">
        <v>430</v>
      </c>
      <c r="B2608" s="548" t="s">
        <v>1433</v>
      </c>
      <c r="C2608" s="547" t="s">
        <v>19</v>
      </c>
      <c r="D2608" s="547" t="s">
        <v>1434</v>
      </c>
      <c r="E2608" s="688" t="s">
        <v>461</v>
      </c>
      <c r="F2608" s="688"/>
      <c r="G2608" s="549" t="s">
        <v>423</v>
      </c>
      <c r="H2608" s="550">
        <v>1</v>
      </c>
      <c r="I2608" s="551">
        <v>1.1299999999999999</v>
      </c>
      <c r="J2608" s="551">
        <v>1.1299999999999999</v>
      </c>
      <c r="K2608" s="552"/>
    </row>
    <row r="2609" spans="1:11" s="89" customFormat="1" ht="50.5" thickBot="1" x14ac:dyDescent="0.35">
      <c r="A2609" s="547" t="s">
        <v>430</v>
      </c>
      <c r="B2609" s="548" t="s">
        <v>1435</v>
      </c>
      <c r="C2609" s="547" t="s">
        <v>19</v>
      </c>
      <c r="D2609" s="547" t="s">
        <v>1436</v>
      </c>
      <c r="E2609" s="688" t="s">
        <v>461</v>
      </c>
      <c r="F2609" s="688"/>
      <c r="G2609" s="549" t="s">
        <v>423</v>
      </c>
      <c r="H2609" s="550">
        <v>1</v>
      </c>
      <c r="I2609" s="551">
        <v>7.82</v>
      </c>
      <c r="J2609" s="551">
        <v>7.82</v>
      </c>
      <c r="K2609" s="546"/>
    </row>
    <row r="2610" spans="1:11" s="89" customFormat="1" ht="15" customHeight="1" thickTop="1" x14ac:dyDescent="0.3">
      <c r="A2610" s="562"/>
      <c r="B2610" s="562"/>
      <c r="C2610" s="562"/>
      <c r="D2610" s="562"/>
      <c r="E2610" s="562"/>
      <c r="F2610" s="562"/>
      <c r="G2610" s="562"/>
      <c r="H2610" s="562"/>
      <c r="I2610" s="562"/>
      <c r="J2610" s="562"/>
      <c r="K2610" s="546"/>
    </row>
    <row r="2611" spans="1:11" x14ac:dyDescent="0.3">
      <c r="A2611" s="553"/>
      <c r="B2611" s="554" t="s">
        <v>4</v>
      </c>
      <c r="C2611" s="553" t="s">
        <v>5</v>
      </c>
      <c r="D2611" s="553" t="s">
        <v>6</v>
      </c>
      <c r="E2611" s="691" t="s">
        <v>427</v>
      </c>
      <c r="F2611" s="691"/>
      <c r="G2611" s="555" t="s">
        <v>7</v>
      </c>
      <c r="H2611" s="554" t="s">
        <v>8</v>
      </c>
      <c r="I2611" s="554" t="s">
        <v>9</v>
      </c>
      <c r="J2611" s="554" t="s">
        <v>11</v>
      </c>
      <c r="K2611" s="552"/>
    </row>
    <row r="2612" spans="1:11" s="89" customFormat="1" ht="38.25" customHeight="1" x14ac:dyDescent="0.3">
      <c r="A2612" s="607" t="s">
        <v>428</v>
      </c>
      <c r="B2612" s="608" t="s">
        <v>1429</v>
      </c>
      <c r="C2612" s="607" t="s">
        <v>19</v>
      </c>
      <c r="D2612" s="607" t="s">
        <v>1430</v>
      </c>
      <c r="E2612" s="690" t="s">
        <v>461</v>
      </c>
      <c r="F2612" s="690"/>
      <c r="G2612" s="609" t="s">
        <v>423</v>
      </c>
      <c r="H2612" s="610">
        <v>1</v>
      </c>
      <c r="I2612" s="611">
        <v>0.9</v>
      </c>
      <c r="J2612" s="611">
        <v>0.9</v>
      </c>
      <c r="K2612" s="546"/>
    </row>
    <row r="2613" spans="1:11" ht="37.5" x14ac:dyDescent="0.3">
      <c r="A2613" s="547" t="s">
        <v>433</v>
      </c>
      <c r="B2613" s="548" t="s">
        <v>1437</v>
      </c>
      <c r="C2613" s="547" t="s">
        <v>19</v>
      </c>
      <c r="D2613" s="547" t="s">
        <v>1438</v>
      </c>
      <c r="E2613" s="688" t="s">
        <v>442</v>
      </c>
      <c r="F2613" s="688"/>
      <c r="G2613" s="549" t="s">
        <v>81</v>
      </c>
      <c r="H2613" s="550">
        <v>6.3999999999999997E-5</v>
      </c>
      <c r="I2613" s="551">
        <v>13815.56</v>
      </c>
      <c r="J2613" s="551">
        <v>0.88</v>
      </c>
      <c r="K2613" s="552"/>
    </row>
    <row r="2614" spans="1:11" ht="14.25" customHeight="1" thickBot="1" x14ac:dyDescent="0.35">
      <c r="A2614" s="547" t="s">
        <v>433</v>
      </c>
      <c r="B2614" s="548" t="s">
        <v>1439</v>
      </c>
      <c r="C2614" s="547" t="s">
        <v>19</v>
      </c>
      <c r="D2614" s="547" t="s">
        <v>1440</v>
      </c>
      <c r="E2614" s="688" t="s">
        <v>442</v>
      </c>
      <c r="F2614" s="688"/>
      <c r="G2614" s="549" t="s">
        <v>81</v>
      </c>
      <c r="H2614" s="550">
        <v>6.3999999999999997E-5</v>
      </c>
      <c r="I2614" s="551">
        <v>413.14</v>
      </c>
      <c r="J2614" s="551">
        <v>0.02</v>
      </c>
      <c r="K2614" s="552"/>
    </row>
    <row r="2615" spans="1:11" ht="14.5" thickTop="1" x14ac:dyDescent="0.3">
      <c r="A2615" s="562"/>
      <c r="B2615" s="562"/>
      <c r="C2615" s="562"/>
      <c r="D2615" s="562"/>
      <c r="E2615" s="562"/>
      <c r="F2615" s="562"/>
      <c r="G2615" s="562"/>
      <c r="H2615" s="562"/>
      <c r="I2615" s="562"/>
      <c r="J2615" s="562"/>
      <c r="K2615" s="552"/>
    </row>
    <row r="2616" spans="1:11" ht="38.25" customHeight="1" x14ac:dyDescent="0.3">
      <c r="A2616" s="553"/>
      <c r="B2616" s="554" t="s">
        <v>4</v>
      </c>
      <c r="C2616" s="553" t="s">
        <v>5</v>
      </c>
      <c r="D2616" s="553" t="s">
        <v>6</v>
      </c>
      <c r="E2616" s="691" t="s">
        <v>427</v>
      </c>
      <c r="F2616" s="691"/>
      <c r="G2616" s="555" t="s">
        <v>7</v>
      </c>
      <c r="H2616" s="554" t="s">
        <v>8</v>
      </c>
      <c r="I2616" s="554" t="s">
        <v>9</v>
      </c>
      <c r="J2616" s="554" t="s">
        <v>11</v>
      </c>
      <c r="K2616" s="552"/>
    </row>
    <row r="2617" spans="1:11" ht="38.25" customHeight="1" x14ac:dyDescent="0.3">
      <c r="A2617" s="607" t="s">
        <v>428</v>
      </c>
      <c r="B2617" s="608" t="s">
        <v>1431</v>
      </c>
      <c r="C2617" s="607" t="s">
        <v>19</v>
      </c>
      <c r="D2617" s="607" t="s">
        <v>1432</v>
      </c>
      <c r="E2617" s="690" t="s">
        <v>461</v>
      </c>
      <c r="F2617" s="690"/>
      <c r="G2617" s="609" t="s">
        <v>423</v>
      </c>
      <c r="H2617" s="610">
        <v>1</v>
      </c>
      <c r="I2617" s="611">
        <v>0.2</v>
      </c>
      <c r="J2617" s="611">
        <v>0.2</v>
      </c>
      <c r="K2617" s="552"/>
    </row>
    <row r="2618" spans="1:11" ht="38" thickBot="1" x14ac:dyDescent="0.35">
      <c r="A2618" s="547" t="s">
        <v>433</v>
      </c>
      <c r="B2618" s="548" t="s">
        <v>1437</v>
      </c>
      <c r="C2618" s="547" t="s">
        <v>19</v>
      </c>
      <c r="D2618" s="547" t="s">
        <v>1438</v>
      </c>
      <c r="E2618" s="688" t="s">
        <v>442</v>
      </c>
      <c r="F2618" s="688"/>
      <c r="G2618" s="549" t="s">
        <v>81</v>
      </c>
      <c r="H2618" s="550">
        <v>1.4800000000000001E-5</v>
      </c>
      <c r="I2618" s="551">
        <v>13815.56</v>
      </c>
      <c r="J2618" s="551">
        <v>0.2</v>
      </c>
      <c r="K2618" s="552"/>
    </row>
    <row r="2619" spans="1:11" s="89" customFormat="1" ht="14.5" thickTop="1" x14ac:dyDescent="0.3">
      <c r="A2619" s="562"/>
      <c r="B2619" s="562"/>
      <c r="C2619" s="562"/>
      <c r="D2619" s="562"/>
      <c r="E2619" s="562"/>
      <c r="F2619" s="562"/>
      <c r="G2619" s="562"/>
      <c r="H2619" s="562"/>
      <c r="I2619" s="562"/>
      <c r="J2619" s="562"/>
      <c r="K2619" s="546"/>
    </row>
    <row r="2620" spans="1:11" ht="14.25" customHeight="1" x14ac:dyDescent="0.3">
      <c r="A2620" s="553"/>
      <c r="B2620" s="554" t="s">
        <v>4</v>
      </c>
      <c r="C2620" s="553" t="s">
        <v>5</v>
      </c>
      <c r="D2620" s="553" t="s">
        <v>6</v>
      </c>
      <c r="E2620" s="691" t="s">
        <v>427</v>
      </c>
      <c r="F2620" s="691"/>
      <c r="G2620" s="555" t="s">
        <v>7</v>
      </c>
      <c r="H2620" s="554" t="s">
        <v>8</v>
      </c>
      <c r="I2620" s="554" t="s">
        <v>9</v>
      </c>
      <c r="J2620" s="554" t="s">
        <v>11</v>
      </c>
      <c r="K2620" s="552"/>
    </row>
    <row r="2621" spans="1:11" ht="50" x14ac:dyDescent="0.3">
      <c r="A2621" s="607" t="s">
        <v>428</v>
      </c>
      <c r="B2621" s="608" t="s">
        <v>1433</v>
      </c>
      <c r="C2621" s="607" t="s">
        <v>19</v>
      </c>
      <c r="D2621" s="607" t="s">
        <v>1434</v>
      </c>
      <c r="E2621" s="690" t="s">
        <v>461</v>
      </c>
      <c r="F2621" s="690"/>
      <c r="G2621" s="609" t="s">
        <v>423</v>
      </c>
      <c r="H2621" s="610">
        <v>1</v>
      </c>
      <c r="I2621" s="611">
        <v>1.1299999999999999</v>
      </c>
      <c r="J2621" s="611">
        <v>1.1299999999999999</v>
      </c>
      <c r="K2621" s="552"/>
    </row>
    <row r="2622" spans="1:11" ht="37.5" x14ac:dyDescent="0.3">
      <c r="A2622" s="547" t="s">
        <v>433</v>
      </c>
      <c r="B2622" s="548" t="s">
        <v>1437</v>
      </c>
      <c r="C2622" s="547" t="s">
        <v>19</v>
      </c>
      <c r="D2622" s="547" t="s">
        <v>1438</v>
      </c>
      <c r="E2622" s="688" t="s">
        <v>442</v>
      </c>
      <c r="F2622" s="688"/>
      <c r="G2622" s="549" t="s">
        <v>81</v>
      </c>
      <c r="H2622" s="550">
        <v>8.0000000000000007E-5</v>
      </c>
      <c r="I2622" s="551">
        <v>13815.56</v>
      </c>
      <c r="J2622" s="551">
        <v>1.1000000000000001</v>
      </c>
      <c r="K2622" s="552"/>
    </row>
    <row r="2623" spans="1:11" ht="38.25" customHeight="1" thickBot="1" x14ac:dyDescent="0.35">
      <c r="A2623" s="547" t="s">
        <v>433</v>
      </c>
      <c r="B2623" s="548" t="s">
        <v>1439</v>
      </c>
      <c r="C2623" s="547" t="s">
        <v>19</v>
      </c>
      <c r="D2623" s="547" t="s">
        <v>1440</v>
      </c>
      <c r="E2623" s="688" t="s">
        <v>442</v>
      </c>
      <c r="F2623" s="688"/>
      <c r="G2623" s="549" t="s">
        <v>81</v>
      </c>
      <c r="H2623" s="550">
        <v>8.0000000000000007E-5</v>
      </c>
      <c r="I2623" s="551">
        <v>413.14</v>
      </c>
      <c r="J2623" s="551">
        <v>0.03</v>
      </c>
      <c r="K2623" s="552"/>
    </row>
    <row r="2624" spans="1:11" ht="14.25" customHeight="1" thickTop="1" x14ac:dyDescent="0.3">
      <c r="A2624" s="562"/>
      <c r="B2624" s="562"/>
      <c r="C2624" s="562"/>
      <c r="D2624" s="562"/>
      <c r="E2624" s="562"/>
      <c r="F2624" s="562"/>
      <c r="G2624" s="562"/>
      <c r="H2624" s="562"/>
      <c r="I2624" s="562"/>
      <c r="J2624" s="562"/>
      <c r="K2624" s="552"/>
    </row>
    <row r="2625" spans="1:11" ht="14.25" customHeight="1" x14ac:dyDescent="0.3">
      <c r="A2625" s="553"/>
      <c r="B2625" s="554" t="s">
        <v>4</v>
      </c>
      <c r="C2625" s="553" t="s">
        <v>5</v>
      </c>
      <c r="D2625" s="553" t="s">
        <v>6</v>
      </c>
      <c r="E2625" s="691" t="s">
        <v>427</v>
      </c>
      <c r="F2625" s="691"/>
      <c r="G2625" s="555" t="s">
        <v>7</v>
      </c>
      <c r="H2625" s="554" t="s">
        <v>8</v>
      </c>
      <c r="I2625" s="554" t="s">
        <v>9</v>
      </c>
      <c r="J2625" s="554" t="s">
        <v>11</v>
      </c>
      <c r="K2625" s="552"/>
    </row>
    <row r="2626" spans="1:11" s="89" customFormat="1" ht="50" x14ac:dyDescent="0.3">
      <c r="A2626" s="607" t="s">
        <v>428</v>
      </c>
      <c r="B2626" s="608" t="s">
        <v>1435</v>
      </c>
      <c r="C2626" s="607" t="s">
        <v>19</v>
      </c>
      <c r="D2626" s="607" t="s">
        <v>1436</v>
      </c>
      <c r="E2626" s="690" t="s">
        <v>461</v>
      </c>
      <c r="F2626" s="690"/>
      <c r="G2626" s="609" t="s">
        <v>423</v>
      </c>
      <c r="H2626" s="610">
        <v>1</v>
      </c>
      <c r="I2626" s="611">
        <v>7.82</v>
      </c>
      <c r="J2626" s="611">
        <v>7.82</v>
      </c>
      <c r="K2626" s="546"/>
    </row>
    <row r="2627" spans="1:11" ht="14.25" customHeight="1" thickBot="1" x14ac:dyDescent="0.35">
      <c r="A2627" s="547" t="s">
        <v>433</v>
      </c>
      <c r="B2627" s="548" t="s">
        <v>3670</v>
      </c>
      <c r="C2627" s="547" t="s">
        <v>115</v>
      </c>
      <c r="D2627" s="547" t="s">
        <v>3891</v>
      </c>
      <c r="E2627" s="688" t="s">
        <v>438</v>
      </c>
      <c r="F2627" s="688"/>
      <c r="G2627" s="549" t="s">
        <v>835</v>
      </c>
      <c r="H2627" s="550">
        <v>1.45</v>
      </c>
      <c r="I2627" s="551">
        <v>5.3951000000000002</v>
      </c>
      <c r="J2627" s="551">
        <v>7.82</v>
      </c>
      <c r="K2627" s="552"/>
    </row>
    <row r="2628" spans="1:11" s="89" customFormat="1" ht="14.5" thickTop="1" x14ac:dyDescent="0.3">
      <c r="A2628" s="562"/>
      <c r="B2628" s="562"/>
      <c r="C2628" s="562"/>
      <c r="D2628" s="562"/>
      <c r="E2628" s="562"/>
      <c r="F2628" s="562"/>
      <c r="G2628" s="562"/>
      <c r="H2628" s="562"/>
      <c r="I2628" s="562"/>
      <c r="J2628" s="562"/>
      <c r="K2628" s="546"/>
    </row>
    <row r="2629" spans="1:11" ht="38.25" customHeight="1" x14ac:dyDescent="0.3">
      <c r="A2629" s="553"/>
      <c r="B2629" s="554" t="s">
        <v>4</v>
      </c>
      <c r="C2629" s="553" t="s">
        <v>5</v>
      </c>
      <c r="D2629" s="553" t="s">
        <v>6</v>
      </c>
      <c r="E2629" s="691" t="s">
        <v>427</v>
      </c>
      <c r="F2629" s="691"/>
      <c r="G2629" s="555" t="s">
        <v>7</v>
      </c>
      <c r="H2629" s="554" t="s">
        <v>8</v>
      </c>
      <c r="I2629" s="554" t="s">
        <v>9</v>
      </c>
      <c r="J2629" s="554" t="s">
        <v>11</v>
      </c>
      <c r="K2629" s="552"/>
    </row>
    <row r="2630" spans="1:11" ht="38.25" customHeight="1" x14ac:dyDescent="0.3">
      <c r="A2630" s="607" t="s">
        <v>428</v>
      </c>
      <c r="B2630" s="608" t="s">
        <v>1250</v>
      </c>
      <c r="C2630" s="607" t="s">
        <v>19</v>
      </c>
      <c r="D2630" s="607" t="s">
        <v>3598</v>
      </c>
      <c r="E2630" s="690" t="s">
        <v>619</v>
      </c>
      <c r="F2630" s="690"/>
      <c r="G2630" s="609" t="s">
        <v>424</v>
      </c>
      <c r="H2630" s="610">
        <v>1</v>
      </c>
      <c r="I2630" s="611">
        <v>11.79</v>
      </c>
      <c r="J2630" s="611">
        <v>11.79</v>
      </c>
      <c r="K2630" s="552"/>
    </row>
    <row r="2631" spans="1:11" ht="14.25" customHeight="1" x14ac:dyDescent="0.3">
      <c r="A2631" s="547" t="s">
        <v>430</v>
      </c>
      <c r="B2631" s="548" t="s">
        <v>1167</v>
      </c>
      <c r="C2631" s="547" t="s">
        <v>19</v>
      </c>
      <c r="D2631" s="547" t="s">
        <v>1168</v>
      </c>
      <c r="E2631" s="688" t="s">
        <v>429</v>
      </c>
      <c r="F2631" s="688"/>
      <c r="G2631" s="549" t="s">
        <v>423</v>
      </c>
      <c r="H2631" s="550">
        <v>1.52E-2</v>
      </c>
      <c r="I2631" s="551">
        <v>24.21</v>
      </c>
      <c r="J2631" s="551">
        <v>0.36</v>
      </c>
      <c r="K2631" s="552"/>
    </row>
    <row r="2632" spans="1:11" ht="14.25" customHeight="1" x14ac:dyDescent="0.3">
      <c r="A2632" s="547" t="s">
        <v>430</v>
      </c>
      <c r="B2632" s="548" t="s">
        <v>1169</v>
      </c>
      <c r="C2632" s="547" t="s">
        <v>19</v>
      </c>
      <c r="D2632" s="547" t="s">
        <v>1038</v>
      </c>
      <c r="E2632" s="688" t="s">
        <v>429</v>
      </c>
      <c r="F2632" s="688"/>
      <c r="G2632" s="549" t="s">
        <v>423</v>
      </c>
      <c r="H2632" s="550">
        <v>9.3299999999999994E-2</v>
      </c>
      <c r="I2632" s="551">
        <v>30.85</v>
      </c>
      <c r="J2632" s="551">
        <v>2.87</v>
      </c>
      <c r="K2632" s="552"/>
    </row>
    <row r="2633" spans="1:11" ht="14.5" thickBot="1" x14ac:dyDescent="0.35">
      <c r="A2633" s="547" t="s">
        <v>433</v>
      </c>
      <c r="B2633" s="548" t="s">
        <v>3685</v>
      </c>
      <c r="C2633" s="547" t="s">
        <v>115</v>
      </c>
      <c r="D2633" s="547" t="s">
        <v>3686</v>
      </c>
      <c r="E2633" s="688" t="s">
        <v>438</v>
      </c>
      <c r="F2633" s="688"/>
      <c r="G2633" s="549" t="s">
        <v>655</v>
      </c>
      <c r="H2633" s="550">
        <v>1.07</v>
      </c>
      <c r="I2633" s="551">
        <v>8.0090000000000003</v>
      </c>
      <c r="J2633" s="551">
        <v>8.56</v>
      </c>
      <c r="K2633" s="552"/>
    </row>
    <row r="2634" spans="1:11" ht="14.5" thickTop="1" x14ac:dyDescent="0.3">
      <c r="A2634" s="562"/>
      <c r="B2634" s="562"/>
      <c r="C2634" s="562"/>
      <c r="D2634" s="562"/>
      <c r="E2634" s="562"/>
      <c r="F2634" s="562"/>
      <c r="G2634" s="562"/>
      <c r="H2634" s="562"/>
      <c r="I2634" s="562"/>
      <c r="J2634" s="562"/>
      <c r="K2634" s="552"/>
    </row>
    <row r="2635" spans="1:11" s="89" customFormat="1" x14ac:dyDescent="0.3">
      <c r="A2635" s="553"/>
      <c r="B2635" s="554" t="s">
        <v>4</v>
      </c>
      <c r="C2635" s="553" t="s">
        <v>5</v>
      </c>
      <c r="D2635" s="553" t="s">
        <v>6</v>
      </c>
      <c r="E2635" s="691" t="s">
        <v>427</v>
      </c>
      <c r="F2635" s="691"/>
      <c r="G2635" s="555" t="s">
        <v>7</v>
      </c>
      <c r="H2635" s="554" t="s">
        <v>8</v>
      </c>
      <c r="I2635" s="554" t="s">
        <v>9</v>
      </c>
      <c r="J2635" s="554" t="s">
        <v>11</v>
      </c>
      <c r="K2635" s="546"/>
    </row>
    <row r="2636" spans="1:11" s="89" customFormat="1" ht="38.25" customHeight="1" x14ac:dyDescent="0.3">
      <c r="A2636" s="607" t="s">
        <v>428</v>
      </c>
      <c r="B2636" s="608" t="s">
        <v>1257</v>
      </c>
      <c r="C2636" s="607" t="s">
        <v>19</v>
      </c>
      <c r="D2636" s="607" t="s">
        <v>1258</v>
      </c>
      <c r="E2636" s="690" t="s">
        <v>619</v>
      </c>
      <c r="F2636" s="690"/>
      <c r="G2636" s="609" t="s">
        <v>424</v>
      </c>
      <c r="H2636" s="610">
        <v>1</v>
      </c>
      <c r="I2636" s="611">
        <v>10.57</v>
      </c>
      <c r="J2636" s="611">
        <v>10.57</v>
      </c>
      <c r="K2636" s="546"/>
    </row>
    <row r="2637" spans="1:11" ht="14.25" customHeight="1" x14ac:dyDescent="0.3">
      <c r="A2637" s="547" t="s">
        <v>430</v>
      </c>
      <c r="B2637" s="548" t="s">
        <v>1167</v>
      </c>
      <c r="C2637" s="547" t="s">
        <v>19</v>
      </c>
      <c r="D2637" s="547" t="s">
        <v>1168</v>
      </c>
      <c r="E2637" s="688" t="s">
        <v>429</v>
      </c>
      <c r="F2637" s="688"/>
      <c r="G2637" s="549" t="s">
        <v>423</v>
      </c>
      <c r="H2637" s="550">
        <v>9.4999999999999998E-3</v>
      </c>
      <c r="I2637" s="551">
        <v>24.21</v>
      </c>
      <c r="J2637" s="551">
        <v>0.22</v>
      </c>
      <c r="K2637" s="552"/>
    </row>
    <row r="2638" spans="1:11" ht="14.25" customHeight="1" x14ac:dyDescent="0.3">
      <c r="A2638" s="547" t="s">
        <v>430</v>
      </c>
      <c r="B2638" s="548" t="s">
        <v>1169</v>
      </c>
      <c r="C2638" s="547" t="s">
        <v>19</v>
      </c>
      <c r="D2638" s="547" t="s">
        <v>1038</v>
      </c>
      <c r="E2638" s="688" t="s">
        <v>429</v>
      </c>
      <c r="F2638" s="688"/>
      <c r="G2638" s="549" t="s">
        <v>423</v>
      </c>
      <c r="H2638" s="550">
        <v>5.8099999999999999E-2</v>
      </c>
      <c r="I2638" s="551">
        <v>30.85</v>
      </c>
      <c r="J2638" s="551">
        <v>1.79</v>
      </c>
      <c r="K2638" s="552"/>
    </row>
    <row r="2639" spans="1:11" s="89" customFormat="1" ht="14.5" thickBot="1" x14ac:dyDescent="0.35">
      <c r="A2639" s="547" t="s">
        <v>433</v>
      </c>
      <c r="B2639" s="548" t="s">
        <v>3685</v>
      </c>
      <c r="C2639" s="547" t="s">
        <v>115</v>
      </c>
      <c r="D2639" s="547" t="s">
        <v>3686</v>
      </c>
      <c r="E2639" s="688" t="s">
        <v>438</v>
      </c>
      <c r="F2639" s="688"/>
      <c r="G2639" s="549" t="s">
        <v>655</v>
      </c>
      <c r="H2639" s="550">
        <v>1.07</v>
      </c>
      <c r="I2639" s="551">
        <v>8.0090000000000003</v>
      </c>
      <c r="J2639" s="551">
        <v>8.56</v>
      </c>
      <c r="K2639" s="546"/>
    </row>
    <row r="2640" spans="1:11" ht="14.5" thickTop="1" x14ac:dyDescent="0.3">
      <c r="A2640" s="562"/>
      <c r="B2640" s="562"/>
      <c r="C2640" s="562"/>
      <c r="D2640" s="562"/>
      <c r="E2640" s="562"/>
      <c r="F2640" s="562"/>
      <c r="G2640" s="562"/>
      <c r="H2640" s="562"/>
      <c r="I2640" s="562"/>
      <c r="J2640" s="562"/>
      <c r="K2640" s="552"/>
    </row>
    <row r="2641" spans="1:11" x14ac:dyDescent="0.3">
      <c r="A2641" s="553"/>
      <c r="B2641" s="554" t="s">
        <v>4</v>
      </c>
      <c r="C2641" s="553" t="s">
        <v>5</v>
      </c>
      <c r="D2641" s="553" t="s">
        <v>6</v>
      </c>
      <c r="E2641" s="691" t="s">
        <v>427</v>
      </c>
      <c r="F2641" s="691"/>
      <c r="G2641" s="555" t="s">
        <v>7</v>
      </c>
      <c r="H2641" s="554" t="s">
        <v>8</v>
      </c>
      <c r="I2641" s="554" t="s">
        <v>9</v>
      </c>
      <c r="J2641" s="554" t="s">
        <v>11</v>
      </c>
      <c r="K2641" s="552"/>
    </row>
    <row r="2642" spans="1:11" s="89" customFormat="1" ht="25" x14ac:dyDescent="0.3">
      <c r="A2642" s="607" t="s">
        <v>428</v>
      </c>
      <c r="B2642" s="608" t="s">
        <v>1209</v>
      </c>
      <c r="C2642" s="607" t="s">
        <v>19</v>
      </c>
      <c r="D2642" s="607" t="s">
        <v>1210</v>
      </c>
      <c r="E2642" s="690" t="s">
        <v>429</v>
      </c>
      <c r="F2642" s="690"/>
      <c r="G2642" s="609" t="s">
        <v>423</v>
      </c>
      <c r="H2642" s="610">
        <v>1</v>
      </c>
      <c r="I2642" s="611">
        <v>0.2</v>
      </c>
      <c r="J2642" s="611">
        <v>0.2</v>
      </c>
      <c r="K2642" s="546"/>
    </row>
    <row r="2643" spans="1:11" s="89" customFormat="1" ht="38.25" customHeight="1" thickBot="1" x14ac:dyDescent="0.35">
      <c r="A2643" s="547" t="s">
        <v>433</v>
      </c>
      <c r="B2643" s="548" t="s">
        <v>1211</v>
      </c>
      <c r="C2643" s="547" t="s">
        <v>19</v>
      </c>
      <c r="D2643" s="547" t="s">
        <v>1212</v>
      </c>
      <c r="E2643" s="688" t="s">
        <v>436</v>
      </c>
      <c r="F2643" s="688"/>
      <c r="G2643" s="549" t="s">
        <v>423</v>
      </c>
      <c r="H2643" s="550">
        <v>1.328E-2</v>
      </c>
      <c r="I2643" s="551">
        <v>15.27</v>
      </c>
      <c r="J2643" s="551">
        <v>0.2</v>
      </c>
      <c r="K2643" s="546"/>
    </row>
    <row r="2644" spans="1:11" ht="14.25" customHeight="1" thickTop="1" x14ac:dyDescent="0.3">
      <c r="A2644" s="562"/>
      <c r="B2644" s="562"/>
      <c r="C2644" s="562"/>
      <c r="D2644" s="562"/>
      <c r="E2644" s="562"/>
      <c r="F2644" s="562"/>
      <c r="G2644" s="562"/>
      <c r="H2644" s="562"/>
      <c r="I2644" s="562"/>
      <c r="J2644" s="562"/>
      <c r="K2644" s="552"/>
    </row>
    <row r="2645" spans="1:11" ht="14.25" customHeight="1" x14ac:dyDescent="0.3">
      <c r="A2645" s="553"/>
      <c r="B2645" s="554" t="s">
        <v>4</v>
      </c>
      <c r="C2645" s="553" t="s">
        <v>5</v>
      </c>
      <c r="D2645" s="553" t="s">
        <v>6</v>
      </c>
      <c r="E2645" s="691" t="s">
        <v>427</v>
      </c>
      <c r="F2645" s="691"/>
      <c r="G2645" s="555" t="s">
        <v>7</v>
      </c>
      <c r="H2645" s="554" t="s">
        <v>8</v>
      </c>
      <c r="I2645" s="554" t="s">
        <v>9</v>
      </c>
      <c r="J2645" s="554" t="s">
        <v>11</v>
      </c>
      <c r="K2645" s="552"/>
    </row>
    <row r="2646" spans="1:11" ht="25" x14ac:dyDescent="0.3">
      <c r="A2646" s="607" t="s">
        <v>428</v>
      </c>
      <c r="B2646" s="608" t="s">
        <v>1222</v>
      </c>
      <c r="C2646" s="607" t="s">
        <v>19</v>
      </c>
      <c r="D2646" s="607" t="s">
        <v>1223</v>
      </c>
      <c r="E2646" s="690" t="s">
        <v>429</v>
      </c>
      <c r="F2646" s="690"/>
      <c r="G2646" s="609" t="s">
        <v>423</v>
      </c>
      <c r="H2646" s="610">
        <v>1</v>
      </c>
      <c r="I2646" s="611">
        <v>0.25</v>
      </c>
      <c r="J2646" s="611">
        <v>0.25</v>
      </c>
      <c r="K2646" s="552"/>
    </row>
    <row r="2647" spans="1:11" ht="14.5" thickBot="1" x14ac:dyDescent="0.35">
      <c r="A2647" s="547" t="s">
        <v>433</v>
      </c>
      <c r="B2647" s="548" t="s">
        <v>1224</v>
      </c>
      <c r="C2647" s="547" t="s">
        <v>19</v>
      </c>
      <c r="D2647" s="547" t="s">
        <v>1225</v>
      </c>
      <c r="E2647" s="688" t="s">
        <v>436</v>
      </c>
      <c r="F2647" s="688"/>
      <c r="G2647" s="549" t="s">
        <v>423</v>
      </c>
      <c r="H2647" s="550">
        <v>1.6990000000000002E-2</v>
      </c>
      <c r="I2647" s="551">
        <v>15.27</v>
      </c>
      <c r="J2647" s="551">
        <v>0.25</v>
      </c>
      <c r="K2647" s="552"/>
    </row>
    <row r="2648" spans="1:11" ht="14.5" thickTop="1" x14ac:dyDescent="0.3">
      <c r="A2648" s="562"/>
      <c r="B2648" s="562"/>
      <c r="C2648" s="562"/>
      <c r="D2648" s="562"/>
      <c r="E2648" s="562"/>
      <c r="F2648" s="562"/>
      <c r="G2648" s="562"/>
      <c r="H2648" s="562"/>
      <c r="I2648" s="562"/>
      <c r="J2648" s="562"/>
      <c r="K2648" s="552"/>
    </row>
    <row r="2649" spans="1:11" s="89" customFormat="1" x14ac:dyDescent="0.3">
      <c r="A2649" s="553"/>
      <c r="B2649" s="554" t="s">
        <v>4</v>
      </c>
      <c r="C2649" s="553" t="s">
        <v>5</v>
      </c>
      <c r="D2649" s="553" t="s">
        <v>6</v>
      </c>
      <c r="E2649" s="691" t="s">
        <v>427</v>
      </c>
      <c r="F2649" s="691"/>
      <c r="G2649" s="555" t="s">
        <v>7</v>
      </c>
      <c r="H2649" s="554" t="s">
        <v>8</v>
      </c>
      <c r="I2649" s="554" t="s">
        <v>9</v>
      </c>
      <c r="J2649" s="554" t="s">
        <v>11</v>
      </c>
      <c r="K2649" s="546"/>
    </row>
    <row r="2650" spans="1:11" s="89" customFormat="1" ht="25" x14ac:dyDescent="0.3">
      <c r="A2650" s="607" t="s">
        <v>428</v>
      </c>
      <c r="B2650" s="608" t="s">
        <v>1230</v>
      </c>
      <c r="C2650" s="607" t="s">
        <v>19</v>
      </c>
      <c r="D2650" s="607" t="s">
        <v>1231</v>
      </c>
      <c r="E2650" s="690" t="s">
        <v>429</v>
      </c>
      <c r="F2650" s="690"/>
      <c r="G2650" s="609" t="s">
        <v>423</v>
      </c>
      <c r="H2650" s="610">
        <v>1</v>
      </c>
      <c r="I2650" s="611">
        <v>0.2</v>
      </c>
      <c r="J2650" s="611">
        <v>0.2</v>
      </c>
      <c r="K2650" s="546"/>
    </row>
    <row r="2651" spans="1:11" s="89" customFormat="1" ht="14.5" thickBot="1" x14ac:dyDescent="0.35">
      <c r="A2651" s="547" t="s">
        <v>433</v>
      </c>
      <c r="B2651" s="548" t="s">
        <v>1232</v>
      </c>
      <c r="C2651" s="547" t="s">
        <v>19</v>
      </c>
      <c r="D2651" s="547" t="s">
        <v>1233</v>
      </c>
      <c r="E2651" s="688" t="s">
        <v>436</v>
      </c>
      <c r="F2651" s="688"/>
      <c r="G2651" s="549" t="s">
        <v>423</v>
      </c>
      <c r="H2651" s="550">
        <v>1.328E-2</v>
      </c>
      <c r="I2651" s="551">
        <v>15.21</v>
      </c>
      <c r="J2651" s="551">
        <v>0.2</v>
      </c>
      <c r="K2651" s="546"/>
    </row>
    <row r="2652" spans="1:11" ht="14.5" thickTop="1" x14ac:dyDescent="0.3">
      <c r="A2652" s="562"/>
      <c r="B2652" s="562"/>
      <c r="C2652" s="562"/>
      <c r="D2652" s="562"/>
      <c r="E2652" s="562"/>
      <c r="F2652" s="562"/>
      <c r="G2652" s="562"/>
      <c r="H2652" s="562"/>
      <c r="I2652" s="562"/>
      <c r="J2652" s="562"/>
      <c r="K2652" s="552"/>
    </row>
    <row r="2653" spans="1:11" s="89" customFormat="1" x14ac:dyDescent="0.3">
      <c r="A2653" s="553"/>
      <c r="B2653" s="554" t="s">
        <v>4</v>
      </c>
      <c r="C2653" s="553" t="s">
        <v>5</v>
      </c>
      <c r="D2653" s="553" t="s">
        <v>6</v>
      </c>
      <c r="E2653" s="691" t="s">
        <v>427</v>
      </c>
      <c r="F2653" s="691"/>
      <c r="G2653" s="555" t="s">
        <v>7</v>
      </c>
      <c r="H2653" s="554" t="s">
        <v>8</v>
      </c>
      <c r="I2653" s="554" t="s">
        <v>9</v>
      </c>
      <c r="J2653" s="554" t="s">
        <v>11</v>
      </c>
      <c r="K2653" s="546"/>
    </row>
    <row r="2654" spans="1:11" ht="25" x14ac:dyDescent="0.3">
      <c r="A2654" s="607" t="s">
        <v>428</v>
      </c>
      <c r="B2654" s="608" t="s">
        <v>508</v>
      </c>
      <c r="C2654" s="607" t="s">
        <v>19</v>
      </c>
      <c r="D2654" s="607" t="s">
        <v>509</v>
      </c>
      <c r="E2654" s="690" t="s">
        <v>429</v>
      </c>
      <c r="F2654" s="690"/>
      <c r="G2654" s="609" t="s">
        <v>21</v>
      </c>
      <c r="H2654" s="610">
        <v>1</v>
      </c>
      <c r="I2654" s="611">
        <v>27.06</v>
      </c>
      <c r="J2654" s="611">
        <v>27.06</v>
      </c>
      <c r="K2654" s="552"/>
    </row>
    <row r="2655" spans="1:11" ht="14.5" thickBot="1" x14ac:dyDescent="0.35">
      <c r="A2655" s="547" t="s">
        <v>433</v>
      </c>
      <c r="B2655" s="548" t="s">
        <v>510</v>
      </c>
      <c r="C2655" s="547" t="s">
        <v>19</v>
      </c>
      <c r="D2655" s="547" t="s">
        <v>511</v>
      </c>
      <c r="E2655" s="688" t="s">
        <v>436</v>
      </c>
      <c r="F2655" s="688"/>
      <c r="G2655" s="549" t="s">
        <v>21</v>
      </c>
      <c r="H2655" s="550">
        <v>4.3800000000000002E-3</v>
      </c>
      <c r="I2655" s="551">
        <v>6179.93</v>
      </c>
      <c r="J2655" s="551">
        <v>27.06</v>
      </c>
      <c r="K2655" s="552"/>
    </row>
    <row r="2656" spans="1:11" ht="14.5" thickTop="1" x14ac:dyDescent="0.3">
      <c r="A2656" s="562"/>
      <c r="B2656" s="562"/>
      <c r="C2656" s="562"/>
      <c r="D2656" s="562"/>
      <c r="E2656" s="562"/>
      <c r="F2656" s="562"/>
      <c r="G2656" s="562"/>
      <c r="H2656" s="562"/>
      <c r="I2656" s="562"/>
      <c r="J2656" s="562"/>
      <c r="K2656" s="552"/>
    </row>
    <row r="2657" spans="1:11" s="89" customFormat="1" x14ac:dyDescent="0.3">
      <c r="A2657" s="553"/>
      <c r="B2657" s="554" t="s">
        <v>4</v>
      </c>
      <c r="C2657" s="553" t="s">
        <v>5</v>
      </c>
      <c r="D2657" s="553" t="s">
        <v>6</v>
      </c>
      <c r="E2657" s="691" t="s">
        <v>427</v>
      </c>
      <c r="F2657" s="691"/>
      <c r="G2657" s="555" t="s">
        <v>7</v>
      </c>
      <c r="H2657" s="554" t="s">
        <v>8</v>
      </c>
      <c r="I2657" s="554" t="s">
        <v>9</v>
      </c>
      <c r="J2657" s="554" t="s">
        <v>11</v>
      </c>
      <c r="K2657" s="546"/>
    </row>
    <row r="2658" spans="1:11" s="89" customFormat="1" ht="25" x14ac:dyDescent="0.3">
      <c r="A2658" s="607" t="s">
        <v>428</v>
      </c>
      <c r="B2658" s="608" t="s">
        <v>504</v>
      </c>
      <c r="C2658" s="607" t="s">
        <v>19</v>
      </c>
      <c r="D2658" s="607" t="s">
        <v>505</v>
      </c>
      <c r="E2658" s="690" t="s">
        <v>429</v>
      </c>
      <c r="F2658" s="690"/>
      <c r="G2658" s="609" t="s">
        <v>21</v>
      </c>
      <c r="H2658" s="610">
        <v>1</v>
      </c>
      <c r="I2658" s="611">
        <v>107.42</v>
      </c>
      <c r="J2658" s="611">
        <v>107.42</v>
      </c>
      <c r="K2658" s="546"/>
    </row>
    <row r="2659" spans="1:11" s="89" customFormat="1" ht="14.5" thickBot="1" x14ac:dyDescent="0.35">
      <c r="A2659" s="547" t="s">
        <v>433</v>
      </c>
      <c r="B2659" s="548" t="s">
        <v>506</v>
      </c>
      <c r="C2659" s="547" t="s">
        <v>19</v>
      </c>
      <c r="D2659" s="547" t="s">
        <v>507</v>
      </c>
      <c r="E2659" s="688" t="s">
        <v>436</v>
      </c>
      <c r="F2659" s="688"/>
      <c r="G2659" s="549" t="s">
        <v>21</v>
      </c>
      <c r="H2659" s="550">
        <v>1.8259999999999998E-2</v>
      </c>
      <c r="I2659" s="551">
        <v>5883.34</v>
      </c>
      <c r="J2659" s="551">
        <v>107.42</v>
      </c>
      <c r="K2659" s="546"/>
    </row>
    <row r="2660" spans="1:11" ht="14.5" thickTop="1" x14ac:dyDescent="0.3">
      <c r="A2660" s="562"/>
      <c r="B2660" s="562"/>
      <c r="C2660" s="562"/>
      <c r="D2660" s="562"/>
      <c r="E2660" s="562"/>
      <c r="F2660" s="562"/>
      <c r="G2660" s="562"/>
      <c r="H2660" s="562"/>
      <c r="I2660" s="562"/>
      <c r="J2660" s="562"/>
      <c r="K2660" s="552"/>
    </row>
    <row r="2661" spans="1:11" x14ac:dyDescent="0.3">
      <c r="A2661" s="553"/>
      <c r="B2661" s="554" t="s">
        <v>4</v>
      </c>
      <c r="C2661" s="553" t="s">
        <v>5</v>
      </c>
      <c r="D2661" s="553" t="s">
        <v>6</v>
      </c>
      <c r="E2661" s="691" t="s">
        <v>427</v>
      </c>
      <c r="F2661" s="691"/>
      <c r="G2661" s="555" t="s">
        <v>7</v>
      </c>
      <c r="H2661" s="554" t="s">
        <v>8</v>
      </c>
      <c r="I2661" s="554" t="s">
        <v>9</v>
      </c>
      <c r="J2661" s="554" t="s">
        <v>11</v>
      </c>
      <c r="K2661" s="552"/>
    </row>
    <row r="2662" spans="1:11" ht="25" x14ac:dyDescent="0.3">
      <c r="A2662" s="607" t="s">
        <v>428</v>
      </c>
      <c r="B2662" s="608" t="s">
        <v>1246</v>
      </c>
      <c r="C2662" s="607" t="s">
        <v>19</v>
      </c>
      <c r="D2662" s="607" t="s">
        <v>1247</v>
      </c>
      <c r="E2662" s="690" t="s">
        <v>429</v>
      </c>
      <c r="F2662" s="690"/>
      <c r="G2662" s="609" t="s">
        <v>423</v>
      </c>
      <c r="H2662" s="610">
        <v>1</v>
      </c>
      <c r="I2662" s="611">
        <v>0.28000000000000003</v>
      </c>
      <c r="J2662" s="611">
        <v>0.28000000000000003</v>
      </c>
      <c r="K2662" s="552"/>
    </row>
    <row r="2663" spans="1:11" ht="14.5" thickBot="1" x14ac:dyDescent="0.35">
      <c r="A2663" s="547" t="s">
        <v>433</v>
      </c>
      <c r="B2663" s="548" t="s">
        <v>1248</v>
      </c>
      <c r="C2663" s="547" t="s">
        <v>19</v>
      </c>
      <c r="D2663" s="547" t="s">
        <v>1249</v>
      </c>
      <c r="E2663" s="688" t="s">
        <v>436</v>
      </c>
      <c r="F2663" s="688"/>
      <c r="G2663" s="549" t="s">
        <v>423</v>
      </c>
      <c r="H2663" s="550">
        <v>1.328E-2</v>
      </c>
      <c r="I2663" s="551">
        <v>21.83</v>
      </c>
      <c r="J2663" s="551">
        <v>0.28000000000000003</v>
      </c>
      <c r="K2663" s="552"/>
    </row>
    <row r="2664" spans="1:11" ht="14.5" thickTop="1" x14ac:dyDescent="0.3">
      <c r="A2664" s="562"/>
      <c r="B2664" s="562"/>
      <c r="C2664" s="562"/>
      <c r="D2664" s="562"/>
      <c r="E2664" s="562"/>
      <c r="F2664" s="562"/>
      <c r="G2664" s="562"/>
      <c r="H2664" s="562"/>
      <c r="I2664" s="562"/>
      <c r="J2664" s="562"/>
      <c r="K2664" s="552"/>
    </row>
    <row r="2665" spans="1:11" s="89" customFormat="1" x14ac:dyDescent="0.3">
      <c r="A2665" s="553"/>
      <c r="B2665" s="554" t="s">
        <v>4</v>
      </c>
      <c r="C2665" s="553" t="s">
        <v>5</v>
      </c>
      <c r="D2665" s="553" t="s">
        <v>6</v>
      </c>
      <c r="E2665" s="691" t="s">
        <v>427</v>
      </c>
      <c r="F2665" s="691"/>
      <c r="G2665" s="555" t="s">
        <v>7</v>
      </c>
      <c r="H2665" s="554" t="s">
        <v>8</v>
      </c>
      <c r="I2665" s="554" t="s">
        <v>9</v>
      </c>
      <c r="J2665" s="554" t="s">
        <v>11</v>
      </c>
      <c r="K2665" s="546"/>
    </row>
    <row r="2666" spans="1:11" ht="25" x14ac:dyDescent="0.3">
      <c r="A2666" s="607" t="s">
        <v>428</v>
      </c>
      <c r="B2666" s="608" t="s">
        <v>1259</v>
      </c>
      <c r="C2666" s="607" t="s">
        <v>19</v>
      </c>
      <c r="D2666" s="607" t="s">
        <v>1260</v>
      </c>
      <c r="E2666" s="690" t="s">
        <v>429</v>
      </c>
      <c r="F2666" s="690"/>
      <c r="G2666" s="609" t="s">
        <v>423</v>
      </c>
      <c r="H2666" s="610">
        <v>1</v>
      </c>
      <c r="I2666" s="611">
        <v>0.28999999999999998</v>
      </c>
      <c r="J2666" s="611">
        <v>0.28999999999999998</v>
      </c>
      <c r="K2666" s="552"/>
    </row>
    <row r="2667" spans="1:11" ht="14.5" thickBot="1" x14ac:dyDescent="0.35">
      <c r="A2667" s="547" t="s">
        <v>433</v>
      </c>
      <c r="B2667" s="548" t="s">
        <v>1261</v>
      </c>
      <c r="C2667" s="547" t="s">
        <v>19</v>
      </c>
      <c r="D2667" s="547" t="s">
        <v>3599</v>
      </c>
      <c r="E2667" s="688" t="s">
        <v>436</v>
      </c>
      <c r="F2667" s="688"/>
      <c r="G2667" s="549" t="s">
        <v>423</v>
      </c>
      <c r="H2667" s="550">
        <v>1.6990000000000002E-2</v>
      </c>
      <c r="I2667" s="551">
        <v>17.350000000000001</v>
      </c>
      <c r="J2667" s="551">
        <v>0.28999999999999998</v>
      </c>
      <c r="K2667" s="552"/>
    </row>
    <row r="2668" spans="1:11" ht="14.5" thickTop="1" x14ac:dyDescent="0.3">
      <c r="A2668" s="562"/>
      <c r="B2668" s="562"/>
      <c r="C2668" s="562"/>
      <c r="D2668" s="562"/>
      <c r="E2668" s="562"/>
      <c r="F2668" s="562"/>
      <c r="G2668" s="562"/>
      <c r="H2668" s="562"/>
      <c r="I2668" s="562"/>
      <c r="J2668" s="562"/>
      <c r="K2668" s="552"/>
    </row>
    <row r="2669" spans="1:11" s="89" customFormat="1" x14ac:dyDescent="0.3">
      <c r="A2669" s="553"/>
      <c r="B2669" s="554" t="s">
        <v>4</v>
      </c>
      <c r="C2669" s="553" t="s">
        <v>5</v>
      </c>
      <c r="D2669" s="553" t="s">
        <v>6</v>
      </c>
      <c r="E2669" s="691" t="s">
        <v>427</v>
      </c>
      <c r="F2669" s="691"/>
      <c r="G2669" s="555" t="s">
        <v>7</v>
      </c>
      <c r="H2669" s="554" t="s">
        <v>8</v>
      </c>
      <c r="I2669" s="554" t="s">
        <v>9</v>
      </c>
      <c r="J2669" s="554" t="s">
        <v>11</v>
      </c>
      <c r="K2669" s="546"/>
    </row>
    <row r="2670" spans="1:11" s="89" customFormat="1" ht="15" customHeight="1" x14ac:dyDescent="0.3">
      <c r="A2670" s="607" t="s">
        <v>428</v>
      </c>
      <c r="B2670" s="608" t="s">
        <v>512</v>
      </c>
      <c r="C2670" s="607" t="s">
        <v>19</v>
      </c>
      <c r="D2670" s="607" t="s">
        <v>513</v>
      </c>
      <c r="E2670" s="690" t="s">
        <v>429</v>
      </c>
      <c r="F2670" s="690"/>
      <c r="G2670" s="609" t="s">
        <v>21</v>
      </c>
      <c r="H2670" s="610">
        <v>1</v>
      </c>
      <c r="I2670" s="611">
        <v>11.87</v>
      </c>
      <c r="J2670" s="611">
        <v>11.87</v>
      </c>
      <c r="K2670" s="546"/>
    </row>
    <row r="2671" spans="1:11" s="89" customFormat="1" ht="15" customHeight="1" thickBot="1" x14ac:dyDescent="0.35">
      <c r="A2671" s="547" t="s">
        <v>433</v>
      </c>
      <c r="B2671" s="548" t="s">
        <v>3825</v>
      </c>
      <c r="C2671" s="547" t="s">
        <v>19</v>
      </c>
      <c r="D2671" s="547" t="s">
        <v>3826</v>
      </c>
      <c r="E2671" s="688" t="s">
        <v>436</v>
      </c>
      <c r="F2671" s="688"/>
      <c r="G2671" s="549" t="s">
        <v>21</v>
      </c>
      <c r="H2671" s="550">
        <v>4.3800000000000002E-3</v>
      </c>
      <c r="I2671" s="551">
        <v>2710.91</v>
      </c>
      <c r="J2671" s="551">
        <v>11.87</v>
      </c>
      <c r="K2671" s="546"/>
    </row>
    <row r="2672" spans="1:11" ht="14.25" customHeight="1" thickTop="1" x14ac:dyDescent="0.3">
      <c r="A2672" s="562"/>
      <c r="B2672" s="562"/>
      <c r="C2672" s="562"/>
      <c r="D2672" s="562"/>
      <c r="E2672" s="562"/>
      <c r="F2672" s="562"/>
      <c r="G2672" s="562"/>
      <c r="H2672" s="562"/>
      <c r="I2672" s="562"/>
      <c r="J2672" s="562"/>
      <c r="K2672" s="552"/>
    </row>
    <row r="2673" spans="1:11" x14ac:dyDescent="0.3">
      <c r="A2673" s="553"/>
      <c r="B2673" s="554" t="s">
        <v>4</v>
      </c>
      <c r="C2673" s="553" t="s">
        <v>5</v>
      </c>
      <c r="D2673" s="553" t="s">
        <v>6</v>
      </c>
      <c r="E2673" s="691" t="s">
        <v>427</v>
      </c>
      <c r="F2673" s="691"/>
      <c r="G2673" s="555" t="s">
        <v>7</v>
      </c>
      <c r="H2673" s="554" t="s">
        <v>8</v>
      </c>
      <c r="I2673" s="554" t="s">
        <v>9</v>
      </c>
      <c r="J2673" s="554" t="s">
        <v>11</v>
      </c>
      <c r="K2673" s="552"/>
    </row>
    <row r="2674" spans="1:11" s="89" customFormat="1" ht="25" x14ac:dyDescent="0.3">
      <c r="A2674" s="607" t="s">
        <v>428</v>
      </c>
      <c r="B2674" s="608" t="s">
        <v>1266</v>
      </c>
      <c r="C2674" s="607" t="s">
        <v>19</v>
      </c>
      <c r="D2674" s="607" t="s">
        <v>1267</v>
      </c>
      <c r="E2674" s="690" t="s">
        <v>429</v>
      </c>
      <c r="F2674" s="690"/>
      <c r="G2674" s="609" t="s">
        <v>423</v>
      </c>
      <c r="H2674" s="610">
        <v>1</v>
      </c>
      <c r="I2674" s="611">
        <v>0.65</v>
      </c>
      <c r="J2674" s="611">
        <v>0.65</v>
      </c>
      <c r="K2674" s="546"/>
    </row>
    <row r="2675" spans="1:11" s="89" customFormat="1" ht="14.5" thickBot="1" x14ac:dyDescent="0.35">
      <c r="A2675" s="547" t="s">
        <v>433</v>
      </c>
      <c r="B2675" s="548" t="s">
        <v>1268</v>
      </c>
      <c r="C2675" s="547" t="s">
        <v>19</v>
      </c>
      <c r="D2675" s="547" t="s">
        <v>1269</v>
      </c>
      <c r="E2675" s="688" t="s">
        <v>436</v>
      </c>
      <c r="F2675" s="688"/>
      <c r="G2675" s="549" t="s">
        <v>423</v>
      </c>
      <c r="H2675" s="550">
        <v>4.2970000000000001E-2</v>
      </c>
      <c r="I2675" s="551">
        <v>15.27</v>
      </c>
      <c r="J2675" s="551">
        <v>0.65</v>
      </c>
      <c r="K2675" s="546"/>
    </row>
    <row r="2676" spans="1:11" ht="14.25" customHeight="1" thickTop="1" x14ac:dyDescent="0.3">
      <c r="A2676" s="562"/>
      <c r="B2676" s="562"/>
      <c r="C2676" s="562"/>
      <c r="D2676" s="562"/>
      <c r="E2676" s="562"/>
      <c r="F2676" s="562"/>
      <c r="G2676" s="562"/>
      <c r="H2676" s="562"/>
      <c r="I2676" s="562"/>
      <c r="J2676" s="562"/>
      <c r="K2676" s="552"/>
    </row>
    <row r="2677" spans="1:11" ht="14.25" customHeight="1" x14ac:dyDescent="0.3">
      <c r="A2677" s="553"/>
      <c r="B2677" s="554" t="s">
        <v>4</v>
      </c>
      <c r="C2677" s="553" t="s">
        <v>5</v>
      </c>
      <c r="D2677" s="553" t="s">
        <v>6</v>
      </c>
      <c r="E2677" s="691" t="s">
        <v>427</v>
      </c>
      <c r="F2677" s="691"/>
      <c r="G2677" s="555" t="s">
        <v>7</v>
      </c>
      <c r="H2677" s="554" t="s">
        <v>8</v>
      </c>
      <c r="I2677" s="554" t="s">
        <v>9</v>
      </c>
      <c r="J2677" s="554" t="s">
        <v>11</v>
      </c>
      <c r="K2677" s="552"/>
    </row>
    <row r="2678" spans="1:11" ht="14.25" customHeight="1" x14ac:dyDescent="0.3">
      <c r="A2678" s="607" t="s">
        <v>428</v>
      </c>
      <c r="B2678" s="608" t="s">
        <v>1274</v>
      </c>
      <c r="C2678" s="607" t="s">
        <v>19</v>
      </c>
      <c r="D2678" s="607" t="s">
        <v>1275</v>
      </c>
      <c r="E2678" s="690" t="s">
        <v>429</v>
      </c>
      <c r="F2678" s="690"/>
      <c r="G2678" s="609" t="s">
        <v>423</v>
      </c>
      <c r="H2678" s="610">
        <v>1</v>
      </c>
      <c r="I2678" s="611">
        <v>0.31</v>
      </c>
      <c r="J2678" s="611">
        <v>0.31</v>
      </c>
      <c r="K2678" s="552"/>
    </row>
    <row r="2679" spans="1:11" s="89" customFormat="1" ht="14.5" thickBot="1" x14ac:dyDescent="0.35">
      <c r="A2679" s="547" t="s">
        <v>433</v>
      </c>
      <c r="B2679" s="548" t="s">
        <v>1276</v>
      </c>
      <c r="C2679" s="547" t="s">
        <v>19</v>
      </c>
      <c r="D2679" s="547" t="s">
        <v>1277</v>
      </c>
      <c r="E2679" s="688" t="s">
        <v>436</v>
      </c>
      <c r="F2679" s="688"/>
      <c r="G2679" s="549" t="s">
        <v>423</v>
      </c>
      <c r="H2679" s="550">
        <v>2.07E-2</v>
      </c>
      <c r="I2679" s="551">
        <v>15.27</v>
      </c>
      <c r="J2679" s="551">
        <v>0.31</v>
      </c>
      <c r="K2679" s="546"/>
    </row>
    <row r="2680" spans="1:11" ht="14.5" thickTop="1" x14ac:dyDescent="0.3">
      <c r="A2680" s="562"/>
      <c r="B2680" s="562"/>
      <c r="C2680" s="562"/>
      <c r="D2680" s="562"/>
      <c r="E2680" s="562"/>
      <c r="F2680" s="562"/>
      <c r="G2680" s="562"/>
      <c r="H2680" s="562"/>
      <c r="I2680" s="562"/>
      <c r="J2680" s="562"/>
      <c r="K2680" s="552"/>
    </row>
    <row r="2681" spans="1:11" s="89" customFormat="1" x14ac:dyDescent="0.3">
      <c r="A2681" s="553"/>
      <c r="B2681" s="554" t="s">
        <v>4</v>
      </c>
      <c r="C2681" s="553" t="s">
        <v>5</v>
      </c>
      <c r="D2681" s="553" t="s">
        <v>6</v>
      </c>
      <c r="E2681" s="691" t="s">
        <v>427</v>
      </c>
      <c r="F2681" s="691"/>
      <c r="G2681" s="555" t="s">
        <v>7</v>
      </c>
      <c r="H2681" s="554" t="s">
        <v>8</v>
      </c>
      <c r="I2681" s="554" t="s">
        <v>9</v>
      </c>
      <c r="J2681" s="554" t="s">
        <v>11</v>
      </c>
      <c r="K2681" s="546"/>
    </row>
    <row r="2682" spans="1:11" ht="25" x14ac:dyDescent="0.3">
      <c r="A2682" s="607" t="s">
        <v>428</v>
      </c>
      <c r="B2682" s="608" t="s">
        <v>477</v>
      </c>
      <c r="C2682" s="607" t="s">
        <v>19</v>
      </c>
      <c r="D2682" s="607" t="s">
        <v>478</v>
      </c>
      <c r="E2682" s="690" t="s">
        <v>429</v>
      </c>
      <c r="F2682" s="690"/>
      <c r="G2682" s="609" t="s">
        <v>21</v>
      </c>
      <c r="H2682" s="610">
        <v>1</v>
      </c>
      <c r="I2682" s="611">
        <v>20.12</v>
      </c>
      <c r="J2682" s="611">
        <v>20.12</v>
      </c>
      <c r="K2682" s="552"/>
    </row>
    <row r="2683" spans="1:11" s="89" customFormat="1" ht="15" customHeight="1" thickBot="1" x14ac:dyDescent="0.35">
      <c r="A2683" s="547" t="s">
        <v>433</v>
      </c>
      <c r="B2683" s="548" t="s">
        <v>479</v>
      </c>
      <c r="C2683" s="547" t="s">
        <v>19</v>
      </c>
      <c r="D2683" s="547" t="s">
        <v>480</v>
      </c>
      <c r="E2683" s="688" t="s">
        <v>436</v>
      </c>
      <c r="F2683" s="688"/>
      <c r="G2683" s="549" t="s">
        <v>21</v>
      </c>
      <c r="H2683" s="550">
        <v>4.3800000000000002E-3</v>
      </c>
      <c r="I2683" s="551">
        <v>4593.7299999999996</v>
      </c>
      <c r="J2683" s="551">
        <v>20.12</v>
      </c>
      <c r="K2683" s="546"/>
    </row>
    <row r="2684" spans="1:11" ht="14.25" customHeight="1" thickTop="1" x14ac:dyDescent="0.3">
      <c r="A2684" s="562"/>
      <c r="B2684" s="562"/>
      <c r="C2684" s="562"/>
      <c r="D2684" s="562"/>
      <c r="E2684" s="562"/>
      <c r="F2684" s="562"/>
      <c r="G2684" s="562"/>
      <c r="H2684" s="562"/>
      <c r="I2684" s="562"/>
      <c r="J2684" s="562"/>
      <c r="K2684" s="552"/>
    </row>
    <row r="2685" spans="1:11" ht="14.25" customHeight="1" x14ac:dyDescent="0.3">
      <c r="A2685" s="553"/>
      <c r="B2685" s="554" t="s">
        <v>4</v>
      </c>
      <c r="C2685" s="553" t="s">
        <v>5</v>
      </c>
      <c r="D2685" s="553" t="s">
        <v>6</v>
      </c>
      <c r="E2685" s="691" t="s">
        <v>427</v>
      </c>
      <c r="F2685" s="691"/>
      <c r="G2685" s="555" t="s">
        <v>7</v>
      </c>
      <c r="H2685" s="554" t="s">
        <v>8</v>
      </c>
      <c r="I2685" s="554" t="s">
        <v>9</v>
      </c>
      <c r="J2685" s="554" t="s">
        <v>11</v>
      </c>
      <c r="K2685" s="552"/>
    </row>
    <row r="2686" spans="1:11" ht="25" x14ac:dyDescent="0.3">
      <c r="A2686" s="607" t="s">
        <v>428</v>
      </c>
      <c r="B2686" s="608" t="s">
        <v>1282</v>
      </c>
      <c r="C2686" s="607" t="s">
        <v>19</v>
      </c>
      <c r="D2686" s="607" t="s">
        <v>1283</v>
      </c>
      <c r="E2686" s="690" t="s">
        <v>429</v>
      </c>
      <c r="F2686" s="690"/>
      <c r="G2686" s="609" t="s">
        <v>423</v>
      </c>
      <c r="H2686" s="610">
        <v>1</v>
      </c>
      <c r="I2686" s="611">
        <v>0.19</v>
      </c>
      <c r="J2686" s="611">
        <v>0.19</v>
      </c>
      <c r="K2686" s="552"/>
    </row>
    <row r="2687" spans="1:11" ht="14.5" thickBot="1" x14ac:dyDescent="0.35">
      <c r="A2687" s="547" t="s">
        <v>433</v>
      </c>
      <c r="B2687" s="548" t="s">
        <v>1284</v>
      </c>
      <c r="C2687" s="547" t="s">
        <v>19</v>
      </c>
      <c r="D2687" s="547" t="s">
        <v>3600</v>
      </c>
      <c r="E2687" s="688" t="s">
        <v>436</v>
      </c>
      <c r="F2687" s="688"/>
      <c r="G2687" s="549" t="s">
        <v>423</v>
      </c>
      <c r="H2687" s="550">
        <v>1.328E-2</v>
      </c>
      <c r="I2687" s="551">
        <v>14.43</v>
      </c>
      <c r="J2687" s="551">
        <v>0.19</v>
      </c>
      <c r="K2687" s="552"/>
    </row>
    <row r="2688" spans="1:11" ht="14.5" thickTop="1" x14ac:dyDescent="0.3">
      <c r="A2688" s="562"/>
      <c r="B2688" s="562"/>
      <c r="C2688" s="562"/>
      <c r="D2688" s="562"/>
      <c r="E2688" s="562"/>
      <c r="F2688" s="562"/>
      <c r="G2688" s="562"/>
      <c r="H2688" s="562"/>
      <c r="I2688" s="562"/>
      <c r="J2688" s="562"/>
      <c r="K2688" s="552"/>
    </row>
    <row r="2689" spans="1:11" s="89" customFormat="1" x14ac:dyDescent="0.3">
      <c r="A2689" s="553"/>
      <c r="B2689" s="554" t="s">
        <v>4</v>
      </c>
      <c r="C2689" s="553" t="s">
        <v>5</v>
      </c>
      <c r="D2689" s="553" t="s">
        <v>6</v>
      </c>
      <c r="E2689" s="691" t="s">
        <v>427</v>
      </c>
      <c r="F2689" s="691"/>
      <c r="G2689" s="555" t="s">
        <v>7</v>
      </c>
      <c r="H2689" s="554" t="s">
        <v>8</v>
      </c>
      <c r="I2689" s="554" t="s">
        <v>9</v>
      </c>
      <c r="J2689" s="554" t="s">
        <v>11</v>
      </c>
      <c r="K2689" s="546"/>
    </row>
    <row r="2690" spans="1:11" s="89" customFormat="1" ht="15" customHeight="1" x14ac:dyDescent="0.3">
      <c r="A2690" s="607" t="s">
        <v>428</v>
      </c>
      <c r="B2690" s="608" t="s">
        <v>518</v>
      </c>
      <c r="C2690" s="607" t="s">
        <v>19</v>
      </c>
      <c r="D2690" s="607" t="s">
        <v>519</v>
      </c>
      <c r="E2690" s="690" t="s">
        <v>429</v>
      </c>
      <c r="F2690" s="690"/>
      <c r="G2690" s="609" t="s">
        <v>21</v>
      </c>
      <c r="H2690" s="610">
        <v>1</v>
      </c>
      <c r="I2690" s="611">
        <v>12.52</v>
      </c>
      <c r="J2690" s="611">
        <v>12.52</v>
      </c>
      <c r="K2690" s="546"/>
    </row>
    <row r="2691" spans="1:11" ht="14.25" customHeight="1" thickBot="1" x14ac:dyDescent="0.35">
      <c r="A2691" s="547" t="s">
        <v>433</v>
      </c>
      <c r="B2691" s="548" t="s">
        <v>520</v>
      </c>
      <c r="C2691" s="547" t="s">
        <v>19</v>
      </c>
      <c r="D2691" s="547" t="s">
        <v>521</v>
      </c>
      <c r="E2691" s="688" t="s">
        <v>436</v>
      </c>
      <c r="F2691" s="688"/>
      <c r="G2691" s="549" t="s">
        <v>21</v>
      </c>
      <c r="H2691" s="550">
        <v>7.1599999999999997E-3</v>
      </c>
      <c r="I2691" s="551">
        <v>1749.15</v>
      </c>
      <c r="J2691" s="551">
        <v>12.52</v>
      </c>
      <c r="K2691" s="552"/>
    </row>
    <row r="2692" spans="1:11" ht="14.5" thickTop="1" x14ac:dyDescent="0.3">
      <c r="A2692" s="562"/>
      <c r="B2692" s="562"/>
      <c r="C2692" s="562"/>
      <c r="D2692" s="562"/>
      <c r="E2692" s="562"/>
      <c r="F2692" s="562"/>
      <c r="G2692" s="562"/>
      <c r="H2692" s="562"/>
      <c r="I2692" s="562"/>
      <c r="J2692" s="562"/>
      <c r="K2692" s="552"/>
    </row>
    <row r="2693" spans="1:11" s="89" customFormat="1" x14ac:dyDescent="0.3">
      <c r="A2693" s="553"/>
      <c r="B2693" s="554" t="s">
        <v>4</v>
      </c>
      <c r="C2693" s="553" t="s">
        <v>5</v>
      </c>
      <c r="D2693" s="553" t="s">
        <v>6</v>
      </c>
      <c r="E2693" s="691" t="s">
        <v>427</v>
      </c>
      <c r="F2693" s="691"/>
      <c r="G2693" s="555" t="s">
        <v>7</v>
      </c>
      <c r="H2693" s="554" t="s">
        <v>8</v>
      </c>
      <c r="I2693" s="554" t="s">
        <v>9</v>
      </c>
      <c r="J2693" s="554" t="s">
        <v>11</v>
      </c>
      <c r="K2693" s="546"/>
    </row>
    <row r="2694" spans="1:11" ht="25" x14ac:dyDescent="0.3">
      <c r="A2694" s="607" t="s">
        <v>428</v>
      </c>
      <c r="B2694" s="608" t="s">
        <v>1388</v>
      </c>
      <c r="C2694" s="607" t="s">
        <v>19</v>
      </c>
      <c r="D2694" s="607" t="s">
        <v>1389</v>
      </c>
      <c r="E2694" s="690" t="s">
        <v>429</v>
      </c>
      <c r="F2694" s="690"/>
      <c r="G2694" s="609" t="s">
        <v>423</v>
      </c>
      <c r="H2694" s="610">
        <v>1</v>
      </c>
      <c r="I2694" s="611">
        <v>0.34</v>
      </c>
      <c r="J2694" s="611">
        <v>0.34</v>
      </c>
      <c r="K2694" s="552"/>
    </row>
    <row r="2695" spans="1:11" s="89" customFormat="1" ht="14.5" thickBot="1" x14ac:dyDescent="0.35">
      <c r="A2695" s="547" t="s">
        <v>433</v>
      </c>
      <c r="B2695" s="548" t="s">
        <v>1390</v>
      </c>
      <c r="C2695" s="547" t="s">
        <v>19</v>
      </c>
      <c r="D2695" s="547" t="s">
        <v>1391</v>
      </c>
      <c r="E2695" s="688" t="s">
        <v>436</v>
      </c>
      <c r="F2695" s="688"/>
      <c r="G2695" s="549" t="s">
        <v>423</v>
      </c>
      <c r="H2695" s="550">
        <v>1.6990000000000002E-2</v>
      </c>
      <c r="I2695" s="551">
        <v>20.55</v>
      </c>
      <c r="J2695" s="551">
        <v>0.34</v>
      </c>
      <c r="K2695" s="546"/>
    </row>
    <row r="2696" spans="1:11" ht="14.5" thickTop="1" x14ac:dyDescent="0.3">
      <c r="A2696" s="562"/>
      <c r="B2696" s="562"/>
      <c r="C2696" s="562"/>
      <c r="D2696" s="562"/>
      <c r="E2696" s="562"/>
      <c r="F2696" s="562"/>
      <c r="G2696" s="562"/>
      <c r="H2696" s="562"/>
      <c r="I2696" s="562"/>
      <c r="J2696" s="562"/>
      <c r="K2696" s="552"/>
    </row>
    <row r="2697" spans="1:11" x14ac:dyDescent="0.3">
      <c r="A2697" s="553"/>
      <c r="B2697" s="554" t="s">
        <v>4</v>
      </c>
      <c r="C2697" s="553" t="s">
        <v>5</v>
      </c>
      <c r="D2697" s="553" t="s">
        <v>6</v>
      </c>
      <c r="E2697" s="691" t="s">
        <v>427</v>
      </c>
      <c r="F2697" s="691"/>
      <c r="G2697" s="555" t="s">
        <v>7</v>
      </c>
      <c r="H2697" s="554" t="s">
        <v>8</v>
      </c>
      <c r="I2697" s="554" t="s">
        <v>9</v>
      </c>
      <c r="J2697" s="554" t="s">
        <v>11</v>
      </c>
      <c r="K2697" s="552"/>
    </row>
    <row r="2698" spans="1:11" ht="25" x14ac:dyDescent="0.3">
      <c r="A2698" s="607" t="s">
        <v>428</v>
      </c>
      <c r="B2698" s="608" t="s">
        <v>1392</v>
      </c>
      <c r="C2698" s="607" t="s">
        <v>19</v>
      </c>
      <c r="D2698" s="607" t="s">
        <v>1393</v>
      </c>
      <c r="E2698" s="690" t="s">
        <v>429</v>
      </c>
      <c r="F2698" s="690"/>
      <c r="G2698" s="609" t="s">
        <v>423</v>
      </c>
      <c r="H2698" s="610">
        <v>1</v>
      </c>
      <c r="I2698" s="611">
        <v>0.28000000000000003</v>
      </c>
      <c r="J2698" s="611">
        <v>0.28000000000000003</v>
      </c>
      <c r="K2698" s="552"/>
    </row>
    <row r="2699" spans="1:11" s="89" customFormat="1" ht="14.5" thickBot="1" x14ac:dyDescent="0.35">
      <c r="A2699" s="547" t="s">
        <v>433</v>
      </c>
      <c r="B2699" s="548" t="s">
        <v>1394</v>
      </c>
      <c r="C2699" s="547" t="s">
        <v>19</v>
      </c>
      <c r="D2699" s="547" t="s">
        <v>1395</v>
      </c>
      <c r="E2699" s="688" t="s">
        <v>436</v>
      </c>
      <c r="F2699" s="688"/>
      <c r="G2699" s="549" t="s">
        <v>423</v>
      </c>
      <c r="H2699" s="550">
        <v>1.328E-2</v>
      </c>
      <c r="I2699" s="551">
        <v>21.83</v>
      </c>
      <c r="J2699" s="551">
        <v>0.28000000000000003</v>
      </c>
      <c r="K2699" s="546"/>
    </row>
    <row r="2700" spans="1:11" ht="14.5" thickTop="1" x14ac:dyDescent="0.3">
      <c r="A2700" s="562"/>
      <c r="B2700" s="562"/>
      <c r="C2700" s="562"/>
      <c r="D2700" s="562"/>
      <c r="E2700" s="562"/>
      <c r="F2700" s="562"/>
      <c r="G2700" s="562"/>
      <c r="H2700" s="562"/>
      <c r="I2700" s="562"/>
      <c r="J2700" s="562"/>
      <c r="K2700" s="552"/>
    </row>
    <row r="2701" spans="1:11" s="89" customFormat="1" x14ac:dyDescent="0.3">
      <c r="A2701" s="553"/>
      <c r="B2701" s="554" t="s">
        <v>4</v>
      </c>
      <c r="C2701" s="553" t="s">
        <v>5</v>
      </c>
      <c r="D2701" s="553" t="s">
        <v>6</v>
      </c>
      <c r="E2701" s="691" t="s">
        <v>427</v>
      </c>
      <c r="F2701" s="691"/>
      <c r="G2701" s="555" t="s">
        <v>7</v>
      </c>
      <c r="H2701" s="554" t="s">
        <v>8</v>
      </c>
      <c r="I2701" s="554" t="s">
        <v>9</v>
      </c>
      <c r="J2701" s="554" t="s">
        <v>11</v>
      </c>
      <c r="K2701" s="546"/>
    </row>
    <row r="2702" spans="1:11" ht="25" x14ac:dyDescent="0.3">
      <c r="A2702" s="607" t="s">
        <v>428</v>
      </c>
      <c r="B2702" s="608" t="s">
        <v>524</v>
      </c>
      <c r="C2702" s="607" t="s">
        <v>19</v>
      </c>
      <c r="D2702" s="607" t="s">
        <v>525</v>
      </c>
      <c r="E2702" s="690" t="s">
        <v>429</v>
      </c>
      <c r="F2702" s="690"/>
      <c r="G2702" s="609" t="s">
        <v>21</v>
      </c>
      <c r="H2702" s="610">
        <v>1</v>
      </c>
      <c r="I2702" s="611">
        <v>12.46</v>
      </c>
      <c r="J2702" s="611">
        <v>12.46</v>
      </c>
      <c r="K2702" s="552"/>
    </row>
    <row r="2703" spans="1:11" s="89" customFormat="1" ht="14.5" thickBot="1" x14ac:dyDescent="0.35">
      <c r="A2703" s="547" t="s">
        <v>433</v>
      </c>
      <c r="B2703" s="548" t="s">
        <v>3827</v>
      </c>
      <c r="C2703" s="547" t="s">
        <v>19</v>
      </c>
      <c r="D2703" s="547" t="s">
        <v>3828</v>
      </c>
      <c r="E2703" s="688" t="s">
        <v>436</v>
      </c>
      <c r="F2703" s="688"/>
      <c r="G2703" s="549" t="s">
        <v>21</v>
      </c>
      <c r="H2703" s="550">
        <v>4.3800000000000002E-3</v>
      </c>
      <c r="I2703" s="551">
        <v>2845.46</v>
      </c>
      <c r="J2703" s="551">
        <v>12.46</v>
      </c>
      <c r="K2703" s="546"/>
    </row>
    <row r="2704" spans="1:11" ht="14.5" thickTop="1" x14ac:dyDescent="0.3">
      <c r="A2704" s="562"/>
      <c r="B2704" s="562"/>
      <c r="C2704" s="562"/>
      <c r="D2704" s="562"/>
      <c r="E2704" s="562"/>
      <c r="F2704" s="562"/>
      <c r="G2704" s="562"/>
      <c r="H2704" s="562"/>
      <c r="I2704" s="562"/>
      <c r="J2704" s="562"/>
      <c r="K2704" s="552"/>
    </row>
    <row r="2705" spans="1:11" x14ac:dyDescent="0.3">
      <c r="A2705" s="553"/>
      <c r="B2705" s="554" t="s">
        <v>4</v>
      </c>
      <c r="C2705" s="553" t="s">
        <v>5</v>
      </c>
      <c r="D2705" s="553" t="s">
        <v>6</v>
      </c>
      <c r="E2705" s="691" t="s">
        <v>427</v>
      </c>
      <c r="F2705" s="691"/>
      <c r="G2705" s="555" t="s">
        <v>7</v>
      </c>
      <c r="H2705" s="554" t="s">
        <v>8</v>
      </c>
      <c r="I2705" s="554" t="s">
        <v>9</v>
      </c>
      <c r="J2705" s="554" t="s">
        <v>11</v>
      </c>
      <c r="K2705" s="552"/>
    </row>
    <row r="2706" spans="1:11" ht="25" x14ac:dyDescent="0.3">
      <c r="A2706" s="607" t="s">
        <v>428</v>
      </c>
      <c r="B2706" s="608" t="s">
        <v>1441</v>
      </c>
      <c r="C2706" s="607" t="s">
        <v>19</v>
      </c>
      <c r="D2706" s="607" t="s">
        <v>1442</v>
      </c>
      <c r="E2706" s="690" t="s">
        <v>429</v>
      </c>
      <c r="F2706" s="690"/>
      <c r="G2706" s="609" t="s">
        <v>423</v>
      </c>
      <c r="H2706" s="610">
        <v>1</v>
      </c>
      <c r="I2706" s="611">
        <v>0.93</v>
      </c>
      <c r="J2706" s="611">
        <v>0.93</v>
      </c>
      <c r="K2706" s="552"/>
    </row>
    <row r="2707" spans="1:11" s="89" customFormat="1" ht="14.5" thickBot="1" x14ac:dyDescent="0.35">
      <c r="A2707" s="547" t="s">
        <v>433</v>
      </c>
      <c r="B2707" s="548" t="s">
        <v>1443</v>
      </c>
      <c r="C2707" s="547" t="s">
        <v>19</v>
      </c>
      <c r="D2707" s="547" t="s">
        <v>1444</v>
      </c>
      <c r="E2707" s="688" t="s">
        <v>436</v>
      </c>
      <c r="F2707" s="688"/>
      <c r="G2707" s="549" t="s">
        <v>423</v>
      </c>
      <c r="H2707" s="550">
        <v>4.2970000000000001E-2</v>
      </c>
      <c r="I2707" s="551">
        <v>21.83</v>
      </c>
      <c r="J2707" s="551">
        <v>0.93</v>
      </c>
      <c r="K2707" s="546"/>
    </row>
    <row r="2708" spans="1:11" ht="14.5" thickTop="1" x14ac:dyDescent="0.3">
      <c r="A2708" s="562"/>
      <c r="B2708" s="562"/>
      <c r="C2708" s="562"/>
      <c r="D2708" s="562"/>
      <c r="E2708" s="562"/>
      <c r="F2708" s="562"/>
      <c r="G2708" s="562"/>
      <c r="H2708" s="562"/>
      <c r="I2708" s="562"/>
      <c r="J2708" s="562"/>
      <c r="K2708" s="552"/>
    </row>
    <row r="2709" spans="1:11" x14ac:dyDescent="0.3">
      <c r="A2709" s="553"/>
      <c r="B2709" s="554" t="s">
        <v>4</v>
      </c>
      <c r="C2709" s="553" t="s">
        <v>5</v>
      </c>
      <c r="D2709" s="553" t="s">
        <v>6</v>
      </c>
      <c r="E2709" s="691" t="s">
        <v>427</v>
      </c>
      <c r="F2709" s="691"/>
      <c r="G2709" s="555" t="s">
        <v>7</v>
      </c>
      <c r="H2709" s="554" t="s">
        <v>8</v>
      </c>
      <c r="I2709" s="554" t="s">
        <v>9</v>
      </c>
      <c r="J2709" s="554" t="s">
        <v>11</v>
      </c>
      <c r="K2709" s="552"/>
    </row>
    <row r="2710" spans="1:11" ht="25" x14ac:dyDescent="0.3">
      <c r="A2710" s="607" t="s">
        <v>428</v>
      </c>
      <c r="B2710" s="608" t="s">
        <v>1445</v>
      </c>
      <c r="C2710" s="607" t="s">
        <v>19</v>
      </c>
      <c r="D2710" s="607" t="s">
        <v>1446</v>
      </c>
      <c r="E2710" s="690" t="s">
        <v>429</v>
      </c>
      <c r="F2710" s="690"/>
      <c r="G2710" s="609" t="s">
        <v>423</v>
      </c>
      <c r="H2710" s="610">
        <v>1</v>
      </c>
      <c r="I2710" s="611">
        <v>0.45</v>
      </c>
      <c r="J2710" s="611">
        <v>0.45</v>
      </c>
      <c r="K2710" s="552"/>
    </row>
    <row r="2711" spans="1:11" s="89" customFormat="1" ht="14.5" thickBot="1" x14ac:dyDescent="0.35">
      <c r="A2711" s="547" t="s">
        <v>433</v>
      </c>
      <c r="B2711" s="548" t="s">
        <v>1447</v>
      </c>
      <c r="C2711" s="547" t="s">
        <v>19</v>
      </c>
      <c r="D2711" s="547" t="s">
        <v>1448</v>
      </c>
      <c r="E2711" s="688" t="s">
        <v>436</v>
      </c>
      <c r="F2711" s="688"/>
      <c r="G2711" s="549" t="s">
        <v>423</v>
      </c>
      <c r="H2711" s="550">
        <v>2.07E-2</v>
      </c>
      <c r="I2711" s="551">
        <v>21.83</v>
      </c>
      <c r="J2711" s="551">
        <v>0.45</v>
      </c>
      <c r="K2711" s="546"/>
    </row>
    <row r="2712" spans="1:11" ht="14.5" thickTop="1" x14ac:dyDescent="0.3">
      <c r="A2712" s="562"/>
      <c r="B2712" s="562"/>
      <c r="C2712" s="562"/>
      <c r="D2712" s="562"/>
      <c r="E2712" s="562"/>
      <c r="F2712" s="562"/>
      <c r="G2712" s="562"/>
      <c r="H2712" s="562"/>
      <c r="I2712" s="562"/>
      <c r="J2712" s="562"/>
      <c r="K2712" s="552"/>
    </row>
    <row r="2713" spans="1:11" s="89" customFormat="1" x14ac:dyDescent="0.3">
      <c r="A2713" s="553"/>
      <c r="B2713" s="554" t="s">
        <v>4</v>
      </c>
      <c r="C2713" s="553" t="s">
        <v>5</v>
      </c>
      <c r="D2713" s="553" t="s">
        <v>6</v>
      </c>
      <c r="E2713" s="691" t="s">
        <v>427</v>
      </c>
      <c r="F2713" s="691"/>
      <c r="G2713" s="555" t="s">
        <v>7</v>
      </c>
      <c r="H2713" s="554" t="s">
        <v>8</v>
      </c>
      <c r="I2713" s="554" t="s">
        <v>9</v>
      </c>
      <c r="J2713" s="554" t="s">
        <v>11</v>
      </c>
      <c r="K2713" s="546"/>
    </row>
    <row r="2714" spans="1:11" ht="25" x14ac:dyDescent="0.3">
      <c r="A2714" s="607" t="s">
        <v>428</v>
      </c>
      <c r="B2714" s="608" t="s">
        <v>1449</v>
      </c>
      <c r="C2714" s="607" t="s">
        <v>19</v>
      </c>
      <c r="D2714" s="607" t="s">
        <v>1450</v>
      </c>
      <c r="E2714" s="690" t="s">
        <v>429</v>
      </c>
      <c r="F2714" s="690"/>
      <c r="G2714" s="609" t="s">
        <v>423</v>
      </c>
      <c r="H2714" s="610">
        <v>1</v>
      </c>
      <c r="I2714" s="611">
        <v>0.53</v>
      </c>
      <c r="J2714" s="611">
        <v>0.53</v>
      </c>
      <c r="K2714" s="552"/>
    </row>
    <row r="2715" spans="1:11" s="89" customFormat="1" ht="14.5" thickBot="1" x14ac:dyDescent="0.35">
      <c r="A2715" s="547" t="s">
        <v>433</v>
      </c>
      <c r="B2715" s="548" t="s">
        <v>1451</v>
      </c>
      <c r="C2715" s="547" t="s">
        <v>19</v>
      </c>
      <c r="D2715" s="547" t="s">
        <v>3687</v>
      </c>
      <c r="E2715" s="688" t="s">
        <v>436</v>
      </c>
      <c r="F2715" s="688"/>
      <c r="G2715" s="549" t="s">
        <v>423</v>
      </c>
      <c r="H2715" s="550">
        <v>2.4420000000000001E-2</v>
      </c>
      <c r="I2715" s="551">
        <v>21.83</v>
      </c>
      <c r="J2715" s="551">
        <v>0.53</v>
      </c>
      <c r="K2715" s="546"/>
    </row>
    <row r="2716" spans="1:11" ht="14.5" thickTop="1" x14ac:dyDescent="0.3">
      <c r="A2716" s="562"/>
      <c r="B2716" s="562"/>
      <c r="C2716" s="562"/>
      <c r="D2716" s="562"/>
      <c r="E2716" s="562"/>
      <c r="F2716" s="562"/>
      <c r="G2716" s="562"/>
      <c r="H2716" s="562"/>
      <c r="I2716" s="562"/>
      <c r="J2716" s="562"/>
      <c r="K2716" s="552"/>
    </row>
    <row r="2717" spans="1:11" x14ac:dyDescent="0.3">
      <c r="A2717" s="553"/>
      <c r="B2717" s="554" t="s">
        <v>4</v>
      </c>
      <c r="C2717" s="553" t="s">
        <v>5</v>
      </c>
      <c r="D2717" s="553" t="s">
        <v>6</v>
      </c>
      <c r="E2717" s="691" t="s">
        <v>427</v>
      </c>
      <c r="F2717" s="691"/>
      <c r="G2717" s="555" t="s">
        <v>7</v>
      </c>
      <c r="H2717" s="554" t="s">
        <v>8</v>
      </c>
      <c r="I2717" s="554" t="s">
        <v>9</v>
      </c>
      <c r="J2717" s="554" t="s">
        <v>11</v>
      </c>
      <c r="K2717" s="552"/>
    </row>
    <row r="2718" spans="1:11" ht="25" x14ac:dyDescent="0.3">
      <c r="A2718" s="607" t="s">
        <v>428</v>
      </c>
      <c r="B2718" s="608" t="s">
        <v>496</v>
      </c>
      <c r="C2718" s="607" t="s">
        <v>19</v>
      </c>
      <c r="D2718" s="607" t="s">
        <v>497</v>
      </c>
      <c r="E2718" s="690" t="s">
        <v>429</v>
      </c>
      <c r="F2718" s="690"/>
      <c r="G2718" s="609" t="s">
        <v>21</v>
      </c>
      <c r="H2718" s="610">
        <v>1</v>
      </c>
      <c r="I2718" s="611">
        <v>70.97</v>
      </c>
      <c r="J2718" s="611">
        <v>70.97</v>
      </c>
      <c r="K2718" s="552"/>
    </row>
    <row r="2719" spans="1:11" s="89" customFormat="1" ht="14.5" thickBot="1" x14ac:dyDescent="0.35">
      <c r="A2719" s="547" t="s">
        <v>433</v>
      </c>
      <c r="B2719" s="548" t="s">
        <v>498</v>
      </c>
      <c r="C2719" s="547" t="s">
        <v>19</v>
      </c>
      <c r="D2719" s="547" t="s">
        <v>499</v>
      </c>
      <c r="E2719" s="688" t="s">
        <v>436</v>
      </c>
      <c r="F2719" s="688"/>
      <c r="G2719" s="549" t="s">
        <v>21</v>
      </c>
      <c r="H2719" s="550">
        <v>1.8259999999999998E-2</v>
      </c>
      <c r="I2719" s="551">
        <v>3886.77</v>
      </c>
      <c r="J2719" s="551">
        <v>70.97</v>
      </c>
      <c r="K2719" s="546"/>
    </row>
    <row r="2720" spans="1:11" ht="14.5" thickTop="1" x14ac:dyDescent="0.3">
      <c r="A2720" s="562"/>
      <c r="B2720" s="562"/>
      <c r="C2720" s="562"/>
      <c r="D2720" s="562"/>
      <c r="E2720" s="562"/>
      <c r="F2720" s="562"/>
      <c r="G2720" s="562"/>
      <c r="H2720" s="562"/>
      <c r="I2720" s="562"/>
      <c r="J2720" s="562"/>
      <c r="K2720" s="552"/>
    </row>
    <row r="2721" spans="1:11" x14ac:dyDescent="0.3">
      <c r="A2721" s="553"/>
      <c r="B2721" s="554" t="s">
        <v>4</v>
      </c>
      <c r="C2721" s="553" t="s">
        <v>5</v>
      </c>
      <c r="D2721" s="553" t="s">
        <v>6</v>
      </c>
      <c r="E2721" s="691" t="s">
        <v>427</v>
      </c>
      <c r="F2721" s="691"/>
      <c r="G2721" s="555" t="s">
        <v>7</v>
      </c>
      <c r="H2721" s="554" t="s">
        <v>8</v>
      </c>
      <c r="I2721" s="554" t="s">
        <v>9</v>
      </c>
      <c r="J2721" s="554" t="s">
        <v>11</v>
      </c>
      <c r="K2721" s="552"/>
    </row>
    <row r="2722" spans="1:11" ht="25" x14ac:dyDescent="0.3">
      <c r="A2722" s="607" t="s">
        <v>428</v>
      </c>
      <c r="B2722" s="608" t="s">
        <v>3893</v>
      </c>
      <c r="C2722" s="607" t="s">
        <v>19</v>
      </c>
      <c r="D2722" s="607" t="s">
        <v>3894</v>
      </c>
      <c r="E2722" s="690" t="s">
        <v>429</v>
      </c>
      <c r="F2722" s="690"/>
      <c r="G2722" s="609" t="s">
        <v>423</v>
      </c>
      <c r="H2722" s="610">
        <v>1</v>
      </c>
      <c r="I2722" s="611">
        <v>2.2999999999999998</v>
      </c>
      <c r="J2722" s="611">
        <v>2.2999999999999998</v>
      </c>
      <c r="K2722" s="552"/>
    </row>
    <row r="2723" spans="1:11" s="89" customFormat="1" ht="14.5" thickBot="1" x14ac:dyDescent="0.35">
      <c r="A2723" s="547" t="s">
        <v>433</v>
      </c>
      <c r="B2723" s="548" t="s">
        <v>3895</v>
      </c>
      <c r="C2723" s="547" t="s">
        <v>19</v>
      </c>
      <c r="D2723" s="547" t="s">
        <v>3896</v>
      </c>
      <c r="E2723" s="688" t="s">
        <v>436</v>
      </c>
      <c r="F2723" s="688"/>
      <c r="G2723" s="549" t="s">
        <v>423</v>
      </c>
      <c r="H2723" s="550">
        <v>1.6990000000000002E-2</v>
      </c>
      <c r="I2723" s="551">
        <v>135.63999999999999</v>
      </c>
      <c r="J2723" s="551">
        <v>2.2999999999999998</v>
      </c>
      <c r="K2723" s="546"/>
    </row>
    <row r="2724" spans="1:11" ht="14.5" thickTop="1" x14ac:dyDescent="0.3">
      <c r="A2724" s="562"/>
      <c r="B2724" s="562"/>
      <c r="C2724" s="562"/>
      <c r="D2724" s="562"/>
      <c r="E2724" s="562"/>
      <c r="F2724" s="562"/>
      <c r="G2724" s="562"/>
      <c r="H2724" s="562"/>
      <c r="I2724" s="562"/>
      <c r="J2724" s="562"/>
      <c r="K2724" s="552"/>
    </row>
    <row r="2725" spans="1:11" s="89" customFormat="1" x14ac:dyDescent="0.3">
      <c r="A2725" s="553"/>
      <c r="B2725" s="554" t="s">
        <v>4</v>
      </c>
      <c r="C2725" s="553" t="s">
        <v>5</v>
      </c>
      <c r="D2725" s="553" t="s">
        <v>6</v>
      </c>
      <c r="E2725" s="691" t="s">
        <v>427</v>
      </c>
      <c r="F2725" s="691"/>
      <c r="G2725" s="555" t="s">
        <v>7</v>
      </c>
      <c r="H2725" s="554" t="s">
        <v>8</v>
      </c>
      <c r="I2725" s="554" t="s">
        <v>9</v>
      </c>
      <c r="J2725" s="554" t="s">
        <v>11</v>
      </c>
      <c r="K2725" s="546"/>
    </row>
    <row r="2726" spans="1:11" ht="25" x14ac:dyDescent="0.3">
      <c r="A2726" s="607" t="s">
        <v>428</v>
      </c>
      <c r="B2726" s="608" t="s">
        <v>445</v>
      </c>
      <c r="C2726" s="607" t="s">
        <v>19</v>
      </c>
      <c r="D2726" s="607" t="s">
        <v>446</v>
      </c>
      <c r="E2726" s="690" t="s">
        <v>429</v>
      </c>
      <c r="F2726" s="690"/>
      <c r="G2726" s="609" t="s">
        <v>21</v>
      </c>
      <c r="H2726" s="610">
        <v>1</v>
      </c>
      <c r="I2726" s="611">
        <v>306.95</v>
      </c>
      <c r="J2726" s="611">
        <v>306.95</v>
      </c>
      <c r="K2726" s="552"/>
    </row>
    <row r="2727" spans="1:11" s="89" customFormat="1" ht="14.5" thickBot="1" x14ac:dyDescent="0.35">
      <c r="A2727" s="547" t="s">
        <v>433</v>
      </c>
      <c r="B2727" s="548" t="s">
        <v>447</v>
      </c>
      <c r="C2727" s="547" t="s">
        <v>19</v>
      </c>
      <c r="D2727" s="547" t="s">
        <v>448</v>
      </c>
      <c r="E2727" s="688" t="s">
        <v>436</v>
      </c>
      <c r="F2727" s="688"/>
      <c r="G2727" s="549" t="s">
        <v>21</v>
      </c>
      <c r="H2727" s="550">
        <v>1.2710000000000001E-2</v>
      </c>
      <c r="I2727" s="551">
        <v>24150.62</v>
      </c>
      <c r="J2727" s="551">
        <v>306.95</v>
      </c>
      <c r="K2727" s="546"/>
    </row>
    <row r="2728" spans="1:11" ht="14.5" thickTop="1" x14ac:dyDescent="0.3">
      <c r="A2728" s="562"/>
      <c r="B2728" s="562"/>
      <c r="C2728" s="562"/>
      <c r="D2728" s="562"/>
      <c r="E2728" s="562"/>
      <c r="F2728" s="562"/>
      <c r="G2728" s="562"/>
      <c r="H2728" s="562"/>
      <c r="I2728" s="562"/>
      <c r="J2728" s="562"/>
      <c r="K2728" s="552"/>
    </row>
    <row r="2729" spans="1:11" s="89" customFormat="1" x14ac:dyDescent="0.3">
      <c r="A2729" s="553"/>
      <c r="B2729" s="554" t="s">
        <v>4</v>
      </c>
      <c r="C2729" s="553" t="s">
        <v>5</v>
      </c>
      <c r="D2729" s="553" t="s">
        <v>6</v>
      </c>
      <c r="E2729" s="691" t="s">
        <v>427</v>
      </c>
      <c r="F2729" s="691"/>
      <c r="G2729" s="555" t="s">
        <v>7</v>
      </c>
      <c r="H2729" s="554" t="s">
        <v>8</v>
      </c>
      <c r="I2729" s="554" t="s">
        <v>9</v>
      </c>
      <c r="J2729" s="554" t="s">
        <v>11</v>
      </c>
      <c r="K2729" s="546"/>
    </row>
    <row r="2730" spans="1:11" ht="25" x14ac:dyDescent="0.3">
      <c r="A2730" s="607" t="s">
        <v>428</v>
      </c>
      <c r="B2730" s="608" t="s">
        <v>431</v>
      </c>
      <c r="C2730" s="607" t="s">
        <v>19</v>
      </c>
      <c r="D2730" s="607" t="s">
        <v>432</v>
      </c>
      <c r="E2730" s="690" t="s">
        <v>429</v>
      </c>
      <c r="F2730" s="690"/>
      <c r="G2730" s="609" t="s">
        <v>21</v>
      </c>
      <c r="H2730" s="610">
        <v>1</v>
      </c>
      <c r="I2730" s="611">
        <v>431.87</v>
      </c>
      <c r="J2730" s="611">
        <v>431.87</v>
      </c>
      <c r="K2730" s="552"/>
    </row>
    <row r="2731" spans="1:11" s="89" customFormat="1" ht="14.5" thickBot="1" x14ac:dyDescent="0.35">
      <c r="A2731" s="547" t="s">
        <v>433</v>
      </c>
      <c r="B2731" s="548" t="s">
        <v>434</v>
      </c>
      <c r="C2731" s="547" t="s">
        <v>19</v>
      </c>
      <c r="D2731" s="547" t="s">
        <v>435</v>
      </c>
      <c r="E2731" s="688" t="s">
        <v>436</v>
      </c>
      <c r="F2731" s="688"/>
      <c r="G2731" s="549" t="s">
        <v>21</v>
      </c>
      <c r="H2731" s="550">
        <v>1.2710000000000001E-2</v>
      </c>
      <c r="I2731" s="551">
        <v>33978.99</v>
      </c>
      <c r="J2731" s="551">
        <v>431.87</v>
      </c>
      <c r="K2731" s="546"/>
    </row>
    <row r="2732" spans="1:11" ht="14.5" thickTop="1" x14ac:dyDescent="0.3">
      <c r="A2732" s="562"/>
      <c r="B2732" s="562"/>
      <c r="C2732" s="562"/>
      <c r="D2732" s="562"/>
      <c r="E2732" s="562"/>
      <c r="F2732" s="562"/>
      <c r="G2732" s="562"/>
      <c r="H2732" s="562"/>
      <c r="I2732" s="562"/>
      <c r="J2732" s="562"/>
      <c r="K2732" s="552"/>
    </row>
    <row r="2733" spans="1:11" s="89" customFormat="1" x14ac:dyDescent="0.3">
      <c r="A2733" s="553"/>
      <c r="B2733" s="554" t="s">
        <v>4</v>
      </c>
      <c r="C2733" s="553" t="s">
        <v>5</v>
      </c>
      <c r="D2733" s="553" t="s">
        <v>6</v>
      </c>
      <c r="E2733" s="691" t="s">
        <v>427</v>
      </c>
      <c r="F2733" s="691"/>
      <c r="G2733" s="555" t="s">
        <v>7</v>
      </c>
      <c r="H2733" s="554" t="s">
        <v>8</v>
      </c>
      <c r="I2733" s="554" t="s">
        <v>9</v>
      </c>
      <c r="J2733" s="554" t="s">
        <v>11</v>
      </c>
      <c r="K2733" s="546"/>
    </row>
    <row r="2734" spans="1:11" ht="25" x14ac:dyDescent="0.3">
      <c r="A2734" s="607" t="s">
        <v>428</v>
      </c>
      <c r="B2734" s="608" t="s">
        <v>1452</v>
      </c>
      <c r="C2734" s="607" t="s">
        <v>19</v>
      </c>
      <c r="D2734" s="607" t="s">
        <v>1453</v>
      </c>
      <c r="E2734" s="690" t="s">
        <v>429</v>
      </c>
      <c r="F2734" s="690"/>
      <c r="G2734" s="609" t="s">
        <v>423</v>
      </c>
      <c r="H2734" s="610">
        <v>1</v>
      </c>
      <c r="I2734" s="611">
        <v>0.11</v>
      </c>
      <c r="J2734" s="611">
        <v>0.11</v>
      </c>
      <c r="K2734" s="552"/>
    </row>
    <row r="2735" spans="1:11" s="89" customFormat="1" ht="14.5" thickBot="1" x14ac:dyDescent="0.35">
      <c r="A2735" s="547" t="s">
        <v>433</v>
      </c>
      <c r="B2735" s="548" t="s">
        <v>1454</v>
      </c>
      <c r="C2735" s="547" t="s">
        <v>19</v>
      </c>
      <c r="D2735" s="547" t="s">
        <v>1455</v>
      </c>
      <c r="E2735" s="688" t="s">
        <v>436</v>
      </c>
      <c r="F2735" s="688"/>
      <c r="G2735" s="549" t="s">
        <v>423</v>
      </c>
      <c r="H2735" s="550">
        <v>5.8599999999999998E-3</v>
      </c>
      <c r="I2735" s="551">
        <v>18.78</v>
      </c>
      <c r="J2735" s="551">
        <v>0.11</v>
      </c>
      <c r="K2735" s="546"/>
    </row>
    <row r="2736" spans="1:11" ht="14.5" thickTop="1" x14ac:dyDescent="0.3">
      <c r="A2736" s="562"/>
      <c r="B2736" s="562"/>
      <c r="C2736" s="562"/>
      <c r="D2736" s="562"/>
      <c r="E2736" s="562"/>
      <c r="F2736" s="562"/>
      <c r="G2736" s="562"/>
      <c r="H2736" s="562"/>
      <c r="I2736" s="562"/>
      <c r="J2736" s="562"/>
      <c r="K2736" s="552"/>
    </row>
    <row r="2737" spans="1:11" s="89" customFormat="1" x14ac:dyDescent="0.3">
      <c r="A2737" s="553"/>
      <c r="B2737" s="554" t="s">
        <v>4</v>
      </c>
      <c r="C2737" s="553" t="s">
        <v>5</v>
      </c>
      <c r="D2737" s="553" t="s">
        <v>6</v>
      </c>
      <c r="E2737" s="691" t="s">
        <v>427</v>
      </c>
      <c r="F2737" s="691"/>
      <c r="G2737" s="555" t="s">
        <v>7</v>
      </c>
      <c r="H2737" s="554" t="s">
        <v>8</v>
      </c>
      <c r="I2737" s="554" t="s">
        <v>9</v>
      </c>
      <c r="J2737" s="554" t="s">
        <v>11</v>
      </c>
      <c r="K2737" s="546"/>
    </row>
    <row r="2738" spans="1:11" ht="25" x14ac:dyDescent="0.3">
      <c r="A2738" s="607" t="s">
        <v>428</v>
      </c>
      <c r="B2738" s="608" t="s">
        <v>3688</v>
      </c>
      <c r="C2738" s="607" t="s">
        <v>19</v>
      </c>
      <c r="D2738" s="607" t="s">
        <v>3689</v>
      </c>
      <c r="E2738" s="690" t="s">
        <v>429</v>
      </c>
      <c r="F2738" s="690"/>
      <c r="G2738" s="609" t="s">
        <v>423</v>
      </c>
      <c r="H2738" s="610">
        <v>1</v>
      </c>
      <c r="I2738" s="611">
        <v>0.28000000000000003</v>
      </c>
      <c r="J2738" s="611">
        <v>0.28000000000000003</v>
      </c>
      <c r="K2738" s="552"/>
    </row>
    <row r="2739" spans="1:11" s="89" customFormat="1" ht="14.5" thickBot="1" x14ac:dyDescent="0.35">
      <c r="A2739" s="547" t="s">
        <v>433</v>
      </c>
      <c r="B2739" s="548" t="s">
        <v>3690</v>
      </c>
      <c r="C2739" s="547" t="s">
        <v>19</v>
      </c>
      <c r="D2739" s="547" t="s">
        <v>3691</v>
      </c>
      <c r="E2739" s="688" t="s">
        <v>436</v>
      </c>
      <c r="F2739" s="688"/>
      <c r="G2739" s="549" t="s">
        <v>423</v>
      </c>
      <c r="H2739" s="550">
        <v>1.6990000000000002E-2</v>
      </c>
      <c r="I2739" s="551">
        <v>17.04</v>
      </c>
      <c r="J2739" s="551">
        <v>0.28000000000000003</v>
      </c>
      <c r="K2739" s="546"/>
    </row>
    <row r="2740" spans="1:11" ht="14.5" thickTop="1" x14ac:dyDescent="0.3">
      <c r="A2740" s="562"/>
      <c r="B2740" s="562"/>
      <c r="C2740" s="562"/>
      <c r="D2740" s="562"/>
      <c r="E2740" s="562"/>
      <c r="F2740" s="562"/>
      <c r="G2740" s="562"/>
      <c r="H2740" s="562"/>
      <c r="I2740" s="562"/>
      <c r="J2740" s="562"/>
      <c r="K2740" s="552"/>
    </row>
    <row r="2741" spans="1:11" s="89" customFormat="1" x14ac:dyDescent="0.3">
      <c r="A2741" s="553"/>
      <c r="B2741" s="554" t="s">
        <v>4</v>
      </c>
      <c r="C2741" s="553" t="s">
        <v>5</v>
      </c>
      <c r="D2741" s="553" t="s">
        <v>6</v>
      </c>
      <c r="E2741" s="691" t="s">
        <v>427</v>
      </c>
      <c r="F2741" s="691"/>
      <c r="G2741" s="555" t="s">
        <v>7</v>
      </c>
      <c r="H2741" s="554" t="s">
        <v>8</v>
      </c>
      <c r="I2741" s="554" t="s">
        <v>9</v>
      </c>
      <c r="J2741" s="554" t="s">
        <v>11</v>
      </c>
      <c r="K2741" s="546"/>
    </row>
    <row r="2742" spans="1:11" ht="25" x14ac:dyDescent="0.3">
      <c r="A2742" s="607" t="s">
        <v>428</v>
      </c>
      <c r="B2742" s="608" t="s">
        <v>1456</v>
      </c>
      <c r="C2742" s="607" t="s">
        <v>19</v>
      </c>
      <c r="D2742" s="607" t="s">
        <v>1457</v>
      </c>
      <c r="E2742" s="690" t="s">
        <v>429</v>
      </c>
      <c r="F2742" s="690"/>
      <c r="G2742" s="609" t="s">
        <v>423</v>
      </c>
      <c r="H2742" s="610">
        <v>1</v>
      </c>
      <c r="I2742" s="611">
        <v>0.23</v>
      </c>
      <c r="J2742" s="611">
        <v>0.23</v>
      </c>
      <c r="K2742" s="552"/>
    </row>
    <row r="2743" spans="1:11" s="89" customFormat="1" ht="14.5" thickBot="1" x14ac:dyDescent="0.35">
      <c r="A2743" s="547" t="s">
        <v>433</v>
      </c>
      <c r="B2743" s="548" t="s">
        <v>1458</v>
      </c>
      <c r="C2743" s="547" t="s">
        <v>19</v>
      </c>
      <c r="D2743" s="547" t="s">
        <v>1459</v>
      </c>
      <c r="E2743" s="688" t="s">
        <v>436</v>
      </c>
      <c r="F2743" s="688"/>
      <c r="G2743" s="549" t="s">
        <v>423</v>
      </c>
      <c r="H2743" s="550">
        <v>1.328E-2</v>
      </c>
      <c r="I2743" s="551">
        <v>17.579999999999998</v>
      </c>
      <c r="J2743" s="551">
        <v>0.23</v>
      </c>
      <c r="K2743" s="546"/>
    </row>
    <row r="2744" spans="1:11" ht="14.5" thickTop="1" x14ac:dyDescent="0.3">
      <c r="A2744" s="562"/>
      <c r="B2744" s="562"/>
      <c r="C2744" s="562"/>
      <c r="D2744" s="562"/>
      <c r="E2744" s="562"/>
      <c r="F2744" s="562"/>
      <c r="G2744" s="562"/>
      <c r="H2744" s="562"/>
      <c r="I2744" s="562"/>
      <c r="J2744" s="562"/>
      <c r="K2744" s="552"/>
    </row>
    <row r="2745" spans="1:11" s="89" customFormat="1" x14ac:dyDescent="0.3">
      <c r="A2745" s="553"/>
      <c r="B2745" s="554" t="s">
        <v>4</v>
      </c>
      <c r="C2745" s="553" t="s">
        <v>5</v>
      </c>
      <c r="D2745" s="553" t="s">
        <v>6</v>
      </c>
      <c r="E2745" s="691" t="s">
        <v>427</v>
      </c>
      <c r="F2745" s="691"/>
      <c r="G2745" s="555" t="s">
        <v>7</v>
      </c>
      <c r="H2745" s="554" t="s">
        <v>8</v>
      </c>
      <c r="I2745" s="554" t="s">
        <v>9</v>
      </c>
      <c r="J2745" s="554" t="s">
        <v>11</v>
      </c>
      <c r="K2745" s="546"/>
    </row>
    <row r="2746" spans="1:11" ht="25" x14ac:dyDescent="0.3">
      <c r="A2746" s="607" t="s">
        <v>428</v>
      </c>
      <c r="B2746" s="608" t="s">
        <v>1460</v>
      </c>
      <c r="C2746" s="607" t="s">
        <v>19</v>
      </c>
      <c r="D2746" s="607" t="s">
        <v>1461</v>
      </c>
      <c r="E2746" s="690" t="s">
        <v>429</v>
      </c>
      <c r="F2746" s="690"/>
      <c r="G2746" s="609" t="s">
        <v>423</v>
      </c>
      <c r="H2746" s="610">
        <v>1</v>
      </c>
      <c r="I2746" s="611">
        <v>0.13</v>
      </c>
      <c r="J2746" s="611">
        <v>0.13</v>
      </c>
      <c r="K2746" s="552"/>
    </row>
    <row r="2747" spans="1:11" s="89" customFormat="1" ht="14.5" thickBot="1" x14ac:dyDescent="0.35">
      <c r="A2747" s="547" t="s">
        <v>433</v>
      </c>
      <c r="B2747" s="548" t="s">
        <v>1462</v>
      </c>
      <c r="C2747" s="547" t="s">
        <v>19</v>
      </c>
      <c r="D2747" s="547" t="s">
        <v>3692</v>
      </c>
      <c r="E2747" s="688" t="s">
        <v>436</v>
      </c>
      <c r="F2747" s="688"/>
      <c r="G2747" s="549" t="s">
        <v>423</v>
      </c>
      <c r="H2747" s="550">
        <v>5.8599999999999998E-3</v>
      </c>
      <c r="I2747" s="551">
        <v>22.67</v>
      </c>
      <c r="J2747" s="551">
        <v>0.13</v>
      </c>
      <c r="K2747" s="546"/>
    </row>
    <row r="2748" spans="1:11" ht="14.5" thickTop="1" x14ac:dyDescent="0.3">
      <c r="A2748" s="562"/>
      <c r="B2748" s="562"/>
      <c r="C2748" s="562"/>
      <c r="D2748" s="562"/>
      <c r="E2748" s="562"/>
      <c r="F2748" s="562"/>
      <c r="G2748" s="562"/>
      <c r="H2748" s="562"/>
      <c r="I2748" s="562"/>
      <c r="J2748" s="562"/>
      <c r="K2748" s="552"/>
    </row>
    <row r="2749" spans="1:11" x14ac:dyDescent="0.3">
      <c r="A2749" s="553"/>
      <c r="B2749" s="554" t="s">
        <v>4</v>
      </c>
      <c r="C2749" s="553" t="s">
        <v>5</v>
      </c>
      <c r="D2749" s="553" t="s">
        <v>6</v>
      </c>
      <c r="E2749" s="691" t="s">
        <v>427</v>
      </c>
      <c r="F2749" s="691"/>
      <c r="G2749" s="555" t="s">
        <v>7</v>
      </c>
      <c r="H2749" s="554" t="s">
        <v>8</v>
      </c>
      <c r="I2749" s="554" t="s">
        <v>9</v>
      </c>
      <c r="J2749" s="554" t="s">
        <v>11</v>
      </c>
      <c r="K2749" s="552"/>
    </row>
    <row r="2750" spans="1:11" s="89" customFormat="1" ht="25" x14ac:dyDescent="0.3">
      <c r="A2750" s="607" t="s">
        <v>428</v>
      </c>
      <c r="B2750" s="608" t="s">
        <v>1463</v>
      </c>
      <c r="C2750" s="607" t="s">
        <v>19</v>
      </c>
      <c r="D2750" s="607" t="s">
        <v>1464</v>
      </c>
      <c r="E2750" s="690" t="s">
        <v>429</v>
      </c>
      <c r="F2750" s="690"/>
      <c r="G2750" s="609" t="s">
        <v>423</v>
      </c>
      <c r="H2750" s="610">
        <v>1</v>
      </c>
      <c r="I2750" s="611">
        <v>0.12</v>
      </c>
      <c r="J2750" s="611">
        <v>0.12</v>
      </c>
      <c r="K2750" s="546"/>
    </row>
    <row r="2751" spans="1:11" s="89" customFormat="1" ht="14.5" thickBot="1" x14ac:dyDescent="0.35">
      <c r="A2751" s="547" t="s">
        <v>433</v>
      </c>
      <c r="B2751" s="548" t="s">
        <v>1465</v>
      </c>
      <c r="C2751" s="547" t="s">
        <v>19</v>
      </c>
      <c r="D2751" s="547" t="s">
        <v>3693</v>
      </c>
      <c r="E2751" s="688" t="s">
        <v>436</v>
      </c>
      <c r="F2751" s="688"/>
      <c r="G2751" s="549" t="s">
        <v>423</v>
      </c>
      <c r="H2751" s="550">
        <v>5.8599999999999998E-3</v>
      </c>
      <c r="I2751" s="551">
        <v>21.83</v>
      </c>
      <c r="J2751" s="551">
        <v>0.12</v>
      </c>
      <c r="K2751" s="546"/>
    </row>
    <row r="2752" spans="1:11" ht="14.5" thickTop="1" x14ac:dyDescent="0.3">
      <c r="A2752" s="562"/>
      <c r="B2752" s="562"/>
      <c r="C2752" s="562"/>
      <c r="D2752" s="562"/>
      <c r="E2752" s="562"/>
      <c r="F2752" s="562"/>
      <c r="G2752" s="562"/>
      <c r="H2752" s="562"/>
      <c r="I2752" s="562"/>
      <c r="J2752" s="562"/>
      <c r="K2752" s="552"/>
    </row>
    <row r="2753" spans="1:11" x14ac:dyDescent="0.3">
      <c r="A2753" s="553"/>
      <c r="B2753" s="554" t="s">
        <v>4</v>
      </c>
      <c r="C2753" s="553" t="s">
        <v>5</v>
      </c>
      <c r="D2753" s="553" t="s">
        <v>6</v>
      </c>
      <c r="E2753" s="691" t="s">
        <v>427</v>
      </c>
      <c r="F2753" s="691"/>
      <c r="G2753" s="555" t="s">
        <v>7</v>
      </c>
      <c r="H2753" s="554" t="s">
        <v>8</v>
      </c>
      <c r="I2753" s="554" t="s">
        <v>9</v>
      </c>
      <c r="J2753" s="554" t="s">
        <v>11</v>
      </c>
      <c r="K2753" s="552"/>
    </row>
    <row r="2754" spans="1:11" ht="25" x14ac:dyDescent="0.3">
      <c r="A2754" s="607" t="s">
        <v>428</v>
      </c>
      <c r="B2754" s="608" t="s">
        <v>1466</v>
      </c>
      <c r="C2754" s="607" t="s">
        <v>19</v>
      </c>
      <c r="D2754" s="607" t="s">
        <v>1467</v>
      </c>
      <c r="E2754" s="690" t="s">
        <v>429</v>
      </c>
      <c r="F2754" s="690"/>
      <c r="G2754" s="609" t="s">
        <v>423</v>
      </c>
      <c r="H2754" s="610">
        <v>1</v>
      </c>
      <c r="I2754" s="611">
        <v>0.43</v>
      </c>
      <c r="J2754" s="611">
        <v>0.43</v>
      </c>
      <c r="K2754" s="552"/>
    </row>
    <row r="2755" spans="1:11" s="89" customFormat="1" ht="14.5" thickBot="1" x14ac:dyDescent="0.35">
      <c r="A2755" s="547" t="s">
        <v>433</v>
      </c>
      <c r="B2755" s="548" t="s">
        <v>1468</v>
      </c>
      <c r="C2755" s="547" t="s">
        <v>19</v>
      </c>
      <c r="D2755" s="547" t="s">
        <v>3694</v>
      </c>
      <c r="E2755" s="688" t="s">
        <v>436</v>
      </c>
      <c r="F2755" s="688"/>
      <c r="G2755" s="549" t="s">
        <v>423</v>
      </c>
      <c r="H2755" s="550">
        <v>1.8849999999999999E-2</v>
      </c>
      <c r="I2755" s="551">
        <v>23.07</v>
      </c>
      <c r="J2755" s="551">
        <v>0.43</v>
      </c>
      <c r="K2755" s="546"/>
    </row>
    <row r="2756" spans="1:11" s="89" customFormat="1" ht="14.5" thickTop="1" x14ac:dyDescent="0.3">
      <c r="A2756" s="562"/>
      <c r="B2756" s="562"/>
      <c r="C2756" s="562"/>
      <c r="D2756" s="562"/>
      <c r="E2756" s="562"/>
      <c r="F2756" s="562"/>
      <c r="G2756" s="562"/>
      <c r="H2756" s="562"/>
      <c r="I2756" s="562"/>
      <c r="J2756" s="562"/>
      <c r="K2756" s="546"/>
    </row>
    <row r="2757" spans="1:11" x14ac:dyDescent="0.3">
      <c r="A2757" s="553"/>
      <c r="B2757" s="554" t="s">
        <v>4</v>
      </c>
      <c r="C2757" s="553" t="s">
        <v>5</v>
      </c>
      <c r="D2757" s="553" t="s">
        <v>6</v>
      </c>
      <c r="E2757" s="691" t="s">
        <v>427</v>
      </c>
      <c r="F2757" s="691"/>
      <c r="G2757" s="555" t="s">
        <v>7</v>
      </c>
      <c r="H2757" s="554" t="s">
        <v>8</v>
      </c>
      <c r="I2757" s="554" t="s">
        <v>9</v>
      </c>
      <c r="J2757" s="554" t="s">
        <v>11</v>
      </c>
      <c r="K2757" s="552"/>
    </row>
    <row r="2758" spans="1:11" s="89" customFormat="1" ht="37.5" x14ac:dyDescent="0.3">
      <c r="A2758" s="607" t="s">
        <v>428</v>
      </c>
      <c r="B2758" s="608" t="s">
        <v>1469</v>
      </c>
      <c r="C2758" s="607" t="s">
        <v>19</v>
      </c>
      <c r="D2758" s="607" t="s">
        <v>1470</v>
      </c>
      <c r="E2758" s="690" t="s">
        <v>429</v>
      </c>
      <c r="F2758" s="690"/>
      <c r="G2758" s="609" t="s">
        <v>423</v>
      </c>
      <c r="H2758" s="610">
        <v>1</v>
      </c>
      <c r="I2758" s="611">
        <v>0.17</v>
      </c>
      <c r="J2758" s="611">
        <v>0.17</v>
      </c>
      <c r="K2758" s="546"/>
    </row>
    <row r="2759" spans="1:11" s="89" customFormat="1" ht="14.5" thickBot="1" x14ac:dyDescent="0.35">
      <c r="A2759" s="547" t="s">
        <v>433</v>
      </c>
      <c r="B2759" s="548" t="s">
        <v>1471</v>
      </c>
      <c r="C2759" s="547" t="s">
        <v>19</v>
      </c>
      <c r="D2759" s="547" t="s">
        <v>3695</v>
      </c>
      <c r="E2759" s="688" t="s">
        <v>436</v>
      </c>
      <c r="F2759" s="688"/>
      <c r="G2759" s="549" t="s">
        <v>423</v>
      </c>
      <c r="H2759" s="550">
        <v>9.5700000000000004E-3</v>
      </c>
      <c r="I2759" s="551">
        <v>18</v>
      </c>
      <c r="J2759" s="551">
        <v>0.17</v>
      </c>
      <c r="K2759" s="546"/>
    </row>
    <row r="2760" spans="1:11" ht="14.5" thickTop="1" x14ac:dyDescent="0.3">
      <c r="A2760" s="562"/>
      <c r="B2760" s="562"/>
      <c r="C2760" s="562"/>
      <c r="D2760" s="562"/>
      <c r="E2760" s="562"/>
      <c r="F2760" s="562"/>
      <c r="G2760" s="562"/>
      <c r="H2760" s="562"/>
      <c r="I2760" s="562"/>
      <c r="J2760" s="562"/>
      <c r="K2760" s="552"/>
    </row>
    <row r="2761" spans="1:11" x14ac:dyDescent="0.3">
      <c r="A2761" s="553"/>
      <c r="B2761" s="554" t="s">
        <v>4</v>
      </c>
      <c r="C2761" s="553" t="s">
        <v>5</v>
      </c>
      <c r="D2761" s="553" t="s">
        <v>6</v>
      </c>
      <c r="E2761" s="691" t="s">
        <v>427</v>
      </c>
      <c r="F2761" s="691"/>
      <c r="G2761" s="555" t="s">
        <v>7</v>
      </c>
      <c r="H2761" s="554" t="s">
        <v>8</v>
      </c>
      <c r="I2761" s="554" t="s">
        <v>9</v>
      </c>
      <c r="J2761" s="554" t="s">
        <v>11</v>
      </c>
      <c r="K2761" s="552"/>
    </row>
    <row r="2762" spans="1:11" ht="25" x14ac:dyDescent="0.3">
      <c r="A2762" s="607" t="s">
        <v>428</v>
      </c>
      <c r="B2762" s="608" t="s">
        <v>1472</v>
      </c>
      <c r="C2762" s="607" t="s">
        <v>19</v>
      </c>
      <c r="D2762" s="607" t="s">
        <v>1473</v>
      </c>
      <c r="E2762" s="690" t="s">
        <v>429</v>
      </c>
      <c r="F2762" s="690"/>
      <c r="G2762" s="609" t="s">
        <v>423</v>
      </c>
      <c r="H2762" s="610">
        <v>1</v>
      </c>
      <c r="I2762" s="611">
        <v>0.28000000000000003</v>
      </c>
      <c r="J2762" s="611">
        <v>0.28000000000000003</v>
      </c>
      <c r="K2762" s="552"/>
    </row>
    <row r="2763" spans="1:11" s="89" customFormat="1" ht="14.5" thickBot="1" x14ac:dyDescent="0.35">
      <c r="A2763" s="547" t="s">
        <v>433</v>
      </c>
      <c r="B2763" s="548" t="s">
        <v>1474</v>
      </c>
      <c r="C2763" s="547" t="s">
        <v>19</v>
      </c>
      <c r="D2763" s="547" t="s">
        <v>3696</v>
      </c>
      <c r="E2763" s="688" t="s">
        <v>436</v>
      </c>
      <c r="F2763" s="688"/>
      <c r="G2763" s="549" t="s">
        <v>423</v>
      </c>
      <c r="H2763" s="550">
        <v>1.328E-2</v>
      </c>
      <c r="I2763" s="551">
        <v>21.83</v>
      </c>
      <c r="J2763" s="551">
        <v>0.28000000000000003</v>
      </c>
      <c r="K2763" s="546"/>
    </row>
    <row r="2764" spans="1:11" ht="14.5" thickTop="1" x14ac:dyDescent="0.3">
      <c r="A2764" s="562"/>
      <c r="B2764" s="562"/>
      <c r="C2764" s="562"/>
      <c r="D2764" s="562"/>
      <c r="E2764" s="562"/>
      <c r="F2764" s="562"/>
      <c r="G2764" s="562"/>
      <c r="H2764" s="562"/>
      <c r="I2764" s="562"/>
      <c r="J2764" s="562"/>
      <c r="K2764" s="552"/>
    </row>
    <row r="2765" spans="1:11" x14ac:dyDescent="0.3">
      <c r="A2765" s="553"/>
      <c r="B2765" s="554" t="s">
        <v>4</v>
      </c>
      <c r="C2765" s="553" t="s">
        <v>5</v>
      </c>
      <c r="D2765" s="553" t="s">
        <v>6</v>
      </c>
      <c r="E2765" s="691" t="s">
        <v>427</v>
      </c>
      <c r="F2765" s="691"/>
      <c r="G2765" s="555" t="s">
        <v>7</v>
      </c>
      <c r="H2765" s="554" t="s">
        <v>8</v>
      </c>
      <c r="I2765" s="554" t="s">
        <v>9</v>
      </c>
      <c r="J2765" s="554" t="s">
        <v>11</v>
      </c>
      <c r="K2765" s="552"/>
    </row>
    <row r="2766" spans="1:11" s="89" customFormat="1" ht="25" x14ac:dyDescent="0.3">
      <c r="A2766" s="607" t="s">
        <v>428</v>
      </c>
      <c r="B2766" s="608" t="s">
        <v>1475</v>
      </c>
      <c r="C2766" s="607" t="s">
        <v>19</v>
      </c>
      <c r="D2766" s="607" t="s">
        <v>1476</v>
      </c>
      <c r="E2766" s="690" t="s">
        <v>429</v>
      </c>
      <c r="F2766" s="690"/>
      <c r="G2766" s="609" t="s">
        <v>423</v>
      </c>
      <c r="H2766" s="610">
        <v>1</v>
      </c>
      <c r="I2766" s="611">
        <v>0.33</v>
      </c>
      <c r="J2766" s="611">
        <v>0.33</v>
      </c>
      <c r="K2766" s="546"/>
    </row>
    <row r="2767" spans="1:11" s="89" customFormat="1" ht="14.5" thickBot="1" x14ac:dyDescent="0.35">
      <c r="A2767" s="547" t="s">
        <v>433</v>
      </c>
      <c r="B2767" s="548" t="s">
        <v>1477</v>
      </c>
      <c r="C2767" s="547" t="s">
        <v>19</v>
      </c>
      <c r="D2767" s="547" t="s">
        <v>3697</v>
      </c>
      <c r="E2767" s="688" t="s">
        <v>436</v>
      </c>
      <c r="F2767" s="688"/>
      <c r="G2767" s="549" t="s">
        <v>423</v>
      </c>
      <c r="H2767" s="550">
        <v>1.8849999999999999E-2</v>
      </c>
      <c r="I2767" s="551">
        <v>18</v>
      </c>
      <c r="J2767" s="551">
        <v>0.33</v>
      </c>
      <c r="K2767" s="546"/>
    </row>
    <row r="2768" spans="1:11" s="89" customFormat="1" ht="14.5" thickTop="1" x14ac:dyDescent="0.3">
      <c r="A2768" s="562"/>
      <c r="B2768" s="562"/>
      <c r="C2768" s="562"/>
      <c r="D2768" s="562"/>
      <c r="E2768" s="562"/>
      <c r="F2768" s="562"/>
      <c r="G2768" s="562"/>
      <c r="H2768" s="562"/>
      <c r="I2768" s="562"/>
      <c r="J2768" s="562"/>
      <c r="K2768" s="546"/>
    </row>
    <row r="2769" spans="1:11" s="89" customFormat="1" x14ac:dyDescent="0.3">
      <c r="A2769" s="553"/>
      <c r="B2769" s="554" t="s">
        <v>4</v>
      </c>
      <c r="C2769" s="553" t="s">
        <v>5</v>
      </c>
      <c r="D2769" s="553" t="s">
        <v>6</v>
      </c>
      <c r="E2769" s="691" t="s">
        <v>427</v>
      </c>
      <c r="F2769" s="691"/>
      <c r="G2769" s="555" t="s">
        <v>7</v>
      </c>
      <c r="H2769" s="554" t="s">
        <v>8</v>
      </c>
      <c r="I2769" s="554" t="s">
        <v>9</v>
      </c>
      <c r="J2769" s="554" t="s">
        <v>11</v>
      </c>
      <c r="K2769" s="546"/>
    </row>
    <row r="2770" spans="1:11" s="89" customFormat="1" ht="25" x14ac:dyDescent="0.3">
      <c r="A2770" s="607" t="s">
        <v>428</v>
      </c>
      <c r="B2770" s="608" t="s">
        <v>1478</v>
      </c>
      <c r="C2770" s="607" t="s">
        <v>19</v>
      </c>
      <c r="D2770" s="607" t="s">
        <v>1479</v>
      </c>
      <c r="E2770" s="690" t="s">
        <v>429</v>
      </c>
      <c r="F2770" s="690"/>
      <c r="G2770" s="609" t="s">
        <v>423</v>
      </c>
      <c r="H2770" s="610">
        <v>1</v>
      </c>
      <c r="I2770" s="611">
        <v>0.33</v>
      </c>
      <c r="J2770" s="611">
        <v>0.33</v>
      </c>
      <c r="K2770" s="546"/>
    </row>
    <row r="2771" spans="1:11" s="89" customFormat="1" ht="14.5" thickBot="1" x14ac:dyDescent="0.35">
      <c r="A2771" s="547" t="s">
        <v>433</v>
      </c>
      <c r="B2771" s="548" t="s">
        <v>1480</v>
      </c>
      <c r="C2771" s="547" t="s">
        <v>19</v>
      </c>
      <c r="D2771" s="547" t="s">
        <v>1481</v>
      </c>
      <c r="E2771" s="688" t="s">
        <v>436</v>
      </c>
      <c r="F2771" s="688"/>
      <c r="G2771" s="549" t="s">
        <v>423</v>
      </c>
      <c r="H2771" s="550">
        <v>1.8849999999999999E-2</v>
      </c>
      <c r="I2771" s="551">
        <v>18</v>
      </c>
      <c r="J2771" s="551">
        <v>0.33</v>
      </c>
      <c r="K2771" s="546"/>
    </row>
    <row r="2772" spans="1:11" s="89" customFormat="1" ht="14.5" thickTop="1" x14ac:dyDescent="0.3">
      <c r="A2772" s="562"/>
      <c r="B2772" s="562"/>
      <c r="C2772" s="562"/>
      <c r="D2772" s="562"/>
      <c r="E2772" s="562"/>
      <c r="F2772" s="562"/>
      <c r="G2772" s="562"/>
      <c r="H2772" s="562"/>
      <c r="I2772" s="562"/>
      <c r="J2772" s="562"/>
      <c r="K2772" s="546"/>
    </row>
    <row r="2773" spans="1:11" x14ac:dyDescent="0.3">
      <c r="A2773" s="553"/>
      <c r="B2773" s="554" t="s">
        <v>4</v>
      </c>
      <c r="C2773" s="553" t="s">
        <v>5</v>
      </c>
      <c r="D2773" s="553" t="s">
        <v>6</v>
      </c>
      <c r="E2773" s="691" t="s">
        <v>427</v>
      </c>
      <c r="F2773" s="691"/>
      <c r="G2773" s="555" t="s">
        <v>7</v>
      </c>
      <c r="H2773" s="554" t="s">
        <v>8</v>
      </c>
      <c r="I2773" s="554" t="s">
        <v>9</v>
      </c>
      <c r="J2773" s="554" t="s">
        <v>11</v>
      </c>
      <c r="K2773" s="552"/>
    </row>
    <row r="2774" spans="1:11" s="89" customFormat="1" ht="25" x14ac:dyDescent="0.3">
      <c r="A2774" s="607" t="s">
        <v>428</v>
      </c>
      <c r="B2774" s="608" t="s">
        <v>1482</v>
      </c>
      <c r="C2774" s="607" t="s">
        <v>19</v>
      </c>
      <c r="D2774" s="607" t="s">
        <v>1483</v>
      </c>
      <c r="E2774" s="690" t="s">
        <v>429</v>
      </c>
      <c r="F2774" s="690"/>
      <c r="G2774" s="609" t="s">
        <v>423</v>
      </c>
      <c r="H2774" s="610">
        <v>1</v>
      </c>
      <c r="I2774" s="611">
        <v>0.17</v>
      </c>
      <c r="J2774" s="611">
        <v>0.17</v>
      </c>
      <c r="K2774" s="546"/>
    </row>
    <row r="2775" spans="1:11" s="89" customFormat="1" ht="14.5" thickBot="1" x14ac:dyDescent="0.35">
      <c r="A2775" s="547" t="s">
        <v>433</v>
      </c>
      <c r="B2775" s="548" t="s">
        <v>1484</v>
      </c>
      <c r="C2775" s="547" t="s">
        <v>19</v>
      </c>
      <c r="D2775" s="547" t="s">
        <v>3698</v>
      </c>
      <c r="E2775" s="688" t="s">
        <v>436</v>
      </c>
      <c r="F2775" s="688"/>
      <c r="G2775" s="549" t="s">
        <v>423</v>
      </c>
      <c r="H2775" s="550">
        <v>9.5700000000000004E-3</v>
      </c>
      <c r="I2775" s="551">
        <v>18</v>
      </c>
      <c r="J2775" s="551">
        <v>0.17</v>
      </c>
      <c r="K2775" s="546"/>
    </row>
    <row r="2776" spans="1:11" s="89" customFormat="1" ht="14.5" thickTop="1" x14ac:dyDescent="0.3">
      <c r="A2776" s="562"/>
      <c r="B2776" s="562"/>
      <c r="C2776" s="562"/>
      <c r="D2776" s="562"/>
      <c r="E2776" s="562"/>
      <c r="F2776" s="562"/>
      <c r="G2776" s="562"/>
      <c r="H2776" s="562"/>
      <c r="I2776" s="562"/>
      <c r="J2776" s="562"/>
      <c r="K2776" s="546"/>
    </row>
    <row r="2777" spans="1:11" x14ac:dyDescent="0.3">
      <c r="A2777" s="553"/>
      <c r="B2777" s="554" t="s">
        <v>4</v>
      </c>
      <c r="C2777" s="553" t="s">
        <v>5</v>
      </c>
      <c r="D2777" s="553" t="s">
        <v>6</v>
      </c>
      <c r="E2777" s="691" t="s">
        <v>427</v>
      </c>
      <c r="F2777" s="691"/>
      <c r="G2777" s="555" t="s">
        <v>7</v>
      </c>
      <c r="H2777" s="554" t="s">
        <v>8</v>
      </c>
      <c r="I2777" s="554" t="s">
        <v>9</v>
      </c>
      <c r="J2777" s="554" t="s">
        <v>11</v>
      </c>
      <c r="K2777" s="552"/>
    </row>
    <row r="2778" spans="1:11" s="89" customFormat="1" ht="25" x14ac:dyDescent="0.3">
      <c r="A2778" s="607" t="s">
        <v>428</v>
      </c>
      <c r="B2778" s="608" t="s">
        <v>1485</v>
      </c>
      <c r="C2778" s="607" t="s">
        <v>19</v>
      </c>
      <c r="D2778" s="607" t="s">
        <v>1486</v>
      </c>
      <c r="E2778" s="690" t="s">
        <v>429</v>
      </c>
      <c r="F2778" s="690"/>
      <c r="G2778" s="609" t="s">
        <v>423</v>
      </c>
      <c r="H2778" s="610">
        <v>1</v>
      </c>
      <c r="I2778" s="611">
        <v>0.3</v>
      </c>
      <c r="J2778" s="611">
        <v>0.3</v>
      </c>
      <c r="K2778" s="546"/>
    </row>
    <row r="2779" spans="1:11" s="89" customFormat="1" ht="14.5" thickBot="1" x14ac:dyDescent="0.35">
      <c r="A2779" s="547" t="s">
        <v>433</v>
      </c>
      <c r="B2779" s="548" t="s">
        <v>1487</v>
      </c>
      <c r="C2779" s="547" t="s">
        <v>19</v>
      </c>
      <c r="D2779" s="547" t="s">
        <v>3699</v>
      </c>
      <c r="E2779" s="688" t="s">
        <v>436</v>
      </c>
      <c r="F2779" s="688"/>
      <c r="G2779" s="549" t="s">
        <v>423</v>
      </c>
      <c r="H2779" s="550">
        <v>9.5700000000000004E-3</v>
      </c>
      <c r="I2779" s="551">
        <v>32.06</v>
      </c>
      <c r="J2779" s="551">
        <v>0.3</v>
      </c>
      <c r="K2779" s="546"/>
    </row>
    <row r="2780" spans="1:11" s="89" customFormat="1" ht="14.5" thickTop="1" x14ac:dyDescent="0.3">
      <c r="A2780" s="562"/>
      <c r="B2780" s="562"/>
      <c r="C2780" s="562"/>
      <c r="D2780" s="562"/>
      <c r="E2780" s="562"/>
      <c r="F2780" s="562"/>
      <c r="G2780" s="562"/>
      <c r="H2780" s="562"/>
      <c r="I2780" s="562"/>
      <c r="J2780" s="562"/>
      <c r="K2780" s="546"/>
    </row>
    <row r="2781" spans="1:11" s="89" customFormat="1" x14ac:dyDescent="0.3">
      <c r="A2781" s="553"/>
      <c r="B2781" s="554" t="s">
        <v>4</v>
      </c>
      <c r="C2781" s="553" t="s">
        <v>5</v>
      </c>
      <c r="D2781" s="553" t="s">
        <v>6</v>
      </c>
      <c r="E2781" s="691" t="s">
        <v>427</v>
      </c>
      <c r="F2781" s="691"/>
      <c r="G2781" s="555" t="s">
        <v>7</v>
      </c>
      <c r="H2781" s="554" t="s">
        <v>8</v>
      </c>
      <c r="I2781" s="554" t="s">
        <v>9</v>
      </c>
      <c r="J2781" s="554" t="s">
        <v>11</v>
      </c>
      <c r="K2781" s="546"/>
    </row>
    <row r="2782" spans="1:11" ht="25" x14ac:dyDescent="0.3">
      <c r="A2782" s="607" t="s">
        <v>428</v>
      </c>
      <c r="B2782" s="608" t="s">
        <v>1488</v>
      </c>
      <c r="C2782" s="607" t="s">
        <v>19</v>
      </c>
      <c r="D2782" s="607" t="s">
        <v>1489</v>
      </c>
      <c r="E2782" s="690" t="s">
        <v>429</v>
      </c>
      <c r="F2782" s="690"/>
      <c r="G2782" s="609" t="s">
        <v>423</v>
      </c>
      <c r="H2782" s="610">
        <v>1</v>
      </c>
      <c r="I2782" s="611">
        <v>0.23</v>
      </c>
      <c r="J2782" s="611">
        <v>0.23</v>
      </c>
      <c r="K2782" s="552"/>
    </row>
    <row r="2783" spans="1:11" s="89" customFormat="1" ht="25.5" thickBot="1" x14ac:dyDescent="0.35">
      <c r="A2783" s="547" t="s">
        <v>433</v>
      </c>
      <c r="B2783" s="548" t="s">
        <v>1490</v>
      </c>
      <c r="C2783" s="547" t="s">
        <v>19</v>
      </c>
      <c r="D2783" s="547" t="s">
        <v>3700</v>
      </c>
      <c r="E2783" s="688" t="s">
        <v>436</v>
      </c>
      <c r="F2783" s="688"/>
      <c r="G2783" s="549" t="s">
        <v>423</v>
      </c>
      <c r="H2783" s="550">
        <v>1.328E-2</v>
      </c>
      <c r="I2783" s="551">
        <v>18</v>
      </c>
      <c r="J2783" s="551">
        <v>0.23</v>
      </c>
      <c r="K2783" s="546"/>
    </row>
    <row r="2784" spans="1:11" ht="14.5" thickTop="1" x14ac:dyDescent="0.3">
      <c r="A2784" s="562"/>
      <c r="B2784" s="562"/>
      <c r="C2784" s="562"/>
      <c r="D2784" s="562"/>
      <c r="E2784" s="562"/>
      <c r="F2784" s="562"/>
      <c r="G2784" s="562"/>
      <c r="H2784" s="562"/>
      <c r="I2784" s="562"/>
      <c r="J2784" s="562"/>
      <c r="K2784" s="552"/>
    </row>
    <row r="2785" spans="1:11" x14ac:dyDescent="0.3">
      <c r="A2785" s="553"/>
      <c r="B2785" s="554" t="s">
        <v>4</v>
      </c>
      <c r="C2785" s="553" t="s">
        <v>5</v>
      </c>
      <c r="D2785" s="553" t="s">
        <v>6</v>
      </c>
      <c r="E2785" s="691" t="s">
        <v>427</v>
      </c>
      <c r="F2785" s="691"/>
      <c r="G2785" s="555" t="s">
        <v>7</v>
      </c>
      <c r="H2785" s="554" t="s">
        <v>8</v>
      </c>
      <c r="I2785" s="554" t="s">
        <v>9</v>
      </c>
      <c r="J2785" s="554" t="s">
        <v>11</v>
      </c>
      <c r="K2785" s="552"/>
    </row>
    <row r="2786" spans="1:11" s="89" customFormat="1" ht="25" x14ac:dyDescent="0.3">
      <c r="A2786" s="607" t="s">
        <v>428</v>
      </c>
      <c r="B2786" s="608" t="s">
        <v>1491</v>
      </c>
      <c r="C2786" s="607" t="s">
        <v>19</v>
      </c>
      <c r="D2786" s="607" t="s">
        <v>1492</v>
      </c>
      <c r="E2786" s="690" t="s">
        <v>429</v>
      </c>
      <c r="F2786" s="690"/>
      <c r="G2786" s="609" t="s">
        <v>423</v>
      </c>
      <c r="H2786" s="610">
        <v>1</v>
      </c>
      <c r="I2786" s="611">
        <v>0.17</v>
      </c>
      <c r="J2786" s="611">
        <v>0.17</v>
      </c>
      <c r="K2786" s="546"/>
    </row>
    <row r="2787" spans="1:11" s="89" customFormat="1" ht="14.5" thickBot="1" x14ac:dyDescent="0.35">
      <c r="A2787" s="547" t="s">
        <v>433</v>
      </c>
      <c r="B2787" s="548" t="s">
        <v>1493</v>
      </c>
      <c r="C2787" s="547" t="s">
        <v>19</v>
      </c>
      <c r="D2787" s="547" t="s">
        <v>3701</v>
      </c>
      <c r="E2787" s="688" t="s">
        <v>436</v>
      </c>
      <c r="F2787" s="688"/>
      <c r="G2787" s="549" t="s">
        <v>423</v>
      </c>
      <c r="H2787" s="550">
        <v>9.5700000000000004E-3</v>
      </c>
      <c r="I2787" s="551">
        <v>18</v>
      </c>
      <c r="J2787" s="551">
        <v>0.17</v>
      </c>
      <c r="K2787" s="546"/>
    </row>
    <row r="2788" spans="1:11" s="89" customFormat="1" ht="14.5" thickTop="1" x14ac:dyDescent="0.3">
      <c r="A2788" s="562"/>
      <c r="B2788" s="562"/>
      <c r="C2788" s="562"/>
      <c r="D2788" s="562"/>
      <c r="E2788" s="562"/>
      <c r="F2788" s="562"/>
      <c r="G2788" s="562"/>
      <c r="H2788" s="562"/>
      <c r="I2788" s="562"/>
      <c r="J2788" s="562"/>
      <c r="K2788" s="546"/>
    </row>
    <row r="2789" spans="1:11" x14ac:dyDescent="0.3">
      <c r="A2789" s="553"/>
      <c r="B2789" s="554" t="s">
        <v>4</v>
      </c>
      <c r="C2789" s="553" t="s">
        <v>5</v>
      </c>
      <c r="D2789" s="553" t="s">
        <v>6</v>
      </c>
      <c r="E2789" s="691" t="s">
        <v>427</v>
      </c>
      <c r="F2789" s="691"/>
      <c r="G2789" s="555" t="s">
        <v>7</v>
      </c>
      <c r="H2789" s="554" t="s">
        <v>8</v>
      </c>
      <c r="I2789" s="554" t="s">
        <v>9</v>
      </c>
      <c r="J2789" s="554" t="s">
        <v>11</v>
      </c>
      <c r="K2789" s="552"/>
    </row>
    <row r="2790" spans="1:11" s="89" customFormat="1" ht="25" x14ac:dyDescent="0.3">
      <c r="A2790" s="607" t="s">
        <v>428</v>
      </c>
      <c r="B2790" s="608" t="s">
        <v>1494</v>
      </c>
      <c r="C2790" s="607" t="s">
        <v>19</v>
      </c>
      <c r="D2790" s="607" t="s">
        <v>1495</v>
      </c>
      <c r="E2790" s="690" t="s">
        <v>429</v>
      </c>
      <c r="F2790" s="690"/>
      <c r="G2790" s="609" t="s">
        <v>423</v>
      </c>
      <c r="H2790" s="610">
        <v>1</v>
      </c>
      <c r="I2790" s="611">
        <v>0.17</v>
      </c>
      <c r="J2790" s="611">
        <v>0.17</v>
      </c>
      <c r="K2790" s="546"/>
    </row>
    <row r="2791" spans="1:11" s="89" customFormat="1" ht="14.5" thickBot="1" x14ac:dyDescent="0.35">
      <c r="A2791" s="547" t="s">
        <v>433</v>
      </c>
      <c r="B2791" s="548" t="s">
        <v>1496</v>
      </c>
      <c r="C2791" s="547" t="s">
        <v>19</v>
      </c>
      <c r="D2791" s="547" t="s">
        <v>3702</v>
      </c>
      <c r="E2791" s="688" t="s">
        <v>436</v>
      </c>
      <c r="F2791" s="688"/>
      <c r="G2791" s="549" t="s">
        <v>423</v>
      </c>
      <c r="H2791" s="550">
        <v>9.5700000000000004E-3</v>
      </c>
      <c r="I2791" s="551">
        <v>18</v>
      </c>
      <c r="J2791" s="551">
        <v>0.17</v>
      </c>
      <c r="K2791" s="546"/>
    </row>
    <row r="2792" spans="1:11" s="89" customFormat="1" ht="14.5" thickTop="1" x14ac:dyDescent="0.3">
      <c r="A2792" s="562"/>
      <c r="B2792" s="562"/>
      <c r="C2792" s="562"/>
      <c r="D2792" s="562"/>
      <c r="E2792" s="562"/>
      <c r="F2792" s="562"/>
      <c r="G2792" s="562"/>
      <c r="H2792" s="562"/>
      <c r="I2792" s="562"/>
      <c r="J2792" s="562"/>
      <c r="K2792" s="546"/>
    </row>
    <row r="2793" spans="1:11" x14ac:dyDescent="0.3">
      <c r="A2793" s="553"/>
      <c r="B2793" s="554" t="s">
        <v>4</v>
      </c>
      <c r="C2793" s="553" t="s">
        <v>5</v>
      </c>
      <c r="D2793" s="553" t="s">
        <v>6</v>
      </c>
      <c r="E2793" s="691" t="s">
        <v>427</v>
      </c>
      <c r="F2793" s="691"/>
      <c r="G2793" s="555" t="s">
        <v>7</v>
      </c>
      <c r="H2793" s="554" t="s">
        <v>8</v>
      </c>
      <c r="I2793" s="554" t="s">
        <v>9</v>
      </c>
      <c r="J2793" s="554" t="s">
        <v>11</v>
      </c>
      <c r="K2793" s="552"/>
    </row>
    <row r="2794" spans="1:11" s="89" customFormat="1" ht="25" x14ac:dyDescent="0.3">
      <c r="A2794" s="607" t="s">
        <v>428</v>
      </c>
      <c r="B2794" s="608" t="s">
        <v>1497</v>
      </c>
      <c r="C2794" s="607" t="s">
        <v>19</v>
      </c>
      <c r="D2794" s="607" t="s">
        <v>1498</v>
      </c>
      <c r="E2794" s="690" t="s">
        <v>429</v>
      </c>
      <c r="F2794" s="690"/>
      <c r="G2794" s="609" t="s">
        <v>423</v>
      </c>
      <c r="H2794" s="610">
        <v>1</v>
      </c>
      <c r="I2794" s="611">
        <v>0.17</v>
      </c>
      <c r="J2794" s="611">
        <v>0.17</v>
      </c>
      <c r="K2794" s="546"/>
    </row>
    <row r="2795" spans="1:11" s="89" customFormat="1" ht="14.5" thickBot="1" x14ac:dyDescent="0.35">
      <c r="A2795" s="547" t="s">
        <v>433</v>
      </c>
      <c r="B2795" s="548" t="s">
        <v>1499</v>
      </c>
      <c r="C2795" s="547" t="s">
        <v>19</v>
      </c>
      <c r="D2795" s="547" t="s">
        <v>3703</v>
      </c>
      <c r="E2795" s="688" t="s">
        <v>436</v>
      </c>
      <c r="F2795" s="688"/>
      <c r="G2795" s="549" t="s">
        <v>423</v>
      </c>
      <c r="H2795" s="550">
        <v>9.5700000000000004E-3</v>
      </c>
      <c r="I2795" s="551">
        <v>18</v>
      </c>
      <c r="J2795" s="551">
        <v>0.17</v>
      </c>
      <c r="K2795" s="546"/>
    </row>
    <row r="2796" spans="1:11" s="89" customFormat="1" ht="14.5" thickTop="1" x14ac:dyDescent="0.3">
      <c r="A2796" s="562"/>
      <c r="B2796" s="562"/>
      <c r="C2796" s="562"/>
      <c r="D2796" s="562"/>
      <c r="E2796" s="562"/>
      <c r="F2796" s="562"/>
      <c r="G2796" s="562"/>
      <c r="H2796" s="562"/>
      <c r="I2796" s="562"/>
      <c r="J2796" s="562"/>
      <c r="K2796" s="546"/>
    </row>
    <row r="2797" spans="1:11" x14ac:dyDescent="0.3">
      <c r="A2797" s="553"/>
      <c r="B2797" s="554" t="s">
        <v>4</v>
      </c>
      <c r="C2797" s="553" t="s">
        <v>5</v>
      </c>
      <c r="D2797" s="553" t="s">
        <v>6</v>
      </c>
      <c r="E2797" s="691" t="s">
        <v>427</v>
      </c>
      <c r="F2797" s="691"/>
      <c r="G2797" s="555" t="s">
        <v>7</v>
      </c>
      <c r="H2797" s="554" t="s">
        <v>8</v>
      </c>
      <c r="I2797" s="554" t="s">
        <v>9</v>
      </c>
      <c r="J2797" s="554" t="s">
        <v>11</v>
      </c>
      <c r="K2797" s="552"/>
    </row>
    <row r="2798" spans="1:11" s="89" customFormat="1" ht="25" x14ac:dyDescent="0.3">
      <c r="A2798" s="607" t="s">
        <v>428</v>
      </c>
      <c r="B2798" s="608" t="s">
        <v>1500</v>
      </c>
      <c r="C2798" s="607" t="s">
        <v>19</v>
      </c>
      <c r="D2798" s="607" t="s">
        <v>1501</v>
      </c>
      <c r="E2798" s="690" t="s">
        <v>429</v>
      </c>
      <c r="F2798" s="690"/>
      <c r="G2798" s="609" t="s">
        <v>423</v>
      </c>
      <c r="H2798" s="610">
        <v>1</v>
      </c>
      <c r="I2798" s="611">
        <v>0.3</v>
      </c>
      <c r="J2798" s="611">
        <v>0.3</v>
      </c>
      <c r="K2798" s="546"/>
    </row>
    <row r="2799" spans="1:11" s="89" customFormat="1" ht="25.5" thickBot="1" x14ac:dyDescent="0.35">
      <c r="A2799" s="547" t="s">
        <v>433</v>
      </c>
      <c r="B2799" s="548" t="s">
        <v>1502</v>
      </c>
      <c r="C2799" s="547" t="s">
        <v>19</v>
      </c>
      <c r="D2799" s="547" t="s">
        <v>3704</v>
      </c>
      <c r="E2799" s="688" t="s">
        <v>436</v>
      </c>
      <c r="F2799" s="688"/>
      <c r="G2799" s="549" t="s">
        <v>423</v>
      </c>
      <c r="H2799" s="550">
        <v>9.5700000000000004E-3</v>
      </c>
      <c r="I2799" s="551">
        <v>32.06</v>
      </c>
      <c r="J2799" s="551">
        <v>0.3</v>
      </c>
      <c r="K2799" s="546"/>
    </row>
    <row r="2800" spans="1:11" s="89" customFormat="1" ht="14.5" thickTop="1" x14ac:dyDescent="0.3">
      <c r="A2800" s="562"/>
      <c r="B2800" s="562"/>
      <c r="C2800" s="562"/>
      <c r="D2800" s="562"/>
      <c r="E2800" s="562"/>
      <c r="F2800" s="562"/>
      <c r="G2800" s="562"/>
      <c r="H2800" s="562"/>
      <c r="I2800" s="562"/>
      <c r="J2800" s="562"/>
      <c r="K2800" s="546"/>
    </row>
    <row r="2801" spans="1:11" x14ac:dyDescent="0.3">
      <c r="A2801" s="553"/>
      <c r="B2801" s="554" t="s">
        <v>4</v>
      </c>
      <c r="C2801" s="553" t="s">
        <v>5</v>
      </c>
      <c r="D2801" s="553" t="s">
        <v>6</v>
      </c>
      <c r="E2801" s="691" t="s">
        <v>427</v>
      </c>
      <c r="F2801" s="691"/>
      <c r="G2801" s="555" t="s">
        <v>7</v>
      </c>
      <c r="H2801" s="554" t="s">
        <v>8</v>
      </c>
      <c r="I2801" s="554" t="s">
        <v>9</v>
      </c>
      <c r="J2801" s="554" t="s">
        <v>11</v>
      </c>
      <c r="K2801" s="552"/>
    </row>
    <row r="2802" spans="1:11" s="89" customFormat="1" ht="25" x14ac:dyDescent="0.3">
      <c r="A2802" s="607" t="s">
        <v>428</v>
      </c>
      <c r="B2802" s="608" t="s">
        <v>1503</v>
      </c>
      <c r="C2802" s="607" t="s">
        <v>19</v>
      </c>
      <c r="D2802" s="607" t="s">
        <v>1504</v>
      </c>
      <c r="E2802" s="690" t="s">
        <v>429</v>
      </c>
      <c r="F2802" s="690"/>
      <c r="G2802" s="609" t="s">
        <v>423</v>
      </c>
      <c r="H2802" s="610">
        <v>1</v>
      </c>
      <c r="I2802" s="611">
        <v>0.53</v>
      </c>
      <c r="J2802" s="611">
        <v>0.53</v>
      </c>
      <c r="K2802" s="546"/>
    </row>
    <row r="2803" spans="1:11" s="89" customFormat="1" ht="14.5" thickBot="1" x14ac:dyDescent="0.35">
      <c r="A2803" s="547" t="s">
        <v>433</v>
      </c>
      <c r="B2803" s="548" t="s">
        <v>1505</v>
      </c>
      <c r="C2803" s="547" t="s">
        <v>19</v>
      </c>
      <c r="D2803" s="547" t="s">
        <v>1506</v>
      </c>
      <c r="E2803" s="688" t="s">
        <v>436</v>
      </c>
      <c r="F2803" s="688"/>
      <c r="G2803" s="549" t="s">
        <v>423</v>
      </c>
      <c r="H2803" s="550">
        <v>2.4420000000000001E-2</v>
      </c>
      <c r="I2803" s="551">
        <v>21.83</v>
      </c>
      <c r="J2803" s="551">
        <v>0.53</v>
      </c>
      <c r="K2803" s="546"/>
    </row>
    <row r="2804" spans="1:11" s="89" customFormat="1" ht="14.5" thickTop="1" x14ac:dyDescent="0.3">
      <c r="A2804" s="562"/>
      <c r="B2804" s="562"/>
      <c r="C2804" s="562"/>
      <c r="D2804" s="562"/>
      <c r="E2804" s="562"/>
      <c r="F2804" s="562"/>
      <c r="G2804" s="562"/>
      <c r="H2804" s="562"/>
      <c r="I2804" s="562"/>
      <c r="J2804" s="562"/>
      <c r="K2804" s="546"/>
    </row>
    <row r="2805" spans="1:11" x14ac:dyDescent="0.3">
      <c r="A2805" s="553"/>
      <c r="B2805" s="554" t="s">
        <v>4</v>
      </c>
      <c r="C2805" s="553" t="s">
        <v>5</v>
      </c>
      <c r="D2805" s="553" t="s">
        <v>6</v>
      </c>
      <c r="E2805" s="691" t="s">
        <v>427</v>
      </c>
      <c r="F2805" s="691"/>
      <c r="G2805" s="555" t="s">
        <v>7</v>
      </c>
      <c r="H2805" s="554" t="s">
        <v>8</v>
      </c>
      <c r="I2805" s="554" t="s">
        <v>9</v>
      </c>
      <c r="J2805" s="554" t="s">
        <v>11</v>
      </c>
      <c r="K2805" s="552"/>
    </row>
    <row r="2806" spans="1:11" s="89" customFormat="1" ht="25" x14ac:dyDescent="0.3">
      <c r="A2806" s="607" t="s">
        <v>428</v>
      </c>
      <c r="B2806" s="608" t="s">
        <v>1507</v>
      </c>
      <c r="C2806" s="607" t="s">
        <v>19</v>
      </c>
      <c r="D2806" s="607" t="s">
        <v>1508</v>
      </c>
      <c r="E2806" s="690" t="s">
        <v>429</v>
      </c>
      <c r="F2806" s="690"/>
      <c r="G2806" s="609" t="s">
        <v>21</v>
      </c>
      <c r="H2806" s="610">
        <v>1</v>
      </c>
      <c r="I2806" s="611">
        <v>70.97</v>
      </c>
      <c r="J2806" s="611">
        <v>70.97</v>
      </c>
      <c r="K2806" s="546"/>
    </row>
    <row r="2807" spans="1:11" s="89" customFormat="1" ht="14.5" thickBot="1" x14ac:dyDescent="0.35">
      <c r="A2807" s="547" t="s">
        <v>433</v>
      </c>
      <c r="B2807" s="548" t="s">
        <v>1509</v>
      </c>
      <c r="C2807" s="547" t="s">
        <v>19</v>
      </c>
      <c r="D2807" s="547" t="s">
        <v>1510</v>
      </c>
      <c r="E2807" s="688" t="s">
        <v>436</v>
      </c>
      <c r="F2807" s="688"/>
      <c r="G2807" s="549" t="s">
        <v>21</v>
      </c>
      <c r="H2807" s="550">
        <v>1.8259999999999998E-2</v>
      </c>
      <c r="I2807" s="551">
        <v>3886.77</v>
      </c>
      <c r="J2807" s="551">
        <v>70.97</v>
      </c>
      <c r="K2807" s="546"/>
    </row>
    <row r="2808" spans="1:11" s="89" customFormat="1" ht="14.5" thickTop="1" x14ac:dyDescent="0.3">
      <c r="A2808" s="562"/>
      <c r="B2808" s="562"/>
      <c r="C2808" s="562"/>
      <c r="D2808" s="562"/>
      <c r="E2808" s="562"/>
      <c r="F2808" s="562"/>
      <c r="G2808" s="562"/>
      <c r="H2808" s="562"/>
      <c r="I2808" s="562"/>
      <c r="J2808" s="562"/>
      <c r="K2808" s="546"/>
    </row>
    <row r="2809" spans="1:11" x14ac:dyDescent="0.3">
      <c r="A2809" s="553"/>
      <c r="B2809" s="554" t="s">
        <v>4</v>
      </c>
      <c r="C2809" s="553" t="s">
        <v>5</v>
      </c>
      <c r="D2809" s="553" t="s">
        <v>6</v>
      </c>
      <c r="E2809" s="691" t="s">
        <v>427</v>
      </c>
      <c r="F2809" s="691"/>
      <c r="G2809" s="555" t="s">
        <v>7</v>
      </c>
      <c r="H2809" s="554" t="s">
        <v>8</v>
      </c>
      <c r="I2809" s="554" t="s">
        <v>9</v>
      </c>
      <c r="J2809" s="554" t="s">
        <v>11</v>
      </c>
      <c r="K2809" s="552"/>
    </row>
    <row r="2810" spans="1:11" s="89" customFormat="1" ht="25" x14ac:dyDescent="0.3">
      <c r="A2810" s="607" t="s">
        <v>428</v>
      </c>
      <c r="B2810" s="608" t="s">
        <v>1511</v>
      </c>
      <c r="C2810" s="607" t="s">
        <v>19</v>
      </c>
      <c r="D2810" s="607" t="s">
        <v>1512</v>
      </c>
      <c r="E2810" s="690" t="s">
        <v>429</v>
      </c>
      <c r="F2810" s="690"/>
      <c r="G2810" s="609" t="s">
        <v>423</v>
      </c>
      <c r="H2810" s="610">
        <v>1</v>
      </c>
      <c r="I2810" s="611">
        <v>0.37</v>
      </c>
      <c r="J2810" s="611">
        <v>0.37</v>
      </c>
      <c r="K2810" s="546"/>
    </row>
    <row r="2811" spans="1:11" s="89" customFormat="1" ht="14.5" thickBot="1" x14ac:dyDescent="0.35">
      <c r="A2811" s="547" t="s">
        <v>433</v>
      </c>
      <c r="B2811" s="548" t="s">
        <v>1513</v>
      </c>
      <c r="C2811" s="547" t="s">
        <v>19</v>
      </c>
      <c r="D2811" s="547" t="s">
        <v>1514</v>
      </c>
      <c r="E2811" s="688" t="s">
        <v>436</v>
      </c>
      <c r="F2811" s="688"/>
      <c r="G2811" s="549" t="s">
        <v>423</v>
      </c>
      <c r="H2811" s="550">
        <v>1.6990000000000002E-2</v>
      </c>
      <c r="I2811" s="551">
        <v>21.83</v>
      </c>
      <c r="J2811" s="551">
        <v>0.37</v>
      </c>
      <c r="K2811" s="546"/>
    </row>
    <row r="2812" spans="1:11" s="89" customFormat="1" ht="14.5" thickTop="1" x14ac:dyDescent="0.3">
      <c r="A2812" s="562"/>
      <c r="B2812" s="562"/>
      <c r="C2812" s="562"/>
      <c r="D2812" s="562"/>
      <c r="E2812" s="562"/>
      <c r="F2812" s="562"/>
      <c r="G2812" s="562"/>
      <c r="H2812" s="562"/>
      <c r="I2812" s="562"/>
      <c r="J2812" s="562"/>
      <c r="K2812" s="546"/>
    </row>
    <row r="2813" spans="1:11" x14ac:dyDescent="0.3">
      <c r="A2813" s="553"/>
      <c r="B2813" s="554" t="s">
        <v>4</v>
      </c>
      <c r="C2813" s="553" t="s">
        <v>5</v>
      </c>
      <c r="D2813" s="553" t="s">
        <v>6</v>
      </c>
      <c r="E2813" s="691" t="s">
        <v>427</v>
      </c>
      <c r="F2813" s="691"/>
      <c r="G2813" s="555" t="s">
        <v>7</v>
      </c>
      <c r="H2813" s="554" t="s">
        <v>8</v>
      </c>
      <c r="I2813" s="554" t="s">
        <v>9</v>
      </c>
      <c r="J2813" s="554" t="s">
        <v>11</v>
      </c>
      <c r="K2813" s="552"/>
    </row>
    <row r="2814" spans="1:11" s="89" customFormat="1" ht="25" x14ac:dyDescent="0.3">
      <c r="A2814" s="607" t="s">
        <v>428</v>
      </c>
      <c r="B2814" s="608" t="s">
        <v>1515</v>
      </c>
      <c r="C2814" s="607" t="s">
        <v>19</v>
      </c>
      <c r="D2814" s="607" t="s">
        <v>1516</v>
      </c>
      <c r="E2814" s="690" t="s">
        <v>429</v>
      </c>
      <c r="F2814" s="690"/>
      <c r="G2814" s="609" t="s">
        <v>423</v>
      </c>
      <c r="H2814" s="610">
        <v>1</v>
      </c>
      <c r="I2814" s="611">
        <v>0.11</v>
      </c>
      <c r="J2814" s="611">
        <v>0.11</v>
      </c>
      <c r="K2814" s="546"/>
    </row>
    <row r="2815" spans="1:11" s="89" customFormat="1" ht="14.5" thickBot="1" x14ac:dyDescent="0.35">
      <c r="A2815" s="547" t="s">
        <v>433</v>
      </c>
      <c r="B2815" s="548" t="s">
        <v>1517</v>
      </c>
      <c r="C2815" s="547" t="s">
        <v>19</v>
      </c>
      <c r="D2815" s="547" t="s">
        <v>1518</v>
      </c>
      <c r="E2815" s="688" t="s">
        <v>436</v>
      </c>
      <c r="F2815" s="688"/>
      <c r="G2815" s="549" t="s">
        <v>423</v>
      </c>
      <c r="H2815" s="550">
        <v>5.8599999999999998E-3</v>
      </c>
      <c r="I2815" s="551">
        <v>19.77</v>
      </c>
      <c r="J2815" s="551">
        <v>0.11</v>
      </c>
      <c r="K2815" s="546"/>
    </row>
    <row r="2816" spans="1:11" s="89" customFormat="1" ht="14.5" thickTop="1" x14ac:dyDescent="0.3">
      <c r="A2816" s="562"/>
      <c r="B2816" s="562"/>
      <c r="C2816" s="562"/>
      <c r="D2816" s="562"/>
      <c r="E2816" s="562"/>
      <c r="F2816" s="562"/>
      <c r="G2816" s="562"/>
      <c r="H2816" s="562"/>
      <c r="I2816" s="562"/>
      <c r="J2816" s="562"/>
      <c r="K2816" s="546"/>
    </row>
    <row r="2817" spans="1:11" x14ac:dyDescent="0.3">
      <c r="A2817" s="553"/>
      <c r="B2817" s="554" t="s">
        <v>4</v>
      </c>
      <c r="C2817" s="553" t="s">
        <v>5</v>
      </c>
      <c r="D2817" s="553" t="s">
        <v>6</v>
      </c>
      <c r="E2817" s="691" t="s">
        <v>427</v>
      </c>
      <c r="F2817" s="691"/>
      <c r="G2817" s="555" t="s">
        <v>7</v>
      </c>
      <c r="H2817" s="554" t="s">
        <v>8</v>
      </c>
      <c r="I2817" s="554" t="s">
        <v>9</v>
      </c>
      <c r="J2817" s="554" t="s">
        <v>11</v>
      </c>
      <c r="K2817" s="552"/>
    </row>
    <row r="2818" spans="1:11" ht="25" x14ac:dyDescent="0.3">
      <c r="A2818" s="607" t="s">
        <v>428</v>
      </c>
      <c r="B2818" s="608" t="s">
        <v>1519</v>
      </c>
      <c r="C2818" s="607" t="s">
        <v>19</v>
      </c>
      <c r="D2818" s="607" t="s">
        <v>1520</v>
      </c>
      <c r="E2818" s="690" t="s">
        <v>429</v>
      </c>
      <c r="F2818" s="690"/>
      <c r="G2818" s="609" t="s">
        <v>423</v>
      </c>
      <c r="H2818" s="610">
        <v>1</v>
      </c>
      <c r="I2818" s="611">
        <v>0.28000000000000003</v>
      </c>
      <c r="J2818" s="611">
        <v>0.28000000000000003</v>
      </c>
      <c r="K2818" s="552"/>
    </row>
    <row r="2819" spans="1:11" s="89" customFormat="1" ht="14.5" thickBot="1" x14ac:dyDescent="0.35">
      <c r="A2819" s="547" t="s">
        <v>433</v>
      </c>
      <c r="B2819" s="548" t="s">
        <v>1521</v>
      </c>
      <c r="C2819" s="547" t="s">
        <v>19</v>
      </c>
      <c r="D2819" s="547" t="s">
        <v>1522</v>
      </c>
      <c r="E2819" s="688" t="s">
        <v>436</v>
      </c>
      <c r="F2819" s="688"/>
      <c r="G2819" s="549" t="s">
        <v>423</v>
      </c>
      <c r="H2819" s="550">
        <v>1.328E-2</v>
      </c>
      <c r="I2819" s="551">
        <v>21.83</v>
      </c>
      <c r="J2819" s="551">
        <v>0.28000000000000003</v>
      </c>
      <c r="K2819" s="546"/>
    </row>
    <row r="2820" spans="1:11" s="89" customFormat="1" ht="14.5" thickTop="1" x14ac:dyDescent="0.3">
      <c r="A2820" s="562"/>
      <c r="B2820" s="562"/>
      <c r="C2820" s="562"/>
      <c r="D2820" s="562"/>
      <c r="E2820" s="562"/>
      <c r="F2820" s="562"/>
      <c r="G2820" s="562"/>
      <c r="H2820" s="562"/>
      <c r="I2820" s="562"/>
      <c r="J2820" s="562"/>
      <c r="K2820" s="546"/>
    </row>
    <row r="2821" spans="1:11" x14ac:dyDescent="0.3">
      <c r="A2821" s="553"/>
      <c r="B2821" s="554" t="s">
        <v>4</v>
      </c>
      <c r="C2821" s="553" t="s">
        <v>5</v>
      </c>
      <c r="D2821" s="553" t="s">
        <v>6</v>
      </c>
      <c r="E2821" s="691" t="s">
        <v>427</v>
      </c>
      <c r="F2821" s="691"/>
      <c r="G2821" s="555" t="s">
        <v>7</v>
      </c>
      <c r="H2821" s="554" t="s">
        <v>8</v>
      </c>
      <c r="I2821" s="554" t="s">
        <v>9</v>
      </c>
      <c r="J2821" s="554" t="s">
        <v>11</v>
      </c>
      <c r="K2821" s="552"/>
    </row>
    <row r="2822" spans="1:11" s="89" customFormat="1" ht="25" x14ac:dyDescent="0.3">
      <c r="A2822" s="607" t="s">
        <v>428</v>
      </c>
      <c r="B2822" s="608" t="s">
        <v>1523</v>
      </c>
      <c r="C2822" s="607" t="s">
        <v>19</v>
      </c>
      <c r="D2822" s="607" t="s">
        <v>1524</v>
      </c>
      <c r="E2822" s="690" t="s">
        <v>429</v>
      </c>
      <c r="F2822" s="690"/>
      <c r="G2822" s="609" t="s">
        <v>423</v>
      </c>
      <c r="H2822" s="610">
        <v>1</v>
      </c>
      <c r="I2822" s="611">
        <v>0.35</v>
      </c>
      <c r="J2822" s="611">
        <v>0.35</v>
      </c>
      <c r="K2822" s="546"/>
    </row>
    <row r="2823" spans="1:11" s="89" customFormat="1" ht="14.5" thickBot="1" x14ac:dyDescent="0.35">
      <c r="A2823" s="547" t="s">
        <v>433</v>
      </c>
      <c r="B2823" s="548" t="s">
        <v>1525</v>
      </c>
      <c r="C2823" s="547" t="s">
        <v>19</v>
      </c>
      <c r="D2823" s="547" t="s">
        <v>3705</v>
      </c>
      <c r="E2823" s="688" t="s">
        <v>436</v>
      </c>
      <c r="F2823" s="688"/>
      <c r="G2823" s="549" t="s">
        <v>423</v>
      </c>
      <c r="H2823" s="550">
        <v>2.4420000000000001E-2</v>
      </c>
      <c r="I2823" s="551">
        <v>14.43</v>
      </c>
      <c r="J2823" s="551">
        <v>0.35</v>
      </c>
      <c r="K2823" s="546"/>
    </row>
    <row r="2824" spans="1:11" s="89" customFormat="1" ht="14.5" thickTop="1" x14ac:dyDescent="0.3">
      <c r="A2824" s="562"/>
      <c r="B2824" s="562"/>
      <c r="C2824" s="562"/>
      <c r="D2824" s="562"/>
      <c r="E2824" s="562"/>
      <c r="F2824" s="562"/>
      <c r="G2824" s="562"/>
      <c r="H2824" s="562"/>
      <c r="I2824" s="562"/>
      <c r="J2824" s="562"/>
      <c r="K2824" s="546"/>
    </row>
    <row r="2825" spans="1:11" x14ac:dyDescent="0.3">
      <c r="A2825" s="553"/>
      <c r="B2825" s="554" t="s">
        <v>4</v>
      </c>
      <c r="C2825" s="553" t="s">
        <v>5</v>
      </c>
      <c r="D2825" s="553" t="s">
        <v>6</v>
      </c>
      <c r="E2825" s="691" t="s">
        <v>427</v>
      </c>
      <c r="F2825" s="691"/>
      <c r="G2825" s="555" t="s">
        <v>7</v>
      </c>
      <c r="H2825" s="554" t="s">
        <v>8</v>
      </c>
      <c r="I2825" s="554" t="s">
        <v>9</v>
      </c>
      <c r="J2825" s="554" t="s">
        <v>11</v>
      </c>
      <c r="K2825" s="552"/>
    </row>
    <row r="2826" spans="1:11" s="89" customFormat="1" ht="25" x14ac:dyDescent="0.3">
      <c r="A2826" s="607" t="s">
        <v>428</v>
      </c>
      <c r="B2826" s="608" t="s">
        <v>1526</v>
      </c>
      <c r="C2826" s="607" t="s">
        <v>19</v>
      </c>
      <c r="D2826" s="607" t="s">
        <v>1527</v>
      </c>
      <c r="E2826" s="690" t="s">
        <v>429</v>
      </c>
      <c r="F2826" s="690"/>
      <c r="G2826" s="609" t="s">
        <v>21</v>
      </c>
      <c r="H2826" s="610">
        <v>1</v>
      </c>
      <c r="I2826" s="611">
        <v>46.92</v>
      </c>
      <c r="J2826" s="611">
        <v>46.92</v>
      </c>
      <c r="K2826" s="546"/>
    </row>
    <row r="2827" spans="1:11" s="89" customFormat="1" ht="14.5" thickBot="1" x14ac:dyDescent="0.35">
      <c r="A2827" s="547" t="s">
        <v>433</v>
      </c>
      <c r="B2827" s="548" t="s">
        <v>1528</v>
      </c>
      <c r="C2827" s="547" t="s">
        <v>19</v>
      </c>
      <c r="D2827" s="547" t="s">
        <v>1529</v>
      </c>
      <c r="E2827" s="688" t="s">
        <v>436</v>
      </c>
      <c r="F2827" s="688"/>
      <c r="G2827" s="549" t="s">
        <v>21</v>
      </c>
      <c r="H2827" s="550">
        <v>1.8259999999999998E-2</v>
      </c>
      <c r="I2827" s="551">
        <v>2569.98</v>
      </c>
      <c r="J2827" s="551">
        <v>46.92</v>
      </c>
      <c r="K2827" s="546"/>
    </row>
    <row r="2828" spans="1:11" s="89" customFormat="1" ht="14.5" thickTop="1" x14ac:dyDescent="0.3">
      <c r="A2828" s="562"/>
      <c r="B2828" s="562"/>
      <c r="C2828" s="562"/>
      <c r="D2828" s="562"/>
      <c r="E2828" s="562"/>
      <c r="F2828" s="562"/>
      <c r="G2828" s="562"/>
      <c r="H2828" s="562"/>
      <c r="I2828" s="562"/>
      <c r="J2828" s="562"/>
      <c r="K2828" s="546"/>
    </row>
    <row r="2829" spans="1:11" x14ac:dyDescent="0.3">
      <c r="A2829" s="553"/>
      <c r="B2829" s="554" t="s">
        <v>4</v>
      </c>
      <c r="C2829" s="553" t="s">
        <v>5</v>
      </c>
      <c r="D2829" s="553" t="s">
        <v>6</v>
      </c>
      <c r="E2829" s="691" t="s">
        <v>427</v>
      </c>
      <c r="F2829" s="691"/>
      <c r="G2829" s="555" t="s">
        <v>7</v>
      </c>
      <c r="H2829" s="554" t="s">
        <v>8</v>
      </c>
      <c r="I2829" s="554" t="s">
        <v>9</v>
      </c>
      <c r="J2829" s="554" t="s">
        <v>11</v>
      </c>
      <c r="K2829" s="552"/>
    </row>
    <row r="2830" spans="1:11" s="89" customFormat="1" ht="25" x14ac:dyDescent="0.3">
      <c r="A2830" s="607" t="s">
        <v>428</v>
      </c>
      <c r="B2830" s="608" t="s">
        <v>1530</v>
      </c>
      <c r="C2830" s="607" t="s">
        <v>19</v>
      </c>
      <c r="D2830" s="607" t="s">
        <v>1531</v>
      </c>
      <c r="E2830" s="690" t="s">
        <v>429</v>
      </c>
      <c r="F2830" s="690"/>
      <c r="G2830" s="609" t="s">
        <v>423</v>
      </c>
      <c r="H2830" s="610">
        <v>1</v>
      </c>
      <c r="I2830" s="611">
        <v>0.28000000000000003</v>
      </c>
      <c r="J2830" s="611">
        <v>0.28000000000000003</v>
      </c>
      <c r="K2830" s="546"/>
    </row>
    <row r="2831" spans="1:11" s="89" customFormat="1" ht="14.5" thickBot="1" x14ac:dyDescent="0.35">
      <c r="A2831" s="547" t="s">
        <v>433</v>
      </c>
      <c r="B2831" s="548" t="s">
        <v>1532</v>
      </c>
      <c r="C2831" s="547" t="s">
        <v>19</v>
      </c>
      <c r="D2831" s="547" t="s">
        <v>1533</v>
      </c>
      <c r="E2831" s="688" t="s">
        <v>436</v>
      </c>
      <c r="F2831" s="688"/>
      <c r="G2831" s="549" t="s">
        <v>423</v>
      </c>
      <c r="H2831" s="550">
        <v>1.328E-2</v>
      </c>
      <c r="I2831" s="551">
        <v>21.83</v>
      </c>
      <c r="J2831" s="551">
        <v>0.28000000000000003</v>
      </c>
      <c r="K2831" s="546"/>
    </row>
    <row r="2832" spans="1:11" s="89" customFormat="1" ht="14.5" thickTop="1" x14ac:dyDescent="0.3">
      <c r="A2832" s="562"/>
      <c r="B2832" s="562"/>
      <c r="C2832" s="562"/>
      <c r="D2832" s="562"/>
      <c r="E2832" s="562"/>
      <c r="F2832" s="562"/>
      <c r="G2832" s="562"/>
      <c r="H2832" s="562"/>
      <c r="I2832" s="562"/>
      <c r="J2832" s="562"/>
      <c r="K2832" s="546"/>
    </row>
    <row r="2833" spans="1:11" x14ac:dyDescent="0.3">
      <c r="A2833" s="553"/>
      <c r="B2833" s="554" t="s">
        <v>4</v>
      </c>
      <c r="C2833" s="553" t="s">
        <v>5</v>
      </c>
      <c r="D2833" s="553" t="s">
        <v>6</v>
      </c>
      <c r="E2833" s="691" t="s">
        <v>427</v>
      </c>
      <c r="F2833" s="691"/>
      <c r="G2833" s="555" t="s">
        <v>7</v>
      </c>
      <c r="H2833" s="554" t="s">
        <v>8</v>
      </c>
      <c r="I2833" s="554" t="s">
        <v>9</v>
      </c>
      <c r="J2833" s="554" t="s">
        <v>11</v>
      </c>
      <c r="K2833" s="552"/>
    </row>
    <row r="2834" spans="1:11" ht="25" x14ac:dyDescent="0.3">
      <c r="A2834" s="607" t="s">
        <v>428</v>
      </c>
      <c r="B2834" s="608" t="s">
        <v>449</v>
      </c>
      <c r="C2834" s="607" t="s">
        <v>19</v>
      </c>
      <c r="D2834" s="607" t="s">
        <v>450</v>
      </c>
      <c r="E2834" s="690" t="s">
        <v>429</v>
      </c>
      <c r="F2834" s="690"/>
      <c r="G2834" s="609" t="s">
        <v>21</v>
      </c>
      <c r="H2834" s="610">
        <v>1</v>
      </c>
      <c r="I2834" s="611">
        <v>47.57</v>
      </c>
      <c r="J2834" s="611">
        <v>47.57</v>
      </c>
      <c r="K2834" s="552"/>
    </row>
    <row r="2835" spans="1:11" s="89" customFormat="1" ht="14.5" thickBot="1" x14ac:dyDescent="0.35">
      <c r="A2835" s="547" t="s">
        <v>433</v>
      </c>
      <c r="B2835" s="548" t="s">
        <v>451</v>
      </c>
      <c r="C2835" s="547" t="s">
        <v>19</v>
      </c>
      <c r="D2835" s="547" t="s">
        <v>452</v>
      </c>
      <c r="E2835" s="688" t="s">
        <v>436</v>
      </c>
      <c r="F2835" s="688"/>
      <c r="G2835" s="549" t="s">
        <v>21</v>
      </c>
      <c r="H2835" s="550">
        <v>1.549E-2</v>
      </c>
      <c r="I2835" s="551">
        <v>3071.04</v>
      </c>
      <c r="J2835" s="551">
        <v>47.57</v>
      </c>
      <c r="K2835" s="546"/>
    </row>
    <row r="2836" spans="1:11" ht="14.5" thickTop="1" x14ac:dyDescent="0.3">
      <c r="A2836" s="562"/>
      <c r="B2836" s="562"/>
      <c r="C2836" s="562"/>
      <c r="D2836" s="562"/>
      <c r="E2836" s="562"/>
      <c r="F2836" s="562"/>
      <c r="G2836" s="562"/>
      <c r="H2836" s="562"/>
      <c r="I2836" s="562"/>
      <c r="J2836" s="562"/>
      <c r="K2836" s="552"/>
    </row>
    <row r="2837" spans="1:11" s="89" customFormat="1" x14ac:dyDescent="0.3">
      <c r="A2837" s="553"/>
      <c r="B2837" s="554" t="s">
        <v>4</v>
      </c>
      <c r="C2837" s="553" t="s">
        <v>5</v>
      </c>
      <c r="D2837" s="553" t="s">
        <v>6</v>
      </c>
      <c r="E2837" s="691" t="s">
        <v>427</v>
      </c>
      <c r="F2837" s="691"/>
      <c r="G2837" s="555" t="s">
        <v>7</v>
      </c>
      <c r="H2837" s="554" t="s">
        <v>8</v>
      </c>
      <c r="I2837" s="554" t="s">
        <v>9</v>
      </c>
      <c r="J2837" s="554" t="s">
        <v>11</v>
      </c>
      <c r="K2837" s="546"/>
    </row>
    <row r="2838" spans="1:11" ht="25" x14ac:dyDescent="0.3">
      <c r="A2838" s="607" t="s">
        <v>428</v>
      </c>
      <c r="B2838" s="608" t="s">
        <v>1534</v>
      </c>
      <c r="C2838" s="607" t="s">
        <v>19</v>
      </c>
      <c r="D2838" s="607" t="s">
        <v>1535</v>
      </c>
      <c r="E2838" s="690" t="s">
        <v>429</v>
      </c>
      <c r="F2838" s="690"/>
      <c r="G2838" s="609" t="s">
        <v>423</v>
      </c>
      <c r="H2838" s="610">
        <v>1</v>
      </c>
      <c r="I2838" s="611">
        <v>0.28000000000000003</v>
      </c>
      <c r="J2838" s="611">
        <v>0.28000000000000003</v>
      </c>
      <c r="K2838" s="552"/>
    </row>
    <row r="2839" spans="1:11" s="89" customFormat="1" ht="14.5" thickBot="1" x14ac:dyDescent="0.35">
      <c r="A2839" s="547" t="s">
        <v>433</v>
      </c>
      <c r="B2839" s="548" t="s">
        <v>1536</v>
      </c>
      <c r="C2839" s="547" t="s">
        <v>19</v>
      </c>
      <c r="D2839" s="547" t="s">
        <v>1537</v>
      </c>
      <c r="E2839" s="688" t="s">
        <v>436</v>
      </c>
      <c r="F2839" s="688"/>
      <c r="G2839" s="549" t="s">
        <v>423</v>
      </c>
      <c r="H2839" s="550">
        <v>1.328E-2</v>
      </c>
      <c r="I2839" s="551">
        <v>21.56</v>
      </c>
      <c r="J2839" s="551">
        <v>0.28000000000000003</v>
      </c>
      <c r="K2839" s="546"/>
    </row>
    <row r="2840" spans="1:11" ht="14.5" thickTop="1" x14ac:dyDescent="0.3">
      <c r="A2840" s="562"/>
      <c r="B2840" s="562"/>
      <c r="C2840" s="562"/>
      <c r="D2840" s="562"/>
      <c r="E2840" s="562"/>
      <c r="F2840" s="562"/>
      <c r="G2840" s="562"/>
      <c r="H2840" s="562"/>
      <c r="I2840" s="562"/>
      <c r="J2840" s="562"/>
      <c r="K2840" s="552"/>
    </row>
    <row r="2841" spans="1:11" s="89" customFormat="1" x14ac:dyDescent="0.3">
      <c r="A2841" s="553"/>
      <c r="B2841" s="554" t="s">
        <v>4</v>
      </c>
      <c r="C2841" s="553" t="s">
        <v>5</v>
      </c>
      <c r="D2841" s="553" t="s">
        <v>6</v>
      </c>
      <c r="E2841" s="691" t="s">
        <v>427</v>
      </c>
      <c r="F2841" s="691"/>
      <c r="G2841" s="555" t="s">
        <v>7</v>
      </c>
      <c r="H2841" s="554" t="s">
        <v>8</v>
      </c>
      <c r="I2841" s="554" t="s">
        <v>9</v>
      </c>
      <c r="J2841" s="554" t="s">
        <v>11</v>
      </c>
      <c r="K2841" s="546"/>
    </row>
    <row r="2842" spans="1:11" ht="25" x14ac:dyDescent="0.3">
      <c r="A2842" s="607" t="s">
        <v>428</v>
      </c>
      <c r="B2842" s="608" t="s">
        <v>514</v>
      </c>
      <c r="C2842" s="607" t="s">
        <v>19</v>
      </c>
      <c r="D2842" s="607" t="s">
        <v>515</v>
      </c>
      <c r="E2842" s="690" t="s">
        <v>429</v>
      </c>
      <c r="F2842" s="690"/>
      <c r="G2842" s="609" t="s">
        <v>21</v>
      </c>
      <c r="H2842" s="610">
        <v>1</v>
      </c>
      <c r="I2842" s="611">
        <v>27.82</v>
      </c>
      <c r="J2842" s="611">
        <v>27.82</v>
      </c>
      <c r="K2842" s="552"/>
    </row>
    <row r="2843" spans="1:11" s="89" customFormat="1" ht="14.5" thickBot="1" x14ac:dyDescent="0.35">
      <c r="A2843" s="547" t="s">
        <v>433</v>
      </c>
      <c r="B2843" s="548" t="s">
        <v>516</v>
      </c>
      <c r="C2843" s="547" t="s">
        <v>19</v>
      </c>
      <c r="D2843" s="547" t="s">
        <v>517</v>
      </c>
      <c r="E2843" s="688" t="s">
        <v>436</v>
      </c>
      <c r="F2843" s="688"/>
      <c r="G2843" s="549" t="s">
        <v>21</v>
      </c>
      <c r="H2843" s="550">
        <v>7.1599999999999997E-3</v>
      </c>
      <c r="I2843" s="551">
        <v>3886.77</v>
      </c>
      <c r="J2843" s="551">
        <v>27.82</v>
      </c>
      <c r="K2843" s="546"/>
    </row>
    <row r="2844" spans="1:11" ht="14.5" thickTop="1" x14ac:dyDescent="0.3">
      <c r="A2844" s="562"/>
      <c r="B2844" s="562"/>
      <c r="C2844" s="562"/>
      <c r="D2844" s="562"/>
      <c r="E2844" s="562"/>
      <c r="F2844" s="562"/>
      <c r="G2844" s="562"/>
      <c r="H2844" s="562"/>
      <c r="I2844" s="562"/>
      <c r="J2844" s="562"/>
      <c r="K2844" s="552"/>
    </row>
    <row r="2845" spans="1:11" s="89" customFormat="1" x14ac:dyDescent="0.3">
      <c r="A2845" s="553"/>
      <c r="B2845" s="554" t="s">
        <v>4</v>
      </c>
      <c r="C2845" s="553" t="s">
        <v>5</v>
      </c>
      <c r="D2845" s="553" t="s">
        <v>6</v>
      </c>
      <c r="E2845" s="691" t="s">
        <v>427</v>
      </c>
      <c r="F2845" s="691"/>
      <c r="G2845" s="555" t="s">
        <v>7</v>
      </c>
      <c r="H2845" s="554" t="s">
        <v>8</v>
      </c>
      <c r="I2845" s="554" t="s">
        <v>9</v>
      </c>
      <c r="J2845" s="554" t="s">
        <v>11</v>
      </c>
      <c r="K2845" s="546"/>
    </row>
    <row r="2846" spans="1:11" ht="25" x14ac:dyDescent="0.3">
      <c r="A2846" s="607" t="s">
        <v>428</v>
      </c>
      <c r="B2846" s="608" t="s">
        <v>1538</v>
      </c>
      <c r="C2846" s="607" t="s">
        <v>19</v>
      </c>
      <c r="D2846" s="607" t="s">
        <v>1539</v>
      </c>
      <c r="E2846" s="690" t="s">
        <v>429</v>
      </c>
      <c r="F2846" s="690"/>
      <c r="G2846" s="609" t="s">
        <v>423</v>
      </c>
      <c r="H2846" s="610">
        <v>1</v>
      </c>
      <c r="I2846" s="611">
        <v>0.23</v>
      </c>
      <c r="J2846" s="611">
        <v>0.23</v>
      </c>
      <c r="K2846" s="552"/>
    </row>
    <row r="2847" spans="1:11" s="89" customFormat="1" ht="25.5" thickBot="1" x14ac:dyDescent="0.35">
      <c r="A2847" s="547" t="s">
        <v>433</v>
      </c>
      <c r="B2847" s="548" t="s">
        <v>1490</v>
      </c>
      <c r="C2847" s="547" t="s">
        <v>19</v>
      </c>
      <c r="D2847" s="547" t="s">
        <v>3700</v>
      </c>
      <c r="E2847" s="688" t="s">
        <v>436</v>
      </c>
      <c r="F2847" s="688"/>
      <c r="G2847" s="549" t="s">
        <v>423</v>
      </c>
      <c r="H2847" s="550">
        <v>1.328E-2</v>
      </c>
      <c r="I2847" s="551">
        <v>18</v>
      </c>
      <c r="J2847" s="551">
        <v>0.23</v>
      </c>
      <c r="K2847" s="546"/>
    </row>
    <row r="2848" spans="1:11" ht="14.5" thickTop="1" x14ac:dyDescent="0.3">
      <c r="A2848" s="562"/>
      <c r="B2848" s="562"/>
      <c r="C2848" s="562"/>
      <c r="D2848" s="562"/>
      <c r="E2848" s="562"/>
      <c r="F2848" s="562"/>
      <c r="G2848" s="562"/>
      <c r="H2848" s="562"/>
      <c r="I2848" s="562"/>
      <c r="J2848" s="562"/>
      <c r="K2848" s="552"/>
    </row>
    <row r="2849" spans="1:11" s="89" customFormat="1" x14ac:dyDescent="0.3">
      <c r="A2849" s="553"/>
      <c r="B2849" s="554" t="s">
        <v>4</v>
      </c>
      <c r="C2849" s="553" t="s">
        <v>5</v>
      </c>
      <c r="D2849" s="553" t="s">
        <v>6</v>
      </c>
      <c r="E2849" s="691" t="s">
        <v>427</v>
      </c>
      <c r="F2849" s="691"/>
      <c r="G2849" s="555" t="s">
        <v>7</v>
      </c>
      <c r="H2849" s="554" t="s">
        <v>8</v>
      </c>
      <c r="I2849" s="554" t="s">
        <v>9</v>
      </c>
      <c r="J2849" s="554" t="s">
        <v>11</v>
      </c>
      <c r="K2849" s="546"/>
    </row>
    <row r="2850" spans="1:11" ht="25" x14ac:dyDescent="0.3">
      <c r="A2850" s="607" t="s">
        <v>428</v>
      </c>
      <c r="B2850" s="608" t="s">
        <v>3897</v>
      </c>
      <c r="C2850" s="607" t="s">
        <v>19</v>
      </c>
      <c r="D2850" s="607" t="s">
        <v>3898</v>
      </c>
      <c r="E2850" s="690" t="s">
        <v>429</v>
      </c>
      <c r="F2850" s="690"/>
      <c r="G2850" s="609" t="s">
        <v>423</v>
      </c>
      <c r="H2850" s="610">
        <v>1</v>
      </c>
      <c r="I2850" s="611">
        <v>0.48</v>
      </c>
      <c r="J2850" s="611">
        <v>0.48</v>
      </c>
      <c r="K2850" s="552"/>
    </row>
    <row r="2851" spans="1:11" s="89" customFormat="1" ht="25.5" thickBot="1" x14ac:dyDescent="0.35">
      <c r="A2851" s="547" t="s">
        <v>433</v>
      </c>
      <c r="B2851" s="548" t="s">
        <v>3899</v>
      </c>
      <c r="C2851" s="547" t="s">
        <v>19</v>
      </c>
      <c r="D2851" s="547" t="s">
        <v>3900</v>
      </c>
      <c r="E2851" s="688" t="s">
        <v>436</v>
      </c>
      <c r="F2851" s="688"/>
      <c r="G2851" s="549" t="s">
        <v>423</v>
      </c>
      <c r="H2851" s="550">
        <v>9.5700000000000004E-3</v>
      </c>
      <c r="I2851" s="551">
        <v>50.93</v>
      </c>
      <c r="J2851" s="551">
        <v>0.48</v>
      </c>
      <c r="K2851" s="546"/>
    </row>
    <row r="2852" spans="1:11" ht="14.5" thickTop="1" x14ac:dyDescent="0.3">
      <c r="A2852" s="562"/>
      <c r="B2852" s="562"/>
      <c r="C2852" s="562"/>
      <c r="D2852" s="562"/>
      <c r="E2852" s="562"/>
      <c r="F2852" s="562"/>
      <c r="G2852" s="562"/>
      <c r="H2852" s="562"/>
      <c r="I2852" s="562"/>
      <c r="J2852" s="562"/>
      <c r="K2852" s="552"/>
    </row>
    <row r="2853" spans="1:11" x14ac:dyDescent="0.3">
      <c r="A2853" s="553"/>
      <c r="B2853" s="554" t="s">
        <v>4</v>
      </c>
      <c r="C2853" s="553" t="s">
        <v>5</v>
      </c>
      <c r="D2853" s="553" t="s">
        <v>6</v>
      </c>
      <c r="E2853" s="691" t="s">
        <v>427</v>
      </c>
      <c r="F2853" s="691"/>
      <c r="G2853" s="555" t="s">
        <v>7</v>
      </c>
      <c r="H2853" s="554" t="s">
        <v>8</v>
      </c>
      <c r="I2853" s="554" t="s">
        <v>9</v>
      </c>
      <c r="J2853" s="554" t="s">
        <v>11</v>
      </c>
      <c r="K2853" s="552"/>
    </row>
    <row r="2854" spans="1:11" s="89" customFormat="1" ht="25" x14ac:dyDescent="0.3">
      <c r="A2854" s="607" t="s">
        <v>428</v>
      </c>
      <c r="B2854" s="608" t="s">
        <v>486</v>
      </c>
      <c r="C2854" s="607" t="s">
        <v>19</v>
      </c>
      <c r="D2854" s="607" t="s">
        <v>487</v>
      </c>
      <c r="E2854" s="690" t="s">
        <v>429</v>
      </c>
      <c r="F2854" s="690"/>
      <c r="G2854" s="609" t="s">
        <v>21</v>
      </c>
      <c r="H2854" s="610">
        <v>1</v>
      </c>
      <c r="I2854" s="611">
        <v>12</v>
      </c>
      <c r="J2854" s="611">
        <v>12</v>
      </c>
      <c r="K2854" s="546"/>
    </row>
    <row r="2855" spans="1:11" s="89" customFormat="1" ht="14.5" thickBot="1" x14ac:dyDescent="0.35">
      <c r="A2855" s="547" t="s">
        <v>433</v>
      </c>
      <c r="B2855" s="548" t="s">
        <v>490</v>
      </c>
      <c r="C2855" s="547" t="s">
        <v>19</v>
      </c>
      <c r="D2855" s="547" t="s">
        <v>491</v>
      </c>
      <c r="E2855" s="688" t="s">
        <v>436</v>
      </c>
      <c r="F2855" s="688"/>
      <c r="G2855" s="549" t="s">
        <v>21</v>
      </c>
      <c r="H2855" s="550">
        <v>4.3800000000000002E-3</v>
      </c>
      <c r="I2855" s="551">
        <v>2741.53</v>
      </c>
      <c r="J2855" s="551">
        <v>12</v>
      </c>
      <c r="K2855" s="546"/>
    </row>
    <row r="2856" spans="1:11" s="89" customFormat="1" ht="14.5" thickTop="1" x14ac:dyDescent="0.3">
      <c r="A2856" s="562"/>
      <c r="B2856" s="562"/>
      <c r="C2856" s="562"/>
      <c r="D2856" s="562"/>
      <c r="E2856" s="562"/>
      <c r="F2856" s="562"/>
      <c r="G2856" s="562"/>
      <c r="H2856" s="562"/>
      <c r="I2856" s="562"/>
      <c r="J2856" s="562"/>
      <c r="K2856" s="546"/>
    </row>
    <row r="2857" spans="1:11" s="89" customFormat="1" x14ac:dyDescent="0.3">
      <c r="A2857" s="553"/>
      <c r="B2857" s="554" t="s">
        <v>4</v>
      </c>
      <c r="C2857" s="553" t="s">
        <v>5</v>
      </c>
      <c r="D2857" s="553" t="s">
        <v>6</v>
      </c>
      <c r="E2857" s="691" t="s">
        <v>427</v>
      </c>
      <c r="F2857" s="691"/>
      <c r="G2857" s="555" t="s">
        <v>7</v>
      </c>
      <c r="H2857" s="554" t="s">
        <v>8</v>
      </c>
      <c r="I2857" s="554" t="s">
        <v>9</v>
      </c>
      <c r="J2857" s="554" t="s">
        <v>11</v>
      </c>
      <c r="K2857" s="546"/>
    </row>
    <row r="2858" spans="1:11" ht="25" x14ac:dyDescent="0.3">
      <c r="A2858" s="607" t="s">
        <v>428</v>
      </c>
      <c r="B2858" s="608" t="s">
        <v>1171</v>
      </c>
      <c r="C2858" s="607" t="s">
        <v>115</v>
      </c>
      <c r="D2858" s="607" t="s">
        <v>3901</v>
      </c>
      <c r="E2858" s="690" t="s">
        <v>402</v>
      </c>
      <c r="F2858" s="690"/>
      <c r="G2858" s="609" t="s">
        <v>584</v>
      </c>
      <c r="H2858" s="610">
        <v>1</v>
      </c>
      <c r="I2858" s="611">
        <v>1.78</v>
      </c>
      <c r="J2858" s="611">
        <v>1.78</v>
      </c>
      <c r="K2858" s="552"/>
    </row>
    <row r="2859" spans="1:11" s="89" customFormat="1" ht="15" customHeight="1" x14ac:dyDescent="0.3">
      <c r="A2859" s="691" t="s">
        <v>408</v>
      </c>
      <c r="B2859" s="692" t="s">
        <v>4</v>
      </c>
      <c r="C2859" s="691" t="s">
        <v>5</v>
      </c>
      <c r="D2859" s="691" t="s">
        <v>462</v>
      </c>
      <c r="E2859" s="692" t="s">
        <v>463</v>
      </c>
      <c r="F2859" s="694" t="s">
        <v>464</v>
      </c>
      <c r="G2859" s="692"/>
      <c r="H2859" s="694" t="s">
        <v>465</v>
      </c>
      <c r="I2859" s="692"/>
      <c r="J2859" s="692" t="s">
        <v>466</v>
      </c>
      <c r="K2859" s="546"/>
    </row>
    <row r="2860" spans="1:11" x14ac:dyDescent="0.3">
      <c r="A2860" s="692"/>
      <c r="B2860" s="692"/>
      <c r="C2860" s="692"/>
      <c r="D2860" s="692"/>
      <c r="E2860" s="692"/>
      <c r="F2860" s="554" t="s">
        <v>467</v>
      </c>
      <c r="G2860" s="554" t="s">
        <v>468</v>
      </c>
      <c r="H2860" s="554" t="s">
        <v>467</v>
      </c>
      <c r="I2860" s="554" t="s">
        <v>468</v>
      </c>
      <c r="J2860" s="692"/>
      <c r="K2860" s="552"/>
    </row>
    <row r="2861" spans="1:11" s="89" customFormat="1" x14ac:dyDescent="0.3">
      <c r="A2861" s="547" t="s">
        <v>433</v>
      </c>
      <c r="B2861" s="548" t="s">
        <v>1172</v>
      </c>
      <c r="C2861" s="547" t="s">
        <v>115</v>
      </c>
      <c r="D2861" s="547" t="s">
        <v>1173</v>
      </c>
      <c r="E2861" s="550">
        <v>3</v>
      </c>
      <c r="F2861" s="551">
        <v>0.86</v>
      </c>
      <c r="G2861" s="551">
        <v>0.14000000000000001</v>
      </c>
      <c r="H2861" s="563">
        <v>301.85669999999999</v>
      </c>
      <c r="I2861" s="563">
        <v>87.055000000000007</v>
      </c>
      <c r="J2861" s="563">
        <v>815.35339999999997</v>
      </c>
      <c r="K2861" s="546"/>
    </row>
    <row r="2862" spans="1:11" ht="14.25" customHeight="1" x14ac:dyDescent="0.3">
      <c r="A2862" s="689"/>
      <c r="B2862" s="689"/>
      <c r="C2862" s="689"/>
      <c r="D2862" s="689"/>
      <c r="E2862" s="689"/>
      <c r="F2862" s="689" t="s">
        <v>471</v>
      </c>
      <c r="G2862" s="689"/>
      <c r="H2862" s="689"/>
      <c r="I2862" s="689"/>
      <c r="J2862" s="564">
        <v>815.35339999999997</v>
      </c>
      <c r="K2862" s="552"/>
    </row>
    <row r="2863" spans="1:11" s="89" customFormat="1" ht="15" customHeight="1" x14ac:dyDescent="0.3">
      <c r="A2863" s="689"/>
      <c r="B2863" s="689"/>
      <c r="C2863" s="689"/>
      <c r="D2863" s="689"/>
      <c r="E2863" s="689"/>
      <c r="F2863" s="689" t="s">
        <v>472</v>
      </c>
      <c r="G2863" s="689"/>
      <c r="H2863" s="689"/>
      <c r="I2863" s="689"/>
      <c r="J2863" s="564">
        <v>815.35339999999997</v>
      </c>
      <c r="K2863" s="546"/>
    </row>
    <row r="2864" spans="1:11" s="89" customFormat="1" ht="15" customHeight="1" x14ac:dyDescent="0.3">
      <c r="A2864" s="689"/>
      <c r="B2864" s="689"/>
      <c r="C2864" s="689"/>
      <c r="D2864" s="689"/>
      <c r="E2864" s="689"/>
      <c r="F2864" s="689" t="s">
        <v>473</v>
      </c>
      <c r="G2864" s="689"/>
      <c r="H2864" s="689"/>
      <c r="I2864" s="689"/>
      <c r="J2864" s="564">
        <v>0</v>
      </c>
      <c r="K2864" s="546"/>
    </row>
    <row r="2865" spans="1:11" s="89" customFormat="1" x14ac:dyDescent="0.3">
      <c r="A2865" s="689"/>
      <c r="B2865" s="689"/>
      <c r="C2865" s="689"/>
      <c r="D2865" s="689"/>
      <c r="E2865" s="689"/>
      <c r="F2865" s="689" t="s">
        <v>474</v>
      </c>
      <c r="G2865" s="689"/>
      <c r="H2865" s="689"/>
      <c r="I2865" s="689"/>
      <c r="J2865" s="564">
        <v>0</v>
      </c>
      <c r="K2865" s="546"/>
    </row>
    <row r="2866" spans="1:11" ht="14.25" customHeight="1" x14ac:dyDescent="0.3">
      <c r="A2866" s="689"/>
      <c r="B2866" s="689"/>
      <c r="C2866" s="689"/>
      <c r="D2866" s="689"/>
      <c r="E2866" s="689"/>
      <c r="F2866" s="689" t="s">
        <v>475</v>
      </c>
      <c r="G2866" s="689"/>
      <c r="H2866" s="689"/>
      <c r="I2866" s="689"/>
      <c r="J2866" s="564">
        <v>457.16</v>
      </c>
      <c r="K2866" s="552"/>
    </row>
    <row r="2867" spans="1:11" s="89" customFormat="1" ht="15.75" customHeight="1" thickBot="1" x14ac:dyDescent="0.35">
      <c r="A2867" s="689"/>
      <c r="B2867" s="689"/>
      <c r="C2867" s="689"/>
      <c r="D2867" s="689"/>
      <c r="E2867" s="689"/>
      <c r="F2867" s="689" t="s">
        <v>476</v>
      </c>
      <c r="G2867" s="689"/>
      <c r="H2867" s="689"/>
      <c r="I2867" s="689"/>
      <c r="J2867" s="564">
        <v>1.7835000000000001</v>
      </c>
      <c r="K2867" s="546"/>
    </row>
    <row r="2868" spans="1:11" ht="14.5" thickTop="1" x14ac:dyDescent="0.3">
      <c r="A2868" s="562"/>
      <c r="B2868" s="562"/>
      <c r="C2868" s="562"/>
      <c r="D2868" s="562"/>
      <c r="E2868" s="562"/>
      <c r="F2868" s="562"/>
      <c r="G2868" s="562"/>
      <c r="H2868" s="562"/>
      <c r="I2868" s="562"/>
      <c r="J2868" s="562"/>
      <c r="K2868" s="552"/>
    </row>
    <row r="2869" spans="1:11" x14ac:dyDescent="0.3">
      <c r="A2869" s="553"/>
      <c r="B2869" s="554" t="s">
        <v>4</v>
      </c>
      <c r="C2869" s="553" t="s">
        <v>5</v>
      </c>
      <c r="D2869" s="553" t="s">
        <v>6</v>
      </c>
      <c r="E2869" s="691" t="s">
        <v>427</v>
      </c>
      <c r="F2869" s="691"/>
      <c r="G2869" s="555" t="s">
        <v>7</v>
      </c>
      <c r="H2869" s="554" t="s">
        <v>8</v>
      </c>
      <c r="I2869" s="554" t="s">
        <v>9</v>
      </c>
      <c r="J2869" s="554" t="s">
        <v>11</v>
      </c>
      <c r="K2869" s="552"/>
    </row>
    <row r="2870" spans="1:11" s="89" customFormat="1" ht="25" x14ac:dyDescent="0.3">
      <c r="A2870" s="607" t="s">
        <v>428</v>
      </c>
      <c r="B2870" s="608" t="s">
        <v>1540</v>
      </c>
      <c r="C2870" s="607" t="s">
        <v>115</v>
      </c>
      <c r="D2870" s="607" t="s">
        <v>983</v>
      </c>
      <c r="E2870" s="690" t="s">
        <v>402</v>
      </c>
      <c r="F2870" s="690"/>
      <c r="G2870" s="609" t="s">
        <v>584</v>
      </c>
      <c r="H2870" s="610">
        <v>1</v>
      </c>
      <c r="I2870" s="611">
        <v>3.43</v>
      </c>
      <c r="J2870" s="611">
        <v>3.43</v>
      </c>
      <c r="K2870" s="546"/>
    </row>
    <row r="2871" spans="1:11" s="89" customFormat="1" ht="15" customHeight="1" x14ac:dyDescent="0.3">
      <c r="A2871" s="691" t="s">
        <v>408</v>
      </c>
      <c r="B2871" s="692" t="s">
        <v>4</v>
      </c>
      <c r="C2871" s="691" t="s">
        <v>5</v>
      </c>
      <c r="D2871" s="691" t="s">
        <v>462</v>
      </c>
      <c r="E2871" s="692" t="s">
        <v>463</v>
      </c>
      <c r="F2871" s="694" t="s">
        <v>464</v>
      </c>
      <c r="G2871" s="692"/>
      <c r="H2871" s="694" t="s">
        <v>465</v>
      </c>
      <c r="I2871" s="692"/>
      <c r="J2871" s="692" t="s">
        <v>466</v>
      </c>
      <c r="K2871" s="546"/>
    </row>
    <row r="2872" spans="1:11" s="89" customFormat="1" x14ac:dyDescent="0.3">
      <c r="A2872" s="692"/>
      <c r="B2872" s="692"/>
      <c r="C2872" s="692"/>
      <c r="D2872" s="692"/>
      <c r="E2872" s="692"/>
      <c r="F2872" s="554" t="s">
        <v>467</v>
      </c>
      <c r="G2872" s="554" t="s">
        <v>468</v>
      </c>
      <c r="H2872" s="554" t="s">
        <v>467</v>
      </c>
      <c r="I2872" s="554" t="s">
        <v>468</v>
      </c>
      <c r="J2872" s="692"/>
      <c r="K2872" s="546"/>
    </row>
    <row r="2873" spans="1:11" s="89" customFormat="1" x14ac:dyDescent="0.3">
      <c r="A2873" s="547" t="s">
        <v>433</v>
      </c>
      <c r="B2873" s="548" t="s">
        <v>1172</v>
      </c>
      <c r="C2873" s="547" t="s">
        <v>115</v>
      </c>
      <c r="D2873" s="547" t="s">
        <v>1173</v>
      </c>
      <c r="E2873" s="550">
        <v>3</v>
      </c>
      <c r="F2873" s="551">
        <v>0.92</v>
      </c>
      <c r="G2873" s="551">
        <v>0.08</v>
      </c>
      <c r="H2873" s="563">
        <v>301.85669999999999</v>
      </c>
      <c r="I2873" s="563">
        <v>87.055000000000007</v>
      </c>
      <c r="J2873" s="563">
        <v>854.01769999999999</v>
      </c>
      <c r="K2873" s="546"/>
    </row>
    <row r="2874" spans="1:11" ht="14.25" customHeight="1" x14ac:dyDescent="0.3">
      <c r="A2874" s="689"/>
      <c r="B2874" s="689"/>
      <c r="C2874" s="689"/>
      <c r="D2874" s="689"/>
      <c r="E2874" s="689"/>
      <c r="F2874" s="689" t="s">
        <v>471</v>
      </c>
      <c r="G2874" s="689"/>
      <c r="H2874" s="689"/>
      <c r="I2874" s="689"/>
      <c r="J2874" s="564">
        <v>854.01769999999999</v>
      </c>
      <c r="K2874" s="552"/>
    </row>
    <row r="2875" spans="1:11" s="89" customFormat="1" ht="15" customHeight="1" x14ac:dyDescent="0.3">
      <c r="A2875" s="689"/>
      <c r="B2875" s="689"/>
      <c r="C2875" s="689"/>
      <c r="D2875" s="689"/>
      <c r="E2875" s="689"/>
      <c r="F2875" s="689" t="s">
        <v>472</v>
      </c>
      <c r="G2875" s="689"/>
      <c r="H2875" s="689"/>
      <c r="I2875" s="689"/>
      <c r="J2875" s="564">
        <v>854.01769999999999</v>
      </c>
      <c r="K2875" s="546"/>
    </row>
    <row r="2876" spans="1:11" ht="14.25" customHeight="1" x14ac:dyDescent="0.3">
      <c r="A2876" s="689"/>
      <c r="B2876" s="689"/>
      <c r="C2876" s="689"/>
      <c r="D2876" s="689"/>
      <c r="E2876" s="689"/>
      <c r="F2876" s="689" t="s">
        <v>473</v>
      </c>
      <c r="G2876" s="689"/>
      <c r="H2876" s="689"/>
      <c r="I2876" s="689"/>
      <c r="J2876" s="564">
        <v>0</v>
      </c>
      <c r="K2876" s="552"/>
    </row>
    <row r="2877" spans="1:11" s="89" customFormat="1" x14ac:dyDescent="0.3">
      <c r="A2877" s="689"/>
      <c r="B2877" s="689"/>
      <c r="C2877" s="689"/>
      <c r="D2877" s="689"/>
      <c r="E2877" s="689"/>
      <c r="F2877" s="689" t="s">
        <v>474</v>
      </c>
      <c r="G2877" s="689"/>
      <c r="H2877" s="689"/>
      <c r="I2877" s="689"/>
      <c r="J2877" s="564">
        <v>0</v>
      </c>
      <c r="K2877" s="546"/>
    </row>
    <row r="2878" spans="1:11" ht="14.25" customHeight="1" x14ac:dyDescent="0.3">
      <c r="A2878" s="689"/>
      <c r="B2878" s="689"/>
      <c r="C2878" s="689"/>
      <c r="D2878" s="689"/>
      <c r="E2878" s="689"/>
      <c r="F2878" s="689" t="s">
        <v>475</v>
      </c>
      <c r="G2878" s="689"/>
      <c r="H2878" s="689"/>
      <c r="I2878" s="689"/>
      <c r="J2878" s="564">
        <v>249</v>
      </c>
      <c r="K2878" s="552"/>
    </row>
    <row r="2879" spans="1:11" s="89" customFormat="1" ht="15.75" customHeight="1" thickBot="1" x14ac:dyDescent="0.35">
      <c r="A2879" s="689"/>
      <c r="B2879" s="689"/>
      <c r="C2879" s="689"/>
      <c r="D2879" s="689"/>
      <c r="E2879" s="689"/>
      <c r="F2879" s="689" t="s">
        <v>476</v>
      </c>
      <c r="G2879" s="689"/>
      <c r="H2879" s="689"/>
      <c r="I2879" s="689"/>
      <c r="J2879" s="564">
        <v>3.4298000000000002</v>
      </c>
      <c r="K2879" s="546"/>
    </row>
    <row r="2880" spans="1:11" ht="14.5" thickTop="1" x14ac:dyDescent="0.3">
      <c r="A2880" s="562"/>
      <c r="B2880" s="562"/>
      <c r="C2880" s="562"/>
      <c r="D2880" s="562"/>
      <c r="E2880" s="562"/>
      <c r="F2880" s="562"/>
      <c r="G2880" s="562"/>
      <c r="H2880" s="562"/>
      <c r="I2880" s="562"/>
      <c r="J2880" s="562"/>
      <c r="K2880" s="552"/>
    </row>
    <row r="2881" spans="1:11" s="89" customFormat="1" x14ac:dyDescent="0.3">
      <c r="A2881" s="553"/>
      <c r="B2881" s="554" t="s">
        <v>4</v>
      </c>
      <c r="C2881" s="553" t="s">
        <v>5</v>
      </c>
      <c r="D2881" s="553" t="s">
        <v>6</v>
      </c>
      <c r="E2881" s="691" t="s">
        <v>427</v>
      </c>
      <c r="F2881" s="691"/>
      <c r="G2881" s="555" t="s">
        <v>7</v>
      </c>
      <c r="H2881" s="554" t="s">
        <v>8</v>
      </c>
      <c r="I2881" s="554" t="s">
        <v>9</v>
      </c>
      <c r="J2881" s="554" t="s">
        <v>11</v>
      </c>
      <c r="K2881" s="546"/>
    </row>
    <row r="2882" spans="1:11" ht="25" x14ac:dyDescent="0.3">
      <c r="A2882" s="607" t="s">
        <v>428</v>
      </c>
      <c r="B2882" s="608" t="s">
        <v>1179</v>
      </c>
      <c r="C2882" s="607" t="s">
        <v>115</v>
      </c>
      <c r="D2882" s="607" t="s">
        <v>3902</v>
      </c>
      <c r="E2882" s="690" t="s">
        <v>402</v>
      </c>
      <c r="F2882" s="690"/>
      <c r="G2882" s="609" t="s">
        <v>584</v>
      </c>
      <c r="H2882" s="610">
        <v>1</v>
      </c>
      <c r="I2882" s="611">
        <v>31.97</v>
      </c>
      <c r="J2882" s="611">
        <v>31.97</v>
      </c>
      <c r="K2882" s="552"/>
    </row>
    <row r="2883" spans="1:11" s="89" customFormat="1" ht="15" customHeight="1" x14ac:dyDescent="0.3">
      <c r="A2883" s="691" t="s">
        <v>408</v>
      </c>
      <c r="B2883" s="692" t="s">
        <v>4</v>
      </c>
      <c r="C2883" s="691" t="s">
        <v>5</v>
      </c>
      <c r="D2883" s="691" t="s">
        <v>462</v>
      </c>
      <c r="E2883" s="692" t="s">
        <v>463</v>
      </c>
      <c r="F2883" s="694" t="s">
        <v>464</v>
      </c>
      <c r="G2883" s="692"/>
      <c r="H2883" s="694" t="s">
        <v>465</v>
      </c>
      <c r="I2883" s="692"/>
      <c r="J2883" s="692" t="s">
        <v>466</v>
      </c>
      <c r="K2883" s="546"/>
    </row>
    <row r="2884" spans="1:11" s="89" customFormat="1" x14ac:dyDescent="0.3">
      <c r="A2884" s="692"/>
      <c r="B2884" s="692"/>
      <c r="C2884" s="692"/>
      <c r="D2884" s="692"/>
      <c r="E2884" s="692"/>
      <c r="F2884" s="554" t="s">
        <v>467</v>
      </c>
      <c r="G2884" s="554" t="s">
        <v>468</v>
      </c>
      <c r="H2884" s="554" t="s">
        <v>467</v>
      </c>
      <c r="I2884" s="554" t="s">
        <v>468</v>
      </c>
      <c r="J2884" s="692"/>
      <c r="K2884" s="546"/>
    </row>
    <row r="2885" spans="1:11" x14ac:dyDescent="0.3">
      <c r="A2885" s="547" t="s">
        <v>433</v>
      </c>
      <c r="B2885" s="548" t="s">
        <v>1181</v>
      </c>
      <c r="C2885" s="547" t="s">
        <v>115</v>
      </c>
      <c r="D2885" s="547" t="s">
        <v>1182</v>
      </c>
      <c r="E2885" s="550">
        <v>2</v>
      </c>
      <c r="F2885" s="551">
        <v>0.53</v>
      </c>
      <c r="G2885" s="551">
        <v>0.47</v>
      </c>
      <c r="H2885" s="563">
        <v>252.2268</v>
      </c>
      <c r="I2885" s="563">
        <v>70.313900000000004</v>
      </c>
      <c r="J2885" s="563">
        <v>333.45549999999997</v>
      </c>
      <c r="K2885" s="552"/>
    </row>
    <row r="2886" spans="1:11" x14ac:dyDescent="0.3">
      <c r="A2886" s="547" t="s">
        <v>433</v>
      </c>
      <c r="B2886" s="548" t="s">
        <v>1183</v>
      </c>
      <c r="C2886" s="547" t="s">
        <v>115</v>
      </c>
      <c r="D2886" s="547" t="s">
        <v>1184</v>
      </c>
      <c r="E2886" s="550">
        <v>1</v>
      </c>
      <c r="F2886" s="551">
        <v>1</v>
      </c>
      <c r="G2886" s="551">
        <v>0</v>
      </c>
      <c r="H2886" s="563">
        <v>302.88959999999997</v>
      </c>
      <c r="I2886" s="563">
        <v>112.36109999999999</v>
      </c>
      <c r="J2886" s="563">
        <v>302.88959999999997</v>
      </c>
      <c r="K2886" s="552"/>
    </row>
    <row r="2887" spans="1:11" s="89" customFormat="1" ht="15" customHeight="1" x14ac:dyDescent="0.3">
      <c r="A2887" s="689"/>
      <c r="B2887" s="689"/>
      <c r="C2887" s="689"/>
      <c r="D2887" s="689"/>
      <c r="E2887" s="689"/>
      <c r="F2887" s="689" t="s">
        <v>471</v>
      </c>
      <c r="G2887" s="689"/>
      <c r="H2887" s="689"/>
      <c r="I2887" s="689"/>
      <c r="J2887" s="564">
        <v>636.3451</v>
      </c>
      <c r="K2887" s="546"/>
    </row>
    <row r="2888" spans="1:11" ht="14.25" customHeight="1" x14ac:dyDescent="0.3">
      <c r="A2888" s="689"/>
      <c r="B2888" s="689"/>
      <c r="C2888" s="689"/>
      <c r="D2888" s="689"/>
      <c r="E2888" s="689"/>
      <c r="F2888" s="689" t="s">
        <v>472</v>
      </c>
      <c r="G2888" s="689"/>
      <c r="H2888" s="689"/>
      <c r="I2888" s="689"/>
      <c r="J2888" s="564">
        <v>636.3451</v>
      </c>
      <c r="K2888" s="552"/>
    </row>
    <row r="2889" spans="1:11" s="89" customFormat="1" ht="15" customHeight="1" x14ac:dyDescent="0.3">
      <c r="A2889" s="689"/>
      <c r="B2889" s="689"/>
      <c r="C2889" s="689"/>
      <c r="D2889" s="689"/>
      <c r="E2889" s="689"/>
      <c r="F2889" s="689" t="s">
        <v>473</v>
      </c>
      <c r="G2889" s="689"/>
      <c r="H2889" s="689"/>
      <c r="I2889" s="689"/>
      <c r="J2889" s="564">
        <v>0</v>
      </c>
      <c r="K2889" s="546"/>
    </row>
    <row r="2890" spans="1:11" x14ac:dyDescent="0.3">
      <c r="A2890" s="689"/>
      <c r="B2890" s="689"/>
      <c r="C2890" s="689"/>
      <c r="D2890" s="689"/>
      <c r="E2890" s="689"/>
      <c r="F2890" s="689" t="s">
        <v>474</v>
      </c>
      <c r="G2890" s="689"/>
      <c r="H2890" s="689"/>
      <c r="I2890" s="689"/>
      <c r="J2890" s="564">
        <v>0</v>
      </c>
      <c r="K2890" s="552"/>
    </row>
    <row r="2891" spans="1:11" s="89" customFormat="1" ht="15" customHeight="1" x14ac:dyDescent="0.3">
      <c r="A2891" s="689"/>
      <c r="B2891" s="689"/>
      <c r="C2891" s="689"/>
      <c r="D2891" s="689"/>
      <c r="E2891" s="689"/>
      <c r="F2891" s="689" t="s">
        <v>475</v>
      </c>
      <c r="G2891" s="689"/>
      <c r="H2891" s="689"/>
      <c r="I2891" s="689"/>
      <c r="J2891" s="564">
        <v>21.37</v>
      </c>
      <c r="K2891" s="546"/>
    </row>
    <row r="2892" spans="1:11" s="89" customFormat="1" ht="15" customHeight="1" x14ac:dyDescent="0.3">
      <c r="A2892" s="689"/>
      <c r="B2892" s="689"/>
      <c r="C2892" s="689"/>
      <c r="D2892" s="689"/>
      <c r="E2892" s="689"/>
      <c r="F2892" s="689" t="s">
        <v>476</v>
      </c>
      <c r="G2892" s="689"/>
      <c r="H2892" s="689"/>
      <c r="I2892" s="689"/>
      <c r="J2892" s="564">
        <v>29.7775</v>
      </c>
      <c r="K2892" s="546"/>
    </row>
    <row r="2893" spans="1:11" s="89" customFormat="1" ht="15" customHeight="1" x14ac:dyDescent="0.3">
      <c r="A2893" s="553" t="s">
        <v>573</v>
      </c>
      <c r="B2893" s="554" t="s">
        <v>5</v>
      </c>
      <c r="C2893" s="553" t="s">
        <v>4</v>
      </c>
      <c r="D2893" s="553" t="s">
        <v>574</v>
      </c>
      <c r="E2893" s="554" t="s">
        <v>463</v>
      </c>
      <c r="F2893" s="554" t="s">
        <v>575</v>
      </c>
      <c r="G2893" s="692" t="s">
        <v>576</v>
      </c>
      <c r="H2893" s="692"/>
      <c r="I2893" s="692"/>
      <c r="J2893" s="554" t="s">
        <v>466</v>
      </c>
      <c r="K2893" s="546"/>
    </row>
    <row r="2894" spans="1:11" x14ac:dyDescent="0.3">
      <c r="A2894" s="547" t="s">
        <v>577</v>
      </c>
      <c r="B2894" s="548" t="s">
        <v>19</v>
      </c>
      <c r="C2894" s="547">
        <v>88316</v>
      </c>
      <c r="D2894" s="547" t="s">
        <v>560</v>
      </c>
      <c r="E2894" s="550">
        <v>9.3589099999999995E-2</v>
      </c>
      <c r="F2894" s="549" t="s">
        <v>423</v>
      </c>
      <c r="G2894" s="693">
        <v>23.4</v>
      </c>
      <c r="H2894" s="693"/>
      <c r="I2894" s="688"/>
      <c r="J2894" s="563">
        <v>2.19</v>
      </c>
      <c r="K2894" s="552"/>
    </row>
    <row r="2895" spans="1:11" s="89" customFormat="1" ht="15.75" customHeight="1" thickBot="1" x14ac:dyDescent="0.35">
      <c r="A2895" s="689"/>
      <c r="B2895" s="689"/>
      <c r="C2895" s="689"/>
      <c r="D2895" s="689"/>
      <c r="E2895" s="689"/>
      <c r="F2895" s="689" t="s">
        <v>578</v>
      </c>
      <c r="G2895" s="689"/>
      <c r="H2895" s="689"/>
      <c r="I2895" s="689"/>
      <c r="J2895" s="564">
        <v>2.19</v>
      </c>
      <c r="K2895" s="546"/>
    </row>
    <row r="2896" spans="1:11" ht="14.5" thickTop="1" x14ac:dyDescent="0.3">
      <c r="A2896" s="562"/>
      <c r="B2896" s="562"/>
      <c r="C2896" s="562"/>
      <c r="D2896" s="562"/>
      <c r="E2896" s="562"/>
      <c r="F2896" s="562"/>
      <c r="G2896" s="562"/>
      <c r="H2896" s="562"/>
      <c r="I2896" s="562"/>
      <c r="J2896" s="562"/>
      <c r="K2896" s="552"/>
    </row>
    <row r="2897" spans="1:11" s="89" customFormat="1" x14ac:dyDescent="0.3">
      <c r="A2897" s="553"/>
      <c r="B2897" s="554" t="s">
        <v>4</v>
      </c>
      <c r="C2897" s="553" t="s">
        <v>5</v>
      </c>
      <c r="D2897" s="553" t="s">
        <v>6</v>
      </c>
      <c r="E2897" s="691" t="s">
        <v>427</v>
      </c>
      <c r="F2897" s="691"/>
      <c r="G2897" s="555" t="s">
        <v>7</v>
      </c>
      <c r="H2897" s="554" t="s">
        <v>8</v>
      </c>
      <c r="I2897" s="554" t="s">
        <v>9</v>
      </c>
      <c r="J2897" s="554" t="s">
        <v>11</v>
      </c>
      <c r="K2897" s="546"/>
    </row>
    <row r="2898" spans="1:11" ht="25" x14ac:dyDescent="0.3">
      <c r="A2898" s="607" t="s">
        <v>428</v>
      </c>
      <c r="B2898" s="608" t="s">
        <v>1541</v>
      </c>
      <c r="C2898" s="607" t="s">
        <v>115</v>
      </c>
      <c r="D2898" s="607" t="s">
        <v>844</v>
      </c>
      <c r="E2898" s="690" t="s">
        <v>402</v>
      </c>
      <c r="F2898" s="690"/>
      <c r="G2898" s="609" t="s">
        <v>584</v>
      </c>
      <c r="H2898" s="610">
        <v>1</v>
      </c>
      <c r="I2898" s="611">
        <v>33.159999999999997</v>
      </c>
      <c r="J2898" s="611">
        <v>33.159999999999997</v>
      </c>
      <c r="K2898" s="552"/>
    </row>
    <row r="2899" spans="1:11" s="89" customFormat="1" ht="15" customHeight="1" x14ac:dyDescent="0.3">
      <c r="A2899" s="691" t="s">
        <v>408</v>
      </c>
      <c r="B2899" s="692" t="s">
        <v>4</v>
      </c>
      <c r="C2899" s="691" t="s">
        <v>5</v>
      </c>
      <c r="D2899" s="691" t="s">
        <v>462</v>
      </c>
      <c r="E2899" s="692" t="s">
        <v>463</v>
      </c>
      <c r="F2899" s="694" t="s">
        <v>464</v>
      </c>
      <c r="G2899" s="692"/>
      <c r="H2899" s="694" t="s">
        <v>465</v>
      </c>
      <c r="I2899" s="692"/>
      <c r="J2899" s="692" t="s">
        <v>466</v>
      </c>
      <c r="K2899" s="546"/>
    </row>
    <row r="2900" spans="1:11" s="89" customFormat="1" x14ac:dyDescent="0.3">
      <c r="A2900" s="692"/>
      <c r="B2900" s="692"/>
      <c r="C2900" s="692"/>
      <c r="D2900" s="692"/>
      <c r="E2900" s="692"/>
      <c r="F2900" s="554" t="s">
        <v>467</v>
      </c>
      <c r="G2900" s="554" t="s">
        <v>468</v>
      </c>
      <c r="H2900" s="554" t="s">
        <v>467</v>
      </c>
      <c r="I2900" s="554" t="s">
        <v>468</v>
      </c>
      <c r="J2900" s="692"/>
      <c r="K2900" s="546"/>
    </row>
    <row r="2901" spans="1:11" x14ac:dyDescent="0.3">
      <c r="A2901" s="547" t="s">
        <v>433</v>
      </c>
      <c r="B2901" s="548" t="s">
        <v>1181</v>
      </c>
      <c r="C2901" s="547" t="s">
        <v>115</v>
      </c>
      <c r="D2901" s="547" t="s">
        <v>1182</v>
      </c>
      <c r="E2901" s="550">
        <v>1</v>
      </c>
      <c r="F2901" s="551">
        <v>1</v>
      </c>
      <c r="G2901" s="551">
        <v>0</v>
      </c>
      <c r="H2901" s="563">
        <v>252.2268</v>
      </c>
      <c r="I2901" s="563">
        <v>70.313900000000004</v>
      </c>
      <c r="J2901" s="563">
        <v>252.2268</v>
      </c>
      <c r="K2901" s="552"/>
    </row>
    <row r="2902" spans="1:11" ht="14.25" customHeight="1" x14ac:dyDescent="0.3">
      <c r="A2902" s="689"/>
      <c r="B2902" s="689"/>
      <c r="C2902" s="689"/>
      <c r="D2902" s="689"/>
      <c r="E2902" s="689"/>
      <c r="F2902" s="689" t="s">
        <v>471</v>
      </c>
      <c r="G2902" s="689"/>
      <c r="H2902" s="689"/>
      <c r="I2902" s="689"/>
      <c r="J2902" s="564">
        <v>252.2268</v>
      </c>
      <c r="K2902" s="552"/>
    </row>
    <row r="2903" spans="1:11" s="89" customFormat="1" ht="15" customHeight="1" x14ac:dyDescent="0.3">
      <c r="A2903" s="689"/>
      <c r="B2903" s="689"/>
      <c r="C2903" s="689"/>
      <c r="D2903" s="689"/>
      <c r="E2903" s="689"/>
      <c r="F2903" s="689" t="s">
        <v>472</v>
      </c>
      <c r="G2903" s="689"/>
      <c r="H2903" s="689"/>
      <c r="I2903" s="689"/>
      <c r="J2903" s="564">
        <v>252.2268</v>
      </c>
      <c r="K2903" s="546"/>
    </row>
    <row r="2904" spans="1:11" s="89" customFormat="1" ht="15" customHeight="1" x14ac:dyDescent="0.3">
      <c r="A2904" s="689"/>
      <c r="B2904" s="689"/>
      <c r="C2904" s="689"/>
      <c r="D2904" s="689"/>
      <c r="E2904" s="689"/>
      <c r="F2904" s="689" t="s">
        <v>473</v>
      </c>
      <c r="G2904" s="689"/>
      <c r="H2904" s="689"/>
      <c r="I2904" s="689"/>
      <c r="J2904" s="564">
        <v>0</v>
      </c>
      <c r="K2904" s="546"/>
    </row>
    <row r="2905" spans="1:11" x14ac:dyDescent="0.3">
      <c r="A2905" s="689"/>
      <c r="B2905" s="689"/>
      <c r="C2905" s="689"/>
      <c r="D2905" s="689"/>
      <c r="E2905" s="689"/>
      <c r="F2905" s="689" t="s">
        <v>474</v>
      </c>
      <c r="G2905" s="689"/>
      <c r="H2905" s="689"/>
      <c r="I2905" s="689"/>
      <c r="J2905" s="564">
        <v>0</v>
      </c>
      <c r="K2905" s="552"/>
    </row>
    <row r="2906" spans="1:11" ht="14.25" customHeight="1" x14ac:dyDescent="0.3">
      <c r="A2906" s="689"/>
      <c r="B2906" s="689"/>
      <c r="C2906" s="689"/>
      <c r="D2906" s="689"/>
      <c r="E2906" s="689"/>
      <c r="F2906" s="689" t="s">
        <v>475</v>
      </c>
      <c r="G2906" s="689"/>
      <c r="H2906" s="689"/>
      <c r="I2906" s="689"/>
      <c r="J2906" s="564">
        <v>11.84</v>
      </c>
      <c r="K2906" s="552"/>
    </row>
    <row r="2907" spans="1:11" s="89" customFormat="1" ht="15.75" customHeight="1" x14ac:dyDescent="0.3">
      <c r="A2907" s="689"/>
      <c r="B2907" s="689"/>
      <c r="C2907" s="689"/>
      <c r="D2907" s="689"/>
      <c r="E2907" s="689"/>
      <c r="F2907" s="689" t="s">
        <v>476</v>
      </c>
      <c r="G2907" s="689"/>
      <c r="H2907" s="689"/>
      <c r="I2907" s="689"/>
      <c r="J2907" s="564">
        <v>21.302900000000001</v>
      </c>
      <c r="K2907" s="546"/>
    </row>
    <row r="2908" spans="1:11" ht="15" customHeight="1" x14ac:dyDescent="0.3">
      <c r="A2908" s="553" t="s">
        <v>573</v>
      </c>
      <c r="B2908" s="554" t="s">
        <v>5</v>
      </c>
      <c r="C2908" s="553" t="s">
        <v>4</v>
      </c>
      <c r="D2908" s="553" t="s">
        <v>574</v>
      </c>
      <c r="E2908" s="554" t="s">
        <v>463</v>
      </c>
      <c r="F2908" s="554" t="s">
        <v>575</v>
      </c>
      <c r="G2908" s="692" t="s">
        <v>576</v>
      </c>
      <c r="H2908" s="692"/>
      <c r="I2908" s="692"/>
      <c r="J2908" s="554" t="s">
        <v>466</v>
      </c>
      <c r="K2908" s="552"/>
    </row>
    <row r="2909" spans="1:11" s="89" customFormat="1" x14ac:dyDescent="0.3">
      <c r="A2909" s="547" t="s">
        <v>577</v>
      </c>
      <c r="B2909" s="548" t="s">
        <v>19</v>
      </c>
      <c r="C2909" s="547">
        <v>88316</v>
      </c>
      <c r="D2909" s="547" t="s">
        <v>560</v>
      </c>
      <c r="E2909" s="550">
        <v>0.50675680000000001</v>
      </c>
      <c r="F2909" s="549" t="s">
        <v>423</v>
      </c>
      <c r="G2909" s="693">
        <v>23.4</v>
      </c>
      <c r="H2909" s="693"/>
      <c r="I2909" s="688"/>
      <c r="J2909" s="563">
        <v>11.8581</v>
      </c>
      <c r="K2909" s="546"/>
    </row>
    <row r="2910" spans="1:11" ht="15" customHeight="1" thickBot="1" x14ac:dyDescent="0.35">
      <c r="A2910" s="689"/>
      <c r="B2910" s="689"/>
      <c r="C2910" s="689"/>
      <c r="D2910" s="689"/>
      <c r="E2910" s="689"/>
      <c r="F2910" s="689" t="s">
        <v>578</v>
      </c>
      <c r="G2910" s="689"/>
      <c r="H2910" s="689"/>
      <c r="I2910" s="689"/>
      <c r="J2910" s="564">
        <v>11.8581</v>
      </c>
      <c r="K2910" s="552"/>
    </row>
    <row r="2911" spans="1:11" s="89" customFormat="1" ht="15" customHeight="1" thickTop="1" x14ac:dyDescent="0.3">
      <c r="A2911" s="562"/>
      <c r="B2911" s="562"/>
      <c r="C2911" s="562"/>
      <c r="D2911" s="562"/>
      <c r="E2911" s="562"/>
      <c r="F2911" s="562"/>
      <c r="G2911" s="562"/>
      <c r="H2911" s="562"/>
      <c r="I2911" s="562"/>
      <c r="J2911" s="562"/>
      <c r="K2911" s="546"/>
    </row>
    <row r="2912" spans="1:11" x14ac:dyDescent="0.3">
      <c r="A2912" s="553"/>
      <c r="B2912" s="554" t="s">
        <v>4</v>
      </c>
      <c r="C2912" s="553" t="s">
        <v>5</v>
      </c>
      <c r="D2912" s="553" t="s">
        <v>6</v>
      </c>
      <c r="E2912" s="691" t="s">
        <v>427</v>
      </c>
      <c r="F2912" s="691"/>
      <c r="G2912" s="555" t="s">
        <v>7</v>
      </c>
      <c r="H2912" s="554" t="s">
        <v>8</v>
      </c>
      <c r="I2912" s="554" t="s">
        <v>9</v>
      </c>
      <c r="J2912" s="554" t="s">
        <v>11</v>
      </c>
      <c r="K2912" s="552"/>
    </row>
    <row r="2913" spans="1:11" s="89" customFormat="1" ht="25" x14ac:dyDescent="0.3">
      <c r="A2913" s="607" t="s">
        <v>428</v>
      </c>
      <c r="B2913" s="608" t="s">
        <v>1541</v>
      </c>
      <c r="C2913" s="607" t="s">
        <v>115</v>
      </c>
      <c r="D2913" s="607" t="s">
        <v>844</v>
      </c>
      <c r="E2913" s="690" t="s">
        <v>402</v>
      </c>
      <c r="F2913" s="690"/>
      <c r="G2913" s="609" t="s">
        <v>584</v>
      </c>
      <c r="H2913" s="610">
        <v>1</v>
      </c>
      <c r="I2913" s="611">
        <v>33.159999999999997</v>
      </c>
      <c r="J2913" s="611">
        <v>33.159999999999997</v>
      </c>
      <c r="K2913" s="546"/>
    </row>
    <row r="2914" spans="1:11" ht="14.25" customHeight="1" x14ac:dyDescent="0.3">
      <c r="A2914" s="691" t="s">
        <v>408</v>
      </c>
      <c r="B2914" s="692" t="s">
        <v>4</v>
      </c>
      <c r="C2914" s="691" t="s">
        <v>5</v>
      </c>
      <c r="D2914" s="691" t="s">
        <v>462</v>
      </c>
      <c r="E2914" s="692" t="s">
        <v>463</v>
      </c>
      <c r="F2914" s="694" t="s">
        <v>464</v>
      </c>
      <c r="G2914" s="692"/>
      <c r="H2914" s="694" t="s">
        <v>465</v>
      </c>
      <c r="I2914" s="692"/>
      <c r="J2914" s="692" t="s">
        <v>466</v>
      </c>
      <c r="K2914" s="552"/>
    </row>
    <row r="2915" spans="1:11" s="89" customFormat="1" ht="15" customHeight="1" x14ac:dyDescent="0.3">
      <c r="A2915" s="692"/>
      <c r="B2915" s="692"/>
      <c r="C2915" s="692"/>
      <c r="D2915" s="692"/>
      <c r="E2915" s="692"/>
      <c r="F2915" s="554" t="s">
        <v>467</v>
      </c>
      <c r="G2915" s="554" t="s">
        <v>468</v>
      </c>
      <c r="H2915" s="554" t="s">
        <v>467</v>
      </c>
      <c r="I2915" s="554" t="s">
        <v>468</v>
      </c>
      <c r="J2915" s="692"/>
      <c r="K2915" s="546"/>
    </row>
    <row r="2916" spans="1:11" ht="14.25" customHeight="1" x14ac:dyDescent="0.3">
      <c r="A2916" s="547" t="s">
        <v>433</v>
      </c>
      <c r="B2916" s="548" t="s">
        <v>1181</v>
      </c>
      <c r="C2916" s="547" t="s">
        <v>115</v>
      </c>
      <c r="D2916" s="547" t="s">
        <v>1182</v>
      </c>
      <c r="E2916" s="550">
        <v>1</v>
      </c>
      <c r="F2916" s="551">
        <v>1</v>
      </c>
      <c r="G2916" s="551">
        <v>0</v>
      </c>
      <c r="H2916" s="563">
        <v>252.2268</v>
      </c>
      <c r="I2916" s="563">
        <v>70.313900000000004</v>
      </c>
      <c r="J2916" s="563">
        <v>252.2268</v>
      </c>
      <c r="K2916" s="552"/>
    </row>
    <row r="2917" spans="1:11" s="89" customFormat="1" ht="15" customHeight="1" x14ac:dyDescent="0.3">
      <c r="A2917" s="689"/>
      <c r="B2917" s="689"/>
      <c r="C2917" s="689"/>
      <c r="D2917" s="689"/>
      <c r="E2917" s="689"/>
      <c r="F2917" s="689" t="s">
        <v>471</v>
      </c>
      <c r="G2917" s="689"/>
      <c r="H2917" s="689"/>
      <c r="I2917" s="689"/>
      <c r="J2917" s="564">
        <v>252.2268</v>
      </c>
      <c r="K2917" s="546"/>
    </row>
    <row r="2918" spans="1:11" ht="14.25" customHeight="1" x14ac:dyDescent="0.3">
      <c r="A2918" s="689"/>
      <c r="B2918" s="689"/>
      <c r="C2918" s="689"/>
      <c r="D2918" s="689"/>
      <c r="E2918" s="689"/>
      <c r="F2918" s="689" t="s">
        <v>472</v>
      </c>
      <c r="G2918" s="689"/>
      <c r="H2918" s="689"/>
      <c r="I2918" s="689"/>
      <c r="J2918" s="564">
        <v>252.2268</v>
      </c>
      <c r="K2918" s="552"/>
    </row>
    <row r="2919" spans="1:11" ht="14.25" customHeight="1" x14ac:dyDescent="0.3">
      <c r="A2919" s="689"/>
      <c r="B2919" s="689"/>
      <c r="C2919" s="689"/>
      <c r="D2919" s="689"/>
      <c r="E2919" s="689"/>
      <c r="F2919" s="689" t="s">
        <v>473</v>
      </c>
      <c r="G2919" s="689"/>
      <c r="H2919" s="689"/>
      <c r="I2919" s="689"/>
      <c r="J2919" s="564">
        <v>0</v>
      </c>
      <c r="K2919" s="552"/>
    </row>
    <row r="2920" spans="1:11" ht="15" customHeight="1" x14ac:dyDescent="0.3">
      <c r="A2920" s="689"/>
      <c r="B2920" s="689"/>
      <c r="C2920" s="689"/>
      <c r="D2920" s="689"/>
      <c r="E2920" s="689"/>
      <c r="F2920" s="689" t="s">
        <v>474</v>
      </c>
      <c r="G2920" s="689"/>
      <c r="H2920" s="689"/>
      <c r="I2920" s="689"/>
      <c r="J2920" s="564">
        <v>0</v>
      </c>
      <c r="K2920" s="552"/>
    </row>
    <row r="2921" spans="1:11" s="89" customFormat="1" ht="15" customHeight="1" x14ac:dyDescent="0.3">
      <c r="A2921" s="689"/>
      <c r="B2921" s="689"/>
      <c r="C2921" s="689"/>
      <c r="D2921" s="689"/>
      <c r="E2921" s="689"/>
      <c r="F2921" s="689" t="s">
        <v>475</v>
      </c>
      <c r="G2921" s="689"/>
      <c r="H2921" s="689"/>
      <c r="I2921" s="689"/>
      <c r="J2921" s="564">
        <v>11.84</v>
      </c>
      <c r="K2921" s="546"/>
    </row>
    <row r="2922" spans="1:11" s="89" customFormat="1" ht="15" customHeight="1" x14ac:dyDescent="0.3">
      <c r="A2922" s="689"/>
      <c r="B2922" s="689"/>
      <c r="C2922" s="689"/>
      <c r="D2922" s="689"/>
      <c r="E2922" s="689"/>
      <c r="F2922" s="689" t="s">
        <v>476</v>
      </c>
      <c r="G2922" s="689"/>
      <c r="H2922" s="689"/>
      <c r="I2922" s="689"/>
      <c r="J2922" s="564">
        <v>21.302900000000001</v>
      </c>
      <c r="K2922" s="546"/>
    </row>
    <row r="2923" spans="1:11" s="89" customFormat="1" ht="15" customHeight="1" x14ac:dyDescent="0.3">
      <c r="A2923" s="553" t="s">
        <v>573</v>
      </c>
      <c r="B2923" s="554" t="s">
        <v>5</v>
      </c>
      <c r="C2923" s="553" t="s">
        <v>4</v>
      </c>
      <c r="D2923" s="553" t="s">
        <v>574</v>
      </c>
      <c r="E2923" s="554" t="s">
        <v>463</v>
      </c>
      <c r="F2923" s="554" t="s">
        <v>575</v>
      </c>
      <c r="G2923" s="692" t="s">
        <v>576</v>
      </c>
      <c r="H2923" s="692"/>
      <c r="I2923" s="692"/>
      <c r="J2923" s="554" t="s">
        <v>466</v>
      </c>
      <c r="K2923" s="546"/>
    </row>
    <row r="2924" spans="1:11" ht="15" customHeight="1" x14ac:dyDescent="0.3">
      <c r="A2924" s="547" t="s">
        <v>577</v>
      </c>
      <c r="B2924" s="548" t="s">
        <v>19</v>
      </c>
      <c r="C2924" s="547">
        <v>88316</v>
      </c>
      <c r="D2924" s="547" t="s">
        <v>560</v>
      </c>
      <c r="E2924" s="550">
        <v>0.50675680000000001</v>
      </c>
      <c r="F2924" s="549" t="s">
        <v>423</v>
      </c>
      <c r="G2924" s="693">
        <v>23.4</v>
      </c>
      <c r="H2924" s="693"/>
      <c r="I2924" s="688"/>
      <c r="J2924" s="563">
        <v>11.8581</v>
      </c>
      <c r="K2924" s="552"/>
    </row>
    <row r="2925" spans="1:11" s="89" customFormat="1" ht="15.75" customHeight="1" thickBot="1" x14ac:dyDescent="0.35">
      <c r="A2925" s="689"/>
      <c r="B2925" s="689"/>
      <c r="C2925" s="689"/>
      <c r="D2925" s="689"/>
      <c r="E2925" s="689"/>
      <c r="F2925" s="689" t="s">
        <v>578</v>
      </c>
      <c r="G2925" s="689"/>
      <c r="H2925" s="689"/>
      <c r="I2925" s="689"/>
      <c r="J2925" s="564">
        <v>11.8581</v>
      </c>
      <c r="K2925" s="546"/>
    </row>
    <row r="2926" spans="1:11" ht="14.5" thickTop="1" x14ac:dyDescent="0.3">
      <c r="A2926" s="562"/>
      <c r="B2926" s="562"/>
      <c r="C2926" s="562"/>
      <c r="D2926" s="562"/>
      <c r="E2926" s="562"/>
      <c r="F2926" s="562"/>
      <c r="G2926" s="562"/>
      <c r="H2926" s="562"/>
      <c r="I2926" s="562"/>
      <c r="J2926" s="562"/>
      <c r="K2926" s="552"/>
    </row>
    <row r="2927" spans="1:11" ht="14.25" customHeight="1" x14ac:dyDescent="0.3">
      <c r="A2927" s="553"/>
      <c r="B2927" s="554" t="s">
        <v>4</v>
      </c>
      <c r="C2927" s="553" t="s">
        <v>5</v>
      </c>
      <c r="D2927" s="553" t="s">
        <v>6</v>
      </c>
      <c r="E2927" s="691" t="s">
        <v>427</v>
      </c>
      <c r="F2927" s="691"/>
      <c r="G2927" s="555" t="s">
        <v>7</v>
      </c>
      <c r="H2927" s="554" t="s">
        <v>8</v>
      </c>
      <c r="I2927" s="554" t="s">
        <v>9</v>
      </c>
      <c r="J2927" s="554" t="s">
        <v>11</v>
      </c>
      <c r="K2927" s="552"/>
    </row>
    <row r="2928" spans="1:11" ht="14.25" customHeight="1" x14ac:dyDescent="0.3">
      <c r="A2928" s="607" t="s">
        <v>428</v>
      </c>
      <c r="B2928" s="608" t="s">
        <v>1542</v>
      </c>
      <c r="C2928" s="607" t="s">
        <v>115</v>
      </c>
      <c r="D2928" s="607" t="s">
        <v>896</v>
      </c>
      <c r="E2928" s="690" t="s">
        <v>402</v>
      </c>
      <c r="F2928" s="690"/>
      <c r="G2928" s="609" t="s">
        <v>584</v>
      </c>
      <c r="H2928" s="610">
        <v>1</v>
      </c>
      <c r="I2928" s="611">
        <v>34.14</v>
      </c>
      <c r="J2928" s="611">
        <v>34.14</v>
      </c>
      <c r="K2928" s="552"/>
    </row>
    <row r="2929" spans="1:11" s="89" customFormat="1" ht="15" customHeight="1" x14ac:dyDescent="0.3">
      <c r="A2929" s="691" t="s">
        <v>408</v>
      </c>
      <c r="B2929" s="692" t="s">
        <v>4</v>
      </c>
      <c r="C2929" s="691" t="s">
        <v>5</v>
      </c>
      <c r="D2929" s="691" t="s">
        <v>462</v>
      </c>
      <c r="E2929" s="692" t="s">
        <v>463</v>
      </c>
      <c r="F2929" s="694" t="s">
        <v>464</v>
      </c>
      <c r="G2929" s="692"/>
      <c r="H2929" s="694" t="s">
        <v>465</v>
      </c>
      <c r="I2929" s="692"/>
      <c r="J2929" s="692" t="s">
        <v>466</v>
      </c>
      <c r="K2929" s="546"/>
    </row>
    <row r="2930" spans="1:11" x14ac:dyDescent="0.3">
      <c r="A2930" s="692"/>
      <c r="B2930" s="692"/>
      <c r="C2930" s="692"/>
      <c r="D2930" s="692"/>
      <c r="E2930" s="692"/>
      <c r="F2930" s="554" t="s">
        <v>467</v>
      </c>
      <c r="G2930" s="554" t="s">
        <v>468</v>
      </c>
      <c r="H2930" s="554" t="s">
        <v>467</v>
      </c>
      <c r="I2930" s="554" t="s">
        <v>468</v>
      </c>
      <c r="J2930" s="692"/>
      <c r="K2930" s="552"/>
    </row>
    <row r="2931" spans="1:11" s="89" customFormat="1" ht="15" customHeight="1" x14ac:dyDescent="0.3">
      <c r="A2931" s="547" t="s">
        <v>433</v>
      </c>
      <c r="B2931" s="548" t="s">
        <v>1175</v>
      </c>
      <c r="C2931" s="547" t="s">
        <v>115</v>
      </c>
      <c r="D2931" s="547" t="s">
        <v>1176</v>
      </c>
      <c r="E2931" s="550">
        <v>1</v>
      </c>
      <c r="F2931" s="551">
        <v>1</v>
      </c>
      <c r="G2931" s="551">
        <v>0</v>
      </c>
      <c r="H2931" s="563">
        <v>174.29050000000001</v>
      </c>
      <c r="I2931" s="563">
        <v>65.426199999999994</v>
      </c>
      <c r="J2931" s="563">
        <v>174.29050000000001</v>
      </c>
      <c r="K2931" s="546"/>
    </row>
    <row r="2932" spans="1:11" ht="14.25" customHeight="1" x14ac:dyDescent="0.3">
      <c r="A2932" s="689"/>
      <c r="B2932" s="689"/>
      <c r="C2932" s="689"/>
      <c r="D2932" s="689"/>
      <c r="E2932" s="689"/>
      <c r="F2932" s="689" t="s">
        <v>471</v>
      </c>
      <c r="G2932" s="689"/>
      <c r="H2932" s="689"/>
      <c r="I2932" s="689"/>
      <c r="J2932" s="564">
        <v>174.29050000000001</v>
      </c>
      <c r="K2932" s="552"/>
    </row>
    <row r="2933" spans="1:11" ht="15" customHeight="1" x14ac:dyDescent="0.3">
      <c r="A2933" s="689"/>
      <c r="B2933" s="689"/>
      <c r="C2933" s="689"/>
      <c r="D2933" s="689"/>
      <c r="E2933" s="689"/>
      <c r="F2933" s="689" t="s">
        <v>472</v>
      </c>
      <c r="G2933" s="689"/>
      <c r="H2933" s="689"/>
      <c r="I2933" s="689"/>
      <c r="J2933" s="564">
        <v>174.29050000000001</v>
      </c>
      <c r="K2933" s="552"/>
    </row>
    <row r="2934" spans="1:11" ht="14.25" customHeight="1" x14ac:dyDescent="0.3">
      <c r="A2934" s="689"/>
      <c r="B2934" s="689"/>
      <c r="C2934" s="689"/>
      <c r="D2934" s="689"/>
      <c r="E2934" s="689"/>
      <c r="F2934" s="689" t="s">
        <v>473</v>
      </c>
      <c r="G2934" s="689"/>
      <c r="H2934" s="689"/>
      <c r="I2934" s="689"/>
      <c r="J2934" s="564">
        <v>0</v>
      </c>
      <c r="K2934" s="552"/>
    </row>
    <row r="2935" spans="1:11" s="89" customFormat="1" ht="15.75" customHeight="1" x14ac:dyDescent="0.3">
      <c r="A2935" s="689"/>
      <c r="B2935" s="689"/>
      <c r="C2935" s="689"/>
      <c r="D2935" s="689"/>
      <c r="E2935" s="689"/>
      <c r="F2935" s="689" t="s">
        <v>474</v>
      </c>
      <c r="G2935" s="689"/>
      <c r="H2935" s="689"/>
      <c r="I2935" s="689"/>
      <c r="J2935" s="564">
        <v>0</v>
      </c>
      <c r="K2935" s="546"/>
    </row>
    <row r="2936" spans="1:11" ht="14.25" customHeight="1" x14ac:dyDescent="0.3">
      <c r="A2936" s="689"/>
      <c r="B2936" s="689"/>
      <c r="C2936" s="689"/>
      <c r="D2936" s="689"/>
      <c r="E2936" s="689"/>
      <c r="F2936" s="689" t="s">
        <v>475</v>
      </c>
      <c r="G2936" s="689"/>
      <c r="H2936" s="689"/>
      <c r="I2936" s="689"/>
      <c r="J2936" s="564">
        <v>7.8465999999999996</v>
      </c>
      <c r="K2936" s="552"/>
    </row>
    <row r="2937" spans="1:11" ht="14.25" customHeight="1" x14ac:dyDescent="0.3">
      <c r="A2937" s="689"/>
      <c r="B2937" s="689"/>
      <c r="C2937" s="689"/>
      <c r="D2937" s="689"/>
      <c r="E2937" s="689"/>
      <c r="F2937" s="689" t="s">
        <v>476</v>
      </c>
      <c r="G2937" s="689"/>
      <c r="H2937" s="689"/>
      <c r="I2937" s="689"/>
      <c r="J2937" s="564">
        <v>22.2121</v>
      </c>
      <c r="K2937" s="552"/>
    </row>
    <row r="2938" spans="1:11" s="89" customFormat="1" ht="15" customHeight="1" x14ac:dyDescent="0.3">
      <c r="A2938" s="553" t="s">
        <v>573</v>
      </c>
      <c r="B2938" s="554" t="s">
        <v>5</v>
      </c>
      <c r="C2938" s="553" t="s">
        <v>4</v>
      </c>
      <c r="D2938" s="553" t="s">
        <v>574</v>
      </c>
      <c r="E2938" s="554" t="s">
        <v>463</v>
      </c>
      <c r="F2938" s="554" t="s">
        <v>575</v>
      </c>
      <c r="G2938" s="692" t="s">
        <v>576</v>
      </c>
      <c r="H2938" s="692"/>
      <c r="I2938" s="692"/>
      <c r="J2938" s="554" t="s">
        <v>466</v>
      </c>
      <c r="K2938" s="546"/>
    </row>
    <row r="2939" spans="1:11" ht="15" customHeight="1" x14ac:dyDescent="0.3">
      <c r="A2939" s="547" t="s">
        <v>577</v>
      </c>
      <c r="B2939" s="548" t="s">
        <v>19</v>
      </c>
      <c r="C2939" s="547">
        <v>88316</v>
      </c>
      <c r="D2939" s="547" t="s">
        <v>560</v>
      </c>
      <c r="E2939" s="550">
        <v>0.50977229999999996</v>
      </c>
      <c r="F2939" s="549" t="s">
        <v>423</v>
      </c>
      <c r="G2939" s="693">
        <v>23.4</v>
      </c>
      <c r="H2939" s="693"/>
      <c r="I2939" s="688"/>
      <c r="J2939" s="563">
        <v>11.928699999999999</v>
      </c>
      <c r="K2939" s="552"/>
    </row>
    <row r="2940" spans="1:11" s="89" customFormat="1" ht="15.75" customHeight="1" thickBot="1" x14ac:dyDescent="0.35">
      <c r="A2940" s="689"/>
      <c r="B2940" s="689"/>
      <c r="C2940" s="689"/>
      <c r="D2940" s="689"/>
      <c r="E2940" s="689"/>
      <c r="F2940" s="689" t="s">
        <v>578</v>
      </c>
      <c r="G2940" s="689"/>
      <c r="H2940" s="689"/>
      <c r="I2940" s="689"/>
      <c r="J2940" s="564">
        <v>11.928699999999999</v>
      </c>
      <c r="K2940" s="546"/>
    </row>
    <row r="2941" spans="1:11" ht="14.5" thickTop="1" x14ac:dyDescent="0.3">
      <c r="A2941" s="562"/>
      <c r="B2941" s="562"/>
      <c r="C2941" s="562"/>
      <c r="D2941" s="562"/>
      <c r="E2941" s="562"/>
      <c r="F2941" s="562"/>
      <c r="G2941" s="562"/>
      <c r="H2941" s="562"/>
      <c r="I2941" s="562"/>
      <c r="J2941" s="562"/>
      <c r="K2941" s="552"/>
    </row>
    <row r="2942" spans="1:11" ht="14.25" customHeight="1" x14ac:dyDescent="0.3">
      <c r="A2942" s="553"/>
      <c r="B2942" s="554" t="s">
        <v>4</v>
      </c>
      <c r="C2942" s="553" t="s">
        <v>5</v>
      </c>
      <c r="D2942" s="553" t="s">
        <v>6</v>
      </c>
      <c r="E2942" s="691" t="s">
        <v>427</v>
      </c>
      <c r="F2942" s="691"/>
      <c r="G2942" s="555" t="s">
        <v>7</v>
      </c>
      <c r="H2942" s="554" t="s">
        <v>8</v>
      </c>
      <c r="I2942" s="554" t="s">
        <v>9</v>
      </c>
      <c r="J2942" s="554" t="s">
        <v>11</v>
      </c>
      <c r="K2942" s="552"/>
    </row>
    <row r="2943" spans="1:11" ht="14.25" customHeight="1" x14ac:dyDescent="0.3">
      <c r="A2943" s="607" t="s">
        <v>428</v>
      </c>
      <c r="B2943" s="608" t="s">
        <v>1543</v>
      </c>
      <c r="C2943" s="607" t="s">
        <v>115</v>
      </c>
      <c r="D2943" s="607" t="s">
        <v>871</v>
      </c>
      <c r="E2943" s="690" t="s">
        <v>402</v>
      </c>
      <c r="F2943" s="690"/>
      <c r="G2943" s="609" t="s">
        <v>869</v>
      </c>
      <c r="H2943" s="610">
        <v>1</v>
      </c>
      <c r="I2943" s="611">
        <v>233.51</v>
      </c>
      <c r="J2943" s="611">
        <v>233.51</v>
      </c>
      <c r="K2943" s="552"/>
    </row>
    <row r="2944" spans="1:11" ht="14.25" customHeight="1" x14ac:dyDescent="0.3">
      <c r="A2944" s="689"/>
      <c r="B2944" s="689"/>
      <c r="C2944" s="689"/>
      <c r="D2944" s="689"/>
      <c r="E2944" s="689"/>
      <c r="F2944" s="689" t="s">
        <v>472</v>
      </c>
      <c r="G2944" s="689"/>
      <c r="H2944" s="689"/>
      <c r="I2944" s="689"/>
      <c r="J2944" s="564">
        <v>0</v>
      </c>
      <c r="K2944" s="552"/>
    </row>
    <row r="2945" spans="1:11" s="89" customFormat="1" ht="15" customHeight="1" x14ac:dyDescent="0.3">
      <c r="A2945" s="689"/>
      <c r="B2945" s="689"/>
      <c r="C2945" s="689"/>
      <c r="D2945" s="689"/>
      <c r="E2945" s="689"/>
      <c r="F2945" s="689" t="s">
        <v>473</v>
      </c>
      <c r="G2945" s="689"/>
      <c r="H2945" s="689"/>
      <c r="I2945" s="689"/>
      <c r="J2945" s="564">
        <v>0</v>
      </c>
      <c r="K2945" s="546"/>
    </row>
    <row r="2946" spans="1:11" ht="14.25" customHeight="1" x14ac:dyDescent="0.3">
      <c r="A2946" s="689"/>
      <c r="B2946" s="689"/>
      <c r="C2946" s="689"/>
      <c r="D2946" s="689"/>
      <c r="E2946" s="689"/>
      <c r="F2946" s="689" t="s">
        <v>474</v>
      </c>
      <c r="G2946" s="689"/>
      <c r="H2946" s="689"/>
      <c r="I2946" s="689"/>
      <c r="J2946" s="564">
        <v>0</v>
      </c>
      <c r="K2946" s="552"/>
    </row>
    <row r="2947" spans="1:11" s="89" customFormat="1" ht="15" customHeight="1" x14ac:dyDescent="0.3">
      <c r="A2947" s="689"/>
      <c r="B2947" s="689"/>
      <c r="C2947" s="689"/>
      <c r="D2947" s="689"/>
      <c r="E2947" s="689"/>
      <c r="F2947" s="689" t="s">
        <v>475</v>
      </c>
      <c r="G2947" s="689"/>
      <c r="H2947" s="689"/>
      <c r="I2947" s="689"/>
      <c r="J2947" s="564">
        <v>2.8269000000000002</v>
      </c>
      <c r="K2947" s="546"/>
    </row>
    <row r="2948" spans="1:11" ht="15" customHeight="1" x14ac:dyDescent="0.3">
      <c r="A2948" s="689"/>
      <c r="B2948" s="689"/>
      <c r="C2948" s="689"/>
      <c r="D2948" s="689"/>
      <c r="E2948" s="689"/>
      <c r="F2948" s="689" t="s">
        <v>476</v>
      </c>
      <c r="G2948" s="689"/>
      <c r="H2948" s="689"/>
      <c r="I2948" s="689"/>
      <c r="J2948" s="564">
        <v>0</v>
      </c>
      <c r="K2948" s="552"/>
    </row>
    <row r="2949" spans="1:11" s="89" customFormat="1" ht="15" customHeight="1" x14ac:dyDescent="0.3">
      <c r="A2949" s="553" t="s">
        <v>410</v>
      </c>
      <c r="B2949" s="554" t="s">
        <v>5</v>
      </c>
      <c r="C2949" s="553" t="s">
        <v>4</v>
      </c>
      <c r="D2949" s="553" t="s">
        <v>438</v>
      </c>
      <c r="E2949" s="554" t="s">
        <v>463</v>
      </c>
      <c r="F2949" s="554" t="s">
        <v>575</v>
      </c>
      <c r="G2949" s="692" t="s">
        <v>576</v>
      </c>
      <c r="H2949" s="692"/>
      <c r="I2949" s="692"/>
      <c r="J2949" s="554" t="s">
        <v>466</v>
      </c>
      <c r="K2949" s="546"/>
    </row>
    <row r="2950" spans="1:11" ht="15" customHeight="1" x14ac:dyDescent="0.3">
      <c r="A2950" s="547" t="s">
        <v>433</v>
      </c>
      <c r="B2950" s="548" t="s">
        <v>115</v>
      </c>
      <c r="C2950" s="547" t="s">
        <v>1544</v>
      </c>
      <c r="D2950" s="547" t="s">
        <v>1545</v>
      </c>
      <c r="E2950" s="550">
        <v>13.729649999999999</v>
      </c>
      <c r="F2950" s="549" t="s">
        <v>655</v>
      </c>
      <c r="G2950" s="693">
        <v>9.3813999999999993</v>
      </c>
      <c r="H2950" s="693"/>
      <c r="I2950" s="688"/>
      <c r="J2950" s="563">
        <v>128.80330000000001</v>
      </c>
      <c r="K2950" s="552"/>
    </row>
    <row r="2951" spans="1:11" s="89" customFormat="1" ht="25" x14ac:dyDescent="0.3">
      <c r="A2951" s="547" t="s">
        <v>433</v>
      </c>
      <c r="B2951" s="548" t="s">
        <v>115</v>
      </c>
      <c r="C2951" s="547" t="s">
        <v>1546</v>
      </c>
      <c r="D2951" s="547" t="s">
        <v>1547</v>
      </c>
      <c r="E2951" s="550">
        <v>1.2</v>
      </c>
      <c r="F2951" s="549" t="s">
        <v>830</v>
      </c>
      <c r="G2951" s="693">
        <v>7.1277999999999997</v>
      </c>
      <c r="H2951" s="693"/>
      <c r="I2951" s="688"/>
      <c r="J2951" s="563">
        <v>8.5533999999999999</v>
      </c>
      <c r="K2951" s="546"/>
    </row>
    <row r="2952" spans="1:11" x14ac:dyDescent="0.3">
      <c r="A2952" s="547" t="s">
        <v>433</v>
      </c>
      <c r="B2952" s="548" t="s">
        <v>115</v>
      </c>
      <c r="C2952" s="547" t="s">
        <v>1548</v>
      </c>
      <c r="D2952" s="547" t="s">
        <v>1549</v>
      </c>
      <c r="E2952" s="550">
        <v>2</v>
      </c>
      <c r="F2952" s="549" t="s">
        <v>869</v>
      </c>
      <c r="G2952" s="693">
        <v>3.3852000000000002</v>
      </c>
      <c r="H2952" s="693"/>
      <c r="I2952" s="688"/>
      <c r="J2952" s="563">
        <v>6.7704000000000004</v>
      </c>
      <c r="K2952" s="552"/>
    </row>
    <row r="2953" spans="1:11" s="89" customFormat="1" x14ac:dyDescent="0.3">
      <c r="A2953" s="547" t="s">
        <v>433</v>
      </c>
      <c r="B2953" s="548" t="s">
        <v>115</v>
      </c>
      <c r="C2953" s="547" t="s">
        <v>1550</v>
      </c>
      <c r="D2953" s="547" t="s">
        <v>1551</v>
      </c>
      <c r="E2953" s="550">
        <v>0.35541</v>
      </c>
      <c r="F2953" s="549" t="s">
        <v>869</v>
      </c>
      <c r="G2953" s="693">
        <v>3.4264999999999999</v>
      </c>
      <c r="H2953" s="693"/>
      <c r="I2953" s="688"/>
      <c r="J2953" s="563">
        <v>1.2178</v>
      </c>
      <c r="K2953" s="546"/>
    </row>
    <row r="2954" spans="1:11" s="89" customFormat="1" ht="15" customHeight="1" x14ac:dyDescent="0.3">
      <c r="A2954" s="689"/>
      <c r="B2954" s="689"/>
      <c r="C2954" s="689"/>
      <c r="D2954" s="689"/>
      <c r="E2954" s="689"/>
      <c r="F2954" s="689" t="s">
        <v>813</v>
      </c>
      <c r="G2954" s="689"/>
      <c r="H2954" s="689"/>
      <c r="I2954" s="689"/>
      <c r="J2954" s="564">
        <v>145.3449</v>
      </c>
      <c r="K2954" s="546"/>
    </row>
    <row r="2955" spans="1:11" ht="15" customHeight="1" x14ac:dyDescent="0.3">
      <c r="A2955" s="553" t="s">
        <v>573</v>
      </c>
      <c r="B2955" s="554" t="s">
        <v>5</v>
      </c>
      <c r="C2955" s="553" t="s">
        <v>4</v>
      </c>
      <c r="D2955" s="553" t="s">
        <v>574</v>
      </c>
      <c r="E2955" s="554" t="s">
        <v>463</v>
      </c>
      <c r="F2955" s="554" t="s">
        <v>575</v>
      </c>
      <c r="G2955" s="692" t="s">
        <v>576</v>
      </c>
      <c r="H2955" s="692"/>
      <c r="I2955" s="692"/>
      <c r="J2955" s="554" t="s">
        <v>466</v>
      </c>
      <c r="K2955" s="552"/>
    </row>
    <row r="2956" spans="1:11" s="89" customFormat="1" x14ac:dyDescent="0.3">
      <c r="A2956" s="547" t="s">
        <v>577</v>
      </c>
      <c r="B2956" s="548" t="s">
        <v>115</v>
      </c>
      <c r="C2956" s="547">
        <v>1419543</v>
      </c>
      <c r="D2956" s="547" t="s">
        <v>1552</v>
      </c>
      <c r="E2956" s="550">
        <v>10</v>
      </c>
      <c r="F2956" s="549" t="s">
        <v>869</v>
      </c>
      <c r="G2956" s="693">
        <v>0.19</v>
      </c>
      <c r="H2956" s="693"/>
      <c r="I2956" s="688"/>
      <c r="J2956" s="563">
        <v>1.9</v>
      </c>
      <c r="K2956" s="546"/>
    </row>
    <row r="2957" spans="1:11" ht="14.25" customHeight="1" x14ac:dyDescent="0.3">
      <c r="A2957" s="547" t="s">
        <v>577</v>
      </c>
      <c r="B2957" s="548" t="s">
        <v>115</v>
      </c>
      <c r="C2957" s="547">
        <v>2408080</v>
      </c>
      <c r="D2957" s="547" t="s">
        <v>1553</v>
      </c>
      <c r="E2957" s="550">
        <v>1.1659999999999999</v>
      </c>
      <c r="F2957" s="549" t="s">
        <v>556</v>
      </c>
      <c r="G2957" s="693">
        <v>8.18</v>
      </c>
      <c r="H2957" s="693"/>
      <c r="I2957" s="688"/>
      <c r="J2957" s="563">
        <v>9.5379000000000005</v>
      </c>
      <c r="K2957" s="552"/>
    </row>
    <row r="2958" spans="1:11" ht="14.25" customHeight="1" x14ac:dyDescent="0.3">
      <c r="A2958" s="547" t="s">
        <v>577</v>
      </c>
      <c r="B2958" s="548" t="s">
        <v>115</v>
      </c>
      <c r="C2958" s="547">
        <v>2408079</v>
      </c>
      <c r="D2958" s="547" t="s">
        <v>1554</v>
      </c>
      <c r="E2958" s="550">
        <v>1.1659999999999999</v>
      </c>
      <c r="F2958" s="549" t="s">
        <v>556</v>
      </c>
      <c r="G2958" s="693">
        <v>49.29</v>
      </c>
      <c r="H2958" s="693"/>
      <c r="I2958" s="688"/>
      <c r="J2958" s="563">
        <v>57.472099999999998</v>
      </c>
      <c r="K2958" s="552"/>
    </row>
    <row r="2959" spans="1:11" s="89" customFormat="1" ht="15" customHeight="1" x14ac:dyDescent="0.3">
      <c r="A2959" s="547" t="s">
        <v>577</v>
      </c>
      <c r="B2959" s="548" t="s">
        <v>115</v>
      </c>
      <c r="C2959" s="547">
        <v>2408057</v>
      </c>
      <c r="D2959" s="547" t="s">
        <v>1555</v>
      </c>
      <c r="E2959" s="550">
        <v>0.10650999999999999</v>
      </c>
      <c r="F2959" s="549" t="s">
        <v>655</v>
      </c>
      <c r="G2959" s="693">
        <v>96.17</v>
      </c>
      <c r="H2959" s="693"/>
      <c r="I2959" s="688"/>
      <c r="J2959" s="563">
        <v>10.2431</v>
      </c>
      <c r="K2959" s="546"/>
    </row>
    <row r="2960" spans="1:11" s="89" customFormat="1" ht="25" x14ac:dyDescent="0.3">
      <c r="A2960" s="547" t="s">
        <v>577</v>
      </c>
      <c r="B2960" s="548" t="s">
        <v>19</v>
      </c>
      <c r="C2960" s="547">
        <v>88241</v>
      </c>
      <c r="D2960" s="547" t="s">
        <v>794</v>
      </c>
      <c r="E2960" s="550">
        <v>0.35373939999999998</v>
      </c>
      <c r="F2960" s="549" t="s">
        <v>423</v>
      </c>
      <c r="G2960" s="693">
        <v>24.15</v>
      </c>
      <c r="H2960" s="693"/>
      <c r="I2960" s="688"/>
      <c r="J2960" s="563">
        <v>8.5427999999999997</v>
      </c>
      <c r="K2960" s="546"/>
    </row>
    <row r="2961" spans="1:11" ht="14.25" customHeight="1" x14ac:dyDescent="0.3">
      <c r="A2961" s="689"/>
      <c r="B2961" s="689"/>
      <c r="C2961" s="689"/>
      <c r="D2961" s="689"/>
      <c r="E2961" s="689"/>
      <c r="F2961" s="689" t="s">
        <v>578</v>
      </c>
      <c r="G2961" s="689"/>
      <c r="H2961" s="689"/>
      <c r="I2961" s="689"/>
      <c r="J2961" s="564">
        <v>87.695899999999995</v>
      </c>
      <c r="K2961" s="552"/>
    </row>
    <row r="2962" spans="1:11" s="89" customFormat="1" ht="15" customHeight="1" x14ac:dyDescent="0.3">
      <c r="A2962" s="553" t="s">
        <v>579</v>
      </c>
      <c r="B2962" s="554" t="s">
        <v>5</v>
      </c>
      <c r="C2962" s="553" t="s">
        <v>433</v>
      </c>
      <c r="D2962" s="553" t="s">
        <v>580</v>
      </c>
      <c r="E2962" s="554" t="s">
        <v>4</v>
      </c>
      <c r="F2962" s="554" t="s">
        <v>463</v>
      </c>
      <c r="G2962" s="555" t="s">
        <v>575</v>
      </c>
      <c r="H2962" s="692" t="s">
        <v>576</v>
      </c>
      <c r="I2962" s="692"/>
      <c r="J2962" s="554" t="s">
        <v>466</v>
      </c>
      <c r="K2962" s="546"/>
    </row>
    <row r="2963" spans="1:11" ht="15" customHeight="1" x14ac:dyDescent="0.3">
      <c r="A2963" s="547" t="s">
        <v>581</v>
      </c>
      <c r="B2963" s="548" t="s">
        <v>115</v>
      </c>
      <c r="C2963" s="547" t="s">
        <v>1544</v>
      </c>
      <c r="D2963" s="547" t="s">
        <v>844</v>
      </c>
      <c r="E2963" s="548">
        <v>5914655</v>
      </c>
      <c r="F2963" s="550">
        <v>1.3729999999999999E-2</v>
      </c>
      <c r="G2963" s="549" t="s">
        <v>584</v>
      </c>
      <c r="H2963" s="693">
        <v>33.159999999999997</v>
      </c>
      <c r="I2963" s="688"/>
      <c r="J2963" s="563">
        <v>0.45529999999999998</v>
      </c>
      <c r="K2963" s="552"/>
    </row>
    <row r="2964" spans="1:11" ht="25" x14ac:dyDescent="0.3">
      <c r="A2964" s="547" t="s">
        <v>581</v>
      </c>
      <c r="B2964" s="548" t="s">
        <v>115</v>
      </c>
      <c r="C2964" s="547" t="s">
        <v>1546</v>
      </c>
      <c r="D2964" s="547" t="s">
        <v>844</v>
      </c>
      <c r="E2964" s="548">
        <v>5914655</v>
      </c>
      <c r="F2964" s="550">
        <v>2.3000000000000001E-4</v>
      </c>
      <c r="G2964" s="549" t="s">
        <v>584</v>
      </c>
      <c r="H2964" s="693">
        <v>33.159999999999997</v>
      </c>
      <c r="I2964" s="688"/>
      <c r="J2964" s="563">
        <v>7.6E-3</v>
      </c>
      <c r="K2964" s="552"/>
    </row>
    <row r="2965" spans="1:11" s="89" customFormat="1" ht="15.75" customHeight="1" x14ac:dyDescent="0.3">
      <c r="A2965" s="547" t="s">
        <v>581</v>
      </c>
      <c r="B2965" s="548" t="s">
        <v>115</v>
      </c>
      <c r="C2965" s="547" t="s">
        <v>1548</v>
      </c>
      <c r="D2965" s="547" t="s">
        <v>844</v>
      </c>
      <c r="E2965" s="548">
        <v>5914655</v>
      </c>
      <c r="F2965" s="550">
        <v>8.0000000000000007E-5</v>
      </c>
      <c r="G2965" s="549" t="s">
        <v>584</v>
      </c>
      <c r="H2965" s="693">
        <v>33.159999999999997</v>
      </c>
      <c r="I2965" s="688"/>
      <c r="J2965" s="563">
        <v>2.7000000000000001E-3</v>
      </c>
      <c r="K2965" s="546"/>
    </row>
    <row r="2966" spans="1:11" s="89" customFormat="1" ht="15" customHeight="1" x14ac:dyDescent="0.3">
      <c r="A2966" s="689"/>
      <c r="B2966" s="689"/>
      <c r="C2966" s="689"/>
      <c r="D2966" s="689"/>
      <c r="E2966" s="689"/>
      <c r="F2966" s="689" t="s">
        <v>585</v>
      </c>
      <c r="G2966" s="689"/>
      <c r="H2966" s="689"/>
      <c r="I2966" s="689"/>
      <c r="J2966" s="564">
        <v>0.46560000000000001</v>
      </c>
      <c r="K2966" s="546"/>
    </row>
    <row r="2967" spans="1:11" ht="15" customHeight="1" x14ac:dyDescent="0.3">
      <c r="A2967" s="553" t="s">
        <v>586</v>
      </c>
      <c r="B2967" s="554" t="s">
        <v>5</v>
      </c>
      <c r="C2967" s="553" t="s">
        <v>433</v>
      </c>
      <c r="D2967" s="553" t="s">
        <v>587</v>
      </c>
      <c r="E2967" s="554" t="s">
        <v>463</v>
      </c>
      <c r="F2967" s="554" t="s">
        <v>575</v>
      </c>
      <c r="G2967" s="694" t="s">
        <v>588</v>
      </c>
      <c r="H2967" s="692"/>
      <c r="I2967" s="692"/>
      <c r="J2967" s="554" t="s">
        <v>466</v>
      </c>
      <c r="K2967" s="552"/>
    </row>
    <row r="2968" spans="1:11" s="89" customFormat="1" x14ac:dyDescent="0.3">
      <c r="A2968" s="555"/>
      <c r="B2968" s="555"/>
      <c r="C2968" s="555"/>
      <c r="D2968" s="555"/>
      <c r="E2968" s="555"/>
      <c r="F2968" s="555"/>
      <c r="G2968" s="555" t="s">
        <v>589</v>
      </c>
      <c r="H2968" s="555" t="s">
        <v>590</v>
      </c>
      <c r="I2968" s="555" t="s">
        <v>591</v>
      </c>
      <c r="J2968" s="555"/>
      <c r="K2968" s="546"/>
    </row>
    <row r="2969" spans="1:11" s="89" customFormat="1" ht="15" customHeight="1" x14ac:dyDescent="0.3">
      <c r="A2969" s="547" t="s">
        <v>587</v>
      </c>
      <c r="B2969" s="548" t="s">
        <v>115</v>
      </c>
      <c r="C2969" s="547" t="s">
        <v>1544</v>
      </c>
      <c r="D2969" s="547" t="s">
        <v>1556</v>
      </c>
      <c r="E2969" s="550">
        <v>1.3729999999999999E-2</v>
      </c>
      <c r="F2969" s="549" t="s">
        <v>593</v>
      </c>
      <c r="G2969" s="548" t="s">
        <v>3846</v>
      </c>
      <c r="H2969" s="548" t="s">
        <v>3847</v>
      </c>
      <c r="I2969" s="548" t="s">
        <v>3848</v>
      </c>
      <c r="J2969" s="563">
        <v>0</v>
      </c>
      <c r="K2969" s="546"/>
    </row>
    <row r="2970" spans="1:11" ht="14.25" customHeight="1" x14ac:dyDescent="0.3">
      <c r="A2970" s="547" t="s">
        <v>587</v>
      </c>
      <c r="B2970" s="548" t="s">
        <v>115</v>
      </c>
      <c r="C2970" s="547" t="s">
        <v>1546</v>
      </c>
      <c r="D2970" s="547" t="s">
        <v>1557</v>
      </c>
      <c r="E2970" s="550">
        <v>2.3000000000000001E-4</v>
      </c>
      <c r="F2970" s="549" t="s">
        <v>593</v>
      </c>
      <c r="G2970" s="548" t="s">
        <v>3846</v>
      </c>
      <c r="H2970" s="548" t="s">
        <v>3847</v>
      </c>
      <c r="I2970" s="548" t="s">
        <v>3848</v>
      </c>
      <c r="J2970" s="563">
        <v>0</v>
      </c>
      <c r="K2970" s="552"/>
    </row>
    <row r="2971" spans="1:11" ht="37.5" x14ac:dyDescent="0.3">
      <c r="A2971" s="547" t="s">
        <v>587</v>
      </c>
      <c r="B2971" s="548" t="s">
        <v>115</v>
      </c>
      <c r="C2971" s="547" t="s">
        <v>1548</v>
      </c>
      <c r="D2971" s="547" t="s">
        <v>1558</v>
      </c>
      <c r="E2971" s="550">
        <v>8.0000000000000007E-5</v>
      </c>
      <c r="F2971" s="549" t="s">
        <v>593</v>
      </c>
      <c r="G2971" s="548" t="s">
        <v>3846</v>
      </c>
      <c r="H2971" s="548" t="s">
        <v>3847</v>
      </c>
      <c r="I2971" s="548" t="s">
        <v>3848</v>
      </c>
      <c r="J2971" s="563">
        <v>0</v>
      </c>
      <c r="K2971" s="552"/>
    </row>
    <row r="2972" spans="1:11" ht="14.25" customHeight="1" thickBot="1" x14ac:dyDescent="0.35">
      <c r="A2972" s="689"/>
      <c r="B2972" s="689"/>
      <c r="C2972" s="689"/>
      <c r="D2972" s="689"/>
      <c r="E2972" s="689"/>
      <c r="F2972" s="689" t="s">
        <v>594</v>
      </c>
      <c r="G2972" s="689"/>
      <c r="H2972" s="689"/>
      <c r="I2972" s="689"/>
      <c r="J2972" s="564">
        <v>0</v>
      </c>
      <c r="K2972" s="552"/>
    </row>
    <row r="2973" spans="1:11" s="89" customFormat="1" ht="15" customHeight="1" thickTop="1" x14ac:dyDescent="0.3">
      <c r="A2973" s="562"/>
      <c r="B2973" s="562"/>
      <c r="C2973" s="562"/>
      <c r="D2973" s="562"/>
      <c r="E2973" s="562"/>
      <c r="F2973" s="562"/>
      <c r="G2973" s="562"/>
      <c r="H2973" s="562"/>
      <c r="I2973" s="562"/>
      <c r="J2973" s="562"/>
      <c r="K2973" s="546"/>
    </row>
    <row r="2974" spans="1:11" ht="14.25" customHeight="1" x14ac:dyDescent="0.3">
      <c r="A2974" s="553"/>
      <c r="B2974" s="554" t="s">
        <v>4</v>
      </c>
      <c r="C2974" s="553" t="s">
        <v>5</v>
      </c>
      <c r="D2974" s="553" t="s">
        <v>6</v>
      </c>
      <c r="E2974" s="691" t="s">
        <v>427</v>
      </c>
      <c r="F2974" s="691"/>
      <c r="G2974" s="555" t="s">
        <v>7</v>
      </c>
      <c r="H2974" s="554" t="s">
        <v>8</v>
      </c>
      <c r="I2974" s="554" t="s">
        <v>9</v>
      </c>
      <c r="J2974" s="554" t="s">
        <v>11</v>
      </c>
      <c r="K2974" s="552"/>
    </row>
    <row r="2975" spans="1:11" ht="25" x14ac:dyDescent="0.3">
      <c r="A2975" s="607" t="s">
        <v>428</v>
      </c>
      <c r="B2975" s="608" t="s">
        <v>1559</v>
      </c>
      <c r="C2975" s="607" t="s">
        <v>115</v>
      </c>
      <c r="D2975" s="607" t="s">
        <v>1120</v>
      </c>
      <c r="E2975" s="690" t="s">
        <v>402</v>
      </c>
      <c r="F2975" s="690"/>
      <c r="G2975" s="609" t="s">
        <v>532</v>
      </c>
      <c r="H2975" s="610">
        <v>1</v>
      </c>
      <c r="I2975" s="611">
        <v>448.91</v>
      </c>
      <c r="J2975" s="611">
        <v>448.91</v>
      </c>
      <c r="K2975" s="552"/>
    </row>
    <row r="2976" spans="1:11" s="89" customFormat="1" ht="15" customHeight="1" x14ac:dyDescent="0.3">
      <c r="A2976" s="691" t="s">
        <v>408</v>
      </c>
      <c r="B2976" s="692" t="s">
        <v>4</v>
      </c>
      <c r="C2976" s="691" t="s">
        <v>5</v>
      </c>
      <c r="D2976" s="691" t="s">
        <v>462</v>
      </c>
      <c r="E2976" s="692" t="s">
        <v>463</v>
      </c>
      <c r="F2976" s="694" t="s">
        <v>464</v>
      </c>
      <c r="G2976" s="692"/>
      <c r="H2976" s="694" t="s">
        <v>465</v>
      </c>
      <c r="I2976" s="692"/>
      <c r="J2976" s="692" t="s">
        <v>466</v>
      </c>
      <c r="K2976" s="546"/>
    </row>
    <row r="2977" spans="1:11" ht="14.25" customHeight="1" x14ac:dyDescent="0.3">
      <c r="A2977" s="692"/>
      <c r="B2977" s="692"/>
      <c r="C2977" s="692"/>
      <c r="D2977" s="692"/>
      <c r="E2977" s="692"/>
      <c r="F2977" s="554" t="s">
        <v>467</v>
      </c>
      <c r="G2977" s="554" t="s">
        <v>468</v>
      </c>
      <c r="H2977" s="554" t="s">
        <v>467</v>
      </c>
      <c r="I2977" s="554" t="s">
        <v>468</v>
      </c>
      <c r="J2977" s="692"/>
      <c r="K2977" s="552"/>
    </row>
    <row r="2978" spans="1:11" s="89" customFormat="1" ht="15" customHeight="1" x14ac:dyDescent="0.3">
      <c r="A2978" s="547" t="s">
        <v>433</v>
      </c>
      <c r="B2978" s="548" t="s">
        <v>1560</v>
      </c>
      <c r="C2978" s="547" t="s">
        <v>115</v>
      </c>
      <c r="D2978" s="547" t="s">
        <v>3706</v>
      </c>
      <c r="E2978" s="550">
        <v>1</v>
      </c>
      <c r="F2978" s="551">
        <v>1</v>
      </c>
      <c r="G2978" s="551">
        <v>0</v>
      </c>
      <c r="H2978" s="563">
        <v>1.0383</v>
      </c>
      <c r="I2978" s="563">
        <v>0.69750000000000001</v>
      </c>
      <c r="J2978" s="563">
        <v>1.0383</v>
      </c>
      <c r="K2978" s="546"/>
    </row>
    <row r="2979" spans="1:11" x14ac:dyDescent="0.3">
      <c r="A2979" s="547" t="s">
        <v>433</v>
      </c>
      <c r="B2979" s="548" t="s">
        <v>1153</v>
      </c>
      <c r="C2979" s="547" t="s">
        <v>115</v>
      </c>
      <c r="D2979" s="547" t="s">
        <v>1154</v>
      </c>
      <c r="E2979" s="550">
        <v>1</v>
      </c>
      <c r="F2979" s="551">
        <v>1</v>
      </c>
      <c r="G2979" s="551">
        <v>0</v>
      </c>
      <c r="H2979" s="563">
        <v>49.805100000000003</v>
      </c>
      <c r="I2979" s="563">
        <v>28.7041</v>
      </c>
      <c r="J2979" s="563">
        <v>49.805100000000003</v>
      </c>
      <c r="K2979" s="552"/>
    </row>
    <row r="2980" spans="1:11" ht="15" customHeight="1" x14ac:dyDescent="0.3">
      <c r="A2980" s="547" t="s">
        <v>433</v>
      </c>
      <c r="B2980" s="548" t="s">
        <v>893</v>
      </c>
      <c r="C2980" s="547" t="s">
        <v>115</v>
      </c>
      <c r="D2980" s="547" t="s">
        <v>894</v>
      </c>
      <c r="E2980" s="550">
        <v>4</v>
      </c>
      <c r="F2980" s="551">
        <v>0.9</v>
      </c>
      <c r="G2980" s="551">
        <v>0.1</v>
      </c>
      <c r="H2980" s="563">
        <v>0.68179999999999996</v>
      </c>
      <c r="I2980" s="563">
        <v>0.46350000000000002</v>
      </c>
      <c r="J2980" s="563">
        <v>2.6398999999999999</v>
      </c>
      <c r="K2980" s="552"/>
    </row>
    <row r="2981" spans="1:11" s="89" customFormat="1" x14ac:dyDescent="0.3">
      <c r="A2981" s="547" t="s">
        <v>433</v>
      </c>
      <c r="B2981" s="548" t="s">
        <v>1155</v>
      </c>
      <c r="C2981" s="547" t="s">
        <v>115</v>
      </c>
      <c r="D2981" s="547" t="s">
        <v>1156</v>
      </c>
      <c r="E2981" s="550">
        <v>3</v>
      </c>
      <c r="F2981" s="551">
        <v>0.41</v>
      </c>
      <c r="G2981" s="551">
        <v>0.59</v>
      </c>
      <c r="H2981" s="563">
        <v>1.5432999999999999</v>
      </c>
      <c r="I2981" s="563">
        <v>1.0491999999999999</v>
      </c>
      <c r="J2981" s="563">
        <v>3.7553000000000001</v>
      </c>
      <c r="K2981" s="546"/>
    </row>
    <row r="2982" spans="1:11" s="89" customFormat="1" ht="15" customHeight="1" x14ac:dyDescent="0.3">
      <c r="A2982" s="689"/>
      <c r="B2982" s="689"/>
      <c r="C2982" s="689"/>
      <c r="D2982" s="689"/>
      <c r="E2982" s="689"/>
      <c r="F2982" s="689" t="s">
        <v>471</v>
      </c>
      <c r="G2982" s="689"/>
      <c r="H2982" s="689"/>
      <c r="I2982" s="689"/>
      <c r="J2982" s="564">
        <v>57.238599999999998</v>
      </c>
      <c r="K2982" s="546"/>
    </row>
    <row r="2983" spans="1:11" s="89" customFormat="1" ht="15" customHeight="1" x14ac:dyDescent="0.3">
      <c r="A2983" s="689"/>
      <c r="B2983" s="689"/>
      <c r="C2983" s="689"/>
      <c r="D2983" s="689"/>
      <c r="E2983" s="689"/>
      <c r="F2983" s="689" t="s">
        <v>472</v>
      </c>
      <c r="G2983" s="689"/>
      <c r="H2983" s="689"/>
      <c r="I2983" s="689"/>
      <c r="J2983" s="564">
        <v>57.238599999999998</v>
      </c>
      <c r="K2983" s="546"/>
    </row>
    <row r="2984" spans="1:11" s="89" customFormat="1" ht="15" customHeight="1" x14ac:dyDescent="0.3">
      <c r="A2984" s="689"/>
      <c r="B2984" s="689"/>
      <c r="C2984" s="689"/>
      <c r="D2984" s="689"/>
      <c r="E2984" s="689"/>
      <c r="F2984" s="689" t="s">
        <v>473</v>
      </c>
      <c r="G2984" s="689"/>
      <c r="H2984" s="689"/>
      <c r="I2984" s="689"/>
      <c r="J2984" s="564">
        <v>0</v>
      </c>
      <c r="K2984" s="546"/>
    </row>
    <row r="2985" spans="1:11" ht="14.25" customHeight="1" x14ac:dyDescent="0.3">
      <c r="A2985" s="689"/>
      <c r="B2985" s="689"/>
      <c r="C2985" s="689"/>
      <c r="D2985" s="689"/>
      <c r="E2985" s="689"/>
      <c r="F2985" s="689" t="s">
        <v>474</v>
      </c>
      <c r="G2985" s="689"/>
      <c r="H2985" s="689"/>
      <c r="I2985" s="689"/>
      <c r="J2985" s="564">
        <v>0</v>
      </c>
      <c r="K2985" s="552"/>
    </row>
    <row r="2986" spans="1:11" ht="14.25" customHeight="1" x14ac:dyDescent="0.3">
      <c r="A2986" s="689"/>
      <c r="B2986" s="689"/>
      <c r="C2986" s="689"/>
      <c r="D2986" s="689"/>
      <c r="E2986" s="689"/>
      <c r="F2986" s="689" t="s">
        <v>475</v>
      </c>
      <c r="G2986" s="689"/>
      <c r="H2986" s="689"/>
      <c r="I2986" s="689"/>
      <c r="J2986" s="564">
        <v>3.9289999999999998</v>
      </c>
      <c r="K2986" s="552"/>
    </row>
    <row r="2987" spans="1:11" s="89" customFormat="1" ht="15" customHeight="1" x14ac:dyDescent="0.3">
      <c r="A2987" s="689"/>
      <c r="B2987" s="689"/>
      <c r="C2987" s="689"/>
      <c r="D2987" s="689"/>
      <c r="E2987" s="689"/>
      <c r="F2987" s="689" t="s">
        <v>476</v>
      </c>
      <c r="G2987" s="689"/>
      <c r="H2987" s="689"/>
      <c r="I2987" s="689"/>
      <c r="J2987" s="564">
        <v>14.568300000000001</v>
      </c>
      <c r="K2987" s="546"/>
    </row>
    <row r="2988" spans="1:11" ht="14.25" customHeight="1" x14ac:dyDescent="0.3">
      <c r="A2988" s="553" t="s">
        <v>410</v>
      </c>
      <c r="B2988" s="554" t="s">
        <v>5</v>
      </c>
      <c r="C2988" s="553" t="s">
        <v>4</v>
      </c>
      <c r="D2988" s="553" t="s">
        <v>438</v>
      </c>
      <c r="E2988" s="554" t="s">
        <v>463</v>
      </c>
      <c r="F2988" s="554" t="s">
        <v>575</v>
      </c>
      <c r="G2988" s="692" t="s">
        <v>576</v>
      </c>
      <c r="H2988" s="692"/>
      <c r="I2988" s="692"/>
      <c r="J2988" s="554" t="s">
        <v>466</v>
      </c>
      <c r="K2988" s="552"/>
    </row>
    <row r="2989" spans="1:11" s="89" customFormat="1" ht="15" customHeight="1" x14ac:dyDescent="0.3">
      <c r="A2989" s="547" t="s">
        <v>433</v>
      </c>
      <c r="B2989" s="548" t="s">
        <v>115</v>
      </c>
      <c r="C2989" s="547" t="s">
        <v>1561</v>
      </c>
      <c r="D2989" s="547" t="s">
        <v>1562</v>
      </c>
      <c r="E2989" s="550">
        <v>0.84645999999999999</v>
      </c>
      <c r="F2989" s="549" t="s">
        <v>655</v>
      </c>
      <c r="G2989" s="693">
        <v>6.6337999999999999</v>
      </c>
      <c r="H2989" s="693"/>
      <c r="I2989" s="688"/>
      <c r="J2989" s="563">
        <v>5.6151999999999997</v>
      </c>
      <c r="K2989" s="546"/>
    </row>
    <row r="2990" spans="1:11" x14ac:dyDescent="0.3">
      <c r="A2990" s="547" t="s">
        <v>433</v>
      </c>
      <c r="B2990" s="548" t="s">
        <v>115</v>
      </c>
      <c r="C2990" s="547" t="s">
        <v>1157</v>
      </c>
      <c r="D2990" s="547" t="s">
        <v>1158</v>
      </c>
      <c r="E2990" s="550">
        <v>0.63334000000000001</v>
      </c>
      <c r="F2990" s="549" t="s">
        <v>532</v>
      </c>
      <c r="G2990" s="693">
        <v>165.1438</v>
      </c>
      <c r="H2990" s="693"/>
      <c r="I2990" s="688"/>
      <c r="J2990" s="563">
        <v>104.59220000000001</v>
      </c>
      <c r="K2990" s="552"/>
    </row>
    <row r="2991" spans="1:11" s="89" customFormat="1" x14ac:dyDescent="0.3">
      <c r="A2991" s="547" t="s">
        <v>433</v>
      </c>
      <c r="B2991" s="548" t="s">
        <v>115</v>
      </c>
      <c r="C2991" s="547" t="s">
        <v>1563</v>
      </c>
      <c r="D2991" s="547" t="s">
        <v>823</v>
      </c>
      <c r="E2991" s="550">
        <v>0.36753999999999998</v>
      </c>
      <c r="F2991" s="549" t="s">
        <v>532</v>
      </c>
      <c r="G2991" s="693">
        <v>120.4661</v>
      </c>
      <c r="H2991" s="693"/>
      <c r="I2991" s="688"/>
      <c r="J2991" s="563">
        <v>44.2761</v>
      </c>
      <c r="K2991" s="546"/>
    </row>
    <row r="2992" spans="1:11" ht="15" customHeight="1" x14ac:dyDescent="0.3">
      <c r="A2992" s="547" t="s">
        <v>433</v>
      </c>
      <c r="B2992" s="548" t="s">
        <v>115</v>
      </c>
      <c r="C2992" s="547" t="s">
        <v>811</v>
      </c>
      <c r="D2992" s="547" t="s">
        <v>812</v>
      </c>
      <c r="E2992" s="550">
        <v>0.36753999999999998</v>
      </c>
      <c r="F2992" s="549" t="s">
        <v>532</v>
      </c>
      <c r="G2992" s="693">
        <v>120.2563</v>
      </c>
      <c r="H2992" s="693"/>
      <c r="I2992" s="688"/>
      <c r="J2992" s="563">
        <v>44.198999999999998</v>
      </c>
      <c r="K2992" s="552"/>
    </row>
    <row r="2993" spans="1:11" x14ac:dyDescent="0.3">
      <c r="A2993" s="547" t="s">
        <v>433</v>
      </c>
      <c r="B2993" s="548" t="s">
        <v>115</v>
      </c>
      <c r="C2993" s="547" t="s">
        <v>1159</v>
      </c>
      <c r="D2993" s="547" t="s">
        <v>1160</v>
      </c>
      <c r="E2993" s="550">
        <v>282.15206999999998</v>
      </c>
      <c r="F2993" s="549" t="s">
        <v>655</v>
      </c>
      <c r="G2993" s="693">
        <v>0.57099999999999995</v>
      </c>
      <c r="H2993" s="693"/>
      <c r="I2993" s="688"/>
      <c r="J2993" s="563">
        <v>161.1088</v>
      </c>
      <c r="K2993" s="552"/>
    </row>
    <row r="2994" spans="1:11" ht="14.25" customHeight="1" x14ac:dyDescent="0.3">
      <c r="A2994" s="689"/>
      <c r="B2994" s="689"/>
      <c r="C2994" s="689"/>
      <c r="D2994" s="689"/>
      <c r="E2994" s="689"/>
      <c r="F2994" s="689" t="s">
        <v>813</v>
      </c>
      <c r="G2994" s="689"/>
      <c r="H2994" s="689"/>
      <c r="I2994" s="689"/>
      <c r="J2994" s="564">
        <v>359.79129999999998</v>
      </c>
      <c r="K2994" s="552"/>
    </row>
    <row r="2995" spans="1:11" s="89" customFormat="1" ht="15" customHeight="1" x14ac:dyDescent="0.3">
      <c r="A2995" s="553" t="s">
        <v>573</v>
      </c>
      <c r="B2995" s="554" t="s">
        <v>5</v>
      </c>
      <c r="C2995" s="553" t="s">
        <v>4</v>
      </c>
      <c r="D2995" s="553" t="s">
        <v>574</v>
      </c>
      <c r="E2995" s="554" t="s">
        <v>463</v>
      </c>
      <c r="F2995" s="554" t="s">
        <v>575</v>
      </c>
      <c r="G2995" s="692" t="s">
        <v>576</v>
      </c>
      <c r="H2995" s="692"/>
      <c r="I2995" s="692"/>
      <c r="J2995" s="554" t="s">
        <v>466</v>
      </c>
      <c r="K2995" s="546"/>
    </row>
    <row r="2996" spans="1:11" s="89" customFormat="1" x14ac:dyDescent="0.3">
      <c r="A2996" s="547" t="s">
        <v>577</v>
      </c>
      <c r="B2996" s="548" t="s">
        <v>19</v>
      </c>
      <c r="C2996" s="547">
        <v>88316</v>
      </c>
      <c r="D2996" s="547" t="s">
        <v>560</v>
      </c>
      <c r="E2996" s="550">
        <v>2.2906650000000002</v>
      </c>
      <c r="F2996" s="549" t="s">
        <v>423</v>
      </c>
      <c r="G2996" s="693">
        <v>23.4</v>
      </c>
      <c r="H2996" s="693"/>
      <c r="I2996" s="688"/>
      <c r="J2996" s="563">
        <v>53.601599999999998</v>
      </c>
      <c r="K2996" s="546"/>
    </row>
    <row r="2997" spans="1:11" ht="15" customHeight="1" x14ac:dyDescent="0.3">
      <c r="A2997" s="547" t="s">
        <v>577</v>
      </c>
      <c r="B2997" s="548" t="s">
        <v>19</v>
      </c>
      <c r="C2997" s="547">
        <v>88309</v>
      </c>
      <c r="D2997" s="547" t="s">
        <v>761</v>
      </c>
      <c r="E2997" s="550">
        <v>0.25451829999999998</v>
      </c>
      <c r="F2997" s="549" t="s">
        <v>423</v>
      </c>
      <c r="G2997" s="693">
        <v>31.1</v>
      </c>
      <c r="H2997" s="693"/>
      <c r="I2997" s="688"/>
      <c r="J2997" s="563">
        <v>7.9154999999999998</v>
      </c>
      <c r="K2997" s="552"/>
    </row>
    <row r="2998" spans="1:11" ht="14.25" customHeight="1" x14ac:dyDescent="0.3">
      <c r="A2998" s="689"/>
      <c r="B2998" s="689"/>
      <c r="C2998" s="689"/>
      <c r="D2998" s="689"/>
      <c r="E2998" s="689"/>
      <c r="F2998" s="689" t="s">
        <v>578</v>
      </c>
      <c r="G2998" s="689"/>
      <c r="H2998" s="689"/>
      <c r="I2998" s="689"/>
      <c r="J2998" s="564">
        <v>61.517099999999999</v>
      </c>
      <c r="K2998" s="552"/>
    </row>
    <row r="2999" spans="1:11" s="89" customFormat="1" ht="15" customHeight="1" x14ac:dyDescent="0.3">
      <c r="A2999" s="553" t="s">
        <v>579</v>
      </c>
      <c r="B2999" s="554" t="s">
        <v>5</v>
      </c>
      <c r="C2999" s="553" t="s">
        <v>433</v>
      </c>
      <c r="D2999" s="553" t="s">
        <v>580</v>
      </c>
      <c r="E2999" s="554" t="s">
        <v>4</v>
      </c>
      <c r="F2999" s="554" t="s">
        <v>463</v>
      </c>
      <c r="G2999" s="555" t="s">
        <v>575</v>
      </c>
      <c r="H2999" s="692" t="s">
        <v>576</v>
      </c>
      <c r="I2999" s="692"/>
      <c r="J2999" s="554" t="s">
        <v>466</v>
      </c>
      <c r="K2999" s="546"/>
    </row>
    <row r="3000" spans="1:11" s="89" customFormat="1" ht="25" x14ac:dyDescent="0.3">
      <c r="A3000" s="547" t="s">
        <v>581</v>
      </c>
      <c r="B3000" s="548" t="s">
        <v>115</v>
      </c>
      <c r="C3000" s="547" t="s">
        <v>1561</v>
      </c>
      <c r="D3000" s="547" t="s">
        <v>844</v>
      </c>
      <c r="E3000" s="548">
        <v>5914655</v>
      </c>
      <c r="F3000" s="550">
        <v>8.4999999999999995E-4</v>
      </c>
      <c r="G3000" s="549" t="s">
        <v>584</v>
      </c>
      <c r="H3000" s="693">
        <v>33.159999999999997</v>
      </c>
      <c r="I3000" s="688"/>
      <c r="J3000" s="563">
        <v>2.8199999999999999E-2</v>
      </c>
      <c r="K3000" s="546"/>
    </row>
    <row r="3001" spans="1:11" s="89" customFormat="1" ht="15" customHeight="1" x14ac:dyDescent="0.3">
      <c r="A3001" s="547" t="s">
        <v>581</v>
      </c>
      <c r="B3001" s="548" t="s">
        <v>115</v>
      </c>
      <c r="C3001" s="547" t="s">
        <v>1157</v>
      </c>
      <c r="D3001" s="547" t="s">
        <v>814</v>
      </c>
      <c r="E3001" s="548">
        <v>5914647</v>
      </c>
      <c r="F3001" s="550">
        <v>0.95001000000000002</v>
      </c>
      <c r="G3001" s="549" t="s">
        <v>584</v>
      </c>
      <c r="H3001" s="693">
        <v>1.78</v>
      </c>
      <c r="I3001" s="688"/>
      <c r="J3001" s="563">
        <v>1.6910000000000001</v>
      </c>
      <c r="K3001" s="546"/>
    </row>
    <row r="3002" spans="1:11" s="89" customFormat="1" ht="15" customHeight="1" x14ac:dyDescent="0.3">
      <c r="A3002" s="547" t="s">
        <v>581</v>
      </c>
      <c r="B3002" s="548" t="s">
        <v>115</v>
      </c>
      <c r="C3002" s="547" t="s">
        <v>1563</v>
      </c>
      <c r="D3002" s="547" t="s">
        <v>814</v>
      </c>
      <c r="E3002" s="548">
        <v>5914647</v>
      </c>
      <c r="F3002" s="550">
        <v>0.55130999999999997</v>
      </c>
      <c r="G3002" s="549" t="s">
        <v>584</v>
      </c>
      <c r="H3002" s="693">
        <v>1.78</v>
      </c>
      <c r="I3002" s="688"/>
      <c r="J3002" s="563">
        <v>0.98129999999999995</v>
      </c>
      <c r="K3002" s="546"/>
    </row>
    <row r="3003" spans="1:11" ht="25" x14ac:dyDescent="0.3">
      <c r="A3003" s="547" t="s">
        <v>581</v>
      </c>
      <c r="B3003" s="548" t="s">
        <v>115</v>
      </c>
      <c r="C3003" s="547" t="s">
        <v>811</v>
      </c>
      <c r="D3003" s="547" t="s">
        <v>814</v>
      </c>
      <c r="E3003" s="548">
        <v>5914647</v>
      </c>
      <c r="F3003" s="550">
        <v>0.55130999999999997</v>
      </c>
      <c r="G3003" s="549" t="s">
        <v>584</v>
      </c>
      <c r="H3003" s="693">
        <v>1.78</v>
      </c>
      <c r="I3003" s="688"/>
      <c r="J3003" s="563">
        <v>0.98129999999999995</v>
      </c>
      <c r="K3003" s="552"/>
    </row>
    <row r="3004" spans="1:11" ht="25" x14ac:dyDescent="0.3">
      <c r="A3004" s="547" t="s">
        <v>581</v>
      </c>
      <c r="B3004" s="548" t="s">
        <v>115</v>
      </c>
      <c r="C3004" s="547" t="s">
        <v>1159</v>
      </c>
      <c r="D3004" s="547" t="s">
        <v>844</v>
      </c>
      <c r="E3004" s="548">
        <v>5914655</v>
      </c>
      <c r="F3004" s="550">
        <v>0.28215000000000001</v>
      </c>
      <c r="G3004" s="549" t="s">
        <v>584</v>
      </c>
      <c r="H3004" s="693">
        <v>33.159999999999997</v>
      </c>
      <c r="I3004" s="688"/>
      <c r="J3004" s="563">
        <v>9.3560999999999996</v>
      </c>
      <c r="K3004" s="552"/>
    </row>
    <row r="3005" spans="1:11" s="89" customFormat="1" ht="15" customHeight="1" x14ac:dyDescent="0.3">
      <c r="A3005" s="689"/>
      <c r="B3005" s="689"/>
      <c r="C3005" s="689"/>
      <c r="D3005" s="689"/>
      <c r="E3005" s="689"/>
      <c r="F3005" s="689" t="s">
        <v>585</v>
      </c>
      <c r="G3005" s="689"/>
      <c r="H3005" s="689"/>
      <c r="I3005" s="689"/>
      <c r="J3005" s="564">
        <v>13.0379</v>
      </c>
      <c r="K3005" s="546"/>
    </row>
    <row r="3006" spans="1:11" s="89" customFormat="1" ht="15" customHeight="1" x14ac:dyDescent="0.3">
      <c r="A3006" s="553" t="s">
        <v>586</v>
      </c>
      <c r="B3006" s="554" t="s">
        <v>5</v>
      </c>
      <c r="C3006" s="553" t="s">
        <v>433</v>
      </c>
      <c r="D3006" s="553" t="s">
        <v>587</v>
      </c>
      <c r="E3006" s="554" t="s">
        <v>463</v>
      </c>
      <c r="F3006" s="554" t="s">
        <v>575</v>
      </c>
      <c r="G3006" s="694" t="s">
        <v>588</v>
      </c>
      <c r="H3006" s="692"/>
      <c r="I3006" s="692"/>
      <c r="J3006" s="554" t="s">
        <v>466</v>
      </c>
      <c r="K3006" s="546"/>
    </row>
    <row r="3007" spans="1:11" s="89" customFormat="1" ht="15" customHeight="1" x14ac:dyDescent="0.3">
      <c r="A3007" s="555"/>
      <c r="B3007" s="555"/>
      <c r="C3007" s="555"/>
      <c r="D3007" s="555"/>
      <c r="E3007" s="555"/>
      <c r="F3007" s="555"/>
      <c r="G3007" s="555" t="s">
        <v>589</v>
      </c>
      <c r="H3007" s="555" t="s">
        <v>590</v>
      </c>
      <c r="I3007" s="555" t="s">
        <v>591</v>
      </c>
      <c r="J3007" s="555"/>
      <c r="K3007" s="546"/>
    </row>
    <row r="3008" spans="1:11" s="89" customFormat="1" ht="15" customHeight="1" x14ac:dyDescent="0.3">
      <c r="A3008" s="547" t="s">
        <v>587</v>
      </c>
      <c r="B3008" s="548" t="s">
        <v>115</v>
      </c>
      <c r="C3008" s="547" t="s">
        <v>1561</v>
      </c>
      <c r="D3008" s="547" t="s">
        <v>1564</v>
      </c>
      <c r="E3008" s="550">
        <v>8.4999999999999995E-4</v>
      </c>
      <c r="F3008" s="549" t="s">
        <v>593</v>
      </c>
      <c r="G3008" s="548" t="s">
        <v>3846</v>
      </c>
      <c r="H3008" s="548" t="s">
        <v>3847</v>
      </c>
      <c r="I3008" s="548" t="s">
        <v>3848</v>
      </c>
      <c r="J3008" s="563">
        <v>0</v>
      </c>
      <c r="K3008" s="546"/>
    </row>
    <row r="3009" spans="1:11" ht="14.25" customHeight="1" x14ac:dyDescent="0.3">
      <c r="A3009" s="547" t="s">
        <v>587</v>
      </c>
      <c r="B3009" s="548" t="s">
        <v>115</v>
      </c>
      <c r="C3009" s="547" t="s">
        <v>1157</v>
      </c>
      <c r="D3009" s="547" t="s">
        <v>1161</v>
      </c>
      <c r="E3009" s="550">
        <v>0.95001000000000002</v>
      </c>
      <c r="F3009" s="549" t="s">
        <v>593</v>
      </c>
      <c r="G3009" s="548" t="s">
        <v>3841</v>
      </c>
      <c r="H3009" s="548" t="s">
        <v>3842</v>
      </c>
      <c r="I3009" s="548" t="s">
        <v>3843</v>
      </c>
      <c r="J3009" s="563">
        <v>0</v>
      </c>
      <c r="K3009" s="552"/>
    </row>
    <row r="3010" spans="1:11" ht="37.5" x14ac:dyDescent="0.3">
      <c r="A3010" s="547" t="s">
        <v>587</v>
      </c>
      <c r="B3010" s="548" t="s">
        <v>115</v>
      </c>
      <c r="C3010" s="547" t="s">
        <v>1563</v>
      </c>
      <c r="D3010" s="547" t="s">
        <v>1565</v>
      </c>
      <c r="E3010" s="550">
        <v>0.55130999999999997</v>
      </c>
      <c r="F3010" s="549" t="s">
        <v>593</v>
      </c>
      <c r="G3010" s="548" t="s">
        <v>3841</v>
      </c>
      <c r="H3010" s="548" t="s">
        <v>3842</v>
      </c>
      <c r="I3010" s="548" t="s">
        <v>3843</v>
      </c>
      <c r="J3010" s="563">
        <v>0</v>
      </c>
      <c r="K3010" s="552"/>
    </row>
    <row r="3011" spans="1:11" s="89" customFormat="1" ht="15" customHeight="1" x14ac:dyDescent="0.3">
      <c r="A3011" s="547" t="s">
        <v>587</v>
      </c>
      <c r="B3011" s="548" t="s">
        <v>115</v>
      </c>
      <c r="C3011" s="547" t="s">
        <v>811</v>
      </c>
      <c r="D3011" s="547" t="s">
        <v>815</v>
      </c>
      <c r="E3011" s="550">
        <v>0.55130999999999997</v>
      </c>
      <c r="F3011" s="549" t="s">
        <v>593</v>
      </c>
      <c r="G3011" s="548" t="s">
        <v>3841</v>
      </c>
      <c r="H3011" s="548" t="s">
        <v>3842</v>
      </c>
      <c r="I3011" s="548" t="s">
        <v>3843</v>
      </c>
      <c r="J3011" s="563">
        <v>0</v>
      </c>
      <c r="K3011" s="546"/>
    </row>
    <row r="3012" spans="1:11" ht="14.25" customHeight="1" x14ac:dyDescent="0.3">
      <c r="A3012" s="547" t="s">
        <v>587</v>
      </c>
      <c r="B3012" s="548" t="s">
        <v>115</v>
      </c>
      <c r="C3012" s="547" t="s">
        <v>1159</v>
      </c>
      <c r="D3012" s="547" t="s">
        <v>1162</v>
      </c>
      <c r="E3012" s="550">
        <v>0.28215000000000001</v>
      </c>
      <c r="F3012" s="549" t="s">
        <v>593</v>
      </c>
      <c r="G3012" s="548" t="s">
        <v>3846</v>
      </c>
      <c r="H3012" s="548" t="s">
        <v>3847</v>
      </c>
      <c r="I3012" s="548" t="s">
        <v>3848</v>
      </c>
      <c r="J3012" s="563">
        <v>0</v>
      </c>
      <c r="K3012" s="552"/>
    </row>
    <row r="3013" spans="1:11" s="89" customFormat="1" ht="15" customHeight="1" thickBot="1" x14ac:dyDescent="0.35">
      <c r="A3013" s="689"/>
      <c r="B3013" s="689"/>
      <c r="C3013" s="689"/>
      <c r="D3013" s="689"/>
      <c r="E3013" s="689"/>
      <c r="F3013" s="689" t="s">
        <v>594</v>
      </c>
      <c r="G3013" s="689"/>
      <c r="H3013" s="689"/>
      <c r="I3013" s="689"/>
      <c r="J3013" s="564">
        <v>0</v>
      </c>
      <c r="K3013" s="546"/>
    </row>
    <row r="3014" spans="1:11" ht="14.5" thickTop="1" x14ac:dyDescent="0.3">
      <c r="A3014" s="562"/>
      <c r="B3014" s="562"/>
      <c r="C3014" s="562"/>
      <c r="D3014" s="562"/>
      <c r="E3014" s="562"/>
      <c r="F3014" s="562"/>
      <c r="G3014" s="562"/>
      <c r="H3014" s="562"/>
      <c r="I3014" s="562"/>
      <c r="J3014" s="562"/>
      <c r="K3014" s="552"/>
    </row>
    <row r="3015" spans="1:11" s="89" customFormat="1" x14ac:dyDescent="0.3">
      <c r="A3015" s="553"/>
      <c r="B3015" s="554" t="s">
        <v>4</v>
      </c>
      <c r="C3015" s="553" t="s">
        <v>5</v>
      </c>
      <c r="D3015" s="553" t="s">
        <v>6</v>
      </c>
      <c r="E3015" s="691" t="s">
        <v>427</v>
      </c>
      <c r="F3015" s="691"/>
      <c r="G3015" s="555" t="s">
        <v>7</v>
      </c>
      <c r="H3015" s="554" t="s">
        <v>8</v>
      </c>
      <c r="I3015" s="554" t="s">
        <v>9</v>
      </c>
      <c r="J3015" s="554" t="s">
        <v>11</v>
      </c>
      <c r="K3015" s="546"/>
    </row>
    <row r="3016" spans="1:11" ht="15" customHeight="1" x14ac:dyDescent="0.3">
      <c r="A3016" s="607" t="s">
        <v>428</v>
      </c>
      <c r="B3016" s="608" t="s">
        <v>1566</v>
      </c>
      <c r="C3016" s="607" t="s">
        <v>115</v>
      </c>
      <c r="D3016" s="607" t="s">
        <v>1552</v>
      </c>
      <c r="E3016" s="690" t="s">
        <v>402</v>
      </c>
      <c r="F3016" s="690"/>
      <c r="G3016" s="609" t="s">
        <v>869</v>
      </c>
      <c r="H3016" s="610">
        <v>1</v>
      </c>
      <c r="I3016" s="611">
        <v>0.19</v>
      </c>
      <c r="J3016" s="611">
        <v>0.19</v>
      </c>
      <c r="K3016" s="552"/>
    </row>
    <row r="3017" spans="1:11" s="89" customFormat="1" ht="15" customHeight="1" x14ac:dyDescent="0.3">
      <c r="A3017" s="691" t="s">
        <v>408</v>
      </c>
      <c r="B3017" s="692" t="s">
        <v>4</v>
      </c>
      <c r="C3017" s="691" t="s">
        <v>5</v>
      </c>
      <c r="D3017" s="691" t="s">
        <v>462</v>
      </c>
      <c r="E3017" s="692" t="s">
        <v>463</v>
      </c>
      <c r="F3017" s="694" t="s">
        <v>464</v>
      </c>
      <c r="G3017" s="692"/>
      <c r="H3017" s="694" t="s">
        <v>465</v>
      </c>
      <c r="I3017" s="692"/>
      <c r="J3017" s="692" t="s">
        <v>466</v>
      </c>
      <c r="K3017" s="546"/>
    </row>
    <row r="3018" spans="1:11" s="89" customFormat="1" x14ac:dyDescent="0.3">
      <c r="A3018" s="692"/>
      <c r="B3018" s="692"/>
      <c r="C3018" s="692"/>
      <c r="D3018" s="692"/>
      <c r="E3018" s="692"/>
      <c r="F3018" s="554" t="s">
        <v>467</v>
      </c>
      <c r="G3018" s="554" t="s">
        <v>468</v>
      </c>
      <c r="H3018" s="554" t="s">
        <v>467</v>
      </c>
      <c r="I3018" s="554" t="s">
        <v>468</v>
      </c>
      <c r="J3018" s="692"/>
      <c r="K3018" s="546"/>
    </row>
    <row r="3019" spans="1:11" s="89" customFormat="1" x14ac:dyDescent="0.3">
      <c r="A3019" s="547" t="s">
        <v>433</v>
      </c>
      <c r="B3019" s="548" t="s">
        <v>936</v>
      </c>
      <c r="C3019" s="547" t="s">
        <v>115</v>
      </c>
      <c r="D3019" s="547" t="s">
        <v>937</v>
      </c>
      <c r="E3019" s="550">
        <v>1</v>
      </c>
      <c r="F3019" s="551">
        <v>0.42</v>
      </c>
      <c r="G3019" s="551">
        <v>0.57999999999999996</v>
      </c>
      <c r="H3019" s="563">
        <v>10.8424</v>
      </c>
      <c r="I3019" s="563">
        <v>0.48609999999999998</v>
      </c>
      <c r="J3019" s="563">
        <v>4.8357000000000001</v>
      </c>
      <c r="K3019" s="546"/>
    </row>
    <row r="3020" spans="1:11" ht="15" customHeight="1" x14ac:dyDescent="0.3">
      <c r="A3020" s="547" t="s">
        <v>433</v>
      </c>
      <c r="B3020" s="548" t="s">
        <v>1567</v>
      </c>
      <c r="C3020" s="547" t="s">
        <v>115</v>
      </c>
      <c r="D3020" s="547" t="s">
        <v>1568</v>
      </c>
      <c r="E3020" s="550">
        <v>1</v>
      </c>
      <c r="F3020" s="551">
        <v>0.42</v>
      </c>
      <c r="G3020" s="551">
        <v>0.57999999999999996</v>
      </c>
      <c r="H3020" s="563">
        <v>0.14910000000000001</v>
      </c>
      <c r="I3020" s="563">
        <v>0.1021</v>
      </c>
      <c r="J3020" s="563">
        <v>0.12180000000000001</v>
      </c>
      <c r="K3020" s="552"/>
    </row>
    <row r="3021" spans="1:11" s="89" customFormat="1" ht="15" customHeight="1" x14ac:dyDescent="0.3">
      <c r="A3021" s="689"/>
      <c r="B3021" s="689"/>
      <c r="C3021" s="689"/>
      <c r="D3021" s="689"/>
      <c r="E3021" s="689"/>
      <c r="F3021" s="689" t="s">
        <v>471</v>
      </c>
      <c r="G3021" s="689"/>
      <c r="H3021" s="689"/>
      <c r="I3021" s="689"/>
      <c r="J3021" s="564">
        <v>4.9574999999999996</v>
      </c>
      <c r="K3021" s="546"/>
    </row>
    <row r="3022" spans="1:11" ht="14.25" customHeight="1" x14ac:dyDescent="0.3">
      <c r="A3022" s="689"/>
      <c r="B3022" s="689"/>
      <c r="C3022" s="689"/>
      <c r="D3022" s="689"/>
      <c r="E3022" s="689"/>
      <c r="F3022" s="689" t="s">
        <v>472</v>
      </c>
      <c r="G3022" s="689"/>
      <c r="H3022" s="689"/>
      <c r="I3022" s="689"/>
      <c r="J3022" s="564">
        <v>4.9574999999999996</v>
      </c>
      <c r="K3022" s="552"/>
    </row>
    <row r="3023" spans="1:11" s="89" customFormat="1" ht="15" customHeight="1" x14ac:dyDescent="0.3">
      <c r="A3023" s="689"/>
      <c r="B3023" s="689"/>
      <c r="C3023" s="689"/>
      <c r="D3023" s="689"/>
      <c r="E3023" s="689"/>
      <c r="F3023" s="689" t="s">
        <v>473</v>
      </c>
      <c r="G3023" s="689"/>
      <c r="H3023" s="689"/>
      <c r="I3023" s="689"/>
      <c r="J3023" s="564">
        <v>0</v>
      </c>
      <c r="K3023" s="546"/>
    </row>
    <row r="3024" spans="1:11" ht="15" customHeight="1" x14ac:dyDescent="0.3">
      <c r="A3024" s="689"/>
      <c r="B3024" s="689"/>
      <c r="C3024" s="689"/>
      <c r="D3024" s="689"/>
      <c r="E3024" s="689"/>
      <c r="F3024" s="689" t="s">
        <v>474</v>
      </c>
      <c r="G3024" s="689"/>
      <c r="H3024" s="689"/>
      <c r="I3024" s="689"/>
      <c r="J3024" s="564">
        <v>0</v>
      </c>
      <c r="K3024" s="552"/>
    </row>
    <row r="3025" spans="1:11" s="89" customFormat="1" ht="15" customHeight="1" x14ac:dyDescent="0.3">
      <c r="A3025" s="689"/>
      <c r="B3025" s="689"/>
      <c r="C3025" s="689"/>
      <c r="D3025" s="689"/>
      <c r="E3025" s="689"/>
      <c r="F3025" s="689" t="s">
        <v>475</v>
      </c>
      <c r="G3025" s="689"/>
      <c r="H3025" s="689"/>
      <c r="I3025" s="689"/>
      <c r="J3025" s="564">
        <v>249</v>
      </c>
      <c r="K3025" s="546"/>
    </row>
    <row r="3026" spans="1:11" ht="14.25" customHeight="1" x14ac:dyDescent="0.3">
      <c r="A3026" s="689"/>
      <c r="B3026" s="689"/>
      <c r="C3026" s="689"/>
      <c r="D3026" s="689"/>
      <c r="E3026" s="689"/>
      <c r="F3026" s="689" t="s">
        <v>476</v>
      </c>
      <c r="G3026" s="689"/>
      <c r="H3026" s="689"/>
      <c r="I3026" s="689"/>
      <c r="J3026" s="564">
        <v>1.9900000000000001E-2</v>
      </c>
      <c r="K3026" s="552"/>
    </row>
    <row r="3027" spans="1:11" s="89" customFormat="1" ht="15" customHeight="1" x14ac:dyDescent="0.3">
      <c r="A3027" s="553" t="s">
        <v>410</v>
      </c>
      <c r="B3027" s="554" t="s">
        <v>5</v>
      </c>
      <c r="C3027" s="553" t="s">
        <v>4</v>
      </c>
      <c r="D3027" s="553" t="s">
        <v>438</v>
      </c>
      <c r="E3027" s="554" t="s">
        <v>463</v>
      </c>
      <c r="F3027" s="554" t="s">
        <v>575</v>
      </c>
      <c r="G3027" s="692" t="s">
        <v>576</v>
      </c>
      <c r="H3027" s="692"/>
      <c r="I3027" s="692"/>
      <c r="J3027" s="554" t="s">
        <v>466</v>
      </c>
      <c r="K3027" s="546"/>
    </row>
    <row r="3028" spans="1:11" ht="15" customHeight="1" x14ac:dyDescent="0.3">
      <c r="A3028" s="547" t="s">
        <v>433</v>
      </c>
      <c r="B3028" s="548" t="s">
        <v>115</v>
      </c>
      <c r="C3028" s="547" t="s">
        <v>1569</v>
      </c>
      <c r="D3028" s="547" t="s">
        <v>1570</v>
      </c>
      <c r="E3028" s="550">
        <v>2.5000000000000001E-3</v>
      </c>
      <c r="F3028" s="549" t="s">
        <v>869</v>
      </c>
      <c r="G3028" s="693">
        <v>17.536200000000001</v>
      </c>
      <c r="H3028" s="693"/>
      <c r="I3028" s="688"/>
      <c r="J3028" s="563">
        <v>4.3799999999999999E-2</v>
      </c>
      <c r="K3028" s="552"/>
    </row>
    <row r="3029" spans="1:11" ht="14.25" customHeight="1" x14ac:dyDescent="0.3">
      <c r="A3029" s="689"/>
      <c r="B3029" s="689"/>
      <c r="C3029" s="689"/>
      <c r="D3029" s="689"/>
      <c r="E3029" s="689"/>
      <c r="F3029" s="689" t="s">
        <v>813</v>
      </c>
      <c r="G3029" s="689"/>
      <c r="H3029" s="689"/>
      <c r="I3029" s="689"/>
      <c r="J3029" s="564">
        <v>4.3799999999999999E-2</v>
      </c>
      <c r="K3029" s="552"/>
    </row>
    <row r="3030" spans="1:11" ht="14.25" customHeight="1" x14ac:dyDescent="0.3">
      <c r="A3030" s="553" t="s">
        <v>573</v>
      </c>
      <c r="B3030" s="554" t="s">
        <v>5</v>
      </c>
      <c r="C3030" s="553" t="s">
        <v>4</v>
      </c>
      <c r="D3030" s="553" t="s">
        <v>574</v>
      </c>
      <c r="E3030" s="554" t="s">
        <v>463</v>
      </c>
      <c r="F3030" s="554" t="s">
        <v>575</v>
      </c>
      <c r="G3030" s="692" t="s">
        <v>576</v>
      </c>
      <c r="H3030" s="692"/>
      <c r="I3030" s="692"/>
      <c r="J3030" s="554" t="s">
        <v>466</v>
      </c>
      <c r="K3030" s="552"/>
    </row>
    <row r="3031" spans="1:11" ht="15" customHeight="1" x14ac:dyDescent="0.3">
      <c r="A3031" s="547" t="s">
        <v>577</v>
      </c>
      <c r="B3031" s="548" t="s">
        <v>19</v>
      </c>
      <c r="C3031" s="547">
        <v>88315</v>
      </c>
      <c r="D3031" s="547" t="s">
        <v>1166</v>
      </c>
      <c r="E3031" s="550">
        <v>4.0160999999999999E-3</v>
      </c>
      <c r="F3031" s="549" t="s">
        <v>423</v>
      </c>
      <c r="G3031" s="693">
        <v>30.85</v>
      </c>
      <c r="H3031" s="693"/>
      <c r="I3031" s="688"/>
      <c r="J3031" s="563">
        <v>0.1239</v>
      </c>
      <c r="K3031" s="552"/>
    </row>
    <row r="3032" spans="1:11" s="89" customFormat="1" ht="15.75" customHeight="1" thickBot="1" x14ac:dyDescent="0.35">
      <c r="A3032" s="689"/>
      <c r="B3032" s="689"/>
      <c r="C3032" s="689"/>
      <c r="D3032" s="689"/>
      <c r="E3032" s="689"/>
      <c r="F3032" s="689" t="s">
        <v>578</v>
      </c>
      <c r="G3032" s="689"/>
      <c r="H3032" s="689"/>
      <c r="I3032" s="689"/>
      <c r="J3032" s="564">
        <v>0.1239</v>
      </c>
      <c r="K3032" s="546"/>
    </row>
    <row r="3033" spans="1:11" ht="14.5" thickTop="1" x14ac:dyDescent="0.3">
      <c r="A3033" s="562"/>
      <c r="B3033" s="562"/>
      <c r="C3033" s="562"/>
      <c r="D3033" s="562"/>
      <c r="E3033" s="562"/>
      <c r="F3033" s="562"/>
      <c r="G3033" s="562"/>
      <c r="H3033" s="562"/>
      <c r="I3033" s="562"/>
      <c r="J3033" s="562"/>
      <c r="K3033" s="552"/>
    </row>
    <row r="3034" spans="1:11" s="89" customFormat="1" ht="15" customHeight="1" x14ac:dyDescent="0.3">
      <c r="A3034" s="553"/>
      <c r="B3034" s="554" t="s">
        <v>4</v>
      </c>
      <c r="C3034" s="553" t="s">
        <v>5</v>
      </c>
      <c r="D3034" s="553" t="s">
        <v>6</v>
      </c>
      <c r="E3034" s="691" t="s">
        <v>427</v>
      </c>
      <c r="F3034" s="691"/>
      <c r="G3034" s="555" t="s">
        <v>7</v>
      </c>
      <c r="H3034" s="554" t="s">
        <v>8</v>
      </c>
      <c r="I3034" s="554" t="s">
        <v>9</v>
      </c>
      <c r="J3034" s="554" t="s">
        <v>11</v>
      </c>
      <c r="K3034" s="546"/>
    </row>
    <row r="3035" spans="1:11" ht="15" customHeight="1" x14ac:dyDescent="0.3">
      <c r="A3035" s="607" t="s">
        <v>428</v>
      </c>
      <c r="B3035" s="608" t="s">
        <v>723</v>
      </c>
      <c r="C3035" s="607" t="s">
        <v>19</v>
      </c>
      <c r="D3035" s="607" t="s">
        <v>724</v>
      </c>
      <c r="E3035" s="690" t="s">
        <v>664</v>
      </c>
      <c r="F3035" s="690"/>
      <c r="G3035" s="609" t="s">
        <v>81</v>
      </c>
      <c r="H3035" s="610">
        <v>1</v>
      </c>
      <c r="I3035" s="611">
        <v>37.85</v>
      </c>
      <c r="J3035" s="611">
        <v>37.85</v>
      </c>
      <c r="K3035" s="552"/>
    </row>
    <row r="3036" spans="1:11" s="89" customFormat="1" ht="15" customHeight="1" x14ac:dyDescent="0.3">
      <c r="A3036" s="547" t="s">
        <v>430</v>
      </c>
      <c r="B3036" s="548" t="s">
        <v>863</v>
      </c>
      <c r="C3036" s="547" t="s">
        <v>19</v>
      </c>
      <c r="D3036" s="547" t="s">
        <v>864</v>
      </c>
      <c r="E3036" s="688" t="s">
        <v>429</v>
      </c>
      <c r="F3036" s="688"/>
      <c r="G3036" s="549" t="s">
        <v>423</v>
      </c>
      <c r="H3036" s="550">
        <v>0.13519999999999999</v>
      </c>
      <c r="I3036" s="551">
        <v>24.65</v>
      </c>
      <c r="J3036" s="551">
        <v>3.33</v>
      </c>
      <c r="K3036" s="546"/>
    </row>
    <row r="3037" spans="1:11" ht="14.25" customHeight="1" x14ac:dyDescent="0.3">
      <c r="A3037" s="547" t="s">
        <v>430</v>
      </c>
      <c r="B3037" s="548" t="s">
        <v>769</v>
      </c>
      <c r="C3037" s="547" t="s">
        <v>19</v>
      </c>
      <c r="D3037" s="547" t="s">
        <v>770</v>
      </c>
      <c r="E3037" s="688" t="s">
        <v>429</v>
      </c>
      <c r="F3037" s="688"/>
      <c r="G3037" s="549" t="s">
        <v>423</v>
      </c>
      <c r="H3037" s="550">
        <v>0.13519999999999999</v>
      </c>
      <c r="I3037" s="551">
        <v>31.49</v>
      </c>
      <c r="J3037" s="551">
        <v>4.25</v>
      </c>
      <c r="K3037" s="552"/>
    </row>
    <row r="3038" spans="1:11" s="89" customFormat="1" ht="15.75" customHeight="1" x14ac:dyDescent="0.3">
      <c r="A3038" s="547" t="s">
        <v>433</v>
      </c>
      <c r="B3038" s="548" t="s">
        <v>1571</v>
      </c>
      <c r="C3038" s="547" t="s">
        <v>19</v>
      </c>
      <c r="D3038" s="547" t="s">
        <v>1572</v>
      </c>
      <c r="E3038" s="688" t="s">
        <v>438</v>
      </c>
      <c r="F3038" s="688"/>
      <c r="G3038" s="549" t="s">
        <v>81</v>
      </c>
      <c r="H3038" s="550">
        <v>1</v>
      </c>
      <c r="I3038" s="551">
        <v>1.75</v>
      </c>
      <c r="J3038" s="551">
        <v>1.75</v>
      </c>
      <c r="K3038" s="546"/>
    </row>
    <row r="3039" spans="1:11" ht="15" customHeight="1" thickBot="1" x14ac:dyDescent="0.35">
      <c r="A3039" s="547" t="s">
        <v>433</v>
      </c>
      <c r="B3039" s="548" t="s">
        <v>1573</v>
      </c>
      <c r="C3039" s="547" t="s">
        <v>19</v>
      </c>
      <c r="D3039" s="547" t="s">
        <v>1574</v>
      </c>
      <c r="E3039" s="688" t="s">
        <v>438</v>
      </c>
      <c r="F3039" s="688"/>
      <c r="G3039" s="549" t="s">
        <v>81</v>
      </c>
      <c r="H3039" s="550">
        <v>1</v>
      </c>
      <c r="I3039" s="551">
        <v>28.52</v>
      </c>
      <c r="J3039" s="551">
        <v>28.52</v>
      </c>
      <c r="K3039" s="552"/>
    </row>
    <row r="3040" spans="1:11" s="89" customFormat="1" ht="14.5" thickTop="1" x14ac:dyDescent="0.3">
      <c r="A3040" s="562"/>
      <c r="B3040" s="562"/>
      <c r="C3040" s="562"/>
      <c r="D3040" s="562"/>
      <c r="E3040" s="562"/>
      <c r="F3040" s="562"/>
      <c r="G3040" s="562"/>
      <c r="H3040" s="562"/>
      <c r="I3040" s="562"/>
      <c r="J3040" s="562"/>
      <c r="K3040" s="546"/>
    </row>
    <row r="3041" spans="1:11" s="89" customFormat="1" x14ac:dyDescent="0.3">
      <c r="A3041" s="553"/>
      <c r="B3041" s="554" t="s">
        <v>4</v>
      </c>
      <c r="C3041" s="553" t="s">
        <v>5</v>
      </c>
      <c r="D3041" s="553" t="s">
        <v>6</v>
      </c>
      <c r="E3041" s="691" t="s">
        <v>427</v>
      </c>
      <c r="F3041" s="691"/>
      <c r="G3041" s="555" t="s">
        <v>7</v>
      </c>
      <c r="H3041" s="554" t="s">
        <v>8</v>
      </c>
      <c r="I3041" s="554" t="s">
        <v>9</v>
      </c>
      <c r="J3041" s="554" t="s">
        <v>11</v>
      </c>
      <c r="K3041" s="546"/>
    </row>
    <row r="3042" spans="1:11" s="89" customFormat="1" ht="15" customHeight="1" x14ac:dyDescent="0.3">
      <c r="A3042" s="607" t="s">
        <v>428</v>
      </c>
      <c r="B3042" s="608" t="s">
        <v>3903</v>
      </c>
      <c r="C3042" s="607" t="s">
        <v>19</v>
      </c>
      <c r="D3042" s="607" t="s">
        <v>3904</v>
      </c>
      <c r="E3042" s="690" t="s">
        <v>1033</v>
      </c>
      <c r="F3042" s="690"/>
      <c r="G3042" s="609" t="s">
        <v>81</v>
      </c>
      <c r="H3042" s="610">
        <v>1</v>
      </c>
      <c r="I3042" s="611">
        <v>27.94</v>
      </c>
      <c r="J3042" s="611">
        <v>27.94</v>
      </c>
      <c r="K3042" s="546"/>
    </row>
    <row r="3043" spans="1:11" ht="14.25" customHeight="1" x14ac:dyDescent="0.3">
      <c r="A3043" s="547" t="s">
        <v>430</v>
      </c>
      <c r="B3043" s="548" t="s">
        <v>559</v>
      </c>
      <c r="C3043" s="547" t="s">
        <v>19</v>
      </c>
      <c r="D3043" s="547" t="s">
        <v>560</v>
      </c>
      <c r="E3043" s="688" t="s">
        <v>429</v>
      </c>
      <c r="F3043" s="688"/>
      <c r="G3043" s="549" t="s">
        <v>423</v>
      </c>
      <c r="H3043" s="550">
        <v>0.51149999999999995</v>
      </c>
      <c r="I3043" s="551">
        <v>23.4</v>
      </c>
      <c r="J3043" s="551">
        <v>11.96</v>
      </c>
      <c r="K3043" s="552"/>
    </row>
    <row r="3044" spans="1:11" s="89" customFormat="1" x14ac:dyDescent="0.3">
      <c r="A3044" s="547" t="s">
        <v>433</v>
      </c>
      <c r="B3044" s="548" t="s">
        <v>3905</v>
      </c>
      <c r="C3044" s="547" t="s">
        <v>19</v>
      </c>
      <c r="D3044" s="547" t="s">
        <v>3906</v>
      </c>
      <c r="E3044" s="688" t="s">
        <v>438</v>
      </c>
      <c r="F3044" s="688"/>
      <c r="G3044" s="549" t="s">
        <v>424</v>
      </c>
      <c r="H3044" s="550">
        <v>8.5000000000000006E-3</v>
      </c>
      <c r="I3044" s="551">
        <v>27.64</v>
      </c>
      <c r="J3044" s="551">
        <v>0.23</v>
      </c>
      <c r="K3044" s="546"/>
    </row>
    <row r="3045" spans="1:11" s="89" customFormat="1" ht="15" customHeight="1" x14ac:dyDescent="0.3">
      <c r="A3045" s="547" t="s">
        <v>433</v>
      </c>
      <c r="B3045" s="548" t="s">
        <v>3907</v>
      </c>
      <c r="C3045" s="547" t="s">
        <v>19</v>
      </c>
      <c r="D3045" s="547" t="s">
        <v>3908</v>
      </c>
      <c r="E3045" s="688" t="s">
        <v>438</v>
      </c>
      <c r="F3045" s="688"/>
      <c r="G3045" s="549" t="s">
        <v>556</v>
      </c>
      <c r="H3045" s="550">
        <v>1.0125</v>
      </c>
      <c r="I3045" s="551">
        <v>6.52</v>
      </c>
      <c r="J3045" s="551">
        <v>6.6</v>
      </c>
      <c r="K3045" s="546"/>
    </row>
    <row r="3046" spans="1:11" s="89" customFormat="1" ht="15" customHeight="1" x14ac:dyDescent="0.3">
      <c r="A3046" s="547" t="s">
        <v>433</v>
      </c>
      <c r="B3046" s="548" t="s">
        <v>947</v>
      </c>
      <c r="C3046" s="547" t="s">
        <v>115</v>
      </c>
      <c r="D3046" s="547" t="s">
        <v>948</v>
      </c>
      <c r="E3046" s="688" t="s">
        <v>438</v>
      </c>
      <c r="F3046" s="688"/>
      <c r="G3046" s="549" t="s">
        <v>532</v>
      </c>
      <c r="H3046" s="550">
        <v>2.6599999999999999E-2</v>
      </c>
      <c r="I3046" s="551">
        <v>135.64580000000001</v>
      </c>
      <c r="J3046" s="551">
        <v>3.6</v>
      </c>
      <c r="K3046" s="546"/>
    </row>
    <row r="3047" spans="1:11" ht="14.25" customHeight="1" thickBot="1" x14ac:dyDescent="0.35">
      <c r="A3047" s="547" t="s">
        <v>433</v>
      </c>
      <c r="B3047" s="548" t="s">
        <v>3909</v>
      </c>
      <c r="C3047" s="547" t="s">
        <v>19</v>
      </c>
      <c r="D3047" s="547" t="s">
        <v>3910</v>
      </c>
      <c r="E3047" s="688" t="s">
        <v>438</v>
      </c>
      <c r="F3047" s="688"/>
      <c r="G3047" s="549" t="s">
        <v>173</v>
      </c>
      <c r="H3047" s="550">
        <v>0.5</v>
      </c>
      <c r="I3047" s="551">
        <v>11.1</v>
      </c>
      <c r="J3047" s="551">
        <v>5.55</v>
      </c>
      <c r="K3047" s="552"/>
    </row>
    <row r="3048" spans="1:11" s="89" customFormat="1" ht="15" customHeight="1" thickTop="1" x14ac:dyDescent="0.3">
      <c r="A3048" s="562"/>
      <c r="B3048" s="562"/>
      <c r="C3048" s="562"/>
      <c r="D3048" s="562"/>
      <c r="E3048" s="562"/>
      <c r="F3048" s="562"/>
      <c r="G3048" s="562"/>
      <c r="H3048" s="562"/>
      <c r="I3048" s="562"/>
      <c r="J3048" s="562"/>
      <c r="K3048" s="546"/>
    </row>
    <row r="3049" spans="1:11" x14ac:dyDescent="0.3">
      <c r="A3049" s="553"/>
      <c r="B3049" s="554" t="s">
        <v>4</v>
      </c>
      <c r="C3049" s="553" t="s">
        <v>5</v>
      </c>
      <c r="D3049" s="553" t="s">
        <v>6</v>
      </c>
      <c r="E3049" s="691" t="s">
        <v>427</v>
      </c>
      <c r="F3049" s="691"/>
      <c r="G3049" s="555" t="s">
        <v>7</v>
      </c>
      <c r="H3049" s="554" t="s">
        <v>8</v>
      </c>
      <c r="I3049" s="554" t="s">
        <v>9</v>
      </c>
      <c r="J3049" s="554" t="s">
        <v>11</v>
      </c>
      <c r="K3049" s="552"/>
    </row>
    <row r="3050" spans="1:11" s="89" customFormat="1" ht="15" customHeight="1" x14ac:dyDescent="0.3">
      <c r="A3050" s="607" t="s">
        <v>428</v>
      </c>
      <c r="B3050" s="608" t="s">
        <v>769</v>
      </c>
      <c r="C3050" s="607" t="s">
        <v>19</v>
      </c>
      <c r="D3050" s="607" t="s">
        <v>770</v>
      </c>
      <c r="E3050" s="690" t="s">
        <v>429</v>
      </c>
      <c r="F3050" s="690"/>
      <c r="G3050" s="609" t="s">
        <v>423</v>
      </c>
      <c r="H3050" s="610">
        <v>1</v>
      </c>
      <c r="I3050" s="611">
        <v>31.49</v>
      </c>
      <c r="J3050" s="611">
        <v>31.49</v>
      </c>
      <c r="K3050" s="546"/>
    </row>
    <row r="3051" spans="1:11" ht="14.25" customHeight="1" x14ac:dyDescent="0.3">
      <c r="A3051" s="547" t="s">
        <v>430</v>
      </c>
      <c r="B3051" s="548" t="s">
        <v>1441</v>
      </c>
      <c r="C3051" s="547" t="s">
        <v>19</v>
      </c>
      <c r="D3051" s="547" t="s">
        <v>1442</v>
      </c>
      <c r="E3051" s="688" t="s">
        <v>429</v>
      </c>
      <c r="F3051" s="688"/>
      <c r="G3051" s="549" t="s">
        <v>423</v>
      </c>
      <c r="H3051" s="550">
        <v>1</v>
      </c>
      <c r="I3051" s="551">
        <v>0.93</v>
      </c>
      <c r="J3051" s="551">
        <v>0.93</v>
      </c>
      <c r="K3051" s="552"/>
    </row>
    <row r="3052" spans="1:11" ht="15" customHeight="1" x14ac:dyDescent="0.3">
      <c r="A3052" s="547" t="s">
        <v>433</v>
      </c>
      <c r="B3052" s="548" t="s">
        <v>1443</v>
      </c>
      <c r="C3052" s="547" t="s">
        <v>19</v>
      </c>
      <c r="D3052" s="547" t="s">
        <v>1444</v>
      </c>
      <c r="E3052" s="688" t="s">
        <v>436</v>
      </c>
      <c r="F3052" s="688"/>
      <c r="G3052" s="549" t="s">
        <v>423</v>
      </c>
      <c r="H3052" s="550">
        <v>1</v>
      </c>
      <c r="I3052" s="551">
        <v>21.83</v>
      </c>
      <c r="J3052" s="551">
        <v>21.83</v>
      </c>
      <c r="K3052" s="552"/>
    </row>
    <row r="3053" spans="1:11" ht="15" customHeight="1" x14ac:dyDescent="0.3">
      <c r="A3053" s="547" t="s">
        <v>433</v>
      </c>
      <c r="B3053" s="548" t="s">
        <v>1213</v>
      </c>
      <c r="C3053" s="547" t="s">
        <v>19</v>
      </c>
      <c r="D3053" s="547" t="s">
        <v>3592</v>
      </c>
      <c r="E3053" s="688" t="s">
        <v>862</v>
      </c>
      <c r="F3053" s="688"/>
      <c r="G3053" s="549" t="s">
        <v>423</v>
      </c>
      <c r="H3053" s="550">
        <v>1</v>
      </c>
      <c r="I3053" s="551">
        <v>3.8</v>
      </c>
      <c r="J3053" s="551">
        <v>3.8</v>
      </c>
      <c r="K3053" s="552"/>
    </row>
    <row r="3054" spans="1:11" ht="14.25" customHeight="1" x14ac:dyDescent="0.3">
      <c r="A3054" s="547" t="s">
        <v>433</v>
      </c>
      <c r="B3054" s="548" t="s">
        <v>1214</v>
      </c>
      <c r="C3054" s="547" t="s">
        <v>19</v>
      </c>
      <c r="D3054" s="547" t="s">
        <v>3593</v>
      </c>
      <c r="E3054" s="688" t="s">
        <v>1215</v>
      </c>
      <c r="F3054" s="688"/>
      <c r="G3054" s="549" t="s">
        <v>423</v>
      </c>
      <c r="H3054" s="550">
        <v>1</v>
      </c>
      <c r="I3054" s="551">
        <v>1.5</v>
      </c>
      <c r="J3054" s="551">
        <v>1.5</v>
      </c>
      <c r="K3054" s="552"/>
    </row>
    <row r="3055" spans="1:11" ht="15" customHeight="1" x14ac:dyDescent="0.3">
      <c r="A3055" s="547" t="s">
        <v>433</v>
      </c>
      <c r="B3055" s="548" t="s">
        <v>1216</v>
      </c>
      <c r="C3055" s="547" t="s">
        <v>19</v>
      </c>
      <c r="D3055" s="547" t="s">
        <v>3594</v>
      </c>
      <c r="E3055" s="688" t="s">
        <v>862</v>
      </c>
      <c r="F3055" s="688"/>
      <c r="G3055" s="549" t="s">
        <v>423</v>
      </c>
      <c r="H3055" s="550">
        <v>1</v>
      </c>
      <c r="I3055" s="551">
        <v>1.34</v>
      </c>
      <c r="J3055" s="551">
        <v>1.34</v>
      </c>
      <c r="K3055" s="552"/>
    </row>
    <row r="3056" spans="1:11" ht="25" x14ac:dyDescent="0.3">
      <c r="A3056" s="547" t="s">
        <v>433</v>
      </c>
      <c r="B3056" s="548" t="s">
        <v>1217</v>
      </c>
      <c r="C3056" s="547" t="s">
        <v>19</v>
      </c>
      <c r="D3056" s="547" t="s">
        <v>3595</v>
      </c>
      <c r="E3056" s="688" t="s">
        <v>531</v>
      </c>
      <c r="F3056" s="688"/>
      <c r="G3056" s="549" t="s">
        <v>423</v>
      </c>
      <c r="H3056" s="550">
        <v>1</v>
      </c>
      <c r="I3056" s="551">
        <v>0.04</v>
      </c>
      <c r="J3056" s="551">
        <v>0.04</v>
      </c>
      <c r="K3056" s="552"/>
    </row>
    <row r="3057" spans="1:11" s="89" customFormat="1" ht="15.75" customHeight="1" x14ac:dyDescent="0.3">
      <c r="A3057" s="547" t="s">
        <v>433</v>
      </c>
      <c r="B3057" s="548" t="s">
        <v>1270</v>
      </c>
      <c r="C3057" s="547" t="s">
        <v>19</v>
      </c>
      <c r="D3057" s="547" t="s">
        <v>1271</v>
      </c>
      <c r="E3057" s="688" t="s">
        <v>442</v>
      </c>
      <c r="F3057" s="688"/>
      <c r="G3057" s="549" t="s">
        <v>423</v>
      </c>
      <c r="H3057" s="550">
        <v>1</v>
      </c>
      <c r="I3057" s="551">
        <v>0.85</v>
      </c>
      <c r="J3057" s="551">
        <v>0.85</v>
      </c>
      <c r="K3057" s="546"/>
    </row>
    <row r="3058" spans="1:11" ht="25.5" thickBot="1" x14ac:dyDescent="0.35">
      <c r="A3058" s="547" t="s">
        <v>433</v>
      </c>
      <c r="B3058" s="548" t="s">
        <v>1272</v>
      </c>
      <c r="C3058" s="547" t="s">
        <v>19</v>
      </c>
      <c r="D3058" s="547" t="s">
        <v>1273</v>
      </c>
      <c r="E3058" s="688" t="s">
        <v>442</v>
      </c>
      <c r="F3058" s="688"/>
      <c r="G3058" s="549" t="s">
        <v>423</v>
      </c>
      <c r="H3058" s="550">
        <v>1</v>
      </c>
      <c r="I3058" s="551">
        <v>1.2</v>
      </c>
      <c r="J3058" s="551">
        <v>1.2</v>
      </c>
      <c r="K3058" s="552"/>
    </row>
    <row r="3059" spans="1:11" ht="14.5" thickTop="1" x14ac:dyDescent="0.3">
      <c r="A3059" s="562"/>
      <c r="B3059" s="562"/>
      <c r="C3059" s="562"/>
      <c r="D3059" s="562"/>
      <c r="E3059" s="562"/>
      <c r="F3059" s="562"/>
      <c r="G3059" s="562"/>
      <c r="H3059" s="562"/>
      <c r="I3059" s="562"/>
      <c r="J3059" s="562"/>
      <c r="K3059" s="552"/>
    </row>
    <row r="3060" spans="1:11" s="89" customFormat="1" ht="25.5" customHeight="1" x14ac:dyDescent="0.3">
      <c r="A3060" s="553"/>
      <c r="B3060" s="554" t="s">
        <v>4</v>
      </c>
      <c r="C3060" s="553" t="s">
        <v>5</v>
      </c>
      <c r="D3060" s="553" t="s">
        <v>6</v>
      </c>
      <c r="E3060" s="691" t="s">
        <v>427</v>
      </c>
      <c r="F3060" s="691"/>
      <c r="G3060" s="555" t="s">
        <v>7</v>
      </c>
      <c r="H3060" s="554" t="s">
        <v>8</v>
      </c>
      <c r="I3060" s="554" t="s">
        <v>9</v>
      </c>
      <c r="J3060" s="554" t="s">
        <v>11</v>
      </c>
      <c r="K3060" s="546"/>
    </row>
    <row r="3061" spans="1:11" ht="14.25" customHeight="1" x14ac:dyDescent="0.3">
      <c r="A3061" s="607" t="s">
        <v>428</v>
      </c>
      <c r="B3061" s="608" t="s">
        <v>672</v>
      </c>
      <c r="C3061" s="607" t="s">
        <v>19</v>
      </c>
      <c r="D3061" s="607" t="s">
        <v>3523</v>
      </c>
      <c r="E3061" s="690" t="s">
        <v>664</v>
      </c>
      <c r="F3061" s="690"/>
      <c r="G3061" s="609" t="s">
        <v>173</v>
      </c>
      <c r="H3061" s="610">
        <v>1</v>
      </c>
      <c r="I3061" s="611">
        <v>9.9499999999999993</v>
      </c>
      <c r="J3061" s="611">
        <v>9.9499999999999993</v>
      </c>
      <c r="K3061" s="552"/>
    </row>
    <row r="3062" spans="1:11" ht="14.25" customHeight="1" x14ac:dyDescent="0.3">
      <c r="A3062" s="547" t="s">
        <v>430</v>
      </c>
      <c r="B3062" s="548" t="s">
        <v>863</v>
      </c>
      <c r="C3062" s="547" t="s">
        <v>19</v>
      </c>
      <c r="D3062" s="547" t="s">
        <v>864</v>
      </c>
      <c r="E3062" s="688" t="s">
        <v>429</v>
      </c>
      <c r="F3062" s="688"/>
      <c r="G3062" s="549" t="s">
        <v>423</v>
      </c>
      <c r="H3062" s="550">
        <v>0.124</v>
      </c>
      <c r="I3062" s="551">
        <v>24.65</v>
      </c>
      <c r="J3062" s="551">
        <v>3.05</v>
      </c>
      <c r="K3062" s="552"/>
    </row>
    <row r="3063" spans="1:11" ht="14.25" customHeight="1" x14ac:dyDescent="0.3">
      <c r="A3063" s="547" t="s">
        <v>430</v>
      </c>
      <c r="B3063" s="548" t="s">
        <v>769</v>
      </c>
      <c r="C3063" s="547" t="s">
        <v>19</v>
      </c>
      <c r="D3063" s="547" t="s">
        <v>770</v>
      </c>
      <c r="E3063" s="688" t="s">
        <v>429</v>
      </c>
      <c r="F3063" s="688"/>
      <c r="G3063" s="549" t="s">
        <v>423</v>
      </c>
      <c r="H3063" s="550">
        <v>0.124</v>
      </c>
      <c r="I3063" s="551">
        <v>31.49</v>
      </c>
      <c r="J3063" s="551">
        <v>3.9</v>
      </c>
      <c r="K3063" s="552"/>
    </row>
    <row r="3064" spans="1:11" ht="14.5" thickBot="1" x14ac:dyDescent="0.35">
      <c r="A3064" s="547" t="s">
        <v>433</v>
      </c>
      <c r="B3064" s="548" t="s">
        <v>1575</v>
      </c>
      <c r="C3064" s="547" t="s">
        <v>19</v>
      </c>
      <c r="D3064" s="547" t="s">
        <v>1576</v>
      </c>
      <c r="E3064" s="688" t="s">
        <v>438</v>
      </c>
      <c r="F3064" s="688"/>
      <c r="G3064" s="549" t="s">
        <v>173</v>
      </c>
      <c r="H3064" s="550">
        <v>1.0169999999999999</v>
      </c>
      <c r="I3064" s="551">
        <v>2.95</v>
      </c>
      <c r="J3064" s="551">
        <v>3</v>
      </c>
      <c r="K3064" s="552"/>
    </row>
    <row r="3065" spans="1:11" ht="14.25" customHeight="1" thickTop="1" x14ac:dyDescent="0.3">
      <c r="A3065" s="562"/>
      <c r="B3065" s="562"/>
      <c r="C3065" s="562"/>
      <c r="D3065" s="562"/>
      <c r="E3065" s="562"/>
      <c r="F3065" s="562"/>
      <c r="G3065" s="562"/>
      <c r="H3065" s="562"/>
      <c r="I3065" s="562"/>
      <c r="J3065" s="562"/>
      <c r="K3065" s="552"/>
    </row>
    <row r="3066" spans="1:11" s="89" customFormat="1" ht="15" customHeight="1" x14ac:dyDescent="0.3">
      <c r="A3066" s="553"/>
      <c r="B3066" s="554" t="s">
        <v>4</v>
      </c>
      <c r="C3066" s="553" t="s">
        <v>5</v>
      </c>
      <c r="D3066" s="553" t="s">
        <v>6</v>
      </c>
      <c r="E3066" s="691" t="s">
        <v>427</v>
      </c>
      <c r="F3066" s="691"/>
      <c r="G3066" s="555" t="s">
        <v>7</v>
      </c>
      <c r="H3066" s="554" t="s">
        <v>8</v>
      </c>
      <c r="I3066" s="554" t="s">
        <v>9</v>
      </c>
      <c r="J3066" s="554" t="s">
        <v>11</v>
      </c>
      <c r="K3066" s="546"/>
    </row>
    <row r="3067" spans="1:11" s="89" customFormat="1" ht="15" customHeight="1" x14ac:dyDescent="0.3">
      <c r="A3067" s="607" t="s">
        <v>428</v>
      </c>
      <c r="B3067" s="608" t="s">
        <v>673</v>
      </c>
      <c r="C3067" s="607" t="s">
        <v>19</v>
      </c>
      <c r="D3067" s="607" t="s">
        <v>3524</v>
      </c>
      <c r="E3067" s="690" t="s">
        <v>664</v>
      </c>
      <c r="F3067" s="690"/>
      <c r="G3067" s="609" t="s">
        <v>173</v>
      </c>
      <c r="H3067" s="610">
        <v>1</v>
      </c>
      <c r="I3067" s="611">
        <v>10.85</v>
      </c>
      <c r="J3067" s="611">
        <v>10.85</v>
      </c>
      <c r="K3067" s="546"/>
    </row>
    <row r="3068" spans="1:11" ht="14.25" customHeight="1" x14ac:dyDescent="0.3">
      <c r="A3068" s="547" t="s">
        <v>430</v>
      </c>
      <c r="B3068" s="548" t="s">
        <v>863</v>
      </c>
      <c r="C3068" s="547" t="s">
        <v>19</v>
      </c>
      <c r="D3068" s="547" t="s">
        <v>864</v>
      </c>
      <c r="E3068" s="688" t="s">
        <v>429</v>
      </c>
      <c r="F3068" s="688"/>
      <c r="G3068" s="549" t="s">
        <v>423</v>
      </c>
      <c r="H3068" s="550">
        <v>0.105</v>
      </c>
      <c r="I3068" s="551">
        <v>24.65</v>
      </c>
      <c r="J3068" s="551">
        <v>2.58</v>
      </c>
      <c r="K3068" s="552"/>
    </row>
    <row r="3069" spans="1:11" s="89" customFormat="1" ht="15" customHeight="1" x14ac:dyDescent="0.3">
      <c r="A3069" s="547" t="s">
        <v>430</v>
      </c>
      <c r="B3069" s="548" t="s">
        <v>769</v>
      </c>
      <c r="C3069" s="547" t="s">
        <v>19</v>
      </c>
      <c r="D3069" s="547" t="s">
        <v>770</v>
      </c>
      <c r="E3069" s="688" t="s">
        <v>429</v>
      </c>
      <c r="F3069" s="688"/>
      <c r="G3069" s="549" t="s">
        <v>423</v>
      </c>
      <c r="H3069" s="550">
        <v>0.105</v>
      </c>
      <c r="I3069" s="551">
        <v>31.49</v>
      </c>
      <c r="J3069" s="551">
        <v>3.3</v>
      </c>
      <c r="K3069" s="546"/>
    </row>
    <row r="3070" spans="1:11" ht="15" customHeight="1" thickBot="1" x14ac:dyDescent="0.35">
      <c r="A3070" s="547" t="s">
        <v>433</v>
      </c>
      <c r="B3070" s="548" t="s">
        <v>775</v>
      </c>
      <c r="C3070" s="547" t="s">
        <v>19</v>
      </c>
      <c r="D3070" s="547" t="s">
        <v>776</v>
      </c>
      <c r="E3070" s="688" t="s">
        <v>438</v>
      </c>
      <c r="F3070" s="688"/>
      <c r="G3070" s="549" t="s">
        <v>173</v>
      </c>
      <c r="H3070" s="550">
        <v>1.0169999999999999</v>
      </c>
      <c r="I3070" s="551">
        <v>4.8899999999999997</v>
      </c>
      <c r="J3070" s="551">
        <v>4.97</v>
      </c>
      <c r="K3070" s="552"/>
    </row>
    <row r="3071" spans="1:11" ht="14.5" thickTop="1" x14ac:dyDescent="0.3">
      <c r="A3071" s="562"/>
      <c r="B3071" s="562"/>
      <c r="C3071" s="562"/>
      <c r="D3071" s="562"/>
      <c r="E3071" s="562"/>
      <c r="F3071" s="562"/>
      <c r="G3071" s="562"/>
      <c r="H3071" s="562"/>
      <c r="I3071" s="562"/>
      <c r="J3071" s="562"/>
      <c r="K3071" s="552"/>
    </row>
    <row r="3072" spans="1:11" ht="15" customHeight="1" x14ac:dyDescent="0.3">
      <c r="A3072" s="553"/>
      <c r="B3072" s="554" t="s">
        <v>4</v>
      </c>
      <c r="C3072" s="553" t="s">
        <v>5</v>
      </c>
      <c r="D3072" s="553" t="s">
        <v>6</v>
      </c>
      <c r="E3072" s="691" t="s">
        <v>427</v>
      </c>
      <c r="F3072" s="691"/>
      <c r="G3072" s="555" t="s">
        <v>7</v>
      </c>
      <c r="H3072" s="554" t="s">
        <v>8</v>
      </c>
      <c r="I3072" s="554" t="s">
        <v>9</v>
      </c>
      <c r="J3072" s="554" t="s">
        <v>11</v>
      </c>
      <c r="K3072" s="552"/>
    </row>
    <row r="3073" spans="1:11" ht="38.25" customHeight="1" x14ac:dyDescent="0.3">
      <c r="A3073" s="607" t="s">
        <v>428</v>
      </c>
      <c r="B3073" s="608" t="s">
        <v>674</v>
      </c>
      <c r="C3073" s="607" t="s">
        <v>19</v>
      </c>
      <c r="D3073" s="607" t="s">
        <v>3525</v>
      </c>
      <c r="E3073" s="690" t="s">
        <v>664</v>
      </c>
      <c r="F3073" s="690"/>
      <c r="G3073" s="609" t="s">
        <v>173</v>
      </c>
      <c r="H3073" s="610">
        <v>1</v>
      </c>
      <c r="I3073" s="611">
        <v>14.11</v>
      </c>
      <c r="J3073" s="611">
        <v>14.11</v>
      </c>
      <c r="K3073" s="552"/>
    </row>
    <row r="3074" spans="1:11" ht="14.25" customHeight="1" x14ac:dyDescent="0.3">
      <c r="A3074" s="547" t="s">
        <v>430</v>
      </c>
      <c r="B3074" s="548" t="s">
        <v>863</v>
      </c>
      <c r="C3074" s="547" t="s">
        <v>19</v>
      </c>
      <c r="D3074" s="547" t="s">
        <v>864</v>
      </c>
      <c r="E3074" s="688" t="s">
        <v>429</v>
      </c>
      <c r="F3074" s="688"/>
      <c r="G3074" s="549" t="s">
        <v>423</v>
      </c>
      <c r="H3074" s="550">
        <v>0.16300000000000001</v>
      </c>
      <c r="I3074" s="551">
        <v>24.65</v>
      </c>
      <c r="J3074" s="551">
        <v>4.01</v>
      </c>
      <c r="K3074" s="552"/>
    </row>
    <row r="3075" spans="1:11" s="89" customFormat="1" ht="25.5" customHeight="1" x14ac:dyDescent="0.3">
      <c r="A3075" s="547" t="s">
        <v>430</v>
      </c>
      <c r="B3075" s="548" t="s">
        <v>769</v>
      </c>
      <c r="C3075" s="547" t="s">
        <v>19</v>
      </c>
      <c r="D3075" s="547" t="s">
        <v>770</v>
      </c>
      <c r="E3075" s="688" t="s">
        <v>429</v>
      </c>
      <c r="F3075" s="688"/>
      <c r="G3075" s="549" t="s">
        <v>423</v>
      </c>
      <c r="H3075" s="550">
        <v>0.16300000000000001</v>
      </c>
      <c r="I3075" s="551">
        <v>31.49</v>
      </c>
      <c r="J3075" s="551">
        <v>5.13</v>
      </c>
      <c r="K3075" s="546"/>
    </row>
    <row r="3076" spans="1:11" ht="14.25" customHeight="1" thickBot="1" x14ac:dyDescent="0.35">
      <c r="A3076" s="547" t="s">
        <v>433</v>
      </c>
      <c r="B3076" s="548" t="s">
        <v>775</v>
      </c>
      <c r="C3076" s="547" t="s">
        <v>19</v>
      </c>
      <c r="D3076" s="547" t="s">
        <v>776</v>
      </c>
      <c r="E3076" s="688" t="s">
        <v>438</v>
      </c>
      <c r="F3076" s="688"/>
      <c r="G3076" s="549" t="s">
        <v>173</v>
      </c>
      <c r="H3076" s="550">
        <v>1.0169999999999999</v>
      </c>
      <c r="I3076" s="551">
        <v>4.8899999999999997</v>
      </c>
      <c r="J3076" s="551">
        <v>4.97</v>
      </c>
      <c r="K3076" s="552"/>
    </row>
    <row r="3077" spans="1:11" ht="14.25" customHeight="1" thickTop="1" x14ac:dyDescent="0.3">
      <c r="A3077" s="562"/>
      <c r="B3077" s="562"/>
      <c r="C3077" s="562"/>
      <c r="D3077" s="562"/>
      <c r="E3077" s="562"/>
      <c r="F3077" s="562"/>
      <c r="G3077" s="562"/>
      <c r="H3077" s="562"/>
      <c r="I3077" s="562"/>
      <c r="J3077" s="562"/>
      <c r="K3077" s="552"/>
    </row>
    <row r="3078" spans="1:11" s="89" customFormat="1" ht="38.25" customHeight="1" x14ac:dyDescent="0.3">
      <c r="A3078" s="553"/>
      <c r="B3078" s="554" t="s">
        <v>4</v>
      </c>
      <c r="C3078" s="553" t="s">
        <v>5</v>
      </c>
      <c r="D3078" s="553" t="s">
        <v>6</v>
      </c>
      <c r="E3078" s="691" t="s">
        <v>427</v>
      </c>
      <c r="F3078" s="691"/>
      <c r="G3078" s="555" t="s">
        <v>7</v>
      </c>
      <c r="H3078" s="554" t="s">
        <v>8</v>
      </c>
      <c r="I3078" s="554" t="s">
        <v>9</v>
      </c>
      <c r="J3078" s="554" t="s">
        <v>11</v>
      </c>
      <c r="K3078" s="546"/>
    </row>
    <row r="3079" spans="1:11" s="89" customFormat="1" ht="15" customHeight="1" x14ac:dyDescent="0.3">
      <c r="A3079" s="607" t="s">
        <v>428</v>
      </c>
      <c r="B3079" s="608" t="s">
        <v>789</v>
      </c>
      <c r="C3079" s="607" t="s">
        <v>19</v>
      </c>
      <c r="D3079" s="607" t="s">
        <v>790</v>
      </c>
      <c r="E3079" s="690" t="s">
        <v>429</v>
      </c>
      <c r="F3079" s="690"/>
      <c r="G3079" s="609" t="s">
        <v>423</v>
      </c>
      <c r="H3079" s="610">
        <v>1</v>
      </c>
      <c r="I3079" s="611">
        <v>30.33</v>
      </c>
      <c r="J3079" s="611">
        <v>30.33</v>
      </c>
      <c r="K3079" s="546"/>
    </row>
    <row r="3080" spans="1:11" ht="14.25" customHeight="1" x14ac:dyDescent="0.3">
      <c r="A3080" s="547" t="s">
        <v>430</v>
      </c>
      <c r="B3080" s="548" t="s">
        <v>1445</v>
      </c>
      <c r="C3080" s="547" t="s">
        <v>19</v>
      </c>
      <c r="D3080" s="547" t="s">
        <v>1446</v>
      </c>
      <c r="E3080" s="688" t="s">
        <v>429</v>
      </c>
      <c r="F3080" s="688"/>
      <c r="G3080" s="549" t="s">
        <v>423</v>
      </c>
      <c r="H3080" s="550">
        <v>1</v>
      </c>
      <c r="I3080" s="551">
        <v>0.45</v>
      </c>
      <c r="J3080" s="551">
        <v>0.45</v>
      </c>
      <c r="K3080" s="552"/>
    </row>
    <row r="3081" spans="1:11" s="89" customFormat="1" x14ac:dyDescent="0.3">
      <c r="A3081" s="547" t="s">
        <v>433</v>
      </c>
      <c r="B3081" s="548" t="s">
        <v>1447</v>
      </c>
      <c r="C3081" s="547" t="s">
        <v>19</v>
      </c>
      <c r="D3081" s="547" t="s">
        <v>1448</v>
      </c>
      <c r="E3081" s="688" t="s">
        <v>436</v>
      </c>
      <c r="F3081" s="688"/>
      <c r="G3081" s="549" t="s">
        <v>423</v>
      </c>
      <c r="H3081" s="550">
        <v>1</v>
      </c>
      <c r="I3081" s="551">
        <v>21.83</v>
      </c>
      <c r="J3081" s="551">
        <v>21.83</v>
      </c>
      <c r="K3081" s="546"/>
    </row>
    <row r="3082" spans="1:11" ht="14.25" customHeight="1" x14ac:dyDescent="0.3">
      <c r="A3082" s="547" t="s">
        <v>433</v>
      </c>
      <c r="B3082" s="548" t="s">
        <v>1213</v>
      </c>
      <c r="C3082" s="547" t="s">
        <v>19</v>
      </c>
      <c r="D3082" s="547" t="s">
        <v>3592</v>
      </c>
      <c r="E3082" s="688" t="s">
        <v>862</v>
      </c>
      <c r="F3082" s="688"/>
      <c r="G3082" s="549" t="s">
        <v>423</v>
      </c>
      <c r="H3082" s="550">
        <v>1</v>
      </c>
      <c r="I3082" s="551">
        <v>3.8</v>
      </c>
      <c r="J3082" s="551">
        <v>3.8</v>
      </c>
      <c r="K3082" s="552"/>
    </row>
    <row r="3083" spans="1:11" ht="14.25" customHeight="1" x14ac:dyDescent="0.3">
      <c r="A3083" s="547" t="s">
        <v>433</v>
      </c>
      <c r="B3083" s="548" t="s">
        <v>1214</v>
      </c>
      <c r="C3083" s="547" t="s">
        <v>19</v>
      </c>
      <c r="D3083" s="547" t="s">
        <v>3593</v>
      </c>
      <c r="E3083" s="688" t="s">
        <v>1215</v>
      </c>
      <c r="F3083" s="688"/>
      <c r="G3083" s="549" t="s">
        <v>423</v>
      </c>
      <c r="H3083" s="550">
        <v>1</v>
      </c>
      <c r="I3083" s="551">
        <v>1.5</v>
      </c>
      <c r="J3083" s="551">
        <v>1.5</v>
      </c>
      <c r="K3083" s="552"/>
    </row>
    <row r="3084" spans="1:11" s="89" customFormat="1" ht="38.25" customHeight="1" x14ac:dyDescent="0.3">
      <c r="A3084" s="547" t="s">
        <v>433</v>
      </c>
      <c r="B3084" s="548" t="s">
        <v>1216</v>
      </c>
      <c r="C3084" s="547" t="s">
        <v>19</v>
      </c>
      <c r="D3084" s="547" t="s">
        <v>3594</v>
      </c>
      <c r="E3084" s="688" t="s">
        <v>862</v>
      </c>
      <c r="F3084" s="688"/>
      <c r="G3084" s="549" t="s">
        <v>423</v>
      </c>
      <c r="H3084" s="550">
        <v>1</v>
      </c>
      <c r="I3084" s="551">
        <v>1.34</v>
      </c>
      <c r="J3084" s="551">
        <v>1.34</v>
      </c>
      <c r="K3084" s="546"/>
    </row>
    <row r="3085" spans="1:11" s="89" customFormat="1" ht="15" customHeight="1" x14ac:dyDescent="0.3">
      <c r="A3085" s="547" t="s">
        <v>433</v>
      </c>
      <c r="B3085" s="548" t="s">
        <v>1217</v>
      </c>
      <c r="C3085" s="547" t="s">
        <v>19</v>
      </c>
      <c r="D3085" s="547" t="s">
        <v>3595</v>
      </c>
      <c r="E3085" s="688" t="s">
        <v>531</v>
      </c>
      <c r="F3085" s="688"/>
      <c r="G3085" s="549" t="s">
        <v>423</v>
      </c>
      <c r="H3085" s="550">
        <v>1</v>
      </c>
      <c r="I3085" s="551">
        <v>0.04</v>
      </c>
      <c r="J3085" s="551">
        <v>0.04</v>
      </c>
      <c r="K3085" s="546"/>
    </row>
    <row r="3086" spans="1:11" ht="14.25" customHeight="1" x14ac:dyDescent="0.3">
      <c r="A3086" s="547" t="s">
        <v>433</v>
      </c>
      <c r="B3086" s="548" t="s">
        <v>1278</v>
      </c>
      <c r="C3086" s="547" t="s">
        <v>19</v>
      </c>
      <c r="D3086" s="547" t="s">
        <v>1279</v>
      </c>
      <c r="E3086" s="688" t="s">
        <v>442</v>
      </c>
      <c r="F3086" s="688"/>
      <c r="G3086" s="549" t="s">
        <v>423</v>
      </c>
      <c r="H3086" s="550">
        <v>1</v>
      </c>
      <c r="I3086" s="551">
        <v>0.31</v>
      </c>
      <c r="J3086" s="551">
        <v>0.31</v>
      </c>
      <c r="K3086" s="552"/>
    </row>
    <row r="3087" spans="1:11" s="89" customFormat="1" ht="25.5" thickBot="1" x14ac:dyDescent="0.35">
      <c r="A3087" s="547" t="s">
        <v>433</v>
      </c>
      <c r="B3087" s="548" t="s">
        <v>1280</v>
      </c>
      <c r="C3087" s="547" t="s">
        <v>19</v>
      </c>
      <c r="D3087" s="547" t="s">
        <v>1281</v>
      </c>
      <c r="E3087" s="688" t="s">
        <v>442</v>
      </c>
      <c r="F3087" s="688"/>
      <c r="G3087" s="549" t="s">
        <v>423</v>
      </c>
      <c r="H3087" s="550">
        <v>1</v>
      </c>
      <c r="I3087" s="551">
        <v>1.06</v>
      </c>
      <c r="J3087" s="551">
        <v>1.06</v>
      </c>
      <c r="K3087" s="546"/>
    </row>
    <row r="3088" spans="1:11" ht="14.5" thickTop="1" x14ac:dyDescent="0.3">
      <c r="A3088" s="562"/>
      <c r="B3088" s="562"/>
      <c r="C3088" s="562"/>
      <c r="D3088" s="562"/>
      <c r="E3088" s="562"/>
      <c r="F3088" s="562"/>
      <c r="G3088" s="562"/>
      <c r="H3088" s="562"/>
      <c r="I3088" s="562"/>
      <c r="J3088" s="562"/>
      <c r="K3088" s="552"/>
    </row>
    <row r="3089" spans="1:11" s="89" customFormat="1" x14ac:dyDescent="0.3">
      <c r="A3089" s="553"/>
      <c r="B3089" s="554" t="s">
        <v>4</v>
      </c>
      <c r="C3089" s="553" t="s">
        <v>5</v>
      </c>
      <c r="D3089" s="553" t="s">
        <v>6</v>
      </c>
      <c r="E3089" s="691" t="s">
        <v>427</v>
      </c>
      <c r="F3089" s="691"/>
      <c r="G3089" s="555" t="s">
        <v>7</v>
      </c>
      <c r="H3089" s="554" t="s">
        <v>8</v>
      </c>
      <c r="I3089" s="554" t="s">
        <v>9</v>
      </c>
      <c r="J3089" s="554" t="s">
        <v>11</v>
      </c>
      <c r="K3089" s="546"/>
    </row>
    <row r="3090" spans="1:11" s="89" customFormat="1" ht="38.25" customHeight="1" x14ac:dyDescent="0.3">
      <c r="A3090" s="607" t="s">
        <v>428</v>
      </c>
      <c r="B3090" s="608" t="s">
        <v>998</v>
      </c>
      <c r="C3090" s="607" t="s">
        <v>19</v>
      </c>
      <c r="D3090" s="607" t="s">
        <v>999</v>
      </c>
      <c r="E3090" s="690" t="s">
        <v>429</v>
      </c>
      <c r="F3090" s="690"/>
      <c r="G3090" s="609" t="s">
        <v>423</v>
      </c>
      <c r="H3090" s="610">
        <v>1</v>
      </c>
      <c r="I3090" s="611">
        <v>25.09</v>
      </c>
      <c r="J3090" s="611">
        <v>25.09</v>
      </c>
      <c r="K3090" s="546"/>
    </row>
    <row r="3091" spans="1:11" s="89" customFormat="1" ht="15" customHeight="1" x14ac:dyDescent="0.3">
      <c r="A3091" s="547" t="s">
        <v>430</v>
      </c>
      <c r="B3091" s="548" t="s">
        <v>1449</v>
      </c>
      <c r="C3091" s="547" t="s">
        <v>19</v>
      </c>
      <c r="D3091" s="547" t="s">
        <v>1450</v>
      </c>
      <c r="E3091" s="688" t="s">
        <v>429</v>
      </c>
      <c r="F3091" s="688"/>
      <c r="G3091" s="549" t="s">
        <v>423</v>
      </c>
      <c r="H3091" s="550">
        <v>1</v>
      </c>
      <c r="I3091" s="551">
        <v>0.53</v>
      </c>
      <c r="J3091" s="551">
        <v>0.53</v>
      </c>
      <c r="K3091" s="546"/>
    </row>
    <row r="3092" spans="1:11" s="89" customFormat="1" x14ac:dyDescent="0.3">
      <c r="A3092" s="547" t="s">
        <v>433</v>
      </c>
      <c r="B3092" s="548" t="s">
        <v>1451</v>
      </c>
      <c r="C3092" s="547" t="s">
        <v>19</v>
      </c>
      <c r="D3092" s="547" t="s">
        <v>3687</v>
      </c>
      <c r="E3092" s="688" t="s">
        <v>436</v>
      </c>
      <c r="F3092" s="688"/>
      <c r="G3092" s="549" t="s">
        <v>423</v>
      </c>
      <c r="H3092" s="550">
        <v>1</v>
      </c>
      <c r="I3092" s="551">
        <v>21.83</v>
      </c>
      <c r="J3092" s="551">
        <v>21.83</v>
      </c>
      <c r="K3092" s="546"/>
    </row>
    <row r="3093" spans="1:11" s="89" customFormat="1" ht="25" x14ac:dyDescent="0.3">
      <c r="A3093" s="547" t="s">
        <v>433</v>
      </c>
      <c r="B3093" s="548" t="s">
        <v>1216</v>
      </c>
      <c r="C3093" s="547" t="s">
        <v>19</v>
      </c>
      <c r="D3093" s="547" t="s">
        <v>3594</v>
      </c>
      <c r="E3093" s="688" t="s">
        <v>862</v>
      </c>
      <c r="F3093" s="688"/>
      <c r="G3093" s="549" t="s">
        <v>423</v>
      </c>
      <c r="H3093" s="550">
        <v>1</v>
      </c>
      <c r="I3093" s="551">
        <v>1.34</v>
      </c>
      <c r="J3093" s="551">
        <v>1.34</v>
      </c>
      <c r="K3093" s="546"/>
    </row>
    <row r="3094" spans="1:11" ht="25" x14ac:dyDescent="0.3">
      <c r="A3094" s="547" t="s">
        <v>433</v>
      </c>
      <c r="B3094" s="548" t="s">
        <v>1217</v>
      </c>
      <c r="C3094" s="547" t="s">
        <v>19</v>
      </c>
      <c r="D3094" s="547" t="s">
        <v>3595</v>
      </c>
      <c r="E3094" s="688" t="s">
        <v>531</v>
      </c>
      <c r="F3094" s="688"/>
      <c r="G3094" s="549" t="s">
        <v>423</v>
      </c>
      <c r="H3094" s="550">
        <v>1</v>
      </c>
      <c r="I3094" s="551">
        <v>0.04</v>
      </c>
      <c r="J3094" s="551">
        <v>0.04</v>
      </c>
      <c r="K3094" s="552"/>
    </row>
    <row r="3095" spans="1:11" s="89" customFormat="1" ht="25" x14ac:dyDescent="0.3">
      <c r="A3095" s="547" t="s">
        <v>433</v>
      </c>
      <c r="B3095" s="548" t="s">
        <v>1577</v>
      </c>
      <c r="C3095" s="547" t="s">
        <v>19</v>
      </c>
      <c r="D3095" s="547" t="s">
        <v>1578</v>
      </c>
      <c r="E3095" s="688" t="s">
        <v>442</v>
      </c>
      <c r="F3095" s="688"/>
      <c r="G3095" s="549" t="s">
        <v>423</v>
      </c>
      <c r="H3095" s="550">
        <v>1</v>
      </c>
      <c r="I3095" s="551">
        <v>0.1</v>
      </c>
      <c r="J3095" s="551">
        <v>0.1</v>
      </c>
      <c r="K3095" s="546"/>
    </row>
    <row r="3096" spans="1:11" s="89" customFormat="1" ht="25.5" thickBot="1" x14ac:dyDescent="0.35">
      <c r="A3096" s="547" t="s">
        <v>433</v>
      </c>
      <c r="B3096" s="548" t="s">
        <v>1579</v>
      </c>
      <c r="C3096" s="547" t="s">
        <v>19</v>
      </c>
      <c r="D3096" s="547" t="s">
        <v>1580</v>
      </c>
      <c r="E3096" s="688" t="s">
        <v>442</v>
      </c>
      <c r="F3096" s="688"/>
      <c r="G3096" s="549" t="s">
        <v>423</v>
      </c>
      <c r="H3096" s="550">
        <v>1</v>
      </c>
      <c r="I3096" s="551">
        <v>1.25</v>
      </c>
      <c r="J3096" s="551">
        <v>1.25</v>
      </c>
      <c r="K3096" s="546"/>
    </row>
    <row r="3097" spans="1:11" s="89" customFormat="1" ht="14.5" thickTop="1" x14ac:dyDescent="0.3">
      <c r="A3097" s="562"/>
      <c r="B3097" s="562"/>
      <c r="C3097" s="562"/>
      <c r="D3097" s="562"/>
      <c r="E3097" s="562"/>
      <c r="F3097" s="562"/>
      <c r="G3097" s="562"/>
      <c r="H3097" s="562"/>
      <c r="I3097" s="562"/>
      <c r="J3097" s="562"/>
      <c r="K3097" s="546"/>
    </row>
    <row r="3098" spans="1:11" s="89" customFormat="1" x14ac:dyDescent="0.3">
      <c r="A3098" s="553"/>
      <c r="B3098" s="554" t="s">
        <v>4</v>
      </c>
      <c r="C3098" s="553" t="s">
        <v>5</v>
      </c>
      <c r="D3098" s="553" t="s">
        <v>6</v>
      </c>
      <c r="E3098" s="691" t="s">
        <v>427</v>
      </c>
      <c r="F3098" s="691"/>
      <c r="G3098" s="555" t="s">
        <v>7</v>
      </c>
      <c r="H3098" s="554" t="s">
        <v>8</v>
      </c>
      <c r="I3098" s="554" t="s">
        <v>9</v>
      </c>
      <c r="J3098" s="554" t="s">
        <v>11</v>
      </c>
      <c r="K3098" s="546"/>
    </row>
    <row r="3099" spans="1:11" s="89" customFormat="1" ht="25" x14ac:dyDescent="0.3">
      <c r="A3099" s="607" t="s">
        <v>428</v>
      </c>
      <c r="B3099" s="608" t="s">
        <v>3911</v>
      </c>
      <c r="C3099" s="607" t="s">
        <v>19</v>
      </c>
      <c r="D3099" s="607" t="s">
        <v>23</v>
      </c>
      <c r="E3099" s="690" t="s">
        <v>429</v>
      </c>
      <c r="F3099" s="690"/>
      <c r="G3099" s="609" t="s">
        <v>423</v>
      </c>
      <c r="H3099" s="610">
        <v>1</v>
      </c>
      <c r="I3099" s="611">
        <v>140.07</v>
      </c>
      <c r="J3099" s="611">
        <v>140.07</v>
      </c>
      <c r="K3099" s="546"/>
    </row>
    <row r="3100" spans="1:11" ht="25" x14ac:dyDescent="0.3">
      <c r="A3100" s="547" t="s">
        <v>430</v>
      </c>
      <c r="B3100" s="548" t="s">
        <v>3893</v>
      </c>
      <c r="C3100" s="547" t="s">
        <v>19</v>
      </c>
      <c r="D3100" s="547" t="s">
        <v>3894</v>
      </c>
      <c r="E3100" s="688" t="s">
        <v>429</v>
      </c>
      <c r="F3100" s="688"/>
      <c r="G3100" s="549" t="s">
        <v>423</v>
      </c>
      <c r="H3100" s="550">
        <v>1</v>
      </c>
      <c r="I3100" s="551">
        <v>2.2999999999999998</v>
      </c>
      <c r="J3100" s="551">
        <v>2.2999999999999998</v>
      </c>
      <c r="K3100" s="552"/>
    </row>
    <row r="3101" spans="1:11" ht="38.25" customHeight="1" x14ac:dyDescent="0.3">
      <c r="A3101" s="547" t="s">
        <v>433</v>
      </c>
      <c r="B3101" s="548" t="s">
        <v>3895</v>
      </c>
      <c r="C3101" s="547" t="s">
        <v>19</v>
      </c>
      <c r="D3101" s="547" t="s">
        <v>3896</v>
      </c>
      <c r="E3101" s="688" t="s">
        <v>436</v>
      </c>
      <c r="F3101" s="688"/>
      <c r="G3101" s="549" t="s">
        <v>423</v>
      </c>
      <c r="H3101" s="550">
        <v>1</v>
      </c>
      <c r="I3101" s="551">
        <v>135.63999999999999</v>
      </c>
      <c r="J3101" s="551">
        <v>135.63999999999999</v>
      </c>
      <c r="K3101" s="552"/>
    </row>
    <row r="3102" spans="1:11" ht="14.25" customHeight="1" x14ac:dyDescent="0.3">
      <c r="A3102" s="547" t="s">
        <v>433</v>
      </c>
      <c r="B3102" s="548" t="s">
        <v>1216</v>
      </c>
      <c r="C3102" s="547" t="s">
        <v>19</v>
      </c>
      <c r="D3102" s="547" t="s">
        <v>3594</v>
      </c>
      <c r="E3102" s="688" t="s">
        <v>862</v>
      </c>
      <c r="F3102" s="688"/>
      <c r="G3102" s="549" t="s">
        <v>423</v>
      </c>
      <c r="H3102" s="550">
        <v>1</v>
      </c>
      <c r="I3102" s="551">
        <v>1.34</v>
      </c>
      <c r="J3102" s="551">
        <v>1.34</v>
      </c>
      <c r="K3102" s="552"/>
    </row>
    <row r="3103" spans="1:11" ht="14.25" customHeight="1" x14ac:dyDescent="0.3">
      <c r="A3103" s="547" t="s">
        <v>433</v>
      </c>
      <c r="B3103" s="548" t="s">
        <v>1217</v>
      </c>
      <c r="C3103" s="547" t="s">
        <v>19</v>
      </c>
      <c r="D3103" s="547" t="s">
        <v>3595</v>
      </c>
      <c r="E3103" s="688" t="s">
        <v>531</v>
      </c>
      <c r="F3103" s="688"/>
      <c r="G3103" s="549" t="s">
        <v>423</v>
      </c>
      <c r="H3103" s="550">
        <v>1</v>
      </c>
      <c r="I3103" s="551">
        <v>0.04</v>
      </c>
      <c r="J3103" s="551">
        <v>0.04</v>
      </c>
      <c r="K3103" s="552"/>
    </row>
    <row r="3104" spans="1:11" ht="25" x14ac:dyDescent="0.3">
      <c r="A3104" s="547" t="s">
        <v>433</v>
      </c>
      <c r="B3104" s="548" t="s">
        <v>3912</v>
      </c>
      <c r="C3104" s="547" t="s">
        <v>19</v>
      </c>
      <c r="D3104" s="547" t="s">
        <v>3913</v>
      </c>
      <c r="E3104" s="688" t="s">
        <v>438</v>
      </c>
      <c r="F3104" s="688"/>
      <c r="G3104" s="549" t="s">
        <v>423</v>
      </c>
      <c r="H3104" s="550">
        <v>1</v>
      </c>
      <c r="I3104" s="551">
        <v>0.01</v>
      </c>
      <c r="J3104" s="551">
        <v>0.01</v>
      </c>
      <c r="K3104" s="552"/>
    </row>
    <row r="3105" spans="1:11" ht="25.5" thickBot="1" x14ac:dyDescent="0.35">
      <c r="A3105" s="547" t="s">
        <v>433</v>
      </c>
      <c r="B3105" s="548" t="s">
        <v>3914</v>
      </c>
      <c r="C3105" s="547" t="s">
        <v>19</v>
      </c>
      <c r="D3105" s="547" t="s">
        <v>3915</v>
      </c>
      <c r="E3105" s="688" t="s">
        <v>438</v>
      </c>
      <c r="F3105" s="688"/>
      <c r="G3105" s="549" t="s">
        <v>423</v>
      </c>
      <c r="H3105" s="550">
        <v>1</v>
      </c>
      <c r="I3105" s="551">
        <v>0.74</v>
      </c>
      <c r="J3105" s="551">
        <v>0.74</v>
      </c>
      <c r="K3105" s="552"/>
    </row>
    <row r="3106" spans="1:11" s="89" customFormat="1" ht="14.5" thickTop="1" x14ac:dyDescent="0.3">
      <c r="A3106" s="562"/>
      <c r="B3106" s="562"/>
      <c r="C3106" s="562"/>
      <c r="D3106" s="562"/>
      <c r="E3106" s="562"/>
      <c r="F3106" s="562"/>
      <c r="G3106" s="562"/>
      <c r="H3106" s="562"/>
      <c r="I3106" s="562"/>
      <c r="J3106" s="562"/>
      <c r="K3106" s="546"/>
    </row>
    <row r="3107" spans="1:11" s="89" customFormat="1" ht="38.25" customHeight="1" x14ac:dyDescent="0.3">
      <c r="A3107" s="553"/>
      <c r="B3107" s="554" t="s">
        <v>4</v>
      </c>
      <c r="C3107" s="553" t="s">
        <v>5</v>
      </c>
      <c r="D3107" s="553" t="s">
        <v>6</v>
      </c>
      <c r="E3107" s="691" t="s">
        <v>427</v>
      </c>
      <c r="F3107" s="691"/>
      <c r="G3107" s="555" t="s">
        <v>7</v>
      </c>
      <c r="H3107" s="554" t="s">
        <v>8</v>
      </c>
      <c r="I3107" s="554" t="s">
        <v>9</v>
      </c>
      <c r="J3107" s="554" t="s">
        <v>11</v>
      </c>
      <c r="K3107" s="546"/>
    </row>
    <row r="3108" spans="1:11" s="89" customFormat="1" ht="15" customHeight="1" x14ac:dyDescent="0.3">
      <c r="A3108" s="607" t="s">
        <v>428</v>
      </c>
      <c r="B3108" s="608" t="s">
        <v>1135</v>
      </c>
      <c r="C3108" s="607" t="s">
        <v>196</v>
      </c>
      <c r="D3108" s="607" t="s">
        <v>1136</v>
      </c>
      <c r="E3108" s="690">
        <v>81</v>
      </c>
      <c r="F3108" s="690"/>
      <c r="G3108" s="609" t="s">
        <v>1137</v>
      </c>
      <c r="H3108" s="610">
        <v>1</v>
      </c>
      <c r="I3108" s="611">
        <v>75.06</v>
      </c>
      <c r="J3108" s="611">
        <v>75.06</v>
      </c>
      <c r="K3108" s="546"/>
    </row>
    <row r="3109" spans="1:11" ht="14.25" customHeight="1" thickBot="1" x14ac:dyDescent="0.35">
      <c r="A3109" s="547" t="s">
        <v>430</v>
      </c>
      <c r="B3109" s="548" t="s">
        <v>1185</v>
      </c>
      <c r="C3109" s="547" t="s">
        <v>196</v>
      </c>
      <c r="D3109" s="547" t="s">
        <v>1136</v>
      </c>
      <c r="E3109" s="688">
        <v>71</v>
      </c>
      <c r="F3109" s="688"/>
      <c r="G3109" s="549" t="s">
        <v>21</v>
      </c>
      <c r="H3109" s="550">
        <v>6.4999999999999997E-3</v>
      </c>
      <c r="I3109" s="551">
        <v>11548.67</v>
      </c>
      <c r="J3109" s="551">
        <v>75.06</v>
      </c>
      <c r="K3109" s="552"/>
    </row>
    <row r="3110" spans="1:11" ht="14.5" thickTop="1" x14ac:dyDescent="0.3">
      <c r="A3110" s="562"/>
      <c r="B3110" s="562"/>
      <c r="C3110" s="562"/>
      <c r="D3110" s="562"/>
      <c r="E3110" s="562"/>
      <c r="F3110" s="562"/>
      <c r="G3110" s="562"/>
      <c r="H3110" s="562"/>
      <c r="I3110" s="562"/>
      <c r="J3110" s="562"/>
      <c r="K3110" s="552"/>
    </row>
    <row r="3111" spans="1:11" x14ac:dyDescent="0.3">
      <c r="A3111" s="553"/>
      <c r="B3111" s="554" t="s">
        <v>4</v>
      </c>
      <c r="C3111" s="553" t="s">
        <v>5</v>
      </c>
      <c r="D3111" s="553" t="s">
        <v>6</v>
      </c>
      <c r="E3111" s="691" t="s">
        <v>427</v>
      </c>
      <c r="F3111" s="691"/>
      <c r="G3111" s="555" t="s">
        <v>7</v>
      </c>
      <c r="H3111" s="554" t="s">
        <v>8</v>
      </c>
      <c r="I3111" s="554" t="s">
        <v>9</v>
      </c>
      <c r="J3111" s="554" t="s">
        <v>11</v>
      </c>
      <c r="K3111" s="552"/>
    </row>
    <row r="3112" spans="1:11" x14ac:dyDescent="0.3">
      <c r="A3112" s="607" t="s">
        <v>428</v>
      </c>
      <c r="B3112" s="608" t="s">
        <v>1185</v>
      </c>
      <c r="C3112" s="607" t="s">
        <v>196</v>
      </c>
      <c r="D3112" s="607" t="s">
        <v>1136</v>
      </c>
      <c r="E3112" s="690">
        <v>71</v>
      </c>
      <c r="F3112" s="690"/>
      <c r="G3112" s="609" t="s">
        <v>21</v>
      </c>
      <c r="H3112" s="610">
        <v>1</v>
      </c>
      <c r="I3112" s="611">
        <v>11548.67</v>
      </c>
      <c r="J3112" s="611">
        <v>11548.67</v>
      </c>
      <c r="K3112" s="552"/>
    </row>
    <row r="3113" spans="1:11" ht="38.25" customHeight="1" x14ac:dyDescent="0.3">
      <c r="A3113" s="547" t="s">
        <v>430</v>
      </c>
      <c r="B3113" s="548" t="s">
        <v>1186</v>
      </c>
      <c r="C3113" s="547" t="s">
        <v>196</v>
      </c>
      <c r="D3113" s="547" t="s">
        <v>3916</v>
      </c>
      <c r="E3113" s="688">
        <v>30</v>
      </c>
      <c r="F3113" s="688"/>
      <c r="G3113" s="549" t="s">
        <v>21</v>
      </c>
      <c r="H3113" s="550">
        <v>1</v>
      </c>
      <c r="I3113" s="551">
        <v>0</v>
      </c>
      <c r="J3113" s="551">
        <v>0</v>
      </c>
      <c r="K3113" s="552"/>
    </row>
    <row r="3114" spans="1:11" ht="14.25" customHeight="1" x14ac:dyDescent="0.3">
      <c r="A3114" s="547" t="s">
        <v>430</v>
      </c>
      <c r="B3114" s="548" t="s">
        <v>1188</v>
      </c>
      <c r="C3114" s="547" t="s">
        <v>196</v>
      </c>
      <c r="D3114" s="547" t="s">
        <v>3917</v>
      </c>
      <c r="E3114" s="688">
        <v>57</v>
      </c>
      <c r="F3114" s="688"/>
      <c r="G3114" s="549" t="s">
        <v>21</v>
      </c>
      <c r="H3114" s="550">
        <v>1</v>
      </c>
      <c r="I3114" s="551">
        <v>4239.8599999999997</v>
      </c>
      <c r="J3114" s="551">
        <v>4239.8599999999997</v>
      </c>
      <c r="K3114" s="552"/>
    </row>
    <row r="3115" spans="1:11" s="89" customFormat="1" ht="15" customHeight="1" x14ac:dyDescent="0.3">
      <c r="A3115" s="547" t="s">
        <v>430</v>
      </c>
      <c r="B3115" s="548" t="s">
        <v>1187</v>
      </c>
      <c r="C3115" s="547" t="s">
        <v>196</v>
      </c>
      <c r="D3115" s="547" t="s">
        <v>3918</v>
      </c>
      <c r="E3115" s="688">
        <v>57</v>
      </c>
      <c r="F3115" s="688"/>
      <c r="G3115" s="549" t="s">
        <v>21</v>
      </c>
      <c r="H3115" s="550">
        <v>1.05</v>
      </c>
      <c r="I3115" s="551">
        <v>5604.3</v>
      </c>
      <c r="J3115" s="551">
        <v>5884.51</v>
      </c>
      <c r="K3115" s="546"/>
    </row>
    <row r="3116" spans="1:11" s="89" customFormat="1" x14ac:dyDescent="0.3">
      <c r="A3116" s="547" t="s">
        <v>430</v>
      </c>
      <c r="B3116" s="548" t="s">
        <v>1189</v>
      </c>
      <c r="C3116" s="547" t="s">
        <v>196</v>
      </c>
      <c r="D3116" s="547" t="s">
        <v>1190</v>
      </c>
      <c r="E3116" s="688">
        <v>59</v>
      </c>
      <c r="F3116" s="688"/>
      <c r="G3116" s="549" t="s">
        <v>21</v>
      </c>
      <c r="H3116" s="550">
        <v>1</v>
      </c>
      <c r="I3116" s="551">
        <v>1424.3</v>
      </c>
      <c r="J3116" s="551">
        <v>1424.3</v>
      </c>
      <c r="K3116" s="546"/>
    </row>
    <row r="3117" spans="1:11" s="89" customFormat="1" ht="25.5" thickBot="1" x14ac:dyDescent="0.35">
      <c r="A3117" s="547" t="s">
        <v>430</v>
      </c>
      <c r="B3117" s="548" t="s">
        <v>1191</v>
      </c>
      <c r="C3117" s="547" t="s">
        <v>196</v>
      </c>
      <c r="D3117" s="547" t="s">
        <v>3919</v>
      </c>
      <c r="E3117" s="688">
        <v>59</v>
      </c>
      <c r="F3117" s="688"/>
      <c r="G3117" s="549" t="s">
        <v>21</v>
      </c>
      <c r="H3117" s="550">
        <v>1</v>
      </c>
      <c r="I3117" s="551">
        <v>0</v>
      </c>
      <c r="J3117" s="551">
        <v>0</v>
      </c>
      <c r="K3117" s="546"/>
    </row>
    <row r="3118" spans="1:11" ht="14.5" thickTop="1" x14ac:dyDescent="0.3">
      <c r="A3118" s="562"/>
      <c r="B3118" s="562"/>
      <c r="C3118" s="562"/>
      <c r="D3118" s="562"/>
      <c r="E3118" s="562"/>
      <c r="F3118" s="562"/>
      <c r="G3118" s="562"/>
      <c r="H3118" s="562"/>
      <c r="I3118" s="562"/>
      <c r="J3118" s="562"/>
      <c r="K3118" s="552"/>
    </row>
    <row r="3119" spans="1:11" x14ac:dyDescent="0.3">
      <c r="A3119" s="553"/>
      <c r="B3119" s="554" t="s">
        <v>4</v>
      </c>
      <c r="C3119" s="553" t="s">
        <v>5</v>
      </c>
      <c r="D3119" s="553" t="s">
        <v>6</v>
      </c>
      <c r="E3119" s="691" t="s">
        <v>427</v>
      </c>
      <c r="F3119" s="691"/>
      <c r="G3119" s="555" t="s">
        <v>7</v>
      </c>
      <c r="H3119" s="554" t="s">
        <v>8</v>
      </c>
      <c r="I3119" s="554" t="s">
        <v>9</v>
      </c>
      <c r="J3119" s="554" t="s">
        <v>11</v>
      </c>
      <c r="K3119" s="552"/>
    </row>
    <row r="3120" spans="1:11" s="89" customFormat="1" ht="38.25" customHeight="1" x14ac:dyDescent="0.3">
      <c r="A3120" s="607" t="s">
        <v>428</v>
      </c>
      <c r="B3120" s="608" t="s">
        <v>564</v>
      </c>
      <c r="C3120" s="607" t="s">
        <v>19</v>
      </c>
      <c r="D3120" s="607" t="s">
        <v>565</v>
      </c>
      <c r="E3120" s="690" t="s">
        <v>461</v>
      </c>
      <c r="F3120" s="690"/>
      <c r="G3120" s="609" t="s">
        <v>102</v>
      </c>
      <c r="H3120" s="610">
        <v>1</v>
      </c>
      <c r="I3120" s="611">
        <v>88.26</v>
      </c>
      <c r="J3120" s="611">
        <v>88.26</v>
      </c>
      <c r="K3120" s="546"/>
    </row>
    <row r="3121" spans="1:11" ht="38.25" customHeight="1" x14ac:dyDescent="0.3">
      <c r="A3121" s="547" t="s">
        <v>430</v>
      </c>
      <c r="B3121" s="548" t="s">
        <v>1581</v>
      </c>
      <c r="C3121" s="547" t="s">
        <v>19</v>
      </c>
      <c r="D3121" s="547" t="s">
        <v>1582</v>
      </c>
      <c r="E3121" s="688" t="s">
        <v>461</v>
      </c>
      <c r="F3121" s="688"/>
      <c r="G3121" s="549" t="s">
        <v>423</v>
      </c>
      <c r="H3121" s="550">
        <v>1</v>
      </c>
      <c r="I3121" s="551">
        <v>46.35</v>
      </c>
      <c r="J3121" s="551">
        <v>46.35</v>
      </c>
      <c r="K3121" s="552"/>
    </row>
    <row r="3122" spans="1:11" ht="38.25" customHeight="1" x14ac:dyDescent="0.3">
      <c r="A3122" s="547" t="s">
        <v>430</v>
      </c>
      <c r="B3122" s="548" t="s">
        <v>1583</v>
      </c>
      <c r="C3122" s="547" t="s">
        <v>19</v>
      </c>
      <c r="D3122" s="547" t="s">
        <v>1584</v>
      </c>
      <c r="E3122" s="688" t="s">
        <v>461</v>
      </c>
      <c r="F3122" s="688"/>
      <c r="G3122" s="549" t="s">
        <v>423</v>
      </c>
      <c r="H3122" s="550">
        <v>1</v>
      </c>
      <c r="I3122" s="551">
        <v>12.25</v>
      </c>
      <c r="J3122" s="551">
        <v>12.25</v>
      </c>
      <c r="K3122" s="552"/>
    </row>
    <row r="3123" spans="1:11" ht="15" customHeight="1" thickBot="1" x14ac:dyDescent="0.35">
      <c r="A3123" s="547" t="s">
        <v>430</v>
      </c>
      <c r="B3123" s="548" t="s">
        <v>1585</v>
      </c>
      <c r="C3123" s="547" t="s">
        <v>19</v>
      </c>
      <c r="D3123" s="547" t="s">
        <v>1586</v>
      </c>
      <c r="E3123" s="688" t="s">
        <v>429</v>
      </c>
      <c r="F3123" s="688"/>
      <c r="G3123" s="549" t="s">
        <v>423</v>
      </c>
      <c r="H3123" s="550">
        <v>1</v>
      </c>
      <c r="I3123" s="551">
        <v>29.66</v>
      </c>
      <c r="J3123" s="551">
        <v>29.66</v>
      </c>
      <c r="K3123" s="552"/>
    </row>
    <row r="3124" spans="1:11" s="89" customFormat="1" ht="14.5" thickTop="1" x14ac:dyDescent="0.3">
      <c r="A3124" s="562"/>
      <c r="B3124" s="562"/>
      <c r="C3124" s="562"/>
      <c r="D3124" s="562"/>
      <c r="E3124" s="562"/>
      <c r="F3124" s="562"/>
      <c r="G3124" s="562"/>
      <c r="H3124" s="562"/>
      <c r="I3124" s="562"/>
      <c r="J3124" s="562"/>
      <c r="K3124" s="546"/>
    </row>
    <row r="3125" spans="1:11" x14ac:dyDescent="0.3">
      <c r="A3125" s="553"/>
      <c r="B3125" s="554" t="s">
        <v>4</v>
      </c>
      <c r="C3125" s="553" t="s">
        <v>5</v>
      </c>
      <c r="D3125" s="553" t="s">
        <v>6</v>
      </c>
      <c r="E3125" s="691" t="s">
        <v>427</v>
      </c>
      <c r="F3125" s="691"/>
      <c r="G3125" s="555" t="s">
        <v>7</v>
      </c>
      <c r="H3125" s="554" t="s">
        <v>8</v>
      </c>
      <c r="I3125" s="554" t="s">
        <v>9</v>
      </c>
      <c r="J3125" s="554" t="s">
        <v>11</v>
      </c>
      <c r="K3125" s="552"/>
    </row>
    <row r="3126" spans="1:11" s="89" customFormat="1" ht="38.25" customHeight="1" x14ac:dyDescent="0.3">
      <c r="A3126" s="607" t="s">
        <v>428</v>
      </c>
      <c r="B3126" s="608" t="s">
        <v>562</v>
      </c>
      <c r="C3126" s="607" t="s">
        <v>19</v>
      </c>
      <c r="D3126" s="607" t="s">
        <v>563</v>
      </c>
      <c r="E3126" s="690" t="s">
        <v>461</v>
      </c>
      <c r="F3126" s="690"/>
      <c r="G3126" s="609" t="s">
        <v>95</v>
      </c>
      <c r="H3126" s="610">
        <v>1</v>
      </c>
      <c r="I3126" s="611">
        <v>204.43</v>
      </c>
      <c r="J3126" s="611">
        <v>204.43</v>
      </c>
      <c r="K3126" s="546"/>
    </row>
    <row r="3127" spans="1:11" s="89" customFormat="1" ht="38.25" customHeight="1" x14ac:dyDescent="0.3">
      <c r="A3127" s="547" t="s">
        <v>430</v>
      </c>
      <c r="B3127" s="548" t="s">
        <v>1581</v>
      </c>
      <c r="C3127" s="547" t="s">
        <v>19</v>
      </c>
      <c r="D3127" s="547" t="s">
        <v>1582</v>
      </c>
      <c r="E3127" s="688" t="s">
        <v>461</v>
      </c>
      <c r="F3127" s="688"/>
      <c r="G3127" s="549" t="s">
        <v>423</v>
      </c>
      <c r="H3127" s="550">
        <v>1</v>
      </c>
      <c r="I3127" s="551">
        <v>46.35</v>
      </c>
      <c r="J3127" s="551">
        <v>46.35</v>
      </c>
      <c r="K3127" s="546"/>
    </row>
    <row r="3128" spans="1:11" ht="38.25" customHeight="1" x14ac:dyDescent="0.3">
      <c r="A3128" s="547" t="s">
        <v>430</v>
      </c>
      <c r="B3128" s="548" t="s">
        <v>1583</v>
      </c>
      <c r="C3128" s="547" t="s">
        <v>19</v>
      </c>
      <c r="D3128" s="547" t="s">
        <v>1584</v>
      </c>
      <c r="E3128" s="688" t="s">
        <v>461</v>
      </c>
      <c r="F3128" s="688"/>
      <c r="G3128" s="549" t="s">
        <v>423</v>
      </c>
      <c r="H3128" s="550">
        <v>1</v>
      </c>
      <c r="I3128" s="551">
        <v>12.25</v>
      </c>
      <c r="J3128" s="551">
        <v>12.25</v>
      </c>
      <c r="K3128" s="552"/>
    </row>
    <row r="3129" spans="1:11" ht="38.25" customHeight="1" x14ac:dyDescent="0.3">
      <c r="A3129" s="547" t="s">
        <v>430</v>
      </c>
      <c r="B3129" s="548" t="s">
        <v>1587</v>
      </c>
      <c r="C3129" s="547" t="s">
        <v>19</v>
      </c>
      <c r="D3129" s="547" t="s">
        <v>1588</v>
      </c>
      <c r="E3129" s="688" t="s">
        <v>461</v>
      </c>
      <c r="F3129" s="688"/>
      <c r="G3129" s="549" t="s">
        <v>423</v>
      </c>
      <c r="H3129" s="550">
        <v>1</v>
      </c>
      <c r="I3129" s="551">
        <v>57.94</v>
      </c>
      <c r="J3129" s="551">
        <v>57.94</v>
      </c>
      <c r="K3129" s="552"/>
    </row>
    <row r="3130" spans="1:11" ht="38.25" customHeight="1" x14ac:dyDescent="0.3">
      <c r="A3130" s="547" t="s">
        <v>430</v>
      </c>
      <c r="B3130" s="548" t="s">
        <v>1589</v>
      </c>
      <c r="C3130" s="547" t="s">
        <v>19</v>
      </c>
      <c r="D3130" s="547" t="s">
        <v>1590</v>
      </c>
      <c r="E3130" s="688" t="s">
        <v>461</v>
      </c>
      <c r="F3130" s="688"/>
      <c r="G3130" s="549" t="s">
        <v>423</v>
      </c>
      <c r="H3130" s="550">
        <v>1</v>
      </c>
      <c r="I3130" s="551">
        <v>58.23</v>
      </c>
      <c r="J3130" s="551">
        <v>58.23</v>
      </c>
      <c r="K3130" s="552"/>
    </row>
    <row r="3131" spans="1:11" ht="15" customHeight="1" thickBot="1" x14ac:dyDescent="0.35">
      <c r="A3131" s="547" t="s">
        <v>430</v>
      </c>
      <c r="B3131" s="548" t="s">
        <v>1585</v>
      </c>
      <c r="C3131" s="547" t="s">
        <v>19</v>
      </c>
      <c r="D3131" s="547" t="s">
        <v>1586</v>
      </c>
      <c r="E3131" s="688" t="s">
        <v>429</v>
      </c>
      <c r="F3131" s="688"/>
      <c r="G3131" s="549" t="s">
        <v>423</v>
      </c>
      <c r="H3131" s="550">
        <v>1</v>
      </c>
      <c r="I3131" s="551">
        <v>29.66</v>
      </c>
      <c r="J3131" s="551">
        <v>29.66</v>
      </c>
      <c r="K3131" s="552"/>
    </row>
    <row r="3132" spans="1:11" ht="14.5" thickTop="1" x14ac:dyDescent="0.3">
      <c r="A3132" s="562"/>
      <c r="B3132" s="562"/>
      <c r="C3132" s="562"/>
      <c r="D3132" s="562"/>
      <c r="E3132" s="562"/>
      <c r="F3132" s="562"/>
      <c r="G3132" s="562"/>
      <c r="H3132" s="562"/>
      <c r="I3132" s="562"/>
      <c r="J3132" s="562"/>
      <c r="K3132" s="552"/>
    </row>
    <row r="3133" spans="1:11" s="89" customFormat="1" x14ac:dyDescent="0.3">
      <c r="A3133" s="553"/>
      <c r="B3133" s="554" t="s">
        <v>4</v>
      </c>
      <c r="C3133" s="553" t="s">
        <v>5</v>
      </c>
      <c r="D3133" s="553" t="s">
        <v>6</v>
      </c>
      <c r="E3133" s="691" t="s">
        <v>427</v>
      </c>
      <c r="F3133" s="691"/>
      <c r="G3133" s="555" t="s">
        <v>7</v>
      </c>
      <c r="H3133" s="554" t="s">
        <v>8</v>
      </c>
      <c r="I3133" s="554" t="s">
        <v>9</v>
      </c>
      <c r="J3133" s="554" t="s">
        <v>11</v>
      </c>
      <c r="K3133" s="546"/>
    </row>
    <row r="3134" spans="1:11" s="89" customFormat="1" ht="38.25" customHeight="1" x14ac:dyDescent="0.3">
      <c r="A3134" s="607" t="s">
        <v>428</v>
      </c>
      <c r="B3134" s="608" t="s">
        <v>1581</v>
      </c>
      <c r="C3134" s="607" t="s">
        <v>19</v>
      </c>
      <c r="D3134" s="607" t="s">
        <v>1582</v>
      </c>
      <c r="E3134" s="690" t="s">
        <v>461</v>
      </c>
      <c r="F3134" s="690"/>
      <c r="G3134" s="609" t="s">
        <v>423</v>
      </c>
      <c r="H3134" s="610">
        <v>1</v>
      </c>
      <c r="I3134" s="611">
        <v>46.35</v>
      </c>
      <c r="J3134" s="611">
        <v>46.35</v>
      </c>
      <c r="K3134" s="546"/>
    </row>
    <row r="3135" spans="1:11" ht="25.5" thickBot="1" x14ac:dyDescent="0.35">
      <c r="A3135" s="547" t="s">
        <v>433</v>
      </c>
      <c r="B3135" s="548" t="s">
        <v>1591</v>
      </c>
      <c r="C3135" s="547" t="s">
        <v>19</v>
      </c>
      <c r="D3135" s="547" t="s">
        <v>1592</v>
      </c>
      <c r="E3135" s="688" t="s">
        <v>442</v>
      </c>
      <c r="F3135" s="688"/>
      <c r="G3135" s="549" t="s">
        <v>81</v>
      </c>
      <c r="H3135" s="550">
        <v>5.5999999999999999E-5</v>
      </c>
      <c r="I3135" s="551">
        <v>827794.72</v>
      </c>
      <c r="J3135" s="551">
        <v>46.35</v>
      </c>
      <c r="K3135" s="552"/>
    </row>
    <row r="3136" spans="1:11" ht="14.5" thickTop="1" x14ac:dyDescent="0.3">
      <c r="A3136" s="562"/>
      <c r="B3136" s="562"/>
      <c r="C3136" s="562"/>
      <c r="D3136" s="562"/>
      <c r="E3136" s="562"/>
      <c r="F3136" s="562"/>
      <c r="G3136" s="562"/>
      <c r="H3136" s="562"/>
      <c r="I3136" s="562"/>
      <c r="J3136" s="562"/>
      <c r="K3136" s="552"/>
    </row>
    <row r="3137" spans="1:11" x14ac:dyDescent="0.3">
      <c r="A3137" s="553"/>
      <c r="B3137" s="554" t="s">
        <v>4</v>
      </c>
      <c r="C3137" s="553" t="s">
        <v>5</v>
      </c>
      <c r="D3137" s="553" t="s">
        <v>6</v>
      </c>
      <c r="E3137" s="691" t="s">
        <v>427</v>
      </c>
      <c r="F3137" s="691"/>
      <c r="G3137" s="555" t="s">
        <v>7</v>
      </c>
      <c r="H3137" s="554" t="s">
        <v>8</v>
      </c>
      <c r="I3137" s="554" t="s">
        <v>9</v>
      </c>
      <c r="J3137" s="554" t="s">
        <v>11</v>
      </c>
      <c r="K3137" s="552"/>
    </row>
    <row r="3138" spans="1:11" s="89" customFormat="1" ht="38.25" customHeight="1" x14ac:dyDescent="0.3">
      <c r="A3138" s="607" t="s">
        <v>428</v>
      </c>
      <c r="B3138" s="608" t="s">
        <v>1583</v>
      </c>
      <c r="C3138" s="607" t="s">
        <v>19</v>
      </c>
      <c r="D3138" s="607" t="s">
        <v>1584</v>
      </c>
      <c r="E3138" s="690" t="s">
        <v>461</v>
      </c>
      <c r="F3138" s="690"/>
      <c r="G3138" s="609" t="s">
        <v>423</v>
      </c>
      <c r="H3138" s="610">
        <v>1</v>
      </c>
      <c r="I3138" s="611">
        <v>12.25</v>
      </c>
      <c r="J3138" s="611">
        <v>12.25</v>
      </c>
      <c r="K3138" s="546"/>
    </row>
    <row r="3139" spans="1:11" ht="25.5" thickBot="1" x14ac:dyDescent="0.35">
      <c r="A3139" s="547" t="s">
        <v>433</v>
      </c>
      <c r="B3139" s="548" t="s">
        <v>1591</v>
      </c>
      <c r="C3139" s="547" t="s">
        <v>19</v>
      </c>
      <c r="D3139" s="547" t="s">
        <v>1592</v>
      </c>
      <c r="E3139" s="688" t="s">
        <v>442</v>
      </c>
      <c r="F3139" s="688"/>
      <c r="G3139" s="549" t="s">
        <v>81</v>
      </c>
      <c r="H3139" s="550">
        <v>1.4800000000000001E-5</v>
      </c>
      <c r="I3139" s="551">
        <v>827794.72</v>
      </c>
      <c r="J3139" s="551">
        <v>12.25</v>
      </c>
      <c r="K3139" s="552"/>
    </row>
    <row r="3140" spans="1:11" s="89" customFormat="1" ht="14.5" thickTop="1" x14ac:dyDescent="0.3">
      <c r="A3140" s="562"/>
      <c r="B3140" s="562"/>
      <c r="C3140" s="562"/>
      <c r="D3140" s="562"/>
      <c r="E3140" s="562"/>
      <c r="F3140" s="562"/>
      <c r="G3140" s="562"/>
      <c r="H3140" s="562"/>
      <c r="I3140" s="562"/>
      <c r="J3140" s="562"/>
      <c r="K3140" s="546"/>
    </row>
    <row r="3141" spans="1:11" s="89" customFormat="1" x14ac:dyDescent="0.3">
      <c r="A3141" s="553"/>
      <c r="B3141" s="554" t="s">
        <v>4</v>
      </c>
      <c r="C3141" s="553" t="s">
        <v>5</v>
      </c>
      <c r="D3141" s="553" t="s">
        <v>6</v>
      </c>
      <c r="E3141" s="691" t="s">
        <v>427</v>
      </c>
      <c r="F3141" s="691"/>
      <c r="G3141" s="555" t="s">
        <v>7</v>
      </c>
      <c r="H3141" s="554" t="s">
        <v>8</v>
      </c>
      <c r="I3141" s="554" t="s">
        <v>9</v>
      </c>
      <c r="J3141" s="554" t="s">
        <v>11</v>
      </c>
      <c r="K3141" s="546"/>
    </row>
    <row r="3142" spans="1:11" s="89" customFormat="1" ht="38.25" customHeight="1" x14ac:dyDescent="0.3">
      <c r="A3142" s="607" t="s">
        <v>428</v>
      </c>
      <c r="B3142" s="608" t="s">
        <v>1587</v>
      </c>
      <c r="C3142" s="607" t="s">
        <v>19</v>
      </c>
      <c r="D3142" s="607" t="s">
        <v>1588</v>
      </c>
      <c r="E3142" s="690" t="s">
        <v>461</v>
      </c>
      <c r="F3142" s="690"/>
      <c r="G3142" s="609" t="s">
        <v>423</v>
      </c>
      <c r="H3142" s="610">
        <v>1</v>
      </c>
      <c r="I3142" s="611">
        <v>57.94</v>
      </c>
      <c r="J3142" s="611">
        <v>57.94</v>
      </c>
      <c r="K3142" s="546"/>
    </row>
    <row r="3143" spans="1:11" ht="25.5" thickBot="1" x14ac:dyDescent="0.35">
      <c r="A3143" s="547" t="s">
        <v>433</v>
      </c>
      <c r="B3143" s="548" t="s">
        <v>1591</v>
      </c>
      <c r="C3143" s="547" t="s">
        <v>19</v>
      </c>
      <c r="D3143" s="547" t="s">
        <v>1592</v>
      </c>
      <c r="E3143" s="688" t="s">
        <v>442</v>
      </c>
      <c r="F3143" s="688"/>
      <c r="G3143" s="549" t="s">
        <v>81</v>
      </c>
      <c r="H3143" s="550">
        <v>6.9999999999999994E-5</v>
      </c>
      <c r="I3143" s="551">
        <v>827794.72</v>
      </c>
      <c r="J3143" s="551">
        <v>57.94</v>
      </c>
      <c r="K3143" s="552"/>
    </row>
    <row r="3144" spans="1:11" ht="14.5" thickTop="1" x14ac:dyDescent="0.3">
      <c r="A3144" s="562"/>
      <c r="B3144" s="562"/>
      <c r="C3144" s="562"/>
      <c r="D3144" s="562"/>
      <c r="E3144" s="562"/>
      <c r="F3144" s="562"/>
      <c r="G3144" s="562"/>
      <c r="H3144" s="562"/>
      <c r="I3144" s="562"/>
      <c r="J3144" s="562"/>
      <c r="K3144" s="552"/>
    </row>
    <row r="3145" spans="1:11" x14ac:dyDescent="0.3">
      <c r="A3145" s="553"/>
      <c r="B3145" s="554" t="s">
        <v>4</v>
      </c>
      <c r="C3145" s="553" t="s">
        <v>5</v>
      </c>
      <c r="D3145" s="553" t="s">
        <v>6</v>
      </c>
      <c r="E3145" s="691" t="s">
        <v>427</v>
      </c>
      <c r="F3145" s="691"/>
      <c r="G3145" s="555" t="s">
        <v>7</v>
      </c>
      <c r="H3145" s="554" t="s">
        <v>8</v>
      </c>
      <c r="I3145" s="554" t="s">
        <v>9</v>
      </c>
      <c r="J3145" s="554" t="s">
        <v>11</v>
      </c>
      <c r="K3145" s="552"/>
    </row>
    <row r="3146" spans="1:11" s="89" customFormat="1" ht="38.25" customHeight="1" x14ac:dyDescent="0.3">
      <c r="A3146" s="607" t="s">
        <v>428</v>
      </c>
      <c r="B3146" s="608" t="s">
        <v>1589</v>
      </c>
      <c r="C3146" s="607" t="s">
        <v>19</v>
      </c>
      <c r="D3146" s="607" t="s">
        <v>1590</v>
      </c>
      <c r="E3146" s="690" t="s">
        <v>461</v>
      </c>
      <c r="F3146" s="690"/>
      <c r="G3146" s="609" t="s">
        <v>423</v>
      </c>
      <c r="H3146" s="610">
        <v>1</v>
      </c>
      <c r="I3146" s="611">
        <v>58.23</v>
      </c>
      <c r="J3146" s="611">
        <v>58.23</v>
      </c>
      <c r="K3146" s="546"/>
    </row>
    <row r="3147" spans="1:11" s="89" customFormat="1" ht="14.5" thickBot="1" x14ac:dyDescent="0.35">
      <c r="A3147" s="547" t="s">
        <v>433</v>
      </c>
      <c r="B3147" s="548" t="s">
        <v>3859</v>
      </c>
      <c r="C3147" s="547" t="s">
        <v>115</v>
      </c>
      <c r="D3147" s="547" t="s">
        <v>3860</v>
      </c>
      <c r="E3147" s="688" t="s">
        <v>438</v>
      </c>
      <c r="F3147" s="688"/>
      <c r="G3147" s="549" t="s">
        <v>835</v>
      </c>
      <c r="H3147" s="550">
        <v>10.77</v>
      </c>
      <c r="I3147" s="551">
        <v>5.4069000000000003</v>
      </c>
      <c r="J3147" s="551">
        <v>58.23</v>
      </c>
      <c r="K3147" s="546"/>
    </row>
    <row r="3148" spans="1:11" ht="14.5" thickTop="1" x14ac:dyDescent="0.3">
      <c r="A3148" s="562"/>
      <c r="B3148" s="562"/>
      <c r="C3148" s="562"/>
      <c r="D3148" s="562"/>
      <c r="E3148" s="562"/>
      <c r="F3148" s="562"/>
      <c r="G3148" s="562"/>
      <c r="H3148" s="562"/>
      <c r="I3148" s="562"/>
      <c r="J3148" s="562"/>
      <c r="K3148" s="552"/>
    </row>
    <row r="3149" spans="1:11" s="89" customFormat="1" x14ac:dyDescent="0.3">
      <c r="A3149" s="553"/>
      <c r="B3149" s="554" t="s">
        <v>4</v>
      </c>
      <c r="C3149" s="553" t="s">
        <v>5</v>
      </c>
      <c r="D3149" s="553" t="s">
        <v>6</v>
      </c>
      <c r="E3149" s="691" t="s">
        <v>427</v>
      </c>
      <c r="F3149" s="691"/>
      <c r="G3149" s="555" t="s">
        <v>7</v>
      </c>
      <c r="H3149" s="554" t="s">
        <v>8</v>
      </c>
      <c r="I3149" s="554" t="s">
        <v>9</v>
      </c>
      <c r="J3149" s="554" t="s">
        <v>11</v>
      </c>
      <c r="K3149" s="546"/>
    </row>
    <row r="3150" spans="1:11" s="89" customFormat="1" ht="38.25" customHeight="1" x14ac:dyDescent="0.3">
      <c r="A3150" s="607" t="s">
        <v>428</v>
      </c>
      <c r="B3150" s="608" t="s">
        <v>597</v>
      </c>
      <c r="C3150" s="607" t="s">
        <v>19</v>
      </c>
      <c r="D3150" s="607" t="s">
        <v>598</v>
      </c>
      <c r="E3150" s="690" t="s">
        <v>461</v>
      </c>
      <c r="F3150" s="690"/>
      <c r="G3150" s="609" t="s">
        <v>102</v>
      </c>
      <c r="H3150" s="610">
        <v>1</v>
      </c>
      <c r="I3150" s="611">
        <v>95.97</v>
      </c>
      <c r="J3150" s="611">
        <v>95.97</v>
      </c>
      <c r="K3150" s="546"/>
    </row>
    <row r="3151" spans="1:11" ht="14.25" customHeight="1" x14ac:dyDescent="0.3">
      <c r="A3151" s="547" t="s">
        <v>430</v>
      </c>
      <c r="B3151" s="548" t="s">
        <v>1585</v>
      </c>
      <c r="C3151" s="547" t="s">
        <v>19</v>
      </c>
      <c r="D3151" s="547" t="s">
        <v>1586</v>
      </c>
      <c r="E3151" s="688" t="s">
        <v>429</v>
      </c>
      <c r="F3151" s="688"/>
      <c r="G3151" s="549" t="s">
        <v>423</v>
      </c>
      <c r="H3151" s="550">
        <v>1</v>
      </c>
      <c r="I3151" s="551">
        <v>29.66</v>
      </c>
      <c r="J3151" s="551">
        <v>29.66</v>
      </c>
      <c r="K3151" s="552"/>
    </row>
    <row r="3152" spans="1:11" ht="38.25" customHeight="1" x14ac:dyDescent="0.3">
      <c r="A3152" s="547" t="s">
        <v>430</v>
      </c>
      <c r="B3152" s="548" t="s">
        <v>1593</v>
      </c>
      <c r="C3152" s="547" t="s">
        <v>19</v>
      </c>
      <c r="D3152" s="547" t="s">
        <v>1594</v>
      </c>
      <c r="E3152" s="688" t="s">
        <v>461</v>
      </c>
      <c r="F3152" s="688"/>
      <c r="G3152" s="549" t="s">
        <v>423</v>
      </c>
      <c r="H3152" s="550">
        <v>1</v>
      </c>
      <c r="I3152" s="551">
        <v>52.45</v>
      </c>
      <c r="J3152" s="551">
        <v>52.45</v>
      </c>
      <c r="K3152" s="552"/>
    </row>
    <row r="3153" spans="1:11" ht="39" customHeight="1" thickBot="1" x14ac:dyDescent="0.35">
      <c r="A3153" s="547" t="s">
        <v>430</v>
      </c>
      <c r="B3153" s="548" t="s">
        <v>1595</v>
      </c>
      <c r="C3153" s="547" t="s">
        <v>19</v>
      </c>
      <c r="D3153" s="547" t="s">
        <v>1596</v>
      </c>
      <c r="E3153" s="688" t="s">
        <v>461</v>
      </c>
      <c r="F3153" s="688"/>
      <c r="G3153" s="549" t="s">
        <v>423</v>
      </c>
      <c r="H3153" s="550">
        <v>1</v>
      </c>
      <c r="I3153" s="551">
        <v>13.86</v>
      </c>
      <c r="J3153" s="551">
        <v>13.86</v>
      </c>
      <c r="K3153" s="552"/>
    </row>
    <row r="3154" spans="1:11" s="89" customFormat="1" ht="14.5" thickTop="1" x14ac:dyDescent="0.3">
      <c r="A3154" s="562"/>
      <c r="B3154" s="562"/>
      <c r="C3154" s="562"/>
      <c r="D3154" s="562"/>
      <c r="E3154" s="562"/>
      <c r="F3154" s="562"/>
      <c r="G3154" s="562"/>
      <c r="H3154" s="562"/>
      <c r="I3154" s="562"/>
      <c r="J3154" s="562"/>
      <c r="K3154" s="546"/>
    </row>
    <row r="3155" spans="1:11" x14ac:dyDescent="0.3">
      <c r="A3155" s="553"/>
      <c r="B3155" s="554" t="s">
        <v>4</v>
      </c>
      <c r="C3155" s="553" t="s">
        <v>5</v>
      </c>
      <c r="D3155" s="553" t="s">
        <v>6</v>
      </c>
      <c r="E3155" s="691" t="s">
        <v>427</v>
      </c>
      <c r="F3155" s="691"/>
      <c r="G3155" s="555" t="s">
        <v>7</v>
      </c>
      <c r="H3155" s="554" t="s">
        <v>8</v>
      </c>
      <c r="I3155" s="554" t="s">
        <v>9</v>
      </c>
      <c r="J3155" s="554" t="s">
        <v>11</v>
      </c>
      <c r="K3155" s="552"/>
    </row>
    <row r="3156" spans="1:11" s="89" customFormat="1" ht="38.25" customHeight="1" x14ac:dyDescent="0.3">
      <c r="A3156" s="607" t="s">
        <v>428</v>
      </c>
      <c r="B3156" s="608" t="s">
        <v>595</v>
      </c>
      <c r="C3156" s="607" t="s">
        <v>19</v>
      </c>
      <c r="D3156" s="607" t="s">
        <v>596</v>
      </c>
      <c r="E3156" s="690" t="s">
        <v>461</v>
      </c>
      <c r="F3156" s="690"/>
      <c r="G3156" s="609" t="s">
        <v>95</v>
      </c>
      <c r="H3156" s="610">
        <v>1</v>
      </c>
      <c r="I3156" s="611">
        <v>242.79</v>
      </c>
      <c r="J3156" s="611">
        <v>242.79</v>
      </c>
      <c r="K3156" s="546"/>
    </row>
    <row r="3157" spans="1:11" ht="14.25" customHeight="1" x14ac:dyDescent="0.3">
      <c r="A3157" s="547" t="s">
        <v>430</v>
      </c>
      <c r="B3157" s="548" t="s">
        <v>1585</v>
      </c>
      <c r="C3157" s="547" t="s">
        <v>19</v>
      </c>
      <c r="D3157" s="547" t="s">
        <v>1586</v>
      </c>
      <c r="E3157" s="688" t="s">
        <v>429</v>
      </c>
      <c r="F3157" s="688"/>
      <c r="G3157" s="549" t="s">
        <v>423</v>
      </c>
      <c r="H3157" s="550">
        <v>1</v>
      </c>
      <c r="I3157" s="551">
        <v>29.66</v>
      </c>
      <c r="J3157" s="551">
        <v>29.66</v>
      </c>
      <c r="K3157" s="552"/>
    </row>
    <row r="3158" spans="1:11" ht="38.25" customHeight="1" x14ac:dyDescent="0.3">
      <c r="A3158" s="547" t="s">
        <v>430</v>
      </c>
      <c r="B3158" s="548" t="s">
        <v>1593</v>
      </c>
      <c r="C3158" s="547" t="s">
        <v>19</v>
      </c>
      <c r="D3158" s="547" t="s">
        <v>1594</v>
      </c>
      <c r="E3158" s="688" t="s">
        <v>461</v>
      </c>
      <c r="F3158" s="688"/>
      <c r="G3158" s="549" t="s">
        <v>423</v>
      </c>
      <c r="H3158" s="550">
        <v>1</v>
      </c>
      <c r="I3158" s="551">
        <v>52.45</v>
      </c>
      <c r="J3158" s="551">
        <v>52.45</v>
      </c>
      <c r="K3158" s="552"/>
    </row>
    <row r="3159" spans="1:11" ht="38.25" customHeight="1" x14ac:dyDescent="0.3">
      <c r="A3159" s="547" t="s">
        <v>430</v>
      </c>
      <c r="B3159" s="548" t="s">
        <v>1595</v>
      </c>
      <c r="C3159" s="547" t="s">
        <v>19</v>
      </c>
      <c r="D3159" s="547" t="s">
        <v>1596</v>
      </c>
      <c r="E3159" s="688" t="s">
        <v>461</v>
      </c>
      <c r="F3159" s="688"/>
      <c r="G3159" s="549" t="s">
        <v>423</v>
      </c>
      <c r="H3159" s="550">
        <v>1</v>
      </c>
      <c r="I3159" s="551">
        <v>13.86</v>
      </c>
      <c r="J3159" s="551">
        <v>13.86</v>
      </c>
      <c r="K3159" s="552"/>
    </row>
    <row r="3160" spans="1:11" s="89" customFormat="1" ht="38.25" customHeight="1" x14ac:dyDescent="0.3">
      <c r="A3160" s="547" t="s">
        <v>430</v>
      </c>
      <c r="B3160" s="548" t="s">
        <v>1597</v>
      </c>
      <c r="C3160" s="547" t="s">
        <v>19</v>
      </c>
      <c r="D3160" s="547" t="s">
        <v>1598</v>
      </c>
      <c r="E3160" s="688" t="s">
        <v>461</v>
      </c>
      <c r="F3160" s="688"/>
      <c r="G3160" s="549" t="s">
        <v>423</v>
      </c>
      <c r="H3160" s="550">
        <v>1</v>
      </c>
      <c r="I3160" s="551">
        <v>65.56</v>
      </c>
      <c r="J3160" s="551">
        <v>65.56</v>
      </c>
      <c r="K3160" s="546"/>
    </row>
    <row r="3161" spans="1:11" s="89" customFormat="1" ht="38.25" customHeight="1" thickBot="1" x14ac:dyDescent="0.35">
      <c r="A3161" s="547" t="s">
        <v>430</v>
      </c>
      <c r="B3161" s="548" t="s">
        <v>1599</v>
      </c>
      <c r="C3161" s="547" t="s">
        <v>19</v>
      </c>
      <c r="D3161" s="547" t="s">
        <v>1600</v>
      </c>
      <c r="E3161" s="688" t="s">
        <v>461</v>
      </c>
      <c r="F3161" s="688"/>
      <c r="G3161" s="549" t="s">
        <v>423</v>
      </c>
      <c r="H3161" s="550">
        <v>1</v>
      </c>
      <c r="I3161" s="551">
        <v>81.260000000000005</v>
      </c>
      <c r="J3161" s="551">
        <v>81.260000000000005</v>
      </c>
      <c r="K3161" s="546"/>
    </row>
    <row r="3162" spans="1:11" ht="38.25" customHeight="1" thickTop="1" x14ac:dyDescent="0.3">
      <c r="A3162" s="562"/>
      <c r="B3162" s="562"/>
      <c r="C3162" s="562"/>
      <c r="D3162" s="562"/>
      <c r="E3162" s="562"/>
      <c r="F3162" s="562"/>
      <c r="G3162" s="562"/>
      <c r="H3162" s="562"/>
      <c r="I3162" s="562"/>
      <c r="J3162" s="562"/>
      <c r="K3162" s="552"/>
    </row>
    <row r="3163" spans="1:11" s="89" customFormat="1" ht="15.75" customHeight="1" x14ac:dyDescent="0.3">
      <c r="A3163" s="553"/>
      <c r="B3163" s="554" t="s">
        <v>4</v>
      </c>
      <c r="C3163" s="553" t="s">
        <v>5</v>
      </c>
      <c r="D3163" s="553" t="s">
        <v>6</v>
      </c>
      <c r="E3163" s="691" t="s">
        <v>427</v>
      </c>
      <c r="F3163" s="691"/>
      <c r="G3163" s="555" t="s">
        <v>7</v>
      </c>
      <c r="H3163" s="554" t="s">
        <v>8</v>
      </c>
      <c r="I3163" s="554" t="s">
        <v>9</v>
      </c>
      <c r="J3163" s="554" t="s">
        <v>11</v>
      </c>
      <c r="K3163" s="546"/>
    </row>
    <row r="3164" spans="1:11" s="89" customFormat="1" ht="38.25" customHeight="1" x14ac:dyDescent="0.3">
      <c r="A3164" s="607" t="s">
        <v>428</v>
      </c>
      <c r="B3164" s="608" t="s">
        <v>1593</v>
      </c>
      <c r="C3164" s="607" t="s">
        <v>19</v>
      </c>
      <c r="D3164" s="607" t="s">
        <v>1594</v>
      </c>
      <c r="E3164" s="690" t="s">
        <v>461</v>
      </c>
      <c r="F3164" s="690"/>
      <c r="G3164" s="609" t="s">
        <v>423</v>
      </c>
      <c r="H3164" s="610">
        <v>1</v>
      </c>
      <c r="I3164" s="611">
        <v>52.45</v>
      </c>
      <c r="J3164" s="611">
        <v>52.45</v>
      </c>
      <c r="K3164" s="546"/>
    </row>
    <row r="3165" spans="1:11" s="89" customFormat="1" ht="15" customHeight="1" thickBot="1" x14ac:dyDescent="0.35">
      <c r="A3165" s="547" t="s">
        <v>433</v>
      </c>
      <c r="B3165" s="548" t="s">
        <v>1601</v>
      </c>
      <c r="C3165" s="547" t="s">
        <v>19</v>
      </c>
      <c r="D3165" s="547" t="s">
        <v>1602</v>
      </c>
      <c r="E3165" s="688" t="s">
        <v>442</v>
      </c>
      <c r="F3165" s="688"/>
      <c r="G3165" s="549" t="s">
        <v>81</v>
      </c>
      <c r="H3165" s="550">
        <v>5.5999999999999999E-5</v>
      </c>
      <c r="I3165" s="551">
        <v>936675.8</v>
      </c>
      <c r="J3165" s="551">
        <v>52.45</v>
      </c>
      <c r="K3165" s="546"/>
    </row>
    <row r="3166" spans="1:11" ht="38.25" customHeight="1" thickTop="1" x14ac:dyDescent="0.3">
      <c r="A3166" s="562"/>
      <c r="B3166" s="562"/>
      <c r="C3166" s="562"/>
      <c r="D3166" s="562"/>
      <c r="E3166" s="562"/>
      <c r="F3166" s="562"/>
      <c r="G3166" s="562"/>
      <c r="H3166" s="562"/>
      <c r="I3166" s="562"/>
      <c r="J3166" s="562"/>
      <c r="K3166" s="552"/>
    </row>
    <row r="3167" spans="1:11" ht="39" customHeight="1" x14ac:dyDescent="0.3">
      <c r="A3167" s="553"/>
      <c r="B3167" s="554" t="s">
        <v>4</v>
      </c>
      <c r="C3167" s="553" t="s">
        <v>5</v>
      </c>
      <c r="D3167" s="553" t="s">
        <v>6</v>
      </c>
      <c r="E3167" s="691" t="s">
        <v>427</v>
      </c>
      <c r="F3167" s="691"/>
      <c r="G3167" s="555" t="s">
        <v>7</v>
      </c>
      <c r="H3167" s="554" t="s">
        <v>8</v>
      </c>
      <c r="I3167" s="554" t="s">
        <v>9</v>
      </c>
      <c r="J3167" s="554" t="s">
        <v>11</v>
      </c>
      <c r="K3167" s="552"/>
    </row>
    <row r="3168" spans="1:11" ht="38.25" customHeight="1" x14ac:dyDescent="0.3">
      <c r="A3168" s="607" t="s">
        <v>428</v>
      </c>
      <c r="B3168" s="608" t="s">
        <v>1595</v>
      </c>
      <c r="C3168" s="607" t="s">
        <v>19</v>
      </c>
      <c r="D3168" s="607" t="s">
        <v>1596</v>
      </c>
      <c r="E3168" s="690" t="s">
        <v>461</v>
      </c>
      <c r="F3168" s="690"/>
      <c r="G3168" s="609" t="s">
        <v>423</v>
      </c>
      <c r="H3168" s="610">
        <v>1</v>
      </c>
      <c r="I3168" s="611">
        <v>13.86</v>
      </c>
      <c r="J3168" s="611">
        <v>13.86</v>
      </c>
      <c r="K3168" s="552"/>
    </row>
    <row r="3169" spans="1:11" ht="38.25" customHeight="1" thickBot="1" x14ac:dyDescent="0.35">
      <c r="A3169" s="547" t="s">
        <v>433</v>
      </c>
      <c r="B3169" s="548" t="s">
        <v>1601</v>
      </c>
      <c r="C3169" s="547" t="s">
        <v>19</v>
      </c>
      <c r="D3169" s="547" t="s">
        <v>1602</v>
      </c>
      <c r="E3169" s="688" t="s">
        <v>442</v>
      </c>
      <c r="F3169" s="688"/>
      <c r="G3169" s="549" t="s">
        <v>81</v>
      </c>
      <c r="H3169" s="550">
        <v>1.4800000000000001E-5</v>
      </c>
      <c r="I3169" s="551">
        <v>936675.8</v>
      </c>
      <c r="J3169" s="551">
        <v>13.86</v>
      </c>
      <c r="K3169" s="552"/>
    </row>
    <row r="3170" spans="1:11" s="89" customFormat="1" ht="38.25" customHeight="1" thickTop="1" x14ac:dyDescent="0.3">
      <c r="A3170" s="562"/>
      <c r="B3170" s="562"/>
      <c r="C3170" s="562"/>
      <c r="D3170" s="562"/>
      <c r="E3170" s="562"/>
      <c r="F3170" s="562"/>
      <c r="G3170" s="562"/>
      <c r="H3170" s="562"/>
      <c r="I3170" s="562"/>
      <c r="J3170" s="562"/>
      <c r="K3170" s="546"/>
    </row>
    <row r="3171" spans="1:11" s="89" customFormat="1" ht="15.75" customHeight="1" x14ac:dyDescent="0.3">
      <c r="A3171" s="553"/>
      <c r="B3171" s="554" t="s">
        <v>4</v>
      </c>
      <c r="C3171" s="553" t="s">
        <v>5</v>
      </c>
      <c r="D3171" s="553" t="s">
        <v>6</v>
      </c>
      <c r="E3171" s="691" t="s">
        <v>427</v>
      </c>
      <c r="F3171" s="691"/>
      <c r="G3171" s="555" t="s">
        <v>7</v>
      </c>
      <c r="H3171" s="554" t="s">
        <v>8</v>
      </c>
      <c r="I3171" s="554" t="s">
        <v>9</v>
      </c>
      <c r="J3171" s="554" t="s">
        <v>11</v>
      </c>
      <c r="K3171" s="546"/>
    </row>
    <row r="3172" spans="1:11" s="89" customFormat="1" ht="38.25" customHeight="1" x14ac:dyDescent="0.3">
      <c r="A3172" s="607" t="s">
        <v>428</v>
      </c>
      <c r="B3172" s="608" t="s">
        <v>1597</v>
      </c>
      <c r="C3172" s="607" t="s">
        <v>19</v>
      </c>
      <c r="D3172" s="607" t="s">
        <v>1598</v>
      </c>
      <c r="E3172" s="690" t="s">
        <v>461</v>
      </c>
      <c r="F3172" s="690"/>
      <c r="G3172" s="609" t="s">
        <v>423</v>
      </c>
      <c r="H3172" s="610">
        <v>1</v>
      </c>
      <c r="I3172" s="611">
        <v>65.56</v>
      </c>
      <c r="J3172" s="611">
        <v>65.56</v>
      </c>
      <c r="K3172" s="546"/>
    </row>
    <row r="3173" spans="1:11" ht="38.25" customHeight="1" thickBot="1" x14ac:dyDescent="0.35">
      <c r="A3173" s="547" t="s">
        <v>433</v>
      </c>
      <c r="B3173" s="548" t="s">
        <v>1601</v>
      </c>
      <c r="C3173" s="547" t="s">
        <v>19</v>
      </c>
      <c r="D3173" s="547" t="s">
        <v>1602</v>
      </c>
      <c r="E3173" s="688" t="s">
        <v>442</v>
      </c>
      <c r="F3173" s="688"/>
      <c r="G3173" s="549" t="s">
        <v>81</v>
      </c>
      <c r="H3173" s="550">
        <v>6.9999999999999994E-5</v>
      </c>
      <c r="I3173" s="551">
        <v>936675.8</v>
      </c>
      <c r="J3173" s="551">
        <v>65.56</v>
      </c>
      <c r="K3173" s="552"/>
    </row>
    <row r="3174" spans="1:11" ht="38.25" customHeight="1" thickTop="1" x14ac:dyDescent="0.3">
      <c r="A3174" s="562"/>
      <c r="B3174" s="562"/>
      <c r="C3174" s="562"/>
      <c r="D3174" s="562"/>
      <c r="E3174" s="562"/>
      <c r="F3174" s="562"/>
      <c r="G3174" s="562"/>
      <c r="H3174" s="562"/>
      <c r="I3174" s="562"/>
      <c r="J3174" s="562"/>
      <c r="K3174" s="552"/>
    </row>
    <row r="3175" spans="1:11" ht="39" customHeight="1" x14ac:dyDescent="0.3">
      <c r="A3175" s="553"/>
      <c r="B3175" s="554" t="s">
        <v>4</v>
      </c>
      <c r="C3175" s="553" t="s">
        <v>5</v>
      </c>
      <c r="D3175" s="553" t="s">
        <v>6</v>
      </c>
      <c r="E3175" s="691" t="s">
        <v>427</v>
      </c>
      <c r="F3175" s="691"/>
      <c r="G3175" s="555" t="s">
        <v>7</v>
      </c>
      <c r="H3175" s="554" t="s">
        <v>8</v>
      </c>
      <c r="I3175" s="554" t="s">
        <v>9</v>
      </c>
      <c r="J3175" s="554" t="s">
        <v>11</v>
      </c>
      <c r="K3175" s="552"/>
    </row>
    <row r="3176" spans="1:11" ht="38.25" customHeight="1" x14ac:dyDescent="0.3">
      <c r="A3176" s="607" t="s">
        <v>428</v>
      </c>
      <c r="B3176" s="608" t="s">
        <v>1599</v>
      </c>
      <c r="C3176" s="607" t="s">
        <v>19</v>
      </c>
      <c r="D3176" s="607" t="s">
        <v>1600</v>
      </c>
      <c r="E3176" s="690" t="s">
        <v>461</v>
      </c>
      <c r="F3176" s="690"/>
      <c r="G3176" s="609" t="s">
        <v>423</v>
      </c>
      <c r="H3176" s="610">
        <v>1</v>
      </c>
      <c r="I3176" s="611">
        <v>81.260000000000005</v>
      </c>
      <c r="J3176" s="611">
        <v>81.260000000000005</v>
      </c>
      <c r="K3176" s="552"/>
    </row>
    <row r="3177" spans="1:11" s="89" customFormat="1" ht="14.5" thickBot="1" x14ac:dyDescent="0.35">
      <c r="A3177" s="547" t="s">
        <v>433</v>
      </c>
      <c r="B3177" s="548" t="s">
        <v>3859</v>
      </c>
      <c r="C3177" s="547" t="s">
        <v>115</v>
      </c>
      <c r="D3177" s="547" t="s">
        <v>3860</v>
      </c>
      <c r="E3177" s="688" t="s">
        <v>438</v>
      </c>
      <c r="F3177" s="688"/>
      <c r="G3177" s="549" t="s">
        <v>835</v>
      </c>
      <c r="H3177" s="550">
        <v>15.03</v>
      </c>
      <c r="I3177" s="551">
        <v>5.4069000000000003</v>
      </c>
      <c r="J3177" s="551">
        <v>81.260000000000005</v>
      </c>
      <c r="K3177" s="546"/>
    </row>
    <row r="3178" spans="1:11" s="89" customFormat="1" ht="38.25" customHeight="1" thickTop="1" x14ac:dyDescent="0.3">
      <c r="A3178" s="562"/>
      <c r="B3178" s="562"/>
      <c r="C3178" s="562"/>
      <c r="D3178" s="562"/>
      <c r="E3178" s="562"/>
      <c r="F3178" s="562"/>
      <c r="G3178" s="562"/>
      <c r="H3178" s="562"/>
      <c r="I3178" s="562"/>
      <c r="J3178" s="562"/>
      <c r="K3178" s="546"/>
    </row>
    <row r="3179" spans="1:11" s="89" customFormat="1" x14ac:dyDescent="0.3">
      <c r="A3179" s="553"/>
      <c r="B3179" s="554" t="s">
        <v>4</v>
      </c>
      <c r="C3179" s="553" t="s">
        <v>5</v>
      </c>
      <c r="D3179" s="553" t="s">
        <v>6</v>
      </c>
      <c r="E3179" s="691" t="s">
        <v>427</v>
      </c>
      <c r="F3179" s="691"/>
      <c r="G3179" s="555" t="s">
        <v>7</v>
      </c>
      <c r="H3179" s="554" t="s">
        <v>8</v>
      </c>
      <c r="I3179" s="554" t="s">
        <v>9</v>
      </c>
      <c r="J3179" s="554" t="s">
        <v>11</v>
      </c>
      <c r="K3179" s="546"/>
    </row>
    <row r="3180" spans="1:11" ht="25" x14ac:dyDescent="0.3">
      <c r="A3180" s="607" t="s">
        <v>428</v>
      </c>
      <c r="B3180" s="608" t="s">
        <v>707</v>
      </c>
      <c r="C3180" s="607" t="s">
        <v>19</v>
      </c>
      <c r="D3180" s="607" t="s">
        <v>708</v>
      </c>
      <c r="E3180" s="690" t="s">
        <v>709</v>
      </c>
      <c r="F3180" s="690"/>
      <c r="G3180" s="609" t="s">
        <v>532</v>
      </c>
      <c r="H3180" s="610">
        <v>1</v>
      </c>
      <c r="I3180" s="611">
        <v>92.56</v>
      </c>
      <c r="J3180" s="611">
        <v>92.56</v>
      </c>
      <c r="K3180" s="552"/>
    </row>
    <row r="3181" spans="1:11" s="89" customFormat="1" ht="15.75" customHeight="1" thickBot="1" x14ac:dyDescent="0.35">
      <c r="A3181" s="547" t="s">
        <v>430</v>
      </c>
      <c r="B3181" s="548" t="s">
        <v>559</v>
      </c>
      <c r="C3181" s="547" t="s">
        <v>19</v>
      </c>
      <c r="D3181" s="547" t="s">
        <v>560</v>
      </c>
      <c r="E3181" s="688" t="s">
        <v>429</v>
      </c>
      <c r="F3181" s="688"/>
      <c r="G3181" s="549" t="s">
        <v>423</v>
      </c>
      <c r="H3181" s="550">
        <v>3.9557666999999999</v>
      </c>
      <c r="I3181" s="551">
        <v>23.4</v>
      </c>
      <c r="J3181" s="551">
        <v>92.56</v>
      </c>
      <c r="K3181" s="546"/>
    </row>
    <row r="3182" spans="1:11" s="89" customFormat="1" ht="38.25" customHeight="1" thickTop="1" x14ac:dyDescent="0.3">
      <c r="A3182" s="562"/>
      <c r="B3182" s="562"/>
      <c r="C3182" s="562"/>
      <c r="D3182" s="562"/>
      <c r="E3182" s="562"/>
      <c r="F3182" s="562"/>
      <c r="G3182" s="562"/>
      <c r="H3182" s="562"/>
      <c r="I3182" s="562"/>
      <c r="J3182" s="562"/>
      <c r="K3182" s="546"/>
    </row>
    <row r="3183" spans="1:11" x14ac:dyDescent="0.3">
      <c r="A3183" s="553"/>
      <c r="B3183" s="554" t="s">
        <v>4</v>
      </c>
      <c r="C3183" s="553" t="s">
        <v>5</v>
      </c>
      <c r="D3183" s="553" t="s">
        <v>6</v>
      </c>
      <c r="E3183" s="691" t="s">
        <v>427</v>
      </c>
      <c r="F3183" s="691"/>
      <c r="G3183" s="555" t="s">
        <v>7</v>
      </c>
      <c r="H3183" s="554" t="s">
        <v>8</v>
      </c>
      <c r="I3183" s="554" t="s">
        <v>9</v>
      </c>
      <c r="J3183" s="554" t="s">
        <v>11</v>
      </c>
      <c r="K3183" s="552"/>
    </row>
    <row r="3184" spans="1:11" ht="37.5" x14ac:dyDescent="0.3">
      <c r="A3184" s="607" t="s">
        <v>428</v>
      </c>
      <c r="B3184" s="608" t="s">
        <v>989</v>
      </c>
      <c r="C3184" s="607" t="s">
        <v>19</v>
      </c>
      <c r="D3184" s="607" t="s">
        <v>990</v>
      </c>
      <c r="E3184" s="690" t="s">
        <v>928</v>
      </c>
      <c r="F3184" s="690"/>
      <c r="G3184" s="609" t="s">
        <v>532</v>
      </c>
      <c r="H3184" s="610">
        <v>1</v>
      </c>
      <c r="I3184" s="611">
        <v>1785.21</v>
      </c>
      <c r="J3184" s="611">
        <v>1785.21</v>
      </c>
      <c r="K3184" s="552"/>
    </row>
    <row r="3185" spans="1:11" ht="38.25" customHeight="1" x14ac:dyDescent="0.3">
      <c r="A3185" s="547" t="s">
        <v>430</v>
      </c>
      <c r="B3185" s="548" t="s">
        <v>1603</v>
      </c>
      <c r="C3185" s="547" t="s">
        <v>19</v>
      </c>
      <c r="D3185" s="547" t="s">
        <v>1604</v>
      </c>
      <c r="E3185" s="688" t="s">
        <v>461</v>
      </c>
      <c r="F3185" s="688"/>
      <c r="G3185" s="549" t="s">
        <v>95</v>
      </c>
      <c r="H3185" s="550">
        <v>4.6399999999999997E-2</v>
      </c>
      <c r="I3185" s="551">
        <v>361.05</v>
      </c>
      <c r="J3185" s="551">
        <v>16.75</v>
      </c>
      <c r="K3185" s="552"/>
    </row>
    <row r="3186" spans="1:11" s="89" customFormat="1" ht="38.25" customHeight="1" x14ac:dyDescent="0.3">
      <c r="A3186" s="547" t="s">
        <v>430</v>
      </c>
      <c r="B3186" s="548" t="s">
        <v>1605</v>
      </c>
      <c r="C3186" s="547" t="s">
        <v>19</v>
      </c>
      <c r="D3186" s="547" t="s">
        <v>1606</v>
      </c>
      <c r="E3186" s="688" t="s">
        <v>461</v>
      </c>
      <c r="F3186" s="688"/>
      <c r="G3186" s="549" t="s">
        <v>102</v>
      </c>
      <c r="H3186" s="550">
        <v>9.4899999999999998E-2</v>
      </c>
      <c r="I3186" s="551">
        <v>142.18</v>
      </c>
      <c r="J3186" s="551">
        <v>13.49</v>
      </c>
      <c r="K3186" s="546"/>
    </row>
    <row r="3187" spans="1:11" ht="14.25" customHeight="1" x14ac:dyDescent="0.3">
      <c r="A3187" s="547" t="s">
        <v>430</v>
      </c>
      <c r="B3187" s="548" t="s">
        <v>1607</v>
      </c>
      <c r="C3187" s="547" t="s">
        <v>19</v>
      </c>
      <c r="D3187" s="547" t="s">
        <v>1608</v>
      </c>
      <c r="E3187" s="688" t="s">
        <v>429</v>
      </c>
      <c r="F3187" s="688"/>
      <c r="G3187" s="549" t="s">
        <v>423</v>
      </c>
      <c r="H3187" s="550">
        <v>1.1301000000000001</v>
      </c>
      <c r="I3187" s="551">
        <v>27.43</v>
      </c>
      <c r="J3187" s="551">
        <v>30.99</v>
      </c>
      <c r="K3187" s="552"/>
    </row>
    <row r="3188" spans="1:11" ht="50" x14ac:dyDescent="0.3">
      <c r="A3188" s="547" t="s">
        <v>430</v>
      </c>
      <c r="B3188" s="548" t="s">
        <v>1331</v>
      </c>
      <c r="C3188" s="547" t="s">
        <v>19</v>
      </c>
      <c r="D3188" s="547" t="s">
        <v>1332</v>
      </c>
      <c r="E3188" s="688" t="s">
        <v>461</v>
      </c>
      <c r="F3188" s="688"/>
      <c r="G3188" s="549" t="s">
        <v>95</v>
      </c>
      <c r="H3188" s="550">
        <v>4.6399999999999997E-2</v>
      </c>
      <c r="I3188" s="551">
        <v>256.01</v>
      </c>
      <c r="J3188" s="551">
        <v>11.87</v>
      </c>
      <c r="K3188" s="552"/>
    </row>
    <row r="3189" spans="1:11" s="89" customFormat="1" ht="38.25" customHeight="1" x14ac:dyDescent="0.3">
      <c r="A3189" s="547" t="s">
        <v>430</v>
      </c>
      <c r="B3189" s="548" t="s">
        <v>1609</v>
      </c>
      <c r="C3189" s="547" t="s">
        <v>19</v>
      </c>
      <c r="D3189" s="547" t="s">
        <v>1610</v>
      </c>
      <c r="E3189" s="688" t="s">
        <v>461</v>
      </c>
      <c r="F3189" s="688"/>
      <c r="G3189" s="549" t="s">
        <v>95</v>
      </c>
      <c r="H3189" s="550">
        <v>8.0500000000000002E-2</v>
      </c>
      <c r="I3189" s="551">
        <v>227.21</v>
      </c>
      <c r="J3189" s="551">
        <v>18.29</v>
      </c>
      <c r="K3189" s="546"/>
    </row>
    <row r="3190" spans="1:11" s="89" customFormat="1" ht="38.25" customHeight="1" x14ac:dyDescent="0.3">
      <c r="A3190" s="547" t="s">
        <v>430</v>
      </c>
      <c r="B3190" s="548" t="s">
        <v>1611</v>
      </c>
      <c r="C3190" s="547" t="s">
        <v>19</v>
      </c>
      <c r="D3190" s="547" t="s">
        <v>1612</v>
      </c>
      <c r="E3190" s="688" t="s">
        <v>461</v>
      </c>
      <c r="F3190" s="688"/>
      <c r="G3190" s="549" t="s">
        <v>102</v>
      </c>
      <c r="H3190" s="550">
        <v>6.0699999999999997E-2</v>
      </c>
      <c r="I3190" s="551">
        <v>86.53</v>
      </c>
      <c r="J3190" s="551">
        <v>5.25</v>
      </c>
      <c r="K3190" s="546"/>
    </row>
    <row r="3191" spans="1:11" ht="14.25" customHeight="1" x14ac:dyDescent="0.3">
      <c r="A3191" s="547" t="s">
        <v>430</v>
      </c>
      <c r="B3191" s="548" t="s">
        <v>1613</v>
      </c>
      <c r="C3191" s="547" t="s">
        <v>19</v>
      </c>
      <c r="D3191" s="547" t="s">
        <v>1614</v>
      </c>
      <c r="E3191" s="688" t="s">
        <v>461</v>
      </c>
      <c r="F3191" s="688"/>
      <c r="G3191" s="549" t="s">
        <v>102</v>
      </c>
      <c r="H3191" s="550">
        <v>0.1071</v>
      </c>
      <c r="I3191" s="551">
        <v>48.8</v>
      </c>
      <c r="J3191" s="551">
        <v>5.22</v>
      </c>
      <c r="K3191" s="552"/>
    </row>
    <row r="3192" spans="1:11" ht="38.25" customHeight="1" x14ac:dyDescent="0.3">
      <c r="A3192" s="547" t="s">
        <v>430</v>
      </c>
      <c r="B3192" s="548" t="s">
        <v>1615</v>
      </c>
      <c r="C3192" s="547" t="s">
        <v>19</v>
      </c>
      <c r="D3192" s="547" t="s">
        <v>1616</v>
      </c>
      <c r="E3192" s="688" t="s">
        <v>461</v>
      </c>
      <c r="F3192" s="688"/>
      <c r="G3192" s="549" t="s">
        <v>95</v>
      </c>
      <c r="H3192" s="550">
        <v>3.4099999999999998E-2</v>
      </c>
      <c r="I3192" s="551">
        <v>129.55000000000001</v>
      </c>
      <c r="J3192" s="551">
        <v>4.41</v>
      </c>
      <c r="K3192" s="552"/>
    </row>
    <row r="3193" spans="1:11" s="89" customFormat="1" ht="39" customHeight="1" x14ac:dyDescent="0.3">
      <c r="A3193" s="547" t="s">
        <v>430</v>
      </c>
      <c r="B3193" s="548" t="s">
        <v>969</v>
      </c>
      <c r="C3193" s="547" t="s">
        <v>19</v>
      </c>
      <c r="D3193" s="547" t="s">
        <v>970</v>
      </c>
      <c r="E3193" s="688" t="s">
        <v>461</v>
      </c>
      <c r="F3193" s="688"/>
      <c r="G3193" s="549" t="s">
        <v>95</v>
      </c>
      <c r="H3193" s="550">
        <v>4.19E-2</v>
      </c>
      <c r="I3193" s="551">
        <v>217.4</v>
      </c>
      <c r="J3193" s="551">
        <v>9.1</v>
      </c>
      <c r="K3193" s="546"/>
    </row>
    <row r="3194" spans="1:11" s="89" customFormat="1" ht="38.25" customHeight="1" x14ac:dyDescent="0.3">
      <c r="A3194" s="547" t="s">
        <v>430</v>
      </c>
      <c r="B3194" s="548" t="s">
        <v>971</v>
      </c>
      <c r="C3194" s="547" t="s">
        <v>19</v>
      </c>
      <c r="D3194" s="547" t="s">
        <v>972</v>
      </c>
      <c r="E3194" s="688" t="s">
        <v>461</v>
      </c>
      <c r="F3194" s="688"/>
      <c r="G3194" s="549" t="s">
        <v>102</v>
      </c>
      <c r="H3194" s="550">
        <v>9.9000000000000005E-2</v>
      </c>
      <c r="I3194" s="551">
        <v>93.16</v>
      </c>
      <c r="J3194" s="551">
        <v>9.2200000000000006</v>
      </c>
      <c r="K3194" s="546"/>
    </row>
    <row r="3195" spans="1:11" s="89" customFormat="1" ht="15.75" customHeight="1" thickBot="1" x14ac:dyDescent="0.35">
      <c r="A3195" s="547" t="s">
        <v>433</v>
      </c>
      <c r="B3195" s="548" t="s">
        <v>991</v>
      </c>
      <c r="C3195" s="547" t="s">
        <v>19</v>
      </c>
      <c r="D3195" s="547" t="s">
        <v>992</v>
      </c>
      <c r="E3195" s="688" t="s">
        <v>438</v>
      </c>
      <c r="F3195" s="688"/>
      <c r="G3195" s="549" t="s">
        <v>262</v>
      </c>
      <c r="H3195" s="550">
        <v>2.5548000000000002</v>
      </c>
      <c r="I3195" s="551">
        <v>650</v>
      </c>
      <c r="J3195" s="551">
        <v>1660.62</v>
      </c>
      <c r="K3195" s="546"/>
    </row>
    <row r="3196" spans="1:11" ht="38.25" customHeight="1" thickTop="1" x14ac:dyDescent="0.3">
      <c r="A3196" s="562"/>
      <c r="B3196" s="562"/>
      <c r="C3196" s="562"/>
      <c r="D3196" s="562"/>
      <c r="E3196" s="562"/>
      <c r="F3196" s="562"/>
      <c r="G3196" s="562"/>
      <c r="H3196" s="562"/>
      <c r="I3196" s="562"/>
      <c r="J3196" s="562"/>
      <c r="K3196" s="552"/>
    </row>
    <row r="3197" spans="1:11" ht="14.25" customHeight="1" x14ac:dyDescent="0.3">
      <c r="A3197" s="553"/>
      <c r="B3197" s="554" t="s">
        <v>4</v>
      </c>
      <c r="C3197" s="553" t="s">
        <v>5</v>
      </c>
      <c r="D3197" s="553" t="s">
        <v>6</v>
      </c>
      <c r="E3197" s="691" t="s">
        <v>427</v>
      </c>
      <c r="F3197" s="691"/>
      <c r="G3197" s="555" t="s">
        <v>7</v>
      </c>
      <c r="H3197" s="554" t="s">
        <v>8</v>
      </c>
      <c r="I3197" s="554" t="s">
        <v>9</v>
      </c>
      <c r="J3197" s="554" t="s">
        <v>11</v>
      </c>
      <c r="K3197" s="552"/>
    </row>
    <row r="3198" spans="1:11" s="89" customFormat="1" ht="38.25" customHeight="1" x14ac:dyDescent="0.3">
      <c r="A3198" s="607" t="s">
        <v>428</v>
      </c>
      <c r="B3198" s="608" t="s">
        <v>3577</v>
      </c>
      <c r="C3198" s="607" t="s">
        <v>19</v>
      </c>
      <c r="D3198" s="607" t="s">
        <v>3578</v>
      </c>
      <c r="E3198" s="690" t="s">
        <v>1033</v>
      </c>
      <c r="F3198" s="690"/>
      <c r="G3198" s="609" t="s">
        <v>556</v>
      </c>
      <c r="H3198" s="610">
        <v>1</v>
      </c>
      <c r="I3198" s="611">
        <v>327.64999999999998</v>
      </c>
      <c r="J3198" s="611">
        <v>327.64999999999998</v>
      </c>
      <c r="K3198" s="546"/>
    </row>
    <row r="3199" spans="1:11" s="89" customFormat="1" ht="38.25" customHeight="1" x14ac:dyDescent="0.3">
      <c r="A3199" s="547" t="s">
        <v>430</v>
      </c>
      <c r="B3199" s="548" t="s">
        <v>3903</v>
      </c>
      <c r="C3199" s="547" t="s">
        <v>19</v>
      </c>
      <c r="D3199" s="547" t="s">
        <v>3904</v>
      </c>
      <c r="E3199" s="688" t="s">
        <v>1033</v>
      </c>
      <c r="F3199" s="688"/>
      <c r="G3199" s="549" t="s">
        <v>81</v>
      </c>
      <c r="H3199" s="550">
        <v>0.25</v>
      </c>
      <c r="I3199" s="551">
        <v>27.94</v>
      </c>
      <c r="J3199" s="551">
        <v>6.98</v>
      </c>
      <c r="K3199" s="546"/>
    </row>
    <row r="3200" spans="1:11" ht="38.25" customHeight="1" x14ac:dyDescent="0.3">
      <c r="A3200" s="547" t="s">
        <v>430</v>
      </c>
      <c r="B3200" s="548" t="s">
        <v>907</v>
      </c>
      <c r="C3200" s="547" t="s">
        <v>19</v>
      </c>
      <c r="D3200" s="547" t="s">
        <v>908</v>
      </c>
      <c r="E3200" s="688" t="s">
        <v>429</v>
      </c>
      <c r="F3200" s="688"/>
      <c r="G3200" s="549" t="s">
        <v>423</v>
      </c>
      <c r="H3200" s="550">
        <v>1.278</v>
      </c>
      <c r="I3200" s="551">
        <v>25.78</v>
      </c>
      <c r="J3200" s="551">
        <v>32.94</v>
      </c>
      <c r="K3200" s="552"/>
    </row>
    <row r="3201" spans="1:11" ht="14.25" customHeight="1" x14ac:dyDescent="0.3">
      <c r="A3201" s="547" t="s">
        <v>430</v>
      </c>
      <c r="B3201" s="548" t="s">
        <v>760</v>
      </c>
      <c r="C3201" s="547" t="s">
        <v>19</v>
      </c>
      <c r="D3201" s="547" t="s">
        <v>761</v>
      </c>
      <c r="E3201" s="688" t="s">
        <v>429</v>
      </c>
      <c r="F3201" s="688"/>
      <c r="G3201" s="549" t="s">
        <v>423</v>
      </c>
      <c r="H3201" s="550">
        <v>0.63900000000000001</v>
      </c>
      <c r="I3201" s="551">
        <v>31.1</v>
      </c>
      <c r="J3201" s="551">
        <v>19.87</v>
      </c>
      <c r="K3201" s="552"/>
    </row>
    <row r="3202" spans="1:11" s="89" customFormat="1" ht="15" customHeight="1" x14ac:dyDescent="0.3">
      <c r="A3202" s="547" t="s">
        <v>430</v>
      </c>
      <c r="B3202" s="548" t="s">
        <v>559</v>
      </c>
      <c r="C3202" s="547" t="s">
        <v>19</v>
      </c>
      <c r="D3202" s="547" t="s">
        <v>560</v>
      </c>
      <c r="E3202" s="688" t="s">
        <v>429</v>
      </c>
      <c r="F3202" s="688"/>
      <c r="G3202" s="549" t="s">
        <v>423</v>
      </c>
      <c r="H3202" s="550">
        <v>1.917</v>
      </c>
      <c r="I3202" s="551">
        <v>23.4</v>
      </c>
      <c r="J3202" s="551">
        <v>44.85</v>
      </c>
      <c r="K3202" s="546"/>
    </row>
    <row r="3203" spans="1:11" ht="38.25" customHeight="1" x14ac:dyDescent="0.3">
      <c r="A3203" s="547" t="s">
        <v>430</v>
      </c>
      <c r="B3203" s="548" t="s">
        <v>816</v>
      </c>
      <c r="C3203" s="547" t="s">
        <v>19</v>
      </c>
      <c r="D3203" s="547" t="s">
        <v>817</v>
      </c>
      <c r="E3203" s="688" t="s">
        <v>429</v>
      </c>
      <c r="F3203" s="688"/>
      <c r="G3203" s="549" t="s">
        <v>423</v>
      </c>
      <c r="H3203" s="550">
        <v>0.63900000000000001</v>
      </c>
      <c r="I3203" s="551">
        <v>25.72</v>
      </c>
      <c r="J3203" s="551">
        <v>16.43</v>
      </c>
      <c r="K3203" s="552"/>
    </row>
    <row r="3204" spans="1:11" s="89" customFormat="1" ht="38.25" customHeight="1" x14ac:dyDescent="0.3">
      <c r="A3204" s="547" t="s">
        <v>430</v>
      </c>
      <c r="B3204" s="548" t="s">
        <v>1163</v>
      </c>
      <c r="C3204" s="547" t="s">
        <v>19</v>
      </c>
      <c r="D3204" s="547" t="s">
        <v>3596</v>
      </c>
      <c r="E3204" s="688" t="s">
        <v>461</v>
      </c>
      <c r="F3204" s="688"/>
      <c r="G3204" s="549" t="s">
        <v>95</v>
      </c>
      <c r="H3204" s="550">
        <v>8.43E-2</v>
      </c>
      <c r="I3204" s="551">
        <v>1.66</v>
      </c>
      <c r="J3204" s="551">
        <v>0.13</v>
      </c>
      <c r="K3204" s="546"/>
    </row>
    <row r="3205" spans="1:11" s="89" customFormat="1" ht="25.5" customHeight="1" x14ac:dyDescent="0.3">
      <c r="A3205" s="547" t="s">
        <v>430</v>
      </c>
      <c r="B3205" s="548" t="s">
        <v>1164</v>
      </c>
      <c r="C3205" s="547" t="s">
        <v>19</v>
      </c>
      <c r="D3205" s="547" t="s">
        <v>3597</v>
      </c>
      <c r="E3205" s="688" t="s">
        <v>461</v>
      </c>
      <c r="F3205" s="688"/>
      <c r="G3205" s="549" t="s">
        <v>102</v>
      </c>
      <c r="H3205" s="550">
        <v>0.55469999999999997</v>
      </c>
      <c r="I3205" s="551">
        <v>0.4</v>
      </c>
      <c r="J3205" s="551">
        <v>0.22</v>
      </c>
      <c r="K3205" s="546"/>
    </row>
    <row r="3206" spans="1:11" ht="25.5" customHeight="1" x14ac:dyDescent="0.3">
      <c r="A3206" s="547" t="s">
        <v>430</v>
      </c>
      <c r="B3206" s="548" t="s">
        <v>3619</v>
      </c>
      <c r="C3206" s="547" t="s">
        <v>19</v>
      </c>
      <c r="D3206" s="547" t="s">
        <v>3620</v>
      </c>
      <c r="E3206" s="688" t="s">
        <v>461</v>
      </c>
      <c r="F3206" s="688"/>
      <c r="G3206" s="549" t="s">
        <v>95</v>
      </c>
      <c r="H3206" s="550">
        <v>2.5999999999999999E-2</v>
      </c>
      <c r="I3206" s="551">
        <v>9.4499999999999993</v>
      </c>
      <c r="J3206" s="551">
        <v>0.24</v>
      </c>
      <c r="K3206" s="552"/>
    </row>
    <row r="3207" spans="1:11" ht="38.25" customHeight="1" x14ac:dyDescent="0.3">
      <c r="A3207" s="547" t="s">
        <v>430</v>
      </c>
      <c r="B3207" s="548" t="s">
        <v>3613</v>
      </c>
      <c r="C3207" s="547" t="s">
        <v>19</v>
      </c>
      <c r="D3207" s="547" t="s">
        <v>3614</v>
      </c>
      <c r="E3207" s="688" t="s">
        <v>461</v>
      </c>
      <c r="F3207" s="688"/>
      <c r="G3207" s="549" t="s">
        <v>102</v>
      </c>
      <c r="H3207" s="550">
        <v>0.55600000000000005</v>
      </c>
      <c r="I3207" s="551">
        <v>1.28</v>
      </c>
      <c r="J3207" s="551">
        <v>0.71</v>
      </c>
      <c r="K3207" s="552"/>
    </row>
    <row r="3208" spans="1:11" ht="38.25" customHeight="1" x14ac:dyDescent="0.3">
      <c r="A3208" s="547" t="s">
        <v>430</v>
      </c>
      <c r="B3208" s="548" t="s">
        <v>3633</v>
      </c>
      <c r="C3208" s="547" t="s">
        <v>19</v>
      </c>
      <c r="D3208" s="547" t="s">
        <v>3634</v>
      </c>
      <c r="E3208" s="688" t="s">
        <v>461</v>
      </c>
      <c r="F3208" s="688"/>
      <c r="G3208" s="549" t="s">
        <v>95</v>
      </c>
      <c r="H3208" s="550">
        <v>2.5999999999999999E-2</v>
      </c>
      <c r="I3208" s="551">
        <v>14.72</v>
      </c>
      <c r="J3208" s="551">
        <v>0.38</v>
      </c>
      <c r="K3208" s="552"/>
    </row>
    <row r="3209" spans="1:11" ht="25.5" customHeight="1" x14ac:dyDescent="0.3">
      <c r="A3209" s="547" t="s">
        <v>430</v>
      </c>
      <c r="B3209" s="548" t="s">
        <v>3627</v>
      </c>
      <c r="C3209" s="547" t="s">
        <v>19</v>
      </c>
      <c r="D3209" s="547" t="s">
        <v>3628</v>
      </c>
      <c r="E3209" s="688" t="s">
        <v>461</v>
      </c>
      <c r="F3209" s="688"/>
      <c r="G3209" s="549" t="s">
        <v>102</v>
      </c>
      <c r="H3209" s="550">
        <v>0.55600000000000005</v>
      </c>
      <c r="I3209" s="551">
        <v>5.34</v>
      </c>
      <c r="J3209" s="551">
        <v>2.96</v>
      </c>
      <c r="K3209" s="552"/>
    </row>
    <row r="3210" spans="1:11" ht="38.25" customHeight="1" x14ac:dyDescent="0.3">
      <c r="A3210" s="547" t="s">
        <v>430</v>
      </c>
      <c r="B3210" s="548" t="s">
        <v>3677</v>
      </c>
      <c r="C3210" s="547" t="s">
        <v>19</v>
      </c>
      <c r="D3210" s="547" t="s">
        <v>3678</v>
      </c>
      <c r="E3210" s="688" t="s">
        <v>461</v>
      </c>
      <c r="F3210" s="688"/>
      <c r="G3210" s="549" t="s">
        <v>95</v>
      </c>
      <c r="H3210" s="550">
        <v>2.5999999999999999E-2</v>
      </c>
      <c r="I3210" s="551">
        <v>187.66</v>
      </c>
      <c r="J3210" s="551">
        <v>4.87</v>
      </c>
      <c r="K3210" s="552"/>
    </row>
    <row r="3211" spans="1:11" s="89" customFormat="1" ht="38.25" customHeight="1" x14ac:dyDescent="0.3">
      <c r="A3211" s="547" t="s">
        <v>430</v>
      </c>
      <c r="B3211" s="548" t="s">
        <v>3671</v>
      </c>
      <c r="C3211" s="547" t="s">
        <v>19</v>
      </c>
      <c r="D3211" s="547" t="s">
        <v>3672</v>
      </c>
      <c r="E3211" s="688" t="s">
        <v>461</v>
      </c>
      <c r="F3211" s="688"/>
      <c r="G3211" s="549" t="s">
        <v>102</v>
      </c>
      <c r="H3211" s="550">
        <v>0.55600000000000005</v>
      </c>
      <c r="I3211" s="551">
        <v>22.94</v>
      </c>
      <c r="J3211" s="551">
        <v>12.75</v>
      </c>
      <c r="K3211" s="546"/>
    </row>
    <row r="3212" spans="1:11" s="89" customFormat="1" ht="51" customHeight="1" x14ac:dyDescent="0.3">
      <c r="A3212" s="547" t="s">
        <v>430</v>
      </c>
      <c r="B3212" s="548" t="s">
        <v>3920</v>
      </c>
      <c r="C3212" s="547" t="s">
        <v>19</v>
      </c>
      <c r="D3212" s="547" t="s">
        <v>3921</v>
      </c>
      <c r="E3212" s="688" t="s">
        <v>856</v>
      </c>
      <c r="F3212" s="688"/>
      <c r="G3212" s="549" t="s">
        <v>423</v>
      </c>
      <c r="H3212" s="550">
        <v>0.63900000000000001</v>
      </c>
      <c r="I3212" s="551">
        <v>165.16</v>
      </c>
      <c r="J3212" s="551">
        <v>105.53</v>
      </c>
      <c r="K3212" s="546"/>
    </row>
    <row r="3213" spans="1:11" s="89" customFormat="1" x14ac:dyDescent="0.3">
      <c r="A3213" s="547" t="s">
        <v>433</v>
      </c>
      <c r="B3213" s="548" t="s">
        <v>820</v>
      </c>
      <c r="C3213" s="547" t="s">
        <v>115</v>
      </c>
      <c r="D3213" s="547" t="s">
        <v>821</v>
      </c>
      <c r="E3213" s="688" t="s">
        <v>438</v>
      </c>
      <c r="F3213" s="688"/>
      <c r="G3213" s="549" t="s">
        <v>532</v>
      </c>
      <c r="H3213" s="550">
        <v>0.1159</v>
      </c>
      <c r="I3213" s="551">
        <v>149.36019999999999</v>
      </c>
      <c r="J3213" s="551">
        <v>17.309999999999999</v>
      </c>
      <c r="K3213" s="546"/>
    </row>
    <row r="3214" spans="1:11" x14ac:dyDescent="0.3">
      <c r="A3214" s="547" t="s">
        <v>433</v>
      </c>
      <c r="B3214" s="548" t="s">
        <v>3844</v>
      </c>
      <c r="C3214" s="547" t="s">
        <v>115</v>
      </c>
      <c r="D3214" s="547" t="s">
        <v>3845</v>
      </c>
      <c r="E3214" s="688" t="s">
        <v>438</v>
      </c>
      <c r="F3214" s="688"/>
      <c r="G3214" s="549" t="s">
        <v>655</v>
      </c>
      <c r="H3214" s="550">
        <v>51.418599999999998</v>
      </c>
      <c r="I3214" s="551">
        <v>0.56679999999999997</v>
      </c>
      <c r="J3214" s="551">
        <v>29.14</v>
      </c>
      <c r="K3214" s="552"/>
    </row>
    <row r="3215" spans="1:11" s="89" customFormat="1" x14ac:dyDescent="0.3">
      <c r="A3215" s="547" t="s">
        <v>433</v>
      </c>
      <c r="B3215" s="548" t="s">
        <v>947</v>
      </c>
      <c r="C3215" s="547" t="s">
        <v>115</v>
      </c>
      <c r="D3215" s="547" t="s">
        <v>948</v>
      </c>
      <c r="E3215" s="688" t="s">
        <v>438</v>
      </c>
      <c r="F3215" s="688"/>
      <c r="G3215" s="549" t="s">
        <v>532</v>
      </c>
      <c r="H3215" s="550">
        <v>7.4800000000000005E-2</v>
      </c>
      <c r="I3215" s="551">
        <v>135.64580000000001</v>
      </c>
      <c r="J3215" s="551">
        <v>10.14</v>
      </c>
      <c r="K3215" s="546"/>
    </row>
    <row r="3216" spans="1:11" ht="38.25" customHeight="1" thickBot="1" x14ac:dyDescent="0.35">
      <c r="A3216" s="547" t="s">
        <v>433</v>
      </c>
      <c r="B3216" s="548" t="s">
        <v>3707</v>
      </c>
      <c r="C3216" s="547" t="s">
        <v>19</v>
      </c>
      <c r="D3216" s="547" t="s">
        <v>3708</v>
      </c>
      <c r="E3216" s="688" t="s">
        <v>438</v>
      </c>
      <c r="F3216" s="688"/>
      <c r="G3216" s="549" t="s">
        <v>556</v>
      </c>
      <c r="H3216" s="550">
        <v>1.1845000000000001</v>
      </c>
      <c r="I3216" s="551">
        <v>18.75</v>
      </c>
      <c r="J3216" s="551">
        <v>22.2</v>
      </c>
      <c r="K3216" s="552"/>
    </row>
    <row r="3217" spans="1:11" ht="38.25" customHeight="1" thickTop="1" x14ac:dyDescent="0.3">
      <c r="A3217" s="562"/>
      <c r="B3217" s="562"/>
      <c r="C3217" s="562"/>
      <c r="D3217" s="562"/>
      <c r="E3217" s="562"/>
      <c r="F3217" s="562"/>
      <c r="G3217" s="562"/>
      <c r="H3217" s="562"/>
      <c r="I3217" s="562"/>
      <c r="J3217" s="562"/>
      <c r="K3217" s="552"/>
    </row>
    <row r="3218" spans="1:11" ht="38.25" customHeight="1" x14ac:dyDescent="0.3">
      <c r="A3218" s="553"/>
      <c r="B3218" s="554" t="s">
        <v>4</v>
      </c>
      <c r="C3218" s="553" t="s">
        <v>5</v>
      </c>
      <c r="D3218" s="553" t="s">
        <v>6</v>
      </c>
      <c r="E3218" s="691" t="s">
        <v>427</v>
      </c>
      <c r="F3218" s="691"/>
      <c r="G3218" s="555" t="s">
        <v>7</v>
      </c>
      <c r="H3218" s="554" t="s">
        <v>8</v>
      </c>
      <c r="I3218" s="554" t="s">
        <v>9</v>
      </c>
      <c r="J3218" s="554" t="s">
        <v>11</v>
      </c>
      <c r="K3218" s="552"/>
    </row>
    <row r="3219" spans="1:11" ht="25" x14ac:dyDescent="0.3">
      <c r="A3219" s="607" t="s">
        <v>428</v>
      </c>
      <c r="B3219" s="608" t="s">
        <v>3709</v>
      </c>
      <c r="C3219" s="607" t="s">
        <v>115</v>
      </c>
      <c r="D3219" s="607" t="s">
        <v>3603</v>
      </c>
      <c r="E3219" s="690" t="s">
        <v>402</v>
      </c>
      <c r="F3219" s="690"/>
      <c r="G3219" s="609" t="s">
        <v>532</v>
      </c>
      <c r="H3219" s="610">
        <v>1</v>
      </c>
      <c r="I3219" s="611">
        <v>1.33</v>
      </c>
      <c r="J3219" s="611">
        <v>1.33</v>
      </c>
      <c r="K3219" s="552"/>
    </row>
    <row r="3220" spans="1:11" s="89" customFormat="1" ht="38.25" customHeight="1" x14ac:dyDescent="0.3">
      <c r="A3220" s="691" t="s">
        <v>408</v>
      </c>
      <c r="B3220" s="692" t="s">
        <v>4</v>
      </c>
      <c r="C3220" s="691" t="s">
        <v>5</v>
      </c>
      <c r="D3220" s="691" t="s">
        <v>462</v>
      </c>
      <c r="E3220" s="692" t="s">
        <v>463</v>
      </c>
      <c r="F3220" s="694" t="s">
        <v>464</v>
      </c>
      <c r="G3220" s="692"/>
      <c r="H3220" s="694" t="s">
        <v>465</v>
      </c>
      <c r="I3220" s="692"/>
      <c r="J3220" s="692" t="s">
        <v>466</v>
      </c>
      <c r="K3220" s="546"/>
    </row>
    <row r="3221" spans="1:11" ht="38.25" customHeight="1" x14ac:dyDescent="0.3">
      <c r="A3221" s="692"/>
      <c r="B3221" s="692"/>
      <c r="C3221" s="692"/>
      <c r="D3221" s="692"/>
      <c r="E3221" s="692"/>
      <c r="F3221" s="554" t="s">
        <v>467</v>
      </c>
      <c r="G3221" s="554" t="s">
        <v>468</v>
      </c>
      <c r="H3221" s="554" t="s">
        <v>467</v>
      </c>
      <c r="I3221" s="554" t="s">
        <v>468</v>
      </c>
      <c r="J3221" s="692"/>
      <c r="K3221" s="552"/>
    </row>
    <row r="3222" spans="1:11" ht="25" x14ac:dyDescent="0.3">
      <c r="A3222" s="547" t="s">
        <v>433</v>
      </c>
      <c r="B3222" s="548" t="s">
        <v>3710</v>
      </c>
      <c r="C3222" s="547" t="s">
        <v>115</v>
      </c>
      <c r="D3222" s="547" t="s">
        <v>3711</v>
      </c>
      <c r="E3222" s="550">
        <v>1</v>
      </c>
      <c r="F3222" s="551">
        <v>1</v>
      </c>
      <c r="G3222" s="551">
        <v>0</v>
      </c>
      <c r="H3222" s="563">
        <v>282.96230000000003</v>
      </c>
      <c r="I3222" s="563">
        <v>125.5787</v>
      </c>
      <c r="J3222" s="563">
        <v>282.96230000000003</v>
      </c>
      <c r="K3222" s="552"/>
    </row>
    <row r="3223" spans="1:11" ht="25.5" customHeight="1" x14ac:dyDescent="0.3">
      <c r="A3223" s="689"/>
      <c r="B3223" s="689"/>
      <c r="C3223" s="689"/>
      <c r="D3223" s="689"/>
      <c r="E3223" s="689"/>
      <c r="F3223" s="689" t="s">
        <v>471</v>
      </c>
      <c r="G3223" s="689"/>
      <c r="H3223" s="689"/>
      <c r="I3223" s="689"/>
      <c r="J3223" s="564">
        <v>282.96230000000003</v>
      </c>
      <c r="K3223" s="552"/>
    </row>
    <row r="3224" spans="1:11" ht="38.25" customHeight="1" x14ac:dyDescent="0.3">
      <c r="A3224" s="689"/>
      <c r="B3224" s="689"/>
      <c r="C3224" s="689"/>
      <c r="D3224" s="689"/>
      <c r="E3224" s="689"/>
      <c r="F3224" s="689" t="s">
        <v>472</v>
      </c>
      <c r="G3224" s="689"/>
      <c r="H3224" s="689"/>
      <c r="I3224" s="689"/>
      <c r="J3224" s="564">
        <v>282.96230000000003</v>
      </c>
      <c r="K3224" s="552"/>
    </row>
    <row r="3225" spans="1:11" s="89" customFormat="1" ht="38.25" customHeight="1" x14ac:dyDescent="0.3">
      <c r="A3225" s="689"/>
      <c r="B3225" s="689"/>
      <c r="C3225" s="689"/>
      <c r="D3225" s="689"/>
      <c r="E3225" s="689"/>
      <c r="F3225" s="689" t="s">
        <v>473</v>
      </c>
      <c r="G3225" s="689"/>
      <c r="H3225" s="689"/>
      <c r="I3225" s="689"/>
      <c r="J3225" s="564">
        <v>0</v>
      </c>
      <c r="K3225" s="546"/>
    </row>
    <row r="3226" spans="1:11" s="89" customFormat="1" ht="38.25" customHeight="1" x14ac:dyDescent="0.3">
      <c r="A3226" s="689"/>
      <c r="B3226" s="689"/>
      <c r="C3226" s="689"/>
      <c r="D3226" s="689"/>
      <c r="E3226" s="689"/>
      <c r="F3226" s="689" t="s">
        <v>474</v>
      </c>
      <c r="G3226" s="689"/>
      <c r="H3226" s="689"/>
      <c r="I3226" s="689"/>
      <c r="J3226" s="564">
        <v>0</v>
      </c>
      <c r="K3226" s="546"/>
    </row>
    <row r="3227" spans="1:11" ht="14.25" customHeight="1" x14ac:dyDescent="0.3">
      <c r="A3227" s="689"/>
      <c r="B3227" s="689"/>
      <c r="C3227" s="689"/>
      <c r="D3227" s="689"/>
      <c r="E3227" s="689"/>
      <c r="F3227" s="689" t="s">
        <v>475</v>
      </c>
      <c r="G3227" s="689"/>
      <c r="H3227" s="689"/>
      <c r="I3227" s="689"/>
      <c r="J3227" s="564">
        <v>230.19</v>
      </c>
      <c r="K3227" s="552"/>
    </row>
    <row r="3228" spans="1:11" s="89" customFormat="1" ht="15" customHeight="1" x14ac:dyDescent="0.3">
      <c r="A3228" s="689"/>
      <c r="B3228" s="689"/>
      <c r="C3228" s="689"/>
      <c r="D3228" s="689"/>
      <c r="E3228" s="689"/>
      <c r="F3228" s="689" t="s">
        <v>476</v>
      </c>
      <c r="G3228" s="689"/>
      <c r="H3228" s="689"/>
      <c r="I3228" s="689"/>
      <c r="J3228" s="564">
        <v>1.2293000000000001</v>
      </c>
      <c r="K3228" s="546"/>
    </row>
    <row r="3229" spans="1:11" ht="38.25" customHeight="1" x14ac:dyDescent="0.3">
      <c r="A3229" s="553" t="s">
        <v>573</v>
      </c>
      <c r="B3229" s="554" t="s">
        <v>5</v>
      </c>
      <c r="C3229" s="553" t="s">
        <v>4</v>
      </c>
      <c r="D3229" s="553" t="s">
        <v>574</v>
      </c>
      <c r="E3229" s="554" t="s">
        <v>463</v>
      </c>
      <c r="F3229" s="554" t="s">
        <v>575</v>
      </c>
      <c r="G3229" s="692" t="s">
        <v>576</v>
      </c>
      <c r="H3229" s="692"/>
      <c r="I3229" s="692"/>
      <c r="J3229" s="554" t="s">
        <v>466</v>
      </c>
      <c r="K3229" s="552"/>
    </row>
    <row r="3230" spans="1:11" s="89" customFormat="1" ht="38.25" customHeight="1" x14ac:dyDescent="0.3">
      <c r="A3230" s="547" t="s">
        <v>577</v>
      </c>
      <c r="B3230" s="548" t="s">
        <v>19</v>
      </c>
      <c r="C3230" s="547">
        <v>88316</v>
      </c>
      <c r="D3230" s="547" t="s">
        <v>560</v>
      </c>
      <c r="E3230" s="550">
        <v>4.3442000000000003E-3</v>
      </c>
      <c r="F3230" s="549" t="s">
        <v>423</v>
      </c>
      <c r="G3230" s="693">
        <v>23.4</v>
      </c>
      <c r="H3230" s="693"/>
      <c r="I3230" s="688"/>
      <c r="J3230" s="563">
        <v>0.1017</v>
      </c>
      <c r="K3230" s="546"/>
    </row>
    <row r="3231" spans="1:11" ht="25.5" customHeight="1" thickBot="1" x14ac:dyDescent="0.35">
      <c r="A3231" s="689"/>
      <c r="B3231" s="689"/>
      <c r="C3231" s="689"/>
      <c r="D3231" s="689"/>
      <c r="E3231" s="689"/>
      <c r="F3231" s="689" t="s">
        <v>578</v>
      </c>
      <c r="G3231" s="689"/>
      <c r="H3231" s="689"/>
      <c r="I3231" s="689"/>
      <c r="J3231" s="564">
        <v>0.1017</v>
      </c>
      <c r="K3231" s="552"/>
    </row>
    <row r="3232" spans="1:11" s="89" customFormat="1" ht="25.5" customHeight="1" thickTop="1" x14ac:dyDescent="0.3">
      <c r="A3232" s="562"/>
      <c r="B3232" s="562"/>
      <c r="C3232" s="562"/>
      <c r="D3232" s="562"/>
      <c r="E3232" s="562"/>
      <c r="F3232" s="562"/>
      <c r="G3232" s="562"/>
      <c r="H3232" s="562"/>
      <c r="I3232" s="562"/>
      <c r="J3232" s="562"/>
      <c r="K3232" s="546"/>
    </row>
    <row r="3233" spans="1:11" ht="38.25" customHeight="1" x14ac:dyDescent="0.3">
      <c r="A3233" s="553"/>
      <c r="B3233" s="554" t="s">
        <v>4</v>
      </c>
      <c r="C3233" s="553" t="s">
        <v>5</v>
      </c>
      <c r="D3233" s="553" t="s">
        <v>6</v>
      </c>
      <c r="E3233" s="691" t="s">
        <v>427</v>
      </c>
      <c r="F3233" s="691"/>
      <c r="G3233" s="555" t="s">
        <v>7</v>
      </c>
      <c r="H3233" s="554" t="s">
        <v>8</v>
      </c>
      <c r="I3233" s="554" t="s">
        <v>9</v>
      </c>
      <c r="J3233" s="554" t="s">
        <v>11</v>
      </c>
      <c r="K3233" s="552"/>
    </row>
    <row r="3234" spans="1:11" ht="38.25" customHeight="1" x14ac:dyDescent="0.3">
      <c r="A3234" s="607" t="s">
        <v>428</v>
      </c>
      <c r="B3234" s="608" t="s">
        <v>3571</v>
      </c>
      <c r="C3234" s="607" t="s">
        <v>115</v>
      </c>
      <c r="D3234" s="607" t="s">
        <v>3572</v>
      </c>
      <c r="E3234" s="690" t="s">
        <v>402</v>
      </c>
      <c r="F3234" s="690"/>
      <c r="G3234" s="609" t="s">
        <v>532</v>
      </c>
      <c r="H3234" s="610">
        <v>1</v>
      </c>
      <c r="I3234" s="611">
        <v>502.25</v>
      </c>
      <c r="J3234" s="611">
        <v>502.25</v>
      </c>
      <c r="K3234" s="552"/>
    </row>
    <row r="3235" spans="1:11" ht="15" customHeight="1" x14ac:dyDescent="0.3">
      <c r="A3235" s="691" t="s">
        <v>408</v>
      </c>
      <c r="B3235" s="692" t="s">
        <v>4</v>
      </c>
      <c r="C3235" s="691" t="s">
        <v>5</v>
      </c>
      <c r="D3235" s="691" t="s">
        <v>462</v>
      </c>
      <c r="E3235" s="692" t="s">
        <v>463</v>
      </c>
      <c r="F3235" s="694" t="s">
        <v>464</v>
      </c>
      <c r="G3235" s="692"/>
      <c r="H3235" s="694" t="s">
        <v>465</v>
      </c>
      <c r="I3235" s="692"/>
      <c r="J3235" s="692" t="s">
        <v>466</v>
      </c>
      <c r="K3235" s="552"/>
    </row>
    <row r="3236" spans="1:11" s="89" customFormat="1" x14ac:dyDescent="0.3">
      <c r="A3236" s="692"/>
      <c r="B3236" s="692"/>
      <c r="C3236" s="692"/>
      <c r="D3236" s="692"/>
      <c r="E3236" s="692"/>
      <c r="F3236" s="554" t="s">
        <v>467</v>
      </c>
      <c r="G3236" s="554" t="s">
        <v>468</v>
      </c>
      <c r="H3236" s="554" t="s">
        <v>467</v>
      </c>
      <c r="I3236" s="554" t="s">
        <v>468</v>
      </c>
      <c r="J3236" s="692"/>
      <c r="K3236" s="546"/>
    </row>
    <row r="3237" spans="1:11" x14ac:dyDescent="0.3">
      <c r="A3237" s="547" t="s">
        <v>433</v>
      </c>
      <c r="B3237" s="548" t="s">
        <v>1155</v>
      </c>
      <c r="C3237" s="547" t="s">
        <v>115</v>
      </c>
      <c r="D3237" s="547" t="s">
        <v>1156</v>
      </c>
      <c r="E3237" s="550">
        <v>1</v>
      </c>
      <c r="F3237" s="551">
        <v>0.19</v>
      </c>
      <c r="G3237" s="551">
        <v>0.81</v>
      </c>
      <c r="H3237" s="563">
        <v>1.5432999999999999</v>
      </c>
      <c r="I3237" s="563">
        <v>1.0491999999999999</v>
      </c>
      <c r="J3237" s="563">
        <v>1.1431</v>
      </c>
      <c r="K3237" s="552"/>
    </row>
    <row r="3238" spans="1:11" s="89" customFormat="1" ht="15" customHeight="1" x14ac:dyDescent="0.3">
      <c r="A3238" s="689"/>
      <c r="B3238" s="689"/>
      <c r="C3238" s="689"/>
      <c r="D3238" s="689"/>
      <c r="E3238" s="689"/>
      <c r="F3238" s="689" t="s">
        <v>471</v>
      </c>
      <c r="G3238" s="689"/>
      <c r="H3238" s="689"/>
      <c r="I3238" s="689"/>
      <c r="J3238" s="564">
        <v>1.1431</v>
      </c>
      <c r="K3238" s="546"/>
    </row>
    <row r="3239" spans="1:11" ht="14.25" customHeight="1" x14ac:dyDescent="0.3">
      <c r="A3239" s="689"/>
      <c r="B3239" s="689"/>
      <c r="C3239" s="689"/>
      <c r="D3239" s="689"/>
      <c r="E3239" s="689"/>
      <c r="F3239" s="689" t="s">
        <v>472</v>
      </c>
      <c r="G3239" s="689"/>
      <c r="H3239" s="689"/>
      <c r="I3239" s="689"/>
      <c r="J3239" s="564">
        <v>1.1431</v>
      </c>
      <c r="K3239" s="552"/>
    </row>
    <row r="3240" spans="1:11" ht="14.25" customHeight="1" x14ac:dyDescent="0.3">
      <c r="A3240" s="689"/>
      <c r="B3240" s="689"/>
      <c r="C3240" s="689"/>
      <c r="D3240" s="689"/>
      <c r="E3240" s="689"/>
      <c r="F3240" s="689" t="s">
        <v>473</v>
      </c>
      <c r="G3240" s="689"/>
      <c r="H3240" s="689"/>
      <c r="I3240" s="689"/>
      <c r="J3240" s="564">
        <v>0</v>
      </c>
      <c r="K3240" s="552"/>
    </row>
    <row r="3241" spans="1:11" ht="14.25" customHeight="1" x14ac:dyDescent="0.3">
      <c r="A3241" s="689"/>
      <c r="B3241" s="689"/>
      <c r="C3241" s="689"/>
      <c r="D3241" s="689"/>
      <c r="E3241" s="689"/>
      <c r="F3241" s="689" t="s">
        <v>474</v>
      </c>
      <c r="G3241" s="689"/>
      <c r="H3241" s="689"/>
      <c r="I3241" s="689"/>
      <c r="J3241" s="564">
        <v>0</v>
      </c>
      <c r="K3241" s="552"/>
    </row>
    <row r="3242" spans="1:11" s="89" customFormat="1" ht="15" customHeight="1" x14ac:dyDescent="0.3">
      <c r="A3242" s="689"/>
      <c r="B3242" s="689"/>
      <c r="C3242" s="689"/>
      <c r="D3242" s="689"/>
      <c r="E3242" s="689"/>
      <c r="F3242" s="689" t="s">
        <v>475</v>
      </c>
      <c r="G3242" s="689"/>
      <c r="H3242" s="689"/>
      <c r="I3242" s="689"/>
      <c r="J3242" s="564">
        <v>0.375</v>
      </c>
      <c r="K3242" s="546"/>
    </row>
    <row r="3243" spans="1:11" ht="14.25" customHeight="1" x14ac:dyDescent="0.3">
      <c r="A3243" s="689"/>
      <c r="B3243" s="689"/>
      <c r="C3243" s="689"/>
      <c r="D3243" s="689"/>
      <c r="E3243" s="689"/>
      <c r="F3243" s="689" t="s">
        <v>476</v>
      </c>
      <c r="G3243" s="689"/>
      <c r="H3243" s="689"/>
      <c r="I3243" s="689"/>
      <c r="J3243" s="564">
        <v>3.0482999999999998</v>
      </c>
      <c r="K3243" s="552"/>
    </row>
    <row r="3244" spans="1:11" ht="15" customHeight="1" x14ac:dyDescent="0.3">
      <c r="A3244" s="553" t="s">
        <v>573</v>
      </c>
      <c r="B3244" s="554" t="s">
        <v>5</v>
      </c>
      <c r="C3244" s="553" t="s">
        <v>4</v>
      </c>
      <c r="D3244" s="553" t="s">
        <v>574</v>
      </c>
      <c r="E3244" s="554" t="s">
        <v>463</v>
      </c>
      <c r="F3244" s="554" t="s">
        <v>575</v>
      </c>
      <c r="G3244" s="692" t="s">
        <v>576</v>
      </c>
      <c r="H3244" s="692"/>
      <c r="I3244" s="692"/>
      <c r="J3244" s="554" t="s">
        <v>466</v>
      </c>
      <c r="K3244" s="552"/>
    </row>
    <row r="3245" spans="1:11" ht="38.25" customHeight="1" x14ac:dyDescent="0.3">
      <c r="A3245" s="547" t="s">
        <v>577</v>
      </c>
      <c r="B3245" s="548" t="s">
        <v>19</v>
      </c>
      <c r="C3245" s="547">
        <v>88316</v>
      </c>
      <c r="D3245" s="547" t="s">
        <v>560</v>
      </c>
      <c r="E3245" s="550">
        <v>21.3333333</v>
      </c>
      <c r="F3245" s="549" t="s">
        <v>423</v>
      </c>
      <c r="G3245" s="693">
        <v>23.4</v>
      </c>
      <c r="H3245" s="693"/>
      <c r="I3245" s="688"/>
      <c r="J3245" s="563">
        <v>499.2</v>
      </c>
      <c r="K3245" s="552"/>
    </row>
    <row r="3246" spans="1:11" s="89" customFormat="1" ht="38.25" customHeight="1" thickBot="1" x14ac:dyDescent="0.35">
      <c r="A3246" s="689"/>
      <c r="B3246" s="689"/>
      <c r="C3246" s="689"/>
      <c r="D3246" s="689"/>
      <c r="E3246" s="689"/>
      <c r="F3246" s="689" t="s">
        <v>578</v>
      </c>
      <c r="G3246" s="689"/>
      <c r="H3246" s="689"/>
      <c r="I3246" s="689"/>
      <c r="J3246" s="564">
        <v>499.2</v>
      </c>
      <c r="K3246" s="546"/>
    </row>
    <row r="3247" spans="1:11" s="89" customFormat="1" ht="38.25" customHeight="1" thickTop="1" x14ac:dyDescent="0.3">
      <c r="A3247" s="562"/>
      <c r="B3247" s="562"/>
      <c r="C3247" s="562"/>
      <c r="D3247" s="562"/>
      <c r="E3247" s="562"/>
      <c r="F3247" s="562"/>
      <c r="G3247" s="562"/>
      <c r="H3247" s="562"/>
      <c r="I3247" s="562"/>
      <c r="J3247" s="562"/>
      <c r="K3247" s="546"/>
    </row>
    <row r="3248" spans="1:11" s="89" customFormat="1" ht="25.5" customHeight="1" x14ac:dyDescent="0.3">
      <c r="A3248" s="553"/>
      <c r="B3248" s="554" t="s">
        <v>4</v>
      </c>
      <c r="C3248" s="553" t="s">
        <v>5</v>
      </c>
      <c r="D3248" s="553" t="s">
        <v>6</v>
      </c>
      <c r="E3248" s="691" t="s">
        <v>427</v>
      </c>
      <c r="F3248" s="691"/>
      <c r="G3248" s="555" t="s">
        <v>7</v>
      </c>
      <c r="H3248" s="554" t="s">
        <v>8</v>
      </c>
      <c r="I3248" s="554" t="s">
        <v>9</v>
      </c>
      <c r="J3248" s="554" t="s">
        <v>11</v>
      </c>
      <c r="K3248" s="546"/>
    </row>
    <row r="3249" spans="1:11" ht="25.5" customHeight="1" x14ac:dyDescent="0.3">
      <c r="A3249" s="607" t="s">
        <v>428</v>
      </c>
      <c r="B3249" s="608" t="s">
        <v>1617</v>
      </c>
      <c r="C3249" s="607" t="s">
        <v>115</v>
      </c>
      <c r="D3249" s="607" t="s">
        <v>1121</v>
      </c>
      <c r="E3249" s="690" t="s">
        <v>402</v>
      </c>
      <c r="F3249" s="690"/>
      <c r="G3249" s="609" t="s">
        <v>532</v>
      </c>
      <c r="H3249" s="610">
        <v>1</v>
      </c>
      <c r="I3249" s="611">
        <v>46.8</v>
      </c>
      <c r="J3249" s="611">
        <v>46.8</v>
      </c>
      <c r="K3249" s="552"/>
    </row>
    <row r="3250" spans="1:11" s="89" customFormat="1" ht="38.25" customHeight="1" x14ac:dyDescent="0.3">
      <c r="A3250" s="689"/>
      <c r="B3250" s="689"/>
      <c r="C3250" s="689"/>
      <c r="D3250" s="689"/>
      <c r="E3250" s="689"/>
      <c r="F3250" s="689" t="s">
        <v>472</v>
      </c>
      <c r="G3250" s="689"/>
      <c r="H3250" s="689"/>
      <c r="I3250" s="689"/>
      <c r="J3250" s="564">
        <v>0</v>
      </c>
      <c r="K3250" s="546"/>
    </row>
    <row r="3251" spans="1:11" ht="14.25" customHeight="1" x14ac:dyDescent="0.3">
      <c r="A3251" s="689"/>
      <c r="B3251" s="689"/>
      <c r="C3251" s="689"/>
      <c r="D3251" s="689"/>
      <c r="E3251" s="689"/>
      <c r="F3251" s="689" t="s">
        <v>473</v>
      </c>
      <c r="G3251" s="689"/>
      <c r="H3251" s="689"/>
      <c r="I3251" s="689"/>
      <c r="J3251" s="564">
        <v>2.24E-2</v>
      </c>
      <c r="K3251" s="552"/>
    </row>
    <row r="3252" spans="1:11" x14ac:dyDescent="0.3">
      <c r="A3252" s="689"/>
      <c r="B3252" s="689"/>
      <c r="C3252" s="689"/>
      <c r="D3252" s="689"/>
      <c r="E3252" s="689"/>
      <c r="F3252" s="689" t="s">
        <v>474</v>
      </c>
      <c r="G3252" s="689"/>
      <c r="H3252" s="689"/>
      <c r="I3252" s="689"/>
      <c r="J3252" s="564">
        <v>0</v>
      </c>
      <c r="K3252" s="552"/>
    </row>
    <row r="3253" spans="1:11" ht="14.25" customHeight="1" x14ac:dyDescent="0.3">
      <c r="A3253" s="689"/>
      <c r="B3253" s="689"/>
      <c r="C3253" s="689"/>
      <c r="D3253" s="689"/>
      <c r="E3253" s="689"/>
      <c r="F3253" s="689" t="s">
        <v>475</v>
      </c>
      <c r="G3253" s="689"/>
      <c r="H3253" s="689"/>
      <c r="I3253" s="689"/>
      <c r="J3253" s="564">
        <v>0.5</v>
      </c>
      <c r="K3253" s="552"/>
    </row>
    <row r="3254" spans="1:11" s="89" customFormat="1" ht="15" customHeight="1" x14ac:dyDescent="0.3">
      <c r="A3254" s="689"/>
      <c r="B3254" s="689"/>
      <c r="C3254" s="689"/>
      <c r="D3254" s="689"/>
      <c r="E3254" s="689"/>
      <c r="F3254" s="689" t="s">
        <v>476</v>
      </c>
      <c r="G3254" s="689"/>
      <c r="H3254" s="689"/>
      <c r="I3254" s="689"/>
      <c r="J3254" s="564">
        <v>0</v>
      </c>
      <c r="K3254" s="546"/>
    </row>
    <row r="3255" spans="1:11" ht="14.25" customHeight="1" x14ac:dyDescent="0.3">
      <c r="A3255" s="553" t="s">
        <v>573</v>
      </c>
      <c r="B3255" s="554" t="s">
        <v>5</v>
      </c>
      <c r="C3255" s="553" t="s">
        <v>4</v>
      </c>
      <c r="D3255" s="553" t="s">
        <v>574</v>
      </c>
      <c r="E3255" s="554" t="s">
        <v>463</v>
      </c>
      <c r="F3255" s="554" t="s">
        <v>575</v>
      </c>
      <c r="G3255" s="692" t="s">
        <v>576</v>
      </c>
      <c r="H3255" s="692"/>
      <c r="I3255" s="692"/>
      <c r="J3255" s="554" t="s">
        <v>466</v>
      </c>
      <c r="K3255" s="552"/>
    </row>
    <row r="3256" spans="1:11" x14ac:dyDescent="0.3">
      <c r="A3256" s="547" t="s">
        <v>577</v>
      </c>
      <c r="B3256" s="548" t="s">
        <v>19</v>
      </c>
      <c r="C3256" s="547">
        <v>88316</v>
      </c>
      <c r="D3256" s="547" t="s">
        <v>560</v>
      </c>
      <c r="E3256" s="550">
        <v>2</v>
      </c>
      <c r="F3256" s="549" t="s">
        <v>423</v>
      </c>
      <c r="G3256" s="693">
        <v>23.4</v>
      </c>
      <c r="H3256" s="693"/>
      <c r="I3256" s="688"/>
      <c r="J3256" s="563">
        <v>46.8</v>
      </c>
      <c r="K3256" s="552"/>
    </row>
    <row r="3257" spans="1:11" ht="15" customHeight="1" thickBot="1" x14ac:dyDescent="0.35">
      <c r="A3257" s="689"/>
      <c r="B3257" s="689"/>
      <c r="C3257" s="689"/>
      <c r="D3257" s="689"/>
      <c r="E3257" s="689"/>
      <c r="F3257" s="689" t="s">
        <v>578</v>
      </c>
      <c r="G3257" s="689"/>
      <c r="H3257" s="689"/>
      <c r="I3257" s="689"/>
      <c r="J3257" s="564">
        <v>46.8</v>
      </c>
      <c r="K3257" s="552"/>
    </row>
    <row r="3258" spans="1:11" s="89" customFormat="1" ht="14.5" thickTop="1" x14ac:dyDescent="0.3">
      <c r="A3258" s="562"/>
      <c r="B3258" s="562"/>
      <c r="C3258" s="562"/>
      <c r="D3258" s="562"/>
      <c r="E3258" s="562"/>
      <c r="F3258" s="562"/>
      <c r="G3258" s="562"/>
      <c r="H3258" s="562"/>
      <c r="I3258" s="562"/>
      <c r="J3258" s="562"/>
      <c r="K3258" s="546"/>
    </row>
    <row r="3259" spans="1:11" x14ac:dyDescent="0.3">
      <c r="A3259" s="553"/>
      <c r="B3259" s="554" t="s">
        <v>4</v>
      </c>
      <c r="C3259" s="553" t="s">
        <v>5</v>
      </c>
      <c r="D3259" s="553" t="s">
        <v>6</v>
      </c>
      <c r="E3259" s="691" t="s">
        <v>427</v>
      </c>
      <c r="F3259" s="691"/>
      <c r="G3259" s="555" t="s">
        <v>7</v>
      </c>
      <c r="H3259" s="554" t="s">
        <v>8</v>
      </c>
      <c r="I3259" s="554" t="s">
        <v>9</v>
      </c>
      <c r="J3259" s="554" t="s">
        <v>11</v>
      </c>
      <c r="K3259" s="552"/>
    </row>
    <row r="3260" spans="1:11" ht="15" customHeight="1" x14ac:dyDescent="0.3">
      <c r="A3260" s="607" t="s">
        <v>428</v>
      </c>
      <c r="B3260" s="608" t="s">
        <v>938</v>
      </c>
      <c r="C3260" s="607" t="s">
        <v>196</v>
      </c>
      <c r="D3260" s="607" t="s">
        <v>3869</v>
      </c>
      <c r="E3260" s="690">
        <v>9</v>
      </c>
      <c r="F3260" s="690"/>
      <c r="G3260" s="609" t="s">
        <v>81</v>
      </c>
      <c r="H3260" s="610">
        <v>1</v>
      </c>
      <c r="I3260" s="611">
        <v>45123.01</v>
      </c>
      <c r="J3260" s="611">
        <v>45123.01</v>
      </c>
      <c r="K3260" s="552"/>
    </row>
    <row r="3261" spans="1:11" s="89" customFormat="1" ht="25" x14ac:dyDescent="0.3">
      <c r="A3261" s="547" t="s">
        <v>430</v>
      </c>
      <c r="B3261" s="548" t="s">
        <v>557</v>
      </c>
      <c r="C3261" s="547" t="s">
        <v>19</v>
      </c>
      <c r="D3261" s="547" t="s">
        <v>558</v>
      </c>
      <c r="E3261" s="688" t="s">
        <v>429</v>
      </c>
      <c r="F3261" s="688"/>
      <c r="G3261" s="549" t="s">
        <v>423</v>
      </c>
      <c r="H3261" s="550">
        <v>15.67</v>
      </c>
      <c r="I3261" s="551">
        <v>25.36</v>
      </c>
      <c r="J3261" s="551">
        <v>397.39</v>
      </c>
      <c r="K3261" s="546"/>
    </row>
    <row r="3262" spans="1:11" s="89" customFormat="1" ht="15" customHeight="1" x14ac:dyDescent="0.3">
      <c r="A3262" s="547" t="s">
        <v>430</v>
      </c>
      <c r="B3262" s="548" t="s">
        <v>644</v>
      </c>
      <c r="C3262" s="547" t="s">
        <v>19</v>
      </c>
      <c r="D3262" s="547" t="s">
        <v>645</v>
      </c>
      <c r="E3262" s="688" t="s">
        <v>429</v>
      </c>
      <c r="F3262" s="688"/>
      <c r="G3262" s="549" t="s">
        <v>423</v>
      </c>
      <c r="H3262" s="550">
        <v>42.17</v>
      </c>
      <c r="I3262" s="551">
        <v>31.81</v>
      </c>
      <c r="J3262" s="551">
        <v>1341.42</v>
      </c>
      <c r="K3262" s="546"/>
    </row>
    <row r="3263" spans="1:11" ht="14.25" customHeight="1" x14ac:dyDescent="0.3">
      <c r="A3263" s="547" t="s">
        <v>430</v>
      </c>
      <c r="B3263" s="548" t="s">
        <v>1618</v>
      </c>
      <c r="C3263" s="547" t="s">
        <v>19</v>
      </c>
      <c r="D3263" s="547" t="s">
        <v>1619</v>
      </c>
      <c r="E3263" s="688" t="s">
        <v>461</v>
      </c>
      <c r="F3263" s="688"/>
      <c r="G3263" s="549" t="s">
        <v>423</v>
      </c>
      <c r="H3263" s="550">
        <v>2.6724999999999999</v>
      </c>
      <c r="I3263" s="551">
        <v>0.92</v>
      </c>
      <c r="J3263" s="551">
        <v>2.4500000000000002</v>
      </c>
      <c r="K3263" s="552"/>
    </row>
    <row r="3264" spans="1:11" ht="14.25" customHeight="1" x14ac:dyDescent="0.3">
      <c r="A3264" s="547" t="s">
        <v>430</v>
      </c>
      <c r="B3264" s="548" t="s">
        <v>1622</v>
      </c>
      <c r="C3264" s="547" t="s">
        <v>19</v>
      </c>
      <c r="D3264" s="547" t="s">
        <v>1623</v>
      </c>
      <c r="E3264" s="688" t="s">
        <v>461</v>
      </c>
      <c r="F3264" s="688"/>
      <c r="G3264" s="549" t="s">
        <v>423</v>
      </c>
      <c r="H3264" s="550">
        <v>10.695</v>
      </c>
      <c r="I3264" s="551">
        <v>0.01</v>
      </c>
      <c r="J3264" s="551">
        <v>0.1</v>
      </c>
      <c r="K3264" s="552"/>
    </row>
    <row r="3265" spans="1:11" ht="14.25" customHeight="1" x14ac:dyDescent="0.3">
      <c r="A3265" s="547" t="s">
        <v>430</v>
      </c>
      <c r="B3265" s="548" t="s">
        <v>1620</v>
      </c>
      <c r="C3265" s="547" t="s">
        <v>19</v>
      </c>
      <c r="D3265" s="547" t="s">
        <v>1621</v>
      </c>
      <c r="E3265" s="688" t="s">
        <v>461</v>
      </c>
      <c r="F3265" s="688"/>
      <c r="G3265" s="549" t="s">
        <v>423</v>
      </c>
      <c r="H3265" s="550">
        <v>8.9599999999999999E-2</v>
      </c>
      <c r="I3265" s="551">
        <v>0.67</v>
      </c>
      <c r="J3265" s="551">
        <v>0.06</v>
      </c>
      <c r="K3265" s="552"/>
    </row>
    <row r="3266" spans="1:11" ht="14.25" customHeight="1" x14ac:dyDescent="0.3">
      <c r="A3266" s="547" t="s">
        <v>433</v>
      </c>
      <c r="B3266" s="548" t="s">
        <v>1624</v>
      </c>
      <c r="C3266" s="547" t="s">
        <v>19</v>
      </c>
      <c r="D3266" s="547" t="s">
        <v>1625</v>
      </c>
      <c r="E3266" s="688" t="s">
        <v>438</v>
      </c>
      <c r="F3266" s="688"/>
      <c r="G3266" s="549" t="s">
        <v>81</v>
      </c>
      <c r="H3266" s="550">
        <v>8</v>
      </c>
      <c r="I3266" s="551">
        <v>61.13</v>
      </c>
      <c r="J3266" s="551">
        <v>489.04</v>
      </c>
      <c r="K3266" s="552"/>
    </row>
    <row r="3267" spans="1:11" s="89" customFormat="1" ht="15" customHeight="1" x14ac:dyDescent="0.3">
      <c r="A3267" s="547" t="s">
        <v>433</v>
      </c>
      <c r="B3267" s="548" t="s">
        <v>1626</v>
      </c>
      <c r="C3267" s="547" t="s">
        <v>19</v>
      </c>
      <c r="D3267" s="547" t="s">
        <v>3922</v>
      </c>
      <c r="E3267" s="688" t="s">
        <v>438</v>
      </c>
      <c r="F3267" s="688"/>
      <c r="G3267" s="549" t="s">
        <v>424</v>
      </c>
      <c r="H3267" s="550">
        <v>1362.3</v>
      </c>
      <c r="I3267" s="551">
        <v>7.88</v>
      </c>
      <c r="J3267" s="551">
        <v>10734.92</v>
      </c>
      <c r="K3267" s="546"/>
    </row>
    <row r="3268" spans="1:11" s="89" customFormat="1" ht="15" customHeight="1" x14ac:dyDescent="0.3">
      <c r="A3268" s="547" t="s">
        <v>433</v>
      </c>
      <c r="B3268" s="548" t="s">
        <v>1627</v>
      </c>
      <c r="C3268" s="547" t="s">
        <v>19</v>
      </c>
      <c r="D3268" s="547" t="s">
        <v>1628</v>
      </c>
      <c r="E3268" s="688" t="s">
        <v>438</v>
      </c>
      <c r="F3268" s="688"/>
      <c r="G3268" s="549" t="s">
        <v>424</v>
      </c>
      <c r="H3268" s="550">
        <v>39.548000000000002</v>
      </c>
      <c r="I3268" s="551">
        <v>40.590000000000003</v>
      </c>
      <c r="J3268" s="551">
        <v>1605.25</v>
      </c>
      <c r="K3268" s="546"/>
    </row>
    <row r="3269" spans="1:11" ht="15" customHeight="1" x14ac:dyDescent="0.3">
      <c r="A3269" s="547" t="s">
        <v>433</v>
      </c>
      <c r="B3269" s="548" t="s">
        <v>1629</v>
      </c>
      <c r="C3269" s="547" t="s">
        <v>19</v>
      </c>
      <c r="D3269" s="547" t="s">
        <v>1630</v>
      </c>
      <c r="E3269" s="688" t="s">
        <v>788</v>
      </c>
      <c r="F3269" s="688"/>
      <c r="G3269" s="549" t="s">
        <v>81</v>
      </c>
      <c r="H3269" s="550">
        <v>29.477</v>
      </c>
      <c r="I3269" s="551">
        <v>849.9</v>
      </c>
      <c r="J3269" s="551">
        <v>25052.5</v>
      </c>
      <c r="K3269" s="552"/>
    </row>
    <row r="3270" spans="1:11" s="89" customFormat="1" ht="15.75" customHeight="1" x14ac:dyDescent="0.3">
      <c r="A3270" s="547" t="s">
        <v>433</v>
      </c>
      <c r="B3270" s="548" t="s">
        <v>1631</v>
      </c>
      <c r="C3270" s="547" t="s">
        <v>19</v>
      </c>
      <c r="D3270" s="547" t="s">
        <v>1632</v>
      </c>
      <c r="E3270" s="688" t="s">
        <v>438</v>
      </c>
      <c r="F3270" s="688"/>
      <c r="G3270" s="549" t="s">
        <v>173</v>
      </c>
      <c r="H3270" s="550">
        <v>4</v>
      </c>
      <c r="I3270" s="551">
        <v>1100.6400000000001</v>
      </c>
      <c r="J3270" s="551">
        <v>4402.5600000000004</v>
      </c>
      <c r="K3270" s="546"/>
    </row>
    <row r="3271" spans="1:11" ht="15" customHeight="1" thickBot="1" x14ac:dyDescent="0.35">
      <c r="A3271" s="547" t="s">
        <v>433</v>
      </c>
      <c r="B3271" s="548" t="s">
        <v>1633</v>
      </c>
      <c r="C3271" s="547" t="s">
        <v>19</v>
      </c>
      <c r="D3271" s="547" t="s">
        <v>3923</v>
      </c>
      <c r="E3271" s="688" t="s">
        <v>438</v>
      </c>
      <c r="F3271" s="688"/>
      <c r="G3271" s="549" t="s">
        <v>173</v>
      </c>
      <c r="H3271" s="550">
        <v>2</v>
      </c>
      <c r="I3271" s="551">
        <v>548.66</v>
      </c>
      <c r="J3271" s="551">
        <v>1097.32</v>
      </c>
      <c r="K3271" s="552"/>
    </row>
    <row r="3272" spans="1:11" ht="14.5" thickTop="1" x14ac:dyDescent="0.3">
      <c r="A3272" s="562"/>
      <c r="B3272" s="562"/>
      <c r="C3272" s="562"/>
      <c r="D3272" s="562"/>
      <c r="E3272" s="562"/>
      <c r="F3272" s="562"/>
      <c r="G3272" s="562"/>
      <c r="H3272" s="562"/>
      <c r="I3272" s="562"/>
      <c r="J3272" s="562"/>
      <c r="K3272" s="552"/>
    </row>
    <row r="3273" spans="1:11" s="89" customFormat="1" x14ac:dyDescent="0.3">
      <c r="A3273" s="553"/>
      <c r="B3273" s="554" t="s">
        <v>4</v>
      </c>
      <c r="C3273" s="553" t="s">
        <v>5</v>
      </c>
      <c r="D3273" s="553" t="s">
        <v>6</v>
      </c>
      <c r="E3273" s="691" t="s">
        <v>427</v>
      </c>
      <c r="F3273" s="691"/>
      <c r="G3273" s="555" t="s">
        <v>7</v>
      </c>
      <c r="H3273" s="554" t="s">
        <v>8</v>
      </c>
      <c r="I3273" s="554" t="s">
        <v>9</v>
      </c>
      <c r="J3273" s="554" t="s">
        <v>11</v>
      </c>
      <c r="K3273" s="546"/>
    </row>
    <row r="3274" spans="1:11" ht="14.25" customHeight="1" x14ac:dyDescent="0.3">
      <c r="A3274" s="607" t="s">
        <v>428</v>
      </c>
      <c r="B3274" s="608" t="s">
        <v>940</v>
      </c>
      <c r="C3274" s="607" t="s">
        <v>196</v>
      </c>
      <c r="D3274" s="607" t="s">
        <v>3874</v>
      </c>
      <c r="E3274" s="690">
        <v>9</v>
      </c>
      <c r="F3274" s="690"/>
      <c r="G3274" s="609" t="s">
        <v>81</v>
      </c>
      <c r="H3274" s="610">
        <v>1</v>
      </c>
      <c r="I3274" s="611">
        <v>49753.760000000002</v>
      </c>
      <c r="J3274" s="611">
        <v>49753.760000000002</v>
      </c>
      <c r="K3274" s="552"/>
    </row>
    <row r="3275" spans="1:11" s="89" customFormat="1" ht="15" customHeight="1" x14ac:dyDescent="0.3">
      <c r="A3275" s="547" t="s">
        <v>430</v>
      </c>
      <c r="B3275" s="548" t="s">
        <v>557</v>
      </c>
      <c r="C3275" s="547" t="s">
        <v>19</v>
      </c>
      <c r="D3275" s="547" t="s">
        <v>558</v>
      </c>
      <c r="E3275" s="688" t="s">
        <v>429</v>
      </c>
      <c r="F3275" s="688"/>
      <c r="G3275" s="549" t="s">
        <v>423</v>
      </c>
      <c r="H3275" s="550">
        <v>16.010000000000002</v>
      </c>
      <c r="I3275" s="551">
        <v>25.36</v>
      </c>
      <c r="J3275" s="551">
        <v>406.01</v>
      </c>
      <c r="K3275" s="546"/>
    </row>
    <row r="3276" spans="1:11" x14ac:dyDescent="0.3">
      <c r="A3276" s="547" t="s">
        <v>430</v>
      </c>
      <c r="B3276" s="548" t="s">
        <v>644</v>
      </c>
      <c r="C3276" s="547" t="s">
        <v>19</v>
      </c>
      <c r="D3276" s="547" t="s">
        <v>645</v>
      </c>
      <c r="E3276" s="688" t="s">
        <v>429</v>
      </c>
      <c r="F3276" s="688"/>
      <c r="G3276" s="549" t="s">
        <v>423</v>
      </c>
      <c r="H3276" s="550">
        <v>42.17</v>
      </c>
      <c r="I3276" s="551">
        <v>31.81</v>
      </c>
      <c r="J3276" s="551">
        <v>1341.42</v>
      </c>
      <c r="K3276" s="552"/>
    </row>
    <row r="3277" spans="1:11" s="89" customFormat="1" ht="38.25" customHeight="1" x14ac:dyDescent="0.3">
      <c r="A3277" s="547" t="s">
        <v>430</v>
      </c>
      <c r="B3277" s="548" t="s">
        <v>1618</v>
      </c>
      <c r="C3277" s="547" t="s">
        <v>19</v>
      </c>
      <c r="D3277" s="547" t="s">
        <v>1619</v>
      </c>
      <c r="E3277" s="688" t="s">
        <v>461</v>
      </c>
      <c r="F3277" s="688"/>
      <c r="G3277" s="549" t="s">
        <v>423</v>
      </c>
      <c r="H3277" s="550">
        <v>2.7837999999999998</v>
      </c>
      <c r="I3277" s="551">
        <v>0.92</v>
      </c>
      <c r="J3277" s="551">
        <v>2.56</v>
      </c>
      <c r="K3277" s="546"/>
    </row>
    <row r="3278" spans="1:11" ht="14.25" customHeight="1" x14ac:dyDescent="0.3">
      <c r="A3278" s="547" t="s">
        <v>430</v>
      </c>
      <c r="B3278" s="548" t="s">
        <v>1622</v>
      </c>
      <c r="C3278" s="547" t="s">
        <v>19</v>
      </c>
      <c r="D3278" s="547" t="s">
        <v>1623</v>
      </c>
      <c r="E3278" s="688" t="s">
        <v>461</v>
      </c>
      <c r="F3278" s="688"/>
      <c r="G3278" s="549" t="s">
        <v>423</v>
      </c>
      <c r="H3278" s="550">
        <v>10.878</v>
      </c>
      <c r="I3278" s="551">
        <v>0.01</v>
      </c>
      <c r="J3278" s="551">
        <v>0.1</v>
      </c>
      <c r="K3278" s="552"/>
    </row>
    <row r="3279" spans="1:11" s="89" customFormat="1" ht="15" customHeight="1" x14ac:dyDescent="0.3">
      <c r="A3279" s="547" t="s">
        <v>430</v>
      </c>
      <c r="B3279" s="548" t="s">
        <v>1620</v>
      </c>
      <c r="C3279" s="547" t="s">
        <v>19</v>
      </c>
      <c r="D3279" s="547" t="s">
        <v>1621</v>
      </c>
      <c r="E3279" s="688" t="s">
        <v>461</v>
      </c>
      <c r="F3279" s="688"/>
      <c r="G3279" s="549" t="s">
        <v>423</v>
      </c>
      <c r="H3279" s="550">
        <v>8.9599999999999999E-2</v>
      </c>
      <c r="I3279" s="551">
        <v>0.67</v>
      </c>
      <c r="J3279" s="551">
        <v>0.06</v>
      </c>
      <c r="K3279" s="546"/>
    </row>
    <row r="3280" spans="1:11" ht="14.25" customHeight="1" x14ac:dyDescent="0.3">
      <c r="A3280" s="547" t="s">
        <v>433</v>
      </c>
      <c r="B3280" s="548" t="s">
        <v>1624</v>
      </c>
      <c r="C3280" s="547" t="s">
        <v>19</v>
      </c>
      <c r="D3280" s="547" t="s">
        <v>1625</v>
      </c>
      <c r="E3280" s="688" t="s">
        <v>438</v>
      </c>
      <c r="F3280" s="688"/>
      <c r="G3280" s="549" t="s">
        <v>81</v>
      </c>
      <c r="H3280" s="550">
        <v>8</v>
      </c>
      <c r="I3280" s="551">
        <v>61.13</v>
      </c>
      <c r="J3280" s="551">
        <v>489.04</v>
      </c>
      <c r="K3280" s="552"/>
    </row>
    <row r="3281" spans="1:11" x14ac:dyDescent="0.3">
      <c r="A3281" s="547" t="s">
        <v>433</v>
      </c>
      <c r="B3281" s="548" t="s">
        <v>1626</v>
      </c>
      <c r="C3281" s="547" t="s">
        <v>19</v>
      </c>
      <c r="D3281" s="547" t="s">
        <v>3922</v>
      </c>
      <c r="E3281" s="688" t="s">
        <v>438</v>
      </c>
      <c r="F3281" s="688"/>
      <c r="G3281" s="549" t="s">
        <v>424</v>
      </c>
      <c r="H3281" s="550">
        <v>1362.3</v>
      </c>
      <c r="I3281" s="551">
        <v>7.88</v>
      </c>
      <c r="J3281" s="551">
        <v>10734.92</v>
      </c>
      <c r="K3281" s="552"/>
    </row>
    <row r="3282" spans="1:11" ht="14.25" customHeight="1" x14ac:dyDescent="0.3">
      <c r="A3282" s="547" t="s">
        <v>433</v>
      </c>
      <c r="B3282" s="548" t="s">
        <v>1627</v>
      </c>
      <c r="C3282" s="547" t="s">
        <v>19</v>
      </c>
      <c r="D3282" s="547" t="s">
        <v>1628</v>
      </c>
      <c r="E3282" s="688" t="s">
        <v>438</v>
      </c>
      <c r="F3282" s="688"/>
      <c r="G3282" s="549" t="s">
        <v>424</v>
      </c>
      <c r="H3282" s="550">
        <v>39.548000000000002</v>
      </c>
      <c r="I3282" s="551">
        <v>40.590000000000003</v>
      </c>
      <c r="J3282" s="551">
        <v>1605.25</v>
      </c>
      <c r="K3282" s="552"/>
    </row>
    <row r="3283" spans="1:11" ht="14.25" customHeight="1" x14ac:dyDescent="0.3">
      <c r="A3283" s="547" t="s">
        <v>433</v>
      </c>
      <c r="B3283" s="548" t="s">
        <v>1629</v>
      </c>
      <c r="C3283" s="547" t="s">
        <v>19</v>
      </c>
      <c r="D3283" s="547" t="s">
        <v>1630</v>
      </c>
      <c r="E3283" s="688" t="s">
        <v>788</v>
      </c>
      <c r="F3283" s="688"/>
      <c r="G3283" s="549" t="s">
        <v>81</v>
      </c>
      <c r="H3283" s="550">
        <v>29.477</v>
      </c>
      <c r="I3283" s="551">
        <v>849.9</v>
      </c>
      <c r="J3283" s="551">
        <v>25052.5</v>
      </c>
      <c r="K3283" s="552"/>
    </row>
    <row r="3284" spans="1:11" ht="15" customHeight="1" x14ac:dyDescent="0.3">
      <c r="A3284" s="547" t="s">
        <v>433</v>
      </c>
      <c r="B3284" s="548" t="s">
        <v>1631</v>
      </c>
      <c r="C3284" s="547" t="s">
        <v>19</v>
      </c>
      <c r="D3284" s="547" t="s">
        <v>1632</v>
      </c>
      <c r="E3284" s="688" t="s">
        <v>438</v>
      </c>
      <c r="F3284" s="688"/>
      <c r="G3284" s="549" t="s">
        <v>173</v>
      </c>
      <c r="H3284" s="550">
        <v>8</v>
      </c>
      <c r="I3284" s="551">
        <v>1100.6400000000001</v>
      </c>
      <c r="J3284" s="551">
        <v>8805.1200000000008</v>
      </c>
      <c r="K3284" s="552"/>
    </row>
    <row r="3285" spans="1:11" s="89" customFormat="1" ht="25.5" thickBot="1" x14ac:dyDescent="0.35">
      <c r="A3285" s="547" t="s">
        <v>433</v>
      </c>
      <c r="B3285" s="548" t="s">
        <v>1633</v>
      </c>
      <c r="C3285" s="547" t="s">
        <v>19</v>
      </c>
      <c r="D3285" s="547" t="s">
        <v>3923</v>
      </c>
      <c r="E3285" s="688" t="s">
        <v>438</v>
      </c>
      <c r="F3285" s="688"/>
      <c r="G3285" s="549" t="s">
        <v>173</v>
      </c>
      <c r="H3285" s="550">
        <v>2.4</v>
      </c>
      <c r="I3285" s="551">
        <v>548.66</v>
      </c>
      <c r="J3285" s="551">
        <v>1316.78</v>
      </c>
      <c r="K3285" s="546"/>
    </row>
    <row r="3286" spans="1:11" ht="15" customHeight="1" thickTop="1" x14ac:dyDescent="0.3">
      <c r="A3286" s="562"/>
      <c r="B3286" s="562"/>
      <c r="C3286" s="562"/>
      <c r="D3286" s="562"/>
      <c r="E3286" s="562"/>
      <c r="F3286" s="562"/>
      <c r="G3286" s="562"/>
      <c r="H3286" s="562"/>
      <c r="I3286" s="562"/>
      <c r="J3286" s="562"/>
      <c r="K3286" s="552"/>
    </row>
    <row r="3287" spans="1:11" x14ac:dyDescent="0.3">
      <c r="A3287" s="553"/>
      <c r="B3287" s="554" t="s">
        <v>4</v>
      </c>
      <c r="C3287" s="553" t="s">
        <v>5</v>
      </c>
      <c r="D3287" s="553" t="s">
        <v>6</v>
      </c>
      <c r="E3287" s="691" t="s">
        <v>427</v>
      </c>
      <c r="F3287" s="691"/>
      <c r="G3287" s="555" t="s">
        <v>7</v>
      </c>
      <c r="H3287" s="554" t="s">
        <v>8</v>
      </c>
      <c r="I3287" s="554" t="s">
        <v>9</v>
      </c>
      <c r="J3287" s="554" t="s">
        <v>11</v>
      </c>
      <c r="K3287" s="552"/>
    </row>
    <row r="3288" spans="1:11" s="89" customFormat="1" ht="25" x14ac:dyDescent="0.3">
      <c r="A3288" s="607" t="s">
        <v>428</v>
      </c>
      <c r="B3288" s="608" t="s">
        <v>1032</v>
      </c>
      <c r="C3288" s="607" t="s">
        <v>196</v>
      </c>
      <c r="D3288" s="607" t="s">
        <v>3873</v>
      </c>
      <c r="E3288" s="690">
        <v>9</v>
      </c>
      <c r="F3288" s="690"/>
      <c r="G3288" s="609" t="s">
        <v>81</v>
      </c>
      <c r="H3288" s="610">
        <v>1</v>
      </c>
      <c r="I3288" s="611">
        <v>53811.75</v>
      </c>
      <c r="J3288" s="611">
        <v>53811.75</v>
      </c>
      <c r="K3288" s="546"/>
    </row>
    <row r="3289" spans="1:11" s="89" customFormat="1" ht="25" x14ac:dyDescent="0.3">
      <c r="A3289" s="547" t="s">
        <v>430</v>
      </c>
      <c r="B3289" s="548" t="s">
        <v>557</v>
      </c>
      <c r="C3289" s="547" t="s">
        <v>19</v>
      </c>
      <c r="D3289" s="547" t="s">
        <v>558</v>
      </c>
      <c r="E3289" s="688" t="s">
        <v>429</v>
      </c>
      <c r="F3289" s="688"/>
      <c r="G3289" s="549" t="s">
        <v>423</v>
      </c>
      <c r="H3289" s="550">
        <v>15.46</v>
      </c>
      <c r="I3289" s="551">
        <v>25.36</v>
      </c>
      <c r="J3289" s="551">
        <v>392.06</v>
      </c>
      <c r="K3289" s="546"/>
    </row>
    <row r="3290" spans="1:11" ht="14.25" customHeight="1" x14ac:dyDescent="0.3">
      <c r="A3290" s="547" t="s">
        <v>430</v>
      </c>
      <c r="B3290" s="548" t="s">
        <v>644</v>
      </c>
      <c r="C3290" s="547" t="s">
        <v>19</v>
      </c>
      <c r="D3290" s="547" t="s">
        <v>645</v>
      </c>
      <c r="E3290" s="688" t="s">
        <v>429</v>
      </c>
      <c r="F3290" s="688"/>
      <c r="G3290" s="549" t="s">
        <v>423</v>
      </c>
      <c r="H3290" s="550">
        <v>48.93</v>
      </c>
      <c r="I3290" s="551">
        <v>31.81</v>
      </c>
      <c r="J3290" s="551">
        <v>1556.46</v>
      </c>
      <c r="K3290" s="552"/>
    </row>
    <row r="3291" spans="1:11" ht="14.25" customHeight="1" x14ac:dyDescent="0.3">
      <c r="A3291" s="547" t="s">
        <v>430</v>
      </c>
      <c r="B3291" s="548" t="s">
        <v>1618</v>
      </c>
      <c r="C3291" s="547" t="s">
        <v>19</v>
      </c>
      <c r="D3291" s="547" t="s">
        <v>1619</v>
      </c>
      <c r="E3291" s="688" t="s">
        <v>461</v>
      </c>
      <c r="F3291" s="688"/>
      <c r="G3291" s="549" t="s">
        <v>423</v>
      </c>
      <c r="H3291" s="550">
        <v>3.0065</v>
      </c>
      <c r="I3291" s="551">
        <v>0.92</v>
      </c>
      <c r="J3291" s="551">
        <v>2.76</v>
      </c>
      <c r="K3291" s="552"/>
    </row>
    <row r="3292" spans="1:11" ht="25.5" customHeight="1" x14ac:dyDescent="0.3">
      <c r="A3292" s="547" t="s">
        <v>430</v>
      </c>
      <c r="B3292" s="548" t="s">
        <v>1622</v>
      </c>
      <c r="C3292" s="547" t="s">
        <v>19</v>
      </c>
      <c r="D3292" s="547" t="s">
        <v>1623</v>
      </c>
      <c r="E3292" s="688" t="s">
        <v>461</v>
      </c>
      <c r="F3292" s="688"/>
      <c r="G3292" s="549" t="s">
        <v>423</v>
      </c>
      <c r="H3292" s="550">
        <v>10.260999999999999</v>
      </c>
      <c r="I3292" s="551">
        <v>0.01</v>
      </c>
      <c r="J3292" s="551">
        <v>0.1</v>
      </c>
      <c r="K3292" s="552"/>
    </row>
    <row r="3293" spans="1:11" s="89" customFormat="1" ht="38.25" customHeight="1" x14ac:dyDescent="0.3">
      <c r="A3293" s="547" t="s">
        <v>430</v>
      </c>
      <c r="B3293" s="548" t="s">
        <v>1620</v>
      </c>
      <c r="C3293" s="547" t="s">
        <v>19</v>
      </c>
      <c r="D3293" s="547" t="s">
        <v>1621</v>
      </c>
      <c r="E3293" s="688" t="s">
        <v>461</v>
      </c>
      <c r="F3293" s="688"/>
      <c r="G3293" s="549" t="s">
        <v>423</v>
      </c>
      <c r="H3293" s="550">
        <v>8.9599999999999999E-2</v>
      </c>
      <c r="I3293" s="551">
        <v>0.67</v>
      </c>
      <c r="J3293" s="551">
        <v>0.06</v>
      </c>
      <c r="K3293" s="546"/>
    </row>
    <row r="3294" spans="1:11" ht="14.25" customHeight="1" x14ac:dyDescent="0.3">
      <c r="A3294" s="547" t="s">
        <v>433</v>
      </c>
      <c r="B3294" s="548" t="s">
        <v>1624</v>
      </c>
      <c r="C3294" s="547" t="s">
        <v>19</v>
      </c>
      <c r="D3294" s="547" t="s">
        <v>1625</v>
      </c>
      <c r="E3294" s="688" t="s">
        <v>438</v>
      </c>
      <c r="F3294" s="688"/>
      <c r="G3294" s="549" t="s">
        <v>81</v>
      </c>
      <c r="H3294" s="550">
        <v>8</v>
      </c>
      <c r="I3294" s="551">
        <v>61.13</v>
      </c>
      <c r="J3294" s="551">
        <v>489.04</v>
      </c>
      <c r="K3294" s="552"/>
    </row>
    <row r="3295" spans="1:11" ht="15" customHeight="1" x14ac:dyDescent="0.3">
      <c r="A3295" s="547" t="s">
        <v>433</v>
      </c>
      <c r="B3295" s="548" t="s">
        <v>1626</v>
      </c>
      <c r="C3295" s="547" t="s">
        <v>19</v>
      </c>
      <c r="D3295" s="547" t="s">
        <v>3922</v>
      </c>
      <c r="E3295" s="688" t="s">
        <v>438</v>
      </c>
      <c r="F3295" s="688"/>
      <c r="G3295" s="549" t="s">
        <v>424</v>
      </c>
      <c r="H3295" s="550">
        <v>1868.1</v>
      </c>
      <c r="I3295" s="551">
        <v>7.88</v>
      </c>
      <c r="J3295" s="551">
        <v>14720.62</v>
      </c>
      <c r="K3295" s="552"/>
    </row>
    <row r="3296" spans="1:11" x14ac:dyDescent="0.3">
      <c r="A3296" s="547" t="s">
        <v>433</v>
      </c>
      <c r="B3296" s="548" t="s">
        <v>1627</v>
      </c>
      <c r="C3296" s="547" t="s">
        <v>19</v>
      </c>
      <c r="D3296" s="547" t="s">
        <v>1628</v>
      </c>
      <c r="E3296" s="688" t="s">
        <v>438</v>
      </c>
      <c r="F3296" s="688"/>
      <c r="G3296" s="549" t="s">
        <v>424</v>
      </c>
      <c r="H3296" s="550">
        <v>45.92</v>
      </c>
      <c r="I3296" s="551">
        <v>40.590000000000003</v>
      </c>
      <c r="J3296" s="551">
        <v>1863.89</v>
      </c>
      <c r="K3296" s="552"/>
    </row>
    <row r="3297" spans="1:11" ht="15" customHeight="1" x14ac:dyDescent="0.3">
      <c r="A3297" s="547" t="s">
        <v>433</v>
      </c>
      <c r="B3297" s="548" t="s">
        <v>1629</v>
      </c>
      <c r="C3297" s="547" t="s">
        <v>19</v>
      </c>
      <c r="D3297" s="547" t="s">
        <v>1630</v>
      </c>
      <c r="E3297" s="688" t="s">
        <v>788</v>
      </c>
      <c r="F3297" s="688"/>
      <c r="G3297" s="549" t="s">
        <v>81</v>
      </c>
      <c r="H3297" s="550">
        <v>34.201000000000001</v>
      </c>
      <c r="I3297" s="551">
        <v>849.9</v>
      </c>
      <c r="J3297" s="551">
        <v>29067.42</v>
      </c>
      <c r="K3297" s="552"/>
    </row>
    <row r="3298" spans="1:11" ht="25" x14ac:dyDescent="0.3">
      <c r="A3298" s="547" t="s">
        <v>433</v>
      </c>
      <c r="B3298" s="548" t="s">
        <v>1631</v>
      </c>
      <c r="C3298" s="547" t="s">
        <v>19</v>
      </c>
      <c r="D3298" s="547" t="s">
        <v>1632</v>
      </c>
      <c r="E3298" s="688" t="s">
        <v>438</v>
      </c>
      <c r="F3298" s="688"/>
      <c r="G3298" s="549" t="s">
        <v>173</v>
      </c>
      <c r="H3298" s="550">
        <v>4</v>
      </c>
      <c r="I3298" s="551">
        <v>1100.6400000000001</v>
      </c>
      <c r="J3298" s="551">
        <v>4402.5600000000004</v>
      </c>
      <c r="K3298" s="552"/>
    </row>
    <row r="3299" spans="1:11" ht="25.5" thickBot="1" x14ac:dyDescent="0.35">
      <c r="A3299" s="547" t="s">
        <v>433</v>
      </c>
      <c r="B3299" s="548" t="s">
        <v>1633</v>
      </c>
      <c r="C3299" s="547" t="s">
        <v>19</v>
      </c>
      <c r="D3299" s="547" t="s">
        <v>3923</v>
      </c>
      <c r="E3299" s="688" t="s">
        <v>438</v>
      </c>
      <c r="F3299" s="688"/>
      <c r="G3299" s="549" t="s">
        <v>173</v>
      </c>
      <c r="H3299" s="550">
        <v>2.4</v>
      </c>
      <c r="I3299" s="551">
        <v>548.66</v>
      </c>
      <c r="J3299" s="551">
        <v>1316.78</v>
      </c>
      <c r="K3299" s="552"/>
    </row>
    <row r="3300" spans="1:11" ht="14.5" thickTop="1" x14ac:dyDescent="0.3">
      <c r="A3300" s="562"/>
      <c r="B3300" s="562"/>
      <c r="C3300" s="562"/>
      <c r="D3300" s="562"/>
      <c r="E3300" s="562"/>
      <c r="F3300" s="562"/>
      <c r="G3300" s="562"/>
      <c r="H3300" s="562"/>
      <c r="I3300" s="562"/>
      <c r="J3300" s="562"/>
      <c r="K3300" s="552"/>
    </row>
    <row r="3301" spans="1:11" x14ac:dyDescent="0.3">
      <c r="A3301" s="553"/>
      <c r="B3301" s="554" t="s">
        <v>4</v>
      </c>
      <c r="C3301" s="553" t="s">
        <v>5</v>
      </c>
      <c r="D3301" s="553" t="s">
        <v>6</v>
      </c>
      <c r="E3301" s="691" t="s">
        <v>427</v>
      </c>
      <c r="F3301" s="691"/>
      <c r="G3301" s="555" t="s">
        <v>7</v>
      </c>
      <c r="H3301" s="554" t="s">
        <v>8</v>
      </c>
      <c r="I3301" s="554" t="s">
        <v>9</v>
      </c>
      <c r="J3301" s="554" t="s">
        <v>11</v>
      </c>
      <c r="K3301" s="552"/>
    </row>
    <row r="3302" spans="1:11" ht="14.25" customHeight="1" x14ac:dyDescent="0.3">
      <c r="A3302" s="607" t="s">
        <v>428</v>
      </c>
      <c r="B3302" s="608" t="s">
        <v>942</v>
      </c>
      <c r="C3302" s="607" t="s">
        <v>196</v>
      </c>
      <c r="D3302" s="607" t="s">
        <v>3876</v>
      </c>
      <c r="E3302" s="690">
        <v>9</v>
      </c>
      <c r="F3302" s="690"/>
      <c r="G3302" s="609" t="s">
        <v>81</v>
      </c>
      <c r="H3302" s="610">
        <v>1</v>
      </c>
      <c r="I3302" s="611">
        <v>58223.29</v>
      </c>
      <c r="J3302" s="611">
        <v>58223.29</v>
      </c>
      <c r="K3302" s="552"/>
    </row>
    <row r="3303" spans="1:11" s="89" customFormat="1" ht="25.5" customHeight="1" x14ac:dyDescent="0.3">
      <c r="A3303" s="547" t="s">
        <v>430</v>
      </c>
      <c r="B3303" s="548" t="s">
        <v>557</v>
      </c>
      <c r="C3303" s="547" t="s">
        <v>19</v>
      </c>
      <c r="D3303" s="547" t="s">
        <v>558</v>
      </c>
      <c r="E3303" s="688" t="s">
        <v>429</v>
      </c>
      <c r="F3303" s="688"/>
      <c r="G3303" s="549" t="s">
        <v>423</v>
      </c>
      <c r="H3303" s="550">
        <v>15.81</v>
      </c>
      <c r="I3303" s="551">
        <v>25.36</v>
      </c>
      <c r="J3303" s="551">
        <v>400.94</v>
      </c>
      <c r="K3303" s="546"/>
    </row>
    <row r="3304" spans="1:11" ht="38.25" customHeight="1" x14ac:dyDescent="0.3">
      <c r="A3304" s="547" t="s">
        <v>430</v>
      </c>
      <c r="B3304" s="548" t="s">
        <v>644</v>
      </c>
      <c r="C3304" s="547" t="s">
        <v>19</v>
      </c>
      <c r="D3304" s="547" t="s">
        <v>645</v>
      </c>
      <c r="E3304" s="688" t="s">
        <v>429</v>
      </c>
      <c r="F3304" s="688"/>
      <c r="G3304" s="549" t="s">
        <v>423</v>
      </c>
      <c r="H3304" s="550">
        <v>48.93</v>
      </c>
      <c r="I3304" s="551">
        <v>31.81</v>
      </c>
      <c r="J3304" s="551">
        <v>1556.46</v>
      </c>
      <c r="K3304" s="552"/>
    </row>
    <row r="3305" spans="1:11" s="89" customFormat="1" ht="25.5" customHeight="1" x14ac:dyDescent="0.3">
      <c r="A3305" s="547" t="s">
        <v>430</v>
      </c>
      <c r="B3305" s="548" t="s">
        <v>1618</v>
      </c>
      <c r="C3305" s="547" t="s">
        <v>19</v>
      </c>
      <c r="D3305" s="547" t="s">
        <v>1619</v>
      </c>
      <c r="E3305" s="688" t="s">
        <v>461</v>
      </c>
      <c r="F3305" s="688"/>
      <c r="G3305" s="549" t="s">
        <v>423</v>
      </c>
      <c r="H3305" s="550">
        <v>3.1179000000000001</v>
      </c>
      <c r="I3305" s="551">
        <v>0.92</v>
      </c>
      <c r="J3305" s="551">
        <v>2.86</v>
      </c>
      <c r="K3305" s="546"/>
    </row>
    <row r="3306" spans="1:11" ht="14.25" customHeight="1" x14ac:dyDescent="0.3">
      <c r="A3306" s="547" t="s">
        <v>430</v>
      </c>
      <c r="B3306" s="548" t="s">
        <v>1622</v>
      </c>
      <c r="C3306" s="547" t="s">
        <v>19</v>
      </c>
      <c r="D3306" s="547" t="s">
        <v>1623</v>
      </c>
      <c r="E3306" s="688" t="s">
        <v>461</v>
      </c>
      <c r="F3306" s="688"/>
      <c r="G3306" s="549" t="s">
        <v>423</v>
      </c>
      <c r="H3306" s="550">
        <v>10.445</v>
      </c>
      <c r="I3306" s="551">
        <v>0.01</v>
      </c>
      <c r="J3306" s="551">
        <v>0.1</v>
      </c>
      <c r="K3306" s="552"/>
    </row>
    <row r="3307" spans="1:11" s="89" customFormat="1" ht="15" customHeight="1" x14ac:dyDescent="0.3">
      <c r="A3307" s="547" t="s">
        <v>430</v>
      </c>
      <c r="B3307" s="548" t="s">
        <v>1620</v>
      </c>
      <c r="C3307" s="547" t="s">
        <v>19</v>
      </c>
      <c r="D3307" s="547" t="s">
        <v>1621</v>
      </c>
      <c r="E3307" s="688" t="s">
        <v>461</v>
      </c>
      <c r="F3307" s="688"/>
      <c r="G3307" s="549" t="s">
        <v>423</v>
      </c>
      <c r="H3307" s="550">
        <v>8.9599999999999999E-2</v>
      </c>
      <c r="I3307" s="551">
        <v>0.67</v>
      </c>
      <c r="J3307" s="551">
        <v>0.06</v>
      </c>
      <c r="K3307" s="546"/>
    </row>
    <row r="3308" spans="1:11" ht="25" x14ac:dyDescent="0.3">
      <c r="A3308" s="547" t="s">
        <v>433</v>
      </c>
      <c r="B3308" s="548" t="s">
        <v>1624</v>
      </c>
      <c r="C3308" s="547" t="s">
        <v>19</v>
      </c>
      <c r="D3308" s="547" t="s">
        <v>1625</v>
      </c>
      <c r="E3308" s="688" t="s">
        <v>438</v>
      </c>
      <c r="F3308" s="688"/>
      <c r="G3308" s="549" t="s">
        <v>81</v>
      </c>
      <c r="H3308" s="550">
        <v>8</v>
      </c>
      <c r="I3308" s="551">
        <v>61.13</v>
      </c>
      <c r="J3308" s="551">
        <v>489.04</v>
      </c>
      <c r="K3308" s="552"/>
    </row>
    <row r="3309" spans="1:11" ht="38.25" customHeight="1" x14ac:dyDescent="0.3">
      <c r="A3309" s="547" t="s">
        <v>433</v>
      </c>
      <c r="B3309" s="548" t="s">
        <v>1626</v>
      </c>
      <c r="C3309" s="547" t="s">
        <v>19</v>
      </c>
      <c r="D3309" s="547" t="s">
        <v>3922</v>
      </c>
      <c r="E3309" s="688" t="s">
        <v>438</v>
      </c>
      <c r="F3309" s="688"/>
      <c r="G3309" s="549" t="s">
        <v>424</v>
      </c>
      <c r="H3309" s="550">
        <v>1868.1</v>
      </c>
      <c r="I3309" s="551">
        <v>7.88</v>
      </c>
      <c r="J3309" s="551">
        <v>14720.62</v>
      </c>
      <c r="K3309" s="552"/>
    </row>
    <row r="3310" spans="1:11" x14ac:dyDescent="0.3">
      <c r="A3310" s="547" t="s">
        <v>433</v>
      </c>
      <c r="B3310" s="548" t="s">
        <v>1627</v>
      </c>
      <c r="C3310" s="547" t="s">
        <v>19</v>
      </c>
      <c r="D3310" s="547" t="s">
        <v>1628</v>
      </c>
      <c r="E3310" s="688" t="s">
        <v>438</v>
      </c>
      <c r="F3310" s="688"/>
      <c r="G3310" s="549" t="s">
        <v>424</v>
      </c>
      <c r="H3310" s="550">
        <v>45.92</v>
      </c>
      <c r="I3310" s="551">
        <v>40.590000000000003</v>
      </c>
      <c r="J3310" s="551">
        <v>1863.89</v>
      </c>
      <c r="K3310" s="552"/>
    </row>
    <row r="3311" spans="1:11" ht="37.5" x14ac:dyDescent="0.3">
      <c r="A3311" s="547" t="s">
        <v>433</v>
      </c>
      <c r="B3311" s="548" t="s">
        <v>1629</v>
      </c>
      <c r="C3311" s="547" t="s">
        <v>19</v>
      </c>
      <c r="D3311" s="547" t="s">
        <v>1630</v>
      </c>
      <c r="E3311" s="688" t="s">
        <v>788</v>
      </c>
      <c r="F3311" s="688"/>
      <c r="G3311" s="549" t="s">
        <v>81</v>
      </c>
      <c r="H3311" s="550">
        <v>34.201000000000001</v>
      </c>
      <c r="I3311" s="551">
        <v>849.9</v>
      </c>
      <c r="J3311" s="551">
        <v>29067.42</v>
      </c>
      <c r="K3311" s="552"/>
    </row>
    <row r="3312" spans="1:11" ht="25" x14ac:dyDescent="0.3">
      <c r="A3312" s="547" t="s">
        <v>433</v>
      </c>
      <c r="B3312" s="548" t="s">
        <v>1631</v>
      </c>
      <c r="C3312" s="547" t="s">
        <v>19</v>
      </c>
      <c r="D3312" s="547" t="s">
        <v>1632</v>
      </c>
      <c r="E3312" s="688" t="s">
        <v>438</v>
      </c>
      <c r="F3312" s="688"/>
      <c r="G3312" s="549" t="s">
        <v>173</v>
      </c>
      <c r="H3312" s="550">
        <v>8</v>
      </c>
      <c r="I3312" s="551">
        <v>1100.6400000000001</v>
      </c>
      <c r="J3312" s="551">
        <v>8805.1200000000008</v>
      </c>
      <c r="K3312" s="552"/>
    </row>
    <row r="3313" spans="1:11" s="89" customFormat="1" ht="25.5" thickBot="1" x14ac:dyDescent="0.35">
      <c r="A3313" s="547" t="s">
        <v>433</v>
      </c>
      <c r="B3313" s="548" t="s">
        <v>1633</v>
      </c>
      <c r="C3313" s="547" t="s">
        <v>19</v>
      </c>
      <c r="D3313" s="547" t="s">
        <v>3923</v>
      </c>
      <c r="E3313" s="688" t="s">
        <v>438</v>
      </c>
      <c r="F3313" s="688"/>
      <c r="G3313" s="549" t="s">
        <v>173</v>
      </c>
      <c r="H3313" s="550">
        <v>2.4</v>
      </c>
      <c r="I3313" s="551">
        <v>548.66</v>
      </c>
      <c r="J3313" s="551">
        <v>1316.78</v>
      </c>
      <c r="K3313" s="546"/>
    </row>
    <row r="3314" spans="1:11" ht="14.5" thickTop="1" x14ac:dyDescent="0.3">
      <c r="A3314" s="562"/>
      <c r="B3314" s="562"/>
      <c r="C3314" s="562"/>
      <c r="D3314" s="562"/>
      <c r="E3314" s="562"/>
      <c r="F3314" s="562"/>
      <c r="G3314" s="562"/>
      <c r="H3314" s="562"/>
      <c r="I3314" s="562"/>
      <c r="J3314" s="562"/>
      <c r="K3314" s="552"/>
    </row>
    <row r="3315" spans="1:11" x14ac:dyDescent="0.3">
      <c r="A3315" s="553"/>
      <c r="B3315" s="554" t="s">
        <v>4</v>
      </c>
      <c r="C3315" s="553" t="s">
        <v>5</v>
      </c>
      <c r="D3315" s="553" t="s">
        <v>6</v>
      </c>
      <c r="E3315" s="691" t="s">
        <v>427</v>
      </c>
      <c r="F3315" s="691"/>
      <c r="G3315" s="555" t="s">
        <v>7</v>
      </c>
      <c r="H3315" s="554" t="s">
        <v>8</v>
      </c>
      <c r="I3315" s="554" t="s">
        <v>9</v>
      </c>
      <c r="J3315" s="554" t="s">
        <v>11</v>
      </c>
      <c r="K3315" s="552"/>
    </row>
    <row r="3316" spans="1:11" ht="14.25" customHeight="1" x14ac:dyDescent="0.3">
      <c r="A3316" s="607" t="s">
        <v>428</v>
      </c>
      <c r="B3316" s="608" t="s">
        <v>941</v>
      </c>
      <c r="C3316" s="607" t="s">
        <v>196</v>
      </c>
      <c r="D3316" s="607" t="s">
        <v>3875</v>
      </c>
      <c r="E3316" s="690">
        <v>9</v>
      </c>
      <c r="F3316" s="690"/>
      <c r="G3316" s="609" t="s">
        <v>81</v>
      </c>
      <c r="H3316" s="610">
        <v>1</v>
      </c>
      <c r="I3316" s="611">
        <v>86644.36</v>
      </c>
      <c r="J3316" s="611">
        <v>86644.36</v>
      </c>
      <c r="K3316" s="552"/>
    </row>
    <row r="3317" spans="1:11" ht="25.5" customHeight="1" x14ac:dyDescent="0.3">
      <c r="A3317" s="547" t="s">
        <v>430</v>
      </c>
      <c r="B3317" s="548" t="s">
        <v>557</v>
      </c>
      <c r="C3317" s="547" t="s">
        <v>19</v>
      </c>
      <c r="D3317" s="547" t="s">
        <v>558</v>
      </c>
      <c r="E3317" s="688" t="s">
        <v>429</v>
      </c>
      <c r="F3317" s="688"/>
      <c r="G3317" s="549" t="s">
        <v>423</v>
      </c>
      <c r="H3317" s="550">
        <v>22.66</v>
      </c>
      <c r="I3317" s="551">
        <v>25.36</v>
      </c>
      <c r="J3317" s="551">
        <v>574.65</v>
      </c>
      <c r="K3317" s="552"/>
    </row>
    <row r="3318" spans="1:11" ht="38.25" customHeight="1" x14ac:dyDescent="0.3">
      <c r="A3318" s="547" t="s">
        <v>430</v>
      </c>
      <c r="B3318" s="548" t="s">
        <v>644</v>
      </c>
      <c r="C3318" s="547" t="s">
        <v>19</v>
      </c>
      <c r="D3318" s="547" t="s">
        <v>645</v>
      </c>
      <c r="E3318" s="688" t="s">
        <v>429</v>
      </c>
      <c r="F3318" s="688"/>
      <c r="G3318" s="549" t="s">
        <v>423</v>
      </c>
      <c r="H3318" s="550">
        <v>77.099999999999994</v>
      </c>
      <c r="I3318" s="551">
        <v>31.81</v>
      </c>
      <c r="J3318" s="551">
        <v>2452.5500000000002</v>
      </c>
      <c r="K3318" s="552"/>
    </row>
    <row r="3319" spans="1:11" ht="25.5" customHeight="1" x14ac:dyDescent="0.3">
      <c r="A3319" s="547" t="s">
        <v>430</v>
      </c>
      <c r="B3319" s="548" t="s">
        <v>1618</v>
      </c>
      <c r="C3319" s="547" t="s">
        <v>19</v>
      </c>
      <c r="D3319" s="547" t="s">
        <v>1619</v>
      </c>
      <c r="E3319" s="688" t="s">
        <v>461</v>
      </c>
      <c r="F3319" s="688"/>
      <c r="G3319" s="549" t="s">
        <v>423</v>
      </c>
      <c r="H3319" s="550">
        <v>4.6768000000000001</v>
      </c>
      <c r="I3319" s="551">
        <v>0.92</v>
      </c>
      <c r="J3319" s="551">
        <v>4.3</v>
      </c>
      <c r="K3319" s="552"/>
    </row>
    <row r="3320" spans="1:11" s="89" customFormat="1" ht="38.25" customHeight="1" x14ac:dyDescent="0.3">
      <c r="A3320" s="547" t="s">
        <v>430</v>
      </c>
      <c r="B3320" s="548" t="s">
        <v>1622</v>
      </c>
      <c r="C3320" s="547" t="s">
        <v>19</v>
      </c>
      <c r="D3320" s="547" t="s">
        <v>1623</v>
      </c>
      <c r="E3320" s="688" t="s">
        <v>461</v>
      </c>
      <c r="F3320" s="688"/>
      <c r="G3320" s="549" t="s">
        <v>423</v>
      </c>
      <c r="H3320" s="550">
        <v>13.864000000000001</v>
      </c>
      <c r="I3320" s="551">
        <v>0.01</v>
      </c>
      <c r="J3320" s="551">
        <v>0.13</v>
      </c>
      <c r="K3320" s="546"/>
    </row>
    <row r="3321" spans="1:11" s="89" customFormat="1" ht="62.5" x14ac:dyDescent="0.3">
      <c r="A3321" s="547" t="s">
        <v>430</v>
      </c>
      <c r="B3321" s="548" t="s">
        <v>1620</v>
      </c>
      <c r="C3321" s="547" t="s">
        <v>19</v>
      </c>
      <c r="D3321" s="547" t="s">
        <v>1621</v>
      </c>
      <c r="E3321" s="688" t="s">
        <v>461</v>
      </c>
      <c r="F3321" s="688"/>
      <c r="G3321" s="549" t="s">
        <v>423</v>
      </c>
      <c r="H3321" s="550">
        <v>0.112</v>
      </c>
      <c r="I3321" s="551">
        <v>0.67</v>
      </c>
      <c r="J3321" s="551">
        <v>7.0000000000000007E-2</v>
      </c>
      <c r="K3321" s="546"/>
    </row>
    <row r="3322" spans="1:11" s="89" customFormat="1" ht="15" customHeight="1" x14ac:dyDescent="0.3">
      <c r="A3322" s="547" t="s">
        <v>433</v>
      </c>
      <c r="B3322" s="548" t="s">
        <v>1624</v>
      </c>
      <c r="C3322" s="547" t="s">
        <v>19</v>
      </c>
      <c r="D3322" s="547" t="s">
        <v>1625</v>
      </c>
      <c r="E3322" s="688" t="s">
        <v>438</v>
      </c>
      <c r="F3322" s="688"/>
      <c r="G3322" s="549" t="s">
        <v>81</v>
      </c>
      <c r="H3322" s="550">
        <v>10</v>
      </c>
      <c r="I3322" s="551">
        <v>61.13</v>
      </c>
      <c r="J3322" s="551">
        <v>611.29999999999995</v>
      </c>
      <c r="K3322" s="546"/>
    </row>
    <row r="3323" spans="1:11" x14ac:dyDescent="0.3">
      <c r="A3323" s="547" t="s">
        <v>433</v>
      </c>
      <c r="B3323" s="548" t="s">
        <v>1626</v>
      </c>
      <c r="C3323" s="547" t="s">
        <v>19</v>
      </c>
      <c r="D3323" s="547" t="s">
        <v>3922</v>
      </c>
      <c r="E3323" s="688" t="s">
        <v>438</v>
      </c>
      <c r="F3323" s="688"/>
      <c r="G3323" s="549" t="s">
        <v>424</v>
      </c>
      <c r="H3323" s="550">
        <v>2740.4</v>
      </c>
      <c r="I3323" s="551">
        <v>7.88</v>
      </c>
      <c r="J3323" s="551">
        <v>21594.35</v>
      </c>
      <c r="K3323" s="552"/>
    </row>
    <row r="3324" spans="1:11" ht="25.5" customHeight="1" x14ac:dyDescent="0.3">
      <c r="A3324" s="547" t="s">
        <v>433</v>
      </c>
      <c r="B3324" s="548" t="s">
        <v>1627</v>
      </c>
      <c r="C3324" s="547" t="s">
        <v>19</v>
      </c>
      <c r="D3324" s="547" t="s">
        <v>1628</v>
      </c>
      <c r="E3324" s="688" t="s">
        <v>438</v>
      </c>
      <c r="F3324" s="688"/>
      <c r="G3324" s="549" t="s">
        <v>424</v>
      </c>
      <c r="H3324" s="550">
        <v>72.680999999999997</v>
      </c>
      <c r="I3324" s="551">
        <v>40.590000000000003</v>
      </c>
      <c r="J3324" s="551">
        <v>2950.12</v>
      </c>
      <c r="K3324" s="552"/>
    </row>
    <row r="3325" spans="1:11" ht="37.5" x14ac:dyDescent="0.3">
      <c r="A3325" s="547" t="s">
        <v>433</v>
      </c>
      <c r="B3325" s="548" t="s">
        <v>1629</v>
      </c>
      <c r="C3325" s="547" t="s">
        <v>19</v>
      </c>
      <c r="D3325" s="547" t="s">
        <v>1630</v>
      </c>
      <c r="E3325" s="688" t="s">
        <v>788</v>
      </c>
      <c r="F3325" s="688"/>
      <c r="G3325" s="549" t="s">
        <v>81</v>
      </c>
      <c r="H3325" s="550">
        <v>53.893999999999998</v>
      </c>
      <c r="I3325" s="551">
        <v>849.9</v>
      </c>
      <c r="J3325" s="551">
        <v>45804.51</v>
      </c>
      <c r="K3325" s="552"/>
    </row>
    <row r="3326" spans="1:11" ht="25" x14ac:dyDescent="0.3">
      <c r="A3326" s="547" t="s">
        <v>433</v>
      </c>
      <c r="B3326" s="548" t="s">
        <v>1631</v>
      </c>
      <c r="C3326" s="547" t="s">
        <v>19</v>
      </c>
      <c r="D3326" s="547" t="s">
        <v>1632</v>
      </c>
      <c r="E3326" s="688" t="s">
        <v>438</v>
      </c>
      <c r="F3326" s="688"/>
      <c r="G3326" s="549" t="s">
        <v>173</v>
      </c>
      <c r="H3326" s="550">
        <v>10</v>
      </c>
      <c r="I3326" s="551">
        <v>1100.6400000000001</v>
      </c>
      <c r="J3326" s="551">
        <v>11006.4</v>
      </c>
      <c r="K3326" s="552"/>
    </row>
    <row r="3327" spans="1:11" ht="25.5" thickBot="1" x14ac:dyDescent="0.35">
      <c r="A3327" s="547" t="s">
        <v>433</v>
      </c>
      <c r="B3327" s="548" t="s">
        <v>1633</v>
      </c>
      <c r="C3327" s="547" t="s">
        <v>19</v>
      </c>
      <c r="D3327" s="547" t="s">
        <v>3923</v>
      </c>
      <c r="E3327" s="688" t="s">
        <v>438</v>
      </c>
      <c r="F3327" s="688"/>
      <c r="G3327" s="549" t="s">
        <v>173</v>
      </c>
      <c r="H3327" s="550">
        <v>3</v>
      </c>
      <c r="I3327" s="551">
        <v>548.66</v>
      </c>
      <c r="J3327" s="551">
        <v>1645.98</v>
      </c>
      <c r="K3327" s="552"/>
    </row>
    <row r="3328" spans="1:11" ht="14.5" thickTop="1" x14ac:dyDescent="0.3">
      <c r="A3328" s="562"/>
      <c r="B3328" s="562"/>
      <c r="C3328" s="562"/>
      <c r="D3328" s="562"/>
      <c r="E3328" s="562"/>
      <c r="F3328" s="562"/>
      <c r="G3328" s="562"/>
      <c r="H3328" s="562"/>
      <c r="I3328" s="562"/>
      <c r="J3328" s="562"/>
      <c r="K3328" s="552"/>
    </row>
    <row r="3329" spans="1:11" x14ac:dyDescent="0.3">
      <c r="A3329" s="553"/>
      <c r="B3329" s="554" t="s">
        <v>4</v>
      </c>
      <c r="C3329" s="553" t="s">
        <v>5</v>
      </c>
      <c r="D3329" s="553" t="s">
        <v>6</v>
      </c>
      <c r="E3329" s="691" t="s">
        <v>427</v>
      </c>
      <c r="F3329" s="691"/>
      <c r="G3329" s="555" t="s">
        <v>7</v>
      </c>
      <c r="H3329" s="554" t="s">
        <v>8</v>
      </c>
      <c r="I3329" s="554" t="s">
        <v>9</v>
      </c>
      <c r="J3329" s="554" t="s">
        <v>11</v>
      </c>
      <c r="K3329" s="552"/>
    </row>
    <row r="3330" spans="1:11" ht="14.25" customHeight="1" x14ac:dyDescent="0.3">
      <c r="A3330" s="607" t="s">
        <v>428</v>
      </c>
      <c r="B3330" s="608" t="s">
        <v>939</v>
      </c>
      <c r="C3330" s="607" t="s">
        <v>196</v>
      </c>
      <c r="D3330" s="607" t="s">
        <v>3871</v>
      </c>
      <c r="E3330" s="690">
        <v>9</v>
      </c>
      <c r="F3330" s="690"/>
      <c r="G3330" s="609" t="s">
        <v>81</v>
      </c>
      <c r="H3330" s="610">
        <v>1</v>
      </c>
      <c r="I3330" s="611">
        <v>81375.740000000005</v>
      </c>
      <c r="J3330" s="611">
        <v>81375.740000000005</v>
      </c>
      <c r="K3330" s="552"/>
    </row>
    <row r="3331" spans="1:11" ht="25.5" customHeight="1" x14ac:dyDescent="0.3">
      <c r="A3331" s="547" t="s">
        <v>430</v>
      </c>
      <c r="B3331" s="548" t="s">
        <v>557</v>
      </c>
      <c r="C3331" s="547" t="s">
        <v>19</v>
      </c>
      <c r="D3331" s="547" t="s">
        <v>558</v>
      </c>
      <c r="E3331" s="688" t="s">
        <v>429</v>
      </c>
      <c r="F3331" s="688"/>
      <c r="G3331" s="549" t="s">
        <v>423</v>
      </c>
      <c r="H3331" s="550">
        <v>22.31</v>
      </c>
      <c r="I3331" s="551">
        <v>25.36</v>
      </c>
      <c r="J3331" s="551">
        <v>565.78</v>
      </c>
      <c r="K3331" s="552"/>
    </row>
    <row r="3332" spans="1:11" ht="38.25" customHeight="1" x14ac:dyDescent="0.3">
      <c r="A3332" s="547" t="s">
        <v>430</v>
      </c>
      <c r="B3332" s="548" t="s">
        <v>644</v>
      </c>
      <c r="C3332" s="547" t="s">
        <v>19</v>
      </c>
      <c r="D3332" s="547" t="s">
        <v>645</v>
      </c>
      <c r="E3332" s="688" t="s">
        <v>429</v>
      </c>
      <c r="F3332" s="688"/>
      <c r="G3332" s="549" t="s">
        <v>423</v>
      </c>
      <c r="H3332" s="550">
        <v>77.099999999999994</v>
      </c>
      <c r="I3332" s="551">
        <v>31.81</v>
      </c>
      <c r="J3332" s="551">
        <v>2452.5500000000002</v>
      </c>
      <c r="K3332" s="552"/>
    </row>
    <row r="3333" spans="1:11" s="89" customFormat="1" ht="25.5" customHeight="1" x14ac:dyDescent="0.3">
      <c r="A3333" s="547" t="s">
        <v>430</v>
      </c>
      <c r="B3333" s="548" t="s">
        <v>1618</v>
      </c>
      <c r="C3333" s="547" t="s">
        <v>19</v>
      </c>
      <c r="D3333" s="547" t="s">
        <v>1619</v>
      </c>
      <c r="E3333" s="688" t="s">
        <v>461</v>
      </c>
      <c r="F3333" s="688"/>
      <c r="G3333" s="549" t="s">
        <v>423</v>
      </c>
      <c r="H3333" s="550">
        <v>4.5654000000000003</v>
      </c>
      <c r="I3333" s="551">
        <v>0.92</v>
      </c>
      <c r="J3333" s="551">
        <v>4.2</v>
      </c>
      <c r="K3333" s="546"/>
    </row>
    <row r="3334" spans="1:11" ht="38.25" customHeight="1" x14ac:dyDescent="0.3">
      <c r="A3334" s="547" t="s">
        <v>430</v>
      </c>
      <c r="B3334" s="548" t="s">
        <v>1622</v>
      </c>
      <c r="C3334" s="547" t="s">
        <v>19</v>
      </c>
      <c r="D3334" s="547" t="s">
        <v>1623</v>
      </c>
      <c r="E3334" s="688" t="s">
        <v>461</v>
      </c>
      <c r="F3334" s="688"/>
      <c r="G3334" s="549" t="s">
        <v>423</v>
      </c>
      <c r="H3334" s="550">
        <v>14.981</v>
      </c>
      <c r="I3334" s="551">
        <v>0.01</v>
      </c>
      <c r="J3334" s="551">
        <v>0.14000000000000001</v>
      </c>
      <c r="K3334" s="552"/>
    </row>
    <row r="3335" spans="1:11" s="89" customFormat="1" ht="62.5" x14ac:dyDescent="0.3">
      <c r="A3335" s="547" t="s">
        <v>430</v>
      </c>
      <c r="B3335" s="548" t="s">
        <v>1620</v>
      </c>
      <c r="C3335" s="547" t="s">
        <v>19</v>
      </c>
      <c r="D3335" s="547" t="s">
        <v>1621</v>
      </c>
      <c r="E3335" s="688" t="s">
        <v>461</v>
      </c>
      <c r="F3335" s="688"/>
      <c r="G3335" s="549" t="s">
        <v>423</v>
      </c>
      <c r="H3335" s="550">
        <v>0.112</v>
      </c>
      <c r="I3335" s="551">
        <v>0.67</v>
      </c>
      <c r="J3335" s="551">
        <v>7.0000000000000007E-2</v>
      </c>
      <c r="K3335" s="546"/>
    </row>
    <row r="3336" spans="1:11" ht="25" x14ac:dyDescent="0.3">
      <c r="A3336" s="547" t="s">
        <v>433</v>
      </c>
      <c r="B3336" s="548" t="s">
        <v>1624</v>
      </c>
      <c r="C3336" s="547" t="s">
        <v>19</v>
      </c>
      <c r="D3336" s="547" t="s">
        <v>1625</v>
      </c>
      <c r="E3336" s="688" t="s">
        <v>438</v>
      </c>
      <c r="F3336" s="688"/>
      <c r="G3336" s="549" t="s">
        <v>81</v>
      </c>
      <c r="H3336" s="550">
        <v>10</v>
      </c>
      <c r="I3336" s="551">
        <v>61.13</v>
      </c>
      <c r="J3336" s="551">
        <v>611.29999999999995</v>
      </c>
      <c r="K3336" s="552"/>
    </row>
    <row r="3337" spans="1:11" s="89" customFormat="1" x14ac:dyDescent="0.3">
      <c r="A3337" s="547" t="s">
        <v>433</v>
      </c>
      <c r="B3337" s="548" t="s">
        <v>1626</v>
      </c>
      <c r="C3337" s="547" t="s">
        <v>19</v>
      </c>
      <c r="D3337" s="547" t="s">
        <v>3922</v>
      </c>
      <c r="E3337" s="688" t="s">
        <v>438</v>
      </c>
      <c r="F3337" s="688"/>
      <c r="G3337" s="549" t="s">
        <v>424</v>
      </c>
      <c r="H3337" s="550">
        <v>2740.4</v>
      </c>
      <c r="I3337" s="551">
        <v>7.88</v>
      </c>
      <c r="J3337" s="551">
        <v>21594.35</v>
      </c>
      <c r="K3337" s="546"/>
    </row>
    <row r="3338" spans="1:11" x14ac:dyDescent="0.3">
      <c r="A3338" s="547" t="s">
        <v>433</v>
      </c>
      <c r="B3338" s="548" t="s">
        <v>1627</v>
      </c>
      <c r="C3338" s="547" t="s">
        <v>19</v>
      </c>
      <c r="D3338" s="547" t="s">
        <v>1628</v>
      </c>
      <c r="E3338" s="688" t="s">
        <v>438</v>
      </c>
      <c r="F3338" s="688"/>
      <c r="G3338" s="549" t="s">
        <v>424</v>
      </c>
      <c r="H3338" s="550">
        <v>78.680999999999997</v>
      </c>
      <c r="I3338" s="551">
        <v>40.590000000000003</v>
      </c>
      <c r="J3338" s="551">
        <v>3193.66</v>
      </c>
      <c r="K3338" s="552"/>
    </row>
    <row r="3339" spans="1:11" ht="14.25" customHeight="1" x14ac:dyDescent="0.3">
      <c r="A3339" s="547" t="s">
        <v>433</v>
      </c>
      <c r="B3339" s="548" t="s">
        <v>1629</v>
      </c>
      <c r="C3339" s="547" t="s">
        <v>19</v>
      </c>
      <c r="D3339" s="547" t="s">
        <v>1630</v>
      </c>
      <c r="E3339" s="688" t="s">
        <v>788</v>
      </c>
      <c r="F3339" s="688"/>
      <c r="G3339" s="549" t="s">
        <v>81</v>
      </c>
      <c r="H3339" s="550">
        <v>53.893999999999998</v>
      </c>
      <c r="I3339" s="551">
        <v>849.9</v>
      </c>
      <c r="J3339" s="551">
        <v>45804.51</v>
      </c>
      <c r="K3339" s="552"/>
    </row>
    <row r="3340" spans="1:11" ht="25" x14ac:dyDescent="0.3">
      <c r="A3340" s="547" t="s">
        <v>433</v>
      </c>
      <c r="B3340" s="548" t="s">
        <v>1631</v>
      </c>
      <c r="C3340" s="547" t="s">
        <v>19</v>
      </c>
      <c r="D3340" s="547" t="s">
        <v>1632</v>
      </c>
      <c r="E3340" s="688" t="s">
        <v>438</v>
      </c>
      <c r="F3340" s="688"/>
      <c r="G3340" s="549" t="s">
        <v>173</v>
      </c>
      <c r="H3340" s="550">
        <v>5</v>
      </c>
      <c r="I3340" s="551">
        <v>1100.6400000000001</v>
      </c>
      <c r="J3340" s="551">
        <v>5503.2</v>
      </c>
      <c r="K3340" s="552"/>
    </row>
    <row r="3341" spans="1:11" s="89" customFormat="1" ht="38.25" customHeight="1" thickBot="1" x14ac:dyDescent="0.35">
      <c r="A3341" s="547" t="s">
        <v>433</v>
      </c>
      <c r="B3341" s="548" t="s">
        <v>1633</v>
      </c>
      <c r="C3341" s="547" t="s">
        <v>19</v>
      </c>
      <c r="D3341" s="547" t="s">
        <v>3923</v>
      </c>
      <c r="E3341" s="688" t="s">
        <v>438</v>
      </c>
      <c r="F3341" s="688"/>
      <c r="G3341" s="549" t="s">
        <v>173</v>
      </c>
      <c r="H3341" s="550">
        <v>3</v>
      </c>
      <c r="I3341" s="551">
        <v>548.66</v>
      </c>
      <c r="J3341" s="551">
        <v>1645.98</v>
      </c>
      <c r="K3341" s="546"/>
    </row>
    <row r="3342" spans="1:11" ht="14.5" thickTop="1" x14ac:dyDescent="0.3">
      <c r="A3342" s="562"/>
      <c r="B3342" s="562"/>
      <c r="C3342" s="562"/>
      <c r="D3342" s="562"/>
      <c r="E3342" s="562"/>
      <c r="F3342" s="562"/>
      <c r="G3342" s="562"/>
      <c r="H3342" s="562"/>
      <c r="I3342" s="562"/>
      <c r="J3342" s="562"/>
      <c r="K3342" s="552"/>
    </row>
    <row r="3343" spans="1:11" x14ac:dyDescent="0.3">
      <c r="A3343" s="553"/>
      <c r="B3343" s="554" t="s">
        <v>4</v>
      </c>
      <c r="C3343" s="553" t="s">
        <v>5</v>
      </c>
      <c r="D3343" s="553" t="s">
        <v>6</v>
      </c>
      <c r="E3343" s="691" t="s">
        <v>427</v>
      </c>
      <c r="F3343" s="691"/>
      <c r="G3343" s="555" t="s">
        <v>7</v>
      </c>
      <c r="H3343" s="554" t="s">
        <v>8</v>
      </c>
      <c r="I3343" s="554" t="s">
        <v>9</v>
      </c>
      <c r="J3343" s="554" t="s">
        <v>11</v>
      </c>
      <c r="K3343" s="552"/>
    </row>
    <row r="3344" spans="1:11" ht="14.25" customHeight="1" x14ac:dyDescent="0.3">
      <c r="A3344" s="607" t="s">
        <v>428</v>
      </c>
      <c r="B3344" s="608" t="s">
        <v>669</v>
      </c>
      <c r="C3344" s="607" t="s">
        <v>19</v>
      </c>
      <c r="D3344" s="607" t="s">
        <v>3521</v>
      </c>
      <c r="E3344" s="690" t="s">
        <v>670</v>
      </c>
      <c r="F3344" s="690"/>
      <c r="G3344" s="609" t="s">
        <v>173</v>
      </c>
      <c r="H3344" s="610">
        <v>1</v>
      </c>
      <c r="I3344" s="611">
        <v>10.73</v>
      </c>
      <c r="J3344" s="611">
        <v>10.73</v>
      </c>
      <c r="K3344" s="552"/>
    </row>
    <row r="3345" spans="1:11" ht="25.5" customHeight="1" x14ac:dyDescent="0.3">
      <c r="A3345" s="547" t="s">
        <v>430</v>
      </c>
      <c r="B3345" s="548" t="s">
        <v>1195</v>
      </c>
      <c r="C3345" s="547" t="s">
        <v>19</v>
      </c>
      <c r="D3345" s="547" t="s">
        <v>1196</v>
      </c>
      <c r="E3345" s="688" t="s">
        <v>429</v>
      </c>
      <c r="F3345" s="688"/>
      <c r="G3345" s="549" t="s">
        <v>423</v>
      </c>
      <c r="H3345" s="550">
        <v>4.8000000000000001E-2</v>
      </c>
      <c r="I3345" s="551">
        <v>23.63</v>
      </c>
      <c r="J3345" s="551">
        <v>1.1299999999999999</v>
      </c>
      <c r="K3345" s="552"/>
    </row>
    <row r="3346" spans="1:11" s="89" customFormat="1" ht="38.25" customHeight="1" x14ac:dyDescent="0.3">
      <c r="A3346" s="547" t="s">
        <v>430</v>
      </c>
      <c r="B3346" s="548" t="s">
        <v>789</v>
      </c>
      <c r="C3346" s="547" t="s">
        <v>19</v>
      </c>
      <c r="D3346" s="547" t="s">
        <v>790</v>
      </c>
      <c r="E3346" s="688" t="s">
        <v>429</v>
      </c>
      <c r="F3346" s="688"/>
      <c r="G3346" s="549" t="s">
        <v>423</v>
      </c>
      <c r="H3346" s="550">
        <v>0.2114</v>
      </c>
      <c r="I3346" s="551">
        <v>30.33</v>
      </c>
      <c r="J3346" s="551">
        <v>6.41</v>
      </c>
      <c r="K3346" s="546"/>
    </row>
    <row r="3347" spans="1:11" ht="25.5" thickBot="1" x14ac:dyDescent="0.35">
      <c r="A3347" s="547" t="s">
        <v>433</v>
      </c>
      <c r="B3347" s="548" t="s">
        <v>771</v>
      </c>
      <c r="C3347" s="547" t="s">
        <v>19</v>
      </c>
      <c r="D3347" s="547" t="s">
        <v>772</v>
      </c>
      <c r="E3347" s="688" t="s">
        <v>438</v>
      </c>
      <c r="F3347" s="688"/>
      <c r="G3347" s="549" t="s">
        <v>81</v>
      </c>
      <c r="H3347" s="550">
        <v>1.7857000000000001</v>
      </c>
      <c r="I3347" s="551">
        <v>1.79</v>
      </c>
      <c r="J3347" s="551">
        <v>3.19</v>
      </c>
      <c r="K3347" s="552"/>
    </row>
    <row r="3348" spans="1:11" s="89" customFormat="1" ht="14.5" thickTop="1" x14ac:dyDescent="0.3">
      <c r="A3348" s="562"/>
      <c r="B3348" s="562"/>
      <c r="C3348" s="562"/>
      <c r="D3348" s="562"/>
      <c r="E3348" s="562"/>
      <c r="F3348" s="562"/>
      <c r="G3348" s="562"/>
      <c r="H3348" s="562"/>
      <c r="I3348" s="562"/>
      <c r="J3348" s="562"/>
      <c r="K3348" s="546"/>
    </row>
    <row r="3349" spans="1:11" x14ac:dyDescent="0.3">
      <c r="A3349" s="553"/>
      <c r="B3349" s="554" t="s">
        <v>4</v>
      </c>
      <c r="C3349" s="553" t="s">
        <v>5</v>
      </c>
      <c r="D3349" s="553" t="s">
        <v>6</v>
      </c>
      <c r="E3349" s="691" t="s">
        <v>427</v>
      </c>
      <c r="F3349" s="691"/>
      <c r="G3349" s="555" t="s">
        <v>7</v>
      </c>
      <c r="H3349" s="554" t="s">
        <v>8</v>
      </c>
      <c r="I3349" s="554" t="s">
        <v>9</v>
      </c>
      <c r="J3349" s="554" t="s">
        <v>11</v>
      </c>
      <c r="K3349" s="552"/>
    </row>
    <row r="3350" spans="1:11" ht="50" x14ac:dyDescent="0.3">
      <c r="A3350" s="607" t="s">
        <v>428</v>
      </c>
      <c r="B3350" s="608" t="s">
        <v>671</v>
      </c>
      <c r="C3350" s="607" t="s">
        <v>19</v>
      </c>
      <c r="D3350" s="607" t="s">
        <v>3522</v>
      </c>
      <c r="E3350" s="690" t="s">
        <v>670</v>
      </c>
      <c r="F3350" s="690"/>
      <c r="G3350" s="609" t="s">
        <v>173</v>
      </c>
      <c r="H3350" s="610">
        <v>1</v>
      </c>
      <c r="I3350" s="611">
        <v>4</v>
      </c>
      <c r="J3350" s="611">
        <v>4</v>
      </c>
      <c r="K3350" s="552"/>
    </row>
    <row r="3351" spans="1:11" ht="25" x14ac:dyDescent="0.3">
      <c r="A3351" s="547" t="s">
        <v>430</v>
      </c>
      <c r="B3351" s="548" t="s">
        <v>1195</v>
      </c>
      <c r="C3351" s="547" t="s">
        <v>19</v>
      </c>
      <c r="D3351" s="547" t="s">
        <v>1196</v>
      </c>
      <c r="E3351" s="688" t="s">
        <v>429</v>
      </c>
      <c r="F3351" s="688"/>
      <c r="G3351" s="549" t="s">
        <v>423</v>
      </c>
      <c r="H3351" s="550">
        <v>1.7899999999999999E-2</v>
      </c>
      <c r="I3351" s="551">
        <v>23.63</v>
      </c>
      <c r="J3351" s="551">
        <v>0.42</v>
      </c>
      <c r="K3351" s="552"/>
    </row>
    <row r="3352" spans="1:11" s="89" customFormat="1" ht="25" x14ac:dyDescent="0.3">
      <c r="A3352" s="547" t="s">
        <v>430</v>
      </c>
      <c r="B3352" s="548" t="s">
        <v>789</v>
      </c>
      <c r="C3352" s="547" t="s">
        <v>19</v>
      </c>
      <c r="D3352" s="547" t="s">
        <v>790</v>
      </c>
      <c r="E3352" s="688" t="s">
        <v>429</v>
      </c>
      <c r="F3352" s="688"/>
      <c r="G3352" s="549" t="s">
        <v>423</v>
      </c>
      <c r="H3352" s="550">
        <v>7.8899999999999998E-2</v>
      </c>
      <c r="I3352" s="551">
        <v>30.33</v>
      </c>
      <c r="J3352" s="551">
        <v>2.39</v>
      </c>
      <c r="K3352" s="546"/>
    </row>
    <row r="3353" spans="1:11" s="89" customFormat="1" ht="25.5" thickBot="1" x14ac:dyDescent="0.35">
      <c r="A3353" s="547" t="s">
        <v>433</v>
      </c>
      <c r="B3353" s="548" t="s">
        <v>771</v>
      </c>
      <c r="C3353" s="547" t="s">
        <v>19</v>
      </c>
      <c r="D3353" s="547" t="s">
        <v>772</v>
      </c>
      <c r="E3353" s="688" t="s">
        <v>438</v>
      </c>
      <c r="F3353" s="688"/>
      <c r="G3353" s="549" t="s">
        <v>81</v>
      </c>
      <c r="H3353" s="550">
        <v>0.66669999999999996</v>
      </c>
      <c r="I3353" s="551">
        <v>1.79</v>
      </c>
      <c r="J3353" s="551">
        <v>1.19</v>
      </c>
      <c r="K3353" s="546"/>
    </row>
    <row r="3354" spans="1:11" ht="14.25" customHeight="1" thickTop="1" x14ac:dyDescent="0.3">
      <c r="A3354" s="562"/>
      <c r="B3354" s="562"/>
      <c r="C3354" s="562"/>
      <c r="D3354" s="562"/>
      <c r="E3354" s="562"/>
      <c r="F3354" s="562"/>
      <c r="G3354" s="562"/>
      <c r="H3354" s="562"/>
      <c r="I3354" s="562"/>
      <c r="J3354" s="562"/>
      <c r="K3354" s="552"/>
    </row>
    <row r="3355" spans="1:11" ht="14.25" customHeight="1" x14ac:dyDescent="0.3">
      <c r="A3355" s="553"/>
      <c r="B3355" s="554" t="s">
        <v>4</v>
      </c>
      <c r="C3355" s="553" t="s">
        <v>5</v>
      </c>
      <c r="D3355" s="553" t="s">
        <v>6</v>
      </c>
      <c r="E3355" s="691" t="s">
        <v>427</v>
      </c>
      <c r="F3355" s="691"/>
      <c r="G3355" s="555" t="s">
        <v>7</v>
      </c>
      <c r="H3355" s="554" t="s">
        <v>8</v>
      </c>
      <c r="I3355" s="554" t="s">
        <v>9</v>
      </c>
      <c r="J3355" s="554" t="s">
        <v>11</v>
      </c>
      <c r="K3355" s="552"/>
    </row>
    <row r="3356" spans="1:11" ht="25.5" customHeight="1" x14ac:dyDescent="0.3">
      <c r="A3356" s="607" t="s">
        <v>428</v>
      </c>
      <c r="B3356" s="608" t="s">
        <v>1620</v>
      </c>
      <c r="C3356" s="607" t="s">
        <v>19</v>
      </c>
      <c r="D3356" s="607" t="s">
        <v>1621</v>
      </c>
      <c r="E3356" s="690" t="s">
        <v>461</v>
      </c>
      <c r="F3356" s="690"/>
      <c r="G3356" s="609" t="s">
        <v>423</v>
      </c>
      <c r="H3356" s="610">
        <v>1</v>
      </c>
      <c r="I3356" s="611">
        <v>0.67</v>
      </c>
      <c r="J3356" s="611">
        <v>0.67</v>
      </c>
      <c r="K3356" s="552"/>
    </row>
    <row r="3357" spans="1:11" s="89" customFormat="1" ht="38.25" customHeight="1" thickBot="1" x14ac:dyDescent="0.35">
      <c r="A3357" s="547" t="s">
        <v>433</v>
      </c>
      <c r="B3357" s="548" t="s">
        <v>1301</v>
      </c>
      <c r="C3357" s="547" t="s">
        <v>19</v>
      </c>
      <c r="D3357" s="547" t="s">
        <v>1302</v>
      </c>
      <c r="E3357" s="688" t="s">
        <v>438</v>
      </c>
      <c r="F3357" s="688"/>
      <c r="G3357" s="549" t="s">
        <v>528</v>
      </c>
      <c r="H3357" s="550">
        <v>0.94</v>
      </c>
      <c r="I3357" s="551">
        <v>0.72</v>
      </c>
      <c r="J3357" s="551">
        <v>0.67</v>
      </c>
      <c r="K3357" s="546"/>
    </row>
    <row r="3358" spans="1:11" ht="14.25" customHeight="1" thickTop="1" x14ac:dyDescent="0.3">
      <c r="A3358" s="562"/>
      <c r="B3358" s="562"/>
      <c r="C3358" s="562"/>
      <c r="D3358" s="562"/>
      <c r="E3358" s="562"/>
      <c r="F3358" s="562"/>
      <c r="G3358" s="562"/>
      <c r="H3358" s="562"/>
      <c r="I3358" s="562"/>
      <c r="J3358" s="562"/>
      <c r="K3358" s="552"/>
    </row>
    <row r="3359" spans="1:11" s="89" customFormat="1" ht="25.5" customHeight="1" x14ac:dyDescent="0.3">
      <c r="A3359" s="553"/>
      <c r="B3359" s="554" t="s">
        <v>4</v>
      </c>
      <c r="C3359" s="553" t="s">
        <v>5</v>
      </c>
      <c r="D3359" s="553" t="s">
        <v>6</v>
      </c>
      <c r="E3359" s="691" t="s">
        <v>427</v>
      </c>
      <c r="F3359" s="691"/>
      <c r="G3359" s="555" t="s">
        <v>7</v>
      </c>
      <c r="H3359" s="554" t="s">
        <v>8</v>
      </c>
      <c r="I3359" s="554" t="s">
        <v>9</v>
      </c>
      <c r="J3359" s="554" t="s">
        <v>11</v>
      </c>
      <c r="K3359" s="546"/>
    </row>
    <row r="3360" spans="1:11" ht="38.25" customHeight="1" x14ac:dyDescent="0.3">
      <c r="A3360" s="607" t="s">
        <v>428</v>
      </c>
      <c r="B3360" s="608" t="s">
        <v>1634</v>
      </c>
      <c r="C3360" s="607" t="s">
        <v>115</v>
      </c>
      <c r="D3360" s="607" t="s">
        <v>1635</v>
      </c>
      <c r="E3360" s="690" t="s">
        <v>402</v>
      </c>
      <c r="F3360" s="690"/>
      <c r="G3360" s="609" t="s">
        <v>556</v>
      </c>
      <c r="H3360" s="610">
        <v>1</v>
      </c>
      <c r="I3360" s="611">
        <v>99.89</v>
      </c>
      <c r="J3360" s="611">
        <v>99.89</v>
      </c>
      <c r="K3360" s="552"/>
    </row>
    <row r="3361" spans="1:11" s="89" customFormat="1" ht="15" customHeight="1" x14ac:dyDescent="0.3">
      <c r="A3361" s="691" t="s">
        <v>408</v>
      </c>
      <c r="B3361" s="692" t="s">
        <v>4</v>
      </c>
      <c r="C3361" s="691" t="s">
        <v>5</v>
      </c>
      <c r="D3361" s="691" t="s">
        <v>462</v>
      </c>
      <c r="E3361" s="692" t="s">
        <v>463</v>
      </c>
      <c r="F3361" s="694" t="s">
        <v>464</v>
      </c>
      <c r="G3361" s="692"/>
      <c r="H3361" s="694" t="s">
        <v>465</v>
      </c>
      <c r="I3361" s="692"/>
      <c r="J3361" s="692" t="s">
        <v>466</v>
      </c>
      <c r="K3361" s="546"/>
    </row>
    <row r="3362" spans="1:11" x14ac:dyDescent="0.3">
      <c r="A3362" s="692"/>
      <c r="B3362" s="692"/>
      <c r="C3362" s="692"/>
      <c r="D3362" s="692"/>
      <c r="E3362" s="692"/>
      <c r="F3362" s="554" t="s">
        <v>467</v>
      </c>
      <c r="G3362" s="554" t="s">
        <v>468</v>
      </c>
      <c r="H3362" s="554" t="s">
        <v>467</v>
      </c>
      <c r="I3362" s="554" t="s">
        <v>468</v>
      </c>
      <c r="J3362" s="692"/>
      <c r="K3362" s="552"/>
    </row>
    <row r="3363" spans="1:11" s="89" customFormat="1" x14ac:dyDescent="0.3">
      <c r="A3363" s="547" t="s">
        <v>433</v>
      </c>
      <c r="B3363" s="548" t="s">
        <v>825</v>
      </c>
      <c r="C3363" s="547" t="s">
        <v>115</v>
      </c>
      <c r="D3363" s="547" t="s">
        <v>3550</v>
      </c>
      <c r="E3363" s="550">
        <v>9.3719999999999998E-2</v>
      </c>
      <c r="F3363" s="551">
        <v>1</v>
      </c>
      <c r="G3363" s="551">
        <v>0</v>
      </c>
      <c r="H3363" s="563">
        <v>18.346599999999999</v>
      </c>
      <c r="I3363" s="563">
        <v>4.6111000000000004</v>
      </c>
      <c r="J3363" s="563">
        <v>1.7194</v>
      </c>
      <c r="K3363" s="546"/>
    </row>
    <row r="3364" spans="1:11" x14ac:dyDescent="0.3">
      <c r="A3364" s="547" t="s">
        <v>433</v>
      </c>
      <c r="B3364" s="548" t="s">
        <v>826</v>
      </c>
      <c r="C3364" s="547" t="s">
        <v>115</v>
      </c>
      <c r="D3364" s="547" t="s">
        <v>827</v>
      </c>
      <c r="E3364" s="550">
        <v>9.3719999999999998E-2</v>
      </c>
      <c r="F3364" s="551">
        <v>1</v>
      </c>
      <c r="G3364" s="551">
        <v>0</v>
      </c>
      <c r="H3364" s="563">
        <v>26.159800000000001</v>
      </c>
      <c r="I3364" s="563">
        <v>25.813600000000001</v>
      </c>
      <c r="J3364" s="563">
        <v>2.4517000000000002</v>
      </c>
      <c r="K3364" s="552"/>
    </row>
    <row r="3365" spans="1:11" s="89" customFormat="1" ht="15" customHeight="1" x14ac:dyDescent="0.3">
      <c r="A3365" s="689"/>
      <c r="B3365" s="689"/>
      <c r="C3365" s="689"/>
      <c r="D3365" s="689"/>
      <c r="E3365" s="689"/>
      <c r="F3365" s="689" t="s">
        <v>471</v>
      </c>
      <c r="G3365" s="689"/>
      <c r="H3365" s="689"/>
      <c r="I3365" s="689"/>
      <c r="J3365" s="564">
        <v>4.1711</v>
      </c>
      <c r="K3365" s="546"/>
    </row>
    <row r="3366" spans="1:11" ht="14.25" customHeight="1" x14ac:dyDescent="0.3">
      <c r="A3366" s="689"/>
      <c r="B3366" s="689"/>
      <c r="C3366" s="689"/>
      <c r="D3366" s="689"/>
      <c r="E3366" s="689"/>
      <c r="F3366" s="689" t="s">
        <v>472</v>
      </c>
      <c r="G3366" s="689"/>
      <c r="H3366" s="689"/>
      <c r="I3366" s="689"/>
      <c r="J3366" s="564">
        <v>4.1711</v>
      </c>
      <c r="K3366" s="552"/>
    </row>
    <row r="3367" spans="1:11" s="89" customFormat="1" ht="15" customHeight="1" x14ac:dyDescent="0.3">
      <c r="A3367" s="689"/>
      <c r="B3367" s="689"/>
      <c r="C3367" s="689"/>
      <c r="D3367" s="689"/>
      <c r="E3367" s="689"/>
      <c r="F3367" s="689" t="s">
        <v>473</v>
      </c>
      <c r="G3367" s="689"/>
      <c r="H3367" s="689"/>
      <c r="I3367" s="689"/>
      <c r="J3367" s="564">
        <v>0</v>
      </c>
      <c r="K3367" s="546"/>
    </row>
    <row r="3368" spans="1:11" x14ac:dyDescent="0.3">
      <c r="A3368" s="689"/>
      <c r="B3368" s="689"/>
      <c r="C3368" s="689"/>
      <c r="D3368" s="689"/>
      <c r="E3368" s="689"/>
      <c r="F3368" s="689" t="s">
        <v>474</v>
      </c>
      <c r="G3368" s="689"/>
      <c r="H3368" s="689"/>
      <c r="I3368" s="689"/>
      <c r="J3368" s="564">
        <v>0</v>
      </c>
      <c r="K3368" s="552"/>
    </row>
    <row r="3369" spans="1:11" s="89" customFormat="1" ht="15" customHeight="1" x14ac:dyDescent="0.3">
      <c r="A3369" s="689"/>
      <c r="B3369" s="689"/>
      <c r="C3369" s="689"/>
      <c r="D3369" s="689"/>
      <c r="E3369" s="689"/>
      <c r="F3369" s="689" t="s">
        <v>475</v>
      </c>
      <c r="G3369" s="689"/>
      <c r="H3369" s="689"/>
      <c r="I3369" s="689"/>
      <c r="J3369" s="564">
        <v>1</v>
      </c>
      <c r="K3369" s="546"/>
    </row>
    <row r="3370" spans="1:11" ht="14.25" customHeight="1" x14ac:dyDescent="0.3">
      <c r="A3370" s="689"/>
      <c r="B3370" s="689"/>
      <c r="C3370" s="689"/>
      <c r="D3370" s="689"/>
      <c r="E3370" s="689"/>
      <c r="F3370" s="689" t="s">
        <v>476</v>
      </c>
      <c r="G3370" s="689"/>
      <c r="H3370" s="689"/>
      <c r="I3370" s="689"/>
      <c r="J3370" s="564">
        <v>4.1711</v>
      </c>
      <c r="K3370" s="552"/>
    </row>
    <row r="3371" spans="1:11" s="89" customFormat="1" ht="15" customHeight="1" x14ac:dyDescent="0.3">
      <c r="A3371" s="553" t="s">
        <v>410</v>
      </c>
      <c r="B3371" s="554" t="s">
        <v>5</v>
      </c>
      <c r="C3371" s="553" t="s">
        <v>4</v>
      </c>
      <c r="D3371" s="553" t="s">
        <v>438</v>
      </c>
      <c r="E3371" s="554" t="s">
        <v>463</v>
      </c>
      <c r="F3371" s="554" t="s">
        <v>575</v>
      </c>
      <c r="G3371" s="692" t="s">
        <v>576</v>
      </c>
      <c r="H3371" s="692"/>
      <c r="I3371" s="692"/>
      <c r="J3371" s="554" t="s">
        <v>466</v>
      </c>
      <c r="K3371" s="546"/>
    </row>
    <row r="3372" spans="1:11" ht="14.25" customHeight="1" x14ac:dyDescent="0.3">
      <c r="A3372" s="547" t="s">
        <v>433</v>
      </c>
      <c r="B3372" s="548" t="s">
        <v>115</v>
      </c>
      <c r="C3372" s="547" t="s">
        <v>828</v>
      </c>
      <c r="D3372" s="547" t="s">
        <v>829</v>
      </c>
      <c r="E3372" s="550">
        <v>0.55701000000000001</v>
      </c>
      <c r="F3372" s="549" t="s">
        <v>830</v>
      </c>
      <c r="G3372" s="693">
        <v>13.201499999999999</v>
      </c>
      <c r="H3372" s="693"/>
      <c r="I3372" s="688"/>
      <c r="J3372" s="563">
        <v>7.3533999999999997</v>
      </c>
      <c r="K3372" s="552"/>
    </row>
    <row r="3373" spans="1:11" ht="25.5" customHeight="1" x14ac:dyDescent="0.3">
      <c r="A3373" s="547" t="s">
        <v>433</v>
      </c>
      <c r="B3373" s="548" t="s">
        <v>115</v>
      </c>
      <c r="C3373" s="547" t="s">
        <v>833</v>
      </c>
      <c r="D3373" s="547" t="s">
        <v>834</v>
      </c>
      <c r="E3373" s="550">
        <v>1.8519999999999998E-2</v>
      </c>
      <c r="F3373" s="549" t="s">
        <v>835</v>
      </c>
      <c r="G3373" s="693">
        <v>13.312900000000001</v>
      </c>
      <c r="H3373" s="693"/>
      <c r="I3373" s="688"/>
      <c r="J3373" s="563">
        <v>0.24660000000000001</v>
      </c>
      <c r="K3373" s="552"/>
    </row>
    <row r="3374" spans="1:11" ht="38.25" customHeight="1" x14ac:dyDescent="0.3">
      <c r="A3374" s="547" t="s">
        <v>433</v>
      </c>
      <c r="B3374" s="548" t="s">
        <v>115</v>
      </c>
      <c r="C3374" s="547" t="s">
        <v>836</v>
      </c>
      <c r="D3374" s="547" t="s">
        <v>837</v>
      </c>
      <c r="E3374" s="550">
        <v>1.4246799999999999</v>
      </c>
      <c r="F3374" s="549" t="s">
        <v>830</v>
      </c>
      <c r="G3374" s="693">
        <v>4.0178000000000003</v>
      </c>
      <c r="H3374" s="693"/>
      <c r="I3374" s="688"/>
      <c r="J3374" s="563">
        <v>5.7241</v>
      </c>
      <c r="K3374" s="552"/>
    </row>
    <row r="3375" spans="1:11" s="89" customFormat="1" x14ac:dyDescent="0.3">
      <c r="A3375" s="547" t="s">
        <v>433</v>
      </c>
      <c r="B3375" s="548" t="s">
        <v>115</v>
      </c>
      <c r="C3375" s="547" t="s">
        <v>838</v>
      </c>
      <c r="D3375" s="547" t="s">
        <v>839</v>
      </c>
      <c r="E3375" s="550">
        <v>0.59358999999999995</v>
      </c>
      <c r="F3375" s="549" t="s">
        <v>655</v>
      </c>
      <c r="G3375" s="693">
        <v>18.600000000000001</v>
      </c>
      <c r="H3375" s="693"/>
      <c r="I3375" s="688"/>
      <c r="J3375" s="563">
        <v>11.040800000000001</v>
      </c>
      <c r="K3375" s="546"/>
    </row>
    <row r="3376" spans="1:11" x14ac:dyDescent="0.3">
      <c r="A3376" s="547" t="s">
        <v>433</v>
      </c>
      <c r="B3376" s="548" t="s">
        <v>115</v>
      </c>
      <c r="C3376" s="547" t="s">
        <v>1104</v>
      </c>
      <c r="D3376" s="547" t="s">
        <v>1105</v>
      </c>
      <c r="E3376" s="550">
        <v>1.5833200000000001</v>
      </c>
      <c r="F3376" s="549" t="s">
        <v>830</v>
      </c>
      <c r="G3376" s="693">
        <v>2.4834000000000001</v>
      </c>
      <c r="H3376" s="693"/>
      <c r="I3376" s="688"/>
      <c r="J3376" s="563">
        <v>3.9319999999999999</v>
      </c>
      <c r="K3376" s="552"/>
    </row>
    <row r="3377" spans="1:11" s="89" customFormat="1" x14ac:dyDescent="0.3">
      <c r="A3377" s="547" t="s">
        <v>433</v>
      </c>
      <c r="B3377" s="548" t="s">
        <v>115</v>
      </c>
      <c r="C3377" s="547" t="s">
        <v>1070</v>
      </c>
      <c r="D3377" s="547" t="s">
        <v>1071</v>
      </c>
      <c r="E3377" s="550">
        <v>0.40425</v>
      </c>
      <c r="F3377" s="549" t="s">
        <v>556</v>
      </c>
      <c r="G3377" s="693">
        <v>43.125</v>
      </c>
      <c r="H3377" s="693"/>
      <c r="I3377" s="688"/>
      <c r="J3377" s="563">
        <v>17.433299999999999</v>
      </c>
      <c r="K3377" s="546"/>
    </row>
    <row r="3378" spans="1:11" ht="14.25" customHeight="1" x14ac:dyDescent="0.3">
      <c r="A3378" s="689"/>
      <c r="B3378" s="689"/>
      <c r="C3378" s="689"/>
      <c r="D3378" s="689"/>
      <c r="E3378" s="689"/>
      <c r="F3378" s="689" t="s">
        <v>813</v>
      </c>
      <c r="G3378" s="689"/>
      <c r="H3378" s="689"/>
      <c r="I3378" s="689"/>
      <c r="J3378" s="564">
        <v>45.730200000000004</v>
      </c>
      <c r="K3378" s="552"/>
    </row>
    <row r="3379" spans="1:11" ht="15" customHeight="1" x14ac:dyDescent="0.3">
      <c r="A3379" s="553" t="s">
        <v>573</v>
      </c>
      <c r="B3379" s="554" t="s">
        <v>5</v>
      </c>
      <c r="C3379" s="553" t="s">
        <v>4</v>
      </c>
      <c r="D3379" s="553" t="s">
        <v>574</v>
      </c>
      <c r="E3379" s="554" t="s">
        <v>463</v>
      </c>
      <c r="F3379" s="554" t="s">
        <v>575</v>
      </c>
      <c r="G3379" s="692" t="s">
        <v>576</v>
      </c>
      <c r="H3379" s="692"/>
      <c r="I3379" s="692"/>
      <c r="J3379" s="554" t="s">
        <v>466</v>
      </c>
      <c r="K3379" s="552"/>
    </row>
    <row r="3380" spans="1:11" ht="25" x14ac:dyDescent="0.3">
      <c r="A3380" s="547" t="s">
        <v>577</v>
      </c>
      <c r="B3380" s="548" t="s">
        <v>19</v>
      </c>
      <c r="C3380" s="547">
        <v>88241</v>
      </c>
      <c r="D3380" s="547" t="s">
        <v>794</v>
      </c>
      <c r="E3380" s="550">
        <v>0.9</v>
      </c>
      <c r="F3380" s="549" t="s">
        <v>423</v>
      </c>
      <c r="G3380" s="693">
        <v>24.15</v>
      </c>
      <c r="H3380" s="693"/>
      <c r="I3380" s="688"/>
      <c r="J3380" s="563">
        <v>21.734999999999999</v>
      </c>
      <c r="K3380" s="552"/>
    </row>
    <row r="3381" spans="1:11" s="89" customFormat="1" x14ac:dyDescent="0.3">
      <c r="A3381" s="547" t="s">
        <v>577</v>
      </c>
      <c r="B3381" s="548" t="s">
        <v>19</v>
      </c>
      <c r="C3381" s="547">
        <v>88262</v>
      </c>
      <c r="D3381" s="547" t="s">
        <v>621</v>
      </c>
      <c r="E3381" s="550">
        <v>0.9</v>
      </c>
      <c r="F3381" s="549" t="s">
        <v>423</v>
      </c>
      <c r="G3381" s="693">
        <v>30.71</v>
      </c>
      <c r="H3381" s="693"/>
      <c r="I3381" s="688"/>
      <c r="J3381" s="563">
        <v>27.638999999999999</v>
      </c>
      <c r="K3381" s="546"/>
    </row>
    <row r="3382" spans="1:11" ht="14.25" customHeight="1" x14ac:dyDescent="0.3">
      <c r="A3382" s="689"/>
      <c r="B3382" s="689"/>
      <c r="C3382" s="689"/>
      <c r="D3382" s="689"/>
      <c r="E3382" s="689"/>
      <c r="F3382" s="689" t="s">
        <v>578</v>
      </c>
      <c r="G3382" s="689"/>
      <c r="H3382" s="689"/>
      <c r="I3382" s="689"/>
      <c r="J3382" s="564">
        <v>49.374000000000002</v>
      </c>
      <c r="K3382" s="552"/>
    </row>
    <row r="3383" spans="1:11" ht="15" customHeight="1" x14ac:dyDescent="0.3">
      <c r="A3383" s="553" t="s">
        <v>579</v>
      </c>
      <c r="B3383" s="554" t="s">
        <v>5</v>
      </c>
      <c r="C3383" s="553" t="s">
        <v>433</v>
      </c>
      <c r="D3383" s="553" t="s">
        <v>580</v>
      </c>
      <c r="E3383" s="554" t="s">
        <v>4</v>
      </c>
      <c r="F3383" s="554" t="s">
        <v>463</v>
      </c>
      <c r="G3383" s="555" t="s">
        <v>575</v>
      </c>
      <c r="H3383" s="692" t="s">
        <v>576</v>
      </c>
      <c r="I3383" s="692"/>
      <c r="J3383" s="554" t="s">
        <v>466</v>
      </c>
      <c r="K3383" s="552"/>
    </row>
    <row r="3384" spans="1:11" s="89" customFormat="1" ht="25" x14ac:dyDescent="0.3">
      <c r="A3384" s="547" t="s">
        <v>581</v>
      </c>
      <c r="B3384" s="548" t="s">
        <v>115</v>
      </c>
      <c r="C3384" s="547" t="s">
        <v>828</v>
      </c>
      <c r="D3384" s="547" t="s">
        <v>844</v>
      </c>
      <c r="E3384" s="548">
        <v>5914655</v>
      </c>
      <c r="F3384" s="550">
        <v>3.13E-3</v>
      </c>
      <c r="G3384" s="549" t="s">
        <v>584</v>
      </c>
      <c r="H3384" s="693">
        <v>33.159999999999997</v>
      </c>
      <c r="I3384" s="688"/>
      <c r="J3384" s="563">
        <v>0.1038</v>
      </c>
      <c r="K3384" s="546"/>
    </row>
    <row r="3385" spans="1:11" s="89" customFormat="1" ht="25" x14ac:dyDescent="0.3">
      <c r="A3385" s="547" t="s">
        <v>581</v>
      </c>
      <c r="B3385" s="548" t="s">
        <v>115</v>
      </c>
      <c r="C3385" s="547" t="s">
        <v>833</v>
      </c>
      <c r="D3385" s="547" t="s">
        <v>844</v>
      </c>
      <c r="E3385" s="548">
        <v>5914655</v>
      </c>
      <c r="F3385" s="550">
        <v>2.0000000000000002E-5</v>
      </c>
      <c r="G3385" s="549" t="s">
        <v>584</v>
      </c>
      <c r="H3385" s="693">
        <v>33.159999999999997</v>
      </c>
      <c r="I3385" s="688"/>
      <c r="J3385" s="563">
        <v>6.9999999999999999E-4</v>
      </c>
      <c r="K3385" s="546"/>
    </row>
    <row r="3386" spans="1:11" ht="15" customHeight="1" x14ac:dyDescent="0.3">
      <c r="A3386" s="547" t="s">
        <v>581</v>
      </c>
      <c r="B3386" s="548" t="s">
        <v>115</v>
      </c>
      <c r="C3386" s="547" t="s">
        <v>836</v>
      </c>
      <c r="D3386" s="547" t="s">
        <v>844</v>
      </c>
      <c r="E3386" s="548">
        <v>5914655</v>
      </c>
      <c r="F3386" s="550">
        <v>2.6700000000000001E-3</v>
      </c>
      <c r="G3386" s="549" t="s">
        <v>584</v>
      </c>
      <c r="H3386" s="693">
        <v>33.159999999999997</v>
      </c>
      <c r="I3386" s="688"/>
      <c r="J3386" s="563">
        <v>8.8499999999999995E-2</v>
      </c>
      <c r="K3386" s="552"/>
    </row>
    <row r="3387" spans="1:11" ht="25" x14ac:dyDescent="0.3">
      <c r="A3387" s="547" t="s">
        <v>581</v>
      </c>
      <c r="B3387" s="548" t="s">
        <v>115</v>
      </c>
      <c r="C3387" s="547" t="s">
        <v>838</v>
      </c>
      <c r="D3387" s="547" t="s">
        <v>844</v>
      </c>
      <c r="E3387" s="548">
        <v>5914655</v>
      </c>
      <c r="F3387" s="550">
        <v>5.9000000000000003E-4</v>
      </c>
      <c r="G3387" s="549" t="s">
        <v>584</v>
      </c>
      <c r="H3387" s="693">
        <v>33.159999999999997</v>
      </c>
      <c r="I3387" s="688"/>
      <c r="J3387" s="563">
        <v>1.9599999999999999E-2</v>
      </c>
      <c r="K3387" s="552"/>
    </row>
    <row r="3388" spans="1:11" ht="25" x14ac:dyDescent="0.3">
      <c r="A3388" s="547" t="s">
        <v>581</v>
      </c>
      <c r="B3388" s="548" t="s">
        <v>115</v>
      </c>
      <c r="C3388" s="547" t="s">
        <v>1104</v>
      </c>
      <c r="D3388" s="547" t="s">
        <v>844</v>
      </c>
      <c r="E3388" s="548">
        <v>5914655</v>
      </c>
      <c r="F3388" s="550">
        <v>1.98E-3</v>
      </c>
      <c r="G3388" s="549" t="s">
        <v>584</v>
      </c>
      <c r="H3388" s="693">
        <v>33.159999999999997</v>
      </c>
      <c r="I3388" s="688"/>
      <c r="J3388" s="563">
        <v>6.5699999999999995E-2</v>
      </c>
      <c r="K3388" s="552"/>
    </row>
    <row r="3389" spans="1:11" ht="25" x14ac:dyDescent="0.3">
      <c r="A3389" s="547" t="s">
        <v>581</v>
      </c>
      <c r="B3389" s="548" t="s">
        <v>115</v>
      </c>
      <c r="C3389" s="547" t="s">
        <v>1070</v>
      </c>
      <c r="D3389" s="547" t="s">
        <v>844</v>
      </c>
      <c r="E3389" s="548">
        <v>5914655</v>
      </c>
      <c r="F3389" s="550">
        <v>1.0109999999999999E-2</v>
      </c>
      <c r="G3389" s="549" t="s">
        <v>584</v>
      </c>
      <c r="H3389" s="693">
        <v>33.159999999999997</v>
      </c>
      <c r="I3389" s="688"/>
      <c r="J3389" s="563">
        <v>0.3352</v>
      </c>
      <c r="K3389" s="552"/>
    </row>
    <row r="3390" spans="1:11" s="89" customFormat="1" ht="15" customHeight="1" x14ac:dyDescent="0.3">
      <c r="A3390" s="689"/>
      <c r="B3390" s="689"/>
      <c r="C3390" s="689"/>
      <c r="D3390" s="689"/>
      <c r="E3390" s="689"/>
      <c r="F3390" s="689" t="s">
        <v>585</v>
      </c>
      <c r="G3390" s="689"/>
      <c r="H3390" s="689"/>
      <c r="I3390" s="689"/>
      <c r="J3390" s="564">
        <v>0.61350000000000005</v>
      </c>
      <c r="K3390" s="546"/>
    </row>
    <row r="3391" spans="1:11" s="89" customFormat="1" ht="15" customHeight="1" x14ac:dyDescent="0.3">
      <c r="A3391" s="553" t="s">
        <v>586</v>
      </c>
      <c r="B3391" s="554" t="s">
        <v>5</v>
      </c>
      <c r="C3391" s="553" t="s">
        <v>433</v>
      </c>
      <c r="D3391" s="553" t="s">
        <v>587</v>
      </c>
      <c r="E3391" s="554" t="s">
        <v>463</v>
      </c>
      <c r="F3391" s="554" t="s">
        <v>575</v>
      </c>
      <c r="G3391" s="694" t="s">
        <v>588</v>
      </c>
      <c r="H3391" s="692"/>
      <c r="I3391" s="692"/>
      <c r="J3391" s="554" t="s">
        <v>466</v>
      </c>
      <c r="K3391" s="546"/>
    </row>
    <row r="3392" spans="1:11" s="89" customFormat="1" x14ac:dyDescent="0.3">
      <c r="A3392" s="555"/>
      <c r="B3392" s="555"/>
      <c r="C3392" s="555"/>
      <c r="D3392" s="555"/>
      <c r="E3392" s="555"/>
      <c r="F3392" s="555"/>
      <c r="G3392" s="555" t="s">
        <v>589</v>
      </c>
      <c r="H3392" s="555" t="s">
        <v>590</v>
      </c>
      <c r="I3392" s="555" t="s">
        <v>591</v>
      </c>
      <c r="J3392" s="555"/>
      <c r="K3392" s="546"/>
    </row>
    <row r="3393" spans="1:11" ht="37.5" x14ac:dyDescent="0.3">
      <c r="A3393" s="547" t="s">
        <v>587</v>
      </c>
      <c r="B3393" s="548" t="s">
        <v>115</v>
      </c>
      <c r="C3393" s="547" t="s">
        <v>828</v>
      </c>
      <c r="D3393" s="547" t="s">
        <v>845</v>
      </c>
      <c r="E3393" s="550">
        <v>3.13E-3</v>
      </c>
      <c r="F3393" s="549" t="s">
        <v>593</v>
      </c>
      <c r="G3393" s="548" t="s">
        <v>3846</v>
      </c>
      <c r="H3393" s="548" t="s">
        <v>3847</v>
      </c>
      <c r="I3393" s="548" t="s">
        <v>3848</v>
      </c>
      <c r="J3393" s="563">
        <v>0</v>
      </c>
      <c r="K3393" s="552"/>
    </row>
    <row r="3394" spans="1:11" ht="14.25" customHeight="1" x14ac:dyDescent="0.3">
      <c r="A3394" s="547" t="s">
        <v>587</v>
      </c>
      <c r="B3394" s="548" t="s">
        <v>115</v>
      </c>
      <c r="C3394" s="547" t="s">
        <v>833</v>
      </c>
      <c r="D3394" s="547" t="s">
        <v>847</v>
      </c>
      <c r="E3394" s="550">
        <v>2.0000000000000002E-5</v>
      </c>
      <c r="F3394" s="549" t="s">
        <v>593</v>
      </c>
      <c r="G3394" s="548" t="s">
        <v>3846</v>
      </c>
      <c r="H3394" s="548" t="s">
        <v>3847</v>
      </c>
      <c r="I3394" s="548" t="s">
        <v>3848</v>
      </c>
      <c r="J3394" s="563">
        <v>0</v>
      </c>
      <c r="K3394" s="552"/>
    </row>
    <row r="3395" spans="1:11" s="89" customFormat="1" ht="15" customHeight="1" x14ac:dyDescent="0.3">
      <c r="A3395" s="547" t="s">
        <v>587</v>
      </c>
      <c r="B3395" s="548" t="s">
        <v>115</v>
      </c>
      <c r="C3395" s="547" t="s">
        <v>836</v>
      </c>
      <c r="D3395" s="547" t="s">
        <v>848</v>
      </c>
      <c r="E3395" s="550">
        <v>2.6700000000000001E-3</v>
      </c>
      <c r="F3395" s="549" t="s">
        <v>593</v>
      </c>
      <c r="G3395" s="548" t="s">
        <v>3846</v>
      </c>
      <c r="H3395" s="548" t="s">
        <v>3847</v>
      </c>
      <c r="I3395" s="548" t="s">
        <v>3848</v>
      </c>
      <c r="J3395" s="563">
        <v>0</v>
      </c>
      <c r="K3395" s="546"/>
    </row>
    <row r="3396" spans="1:11" ht="15" customHeight="1" x14ac:dyDescent="0.3">
      <c r="A3396" s="547" t="s">
        <v>587</v>
      </c>
      <c r="B3396" s="548" t="s">
        <v>115</v>
      </c>
      <c r="C3396" s="547" t="s">
        <v>838</v>
      </c>
      <c r="D3396" s="547" t="s">
        <v>849</v>
      </c>
      <c r="E3396" s="550">
        <v>5.9000000000000003E-4</v>
      </c>
      <c r="F3396" s="549" t="s">
        <v>593</v>
      </c>
      <c r="G3396" s="548" t="s">
        <v>3846</v>
      </c>
      <c r="H3396" s="548" t="s">
        <v>3847</v>
      </c>
      <c r="I3396" s="548" t="s">
        <v>3848</v>
      </c>
      <c r="J3396" s="563">
        <v>0</v>
      </c>
      <c r="K3396" s="552"/>
    </row>
    <row r="3397" spans="1:11" ht="37.5" x14ac:dyDescent="0.3">
      <c r="A3397" s="547" t="s">
        <v>587</v>
      </c>
      <c r="B3397" s="548" t="s">
        <v>115</v>
      </c>
      <c r="C3397" s="547" t="s">
        <v>1104</v>
      </c>
      <c r="D3397" s="547" t="s">
        <v>1111</v>
      </c>
      <c r="E3397" s="550">
        <v>1.98E-3</v>
      </c>
      <c r="F3397" s="549" t="s">
        <v>593</v>
      </c>
      <c r="G3397" s="548" t="s">
        <v>3846</v>
      </c>
      <c r="H3397" s="548" t="s">
        <v>3847</v>
      </c>
      <c r="I3397" s="548" t="s">
        <v>3848</v>
      </c>
      <c r="J3397" s="563">
        <v>0</v>
      </c>
      <c r="K3397" s="552"/>
    </row>
    <row r="3398" spans="1:11" ht="37.5" x14ac:dyDescent="0.3">
      <c r="A3398" s="547" t="s">
        <v>587</v>
      </c>
      <c r="B3398" s="548" t="s">
        <v>115</v>
      </c>
      <c r="C3398" s="547" t="s">
        <v>1070</v>
      </c>
      <c r="D3398" s="547" t="s">
        <v>1072</v>
      </c>
      <c r="E3398" s="550">
        <v>1.0109999999999999E-2</v>
      </c>
      <c r="F3398" s="549" t="s">
        <v>593</v>
      </c>
      <c r="G3398" s="548" t="s">
        <v>3846</v>
      </c>
      <c r="H3398" s="548" t="s">
        <v>3847</v>
      </c>
      <c r="I3398" s="548" t="s">
        <v>3848</v>
      </c>
      <c r="J3398" s="563">
        <v>0</v>
      </c>
      <c r="K3398" s="552"/>
    </row>
    <row r="3399" spans="1:11" s="89" customFormat="1" ht="15.75" customHeight="1" thickBot="1" x14ac:dyDescent="0.35">
      <c r="A3399" s="689"/>
      <c r="B3399" s="689"/>
      <c r="C3399" s="689"/>
      <c r="D3399" s="689"/>
      <c r="E3399" s="689"/>
      <c r="F3399" s="689" t="s">
        <v>594</v>
      </c>
      <c r="G3399" s="689"/>
      <c r="H3399" s="689"/>
      <c r="I3399" s="689"/>
      <c r="J3399" s="564">
        <v>0</v>
      </c>
      <c r="K3399" s="546"/>
    </row>
    <row r="3400" spans="1:11" ht="14.5" thickTop="1" x14ac:dyDescent="0.3">
      <c r="A3400" s="562"/>
      <c r="B3400" s="562"/>
      <c r="C3400" s="562"/>
      <c r="D3400" s="562"/>
      <c r="E3400" s="562"/>
      <c r="F3400" s="562"/>
      <c r="G3400" s="562"/>
      <c r="H3400" s="562"/>
      <c r="I3400" s="562"/>
      <c r="J3400" s="562"/>
      <c r="K3400" s="552"/>
    </row>
    <row r="3401" spans="1:11" ht="15" customHeight="1" x14ac:dyDescent="0.3">
      <c r="A3401" s="553"/>
      <c r="B3401" s="554" t="s">
        <v>4</v>
      </c>
      <c r="C3401" s="553" t="s">
        <v>5</v>
      </c>
      <c r="D3401" s="553" t="s">
        <v>6</v>
      </c>
      <c r="E3401" s="691" t="s">
        <v>427</v>
      </c>
      <c r="F3401" s="691"/>
      <c r="G3401" s="555" t="s">
        <v>7</v>
      </c>
      <c r="H3401" s="554" t="s">
        <v>8</v>
      </c>
      <c r="I3401" s="554" t="s">
        <v>9</v>
      </c>
      <c r="J3401" s="554" t="s">
        <v>11</v>
      </c>
      <c r="K3401" s="552"/>
    </row>
    <row r="3402" spans="1:11" ht="25.5" customHeight="1" x14ac:dyDescent="0.3">
      <c r="A3402" s="607" t="s">
        <v>428</v>
      </c>
      <c r="B3402" s="608" t="s">
        <v>959</v>
      </c>
      <c r="C3402" s="607" t="s">
        <v>19</v>
      </c>
      <c r="D3402" s="607" t="s">
        <v>960</v>
      </c>
      <c r="E3402" s="690" t="s">
        <v>461</v>
      </c>
      <c r="F3402" s="690"/>
      <c r="G3402" s="609" t="s">
        <v>102</v>
      </c>
      <c r="H3402" s="610">
        <v>1</v>
      </c>
      <c r="I3402" s="611">
        <v>3.21</v>
      </c>
      <c r="J3402" s="611">
        <v>3.21</v>
      </c>
      <c r="K3402" s="552"/>
    </row>
    <row r="3403" spans="1:11" s="89" customFormat="1" ht="15" customHeight="1" x14ac:dyDescent="0.3">
      <c r="A3403" s="547" t="s">
        <v>430</v>
      </c>
      <c r="B3403" s="548" t="s">
        <v>1636</v>
      </c>
      <c r="C3403" s="547" t="s">
        <v>19</v>
      </c>
      <c r="D3403" s="547" t="s">
        <v>1637</v>
      </c>
      <c r="E3403" s="688" t="s">
        <v>461</v>
      </c>
      <c r="F3403" s="688"/>
      <c r="G3403" s="549" t="s">
        <v>423</v>
      </c>
      <c r="H3403" s="550">
        <v>1</v>
      </c>
      <c r="I3403" s="551">
        <v>2.52</v>
      </c>
      <c r="J3403" s="551">
        <v>2.52</v>
      </c>
      <c r="K3403" s="546"/>
    </row>
    <row r="3404" spans="1:11" ht="15" customHeight="1" thickBot="1" x14ac:dyDescent="0.35">
      <c r="A3404" s="547" t="s">
        <v>430</v>
      </c>
      <c r="B3404" s="548" t="s">
        <v>1638</v>
      </c>
      <c r="C3404" s="547" t="s">
        <v>19</v>
      </c>
      <c r="D3404" s="547" t="s">
        <v>1639</v>
      </c>
      <c r="E3404" s="688" t="s">
        <v>461</v>
      </c>
      <c r="F3404" s="688"/>
      <c r="G3404" s="549" t="s">
        <v>423</v>
      </c>
      <c r="H3404" s="550">
        <v>1</v>
      </c>
      <c r="I3404" s="551">
        <v>0.69</v>
      </c>
      <c r="J3404" s="551">
        <v>0.69</v>
      </c>
      <c r="K3404" s="552"/>
    </row>
    <row r="3405" spans="1:11" ht="14.25" customHeight="1" thickTop="1" x14ac:dyDescent="0.3">
      <c r="A3405" s="562"/>
      <c r="B3405" s="562"/>
      <c r="C3405" s="562"/>
      <c r="D3405" s="562"/>
      <c r="E3405" s="562"/>
      <c r="F3405" s="562"/>
      <c r="G3405" s="562"/>
      <c r="H3405" s="562"/>
      <c r="I3405" s="562"/>
      <c r="J3405" s="562"/>
      <c r="K3405" s="552"/>
    </row>
    <row r="3406" spans="1:11" ht="14.25" customHeight="1" x14ac:dyDescent="0.3">
      <c r="A3406" s="553"/>
      <c r="B3406" s="554" t="s">
        <v>4</v>
      </c>
      <c r="C3406" s="553" t="s">
        <v>5</v>
      </c>
      <c r="D3406" s="553" t="s">
        <v>6</v>
      </c>
      <c r="E3406" s="691" t="s">
        <v>427</v>
      </c>
      <c r="F3406" s="691"/>
      <c r="G3406" s="555" t="s">
        <v>7</v>
      </c>
      <c r="H3406" s="554" t="s">
        <v>8</v>
      </c>
      <c r="I3406" s="554" t="s">
        <v>9</v>
      </c>
      <c r="J3406" s="554" t="s">
        <v>11</v>
      </c>
      <c r="K3406" s="552"/>
    </row>
    <row r="3407" spans="1:11" s="89" customFormat="1" ht="15" customHeight="1" x14ac:dyDescent="0.3">
      <c r="A3407" s="607" t="s">
        <v>428</v>
      </c>
      <c r="B3407" s="608" t="s">
        <v>957</v>
      </c>
      <c r="C3407" s="607" t="s">
        <v>19</v>
      </c>
      <c r="D3407" s="607" t="s">
        <v>958</v>
      </c>
      <c r="E3407" s="690" t="s">
        <v>461</v>
      </c>
      <c r="F3407" s="690"/>
      <c r="G3407" s="609" t="s">
        <v>95</v>
      </c>
      <c r="H3407" s="610">
        <v>1</v>
      </c>
      <c r="I3407" s="611">
        <v>4.96</v>
      </c>
      <c r="J3407" s="611">
        <v>4.96</v>
      </c>
      <c r="K3407" s="546"/>
    </row>
    <row r="3408" spans="1:11" ht="15" customHeight="1" x14ac:dyDescent="0.3">
      <c r="A3408" s="547" t="s">
        <v>430</v>
      </c>
      <c r="B3408" s="548" t="s">
        <v>1636</v>
      </c>
      <c r="C3408" s="547" t="s">
        <v>19</v>
      </c>
      <c r="D3408" s="547" t="s">
        <v>1637</v>
      </c>
      <c r="E3408" s="688" t="s">
        <v>461</v>
      </c>
      <c r="F3408" s="688"/>
      <c r="G3408" s="549" t="s">
        <v>423</v>
      </c>
      <c r="H3408" s="550">
        <v>1</v>
      </c>
      <c r="I3408" s="551">
        <v>2.52</v>
      </c>
      <c r="J3408" s="551">
        <v>2.52</v>
      </c>
      <c r="K3408" s="552"/>
    </row>
    <row r="3409" spans="1:11" ht="14.25" customHeight="1" x14ac:dyDescent="0.3">
      <c r="A3409" s="547" t="s">
        <v>430</v>
      </c>
      <c r="B3409" s="548" t="s">
        <v>1640</v>
      </c>
      <c r="C3409" s="547" t="s">
        <v>19</v>
      </c>
      <c r="D3409" s="547" t="s">
        <v>1641</v>
      </c>
      <c r="E3409" s="688" t="s">
        <v>461</v>
      </c>
      <c r="F3409" s="688"/>
      <c r="G3409" s="549" t="s">
        <v>423</v>
      </c>
      <c r="H3409" s="550">
        <v>1</v>
      </c>
      <c r="I3409" s="551">
        <v>1.75</v>
      </c>
      <c r="J3409" s="551">
        <v>1.75</v>
      </c>
      <c r="K3409" s="552"/>
    </row>
    <row r="3410" spans="1:11" ht="14.25" customHeight="1" thickBot="1" x14ac:dyDescent="0.35">
      <c r="A3410" s="547" t="s">
        <v>430</v>
      </c>
      <c r="B3410" s="548" t="s">
        <v>1638</v>
      </c>
      <c r="C3410" s="547" t="s">
        <v>19</v>
      </c>
      <c r="D3410" s="547" t="s">
        <v>1639</v>
      </c>
      <c r="E3410" s="688" t="s">
        <v>461</v>
      </c>
      <c r="F3410" s="688"/>
      <c r="G3410" s="549" t="s">
        <v>423</v>
      </c>
      <c r="H3410" s="550">
        <v>1</v>
      </c>
      <c r="I3410" s="551">
        <v>0.69</v>
      </c>
      <c r="J3410" s="551">
        <v>0.69</v>
      </c>
      <c r="K3410" s="552"/>
    </row>
    <row r="3411" spans="1:11" ht="15" customHeight="1" thickTop="1" x14ac:dyDescent="0.3">
      <c r="A3411" s="562"/>
      <c r="B3411" s="562"/>
      <c r="C3411" s="562"/>
      <c r="D3411" s="562"/>
      <c r="E3411" s="562"/>
      <c r="F3411" s="562"/>
      <c r="G3411" s="562"/>
      <c r="H3411" s="562"/>
      <c r="I3411" s="562"/>
      <c r="J3411" s="562"/>
      <c r="K3411" s="552"/>
    </row>
    <row r="3412" spans="1:11" x14ac:dyDescent="0.3">
      <c r="A3412" s="553"/>
      <c r="B3412" s="554" t="s">
        <v>4</v>
      </c>
      <c r="C3412" s="553" t="s">
        <v>5</v>
      </c>
      <c r="D3412" s="553" t="s">
        <v>6</v>
      </c>
      <c r="E3412" s="691" t="s">
        <v>427</v>
      </c>
      <c r="F3412" s="691"/>
      <c r="G3412" s="555" t="s">
        <v>7</v>
      </c>
      <c r="H3412" s="554" t="s">
        <v>8</v>
      </c>
      <c r="I3412" s="554" t="s">
        <v>9</v>
      </c>
      <c r="J3412" s="554" t="s">
        <v>11</v>
      </c>
      <c r="K3412" s="552"/>
    </row>
    <row r="3413" spans="1:11" ht="25.5" customHeight="1" x14ac:dyDescent="0.3">
      <c r="A3413" s="607" t="s">
        <v>428</v>
      </c>
      <c r="B3413" s="608" t="s">
        <v>1636</v>
      </c>
      <c r="C3413" s="607" t="s">
        <v>19</v>
      </c>
      <c r="D3413" s="607" t="s">
        <v>1637</v>
      </c>
      <c r="E3413" s="690" t="s">
        <v>461</v>
      </c>
      <c r="F3413" s="690"/>
      <c r="G3413" s="609" t="s">
        <v>423</v>
      </c>
      <c r="H3413" s="610">
        <v>1</v>
      </c>
      <c r="I3413" s="611">
        <v>2.52</v>
      </c>
      <c r="J3413" s="611">
        <v>2.52</v>
      </c>
      <c r="K3413" s="552"/>
    </row>
    <row r="3414" spans="1:11" ht="25.5" thickBot="1" x14ac:dyDescent="0.35">
      <c r="A3414" s="547" t="s">
        <v>433</v>
      </c>
      <c r="B3414" s="548" t="s">
        <v>1642</v>
      </c>
      <c r="C3414" s="547" t="s">
        <v>19</v>
      </c>
      <c r="D3414" s="547" t="s">
        <v>1643</v>
      </c>
      <c r="E3414" s="688" t="s">
        <v>442</v>
      </c>
      <c r="F3414" s="688"/>
      <c r="G3414" s="549" t="s">
        <v>81</v>
      </c>
      <c r="H3414" s="550">
        <v>5.1400000000000003E-5</v>
      </c>
      <c r="I3414" s="551">
        <v>49100</v>
      </c>
      <c r="J3414" s="551">
        <v>2.52</v>
      </c>
      <c r="K3414" s="552"/>
    </row>
    <row r="3415" spans="1:11" ht="14.25" customHeight="1" thickTop="1" x14ac:dyDescent="0.3">
      <c r="A3415" s="562"/>
      <c r="B3415" s="562"/>
      <c r="C3415" s="562"/>
      <c r="D3415" s="562"/>
      <c r="E3415" s="562"/>
      <c r="F3415" s="562"/>
      <c r="G3415" s="562"/>
      <c r="H3415" s="562"/>
      <c r="I3415" s="562"/>
      <c r="J3415" s="562"/>
      <c r="K3415" s="552"/>
    </row>
    <row r="3416" spans="1:11" x14ac:dyDescent="0.3">
      <c r="A3416" s="553"/>
      <c r="B3416" s="554" t="s">
        <v>4</v>
      </c>
      <c r="C3416" s="553" t="s">
        <v>5</v>
      </c>
      <c r="D3416" s="553" t="s">
        <v>6</v>
      </c>
      <c r="E3416" s="691" t="s">
        <v>427</v>
      </c>
      <c r="F3416" s="691"/>
      <c r="G3416" s="555" t="s">
        <v>7</v>
      </c>
      <c r="H3416" s="554" t="s">
        <v>8</v>
      </c>
      <c r="I3416" s="554" t="s">
        <v>9</v>
      </c>
      <c r="J3416" s="554" t="s">
        <v>11</v>
      </c>
      <c r="K3416" s="552"/>
    </row>
    <row r="3417" spans="1:11" ht="25.5" customHeight="1" x14ac:dyDescent="0.3">
      <c r="A3417" s="607" t="s">
        <v>428</v>
      </c>
      <c r="B3417" s="608" t="s">
        <v>1638</v>
      </c>
      <c r="C3417" s="607" t="s">
        <v>19</v>
      </c>
      <c r="D3417" s="607" t="s">
        <v>1639</v>
      </c>
      <c r="E3417" s="690" t="s">
        <v>461</v>
      </c>
      <c r="F3417" s="690"/>
      <c r="G3417" s="609" t="s">
        <v>423</v>
      </c>
      <c r="H3417" s="610">
        <v>1</v>
      </c>
      <c r="I3417" s="611">
        <v>0.69</v>
      </c>
      <c r="J3417" s="611">
        <v>0.69</v>
      </c>
      <c r="K3417" s="552"/>
    </row>
    <row r="3418" spans="1:11" ht="14.25" customHeight="1" thickBot="1" x14ac:dyDescent="0.35">
      <c r="A3418" s="547" t="s">
        <v>433</v>
      </c>
      <c r="B3418" s="548" t="s">
        <v>1642</v>
      </c>
      <c r="C3418" s="547" t="s">
        <v>19</v>
      </c>
      <c r="D3418" s="547" t="s">
        <v>1643</v>
      </c>
      <c r="E3418" s="688" t="s">
        <v>442</v>
      </c>
      <c r="F3418" s="688"/>
      <c r="G3418" s="549" t="s">
        <v>81</v>
      </c>
      <c r="H3418" s="550">
        <v>1.4100000000000001E-5</v>
      </c>
      <c r="I3418" s="551">
        <v>49100</v>
      </c>
      <c r="J3418" s="551">
        <v>0.69</v>
      </c>
      <c r="K3418" s="552"/>
    </row>
    <row r="3419" spans="1:11" ht="15" customHeight="1" thickTop="1" x14ac:dyDescent="0.3">
      <c r="A3419" s="562"/>
      <c r="B3419" s="562"/>
      <c r="C3419" s="562"/>
      <c r="D3419" s="562"/>
      <c r="E3419" s="562"/>
      <c r="F3419" s="562"/>
      <c r="G3419" s="562"/>
      <c r="H3419" s="562"/>
      <c r="I3419" s="562"/>
      <c r="J3419" s="562"/>
      <c r="K3419" s="552"/>
    </row>
    <row r="3420" spans="1:11" s="89" customFormat="1" x14ac:dyDescent="0.3">
      <c r="A3420" s="553"/>
      <c r="B3420" s="554" t="s">
        <v>4</v>
      </c>
      <c r="C3420" s="553" t="s">
        <v>5</v>
      </c>
      <c r="D3420" s="553" t="s">
        <v>6</v>
      </c>
      <c r="E3420" s="691" t="s">
        <v>427</v>
      </c>
      <c r="F3420" s="691"/>
      <c r="G3420" s="555" t="s">
        <v>7</v>
      </c>
      <c r="H3420" s="554" t="s">
        <v>8</v>
      </c>
      <c r="I3420" s="554" t="s">
        <v>9</v>
      </c>
      <c r="J3420" s="554" t="s">
        <v>11</v>
      </c>
      <c r="K3420" s="546"/>
    </row>
    <row r="3421" spans="1:11" ht="25.5" customHeight="1" x14ac:dyDescent="0.3">
      <c r="A3421" s="607" t="s">
        <v>428</v>
      </c>
      <c r="B3421" s="608" t="s">
        <v>1640</v>
      </c>
      <c r="C3421" s="607" t="s">
        <v>19</v>
      </c>
      <c r="D3421" s="607" t="s">
        <v>1641</v>
      </c>
      <c r="E3421" s="690" t="s">
        <v>461</v>
      </c>
      <c r="F3421" s="690"/>
      <c r="G3421" s="609" t="s">
        <v>423</v>
      </c>
      <c r="H3421" s="610">
        <v>1</v>
      </c>
      <c r="I3421" s="611">
        <v>1.75</v>
      </c>
      <c r="J3421" s="611">
        <v>1.75</v>
      </c>
      <c r="K3421" s="552"/>
    </row>
    <row r="3422" spans="1:11" s="89" customFormat="1" ht="15" customHeight="1" thickBot="1" x14ac:dyDescent="0.35">
      <c r="A3422" s="547" t="s">
        <v>433</v>
      </c>
      <c r="B3422" s="548" t="s">
        <v>1642</v>
      </c>
      <c r="C3422" s="547" t="s">
        <v>19</v>
      </c>
      <c r="D3422" s="547" t="s">
        <v>1643</v>
      </c>
      <c r="E3422" s="688" t="s">
        <v>442</v>
      </c>
      <c r="F3422" s="688"/>
      <c r="G3422" s="549" t="s">
        <v>81</v>
      </c>
      <c r="H3422" s="550">
        <v>3.57E-5</v>
      </c>
      <c r="I3422" s="551">
        <v>49100</v>
      </c>
      <c r="J3422" s="551">
        <v>1.75</v>
      </c>
      <c r="K3422" s="546"/>
    </row>
    <row r="3423" spans="1:11" ht="15" customHeight="1" thickTop="1" x14ac:dyDescent="0.3">
      <c r="A3423" s="562"/>
      <c r="B3423" s="562"/>
      <c r="C3423" s="562"/>
      <c r="D3423" s="562"/>
      <c r="E3423" s="562"/>
      <c r="F3423" s="562"/>
      <c r="G3423" s="562"/>
      <c r="H3423" s="562"/>
      <c r="I3423" s="562"/>
      <c r="J3423" s="562"/>
      <c r="K3423" s="552"/>
    </row>
    <row r="3424" spans="1:11" x14ac:dyDescent="0.3">
      <c r="A3424" s="553"/>
      <c r="B3424" s="554" t="s">
        <v>4</v>
      </c>
      <c r="C3424" s="553" t="s">
        <v>5</v>
      </c>
      <c r="D3424" s="553" t="s">
        <v>6</v>
      </c>
      <c r="E3424" s="691" t="s">
        <v>427</v>
      </c>
      <c r="F3424" s="691"/>
      <c r="G3424" s="555" t="s">
        <v>7</v>
      </c>
      <c r="H3424" s="554" t="s">
        <v>8</v>
      </c>
      <c r="I3424" s="554" t="s">
        <v>9</v>
      </c>
      <c r="J3424" s="554" t="s">
        <v>11</v>
      </c>
      <c r="K3424" s="552"/>
    </row>
    <row r="3425" spans="1:11" ht="25.5" customHeight="1" x14ac:dyDescent="0.3">
      <c r="A3425" s="607" t="s">
        <v>428</v>
      </c>
      <c r="B3425" s="608" t="s">
        <v>1002</v>
      </c>
      <c r="C3425" s="607" t="s">
        <v>19</v>
      </c>
      <c r="D3425" s="607" t="s">
        <v>1003</v>
      </c>
      <c r="E3425" s="690" t="s">
        <v>461</v>
      </c>
      <c r="F3425" s="690"/>
      <c r="G3425" s="609" t="s">
        <v>102</v>
      </c>
      <c r="H3425" s="610">
        <v>1</v>
      </c>
      <c r="I3425" s="611">
        <v>13.75</v>
      </c>
      <c r="J3425" s="611">
        <v>13.75</v>
      </c>
      <c r="K3425" s="552"/>
    </row>
    <row r="3426" spans="1:11" ht="25.5" customHeight="1" x14ac:dyDescent="0.3">
      <c r="A3426" s="547" t="s">
        <v>430</v>
      </c>
      <c r="B3426" s="548" t="s">
        <v>1644</v>
      </c>
      <c r="C3426" s="547" t="s">
        <v>19</v>
      </c>
      <c r="D3426" s="547" t="s">
        <v>1645</v>
      </c>
      <c r="E3426" s="688" t="s">
        <v>461</v>
      </c>
      <c r="F3426" s="688"/>
      <c r="G3426" s="549" t="s">
        <v>423</v>
      </c>
      <c r="H3426" s="550">
        <v>1</v>
      </c>
      <c r="I3426" s="551">
        <v>3.58</v>
      </c>
      <c r="J3426" s="551">
        <v>3.58</v>
      </c>
      <c r="K3426" s="552"/>
    </row>
    <row r="3427" spans="1:11" s="89" customFormat="1" ht="25.5" customHeight="1" thickBot="1" x14ac:dyDescent="0.35">
      <c r="A3427" s="547" t="s">
        <v>430</v>
      </c>
      <c r="B3427" s="548" t="s">
        <v>1646</v>
      </c>
      <c r="C3427" s="547" t="s">
        <v>19</v>
      </c>
      <c r="D3427" s="547" t="s">
        <v>1647</v>
      </c>
      <c r="E3427" s="688" t="s">
        <v>461</v>
      </c>
      <c r="F3427" s="688"/>
      <c r="G3427" s="549" t="s">
        <v>423</v>
      </c>
      <c r="H3427" s="550">
        <v>1</v>
      </c>
      <c r="I3427" s="551">
        <v>10.17</v>
      </c>
      <c r="J3427" s="551">
        <v>10.17</v>
      </c>
      <c r="K3427" s="546"/>
    </row>
    <row r="3428" spans="1:11" ht="25.5" customHeight="1" thickTop="1" x14ac:dyDescent="0.3">
      <c r="A3428" s="562"/>
      <c r="B3428" s="562"/>
      <c r="C3428" s="562"/>
      <c r="D3428" s="562"/>
      <c r="E3428" s="562"/>
      <c r="F3428" s="562"/>
      <c r="G3428" s="562"/>
      <c r="H3428" s="562"/>
      <c r="I3428" s="562"/>
      <c r="J3428" s="562"/>
      <c r="K3428" s="552"/>
    </row>
    <row r="3429" spans="1:11" ht="26.25" customHeight="1" x14ac:dyDescent="0.3">
      <c r="A3429" s="553"/>
      <c r="B3429" s="554" t="s">
        <v>4</v>
      </c>
      <c r="C3429" s="553" t="s">
        <v>5</v>
      </c>
      <c r="D3429" s="553" t="s">
        <v>6</v>
      </c>
      <c r="E3429" s="691" t="s">
        <v>427</v>
      </c>
      <c r="F3429" s="691"/>
      <c r="G3429" s="555" t="s">
        <v>7</v>
      </c>
      <c r="H3429" s="554" t="s">
        <v>8</v>
      </c>
      <c r="I3429" s="554" t="s">
        <v>9</v>
      </c>
      <c r="J3429" s="554" t="s">
        <v>11</v>
      </c>
      <c r="K3429" s="552"/>
    </row>
    <row r="3430" spans="1:11" ht="14.25" customHeight="1" x14ac:dyDescent="0.3">
      <c r="A3430" s="607" t="s">
        <v>428</v>
      </c>
      <c r="B3430" s="608" t="s">
        <v>1000</v>
      </c>
      <c r="C3430" s="607" t="s">
        <v>19</v>
      </c>
      <c r="D3430" s="607" t="s">
        <v>1001</v>
      </c>
      <c r="E3430" s="690" t="s">
        <v>461</v>
      </c>
      <c r="F3430" s="690"/>
      <c r="G3430" s="609" t="s">
        <v>95</v>
      </c>
      <c r="H3430" s="610">
        <v>1</v>
      </c>
      <c r="I3430" s="611">
        <v>269.60000000000002</v>
      </c>
      <c r="J3430" s="611">
        <v>269.60000000000002</v>
      </c>
      <c r="K3430" s="552"/>
    </row>
    <row r="3431" spans="1:11" ht="15" customHeight="1" x14ac:dyDescent="0.3">
      <c r="A3431" s="547" t="s">
        <v>430</v>
      </c>
      <c r="B3431" s="548" t="s">
        <v>1644</v>
      </c>
      <c r="C3431" s="547" t="s">
        <v>19</v>
      </c>
      <c r="D3431" s="547" t="s">
        <v>1645</v>
      </c>
      <c r="E3431" s="688" t="s">
        <v>461</v>
      </c>
      <c r="F3431" s="688"/>
      <c r="G3431" s="549" t="s">
        <v>423</v>
      </c>
      <c r="H3431" s="550">
        <v>1</v>
      </c>
      <c r="I3431" s="551">
        <v>3.58</v>
      </c>
      <c r="J3431" s="551">
        <v>3.58</v>
      </c>
      <c r="K3431" s="552"/>
    </row>
    <row r="3432" spans="1:11" s="89" customFormat="1" ht="25.5" customHeight="1" x14ac:dyDescent="0.3">
      <c r="A3432" s="547" t="s">
        <v>430</v>
      </c>
      <c r="B3432" s="548" t="s">
        <v>1648</v>
      </c>
      <c r="C3432" s="547" t="s">
        <v>19</v>
      </c>
      <c r="D3432" s="547" t="s">
        <v>1649</v>
      </c>
      <c r="E3432" s="688" t="s">
        <v>461</v>
      </c>
      <c r="F3432" s="688"/>
      <c r="G3432" s="549" t="s">
        <v>423</v>
      </c>
      <c r="H3432" s="550">
        <v>1</v>
      </c>
      <c r="I3432" s="551">
        <v>9.08</v>
      </c>
      <c r="J3432" s="551">
        <v>9.08</v>
      </c>
      <c r="K3432" s="546"/>
    </row>
    <row r="3433" spans="1:11" ht="25.5" customHeight="1" x14ac:dyDescent="0.3">
      <c r="A3433" s="547" t="s">
        <v>430</v>
      </c>
      <c r="B3433" s="548" t="s">
        <v>1650</v>
      </c>
      <c r="C3433" s="547" t="s">
        <v>19</v>
      </c>
      <c r="D3433" s="547" t="s">
        <v>1651</v>
      </c>
      <c r="E3433" s="688" t="s">
        <v>461</v>
      </c>
      <c r="F3433" s="688"/>
      <c r="G3433" s="549" t="s">
        <v>423</v>
      </c>
      <c r="H3433" s="550">
        <v>1</v>
      </c>
      <c r="I3433" s="551">
        <v>246.77</v>
      </c>
      <c r="J3433" s="551">
        <v>246.77</v>
      </c>
      <c r="K3433" s="552"/>
    </row>
    <row r="3434" spans="1:11" ht="25.5" customHeight="1" thickBot="1" x14ac:dyDescent="0.35">
      <c r="A3434" s="547" t="s">
        <v>430</v>
      </c>
      <c r="B3434" s="548" t="s">
        <v>1646</v>
      </c>
      <c r="C3434" s="547" t="s">
        <v>19</v>
      </c>
      <c r="D3434" s="547" t="s">
        <v>1647</v>
      </c>
      <c r="E3434" s="688" t="s">
        <v>461</v>
      </c>
      <c r="F3434" s="688"/>
      <c r="G3434" s="549" t="s">
        <v>423</v>
      </c>
      <c r="H3434" s="550">
        <v>1</v>
      </c>
      <c r="I3434" s="551">
        <v>10.17</v>
      </c>
      <c r="J3434" s="551">
        <v>10.17</v>
      </c>
      <c r="K3434" s="552"/>
    </row>
    <row r="3435" spans="1:11" ht="26.25" customHeight="1" thickTop="1" x14ac:dyDescent="0.3">
      <c r="A3435" s="562"/>
      <c r="B3435" s="562"/>
      <c r="C3435" s="562"/>
      <c r="D3435" s="562"/>
      <c r="E3435" s="562"/>
      <c r="F3435" s="562"/>
      <c r="G3435" s="562"/>
      <c r="H3435" s="562"/>
      <c r="I3435" s="562"/>
      <c r="J3435" s="562"/>
      <c r="K3435" s="552"/>
    </row>
    <row r="3436" spans="1:11" x14ac:dyDescent="0.3">
      <c r="A3436" s="553"/>
      <c r="B3436" s="554" t="s">
        <v>4</v>
      </c>
      <c r="C3436" s="553" t="s">
        <v>5</v>
      </c>
      <c r="D3436" s="553" t="s">
        <v>6</v>
      </c>
      <c r="E3436" s="691" t="s">
        <v>427</v>
      </c>
      <c r="F3436" s="691"/>
      <c r="G3436" s="555" t="s">
        <v>7</v>
      </c>
      <c r="H3436" s="554" t="s">
        <v>8</v>
      </c>
      <c r="I3436" s="554" t="s">
        <v>9</v>
      </c>
      <c r="J3436" s="554" t="s">
        <v>11</v>
      </c>
      <c r="K3436" s="552"/>
    </row>
    <row r="3437" spans="1:11" ht="25.5" customHeight="1" x14ac:dyDescent="0.3">
      <c r="A3437" s="607" t="s">
        <v>428</v>
      </c>
      <c r="B3437" s="608" t="s">
        <v>1646</v>
      </c>
      <c r="C3437" s="607" t="s">
        <v>19</v>
      </c>
      <c r="D3437" s="607" t="s">
        <v>1647</v>
      </c>
      <c r="E3437" s="690" t="s">
        <v>461</v>
      </c>
      <c r="F3437" s="690"/>
      <c r="G3437" s="609" t="s">
        <v>423</v>
      </c>
      <c r="H3437" s="610">
        <v>1</v>
      </c>
      <c r="I3437" s="611">
        <v>10.17</v>
      </c>
      <c r="J3437" s="611">
        <v>10.17</v>
      </c>
      <c r="K3437" s="552"/>
    </row>
    <row r="3438" spans="1:11" s="89" customFormat="1" ht="25.5" customHeight="1" thickBot="1" x14ac:dyDescent="0.35">
      <c r="A3438" s="547" t="s">
        <v>433</v>
      </c>
      <c r="B3438" s="548" t="s">
        <v>1652</v>
      </c>
      <c r="C3438" s="547" t="s">
        <v>19</v>
      </c>
      <c r="D3438" s="547" t="s">
        <v>1653</v>
      </c>
      <c r="E3438" s="688" t="s">
        <v>442</v>
      </c>
      <c r="F3438" s="688"/>
      <c r="G3438" s="549" t="s">
        <v>81</v>
      </c>
      <c r="H3438" s="550">
        <v>4.0000000000000003E-5</v>
      </c>
      <c r="I3438" s="551">
        <v>254384.16</v>
      </c>
      <c r="J3438" s="551">
        <v>10.17</v>
      </c>
      <c r="K3438" s="546"/>
    </row>
    <row r="3439" spans="1:11" ht="15" customHeight="1" thickTop="1" x14ac:dyDescent="0.3">
      <c r="A3439" s="562"/>
      <c r="B3439" s="562"/>
      <c r="C3439" s="562"/>
      <c r="D3439" s="562"/>
      <c r="E3439" s="562"/>
      <c r="F3439" s="562"/>
      <c r="G3439" s="562"/>
      <c r="H3439" s="562"/>
      <c r="I3439" s="562"/>
      <c r="J3439" s="562"/>
      <c r="K3439" s="552"/>
    </row>
    <row r="3440" spans="1:11" x14ac:dyDescent="0.3">
      <c r="A3440" s="553"/>
      <c r="B3440" s="554" t="s">
        <v>4</v>
      </c>
      <c r="C3440" s="553" t="s">
        <v>5</v>
      </c>
      <c r="D3440" s="553" t="s">
        <v>6</v>
      </c>
      <c r="E3440" s="691" t="s">
        <v>427</v>
      </c>
      <c r="F3440" s="691"/>
      <c r="G3440" s="555" t="s">
        <v>7</v>
      </c>
      <c r="H3440" s="554" t="s">
        <v>8</v>
      </c>
      <c r="I3440" s="554" t="s">
        <v>9</v>
      </c>
      <c r="J3440" s="554" t="s">
        <v>11</v>
      </c>
      <c r="K3440" s="552"/>
    </row>
    <row r="3441" spans="1:11" ht="25.5" customHeight="1" x14ac:dyDescent="0.3">
      <c r="A3441" s="607" t="s">
        <v>428</v>
      </c>
      <c r="B3441" s="608" t="s">
        <v>1644</v>
      </c>
      <c r="C3441" s="607" t="s">
        <v>19</v>
      </c>
      <c r="D3441" s="607" t="s">
        <v>1645</v>
      </c>
      <c r="E3441" s="690" t="s">
        <v>461</v>
      </c>
      <c r="F3441" s="690"/>
      <c r="G3441" s="609" t="s">
        <v>423</v>
      </c>
      <c r="H3441" s="610">
        <v>1</v>
      </c>
      <c r="I3441" s="611">
        <v>3.58</v>
      </c>
      <c r="J3441" s="611">
        <v>3.58</v>
      </c>
      <c r="K3441" s="552"/>
    </row>
    <row r="3442" spans="1:11" s="89" customFormat="1" ht="25.5" customHeight="1" thickBot="1" x14ac:dyDescent="0.35">
      <c r="A3442" s="547" t="s">
        <v>433</v>
      </c>
      <c r="B3442" s="548" t="s">
        <v>1652</v>
      </c>
      <c r="C3442" s="547" t="s">
        <v>19</v>
      </c>
      <c r="D3442" s="547" t="s">
        <v>1653</v>
      </c>
      <c r="E3442" s="688" t="s">
        <v>442</v>
      </c>
      <c r="F3442" s="688"/>
      <c r="G3442" s="549" t="s">
        <v>81</v>
      </c>
      <c r="H3442" s="550">
        <v>1.4100000000000001E-5</v>
      </c>
      <c r="I3442" s="551">
        <v>254384.16</v>
      </c>
      <c r="J3442" s="551">
        <v>3.58</v>
      </c>
      <c r="K3442" s="546"/>
    </row>
    <row r="3443" spans="1:11" ht="25.5" customHeight="1" thickTop="1" x14ac:dyDescent="0.3">
      <c r="A3443" s="562"/>
      <c r="B3443" s="562"/>
      <c r="C3443" s="562"/>
      <c r="D3443" s="562"/>
      <c r="E3443" s="562"/>
      <c r="F3443" s="562"/>
      <c r="G3443" s="562"/>
      <c r="H3443" s="562"/>
      <c r="I3443" s="562"/>
      <c r="J3443" s="562"/>
      <c r="K3443" s="552"/>
    </row>
    <row r="3444" spans="1:11" ht="26.25" customHeight="1" x14ac:dyDescent="0.3">
      <c r="A3444" s="553"/>
      <c r="B3444" s="554" t="s">
        <v>4</v>
      </c>
      <c r="C3444" s="553" t="s">
        <v>5</v>
      </c>
      <c r="D3444" s="553" t="s">
        <v>6</v>
      </c>
      <c r="E3444" s="691" t="s">
        <v>427</v>
      </c>
      <c r="F3444" s="691"/>
      <c r="G3444" s="555" t="s">
        <v>7</v>
      </c>
      <c r="H3444" s="554" t="s">
        <v>8</v>
      </c>
      <c r="I3444" s="554" t="s">
        <v>9</v>
      </c>
      <c r="J3444" s="554" t="s">
        <v>11</v>
      </c>
      <c r="K3444" s="552"/>
    </row>
    <row r="3445" spans="1:11" ht="25.5" customHeight="1" x14ac:dyDescent="0.3">
      <c r="A3445" s="607" t="s">
        <v>428</v>
      </c>
      <c r="B3445" s="608" t="s">
        <v>1648</v>
      </c>
      <c r="C3445" s="607" t="s">
        <v>19</v>
      </c>
      <c r="D3445" s="607" t="s">
        <v>1649</v>
      </c>
      <c r="E3445" s="690" t="s">
        <v>461</v>
      </c>
      <c r="F3445" s="690"/>
      <c r="G3445" s="609" t="s">
        <v>423</v>
      </c>
      <c r="H3445" s="610">
        <v>1</v>
      </c>
      <c r="I3445" s="611">
        <v>9.08</v>
      </c>
      <c r="J3445" s="611">
        <v>9.08</v>
      </c>
      <c r="K3445" s="552"/>
    </row>
    <row r="3446" spans="1:11" s="89" customFormat="1" ht="25.5" customHeight="1" thickBot="1" x14ac:dyDescent="0.35">
      <c r="A3446" s="547" t="s">
        <v>433</v>
      </c>
      <c r="B3446" s="548" t="s">
        <v>1652</v>
      </c>
      <c r="C3446" s="547" t="s">
        <v>19</v>
      </c>
      <c r="D3446" s="547" t="s">
        <v>1653</v>
      </c>
      <c r="E3446" s="688" t="s">
        <v>442</v>
      </c>
      <c r="F3446" s="688"/>
      <c r="G3446" s="549" t="s">
        <v>81</v>
      </c>
      <c r="H3446" s="550">
        <v>3.57E-5</v>
      </c>
      <c r="I3446" s="551">
        <v>254384.16</v>
      </c>
      <c r="J3446" s="551">
        <v>9.08</v>
      </c>
      <c r="K3446" s="546"/>
    </row>
    <row r="3447" spans="1:11" ht="25.5" customHeight="1" thickTop="1" x14ac:dyDescent="0.3">
      <c r="A3447" s="562"/>
      <c r="B3447" s="562"/>
      <c r="C3447" s="562"/>
      <c r="D3447" s="562"/>
      <c r="E3447" s="562"/>
      <c r="F3447" s="562"/>
      <c r="G3447" s="562"/>
      <c r="H3447" s="562"/>
      <c r="I3447" s="562"/>
      <c r="J3447" s="562"/>
      <c r="K3447" s="552"/>
    </row>
    <row r="3448" spans="1:11" ht="25.5" customHeight="1" x14ac:dyDescent="0.3">
      <c r="A3448" s="553"/>
      <c r="B3448" s="554" t="s">
        <v>4</v>
      </c>
      <c r="C3448" s="553" t="s">
        <v>5</v>
      </c>
      <c r="D3448" s="553" t="s">
        <v>6</v>
      </c>
      <c r="E3448" s="691" t="s">
        <v>427</v>
      </c>
      <c r="F3448" s="691"/>
      <c r="G3448" s="555" t="s">
        <v>7</v>
      </c>
      <c r="H3448" s="554" t="s">
        <v>8</v>
      </c>
      <c r="I3448" s="554" t="s">
        <v>9</v>
      </c>
      <c r="J3448" s="554" t="s">
        <v>11</v>
      </c>
      <c r="K3448" s="552"/>
    </row>
    <row r="3449" spans="1:11" s="89" customFormat="1" ht="25.5" customHeight="1" x14ac:dyDescent="0.3">
      <c r="A3449" s="607" t="s">
        <v>428</v>
      </c>
      <c r="B3449" s="608" t="s">
        <v>1650</v>
      </c>
      <c r="C3449" s="607" t="s">
        <v>19</v>
      </c>
      <c r="D3449" s="607" t="s">
        <v>1651</v>
      </c>
      <c r="E3449" s="690" t="s">
        <v>461</v>
      </c>
      <c r="F3449" s="690"/>
      <c r="G3449" s="609" t="s">
        <v>423</v>
      </c>
      <c r="H3449" s="610">
        <v>1</v>
      </c>
      <c r="I3449" s="611">
        <v>246.77</v>
      </c>
      <c r="J3449" s="611">
        <v>246.77</v>
      </c>
      <c r="K3449" s="546"/>
    </row>
    <row r="3450" spans="1:11" s="89" customFormat="1" ht="25.5" customHeight="1" thickBot="1" x14ac:dyDescent="0.35">
      <c r="A3450" s="547" t="s">
        <v>433</v>
      </c>
      <c r="B3450" s="548" t="s">
        <v>3859</v>
      </c>
      <c r="C3450" s="547" t="s">
        <v>115</v>
      </c>
      <c r="D3450" s="547" t="s">
        <v>3860</v>
      </c>
      <c r="E3450" s="688" t="s">
        <v>438</v>
      </c>
      <c r="F3450" s="688"/>
      <c r="G3450" s="549" t="s">
        <v>835</v>
      </c>
      <c r="H3450" s="550">
        <v>45.64</v>
      </c>
      <c r="I3450" s="551">
        <v>5.4069000000000003</v>
      </c>
      <c r="J3450" s="551">
        <v>246.77</v>
      </c>
      <c r="K3450" s="546"/>
    </row>
    <row r="3451" spans="1:11" ht="25.5" customHeight="1" thickTop="1" x14ac:dyDescent="0.3">
      <c r="A3451" s="562"/>
      <c r="B3451" s="562"/>
      <c r="C3451" s="562"/>
      <c r="D3451" s="562"/>
      <c r="E3451" s="562"/>
      <c r="F3451" s="562"/>
      <c r="G3451" s="562"/>
      <c r="H3451" s="562"/>
      <c r="I3451" s="562"/>
      <c r="J3451" s="562"/>
      <c r="K3451" s="552"/>
    </row>
    <row r="3452" spans="1:11" ht="26.25" customHeight="1" x14ac:dyDescent="0.3">
      <c r="A3452" s="553"/>
      <c r="B3452" s="554" t="s">
        <v>4</v>
      </c>
      <c r="C3452" s="553" t="s">
        <v>5</v>
      </c>
      <c r="D3452" s="553" t="s">
        <v>6</v>
      </c>
      <c r="E3452" s="691" t="s">
        <v>427</v>
      </c>
      <c r="F3452" s="691"/>
      <c r="G3452" s="555" t="s">
        <v>7</v>
      </c>
      <c r="H3452" s="554" t="s">
        <v>8</v>
      </c>
      <c r="I3452" s="554" t="s">
        <v>9</v>
      </c>
      <c r="J3452" s="554" t="s">
        <v>11</v>
      </c>
      <c r="K3452" s="552"/>
    </row>
    <row r="3453" spans="1:11" ht="25.5" customHeight="1" x14ac:dyDescent="0.3">
      <c r="A3453" s="607" t="s">
        <v>428</v>
      </c>
      <c r="B3453" s="608" t="s">
        <v>545</v>
      </c>
      <c r="C3453" s="607" t="s">
        <v>19</v>
      </c>
      <c r="D3453" s="607" t="s">
        <v>546</v>
      </c>
      <c r="E3453" s="690" t="s">
        <v>461</v>
      </c>
      <c r="F3453" s="690"/>
      <c r="G3453" s="609" t="s">
        <v>423</v>
      </c>
      <c r="H3453" s="610">
        <v>1</v>
      </c>
      <c r="I3453" s="611">
        <v>7.15</v>
      </c>
      <c r="J3453" s="611">
        <v>7.15</v>
      </c>
      <c r="K3453" s="552"/>
    </row>
    <row r="3454" spans="1:11" s="89" customFormat="1" ht="14.5" thickBot="1" x14ac:dyDescent="0.35">
      <c r="A3454" s="547" t="s">
        <v>433</v>
      </c>
      <c r="B3454" s="548" t="s">
        <v>1654</v>
      </c>
      <c r="C3454" s="547" t="s">
        <v>19</v>
      </c>
      <c r="D3454" s="547" t="s">
        <v>1655</v>
      </c>
      <c r="E3454" s="688" t="s">
        <v>442</v>
      </c>
      <c r="F3454" s="688"/>
      <c r="G3454" s="549" t="s">
        <v>81</v>
      </c>
      <c r="H3454" s="550">
        <v>4.0000000000000003E-5</v>
      </c>
      <c r="I3454" s="551">
        <v>178755.02</v>
      </c>
      <c r="J3454" s="551">
        <v>7.15</v>
      </c>
      <c r="K3454" s="546"/>
    </row>
    <row r="3455" spans="1:11" s="89" customFormat="1" ht="25.5" customHeight="1" thickTop="1" x14ac:dyDescent="0.3">
      <c r="A3455" s="562"/>
      <c r="B3455" s="562"/>
      <c r="C3455" s="562"/>
      <c r="D3455" s="562"/>
      <c r="E3455" s="562"/>
      <c r="F3455" s="562"/>
      <c r="G3455" s="562"/>
      <c r="H3455" s="562"/>
      <c r="I3455" s="562"/>
      <c r="J3455" s="562"/>
      <c r="K3455" s="546"/>
    </row>
    <row r="3456" spans="1:11" ht="25.5" customHeight="1" x14ac:dyDescent="0.3">
      <c r="A3456" s="553"/>
      <c r="B3456" s="554" t="s">
        <v>4</v>
      </c>
      <c r="C3456" s="553" t="s">
        <v>5</v>
      </c>
      <c r="D3456" s="553" t="s">
        <v>6</v>
      </c>
      <c r="E3456" s="691" t="s">
        <v>427</v>
      </c>
      <c r="F3456" s="691"/>
      <c r="G3456" s="555" t="s">
        <v>7</v>
      </c>
      <c r="H3456" s="554" t="s">
        <v>8</v>
      </c>
      <c r="I3456" s="554" t="s">
        <v>9</v>
      </c>
      <c r="J3456" s="554" t="s">
        <v>11</v>
      </c>
      <c r="K3456" s="552"/>
    </row>
    <row r="3457" spans="1:11" ht="25.5" customHeight="1" x14ac:dyDescent="0.3">
      <c r="A3457" s="607" t="s">
        <v>428</v>
      </c>
      <c r="B3457" s="608" t="s">
        <v>547</v>
      </c>
      <c r="C3457" s="607" t="s">
        <v>19</v>
      </c>
      <c r="D3457" s="607" t="s">
        <v>548</v>
      </c>
      <c r="E3457" s="690" t="s">
        <v>461</v>
      </c>
      <c r="F3457" s="690"/>
      <c r="G3457" s="609" t="s">
        <v>423</v>
      </c>
      <c r="H3457" s="610">
        <v>1</v>
      </c>
      <c r="I3457" s="611">
        <v>6.38</v>
      </c>
      <c r="J3457" s="611">
        <v>6.38</v>
      </c>
      <c r="K3457" s="552"/>
    </row>
    <row r="3458" spans="1:11" s="89" customFormat="1" ht="38.25" customHeight="1" thickBot="1" x14ac:dyDescent="0.35">
      <c r="A3458" s="547" t="s">
        <v>433</v>
      </c>
      <c r="B3458" s="548" t="s">
        <v>1654</v>
      </c>
      <c r="C3458" s="547" t="s">
        <v>19</v>
      </c>
      <c r="D3458" s="547" t="s">
        <v>1655</v>
      </c>
      <c r="E3458" s="688" t="s">
        <v>442</v>
      </c>
      <c r="F3458" s="688"/>
      <c r="G3458" s="549" t="s">
        <v>81</v>
      </c>
      <c r="H3458" s="550">
        <v>3.57E-5</v>
      </c>
      <c r="I3458" s="551">
        <v>178755.02</v>
      </c>
      <c r="J3458" s="551">
        <v>6.38</v>
      </c>
      <c r="K3458" s="546"/>
    </row>
    <row r="3459" spans="1:11" ht="26.25" customHeight="1" thickTop="1" x14ac:dyDescent="0.3">
      <c r="A3459" s="562"/>
      <c r="B3459" s="562"/>
      <c r="C3459" s="562"/>
      <c r="D3459" s="562"/>
      <c r="E3459" s="562"/>
      <c r="F3459" s="562"/>
      <c r="G3459" s="562"/>
      <c r="H3459" s="562"/>
      <c r="I3459" s="562"/>
      <c r="J3459" s="562"/>
      <c r="K3459" s="552"/>
    </row>
    <row r="3460" spans="1:11" s="89" customFormat="1" x14ac:dyDescent="0.3">
      <c r="A3460" s="553"/>
      <c r="B3460" s="554" t="s">
        <v>4</v>
      </c>
      <c r="C3460" s="553" t="s">
        <v>5</v>
      </c>
      <c r="D3460" s="553" t="s">
        <v>6</v>
      </c>
      <c r="E3460" s="691" t="s">
        <v>427</v>
      </c>
      <c r="F3460" s="691"/>
      <c r="G3460" s="555" t="s">
        <v>7</v>
      </c>
      <c r="H3460" s="554" t="s">
        <v>8</v>
      </c>
      <c r="I3460" s="554" t="s">
        <v>9</v>
      </c>
      <c r="J3460" s="554" t="s">
        <v>11</v>
      </c>
      <c r="K3460" s="546"/>
    </row>
    <row r="3461" spans="1:11" s="89" customFormat="1" ht="25.5" customHeight="1" x14ac:dyDescent="0.3">
      <c r="A3461" s="607" t="s">
        <v>428</v>
      </c>
      <c r="B3461" s="608" t="s">
        <v>549</v>
      </c>
      <c r="C3461" s="607" t="s">
        <v>19</v>
      </c>
      <c r="D3461" s="607" t="s">
        <v>550</v>
      </c>
      <c r="E3461" s="690" t="s">
        <v>461</v>
      </c>
      <c r="F3461" s="690"/>
      <c r="G3461" s="609" t="s">
        <v>423</v>
      </c>
      <c r="H3461" s="610">
        <v>1</v>
      </c>
      <c r="I3461" s="611">
        <v>160.96</v>
      </c>
      <c r="J3461" s="611">
        <v>160.96</v>
      </c>
      <c r="K3461" s="546"/>
    </row>
    <row r="3462" spans="1:11" s="89" customFormat="1" ht="25.5" customHeight="1" thickBot="1" x14ac:dyDescent="0.35">
      <c r="A3462" s="547" t="s">
        <v>433</v>
      </c>
      <c r="B3462" s="548" t="s">
        <v>3859</v>
      </c>
      <c r="C3462" s="547" t="s">
        <v>115</v>
      </c>
      <c r="D3462" s="547" t="s">
        <v>3860</v>
      </c>
      <c r="E3462" s="688" t="s">
        <v>438</v>
      </c>
      <c r="F3462" s="688"/>
      <c r="G3462" s="549" t="s">
        <v>835</v>
      </c>
      <c r="H3462" s="550">
        <v>29.77</v>
      </c>
      <c r="I3462" s="551">
        <v>5.4069000000000003</v>
      </c>
      <c r="J3462" s="551">
        <v>160.96</v>
      </c>
      <c r="K3462" s="546"/>
    </row>
    <row r="3463" spans="1:11" s="89" customFormat="1" ht="14.5" thickTop="1" x14ac:dyDescent="0.3">
      <c r="A3463" s="562"/>
      <c r="B3463" s="562"/>
      <c r="C3463" s="562"/>
      <c r="D3463" s="562"/>
      <c r="E3463" s="562"/>
      <c r="F3463" s="562"/>
      <c r="G3463" s="562"/>
      <c r="H3463" s="562"/>
      <c r="I3463" s="562"/>
      <c r="J3463" s="562"/>
      <c r="K3463" s="546"/>
    </row>
    <row r="3464" spans="1:11" s="89" customFormat="1" x14ac:dyDescent="0.3">
      <c r="A3464" s="553"/>
      <c r="B3464" s="554" t="s">
        <v>4</v>
      </c>
      <c r="C3464" s="553" t="s">
        <v>5</v>
      </c>
      <c r="D3464" s="553" t="s">
        <v>6</v>
      </c>
      <c r="E3464" s="691" t="s">
        <v>427</v>
      </c>
      <c r="F3464" s="691"/>
      <c r="G3464" s="555" t="s">
        <v>7</v>
      </c>
      <c r="H3464" s="554" t="s">
        <v>8</v>
      </c>
      <c r="I3464" s="554" t="s">
        <v>9</v>
      </c>
      <c r="J3464" s="554" t="s">
        <v>11</v>
      </c>
      <c r="K3464" s="546"/>
    </row>
    <row r="3465" spans="1:11" ht="25.5" customHeight="1" x14ac:dyDescent="0.3">
      <c r="A3465" s="607" t="s">
        <v>428</v>
      </c>
      <c r="B3465" s="608" t="s">
        <v>551</v>
      </c>
      <c r="C3465" s="607" t="s">
        <v>19</v>
      </c>
      <c r="D3465" s="607" t="s">
        <v>552</v>
      </c>
      <c r="E3465" s="690" t="s">
        <v>461</v>
      </c>
      <c r="F3465" s="690"/>
      <c r="G3465" s="609" t="s">
        <v>423</v>
      </c>
      <c r="H3465" s="610">
        <v>1</v>
      </c>
      <c r="I3465" s="611">
        <v>6.36</v>
      </c>
      <c r="J3465" s="611">
        <v>6.36</v>
      </c>
      <c r="K3465" s="552"/>
    </row>
    <row r="3466" spans="1:11" s="89" customFormat="1" ht="25.5" customHeight="1" thickBot="1" x14ac:dyDescent="0.35">
      <c r="A3466" s="547" t="s">
        <v>433</v>
      </c>
      <c r="B3466" s="548" t="s">
        <v>1656</v>
      </c>
      <c r="C3466" s="547" t="s">
        <v>19</v>
      </c>
      <c r="D3466" s="547" t="s">
        <v>1657</v>
      </c>
      <c r="E3466" s="688" t="s">
        <v>442</v>
      </c>
      <c r="F3466" s="688"/>
      <c r="G3466" s="549" t="s">
        <v>81</v>
      </c>
      <c r="H3466" s="550">
        <v>4.0000000000000003E-5</v>
      </c>
      <c r="I3466" s="551">
        <v>159153.57</v>
      </c>
      <c r="J3466" s="551">
        <v>6.36</v>
      </c>
      <c r="K3466" s="546"/>
    </row>
    <row r="3467" spans="1:11" ht="26.25" customHeight="1" thickTop="1" x14ac:dyDescent="0.3">
      <c r="A3467" s="562"/>
      <c r="B3467" s="562"/>
      <c r="C3467" s="562"/>
      <c r="D3467" s="562"/>
      <c r="E3467" s="562"/>
      <c r="F3467" s="562"/>
      <c r="G3467" s="562"/>
      <c r="H3467" s="562"/>
      <c r="I3467" s="562"/>
      <c r="J3467" s="562"/>
      <c r="K3467" s="552"/>
    </row>
    <row r="3468" spans="1:11" s="89" customFormat="1" x14ac:dyDescent="0.3">
      <c r="A3468" s="553"/>
      <c r="B3468" s="554" t="s">
        <v>4</v>
      </c>
      <c r="C3468" s="553" t="s">
        <v>5</v>
      </c>
      <c r="D3468" s="553" t="s">
        <v>6</v>
      </c>
      <c r="E3468" s="691" t="s">
        <v>427</v>
      </c>
      <c r="F3468" s="691"/>
      <c r="G3468" s="555" t="s">
        <v>7</v>
      </c>
      <c r="H3468" s="554" t="s">
        <v>8</v>
      </c>
      <c r="I3468" s="554" t="s">
        <v>9</v>
      </c>
      <c r="J3468" s="554" t="s">
        <v>11</v>
      </c>
      <c r="K3468" s="546"/>
    </row>
    <row r="3469" spans="1:11" ht="25.5" customHeight="1" x14ac:dyDescent="0.3">
      <c r="A3469" s="607" t="s">
        <v>428</v>
      </c>
      <c r="B3469" s="608" t="s">
        <v>553</v>
      </c>
      <c r="C3469" s="607" t="s">
        <v>19</v>
      </c>
      <c r="D3469" s="607" t="s">
        <v>554</v>
      </c>
      <c r="E3469" s="690" t="s">
        <v>461</v>
      </c>
      <c r="F3469" s="690"/>
      <c r="G3469" s="609" t="s">
        <v>423</v>
      </c>
      <c r="H3469" s="610">
        <v>1</v>
      </c>
      <c r="I3469" s="611">
        <v>2.2400000000000002</v>
      </c>
      <c r="J3469" s="611">
        <v>2.2400000000000002</v>
      </c>
      <c r="K3469" s="552"/>
    </row>
    <row r="3470" spans="1:11" s="89" customFormat="1" ht="25.5" customHeight="1" thickBot="1" x14ac:dyDescent="0.35">
      <c r="A3470" s="547" t="s">
        <v>433</v>
      </c>
      <c r="B3470" s="548" t="s">
        <v>1656</v>
      </c>
      <c r="C3470" s="547" t="s">
        <v>19</v>
      </c>
      <c r="D3470" s="547" t="s">
        <v>1657</v>
      </c>
      <c r="E3470" s="688" t="s">
        <v>442</v>
      </c>
      <c r="F3470" s="688"/>
      <c r="G3470" s="549" t="s">
        <v>81</v>
      </c>
      <c r="H3470" s="550">
        <v>1.4100000000000001E-5</v>
      </c>
      <c r="I3470" s="551">
        <v>159153.57</v>
      </c>
      <c r="J3470" s="551">
        <v>2.2400000000000002</v>
      </c>
      <c r="K3470" s="546"/>
    </row>
    <row r="3471" spans="1:11" ht="25.5" customHeight="1" thickTop="1" x14ac:dyDescent="0.3">
      <c r="A3471" s="562"/>
      <c r="B3471" s="562"/>
      <c r="C3471" s="562"/>
      <c r="D3471" s="562"/>
      <c r="E3471" s="562"/>
      <c r="F3471" s="562"/>
      <c r="G3471" s="562"/>
      <c r="H3471" s="562"/>
      <c r="I3471" s="562"/>
      <c r="J3471" s="562"/>
      <c r="K3471" s="552"/>
    </row>
    <row r="3472" spans="1:11" ht="25.5" customHeight="1" x14ac:dyDescent="0.3">
      <c r="A3472" s="553"/>
      <c r="B3472" s="554" t="s">
        <v>4</v>
      </c>
      <c r="C3472" s="553" t="s">
        <v>5</v>
      </c>
      <c r="D3472" s="553" t="s">
        <v>6</v>
      </c>
      <c r="E3472" s="691" t="s">
        <v>427</v>
      </c>
      <c r="F3472" s="691"/>
      <c r="G3472" s="555" t="s">
        <v>7</v>
      </c>
      <c r="H3472" s="554" t="s">
        <v>8</v>
      </c>
      <c r="I3472" s="554" t="s">
        <v>9</v>
      </c>
      <c r="J3472" s="554" t="s">
        <v>11</v>
      </c>
      <c r="K3472" s="552"/>
    </row>
    <row r="3473" spans="1:11" ht="38.25" customHeight="1" x14ac:dyDescent="0.3">
      <c r="A3473" s="607" t="s">
        <v>428</v>
      </c>
      <c r="B3473" s="608" t="s">
        <v>1658</v>
      </c>
      <c r="C3473" s="607" t="s">
        <v>19</v>
      </c>
      <c r="D3473" s="607" t="s">
        <v>1659</v>
      </c>
      <c r="E3473" s="690" t="s">
        <v>461</v>
      </c>
      <c r="F3473" s="690"/>
      <c r="G3473" s="609" t="s">
        <v>102</v>
      </c>
      <c r="H3473" s="610">
        <v>1</v>
      </c>
      <c r="I3473" s="611">
        <v>26.22</v>
      </c>
      <c r="J3473" s="611">
        <v>26.22</v>
      </c>
      <c r="K3473" s="552"/>
    </row>
    <row r="3474" spans="1:11" s="89" customFormat="1" ht="38.25" customHeight="1" x14ac:dyDescent="0.3">
      <c r="A3474" s="547" t="s">
        <v>430</v>
      </c>
      <c r="B3474" s="548" t="s">
        <v>1660</v>
      </c>
      <c r="C3474" s="547" t="s">
        <v>19</v>
      </c>
      <c r="D3474" s="547" t="s">
        <v>1661</v>
      </c>
      <c r="E3474" s="688" t="s">
        <v>429</v>
      </c>
      <c r="F3474" s="688"/>
      <c r="G3474" s="549" t="s">
        <v>423</v>
      </c>
      <c r="H3474" s="550">
        <v>1</v>
      </c>
      <c r="I3474" s="551">
        <v>25.88</v>
      </c>
      <c r="J3474" s="551">
        <v>25.88</v>
      </c>
      <c r="K3474" s="546"/>
    </row>
    <row r="3475" spans="1:11" ht="25.5" customHeight="1" x14ac:dyDescent="0.3">
      <c r="A3475" s="547" t="s">
        <v>430</v>
      </c>
      <c r="B3475" s="548" t="s">
        <v>1662</v>
      </c>
      <c r="C3475" s="547" t="s">
        <v>19</v>
      </c>
      <c r="D3475" s="547" t="s">
        <v>1663</v>
      </c>
      <c r="E3475" s="688" t="s">
        <v>461</v>
      </c>
      <c r="F3475" s="688"/>
      <c r="G3475" s="549" t="s">
        <v>423</v>
      </c>
      <c r="H3475" s="550">
        <v>1</v>
      </c>
      <c r="I3475" s="551">
        <v>0.28000000000000003</v>
      </c>
      <c r="J3475" s="551">
        <v>0.28000000000000003</v>
      </c>
      <c r="K3475" s="552"/>
    </row>
    <row r="3476" spans="1:11" s="89" customFormat="1" ht="26.25" customHeight="1" thickBot="1" x14ac:dyDescent="0.35">
      <c r="A3476" s="547" t="s">
        <v>430</v>
      </c>
      <c r="B3476" s="548" t="s">
        <v>1664</v>
      </c>
      <c r="C3476" s="547" t="s">
        <v>19</v>
      </c>
      <c r="D3476" s="547" t="s">
        <v>1665</v>
      </c>
      <c r="E3476" s="688" t="s">
        <v>461</v>
      </c>
      <c r="F3476" s="688"/>
      <c r="G3476" s="549" t="s">
        <v>423</v>
      </c>
      <c r="H3476" s="550">
        <v>1</v>
      </c>
      <c r="I3476" s="551">
        <v>0.06</v>
      </c>
      <c r="J3476" s="551">
        <v>0.06</v>
      </c>
      <c r="K3476" s="546"/>
    </row>
    <row r="3477" spans="1:11" ht="25.5" customHeight="1" thickTop="1" x14ac:dyDescent="0.3">
      <c r="A3477" s="562"/>
      <c r="B3477" s="562"/>
      <c r="C3477" s="562"/>
      <c r="D3477" s="562"/>
      <c r="E3477" s="562"/>
      <c r="F3477" s="562"/>
      <c r="G3477" s="562"/>
      <c r="H3477" s="562"/>
      <c r="I3477" s="562"/>
      <c r="J3477" s="562"/>
      <c r="K3477" s="552"/>
    </row>
    <row r="3478" spans="1:11" s="89" customFormat="1" ht="25.5" customHeight="1" x14ac:dyDescent="0.3">
      <c r="A3478" s="553"/>
      <c r="B3478" s="554" t="s">
        <v>4</v>
      </c>
      <c r="C3478" s="553" t="s">
        <v>5</v>
      </c>
      <c r="D3478" s="553" t="s">
        <v>6</v>
      </c>
      <c r="E3478" s="691" t="s">
        <v>427</v>
      </c>
      <c r="F3478" s="691"/>
      <c r="G3478" s="555" t="s">
        <v>7</v>
      </c>
      <c r="H3478" s="554" t="s">
        <v>8</v>
      </c>
      <c r="I3478" s="554" t="s">
        <v>9</v>
      </c>
      <c r="J3478" s="554" t="s">
        <v>11</v>
      </c>
      <c r="K3478" s="546"/>
    </row>
    <row r="3479" spans="1:11" ht="25.5" customHeight="1" x14ac:dyDescent="0.3">
      <c r="A3479" s="607" t="s">
        <v>428</v>
      </c>
      <c r="B3479" s="608" t="s">
        <v>1666</v>
      </c>
      <c r="C3479" s="607" t="s">
        <v>19</v>
      </c>
      <c r="D3479" s="607" t="s">
        <v>1667</v>
      </c>
      <c r="E3479" s="690" t="s">
        <v>461</v>
      </c>
      <c r="F3479" s="690"/>
      <c r="G3479" s="609" t="s">
        <v>95</v>
      </c>
      <c r="H3479" s="610">
        <v>1</v>
      </c>
      <c r="I3479" s="611">
        <v>27.04</v>
      </c>
      <c r="J3479" s="611">
        <v>27.04</v>
      </c>
      <c r="K3479" s="552"/>
    </row>
    <row r="3480" spans="1:11" ht="14.25" customHeight="1" x14ac:dyDescent="0.3">
      <c r="A3480" s="547" t="s">
        <v>430</v>
      </c>
      <c r="B3480" s="548" t="s">
        <v>1660</v>
      </c>
      <c r="C3480" s="547" t="s">
        <v>19</v>
      </c>
      <c r="D3480" s="547" t="s">
        <v>1661</v>
      </c>
      <c r="E3480" s="688" t="s">
        <v>429</v>
      </c>
      <c r="F3480" s="688"/>
      <c r="G3480" s="549" t="s">
        <v>423</v>
      </c>
      <c r="H3480" s="550">
        <v>1</v>
      </c>
      <c r="I3480" s="551">
        <v>25.88</v>
      </c>
      <c r="J3480" s="551">
        <v>25.88</v>
      </c>
      <c r="K3480" s="552"/>
    </row>
    <row r="3481" spans="1:11" ht="25.5" customHeight="1" x14ac:dyDescent="0.3">
      <c r="A3481" s="547" t="s">
        <v>430</v>
      </c>
      <c r="B3481" s="548" t="s">
        <v>1662</v>
      </c>
      <c r="C3481" s="547" t="s">
        <v>19</v>
      </c>
      <c r="D3481" s="547" t="s">
        <v>1663</v>
      </c>
      <c r="E3481" s="688" t="s">
        <v>461</v>
      </c>
      <c r="F3481" s="688"/>
      <c r="G3481" s="549" t="s">
        <v>423</v>
      </c>
      <c r="H3481" s="550">
        <v>1</v>
      </c>
      <c r="I3481" s="551">
        <v>0.28000000000000003</v>
      </c>
      <c r="J3481" s="551">
        <v>0.28000000000000003</v>
      </c>
      <c r="K3481" s="552"/>
    </row>
    <row r="3482" spans="1:11" s="89" customFormat="1" ht="25.5" customHeight="1" x14ac:dyDescent="0.3">
      <c r="A3482" s="547" t="s">
        <v>430</v>
      </c>
      <c r="B3482" s="548" t="s">
        <v>1664</v>
      </c>
      <c r="C3482" s="547" t="s">
        <v>19</v>
      </c>
      <c r="D3482" s="547" t="s">
        <v>1665</v>
      </c>
      <c r="E3482" s="688" t="s">
        <v>461</v>
      </c>
      <c r="F3482" s="688"/>
      <c r="G3482" s="549" t="s">
        <v>423</v>
      </c>
      <c r="H3482" s="550">
        <v>1</v>
      </c>
      <c r="I3482" s="551">
        <v>0.06</v>
      </c>
      <c r="J3482" s="551">
        <v>0.06</v>
      </c>
      <c r="K3482" s="546"/>
    </row>
    <row r="3483" spans="1:11" ht="25.5" customHeight="1" x14ac:dyDescent="0.3">
      <c r="A3483" s="547" t="s">
        <v>430</v>
      </c>
      <c r="B3483" s="548" t="s">
        <v>1668</v>
      </c>
      <c r="C3483" s="547" t="s">
        <v>19</v>
      </c>
      <c r="D3483" s="547" t="s">
        <v>1669</v>
      </c>
      <c r="E3483" s="688" t="s">
        <v>461</v>
      </c>
      <c r="F3483" s="688"/>
      <c r="G3483" s="549" t="s">
        <v>423</v>
      </c>
      <c r="H3483" s="550">
        <v>1</v>
      </c>
      <c r="I3483" s="551">
        <v>0.26</v>
      </c>
      <c r="J3483" s="551">
        <v>0.26</v>
      </c>
      <c r="K3483" s="552"/>
    </row>
    <row r="3484" spans="1:11" ht="39" customHeight="1" thickBot="1" x14ac:dyDescent="0.35">
      <c r="A3484" s="547" t="s">
        <v>430</v>
      </c>
      <c r="B3484" s="548" t="s">
        <v>1670</v>
      </c>
      <c r="C3484" s="547" t="s">
        <v>19</v>
      </c>
      <c r="D3484" s="547" t="s">
        <v>1671</v>
      </c>
      <c r="E3484" s="688" t="s">
        <v>461</v>
      </c>
      <c r="F3484" s="688"/>
      <c r="G3484" s="549" t="s">
        <v>423</v>
      </c>
      <c r="H3484" s="550">
        <v>1</v>
      </c>
      <c r="I3484" s="551">
        <v>0.56000000000000005</v>
      </c>
      <c r="J3484" s="551">
        <v>0.56000000000000005</v>
      </c>
    </row>
    <row r="3485" spans="1:11" s="89" customFormat="1" ht="25.5" customHeight="1" thickTop="1" x14ac:dyDescent="0.3">
      <c r="A3485" s="562"/>
      <c r="B3485" s="562"/>
      <c r="C3485" s="562"/>
      <c r="D3485" s="562"/>
      <c r="E3485" s="562"/>
      <c r="F3485" s="562"/>
      <c r="G3485" s="562"/>
      <c r="H3485" s="562"/>
      <c r="I3485" s="562"/>
      <c r="J3485" s="562"/>
    </row>
    <row r="3486" spans="1:11" s="89" customFormat="1" ht="25.5" customHeight="1" x14ac:dyDescent="0.3">
      <c r="A3486" s="553"/>
      <c r="B3486" s="554" t="s">
        <v>4</v>
      </c>
      <c r="C3486" s="553" t="s">
        <v>5</v>
      </c>
      <c r="D3486" s="553" t="s">
        <v>6</v>
      </c>
      <c r="E3486" s="691" t="s">
        <v>427</v>
      </c>
      <c r="F3486" s="691"/>
      <c r="G3486" s="555" t="s">
        <v>7</v>
      </c>
      <c r="H3486" s="554" t="s">
        <v>8</v>
      </c>
      <c r="I3486" s="554" t="s">
        <v>9</v>
      </c>
      <c r="J3486" s="554" t="s">
        <v>11</v>
      </c>
    </row>
    <row r="3487" spans="1:11" s="89" customFormat="1" ht="25.5" customHeight="1" x14ac:dyDescent="0.3">
      <c r="A3487" s="607" t="s">
        <v>428</v>
      </c>
      <c r="B3487" s="608" t="s">
        <v>1662</v>
      </c>
      <c r="C3487" s="607" t="s">
        <v>19</v>
      </c>
      <c r="D3487" s="607" t="s">
        <v>1663</v>
      </c>
      <c r="E3487" s="690" t="s">
        <v>461</v>
      </c>
      <c r="F3487" s="690"/>
      <c r="G3487" s="609" t="s">
        <v>423</v>
      </c>
      <c r="H3487" s="610">
        <v>1</v>
      </c>
      <c r="I3487" s="611">
        <v>0.28000000000000003</v>
      </c>
      <c r="J3487" s="611">
        <v>0.28000000000000003</v>
      </c>
    </row>
    <row r="3488" spans="1:11" ht="25.5" thickBot="1" x14ac:dyDescent="0.35">
      <c r="A3488" s="547" t="s">
        <v>433</v>
      </c>
      <c r="B3488" s="548" t="s">
        <v>1672</v>
      </c>
      <c r="C3488" s="547" t="s">
        <v>19</v>
      </c>
      <c r="D3488" s="547" t="s">
        <v>1673</v>
      </c>
      <c r="E3488" s="688" t="s">
        <v>442</v>
      </c>
      <c r="F3488" s="688"/>
      <c r="G3488" s="549" t="s">
        <v>81</v>
      </c>
      <c r="H3488" s="550">
        <v>6.3999999999999997E-5</v>
      </c>
      <c r="I3488" s="551">
        <v>4469.78</v>
      </c>
      <c r="J3488" s="551">
        <v>0.28000000000000003</v>
      </c>
    </row>
    <row r="3489" spans="1:10" ht="38.25" customHeight="1" thickTop="1" x14ac:dyDescent="0.3">
      <c r="A3489" s="562"/>
      <c r="B3489" s="562"/>
      <c r="C3489" s="562"/>
      <c r="D3489" s="562"/>
      <c r="E3489" s="562"/>
      <c r="F3489" s="562"/>
      <c r="G3489" s="562"/>
      <c r="H3489" s="562"/>
      <c r="I3489" s="562"/>
      <c r="J3489" s="562"/>
    </row>
    <row r="3490" spans="1:10" s="89" customFormat="1" ht="25.5" customHeight="1" x14ac:dyDescent="0.3">
      <c r="A3490" s="553"/>
      <c r="B3490" s="554" t="s">
        <v>4</v>
      </c>
      <c r="C3490" s="553" t="s">
        <v>5</v>
      </c>
      <c r="D3490" s="553" t="s">
        <v>6</v>
      </c>
      <c r="E3490" s="691" t="s">
        <v>427</v>
      </c>
      <c r="F3490" s="691"/>
      <c r="G3490" s="555" t="s">
        <v>7</v>
      </c>
      <c r="H3490" s="554" t="s">
        <v>8</v>
      </c>
      <c r="I3490" s="554" t="s">
        <v>9</v>
      </c>
      <c r="J3490" s="554" t="s">
        <v>11</v>
      </c>
    </row>
    <row r="3491" spans="1:10" ht="25.5" customHeight="1" x14ac:dyDescent="0.3">
      <c r="A3491" s="607" t="s">
        <v>428</v>
      </c>
      <c r="B3491" s="608" t="s">
        <v>1664</v>
      </c>
      <c r="C3491" s="607" t="s">
        <v>19</v>
      </c>
      <c r="D3491" s="607" t="s">
        <v>1665</v>
      </c>
      <c r="E3491" s="690" t="s">
        <v>461</v>
      </c>
      <c r="F3491" s="690"/>
      <c r="G3491" s="609" t="s">
        <v>423</v>
      </c>
      <c r="H3491" s="610">
        <v>1</v>
      </c>
      <c r="I3491" s="611">
        <v>0.06</v>
      </c>
      <c r="J3491" s="611">
        <v>0.06</v>
      </c>
    </row>
    <row r="3492" spans="1:10" ht="25.5" thickBot="1" x14ac:dyDescent="0.35">
      <c r="A3492" s="547" t="s">
        <v>433</v>
      </c>
      <c r="B3492" s="548" t="s">
        <v>1672</v>
      </c>
      <c r="C3492" s="547" t="s">
        <v>19</v>
      </c>
      <c r="D3492" s="547" t="s">
        <v>1673</v>
      </c>
      <c r="E3492" s="688" t="s">
        <v>442</v>
      </c>
      <c r="F3492" s="688"/>
      <c r="G3492" s="549" t="s">
        <v>81</v>
      </c>
      <c r="H3492" s="550">
        <v>1.4800000000000001E-5</v>
      </c>
      <c r="I3492" s="551">
        <v>4469.78</v>
      </c>
      <c r="J3492" s="551">
        <v>0.06</v>
      </c>
    </row>
    <row r="3493" spans="1:10" ht="25.5" customHeight="1" thickTop="1" x14ac:dyDescent="0.3">
      <c r="A3493" s="562"/>
      <c r="B3493" s="562"/>
      <c r="C3493" s="562"/>
      <c r="D3493" s="562"/>
      <c r="E3493" s="562"/>
      <c r="F3493" s="562"/>
      <c r="G3493" s="562"/>
      <c r="H3493" s="562"/>
      <c r="I3493" s="562"/>
      <c r="J3493" s="562"/>
    </row>
    <row r="3494" spans="1:10" s="89" customFormat="1" ht="25.5" customHeight="1" x14ac:dyDescent="0.3">
      <c r="A3494" s="553"/>
      <c r="B3494" s="554" t="s">
        <v>4</v>
      </c>
      <c r="C3494" s="553" t="s">
        <v>5</v>
      </c>
      <c r="D3494" s="553" t="s">
        <v>6</v>
      </c>
      <c r="E3494" s="691" t="s">
        <v>427</v>
      </c>
      <c r="F3494" s="691"/>
      <c r="G3494" s="555" t="s">
        <v>7</v>
      </c>
      <c r="H3494" s="554" t="s">
        <v>8</v>
      </c>
      <c r="I3494" s="554" t="s">
        <v>9</v>
      </c>
      <c r="J3494" s="554" t="s">
        <v>11</v>
      </c>
    </row>
    <row r="3495" spans="1:10" ht="25.5" customHeight="1" x14ac:dyDescent="0.3">
      <c r="A3495" s="607" t="s">
        <v>428</v>
      </c>
      <c r="B3495" s="608" t="s">
        <v>1668</v>
      </c>
      <c r="C3495" s="607" t="s">
        <v>19</v>
      </c>
      <c r="D3495" s="607" t="s">
        <v>1669</v>
      </c>
      <c r="E3495" s="690" t="s">
        <v>461</v>
      </c>
      <c r="F3495" s="690"/>
      <c r="G3495" s="609" t="s">
        <v>423</v>
      </c>
      <c r="H3495" s="610">
        <v>1</v>
      </c>
      <c r="I3495" s="611">
        <v>0.26</v>
      </c>
      <c r="J3495" s="611">
        <v>0.26</v>
      </c>
    </row>
    <row r="3496" spans="1:10" ht="25.5" thickBot="1" x14ac:dyDescent="0.35">
      <c r="A3496" s="547" t="s">
        <v>433</v>
      </c>
      <c r="B3496" s="548" t="s">
        <v>1672</v>
      </c>
      <c r="C3496" s="547" t="s">
        <v>19</v>
      </c>
      <c r="D3496" s="547" t="s">
        <v>1673</v>
      </c>
      <c r="E3496" s="688" t="s">
        <v>442</v>
      </c>
      <c r="F3496" s="688"/>
      <c r="G3496" s="549" t="s">
        <v>81</v>
      </c>
      <c r="H3496" s="550">
        <v>6.0000000000000002E-5</v>
      </c>
      <c r="I3496" s="551">
        <v>4469.78</v>
      </c>
      <c r="J3496" s="551">
        <v>0.26</v>
      </c>
    </row>
    <row r="3497" spans="1:10" ht="25.5" customHeight="1" thickTop="1" x14ac:dyDescent="0.3">
      <c r="A3497" s="562"/>
      <c r="B3497" s="562"/>
      <c r="C3497" s="562"/>
      <c r="D3497" s="562"/>
      <c r="E3497" s="562"/>
      <c r="F3497" s="562"/>
      <c r="G3497" s="562"/>
      <c r="H3497" s="562"/>
      <c r="I3497" s="562"/>
      <c r="J3497" s="562"/>
    </row>
    <row r="3498" spans="1:10" s="89" customFormat="1" ht="25.5" customHeight="1" x14ac:dyDescent="0.3">
      <c r="A3498" s="553"/>
      <c r="B3498" s="554" t="s">
        <v>4</v>
      </c>
      <c r="C3498" s="553" t="s">
        <v>5</v>
      </c>
      <c r="D3498" s="553" t="s">
        <v>6</v>
      </c>
      <c r="E3498" s="691" t="s">
        <v>427</v>
      </c>
      <c r="F3498" s="691"/>
      <c r="G3498" s="555" t="s">
        <v>7</v>
      </c>
      <c r="H3498" s="554" t="s">
        <v>8</v>
      </c>
      <c r="I3498" s="554" t="s">
        <v>9</v>
      </c>
      <c r="J3498" s="554" t="s">
        <v>11</v>
      </c>
    </row>
    <row r="3499" spans="1:10" ht="14.25" customHeight="1" x14ac:dyDescent="0.3">
      <c r="A3499" s="607" t="s">
        <v>428</v>
      </c>
      <c r="B3499" s="608" t="s">
        <v>1670</v>
      </c>
      <c r="C3499" s="607" t="s">
        <v>19</v>
      </c>
      <c r="D3499" s="607" t="s">
        <v>1671</v>
      </c>
      <c r="E3499" s="690" t="s">
        <v>461</v>
      </c>
      <c r="F3499" s="690"/>
      <c r="G3499" s="609" t="s">
        <v>423</v>
      </c>
      <c r="H3499" s="610">
        <v>1</v>
      </c>
      <c r="I3499" s="611">
        <v>0.56000000000000005</v>
      </c>
      <c r="J3499" s="611">
        <v>0.56000000000000005</v>
      </c>
    </row>
    <row r="3500" spans="1:10" ht="25.5" customHeight="1" thickBot="1" x14ac:dyDescent="0.35">
      <c r="A3500" s="547" t="s">
        <v>433</v>
      </c>
      <c r="B3500" s="548" t="s">
        <v>1301</v>
      </c>
      <c r="C3500" s="547" t="s">
        <v>19</v>
      </c>
      <c r="D3500" s="547" t="s">
        <v>1302</v>
      </c>
      <c r="E3500" s="688" t="s">
        <v>438</v>
      </c>
      <c r="F3500" s="688"/>
      <c r="G3500" s="549" t="s">
        <v>528</v>
      </c>
      <c r="H3500" s="550">
        <v>0.78</v>
      </c>
      <c r="I3500" s="551">
        <v>0.72</v>
      </c>
      <c r="J3500" s="551">
        <v>0.56000000000000005</v>
      </c>
    </row>
    <row r="3501" spans="1:10" ht="26.25" customHeight="1" thickTop="1" x14ac:dyDescent="0.3">
      <c r="A3501" s="562"/>
      <c r="B3501" s="562"/>
      <c r="C3501" s="562"/>
      <c r="D3501" s="562"/>
      <c r="E3501" s="562"/>
      <c r="F3501" s="562"/>
      <c r="G3501" s="562"/>
      <c r="H3501" s="562"/>
      <c r="I3501" s="562"/>
      <c r="J3501" s="562"/>
    </row>
    <row r="3502" spans="1:10" x14ac:dyDescent="0.3">
      <c r="A3502" s="553"/>
      <c r="B3502" s="554" t="s">
        <v>4</v>
      </c>
      <c r="C3502" s="553" t="s">
        <v>5</v>
      </c>
      <c r="D3502" s="553" t="s">
        <v>6</v>
      </c>
      <c r="E3502" s="691" t="s">
        <v>427</v>
      </c>
      <c r="F3502" s="691"/>
      <c r="G3502" s="555" t="s">
        <v>7</v>
      </c>
      <c r="H3502" s="554" t="s">
        <v>8</v>
      </c>
      <c r="I3502" s="554" t="s">
        <v>9</v>
      </c>
      <c r="J3502" s="554" t="s">
        <v>11</v>
      </c>
    </row>
    <row r="3503" spans="1:10" ht="38.25" customHeight="1" x14ac:dyDescent="0.3">
      <c r="A3503" s="607" t="s">
        <v>428</v>
      </c>
      <c r="B3503" s="608" t="s">
        <v>1020</v>
      </c>
      <c r="C3503" s="607" t="s">
        <v>19</v>
      </c>
      <c r="D3503" s="607" t="s">
        <v>1021</v>
      </c>
      <c r="E3503" s="690" t="s">
        <v>461</v>
      </c>
      <c r="F3503" s="690"/>
      <c r="G3503" s="609" t="s">
        <v>95</v>
      </c>
      <c r="H3503" s="610">
        <v>1</v>
      </c>
      <c r="I3503" s="611">
        <v>214.09</v>
      </c>
      <c r="J3503" s="611">
        <v>214.09</v>
      </c>
    </row>
    <row r="3504" spans="1:10" s="89" customFormat="1" x14ac:dyDescent="0.3">
      <c r="A3504" s="547" t="s">
        <v>430</v>
      </c>
      <c r="B3504" s="548" t="s">
        <v>1674</v>
      </c>
      <c r="C3504" s="547" t="s">
        <v>19</v>
      </c>
      <c r="D3504" s="547" t="s">
        <v>1675</v>
      </c>
      <c r="E3504" s="688" t="s">
        <v>429</v>
      </c>
      <c r="F3504" s="688"/>
      <c r="G3504" s="549" t="s">
        <v>423</v>
      </c>
      <c r="H3504" s="550">
        <v>1</v>
      </c>
      <c r="I3504" s="551">
        <v>25.88</v>
      </c>
      <c r="J3504" s="551">
        <v>25.88</v>
      </c>
    </row>
    <row r="3505" spans="1:10" ht="14.25" customHeight="1" x14ac:dyDescent="0.3">
      <c r="A3505" s="547" t="s">
        <v>430</v>
      </c>
      <c r="B3505" s="548" t="s">
        <v>1676</v>
      </c>
      <c r="C3505" s="547" t="s">
        <v>19</v>
      </c>
      <c r="D3505" s="547" t="s">
        <v>1677</v>
      </c>
      <c r="E3505" s="688" t="s">
        <v>461</v>
      </c>
      <c r="F3505" s="688"/>
      <c r="G3505" s="549" t="s">
        <v>423</v>
      </c>
      <c r="H3505" s="550">
        <v>1</v>
      </c>
      <c r="I3505" s="551">
        <v>52.21</v>
      </c>
      <c r="J3505" s="551">
        <v>52.21</v>
      </c>
    </row>
    <row r="3506" spans="1:10" ht="25.5" customHeight="1" x14ac:dyDescent="0.3">
      <c r="A3506" s="547" t="s">
        <v>430</v>
      </c>
      <c r="B3506" s="548" t="s">
        <v>1678</v>
      </c>
      <c r="C3506" s="547" t="s">
        <v>19</v>
      </c>
      <c r="D3506" s="547" t="s">
        <v>1679</v>
      </c>
      <c r="E3506" s="688" t="s">
        <v>461</v>
      </c>
      <c r="F3506" s="688"/>
      <c r="G3506" s="549" t="s">
        <v>423</v>
      </c>
      <c r="H3506" s="550">
        <v>1</v>
      </c>
      <c r="I3506" s="551">
        <v>18.399999999999999</v>
      </c>
      <c r="J3506" s="551">
        <v>18.399999999999999</v>
      </c>
    </row>
    <row r="3507" spans="1:10" ht="25.5" customHeight="1" x14ac:dyDescent="0.3">
      <c r="A3507" s="547" t="s">
        <v>430</v>
      </c>
      <c r="B3507" s="548" t="s">
        <v>1680</v>
      </c>
      <c r="C3507" s="547" t="s">
        <v>19</v>
      </c>
      <c r="D3507" s="547" t="s">
        <v>1681</v>
      </c>
      <c r="E3507" s="688" t="s">
        <v>461</v>
      </c>
      <c r="F3507" s="688"/>
      <c r="G3507" s="549" t="s">
        <v>423</v>
      </c>
      <c r="H3507" s="550">
        <v>1</v>
      </c>
      <c r="I3507" s="551">
        <v>7.44</v>
      </c>
      <c r="J3507" s="551">
        <v>7.44</v>
      </c>
    </row>
    <row r="3508" spans="1:10" ht="25.5" customHeight="1" x14ac:dyDescent="0.3">
      <c r="A3508" s="547" t="s">
        <v>430</v>
      </c>
      <c r="B3508" s="548" t="s">
        <v>1682</v>
      </c>
      <c r="C3508" s="547" t="s">
        <v>19</v>
      </c>
      <c r="D3508" s="547" t="s">
        <v>1683</v>
      </c>
      <c r="E3508" s="688" t="s">
        <v>461</v>
      </c>
      <c r="F3508" s="688"/>
      <c r="G3508" s="549" t="s">
        <v>423</v>
      </c>
      <c r="H3508" s="550">
        <v>1</v>
      </c>
      <c r="I3508" s="551">
        <v>83.94</v>
      </c>
      <c r="J3508" s="551">
        <v>83.94</v>
      </c>
    </row>
    <row r="3509" spans="1:10" ht="39" customHeight="1" thickBot="1" x14ac:dyDescent="0.35">
      <c r="A3509" s="547" t="s">
        <v>430</v>
      </c>
      <c r="B3509" s="548" t="s">
        <v>1684</v>
      </c>
      <c r="C3509" s="547" t="s">
        <v>19</v>
      </c>
      <c r="D3509" s="547" t="s">
        <v>1685</v>
      </c>
      <c r="E3509" s="688" t="s">
        <v>461</v>
      </c>
      <c r="F3509" s="688"/>
      <c r="G3509" s="549" t="s">
        <v>423</v>
      </c>
      <c r="H3509" s="550">
        <v>1</v>
      </c>
      <c r="I3509" s="551">
        <v>26.22</v>
      </c>
      <c r="J3509" s="551">
        <v>26.22</v>
      </c>
    </row>
    <row r="3510" spans="1:10" ht="14.5" thickTop="1" x14ac:dyDescent="0.3">
      <c r="A3510" s="562"/>
      <c r="B3510" s="562"/>
      <c r="C3510" s="562"/>
      <c r="D3510" s="562"/>
      <c r="E3510" s="562"/>
      <c r="F3510" s="562"/>
      <c r="G3510" s="562"/>
      <c r="H3510" s="562"/>
      <c r="I3510" s="562"/>
      <c r="J3510" s="562"/>
    </row>
    <row r="3511" spans="1:10" x14ac:dyDescent="0.3">
      <c r="A3511" s="553"/>
      <c r="B3511" s="554" t="s">
        <v>4</v>
      </c>
      <c r="C3511" s="553" t="s">
        <v>5</v>
      </c>
      <c r="D3511" s="553" t="s">
        <v>6</v>
      </c>
      <c r="E3511" s="691" t="s">
        <v>427</v>
      </c>
      <c r="F3511" s="691"/>
      <c r="G3511" s="555" t="s">
        <v>7</v>
      </c>
      <c r="H3511" s="554" t="s">
        <v>8</v>
      </c>
      <c r="I3511" s="554" t="s">
        <v>9</v>
      </c>
      <c r="J3511" s="554" t="s">
        <v>11</v>
      </c>
    </row>
    <row r="3512" spans="1:10" s="89" customFormat="1" ht="25.5" customHeight="1" x14ac:dyDescent="0.3">
      <c r="A3512" s="607" t="s">
        <v>428</v>
      </c>
      <c r="B3512" s="608" t="s">
        <v>1676</v>
      </c>
      <c r="C3512" s="607" t="s">
        <v>19</v>
      </c>
      <c r="D3512" s="607" t="s">
        <v>1677</v>
      </c>
      <c r="E3512" s="690" t="s">
        <v>461</v>
      </c>
      <c r="F3512" s="690"/>
      <c r="G3512" s="609" t="s">
        <v>423</v>
      </c>
      <c r="H3512" s="610">
        <v>1</v>
      </c>
      <c r="I3512" s="611">
        <v>52.21</v>
      </c>
      <c r="J3512" s="611">
        <v>52.21</v>
      </c>
    </row>
    <row r="3513" spans="1:10" ht="25.5" customHeight="1" thickBot="1" x14ac:dyDescent="0.35">
      <c r="A3513" s="547" t="s">
        <v>433</v>
      </c>
      <c r="B3513" s="548" t="s">
        <v>1686</v>
      </c>
      <c r="C3513" s="547" t="s">
        <v>19</v>
      </c>
      <c r="D3513" s="547" t="s">
        <v>1687</v>
      </c>
      <c r="E3513" s="688" t="s">
        <v>442</v>
      </c>
      <c r="F3513" s="688"/>
      <c r="G3513" s="549" t="s">
        <v>81</v>
      </c>
      <c r="H3513" s="550">
        <v>4.0000000000000003E-5</v>
      </c>
      <c r="I3513" s="551">
        <v>1305473.1499999999</v>
      </c>
      <c r="J3513" s="551">
        <v>52.21</v>
      </c>
    </row>
    <row r="3514" spans="1:10" s="89" customFormat="1" ht="15" customHeight="1" thickTop="1" x14ac:dyDescent="0.3">
      <c r="A3514" s="562"/>
      <c r="B3514" s="562"/>
      <c r="C3514" s="562"/>
      <c r="D3514" s="562"/>
      <c r="E3514" s="562"/>
      <c r="F3514" s="562"/>
      <c r="G3514" s="562"/>
      <c r="H3514" s="562"/>
      <c r="I3514" s="562"/>
      <c r="J3514" s="562"/>
    </row>
    <row r="3515" spans="1:10" ht="25.5" customHeight="1" x14ac:dyDescent="0.3">
      <c r="A3515" s="553"/>
      <c r="B3515" s="554" t="s">
        <v>4</v>
      </c>
      <c r="C3515" s="553" t="s">
        <v>5</v>
      </c>
      <c r="D3515" s="553" t="s">
        <v>6</v>
      </c>
      <c r="E3515" s="691" t="s">
        <v>427</v>
      </c>
      <c r="F3515" s="691"/>
      <c r="G3515" s="555" t="s">
        <v>7</v>
      </c>
      <c r="H3515" s="554" t="s">
        <v>8</v>
      </c>
      <c r="I3515" s="554" t="s">
        <v>9</v>
      </c>
      <c r="J3515" s="554" t="s">
        <v>11</v>
      </c>
    </row>
    <row r="3516" spans="1:10" s="89" customFormat="1" ht="25.5" customHeight="1" x14ac:dyDescent="0.3">
      <c r="A3516" s="607" t="s">
        <v>428</v>
      </c>
      <c r="B3516" s="608" t="s">
        <v>1680</v>
      </c>
      <c r="C3516" s="607" t="s">
        <v>19</v>
      </c>
      <c r="D3516" s="607" t="s">
        <v>1681</v>
      </c>
      <c r="E3516" s="690" t="s">
        <v>461</v>
      </c>
      <c r="F3516" s="690"/>
      <c r="G3516" s="609" t="s">
        <v>423</v>
      </c>
      <c r="H3516" s="610">
        <v>1</v>
      </c>
      <c r="I3516" s="611">
        <v>7.44</v>
      </c>
      <c r="J3516" s="611">
        <v>7.44</v>
      </c>
    </row>
    <row r="3517" spans="1:10" ht="25.5" thickBot="1" x14ac:dyDescent="0.35">
      <c r="A3517" s="547" t="s">
        <v>433</v>
      </c>
      <c r="B3517" s="548" t="s">
        <v>1686</v>
      </c>
      <c r="C3517" s="547" t="s">
        <v>19</v>
      </c>
      <c r="D3517" s="547" t="s">
        <v>1687</v>
      </c>
      <c r="E3517" s="688" t="s">
        <v>442</v>
      </c>
      <c r="F3517" s="688"/>
      <c r="G3517" s="549" t="s">
        <v>81</v>
      </c>
      <c r="H3517" s="550">
        <v>5.6999999999999996E-6</v>
      </c>
      <c r="I3517" s="551">
        <v>1305473.1499999999</v>
      </c>
      <c r="J3517" s="551">
        <v>7.44</v>
      </c>
    </row>
    <row r="3518" spans="1:10" s="89" customFormat="1" ht="14.5" thickTop="1" x14ac:dyDescent="0.3">
      <c r="A3518" s="562"/>
      <c r="B3518" s="562"/>
      <c r="C3518" s="562"/>
      <c r="D3518" s="562"/>
      <c r="E3518" s="562"/>
      <c r="F3518" s="562"/>
      <c r="G3518" s="562"/>
      <c r="H3518" s="562"/>
      <c r="I3518" s="562"/>
      <c r="J3518" s="562"/>
    </row>
    <row r="3519" spans="1:10" ht="25.5" customHeight="1" x14ac:dyDescent="0.3">
      <c r="A3519" s="553"/>
      <c r="B3519" s="554" t="s">
        <v>4</v>
      </c>
      <c r="C3519" s="553" t="s">
        <v>5</v>
      </c>
      <c r="D3519" s="553" t="s">
        <v>6</v>
      </c>
      <c r="E3519" s="691" t="s">
        <v>427</v>
      </c>
      <c r="F3519" s="691"/>
      <c r="G3519" s="555" t="s">
        <v>7</v>
      </c>
      <c r="H3519" s="554" t="s">
        <v>8</v>
      </c>
      <c r="I3519" s="554" t="s">
        <v>9</v>
      </c>
      <c r="J3519" s="554" t="s">
        <v>11</v>
      </c>
    </row>
    <row r="3520" spans="1:10" s="89" customFormat="1" ht="25.5" customHeight="1" x14ac:dyDescent="0.3">
      <c r="A3520" s="607" t="s">
        <v>428</v>
      </c>
      <c r="B3520" s="608" t="s">
        <v>1678</v>
      </c>
      <c r="C3520" s="607" t="s">
        <v>19</v>
      </c>
      <c r="D3520" s="607" t="s">
        <v>1679</v>
      </c>
      <c r="E3520" s="690" t="s">
        <v>461</v>
      </c>
      <c r="F3520" s="690"/>
      <c r="G3520" s="609" t="s">
        <v>423</v>
      </c>
      <c r="H3520" s="610">
        <v>1</v>
      </c>
      <c r="I3520" s="611">
        <v>18.399999999999999</v>
      </c>
      <c r="J3520" s="611">
        <v>18.399999999999999</v>
      </c>
    </row>
    <row r="3521" spans="1:10" ht="25.5" customHeight="1" thickBot="1" x14ac:dyDescent="0.35">
      <c r="A3521" s="547" t="s">
        <v>433</v>
      </c>
      <c r="B3521" s="548" t="s">
        <v>1686</v>
      </c>
      <c r="C3521" s="547" t="s">
        <v>19</v>
      </c>
      <c r="D3521" s="547" t="s">
        <v>1687</v>
      </c>
      <c r="E3521" s="688" t="s">
        <v>442</v>
      </c>
      <c r="F3521" s="688"/>
      <c r="G3521" s="549" t="s">
        <v>81</v>
      </c>
      <c r="H3521" s="550">
        <v>1.4100000000000001E-5</v>
      </c>
      <c r="I3521" s="551">
        <v>1305473.1499999999</v>
      </c>
      <c r="J3521" s="551">
        <v>18.399999999999999</v>
      </c>
    </row>
    <row r="3522" spans="1:10" s="89" customFormat="1" ht="25.5" customHeight="1" thickTop="1" x14ac:dyDescent="0.3">
      <c r="A3522" s="562"/>
      <c r="B3522" s="562"/>
      <c r="C3522" s="562"/>
      <c r="D3522" s="562"/>
      <c r="E3522" s="562"/>
      <c r="F3522" s="562"/>
      <c r="G3522" s="562"/>
      <c r="H3522" s="562"/>
      <c r="I3522" s="562"/>
      <c r="J3522" s="562"/>
    </row>
    <row r="3523" spans="1:10" ht="25.5" customHeight="1" x14ac:dyDescent="0.3">
      <c r="A3523" s="553"/>
      <c r="B3523" s="554" t="s">
        <v>4</v>
      </c>
      <c r="C3523" s="553" t="s">
        <v>5</v>
      </c>
      <c r="D3523" s="553" t="s">
        <v>6</v>
      </c>
      <c r="E3523" s="691" t="s">
        <v>427</v>
      </c>
      <c r="F3523" s="691"/>
      <c r="G3523" s="555" t="s">
        <v>7</v>
      </c>
      <c r="H3523" s="554" t="s">
        <v>8</v>
      </c>
      <c r="I3523" s="554" t="s">
        <v>9</v>
      </c>
      <c r="J3523" s="554" t="s">
        <v>11</v>
      </c>
    </row>
    <row r="3524" spans="1:10" s="89" customFormat="1" ht="38.25" customHeight="1" x14ac:dyDescent="0.3">
      <c r="A3524" s="607" t="s">
        <v>428</v>
      </c>
      <c r="B3524" s="608" t="s">
        <v>1682</v>
      </c>
      <c r="C3524" s="607" t="s">
        <v>19</v>
      </c>
      <c r="D3524" s="607" t="s">
        <v>1683</v>
      </c>
      <c r="E3524" s="690" t="s">
        <v>461</v>
      </c>
      <c r="F3524" s="690"/>
      <c r="G3524" s="609" t="s">
        <v>423</v>
      </c>
      <c r="H3524" s="610">
        <v>1</v>
      </c>
      <c r="I3524" s="611">
        <v>83.94</v>
      </c>
      <c r="J3524" s="611">
        <v>83.94</v>
      </c>
    </row>
    <row r="3525" spans="1:10" ht="25.5" thickBot="1" x14ac:dyDescent="0.35">
      <c r="A3525" s="547" t="s">
        <v>433</v>
      </c>
      <c r="B3525" s="548" t="s">
        <v>1686</v>
      </c>
      <c r="C3525" s="547" t="s">
        <v>19</v>
      </c>
      <c r="D3525" s="547" t="s">
        <v>1687</v>
      </c>
      <c r="E3525" s="688" t="s">
        <v>442</v>
      </c>
      <c r="F3525" s="688"/>
      <c r="G3525" s="549" t="s">
        <v>81</v>
      </c>
      <c r="H3525" s="550">
        <v>6.4300000000000004E-5</v>
      </c>
      <c r="I3525" s="551">
        <v>1305473.1499999999</v>
      </c>
      <c r="J3525" s="551">
        <v>83.94</v>
      </c>
    </row>
    <row r="3526" spans="1:10" s="89" customFormat="1" ht="14.5" thickTop="1" x14ac:dyDescent="0.3">
      <c r="A3526" s="562"/>
      <c r="B3526" s="562"/>
      <c r="C3526" s="562"/>
      <c r="D3526" s="562"/>
      <c r="E3526" s="562"/>
      <c r="F3526" s="562"/>
      <c r="G3526" s="562"/>
      <c r="H3526" s="562"/>
      <c r="I3526" s="562"/>
      <c r="J3526" s="562"/>
    </row>
    <row r="3527" spans="1:10" ht="25.5" customHeight="1" x14ac:dyDescent="0.3">
      <c r="A3527" s="553"/>
      <c r="B3527" s="554" t="s">
        <v>4</v>
      </c>
      <c r="C3527" s="553" t="s">
        <v>5</v>
      </c>
      <c r="D3527" s="553" t="s">
        <v>6</v>
      </c>
      <c r="E3527" s="691" t="s">
        <v>427</v>
      </c>
      <c r="F3527" s="691"/>
      <c r="G3527" s="555" t="s">
        <v>7</v>
      </c>
      <c r="H3527" s="554" t="s">
        <v>8</v>
      </c>
      <c r="I3527" s="554" t="s">
        <v>9</v>
      </c>
      <c r="J3527" s="554" t="s">
        <v>11</v>
      </c>
    </row>
    <row r="3528" spans="1:10" s="89" customFormat="1" ht="38.25" customHeight="1" x14ac:dyDescent="0.3">
      <c r="A3528" s="607" t="s">
        <v>428</v>
      </c>
      <c r="B3528" s="608" t="s">
        <v>1684</v>
      </c>
      <c r="C3528" s="607" t="s">
        <v>19</v>
      </c>
      <c r="D3528" s="607" t="s">
        <v>1685</v>
      </c>
      <c r="E3528" s="690" t="s">
        <v>461</v>
      </c>
      <c r="F3528" s="690"/>
      <c r="G3528" s="609" t="s">
        <v>423</v>
      </c>
      <c r="H3528" s="610">
        <v>1</v>
      </c>
      <c r="I3528" s="611">
        <v>26.22</v>
      </c>
      <c r="J3528" s="611">
        <v>26.22</v>
      </c>
    </row>
    <row r="3529" spans="1:10" ht="14.25" customHeight="1" thickBot="1" x14ac:dyDescent="0.35">
      <c r="A3529" s="547" t="s">
        <v>433</v>
      </c>
      <c r="B3529" s="548" t="s">
        <v>3859</v>
      </c>
      <c r="C3529" s="547" t="s">
        <v>115</v>
      </c>
      <c r="D3529" s="547" t="s">
        <v>3860</v>
      </c>
      <c r="E3529" s="688" t="s">
        <v>438</v>
      </c>
      <c r="F3529" s="688"/>
      <c r="G3529" s="549" t="s">
        <v>835</v>
      </c>
      <c r="H3529" s="550">
        <v>4.8499999999999996</v>
      </c>
      <c r="I3529" s="551">
        <v>5.4069000000000003</v>
      </c>
      <c r="J3529" s="551">
        <v>26.22</v>
      </c>
    </row>
    <row r="3530" spans="1:10" s="89" customFormat="1" ht="38.25" customHeight="1" thickTop="1" x14ac:dyDescent="0.3">
      <c r="A3530" s="562"/>
      <c r="B3530" s="562"/>
      <c r="C3530" s="562"/>
      <c r="D3530" s="562"/>
      <c r="E3530" s="562"/>
      <c r="F3530" s="562"/>
      <c r="G3530" s="562"/>
      <c r="H3530" s="562"/>
      <c r="I3530" s="562"/>
      <c r="J3530" s="562"/>
    </row>
    <row r="3531" spans="1:10" ht="38.25" customHeight="1" x14ac:dyDescent="0.3">
      <c r="A3531" s="553"/>
      <c r="B3531" s="554" t="s">
        <v>4</v>
      </c>
      <c r="C3531" s="553" t="s">
        <v>5</v>
      </c>
      <c r="D3531" s="553" t="s">
        <v>6</v>
      </c>
      <c r="E3531" s="691" t="s">
        <v>427</v>
      </c>
      <c r="F3531" s="691"/>
      <c r="G3531" s="555" t="s">
        <v>7</v>
      </c>
      <c r="H3531" s="554" t="s">
        <v>8</v>
      </c>
      <c r="I3531" s="554" t="s">
        <v>9</v>
      </c>
      <c r="J3531" s="554" t="s">
        <v>11</v>
      </c>
    </row>
    <row r="3532" spans="1:10" s="89" customFormat="1" ht="38.25" customHeight="1" x14ac:dyDescent="0.3">
      <c r="A3532" s="607" t="s">
        <v>428</v>
      </c>
      <c r="B3532" s="608" t="s">
        <v>1017</v>
      </c>
      <c r="C3532" s="607" t="s">
        <v>19</v>
      </c>
      <c r="D3532" s="607" t="s">
        <v>1018</v>
      </c>
      <c r="E3532" s="690" t="s">
        <v>461</v>
      </c>
      <c r="F3532" s="690"/>
      <c r="G3532" s="609" t="s">
        <v>102</v>
      </c>
      <c r="H3532" s="610">
        <v>1</v>
      </c>
      <c r="I3532" s="611">
        <v>72.45</v>
      </c>
      <c r="J3532" s="611">
        <v>72.45</v>
      </c>
    </row>
    <row r="3533" spans="1:10" ht="38.25" customHeight="1" x14ac:dyDescent="0.3">
      <c r="A3533" s="547" t="s">
        <v>430</v>
      </c>
      <c r="B3533" s="548" t="s">
        <v>1688</v>
      </c>
      <c r="C3533" s="547" t="s">
        <v>19</v>
      </c>
      <c r="D3533" s="547" t="s">
        <v>1689</v>
      </c>
      <c r="E3533" s="688" t="s">
        <v>429</v>
      </c>
      <c r="F3533" s="688"/>
      <c r="G3533" s="549" t="s">
        <v>423</v>
      </c>
      <c r="H3533" s="550">
        <v>1</v>
      </c>
      <c r="I3533" s="551">
        <v>31.05</v>
      </c>
      <c r="J3533" s="551">
        <v>31.05</v>
      </c>
    </row>
    <row r="3534" spans="1:10" s="89" customFormat="1" ht="39" customHeight="1" x14ac:dyDescent="0.3">
      <c r="A3534" s="547" t="s">
        <v>430</v>
      </c>
      <c r="B3534" s="548" t="s">
        <v>1690</v>
      </c>
      <c r="C3534" s="547" t="s">
        <v>19</v>
      </c>
      <c r="D3534" s="547" t="s">
        <v>1691</v>
      </c>
      <c r="E3534" s="688" t="s">
        <v>461</v>
      </c>
      <c r="F3534" s="688"/>
      <c r="G3534" s="549" t="s">
        <v>423</v>
      </c>
      <c r="H3534" s="550">
        <v>1</v>
      </c>
      <c r="I3534" s="551">
        <v>27.32</v>
      </c>
      <c r="J3534" s="551">
        <v>27.32</v>
      </c>
    </row>
    <row r="3535" spans="1:10" ht="25.5" customHeight="1" x14ac:dyDescent="0.3">
      <c r="A3535" s="547" t="s">
        <v>430</v>
      </c>
      <c r="B3535" s="548" t="s">
        <v>1692</v>
      </c>
      <c r="C3535" s="547" t="s">
        <v>19</v>
      </c>
      <c r="D3535" s="547" t="s">
        <v>1693</v>
      </c>
      <c r="E3535" s="688" t="s">
        <v>461</v>
      </c>
      <c r="F3535" s="688"/>
      <c r="G3535" s="549" t="s">
        <v>423</v>
      </c>
      <c r="H3535" s="550">
        <v>1</v>
      </c>
      <c r="I3535" s="551">
        <v>10.029999999999999</v>
      </c>
      <c r="J3535" s="551">
        <v>10.029999999999999</v>
      </c>
    </row>
    <row r="3536" spans="1:10" s="89" customFormat="1" ht="50.5" thickBot="1" x14ac:dyDescent="0.35">
      <c r="A3536" s="547" t="s">
        <v>430</v>
      </c>
      <c r="B3536" s="548" t="s">
        <v>1694</v>
      </c>
      <c r="C3536" s="547" t="s">
        <v>19</v>
      </c>
      <c r="D3536" s="547" t="s">
        <v>1695</v>
      </c>
      <c r="E3536" s="688" t="s">
        <v>461</v>
      </c>
      <c r="F3536" s="688"/>
      <c r="G3536" s="549" t="s">
        <v>423</v>
      </c>
      <c r="H3536" s="550">
        <v>1</v>
      </c>
      <c r="I3536" s="551">
        <v>4.05</v>
      </c>
      <c r="J3536" s="551">
        <v>4.05</v>
      </c>
    </row>
    <row r="3537" spans="1:10" s="89" customFormat="1" ht="38.25" customHeight="1" thickTop="1" x14ac:dyDescent="0.3">
      <c r="A3537" s="562"/>
      <c r="B3537" s="562"/>
      <c r="C3537" s="562"/>
      <c r="D3537" s="562"/>
      <c r="E3537" s="562"/>
      <c r="F3537" s="562"/>
      <c r="G3537" s="562"/>
      <c r="H3537" s="562"/>
      <c r="I3537" s="562"/>
      <c r="J3537" s="562"/>
    </row>
    <row r="3538" spans="1:10" s="89" customFormat="1" x14ac:dyDescent="0.3">
      <c r="A3538" s="553"/>
      <c r="B3538" s="554" t="s">
        <v>4</v>
      </c>
      <c r="C3538" s="553" t="s">
        <v>5</v>
      </c>
      <c r="D3538" s="553" t="s">
        <v>6</v>
      </c>
      <c r="E3538" s="691" t="s">
        <v>427</v>
      </c>
      <c r="F3538" s="691"/>
      <c r="G3538" s="555" t="s">
        <v>7</v>
      </c>
      <c r="H3538" s="554" t="s">
        <v>8</v>
      </c>
      <c r="I3538" s="554" t="s">
        <v>9</v>
      </c>
      <c r="J3538" s="554" t="s">
        <v>11</v>
      </c>
    </row>
    <row r="3539" spans="1:10" ht="38.25" customHeight="1" x14ac:dyDescent="0.3">
      <c r="A3539" s="607" t="s">
        <v>428</v>
      </c>
      <c r="B3539" s="608" t="s">
        <v>1015</v>
      </c>
      <c r="C3539" s="607" t="s">
        <v>19</v>
      </c>
      <c r="D3539" s="607" t="s">
        <v>1016</v>
      </c>
      <c r="E3539" s="690" t="s">
        <v>461</v>
      </c>
      <c r="F3539" s="690"/>
      <c r="G3539" s="609" t="s">
        <v>95</v>
      </c>
      <c r="H3539" s="610">
        <v>1</v>
      </c>
      <c r="I3539" s="611">
        <v>261.58999999999997</v>
      </c>
      <c r="J3539" s="611">
        <v>261.58999999999997</v>
      </c>
    </row>
    <row r="3540" spans="1:10" ht="25" x14ac:dyDescent="0.3">
      <c r="A3540" s="547" t="s">
        <v>430</v>
      </c>
      <c r="B3540" s="548" t="s">
        <v>1688</v>
      </c>
      <c r="C3540" s="547" t="s">
        <v>19</v>
      </c>
      <c r="D3540" s="547" t="s">
        <v>1689</v>
      </c>
      <c r="E3540" s="688" t="s">
        <v>429</v>
      </c>
      <c r="F3540" s="688"/>
      <c r="G3540" s="549" t="s">
        <v>423</v>
      </c>
      <c r="H3540" s="550">
        <v>1</v>
      </c>
      <c r="I3540" s="551">
        <v>31.05</v>
      </c>
      <c r="J3540" s="551">
        <v>31.05</v>
      </c>
    </row>
    <row r="3541" spans="1:10" s="89" customFormat="1" ht="38.25" customHeight="1" x14ac:dyDescent="0.3">
      <c r="A3541" s="547" t="s">
        <v>430</v>
      </c>
      <c r="B3541" s="548" t="s">
        <v>1690</v>
      </c>
      <c r="C3541" s="547" t="s">
        <v>19</v>
      </c>
      <c r="D3541" s="547" t="s">
        <v>1691</v>
      </c>
      <c r="E3541" s="688" t="s">
        <v>461</v>
      </c>
      <c r="F3541" s="688"/>
      <c r="G3541" s="549" t="s">
        <v>423</v>
      </c>
      <c r="H3541" s="550">
        <v>1</v>
      </c>
      <c r="I3541" s="551">
        <v>27.32</v>
      </c>
      <c r="J3541" s="551">
        <v>27.32</v>
      </c>
    </row>
    <row r="3542" spans="1:10" ht="50" x14ac:dyDescent="0.3">
      <c r="A3542" s="547" t="s">
        <v>430</v>
      </c>
      <c r="B3542" s="548" t="s">
        <v>1692</v>
      </c>
      <c r="C3542" s="547" t="s">
        <v>19</v>
      </c>
      <c r="D3542" s="547" t="s">
        <v>1693</v>
      </c>
      <c r="E3542" s="688" t="s">
        <v>461</v>
      </c>
      <c r="F3542" s="688"/>
      <c r="G3542" s="549" t="s">
        <v>423</v>
      </c>
      <c r="H3542" s="550">
        <v>1</v>
      </c>
      <c r="I3542" s="551">
        <v>10.029999999999999</v>
      </c>
      <c r="J3542" s="551">
        <v>10.029999999999999</v>
      </c>
    </row>
    <row r="3543" spans="1:10" s="89" customFormat="1" ht="38.25" customHeight="1" x14ac:dyDescent="0.3">
      <c r="A3543" s="547" t="s">
        <v>430</v>
      </c>
      <c r="B3543" s="548" t="s">
        <v>1696</v>
      </c>
      <c r="C3543" s="547" t="s">
        <v>19</v>
      </c>
      <c r="D3543" s="547" t="s">
        <v>1697</v>
      </c>
      <c r="E3543" s="688" t="s">
        <v>461</v>
      </c>
      <c r="F3543" s="688"/>
      <c r="G3543" s="549" t="s">
        <v>423</v>
      </c>
      <c r="H3543" s="550">
        <v>1</v>
      </c>
      <c r="I3543" s="551">
        <v>46.24</v>
      </c>
      <c r="J3543" s="551">
        <v>46.24</v>
      </c>
    </row>
    <row r="3544" spans="1:10" ht="14.25" customHeight="1" x14ac:dyDescent="0.3">
      <c r="A3544" s="547" t="s">
        <v>430</v>
      </c>
      <c r="B3544" s="548" t="s">
        <v>1694</v>
      </c>
      <c r="C3544" s="547" t="s">
        <v>19</v>
      </c>
      <c r="D3544" s="547" t="s">
        <v>1695</v>
      </c>
      <c r="E3544" s="688" t="s">
        <v>461</v>
      </c>
      <c r="F3544" s="688"/>
      <c r="G3544" s="549" t="s">
        <v>423</v>
      </c>
      <c r="H3544" s="550">
        <v>1</v>
      </c>
      <c r="I3544" s="551">
        <v>4.05</v>
      </c>
      <c r="J3544" s="551">
        <v>4.05</v>
      </c>
    </row>
    <row r="3545" spans="1:10" s="89" customFormat="1" ht="38.25" customHeight="1" thickBot="1" x14ac:dyDescent="0.35">
      <c r="A3545" s="547" t="s">
        <v>430</v>
      </c>
      <c r="B3545" s="548" t="s">
        <v>1698</v>
      </c>
      <c r="C3545" s="547" t="s">
        <v>19</v>
      </c>
      <c r="D3545" s="547" t="s">
        <v>1699</v>
      </c>
      <c r="E3545" s="688" t="s">
        <v>461</v>
      </c>
      <c r="F3545" s="688"/>
      <c r="G3545" s="549" t="s">
        <v>423</v>
      </c>
      <c r="H3545" s="550">
        <v>1</v>
      </c>
      <c r="I3545" s="551">
        <v>142.9</v>
      </c>
      <c r="J3545" s="551">
        <v>142.9</v>
      </c>
    </row>
    <row r="3546" spans="1:10" ht="38.25" customHeight="1" thickTop="1" x14ac:dyDescent="0.3">
      <c r="A3546" s="562"/>
      <c r="B3546" s="562"/>
      <c r="C3546" s="562"/>
      <c r="D3546" s="562"/>
      <c r="E3546" s="562"/>
      <c r="F3546" s="562"/>
      <c r="G3546" s="562"/>
      <c r="H3546" s="562"/>
      <c r="I3546" s="562"/>
      <c r="J3546" s="562"/>
    </row>
    <row r="3547" spans="1:10" ht="38.25" customHeight="1" x14ac:dyDescent="0.3">
      <c r="A3547" s="553"/>
      <c r="B3547" s="554" t="s">
        <v>4</v>
      </c>
      <c r="C3547" s="553" t="s">
        <v>5</v>
      </c>
      <c r="D3547" s="553" t="s">
        <v>6</v>
      </c>
      <c r="E3547" s="691" t="s">
        <v>427</v>
      </c>
      <c r="F3547" s="691"/>
      <c r="G3547" s="555" t="s">
        <v>7</v>
      </c>
      <c r="H3547" s="554" t="s">
        <v>8</v>
      </c>
      <c r="I3547" s="554" t="s">
        <v>9</v>
      </c>
      <c r="J3547" s="554" t="s">
        <v>11</v>
      </c>
    </row>
    <row r="3548" spans="1:10" ht="38.25" customHeight="1" x14ac:dyDescent="0.3">
      <c r="A3548" s="607" t="s">
        <v>428</v>
      </c>
      <c r="B3548" s="608" t="s">
        <v>1690</v>
      </c>
      <c r="C3548" s="607" t="s">
        <v>19</v>
      </c>
      <c r="D3548" s="607" t="s">
        <v>1691</v>
      </c>
      <c r="E3548" s="690" t="s">
        <v>461</v>
      </c>
      <c r="F3548" s="690"/>
      <c r="G3548" s="609" t="s">
        <v>423</v>
      </c>
      <c r="H3548" s="610">
        <v>1</v>
      </c>
      <c r="I3548" s="611">
        <v>27.32</v>
      </c>
      <c r="J3548" s="611">
        <v>27.32</v>
      </c>
    </row>
    <row r="3549" spans="1:10" s="89" customFormat="1" ht="38.25" customHeight="1" x14ac:dyDescent="0.3">
      <c r="A3549" s="547" t="s">
        <v>433</v>
      </c>
      <c r="B3549" s="548" t="s">
        <v>1700</v>
      </c>
      <c r="C3549" s="547" t="s">
        <v>19</v>
      </c>
      <c r="D3549" s="547" t="s">
        <v>1701</v>
      </c>
      <c r="E3549" s="688" t="s">
        <v>442</v>
      </c>
      <c r="F3549" s="688"/>
      <c r="G3549" s="549" t="s">
        <v>81</v>
      </c>
      <c r="H3549" s="550">
        <v>5.5099999999999998E-5</v>
      </c>
      <c r="I3549" s="551">
        <v>144875</v>
      </c>
      <c r="J3549" s="551">
        <v>7.98</v>
      </c>
    </row>
    <row r="3550" spans="1:10" s="89" customFormat="1" ht="38" thickBot="1" x14ac:dyDescent="0.35">
      <c r="A3550" s="547" t="s">
        <v>433</v>
      </c>
      <c r="B3550" s="548" t="s">
        <v>1702</v>
      </c>
      <c r="C3550" s="547" t="s">
        <v>19</v>
      </c>
      <c r="D3550" s="547" t="s">
        <v>1703</v>
      </c>
      <c r="E3550" s="688" t="s">
        <v>442</v>
      </c>
      <c r="F3550" s="688"/>
      <c r="G3550" s="549" t="s">
        <v>81</v>
      </c>
      <c r="H3550" s="550">
        <v>3.43E-5</v>
      </c>
      <c r="I3550" s="551">
        <v>563990.17000000004</v>
      </c>
      <c r="J3550" s="551">
        <v>19.34</v>
      </c>
    </row>
    <row r="3551" spans="1:10" ht="14.5" thickTop="1" x14ac:dyDescent="0.3">
      <c r="A3551" s="562"/>
      <c r="B3551" s="562"/>
      <c r="C3551" s="562"/>
      <c r="D3551" s="562"/>
      <c r="E3551" s="562"/>
      <c r="F3551" s="562"/>
      <c r="G3551" s="562"/>
      <c r="H3551" s="562"/>
      <c r="I3551" s="562"/>
      <c r="J3551" s="562"/>
    </row>
    <row r="3552" spans="1:10" s="89" customFormat="1" ht="38.25" customHeight="1" x14ac:dyDescent="0.3">
      <c r="A3552" s="553"/>
      <c r="B3552" s="554" t="s">
        <v>4</v>
      </c>
      <c r="C3552" s="553" t="s">
        <v>5</v>
      </c>
      <c r="D3552" s="553" t="s">
        <v>6</v>
      </c>
      <c r="E3552" s="691" t="s">
        <v>427</v>
      </c>
      <c r="F3552" s="691"/>
      <c r="G3552" s="555" t="s">
        <v>7</v>
      </c>
      <c r="H3552" s="554" t="s">
        <v>8</v>
      </c>
      <c r="I3552" s="554" t="s">
        <v>9</v>
      </c>
      <c r="J3552" s="554" t="s">
        <v>11</v>
      </c>
    </row>
    <row r="3553" spans="1:10" s="89" customFormat="1" ht="38.25" customHeight="1" x14ac:dyDescent="0.3">
      <c r="A3553" s="607" t="s">
        <v>428</v>
      </c>
      <c r="B3553" s="608" t="s">
        <v>1694</v>
      </c>
      <c r="C3553" s="607" t="s">
        <v>19</v>
      </c>
      <c r="D3553" s="607" t="s">
        <v>1695</v>
      </c>
      <c r="E3553" s="690" t="s">
        <v>461</v>
      </c>
      <c r="F3553" s="690"/>
      <c r="G3553" s="609" t="s">
        <v>423</v>
      </c>
      <c r="H3553" s="610">
        <v>1</v>
      </c>
      <c r="I3553" s="611">
        <v>4.05</v>
      </c>
      <c r="J3553" s="611">
        <v>4.05</v>
      </c>
    </row>
    <row r="3554" spans="1:10" s="89" customFormat="1" ht="50" x14ac:dyDescent="0.3">
      <c r="A3554" s="547" t="s">
        <v>433</v>
      </c>
      <c r="B3554" s="548" t="s">
        <v>1700</v>
      </c>
      <c r="C3554" s="547" t="s">
        <v>19</v>
      </c>
      <c r="D3554" s="547" t="s">
        <v>1701</v>
      </c>
      <c r="E3554" s="688" t="s">
        <v>442</v>
      </c>
      <c r="F3554" s="688"/>
      <c r="G3554" s="549" t="s">
        <v>81</v>
      </c>
      <c r="H3554" s="550">
        <v>5.8000000000000004E-6</v>
      </c>
      <c r="I3554" s="551">
        <v>144875</v>
      </c>
      <c r="J3554" s="551">
        <v>0.84</v>
      </c>
    </row>
    <row r="3555" spans="1:10" ht="38" thickBot="1" x14ac:dyDescent="0.35">
      <c r="A3555" s="547" t="s">
        <v>433</v>
      </c>
      <c r="B3555" s="548" t="s">
        <v>1702</v>
      </c>
      <c r="C3555" s="547" t="s">
        <v>19</v>
      </c>
      <c r="D3555" s="547" t="s">
        <v>1703</v>
      </c>
      <c r="E3555" s="688" t="s">
        <v>442</v>
      </c>
      <c r="F3555" s="688"/>
      <c r="G3555" s="549" t="s">
        <v>81</v>
      </c>
      <c r="H3555" s="550">
        <v>5.6999999999999996E-6</v>
      </c>
      <c r="I3555" s="551">
        <v>563990.17000000004</v>
      </c>
      <c r="J3555" s="551">
        <v>3.21</v>
      </c>
    </row>
    <row r="3556" spans="1:10" ht="38.25" customHeight="1" thickTop="1" x14ac:dyDescent="0.3">
      <c r="A3556" s="562"/>
      <c r="B3556" s="562"/>
      <c r="C3556" s="562"/>
      <c r="D3556" s="562"/>
      <c r="E3556" s="562"/>
      <c r="F3556" s="562"/>
      <c r="G3556" s="562"/>
      <c r="H3556" s="562"/>
      <c r="I3556" s="562"/>
      <c r="J3556" s="562"/>
    </row>
    <row r="3557" spans="1:10" s="89" customFormat="1" x14ac:dyDescent="0.3">
      <c r="A3557" s="553"/>
      <c r="B3557" s="554" t="s">
        <v>4</v>
      </c>
      <c r="C3557" s="553" t="s">
        <v>5</v>
      </c>
      <c r="D3557" s="553" t="s">
        <v>6</v>
      </c>
      <c r="E3557" s="691" t="s">
        <v>427</v>
      </c>
      <c r="F3557" s="691"/>
      <c r="G3557" s="555" t="s">
        <v>7</v>
      </c>
      <c r="H3557" s="554" t="s">
        <v>8</v>
      </c>
      <c r="I3557" s="554" t="s">
        <v>9</v>
      </c>
      <c r="J3557" s="554" t="s">
        <v>11</v>
      </c>
    </row>
    <row r="3558" spans="1:10" ht="50" x14ac:dyDescent="0.3">
      <c r="A3558" s="607" t="s">
        <v>428</v>
      </c>
      <c r="B3558" s="608" t="s">
        <v>1692</v>
      </c>
      <c r="C3558" s="607" t="s">
        <v>19</v>
      </c>
      <c r="D3558" s="607" t="s">
        <v>1693</v>
      </c>
      <c r="E3558" s="690" t="s">
        <v>461</v>
      </c>
      <c r="F3558" s="690"/>
      <c r="G3558" s="609" t="s">
        <v>423</v>
      </c>
      <c r="H3558" s="610">
        <v>1</v>
      </c>
      <c r="I3558" s="611">
        <v>10.029999999999999</v>
      </c>
      <c r="J3558" s="611">
        <v>10.029999999999999</v>
      </c>
    </row>
    <row r="3559" spans="1:10" s="89" customFormat="1" ht="50" x14ac:dyDescent="0.3">
      <c r="A3559" s="547" t="s">
        <v>433</v>
      </c>
      <c r="B3559" s="548" t="s">
        <v>1700</v>
      </c>
      <c r="C3559" s="547" t="s">
        <v>19</v>
      </c>
      <c r="D3559" s="547" t="s">
        <v>1701</v>
      </c>
      <c r="E3559" s="688" t="s">
        <v>442</v>
      </c>
      <c r="F3559" s="688"/>
      <c r="G3559" s="549" t="s">
        <v>81</v>
      </c>
      <c r="H3559" s="550">
        <v>1.4399999999999999E-5</v>
      </c>
      <c r="I3559" s="551">
        <v>144875</v>
      </c>
      <c r="J3559" s="551">
        <v>2.08</v>
      </c>
    </row>
    <row r="3560" spans="1:10" ht="38.25" customHeight="1" thickBot="1" x14ac:dyDescent="0.35">
      <c r="A3560" s="547" t="s">
        <v>433</v>
      </c>
      <c r="B3560" s="548" t="s">
        <v>1702</v>
      </c>
      <c r="C3560" s="547" t="s">
        <v>19</v>
      </c>
      <c r="D3560" s="547" t="s">
        <v>1703</v>
      </c>
      <c r="E3560" s="688" t="s">
        <v>442</v>
      </c>
      <c r="F3560" s="688"/>
      <c r="G3560" s="549" t="s">
        <v>81</v>
      </c>
      <c r="H3560" s="550">
        <v>1.4100000000000001E-5</v>
      </c>
      <c r="I3560" s="551">
        <v>563990.17000000004</v>
      </c>
      <c r="J3560" s="551">
        <v>7.95</v>
      </c>
    </row>
    <row r="3561" spans="1:10" ht="14.5" thickTop="1" x14ac:dyDescent="0.3">
      <c r="A3561" s="562"/>
      <c r="B3561" s="562"/>
      <c r="C3561" s="562"/>
      <c r="D3561" s="562"/>
      <c r="E3561" s="562"/>
      <c r="F3561" s="562"/>
      <c r="G3561" s="562"/>
      <c r="H3561" s="562"/>
      <c r="I3561" s="562"/>
      <c r="J3561" s="562"/>
    </row>
    <row r="3562" spans="1:10" s="89" customFormat="1" x14ac:dyDescent="0.3">
      <c r="A3562" s="553"/>
      <c r="B3562" s="554" t="s">
        <v>4</v>
      </c>
      <c r="C3562" s="553" t="s">
        <v>5</v>
      </c>
      <c r="D3562" s="553" t="s">
        <v>6</v>
      </c>
      <c r="E3562" s="691" t="s">
        <v>427</v>
      </c>
      <c r="F3562" s="691"/>
      <c r="G3562" s="555" t="s">
        <v>7</v>
      </c>
      <c r="H3562" s="554" t="s">
        <v>8</v>
      </c>
      <c r="I3562" s="554" t="s">
        <v>9</v>
      </c>
      <c r="J3562" s="554" t="s">
        <v>11</v>
      </c>
    </row>
    <row r="3563" spans="1:10" ht="50" x14ac:dyDescent="0.3">
      <c r="A3563" s="607" t="s">
        <v>428</v>
      </c>
      <c r="B3563" s="608" t="s">
        <v>1696</v>
      </c>
      <c r="C3563" s="607" t="s">
        <v>19</v>
      </c>
      <c r="D3563" s="607" t="s">
        <v>1697</v>
      </c>
      <c r="E3563" s="690" t="s">
        <v>461</v>
      </c>
      <c r="F3563" s="690"/>
      <c r="G3563" s="609" t="s">
        <v>423</v>
      </c>
      <c r="H3563" s="610">
        <v>1</v>
      </c>
      <c r="I3563" s="611">
        <v>46.24</v>
      </c>
      <c r="J3563" s="611">
        <v>46.24</v>
      </c>
    </row>
    <row r="3564" spans="1:10" s="89" customFormat="1" ht="38.25" customHeight="1" x14ac:dyDescent="0.3">
      <c r="A3564" s="547" t="s">
        <v>433</v>
      </c>
      <c r="B3564" s="548" t="s">
        <v>1700</v>
      </c>
      <c r="C3564" s="547" t="s">
        <v>19</v>
      </c>
      <c r="D3564" s="547" t="s">
        <v>1701</v>
      </c>
      <c r="E3564" s="688" t="s">
        <v>442</v>
      </c>
      <c r="F3564" s="688"/>
      <c r="G3564" s="549" t="s">
        <v>81</v>
      </c>
      <c r="H3564" s="550">
        <v>6.8899999999999994E-5</v>
      </c>
      <c r="I3564" s="551">
        <v>144875</v>
      </c>
      <c r="J3564" s="551">
        <v>9.98</v>
      </c>
    </row>
    <row r="3565" spans="1:10" ht="38" thickBot="1" x14ac:dyDescent="0.35">
      <c r="A3565" s="547" t="s">
        <v>433</v>
      </c>
      <c r="B3565" s="548" t="s">
        <v>1702</v>
      </c>
      <c r="C3565" s="547" t="s">
        <v>19</v>
      </c>
      <c r="D3565" s="547" t="s">
        <v>1703</v>
      </c>
      <c r="E3565" s="688" t="s">
        <v>442</v>
      </c>
      <c r="F3565" s="688"/>
      <c r="G3565" s="549" t="s">
        <v>81</v>
      </c>
      <c r="H3565" s="550">
        <v>6.4300000000000004E-5</v>
      </c>
      <c r="I3565" s="551">
        <v>563990.17000000004</v>
      </c>
      <c r="J3565" s="551">
        <v>36.26</v>
      </c>
    </row>
    <row r="3566" spans="1:10" ht="14.5" thickTop="1" x14ac:dyDescent="0.3">
      <c r="A3566" s="562"/>
      <c r="B3566" s="562"/>
      <c r="C3566" s="562"/>
      <c r="D3566" s="562"/>
      <c r="E3566" s="562"/>
      <c r="F3566" s="562"/>
      <c r="G3566" s="562"/>
      <c r="H3566" s="562"/>
      <c r="I3566" s="562"/>
      <c r="J3566" s="562"/>
    </row>
    <row r="3567" spans="1:10" x14ac:dyDescent="0.3">
      <c r="A3567" s="553"/>
      <c r="B3567" s="554" t="s">
        <v>4</v>
      </c>
      <c r="C3567" s="553" t="s">
        <v>5</v>
      </c>
      <c r="D3567" s="553" t="s">
        <v>6</v>
      </c>
      <c r="E3567" s="691" t="s">
        <v>427</v>
      </c>
      <c r="F3567" s="691"/>
      <c r="G3567" s="555" t="s">
        <v>7</v>
      </c>
      <c r="H3567" s="554" t="s">
        <v>8</v>
      </c>
      <c r="I3567" s="554" t="s">
        <v>9</v>
      </c>
      <c r="J3567" s="554" t="s">
        <v>11</v>
      </c>
    </row>
    <row r="3568" spans="1:10" s="89" customFormat="1" ht="38.25" customHeight="1" x14ac:dyDescent="0.3">
      <c r="A3568" s="607" t="s">
        <v>428</v>
      </c>
      <c r="B3568" s="608" t="s">
        <v>1698</v>
      </c>
      <c r="C3568" s="607" t="s">
        <v>19</v>
      </c>
      <c r="D3568" s="607" t="s">
        <v>1699</v>
      </c>
      <c r="E3568" s="690" t="s">
        <v>461</v>
      </c>
      <c r="F3568" s="690"/>
      <c r="G3568" s="609" t="s">
        <v>423</v>
      </c>
      <c r="H3568" s="610">
        <v>1</v>
      </c>
      <c r="I3568" s="611">
        <v>142.9</v>
      </c>
      <c r="J3568" s="611">
        <v>142.9</v>
      </c>
    </row>
    <row r="3569" spans="1:10" ht="14.5" thickBot="1" x14ac:dyDescent="0.35">
      <c r="A3569" s="547" t="s">
        <v>433</v>
      </c>
      <c r="B3569" s="548" t="s">
        <v>3859</v>
      </c>
      <c r="C3569" s="547" t="s">
        <v>115</v>
      </c>
      <c r="D3569" s="547" t="s">
        <v>3860</v>
      </c>
      <c r="E3569" s="688" t="s">
        <v>438</v>
      </c>
      <c r="F3569" s="688"/>
      <c r="G3569" s="549" t="s">
        <v>835</v>
      </c>
      <c r="H3569" s="550">
        <v>26.43</v>
      </c>
      <c r="I3569" s="551">
        <v>5.4069000000000003</v>
      </c>
      <c r="J3569" s="551">
        <v>142.9</v>
      </c>
    </row>
    <row r="3570" spans="1:10" s="89" customFormat="1" ht="14.5" thickTop="1" x14ac:dyDescent="0.3">
      <c r="A3570" s="562"/>
      <c r="B3570" s="562"/>
      <c r="C3570" s="562"/>
      <c r="D3570" s="562"/>
      <c r="E3570" s="562"/>
      <c r="F3570" s="562"/>
      <c r="G3570" s="562"/>
      <c r="H3570" s="562"/>
      <c r="I3570" s="562"/>
      <c r="J3570" s="562"/>
    </row>
    <row r="3571" spans="1:10" x14ac:dyDescent="0.3">
      <c r="A3571" s="553"/>
      <c r="B3571" s="554" t="s">
        <v>4</v>
      </c>
      <c r="C3571" s="553" t="s">
        <v>5</v>
      </c>
      <c r="D3571" s="553" t="s">
        <v>6</v>
      </c>
      <c r="E3571" s="691" t="s">
        <v>427</v>
      </c>
      <c r="F3571" s="691"/>
      <c r="G3571" s="555" t="s">
        <v>7</v>
      </c>
      <c r="H3571" s="554" t="s">
        <v>8</v>
      </c>
      <c r="I3571" s="554" t="s">
        <v>9</v>
      </c>
      <c r="J3571" s="554" t="s">
        <v>11</v>
      </c>
    </row>
    <row r="3572" spans="1:10" ht="25.5" customHeight="1" x14ac:dyDescent="0.3">
      <c r="A3572" s="607" t="s">
        <v>428</v>
      </c>
      <c r="B3572" s="608" t="s">
        <v>728</v>
      </c>
      <c r="C3572" s="607" t="s">
        <v>19</v>
      </c>
      <c r="D3572" s="607" t="s">
        <v>3533</v>
      </c>
      <c r="E3572" s="690" t="s">
        <v>664</v>
      </c>
      <c r="F3572" s="690"/>
      <c r="G3572" s="609" t="s">
        <v>81</v>
      </c>
      <c r="H3572" s="610">
        <v>1</v>
      </c>
      <c r="I3572" s="611">
        <v>73.819999999999993</v>
      </c>
      <c r="J3572" s="611">
        <v>73.819999999999993</v>
      </c>
    </row>
    <row r="3573" spans="1:10" s="89" customFormat="1" ht="15" customHeight="1" x14ac:dyDescent="0.3">
      <c r="A3573" s="547" t="s">
        <v>430</v>
      </c>
      <c r="B3573" s="548" t="s">
        <v>863</v>
      </c>
      <c r="C3573" s="547" t="s">
        <v>19</v>
      </c>
      <c r="D3573" s="547" t="s">
        <v>864</v>
      </c>
      <c r="E3573" s="688" t="s">
        <v>429</v>
      </c>
      <c r="F3573" s="688"/>
      <c r="G3573" s="549" t="s">
        <v>423</v>
      </c>
      <c r="H3573" s="550">
        <v>0.24840000000000001</v>
      </c>
      <c r="I3573" s="551">
        <v>24.65</v>
      </c>
      <c r="J3573" s="551">
        <v>6.12</v>
      </c>
    </row>
    <row r="3574" spans="1:10" s="89" customFormat="1" ht="15" customHeight="1" x14ac:dyDescent="0.3">
      <c r="A3574" s="547" t="s">
        <v>430</v>
      </c>
      <c r="B3574" s="548" t="s">
        <v>769</v>
      </c>
      <c r="C3574" s="547" t="s">
        <v>19</v>
      </c>
      <c r="D3574" s="547" t="s">
        <v>770</v>
      </c>
      <c r="E3574" s="688" t="s">
        <v>429</v>
      </c>
      <c r="F3574" s="688"/>
      <c r="G3574" s="549" t="s">
        <v>423</v>
      </c>
      <c r="H3574" s="550">
        <v>0.24840000000000001</v>
      </c>
      <c r="I3574" s="551">
        <v>31.49</v>
      </c>
      <c r="J3574" s="551">
        <v>7.82</v>
      </c>
    </row>
    <row r="3575" spans="1:10" ht="25.5" thickBot="1" x14ac:dyDescent="0.35">
      <c r="A3575" s="547" t="s">
        <v>433</v>
      </c>
      <c r="B3575" s="548" t="s">
        <v>1704</v>
      </c>
      <c r="C3575" s="547" t="s">
        <v>19</v>
      </c>
      <c r="D3575" s="547" t="s">
        <v>3712</v>
      </c>
      <c r="E3575" s="688" t="s">
        <v>438</v>
      </c>
      <c r="F3575" s="688"/>
      <c r="G3575" s="549" t="s">
        <v>81</v>
      </c>
      <c r="H3575" s="550">
        <v>1</v>
      </c>
      <c r="I3575" s="551">
        <v>59.88</v>
      </c>
      <c r="J3575" s="551">
        <v>59.88</v>
      </c>
    </row>
    <row r="3576" spans="1:10" s="89" customFormat="1" ht="14.5" thickTop="1" x14ac:dyDescent="0.3">
      <c r="A3576" s="562"/>
      <c r="B3576" s="562"/>
      <c r="C3576" s="562"/>
      <c r="D3576" s="562"/>
      <c r="E3576" s="562"/>
      <c r="F3576" s="562"/>
      <c r="G3576" s="562"/>
      <c r="H3576" s="562"/>
      <c r="I3576" s="562"/>
      <c r="J3576" s="562"/>
    </row>
    <row r="3577" spans="1:10" x14ac:dyDescent="0.3">
      <c r="A3577" s="553"/>
      <c r="B3577" s="554" t="s">
        <v>4</v>
      </c>
      <c r="C3577" s="553" t="s">
        <v>5</v>
      </c>
      <c r="D3577" s="553" t="s">
        <v>6</v>
      </c>
      <c r="E3577" s="691" t="s">
        <v>427</v>
      </c>
      <c r="F3577" s="691"/>
      <c r="G3577" s="555" t="s">
        <v>7</v>
      </c>
      <c r="H3577" s="554" t="s">
        <v>8</v>
      </c>
      <c r="I3577" s="554" t="s">
        <v>9</v>
      </c>
      <c r="J3577" s="554" t="s">
        <v>11</v>
      </c>
    </row>
    <row r="3578" spans="1:10" s="89" customFormat="1" ht="38.25" customHeight="1" x14ac:dyDescent="0.3">
      <c r="A3578" s="607" t="s">
        <v>428</v>
      </c>
      <c r="B3578" s="608" t="s">
        <v>706</v>
      </c>
      <c r="C3578" s="607" t="s">
        <v>19</v>
      </c>
      <c r="D3578" s="607" t="s">
        <v>3530</v>
      </c>
      <c r="E3578" s="690" t="s">
        <v>664</v>
      </c>
      <c r="F3578" s="690"/>
      <c r="G3578" s="609" t="s">
        <v>81</v>
      </c>
      <c r="H3578" s="610">
        <v>1</v>
      </c>
      <c r="I3578" s="611">
        <v>58.26</v>
      </c>
      <c r="J3578" s="611">
        <v>58.26</v>
      </c>
    </row>
    <row r="3579" spans="1:10" ht="38.25" customHeight="1" x14ac:dyDescent="0.3">
      <c r="A3579" s="547" t="s">
        <v>430</v>
      </c>
      <c r="B3579" s="548" t="s">
        <v>1705</v>
      </c>
      <c r="C3579" s="547" t="s">
        <v>19</v>
      </c>
      <c r="D3579" s="547" t="s">
        <v>3713</v>
      </c>
      <c r="E3579" s="688" t="s">
        <v>664</v>
      </c>
      <c r="F3579" s="688"/>
      <c r="G3579" s="549" t="s">
        <v>81</v>
      </c>
      <c r="H3579" s="550">
        <v>1</v>
      </c>
      <c r="I3579" s="551">
        <v>12.69</v>
      </c>
      <c r="J3579" s="551">
        <v>12.69</v>
      </c>
    </row>
    <row r="3580" spans="1:10" s="89" customFormat="1" ht="39" customHeight="1" thickBot="1" x14ac:dyDescent="0.35">
      <c r="A3580" s="547" t="s">
        <v>430</v>
      </c>
      <c r="B3580" s="548" t="s">
        <v>1706</v>
      </c>
      <c r="C3580" s="547" t="s">
        <v>19</v>
      </c>
      <c r="D3580" s="547" t="s">
        <v>3714</v>
      </c>
      <c r="E3580" s="688" t="s">
        <v>664</v>
      </c>
      <c r="F3580" s="688"/>
      <c r="G3580" s="549" t="s">
        <v>81</v>
      </c>
      <c r="H3580" s="550">
        <v>1</v>
      </c>
      <c r="I3580" s="551">
        <v>45.57</v>
      </c>
      <c r="J3580" s="551">
        <v>45.57</v>
      </c>
    </row>
    <row r="3581" spans="1:10" ht="14.5" thickTop="1" x14ac:dyDescent="0.3">
      <c r="A3581" s="562"/>
      <c r="B3581" s="562"/>
      <c r="C3581" s="562"/>
      <c r="D3581" s="562"/>
      <c r="E3581" s="562"/>
      <c r="F3581" s="562"/>
      <c r="G3581" s="562"/>
      <c r="H3581" s="562"/>
      <c r="I3581" s="562"/>
      <c r="J3581" s="562"/>
    </row>
    <row r="3582" spans="1:10" s="89" customFormat="1" x14ac:dyDescent="0.3">
      <c r="A3582" s="553"/>
      <c r="B3582" s="554" t="s">
        <v>4</v>
      </c>
      <c r="C3582" s="553" t="s">
        <v>5</v>
      </c>
      <c r="D3582" s="553" t="s">
        <v>6</v>
      </c>
      <c r="E3582" s="691" t="s">
        <v>427</v>
      </c>
      <c r="F3582" s="691"/>
      <c r="G3582" s="555" t="s">
        <v>7</v>
      </c>
      <c r="H3582" s="554" t="s">
        <v>8</v>
      </c>
      <c r="I3582" s="554" t="s">
        <v>9</v>
      </c>
      <c r="J3582" s="554" t="s">
        <v>11</v>
      </c>
    </row>
    <row r="3583" spans="1:10" s="89" customFormat="1" ht="38.25" customHeight="1" x14ac:dyDescent="0.3">
      <c r="A3583" s="607" t="s">
        <v>428</v>
      </c>
      <c r="B3583" s="608" t="s">
        <v>1706</v>
      </c>
      <c r="C3583" s="607" t="s">
        <v>19</v>
      </c>
      <c r="D3583" s="607" t="s">
        <v>3714</v>
      </c>
      <c r="E3583" s="690" t="s">
        <v>664</v>
      </c>
      <c r="F3583" s="690"/>
      <c r="G3583" s="609" t="s">
        <v>81</v>
      </c>
      <c r="H3583" s="610">
        <v>1</v>
      </c>
      <c r="I3583" s="611">
        <v>45.57</v>
      </c>
      <c r="J3583" s="611">
        <v>45.57</v>
      </c>
    </row>
    <row r="3584" spans="1:10" s="89" customFormat="1" ht="15" customHeight="1" x14ac:dyDescent="0.3">
      <c r="A3584" s="547" t="s">
        <v>430</v>
      </c>
      <c r="B3584" s="548" t="s">
        <v>863</v>
      </c>
      <c r="C3584" s="547" t="s">
        <v>19</v>
      </c>
      <c r="D3584" s="547" t="s">
        <v>864</v>
      </c>
      <c r="E3584" s="688" t="s">
        <v>429</v>
      </c>
      <c r="F3584" s="688"/>
      <c r="G3584" s="549" t="s">
        <v>423</v>
      </c>
      <c r="H3584" s="550">
        <v>0.48599999999999999</v>
      </c>
      <c r="I3584" s="551">
        <v>24.65</v>
      </c>
      <c r="J3584" s="551">
        <v>11.97</v>
      </c>
    </row>
    <row r="3585" spans="1:10" ht="14.25" customHeight="1" x14ac:dyDescent="0.3">
      <c r="A3585" s="547" t="s">
        <v>430</v>
      </c>
      <c r="B3585" s="548" t="s">
        <v>769</v>
      </c>
      <c r="C3585" s="547" t="s">
        <v>19</v>
      </c>
      <c r="D3585" s="547" t="s">
        <v>770</v>
      </c>
      <c r="E3585" s="688" t="s">
        <v>429</v>
      </c>
      <c r="F3585" s="688"/>
      <c r="G3585" s="549" t="s">
        <v>423</v>
      </c>
      <c r="H3585" s="550">
        <v>0.48599999999999999</v>
      </c>
      <c r="I3585" s="551">
        <v>31.49</v>
      </c>
      <c r="J3585" s="551">
        <v>15.3</v>
      </c>
    </row>
    <row r="3586" spans="1:10" s="89" customFormat="1" x14ac:dyDescent="0.3">
      <c r="A3586" s="547" t="s">
        <v>433</v>
      </c>
      <c r="B3586" s="548" t="s">
        <v>1707</v>
      </c>
      <c r="C3586" s="547" t="s">
        <v>19</v>
      </c>
      <c r="D3586" s="547" t="s">
        <v>1708</v>
      </c>
      <c r="E3586" s="688" t="s">
        <v>438</v>
      </c>
      <c r="F3586" s="688"/>
      <c r="G3586" s="549" t="s">
        <v>81</v>
      </c>
      <c r="H3586" s="550">
        <v>1</v>
      </c>
      <c r="I3586" s="551">
        <v>9.74</v>
      </c>
      <c r="J3586" s="551">
        <v>9.74</v>
      </c>
    </row>
    <row r="3587" spans="1:10" ht="14.5" thickBot="1" x14ac:dyDescent="0.35">
      <c r="A3587" s="547" t="s">
        <v>433</v>
      </c>
      <c r="B3587" s="548" t="s">
        <v>1709</v>
      </c>
      <c r="C3587" s="547" t="s">
        <v>19</v>
      </c>
      <c r="D3587" s="547" t="s">
        <v>1710</v>
      </c>
      <c r="E3587" s="688" t="s">
        <v>438</v>
      </c>
      <c r="F3587" s="688"/>
      <c r="G3587" s="549" t="s">
        <v>81</v>
      </c>
      <c r="H3587" s="550">
        <v>1</v>
      </c>
      <c r="I3587" s="551">
        <v>8.56</v>
      </c>
      <c r="J3587" s="551">
        <v>8.56</v>
      </c>
    </row>
    <row r="3588" spans="1:10" s="89" customFormat="1" ht="14.5" thickTop="1" x14ac:dyDescent="0.3">
      <c r="A3588" s="562"/>
      <c r="B3588" s="562"/>
      <c r="C3588" s="562"/>
      <c r="D3588" s="562"/>
      <c r="E3588" s="562"/>
      <c r="F3588" s="562"/>
      <c r="G3588" s="562"/>
      <c r="H3588" s="562"/>
      <c r="I3588" s="562"/>
      <c r="J3588" s="562"/>
    </row>
    <row r="3589" spans="1:10" x14ac:dyDescent="0.3">
      <c r="A3589" s="553"/>
      <c r="B3589" s="554" t="s">
        <v>4</v>
      </c>
      <c r="C3589" s="553" t="s">
        <v>5</v>
      </c>
      <c r="D3589" s="553" t="s">
        <v>6</v>
      </c>
      <c r="E3589" s="691" t="s">
        <v>427</v>
      </c>
      <c r="F3589" s="691"/>
      <c r="G3589" s="555" t="s">
        <v>7</v>
      </c>
      <c r="H3589" s="554" t="s">
        <v>8</v>
      </c>
      <c r="I3589" s="554" t="s">
        <v>9</v>
      </c>
      <c r="J3589" s="554" t="s">
        <v>11</v>
      </c>
    </row>
    <row r="3590" spans="1:10" s="89" customFormat="1" ht="38.25" customHeight="1" x14ac:dyDescent="0.3">
      <c r="A3590" s="607" t="s">
        <v>428</v>
      </c>
      <c r="B3590" s="608" t="s">
        <v>676</v>
      </c>
      <c r="C3590" s="607" t="s">
        <v>19</v>
      </c>
      <c r="D3590" s="607" t="s">
        <v>3527</v>
      </c>
      <c r="E3590" s="690" t="s">
        <v>664</v>
      </c>
      <c r="F3590" s="690"/>
      <c r="G3590" s="609" t="s">
        <v>81</v>
      </c>
      <c r="H3590" s="610">
        <v>1</v>
      </c>
      <c r="I3590" s="611">
        <v>76.37</v>
      </c>
      <c r="J3590" s="611">
        <v>76.37</v>
      </c>
    </row>
    <row r="3591" spans="1:10" ht="38.25" customHeight="1" x14ac:dyDescent="0.3">
      <c r="A3591" s="547" t="s">
        <v>430</v>
      </c>
      <c r="B3591" s="548" t="s">
        <v>1705</v>
      </c>
      <c r="C3591" s="547" t="s">
        <v>19</v>
      </c>
      <c r="D3591" s="547" t="s">
        <v>3713</v>
      </c>
      <c r="E3591" s="688" t="s">
        <v>664</v>
      </c>
      <c r="F3591" s="688"/>
      <c r="G3591" s="549" t="s">
        <v>81</v>
      </c>
      <c r="H3591" s="550">
        <v>1</v>
      </c>
      <c r="I3591" s="551">
        <v>12.69</v>
      </c>
      <c r="J3591" s="551">
        <v>12.69</v>
      </c>
    </row>
    <row r="3592" spans="1:10" ht="39" customHeight="1" thickBot="1" x14ac:dyDescent="0.35">
      <c r="A3592" s="547" t="s">
        <v>430</v>
      </c>
      <c r="B3592" s="548" t="s">
        <v>1711</v>
      </c>
      <c r="C3592" s="547" t="s">
        <v>19</v>
      </c>
      <c r="D3592" s="547" t="s">
        <v>3715</v>
      </c>
      <c r="E3592" s="688" t="s">
        <v>664</v>
      </c>
      <c r="F3592" s="688"/>
      <c r="G3592" s="549" t="s">
        <v>81</v>
      </c>
      <c r="H3592" s="550">
        <v>1</v>
      </c>
      <c r="I3592" s="551">
        <v>63.68</v>
      </c>
      <c r="J3592" s="551">
        <v>63.68</v>
      </c>
    </row>
    <row r="3593" spans="1:10" s="89" customFormat="1" ht="14.5" thickTop="1" x14ac:dyDescent="0.3">
      <c r="A3593" s="562"/>
      <c r="B3593" s="562"/>
      <c r="C3593" s="562"/>
      <c r="D3593" s="562"/>
      <c r="E3593" s="562"/>
      <c r="F3593" s="562"/>
      <c r="G3593" s="562"/>
      <c r="H3593" s="562"/>
      <c r="I3593" s="562"/>
      <c r="J3593" s="562"/>
    </row>
    <row r="3594" spans="1:10" x14ac:dyDescent="0.3">
      <c r="A3594" s="553"/>
      <c r="B3594" s="554" t="s">
        <v>4</v>
      </c>
      <c r="C3594" s="553" t="s">
        <v>5</v>
      </c>
      <c r="D3594" s="553" t="s">
        <v>6</v>
      </c>
      <c r="E3594" s="691" t="s">
        <v>427</v>
      </c>
      <c r="F3594" s="691"/>
      <c r="G3594" s="555" t="s">
        <v>7</v>
      </c>
      <c r="H3594" s="554" t="s">
        <v>8</v>
      </c>
      <c r="I3594" s="554" t="s">
        <v>9</v>
      </c>
      <c r="J3594" s="554" t="s">
        <v>11</v>
      </c>
    </row>
    <row r="3595" spans="1:10" ht="38.25" customHeight="1" x14ac:dyDescent="0.3">
      <c r="A3595" s="607" t="s">
        <v>428</v>
      </c>
      <c r="B3595" s="608" t="s">
        <v>1711</v>
      </c>
      <c r="C3595" s="607" t="s">
        <v>19</v>
      </c>
      <c r="D3595" s="607" t="s">
        <v>3715</v>
      </c>
      <c r="E3595" s="690" t="s">
        <v>664</v>
      </c>
      <c r="F3595" s="690"/>
      <c r="G3595" s="609" t="s">
        <v>81</v>
      </c>
      <c r="H3595" s="610">
        <v>1</v>
      </c>
      <c r="I3595" s="611">
        <v>63.68</v>
      </c>
      <c r="J3595" s="611">
        <v>63.68</v>
      </c>
    </row>
    <row r="3596" spans="1:10" s="89" customFormat="1" ht="15" customHeight="1" x14ac:dyDescent="0.3">
      <c r="A3596" s="547" t="s">
        <v>430</v>
      </c>
      <c r="B3596" s="548" t="s">
        <v>863</v>
      </c>
      <c r="C3596" s="547" t="s">
        <v>19</v>
      </c>
      <c r="D3596" s="547" t="s">
        <v>864</v>
      </c>
      <c r="E3596" s="688" t="s">
        <v>429</v>
      </c>
      <c r="F3596" s="688"/>
      <c r="G3596" s="549" t="s">
        <v>423</v>
      </c>
      <c r="H3596" s="550">
        <v>0.65600000000000003</v>
      </c>
      <c r="I3596" s="551">
        <v>24.65</v>
      </c>
      <c r="J3596" s="551">
        <v>16.170000000000002</v>
      </c>
    </row>
    <row r="3597" spans="1:10" s="89" customFormat="1" x14ac:dyDescent="0.3">
      <c r="A3597" s="547" t="s">
        <v>430</v>
      </c>
      <c r="B3597" s="548" t="s">
        <v>769</v>
      </c>
      <c r="C3597" s="547" t="s">
        <v>19</v>
      </c>
      <c r="D3597" s="547" t="s">
        <v>770</v>
      </c>
      <c r="E3597" s="688" t="s">
        <v>429</v>
      </c>
      <c r="F3597" s="688"/>
      <c r="G3597" s="549" t="s">
        <v>423</v>
      </c>
      <c r="H3597" s="550">
        <v>0.65600000000000003</v>
      </c>
      <c r="I3597" s="551">
        <v>31.49</v>
      </c>
      <c r="J3597" s="551">
        <v>20.65</v>
      </c>
    </row>
    <row r="3598" spans="1:10" s="89" customFormat="1" x14ac:dyDescent="0.3">
      <c r="A3598" s="547" t="s">
        <v>433</v>
      </c>
      <c r="B3598" s="548" t="s">
        <v>1707</v>
      </c>
      <c r="C3598" s="547" t="s">
        <v>19</v>
      </c>
      <c r="D3598" s="547" t="s">
        <v>1708</v>
      </c>
      <c r="E3598" s="688" t="s">
        <v>438</v>
      </c>
      <c r="F3598" s="688"/>
      <c r="G3598" s="549" t="s">
        <v>81</v>
      </c>
      <c r="H3598" s="550">
        <v>1</v>
      </c>
      <c r="I3598" s="551">
        <v>9.74</v>
      </c>
      <c r="J3598" s="551">
        <v>9.74</v>
      </c>
    </row>
    <row r="3599" spans="1:10" ht="14.25" customHeight="1" thickBot="1" x14ac:dyDescent="0.35">
      <c r="A3599" s="547" t="s">
        <v>433</v>
      </c>
      <c r="B3599" s="548" t="s">
        <v>1709</v>
      </c>
      <c r="C3599" s="547" t="s">
        <v>19</v>
      </c>
      <c r="D3599" s="547" t="s">
        <v>1710</v>
      </c>
      <c r="E3599" s="688" t="s">
        <v>438</v>
      </c>
      <c r="F3599" s="688"/>
      <c r="G3599" s="549" t="s">
        <v>81</v>
      </c>
      <c r="H3599" s="550">
        <v>2</v>
      </c>
      <c r="I3599" s="551">
        <v>8.56</v>
      </c>
      <c r="J3599" s="551">
        <v>17.12</v>
      </c>
    </row>
    <row r="3600" spans="1:10" s="89" customFormat="1" ht="14.5" thickTop="1" x14ac:dyDescent="0.3">
      <c r="A3600" s="562"/>
      <c r="B3600" s="562"/>
      <c r="C3600" s="562"/>
      <c r="D3600" s="562"/>
      <c r="E3600" s="562"/>
      <c r="F3600" s="562"/>
      <c r="G3600" s="562"/>
      <c r="H3600" s="562"/>
      <c r="I3600" s="562"/>
      <c r="J3600" s="562"/>
    </row>
    <row r="3601" spans="1:10" x14ac:dyDescent="0.3">
      <c r="A3601" s="553"/>
      <c r="B3601" s="554" t="s">
        <v>4</v>
      </c>
      <c r="C3601" s="553" t="s">
        <v>5</v>
      </c>
      <c r="D3601" s="553" t="s">
        <v>6</v>
      </c>
      <c r="E3601" s="691" t="s">
        <v>427</v>
      </c>
      <c r="F3601" s="691"/>
      <c r="G3601" s="555" t="s">
        <v>7</v>
      </c>
      <c r="H3601" s="554" t="s">
        <v>8</v>
      </c>
      <c r="I3601" s="554" t="s">
        <v>9</v>
      </c>
      <c r="J3601" s="554" t="s">
        <v>11</v>
      </c>
    </row>
    <row r="3602" spans="1:10" s="89" customFormat="1" ht="25.5" customHeight="1" x14ac:dyDescent="0.3">
      <c r="A3602" s="607" t="s">
        <v>428</v>
      </c>
      <c r="B3602" s="608" t="s">
        <v>735</v>
      </c>
      <c r="C3602" s="607" t="s">
        <v>19</v>
      </c>
      <c r="D3602" s="607" t="s">
        <v>3534</v>
      </c>
      <c r="E3602" s="690" t="s">
        <v>664</v>
      </c>
      <c r="F3602" s="690"/>
      <c r="G3602" s="609" t="s">
        <v>81</v>
      </c>
      <c r="H3602" s="610">
        <v>1</v>
      </c>
      <c r="I3602" s="611">
        <v>52.36</v>
      </c>
      <c r="J3602" s="611">
        <v>52.36</v>
      </c>
    </row>
    <row r="3603" spans="1:10" s="89" customFormat="1" ht="38.25" customHeight="1" x14ac:dyDescent="0.3">
      <c r="A3603" s="547" t="s">
        <v>430</v>
      </c>
      <c r="B3603" s="548" t="s">
        <v>1705</v>
      </c>
      <c r="C3603" s="547" t="s">
        <v>19</v>
      </c>
      <c r="D3603" s="547" t="s">
        <v>3713</v>
      </c>
      <c r="E3603" s="688" t="s">
        <v>664</v>
      </c>
      <c r="F3603" s="688"/>
      <c r="G3603" s="549" t="s">
        <v>81</v>
      </c>
      <c r="H3603" s="550">
        <v>1</v>
      </c>
      <c r="I3603" s="551">
        <v>12.69</v>
      </c>
      <c r="J3603" s="551">
        <v>12.69</v>
      </c>
    </row>
    <row r="3604" spans="1:10" s="89" customFormat="1" ht="38.25" customHeight="1" thickBot="1" x14ac:dyDescent="0.35">
      <c r="A3604" s="547" t="s">
        <v>430</v>
      </c>
      <c r="B3604" s="548" t="s">
        <v>1712</v>
      </c>
      <c r="C3604" s="547" t="s">
        <v>19</v>
      </c>
      <c r="D3604" s="547" t="s">
        <v>3716</v>
      </c>
      <c r="E3604" s="688" t="s">
        <v>664</v>
      </c>
      <c r="F3604" s="688"/>
      <c r="G3604" s="549" t="s">
        <v>81</v>
      </c>
      <c r="H3604" s="550">
        <v>1</v>
      </c>
      <c r="I3604" s="551">
        <v>39.67</v>
      </c>
      <c r="J3604" s="551">
        <v>39.67</v>
      </c>
    </row>
    <row r="3605" spans="1:10" ht="39" customHeight="1" thickTop="1" x14ac:dyDescent="0.3">
      <c r="A3605" s="562"/>
      <c r="B3605" s="562"/>
      <c r="C3605" s="562"/>
      <c r="D3605" s="562"/>
      <c r="E3605" s="562"/>
      <c r="F3605" s="562"/>
      <c r="G3605" s="562"/>
      <c r="H3605" s="562"/>
      <c r="I3605" s="562"/>
      <c r="J3605" s="562"/>
    </row>
    <row r="3606" spans="1:10" s="89" customFormat="1" x14ac:dyDescent="0.3">
      <c r="A3606" s="553"/>
      <c r="B3606" s="554" t="s">
        <v>4</v>
      </c>
      <c r="C3606" s="553" t="s">
        <v>5</v>
      </c>
      <c r="D3606" s="553" t="s">
        <v>6</v>
      </c>
      <c r="E3606" s="691" t="s">
        <v>427</v>
      </c>
      <c r="F3606" s="691"/>
      <c r="G3606" s="555" t="s">
        <v>7</v>
      </c>
      <c r="H3606" s="554" t="s">
        <v>8</v>
      </c>
      <c r="I3606" s="554" t="s">
        <v>9</v>
      </c>
      <c r="J3606" s="554" t="s">
        <v>11</v>
      </c>
    </row>
    <row r="3607" spans="1:10" ht="25.5" customHeight="1" x14ac:dyDescent="0.3">
      <c r="A3607" s="607" t="s">
        <v>428</v>
      </c>
      <c r="B3607" s="608" t="s">
        <v>1712</v>
      </c>
      <c r="C3607" s="607" t="s">
        <v>19</v>
      </c>
      <c r="D3607" s="607" t="s">
        <v>3716</v>
      </c>
      <c r="E3607" s="690" t="s">
        <v>664</v>
      </c>
      <c r="F3607" s="690"/>
      <c r="G3607" s="609" t="s">
        <v>81</v>
      </c>
      <c r="H3607" s="610">
        <v>1</v>
      </c>
      <c r="I3607" s="611">
        <v>39.67</v>
      </c>
      <c r="J3607" s="611">
        <v>39.67</v>
      </c>
    </row>
    <row r="3608" spans="1:10" s="89" customFormat="1" ht="38.25" customHeight="1" x14ac:dyDescent="0.3">
      <c r="A3608" s="547" t="s">
        <v>430</v>
      </c>
      <c r="B3608" s="548" t="s">
        <v>863</v>
      </c>
      <c r="C3608" s="547" t="s">
        <v>19</v>
      </c>
      <c r="D3608" s="547" t="s">
        <v>864</v>
      </c>
      <c r="E3608" s="688" t="s">
        <v>429</v>
      </c>
      <c r="F3608" s="688"/>
      <c r="G3608" s="549" t="s">
        <v>423</v>
      </c>
      <c r="H3608" s="550">
        <v>0.40200000000000002</v>
      </c>
      <c r="I3608" s="551">
        <v>24.65</v>
      </c>
      <c r="J3608" s="551">
        <v>9.9</v>
      </c>
    </row>
    <row r="3609" spans="1:10" ht="14.25" customHeight="1" x14ac:dyDescent="0.3">
      <c r="A3609" s="547" t="s">
        <v>430</v>
      </c>
      <c r="B3609" s="548" t="s">
        <v>769</v>
      </c>
      <c r="C3609" s="547" t="s">
        <v>19</v>
      </c>
      <c r="D3609" s="547" t="s">
        <v>770</v>
      </c>
      <c r="E3609" s="688" t="s">
        <v>429</v>
      </c>
      <c r="F3609" s="688"/>
      <c r="G3609" s="549" t="s">
        <v>423</v>
      </c>
      <c r="H3609" s="550">
        <v>0.40200000000000002</v>
      </c>
      <c r="I3609" s="551">
        <v>31.49</v>
      </c>
      <c r="J3609" s="551">
        <v>12.65</v>
      </c>
    </row>
    <row r="3610" spans="1:10" ht="14.25" customHeight="1" thickBot="1" x14ac:dyDescent="0.35">
      <c r="A3610" s="547" t="s">
        <v>433</v>
      </c>
      <c r="B3610" s="548" t="s">
        <v>1709</v>
      </c>
      <c r="C3610" s="547" t="s">
        <v>19</v>
      </c>
      <c r="D3610" s="547" t="s">
        <v>1710</v>
      </c>
      <c r="E3610" s="688" t="s">
        <v>438</v>
      </c>
      <c r="F3610" s="688"/>
      <c r="G3610" s="549" t="s">
        <v>81</v>
      </c>
      <c r="H3610" s="550">
        <v>2</v>
      </c>
      <c r="I3610" s="551">
        <v>8.56</v>
      </c>
      <c r="J3610" s="551">
        <v>17.12</v>
      </c>
    </row>
    <row r="3611" spans="1:10" ht="14.5" thickTop="1" x14ac:dyDescent="0.3">
      <c r="A3611" s="562"/>
      <c r="B3611" s="562"/>
      <c r="C3611" s="562"/>
      <c r="D3611" s="562"/>
      <c r="E3611" s="562"/>
      <c r="F3611" s="562"/>
      <c r="G3611" s="562"/>
      <c r="H3611" s="562"/>
      <c r="I3611" s="562"/>
      <c r="J3611" s="562"/>
    </row>
    <row r="3612" spans="1:10" s="89" customFormat="1" ht="25.5" customHeight="1" x14ac:dyDescent="0.3">
      <c r="A3612" s="553"/>
      <c r="B3612" s="554" t="s">
        <v>4</v>
      </c>
      <c r="C3612" s="553" t="s">
        <v>5</v>
      </c>
      <c r="D3612" s="553" t="s">
        <v>6</v>
      </c>
      <c r="E3612" s="691" t="s">
        <v>427</v>
      </c>
      <c r="F3612" s="691"/>
      <c r="G3612" s="555" t="s">
        <v>7</v>
      </c>
      <c r="H3612" s="554" t="s">
        <v>8</v>
      </c>
      <c r="I3612" s="554" t="s">
        <v>9</v>
      </c>
      <c r="J3612" s="554" t="s">
        <v>11</v>
      </c>
    </row>
    <row r="3613" spans="1:10" ht="14.25" customHeight="1" x14ac:dyDescent="0.3">
      <c r="A3613" s="607" t="s">
        <v>428</v>
      </c>
      <c r="B3613" s="608" t="s">
        <v>3573</v>
      </c>
      <c r="C3613" s="607" t="s">
        <v>115</v>
      </c>
      <c r="D3613" s="607" t="s">
        <v>3574</v>
      </c>
      <c r="E3613" s="690" t="s">
        <v>402</v>
      </c>
      <c r="F3613" s="690"/>
      <c r="G3613" s="609" t="s">
        <v>830</v>
      </c>
      <c r="H3613" s="610">
        <v>1</v>
      </c>
      <c r="I3613" s="611">
        <v>44.38</v>
      </c>
      <c r="J3613" s="611">
        <v>44.38</v>
      </c>
    </row>
    <row r="3614" spans="1:10" ht="14.25" customHeight="1" x14ac:dyDescent="0.3">
      <c r="A3614" s="689"/>
      <c r="B3614" s="689"/>
      <c r="C3614" s="689"/>
      <c r="D3614" s="689"/>
      <c r="E3614" s="689"/>
      <c r="F3614" s="689" t="s">
        <v>472</v>
      </c>
      <c r="G3614" s="689"/>
      <c r="H3614" s="689"/>
      <c r="I3614" s="689"/>
      <c r="J3614" s="564">
        <v>0</v>
      </c>
    </row>
    <row r="3615" spans="1:10" s="89" customFormat="1" x14ac:dyDescent="0.3">
      <c r="A3615" s="689"/>
      <c r="B3615" s="689"/>
      <c r="C3615" s="689"/>
      <c r="D3615" s="689"/>
      <c r="E3615" s="689"/>
      <c r="F3615" s="689" t="s">
        <v>473</v>
      </c>
      <c r="G3615" s="689"/>
      <c r="H3615" s="689"/>
      <c r="I3615" s="689"/>
      <c r="J3615" s="564">
        <v>0</v>
      </c>
    </row>
    <row r="3616" spans="1:10" ht="38.25" customHeight="1" x14ac:dyDescent="0.3">
      <c r="A3616" s="689"/>
      <c r="B3616" s="689"/>
      <c r="C3616" s="689"/>
      <c r="D3616" s="689"/>
      <c r="E3616" s="689"/>
      <c r="F3616" s="689" t="s">
        <v>474</v>
      </c>
      <c r="G3616" s="689"/>
      <c r="H3616" s="689"/>
      <c r="I3616" s="689"/>
      <c r="J3616" s="564">
        <v>0</v>
      </c>
    </row>
    <row r="3617" spans="1:10" ht="39" customHeight="1" x14ac:dyDescent="0.3">
      <c r="A3617" s="689"/>
      <c r="B3617" s="689"/>
      <c r="C3617" s="689"/>
      <c r="D3617" s="689"/>
      <c r="E3617" s="689"/>
      <c r="F3617" s="689" t="s">
        <v>475</v>
      </c>
      <c r="G3617" s="689"/>
      <c r="H3617" s="689"/>
      <c r="I3617" s="689"/>
      <c r="J3617" s="564">
        <v>10</v>
      </c>
    </row>
    <row r="3618" spans="1:10" s="89" customFormat="1" ht="38.25" customHeight="1" x14ac:dyDescent="0.3">
      <c r="A3618" s="689"/>
      <c r="B3618" s="689"/>
      <c r="C3618" s="689"/>
      <c r="D3618" s="689"/>
      <c r="E3618" s="689"/>
      <c r="F3618" s="689" t="s">
        <v>476</v>
      </c>
      <c r="G3618" s="689"/>
      <c r="H3618" s="689"/>
      <c r="I3618" s="689"/>
      <c r="J3618" s="564">
        <v>0</v>
      </c>
    </row>
    <row r="3619" spans="1:10" ht="38.25" customHeight="1" x14ac:dyDescent="0.3">
      <c r="A3619" s="553" t="s">
        <v>410</v>
      </c>
      <c r="B3619" s="554" t="s">
        <v>5</v>
      </c>
      <c r="C3619" s="553" t="s">
        <v>4</v>
      </c>
      <c r="D3619" s="553" t="s">
        <v>438</v>
      </c>
      <c r="E3619" s="554" t="s">
        <v>463</v>
      </c>
      <c r="F3619" s="554" t="s">
        <v>575</v>
      </c>
      <c r="G3619" s="692" t="s">
        <v>576</v>
      </c>
      <c r="H3619" s="692"/>
      <c r="I3619" s="692"/>
      <c r="J3619" s="554" t="s">
        <v>466</v>
      </c>
    </row>
    <row r="3620" spans="1:10" s="89" customFormat="1" ht="38.25" customHeight="1" x14ac:dyDescent="0.3">
      <c r="A3620" s="547" t="s">
        <v>433</v>
      </c>
      <c r="B3620" s="548" t="s">
        <v>115</v>
      </c>
      <c r="C3620" s="547" t="s">
        <v>3717</v>
      </c>
      <c r="D3620" s="547" t="s">
        <v>3718</v>
      </c>
      <c r="E3620" s="550">
        <v>1.1000000000000001</v>
      </c>
      <c r="F3620" s="549" t="s">
        <v>830</v>
      </c>
      <c r="G3620" s="693">
        <v>16.3874</v>
      </c>
      <c r="H3620" s="693"/>
      <c r="I3620" s="688"/>
      <c r="J3620" s="563">
        <v>18.0261</v>
      </c>
    </row>
    <row r="3621" spans="1:10" x14ac:dyDescent="0.3">
      <c r="A3621" s="547" t="s">
        <v>433</v>
      </c>
      <c r="B3621" s="548" t="s">
        <v>115</v>
      </c>
      <c r="C3621" s="547" t="s">
        <v>3719</v>
      </c>
      <c r="D3621" s="547" t="s">
        <v>3720</v>
      </c>
      <c r="E3621" s="550">
        <v>2</v>
      </c>
      <c r="F3621" s="549" t="s">
        <v>869</v>
      </c>
      <c r="G3621" s="693">
        <v>11.6</v>
      </c>
      <c r="H3621" s="693"/>
      <c r="I3621" s="688"/>
      <c r="J3621" s="563">
        <v>23.2</v>
      </c>
    </row>
    <row r="3622" spans="1:10" s="89" customFormat="1" ht="15" customHeight="1" x14ac:dyDescent="0.3">
      <c r="A3622" s="689"/>
      <c r="B3622" s="689"/>
      <c r="C3622" s="689"/>
      <c r="D3622" s="689"/>
      <c r="E3622" s="689"/>
      <c r="F3622" s="689" t="s">
        <v>813</v>
      </c>
      <c r="G3622" s="689"/>
      <c r="H3622" s="689"/>
      <c r="I3622" s="689"/>
      <c r="J3622" s="564">
        <v>41.226100000000002</v>
      </c>
    </row>
    <row r="3623" spans="1:10" ht="38.25" customHeight="1" x14ac:dyDescent="0.3">
      <c r="A3623" s="553" t="s">
        <v>573</v>
      </c>
      <c r="B3623" s="554" t="s">
        <v>5</v>
      </c>
      <c r="C3623" s="553" t="s">
        <v>4</v>
      </c>
      <c r="D3623" s="553" t="s">
        <v>574</v>
      </c>
      <c r="E3623" s="554" t="s">
        <v>463</v>
      </c>
      <c r="F3623" s="554" t="s">
        <v>575</v>
      </c>
      <c r="G3623" s="692" t="s">
        <v>576</v>
      </c>
      <c r="H3623" s="692"/>
      <c r="I3623" s="692"/>
      <c r="J3623" s="554" t="s">
        <v>466</v>
      </c>
    </row>
    <row r="3624" spans="1:10" s="89" customFormat="1" ht="15" customHeight="1" x14ac:dyDescent="0.3">
      <c r="A3624" s="547" t="s">
        <v>577</v>
      </c>
      <c r="B3624" s="548" t="s">
        <v>19</v>
      </c>
      <c r="C3624" s="547">
        <v>88264</v>
      </c>
      <c r="D3624" s="547" t="s">
        <v>770</v>
      </c>
      <c r="E3624" s="550">
        <v>0.1</v>
      </c>
      <c r="F3624" s="549" t="s">
        <v>423</v>
      </c>
      <c r="G3624" s="693">
        <v>31.49</v>
      </c>
      <c r="H3624" s="693"/>
      <c r="I3624" s="688"/>
      <c r="J3624" s="563">
        <v>3.149</v>
      </c>
    </row>
    <row r="3625" spans="1:10" ht="14.25" customHeight="1" thickBot="1" x14ac:dyDescent="0.35">
      <c r="A3625" s="689"/>
      <c r="B3625" s="689"/>
      <c r="C3625" s="689"/>
      <c r="D3625" s="689"/>
      <c r="E3625" s="689"/>
      <c r="F3625" s="689" t="s">
        <v>578</v>
      </c>
      <c r="G3625" s="689"/>
      <c r="H3625" s="689"/>
      <c r="I3625" s="689"/>
      <c r="J3625" s="564">
        <v>3.149</v>
      </c>
    </row>
    <row r="3626" spans="1:10" s="89" customFormat="1" ht="14.5" thickTop="1" x14ac:dyDescent="0.3">
      <c r="A3626" s="562"/>
      <c r="B3626" s="562"/>
      <c r="C3626" s="562"/>
      <c r="D3626" s="562"/>
      <c r="E3626" s="562"/>
      <c r="F3626" s="562"/>
      <c r="G3626" s="562"/>
      <c r="H3626" s="562"/>
      <c r="I3626" s="562"/>
      <c r="J3626" s="562"/>
    </row>
    <row r="3627" spans="1:10" s="89" customFormat="1" ht="25.5" customHeight="1" x14ac:dyDescent="0.3">
      <c r="A3627" s="553"/>
      <c r="B3627" s="554" t="s">
        <v>4</v>
      </c>
      <c r="C3627" s="553" t="s">
        <v>5</v>
      </c>
      <c r="D3627" s="553" t="s">
        <v>6</v>
      </c>
      <c r="E3627" s="691" t="s">
        <v>427</v>
      </c>
      <c r="F3627" s="691"/>
      <c r="G3627" s="555" t="s">
        <v>7</v>
      </c>
      <c r="H3627" s="554" t="s">
        <v>8</v>
      </c>
      <c r="I3627" s="554" t="s">
        <v>9</v>
      </c>
      <c r="J3627" s="554" t="s">
        <v>11</v>
      </c>
    </row>
    <row r="3628" spans="1:10" s="89" customFormat="1" ht="38.25" customHeight="1" x14ac:dyDescent="0.3">
      <c r="A3628" s="607" t="s">
        <v>428</v>
      </c>
      <c r="B3628" s="608" t="s">
        <v>712</v>
      </c>
      <c r="C3628" s="607" t="s">
        <v>19</v>
      </c>
      <c r="D3628" s="607" t="s">
        <v>713</v>
      </c>
      <c r="E3628" s="690" t="s">
        <v>643</v>
      </c>
      <c r="F3628" s="690"/>
      <c r="G3628" s="609" t="s">
        <v>556</v>
      </c>
      <c r="H3628" s="610">
        <v>1</v>
      </c>
      <c r="I3628" s="611">
        <v>717.44</v>
      </c>
      <c r="J3628" s="611">
        <v>717.44</v>
      </c>
    </row>
    <row r="3629" spans="1:10" ht="26.25" customHeight="1" x14ac:dyDescent="0.3">
      <c r="A3629" s="547" t="s">
        <v>430</v>
      </c>
      <c r="B3629" s="548" t="s">
        <v>760</v>
      </c>
      <c r="C3629" s="547" t="s">
        <v>19</v>
      </c>
      <c r="D3629" s="547" t="s">
        <v>761</v>
      </c>
      <c r="E3629" s="688" t="s">
        <v>429</v>
      </c>
      <c r="F3629" s="688"/>
      <c r="G3629" s="549" t="s">
        <v>423</v>
      </c>
      <c r="H3629" s="550">
        <v>5.0978640000000004</v>
      </c>
      <c r="I3629" s="551">
        <v>31.1</v>
      </c>
      <c r="J3629" s="551">
        <v>158.54</v>
      </c>
    </row>
    <row r="3630" spans="1:10" s="89" customFormat="1" ht="38.25" customHeight="1" x14ac:dyDescent="0.3">
      <c r="A3630" s="547" t="s">
        <v>430</v>
      </c>
      <c r="B3630" s="548" t="s">
        <v>559</v>
      </c>
      <c r="C3630" s="547" t="s">
        <v>19</v>
      </c>
      <c r="D3630" s="547" t="s">
        <v>560</v>
      </c>
      <c r="E3630" s="688" t="s">
        <v>429</v>
      </c>
      <c r="F3630" s="688"/>
      <c r="G3630" s="549" t="s">
        <v>423</v>
      </c>
      <c r="H3630" s="550">
        <v>2.5489320000000002</v>
      </c>
      <c r="I3630" s="551">
        <v>23.4</v>
      </c>
      <c r="J3630" s="551">
        <v>59.64</v>
      </c>
    </row>
    <row r="3631" spans="1:10" ht="38.25" customHeight="1" x14ac:dyDescent="0.3">
      <c r="A3631" s="547" t="s">
        <v>430</v>
      </c>
      <c r="B3631" s="548" t="s">
        <v>1013</v>
      </c>
      <c r="C3631" s="547" t="s">
        <v>19</v>
      </c>
      <c r="D3631" s="547" t="s">
        <v>1014</v>
      </c>
      <c r="E3631" s="688" t="s">
        <v>429</v>
      </c>
      <c r="F3631" s="688"/>
      <c r="G3631" s="549" t="s">
        <v>532</v>
      </c>
      <c r="H3631" s="550">
        <v>2.1000000000000001E-2</v>
      </c>
      <c r="I3631" s="551">
        <v>634.08000000000004</v>
      </c>
      <c r="J3631" s="551">
        <v>13.31</v>
      </c>
    </row>
    <row r="3632" spans="1:10" s="89" customFormat="1" ht="25.5" customHeight="1" thickBot="1" x14ac:dyDescent="0.35">
      <c r="A3632" s="547" t="s">
        <v>433</v>
      </c>
      <c r="B3632" s="548" t="s">
        <v>1713</v>
      </c>
      <c r="C3632" s="547" t="s">
        <v>19</v>
      </c>
      <c r="D3632" s="547" t="s">
        <v>1714</v>
      </c>
      <c r="E3632" s="688" t="s">
        <v>438</v>
      </c>
      <c r="F3632" s="688"/>
      <c r="G3632" s="549" t="s">
        <v>81</v>
      </c>
      <c r="H3632" s="550">
        <v>2.778</v>
      </c>
      <c r="I3632" s="551">
        <v>174.93</v>
      </c>
      <c r="J3632" s="551">
        <v>485.95</v>
      </c>
    </row>
    <row r="3633" spans="1:10" ht="14.25" customHeight="1" thickTop="1" x14ac:dyDescent="0.3">
      <c r="A3633" s="562"/>
      <c r="B3633" s="562"/>
      <c r="C3633" s="562"/>
      <c r="D3633" s="562"/>
      <c r="E3633" s="562"/>
      <c r="F3633" s="562"/>
      <c r="G3633" s="562"/>
      <c r="H3633" s="562"/>
      <c r="I3633" s="562"/>
      <c r="J3633" s="562"/>
    </row>
    <row r="3634" spans="1:10" s="89" customFormat="1" x14ac:dyDescent="0.3">
      <c r="A3634" s="553"/>
      <c r="B3634" s="554" t="s">
        <v>4</v>
      </c>
      <c r="C3634" s="553" t="s">
        <v>5</v>
      </c>
      <c r="D3634" s="553" t="s">
        <v>6</v>
      </c>
      <c r="E3634" s="691" t="s">
        <v>427</v>
      </c>
      <c r="F3634" s="691"/>
      <c r="G3634" s="555" t="s">
        <v>7</v>
      </c>
      <c r="H3634" s="554" t="s">
        <v>8</v>
      </c>
      <c r="I3634" s="554" t="s">
        <v>9</v>
      </c>
      <c r="J3634" s="554" t="s">
        <v>11</v>
      </c>
    </row>
    <row r="3635" spans="1:10" ht="38.25" customHeight="1" x14ac:dyDescent="0.3">
      <c r="A3635" s="607" t="s">
        <v>428</v>
      </c>
      <c r="B3635" s="608" t="s">
        <v>660</v>
      </c>
      <c r="C3635" s="607" t="s">
        <v>19</v>
      </c>
      <c r="D3635" s="607" t="s">
        <v>661</v>
      </c>
      <c r="E3635" s="690" t="s">
        <v>643</v>
      </c>
      <c r="F3635" s="690"/>
      <c r="G3635" s="609" t="s">
        <v>556</v>
      </c>
      <c r="H3635" s="610">
        <v>1</v>
      </c>
      <c r="I3635" s="611">
        <v>793.12</v>
      </c>
      <c r="J3635" s="611">
        <v>793.12</v>
      </c>
    </row>
    <row r="3636" spans="1:10" ht="14.25" customHeight="1" x14ac:dyDescent="0.3">
      <c r="A3636" s="547" t="s">
        <v>430</v>
      </c>
      <c r="B3636" s="548" t="s">
        <v>1022</v>
      </c>
      <c r="C3636" s="547" t="s">
        <v>19</v>
      </c>
      <c r="D3636" s="547" t="s">
        <v>1023</v>
      </c>
      <c r="E3636" s="688" t="s">
        <v>429</v>
      </c>
      <c r="F3636" s="688"/>
      <c r="G3636" s="549" t="s">
        <v>423</v>
      </c>
      <c r="H3636" s="550">
        <v>1.8444506000000001</v>
      </c>
      <c r="I3636" s="551">
        <v>29.49</v>
      </c>
      <c r="J3636" s="551">
        <v>54.39</v>
      </c>
    </row>
    <row r="3637" spans="1:10" ht="14.25" customHeight="1" x14ac:dyDescent="0.3">
      <c r="A3637" s="547" t="s">
        <v>430</v>
      </c>
      <c r="B3637" s="548" t="s">
        <v>559</v>
      </c>
      <c r="C3637" s="547" t="s">
        <v>19</v>
      </c>
      <c r="D3637" s="547" t="s">
        <v>560</v>
      </c>
      <c r="E3637" s="688" t="s">
        <v>429</v>
      </c>
      <c r="F3637" s="688"/>
      <c r="G3637" s="549" t="s">
        <v>423</v>
      </c>
      <c r="H3637" s="550">
        <v>0.92222530000000003</v>
      </c>
      <c r="I3637" s="551">
        <v>23.4</v>
      </c>
      <c r="J3637" s="551">
        <v>21.58</v>
      </c>
    </row>
    <row r="3638" spans="1:10" s="89" customFormat="1" ht="62.5" x14ac:dyDescent="0.3">
      <c r="A3638" s="547" t="s">
        <v>433</v>
      </c>
      <c r="B3638" s="548" t="s">
        <v>1718</v>
      </c>
      <c r="C3638" s="547" t="s">
        <v>19</v>
      </c>
      <c r="D3638" s="547" t="s">
        <v>1719</v>
      </c>
      <c r="E3638" s="688" t="s">
        <v>438</v>
      </c>
      <c r="F3638" s="688"/>
      <c r="G3638" s="549" t="s">
        <v>556</v>
      </c>
      <c r="H3638" s="550">
        <v>1</v>
      </c>
      <c r="I3638" s="551">
        <v>667.8</v>
      </c>
      <c r="J3638" s="551">
        <v>667.8</v>
      </c>
    </row>
    <row r="3639" spans="1:10" ht="14.25" customHeight="1" x14ac:dyDescent="0.3">
      <c r="A3639" s="547" t="s">
        <v>433</v>
      </c>
      <c r="B3639" s="548" t="s">
        <v>1720</v>
      </c>
      <c r="C3639" s="547" t="s">
        <v>19</v>
      </c>
      <c r="D3639" s="547" t="s">
        <v>3721</v>
      </c>
      <c r="E3639" s="688" t="s">
        <v>438</v>
      </c>
      <c r="F3639" s="688"/>
      <c r="G3639" s="549" t="s">
        <v>173</v>
      </c>
      <c r="H3639" s="550">
        <v>1.7258</v>
      </c>
      <c r="I3639" s="551">
        <v>12.97</v>
      </c>
      <c r="J3639" s="551">
        <v>22.38</v>
      </c>
    </row>
    <row r="3640" spans="1:10" s="89" customFormat="1" x14ac:dyDescent="0.3">
      <c r="A3640" s="547" t="s">
        <v>433</v>
      </c>
      <c r="B3640" s="548" t="s">
        <v>3924</v>
      </c>
      <c r="C3640" s="547" t="s">
        <v>19</v>
      </c>
      <c r="D3640" s="547" t="s">
        <v>3925</v>
      </c>
      <c r="E3640" s="688" t="s">
        <v>438</v>
      </c>
      <c r="F3640" s="688"/>
      <c r="G3640" s="549" t="s">
        <v>81</v>
      </c>
      <c r="H3640" s="550">
        <v>0.22</v>
      </c>
      <c r="I3640" s="551">
        <v>26.91</v>
      </c>
      <c r="J3640" s="551">
        <v>5.92</v>
      </c>
    </row>
    <row r="3641" spans="1:10" ht="14.5" thickBot="1" x14ac:dyDescent="0.35">
      <c r="A3641" s="547" t="s">
        <v>433</v>
      </c>
      <c r="B3641" s="548" t="s">
        <v>3926</v>
      </c>
      <c r="C3641" s="547" t="s">
        <v>19</v>
      </c>
      <c r="D3641" s="547" t="s">
        <v>3927</v>
      </c>
      <c r="E3641" s="688" t="s">
        <v>438</v>
      </c>
      <c r="F3641" s="688"/>
      <c r="G3641" s="549" t="s">
        <v>81</v>
      </c>
      <c r="H3641" s="550">
        <v>0.8014</v>
      </c>
      <c r="I3641" s="551">
        <v>26.27</v>
      </c>
      <c r="J3641" s="551">
        <v>21.05</v>
      </c>
    </row>
    <row r="3642" spans="1:10" s="89" customFormat="1" ht="15" customHeight="1" thickTop="1" x14ac:dyDescent="0.3">
      <c r="A3642" s="562"/>
      <c r="B3642" s="562"/>
      <c r="C3642" s="562"/>
      <c r="D3642" s="562"/>
      <c r="E3642" s="562"/>
      <c r="F3642" s="562"/>
      <c r="G3642" s="562"/>
      <c r="H3642" s="562"/>
      <c r="I3642" s="562"/>
      <c r="J3642" s="562"/>
    </row>
    <row r="3643" spans="1:10" ht="14.25" customHeight="1" x14ac:dyDescent="0.3">
      <c r="A3643" s="553"/>
      <c r="B3643" s="554" t="s">
        <v>4</v>
      </c>
      <c r="C3643" s="553" t="s">
        <v>5</v>
      </c>
      <c r="D3643" s="553" t="s">
        <v>6</v>
      </c>
      <c r="E3643" s="691" t="s">
        <v>427</v>
      </c>
      <c r="F3643" s="691"/>
      <c r="G3643" s="555" t="s">
        <v>7</v>
      </c>
      <c r="H3643" s="554" t="s">
        <v>8</v>
      </c>
      <c r="I3643" s="554" t="s">
        <v>9</v>
      </c>
      <c r="J3643" s="554" t="s">
        <v>11</v>
      </c>
    </row>
    <row r="3644" spans="1:10" s="89" customFormat="1" ht="15" customHeight="1" x14ac:dyDescent="0.3">
      <c r="A3644" s="607" t="s">
        <v>428</v>
      </c>
      <c r="B3644" s="608" t="s">
        <v>603</v>
      </c>
      <c r="C3644" s="607" t="s">
        <v>19</v>
      </c>
      <c r="D3644" s="607" t="s">
        <v>604</v>
      </c>
      <c r="E3644" s="690" t="s">
        <v>429</v>
      </c>
      <c r="F3644" s="690"/>
      <c r="G3644" s="609" t="s">
        <v>423</v>
      </c>
      <c r="H3644" s="610">
        <v>1</v>
      </c>
      <c r="I3644" s="611">
        <v>27.63</v>
      </c>
      <c r="J3644" s="611">
        <v>27.63</v>
      </c>
    </row>
    <row r="3645" spans="1:10" ht="25" x14ac:dyDescent="0.3">
      <c r="A3645" s="547" t="s">
        <v>430</v>
      </c>
      <c r="B3645" s="548" t="s">
        <v>1452</v>
      </c>
      <c r="C3645" s="547" t="s">
        <v>19</v>
      </c>
      <c r="D3645" s="547" t="s">
        <v>1453</v>
      </c>
      <c r="E3645" s="688" t="s">
        <v>429</v>
      </c>
      <c r="F3645" s="688"/>
      <c r="G3645" s="549" t="s">
        <v>423</v>
      </c>
      <c r="H3645" s="550">
        <v>1</v>
      </c>
      <c r="I3645" s="551">
        <v>0.11</v>
      </c>
      <c r="J3645" s="551">
        <v>0.11</v>
      </c>
    </row>
    <row r="3646" spans="1:10" s="89" customFormat="1" ht="25" x14ac:dyDescent="0.3">
      <c r="A3646" s="547" t="s">
        <v>433</v>
      </c>
      <c r="B3646" s="548" t="s">
        <v>1213</v>
      </c>
      <c r="C3646" s="547" t="s">
        <v>19</v>
      </c>
      <c r="D3646" s="547" t="s">
        <v>3592</v>
      </c>
      <c r="E3646" s="688" t="s">
        <v>862</v>
      </c>
      <c r="F3646" s="688"/>
      <c r="G3646" s="549" t="s">
        <v>423</v>
      </c>
      <c r="H3646" s="550">
        <v>1</v>
      </c>
      <c r="I3646" s="551">
        <v>3.8</v>
      </c>
      <c r="J3646" s="551">
        <v>3.8</v>
      </c>
    </row>
    <row r="3647" spans="1:10" ht="14.25" customHeight="1" x14ac:dyDescent="0.3">
      <c r="A3647" s="547" t="s">
        <v>433</v>
      </c>
      <c r="B3647" s="548" t="s">
        <v>1214</v>
      </c>
      <c r="C3647" s="547" t="s">
        <v>19</v>
      </c>
      <c r="D3647" s="547" t="s">
        <v>3593</v>
      </c>
      <c r="E3647" s="688" t="s">
        <v>1215</v>
      </c>
      <c r="F3647" s="688"/>
      <c r="G3647" s="549" t="s">
        <v>423</v>
      </c>
      <c r="H3647" s="550">
        <v>1</v>
      </c>
      <c r="I3647" s="551">
        <v>1.5</v>
      </c>
      <c r="J3647" s="551">
        <v>1.5</v>
      </c>
    </row>
    <row r="3648" spans="1:10" s="89" customFormat="1" ht="15" customHeight="1" x14ac:dyDescent="0.3">
      <c r="A3648" s="547" t="s">
        <v>433</v>
      </c>
      <c r="B3648" s="548" t="s">
        <v>1216</v>
      </c>
      <c r="C3648" s="547" t="s">
        <v>19</v>
      </c>
      <c r="D3648" s="547" t="s">
        <v>3594</v>
      </c>
      <c r="E3648" s="688" t="s">
        <v>862</v>
      </c>
      <c r="F3648" s="688"/>
      <c r="G3648" s="549" t="s">
        <v>423</v>
      </c>
      <c r="H3648" s="550">
        <v>1</v>
      </c>
      <c r="I3648" s="551">
        <v>1.34</v>
      </c>
      <c r="J3648" s="551">
        <v>1.34</v>
      </c>
    </row>
    <row r="3649" spans="1:10" ht="14.25" customHeight="1" x14ac:dyDescent="0.3">
      <c r="A3649" s="547" t="s">
        <v>433</v>
      </c>
      <c r="B3649" s="548" t="s">
        <v>1217</v>
      </c>
      <c r="C3649" s="547" t="s">
        <v>19</v>
      </c>
      <c r="D3649" s="547" t="s">
        <v>3595</v>
      </c>
      <c r="E3649" s="688" t="s">
        <v>531</v>
      </c>
      <c r="F3649" s="688"/>
      <c r="G3649" s="549" t="s">
        <v>423</v>
      </c>
      <c r="H3649" s="550">
        <v>1</v>
      </c>
      <c r="I3649" s="551">
        <v>0.04</v>
      </c>
      <c r="J3649" s="551">
        <v>0.04</v>
      </c>
    </row>
    <row r="3650" spans="1:10" s="89" customFormat="1" ht="15.75" customHeight="1" x14ac:dyDescent="0.3">
      <c r="A3650" s="547" t="s">
        <v>433</v>
      </c>
      <c r="B3650" s="548" t="s">
        <v>1218</v>
      </c>
      <c r="C3650" s="547" t="s">
        <v>19</v>
      </c>
      <c r="D3650" s="547" t="s">
        <v>1219</v>
      </c>
      <c r="E3650" s="688" t="s">
        <v>442</v>
      </c>
      <c r="F3650" s="688"/>
      <c r="G3650" s="549" t="s">
        <v>423</v>
      </c>
      <c r="H3650" s="550">
        <v>1</v>
      </c>
      <c r="I3650" s="551">
        <v>0.82</v>
      </c>
      <c r="J3650" s="551">
        <v>0.82</v>
      </c>
    </row>
    <row r="3651" spans="1:10" ht="25" x14ac:dyDescent="0.3">
      <c r="A3651" s="547" t="s">
        <v>433</v>
      </c>
      <c r="B3651" s="548" t="s">
        <v>1220</v>
      </c>
      <c r="C3651" s="547" t="s">
        <v>19</v>
      </c>
      <c r="D3651" s="547" t="s">
        <v>1221</v>
      </c>
      <c r="E3651" s="688" t="s">
        <v>442</v>
      </c>
      <c r="F3651" s="688"/>
      <c r="G3651" s="549" t="s">
        <v>423</v>
      </c>
      <c r="H3651" s="550">
        <v>1</v>
      </c>
      <c r="I3651" s="551">
        <v>1.24</v>
      </c>
      <c r="J3651" s="551">
        <v>1.24</v>
      </c>
    </row>
    <row r="3652" spans="1:10" s="89" customFormat="1" ht="14.5" thickBot="1" x14ac:dyDescent="0.35">
      <c r="A3652" s="547" t="s">
        <v>433</v>
      </c>
      <c r="B3652" s="548" t="s">
        <v>1454</v>
      </c>
      <c r="C3652" s="547" t="s">
        <v>19</v>
      </c>
      <c r="D3652" s="547" t="s">
        <v>1455</v>
      </c>
      <c r="E3652" s="688" t="s">
        <v>436</v>
      </c>
      <c r="F3652" s="688"/>
      <c r="G3652" s="549" t="s">
        <v>423</v>
      </c>
      <c r="H3652" s="550">
        <v>1</v>
      </c>
      <c r="I3652" s="551">
        <v>18.78</v>
      </c>
      <c r="J3652" s="551">
        <v>18.78</v>
      </c>
    </row>
    <row r="3653" spans="1:10" s="89" customFormat="1" ht="14.5" thickTop="1" x14ac:dyDescent="0.3">
      <c r="A3653" s="562"/>
      <c r="B3653" s="562"/>
      <c r="C3653" s="562"/>
      <c r="D3653" s="562"/>
      <c r="E3653" s="562"/>
      <c r="F3653" s="562"/>
      <c r="G3653" s="562"/>
      <c r="H3653" s="562"/>
      <c r="I3653" s="562"/>
      <c r="J3653" s="562"/>
    </row>
    <row r="3654" spans="1:10" s="89" customFormat="1" ht="15" customHeight="1" x14ac:dyDescent="0.3">
      <c r="A3654" s="553"/>
      <c r="B3654" s="554" t="s">
        <v>4</v>
      </c>
      <c r="C3654" s="553" t="s">
        <v>5</v>
      </c>
      <c r="D3654" s="553" t="s">
        <v>6</v>
      </c>
      <c r="E3654" s="691" t="s">
        <v>427</v>
      </c>
      <c r="F3654" s="691"/>
      <c r="G3654" s="555" t="s">
        <v>7</v>
      </c>
      <c r="H3654" s="554" t="s">
        <v>8</v>
      </c>
      <c r="I3654" s="554" t="s">
        <v>9</v>
      </c>
      <c r="J3654" s="554" t="s">
        <v>11</v>
      </c>
    </row>
    <row r="3655" spans="1:10" ht="14.25" customHeight="1" x14ac:dyDescent="0.3">
      <c r="A3655" s="607" t="s">
        <v>428</v>
      </c>
      <c r="B3655" s="608" t="s">
        <v>738</v>
      </c>
      <c r="C3655" s="607" t="s">
        <v>19</v>
      </c>
      <c r="D3655" s="607" t="s">
        <v>739</v>
      </c>
      <c r="E3655" s="690" t="s">
        <v>670</v>
      </c>
      <c r="F3655" s="690"/>
      <c r="G3655" s="609" t="s">
        <v>81</v>
      </c>
      <c r="H3655" s="610">
        <v>1</v>
      </c>
      <c r="I3655" s="611">
        <v>9.32</v>
      </c>
      <c r="J3655" s="611">
        <v>9.32</v>
      </c>
    </row>
    <row r="3656" spans="1:10" s="89" customFormat="1" ht="25" x14ac:dyDescent="0.3">
      <c r="A3656" s="547" t="s">
        <v>430</v>
      </c>
      <c r="B3656" s="548" t="s">
        <v>1195</v>
      </c>
      <c r="C3656" s="547" t="s">
        <v>19</v>
      </c>
      <c r="D3656" s="547" t="s">
        <v>1196</v>
      </c>
      <c r="E3656" s="688" t="s">
        <v>429</v>
      </c>
      <c r="F3656" s="688"/>
      <c r="G3656" s="549" t="s">
        <v>423</v>
      </c>
      <c r="H3656" s="550">
        <v>0.13589999999999999</v>
      </c>
      <c r="I3656" s="551">
        <v>23.63</v>
      </c>
      <c r="J3656" s="551">
        <v>3.21</v>
      </c>
    </row>
    <row r="3657" spans="1:10" ht="14.25" customHeight="1" x14ac:dyDescent="0.3">
      <c r="A3657" s="547" t="s">
        <v>430</v>
      </c>
      <c r="B3657" s="548" t="s">
        <v>789</v>
      </c>
      <c r="C3657" s="547" t="s">
        <v>19</v>
      </c>
      <c r="D3657" s="547" t="s">
        <v>790</v>
      </c>
      <c r="E3657" s="688" t="s">
        <v>429</v>
      </c>
      <c r="F3657" s="688"/>
      <c r="G3657" s="549" t="s">
        <v>423</v>
      </c>
      <c r="H3657" s="550">
        <v>0.13589999999999999</v>
      </c>
      <c r="I3657" s="551">
        <v>30.33</v>
      </c>
      <c r="J3657" s="551">
        <v>4.12</v>
      </c>
    </row>
    <row r="3658" spans="1:10" s="89" customFormat="1" ht="15" customHeight="1" x14ac:dyDescent="0.3">
      <c r="A3658" s="547" t="s">
        <v>433</v>
      </c>
      <c r="B3658" s="548" t="s">
        <v>1207</v>
      </c>
      <c r="C3658" s="547" t="s">
        <v>19</v>
      </c>
      <c r="D3658" s="547" t="s">
        <v>1208</v>
      </c>
      <c r="E3658" s="688" t="s">
        <v>438</v>
      </c>
      <c r="F3658" s="688"/>
      <c r="G3658" s="549" t="s">
        <v>81</v>
      </c>
      <c r="H3658" s="550">
        <v>7.1000000000000004E-3</v>
      </c>
      <c r="I3658" s="551">
        <v>72.09</v>
      </c>
      <c r="J3658" s="551">
        <v>0.51</v>
      </c>
    </row>
    <row r="3659" spans="1:10" ht="15" customHeight="1" x14ac:dyDescent="0.3">
      <c r="A3659" s="547" t="s">
        <v>433</v>
      </c>
      <c r="B3659" s="548" t="s">
        <v>1721</v>
      </c>
      <c r="C3659" s="547" t="s">
        <v>19</v>
      </c>
      <c r="D3659" s="547" t="s">
        <v>3722</v>
      </c>
      <c r="E3659" s="688" t="s">
        <v>438</v>
      </c>
      <c r="F3659" s="688"/>
      <c r="G3659" s="549" t="s">
        <v>81</v>
      </c>
      <c r="H3659" s="550">
        <v>1</v>
      </c>
      <c r="I3659" s="551">
        <v>0.76</v>
      </c>
      <c r="J3659" s="551">
        <v>0.76</v>
      </c>
    </row>
    <row r="3660" spans="1:10" s="89" customFormat="1" ht="25" x14ac:dyDescent="0.3">
      <c r="A3660" s="547" t="s">
        <v>433</v>
      </c>
      <c r="B3660" s="548" t="s">
        <v>1199</v>
      </c>
      <c r="C3660" s="547" t="s">
        <v>19</v>
      </c>
      <c r="D3660" s="547" t="s">
        <v>1200</v>
      </c>
      <c r="E3660" s="688" t="s">
        <v>438</v>
      </c>
      <c r="F3660" s="688"/>
      <c r="G3660" s="549" t="s">
        <v>81</v>
      </c>
      <c r="H3660" s="550">
        <v>8.0000000000000002E-3</v>
      </c>
      <c r="I3660" s="551">
        <v>81.680000000000007</v>
      </c>
      <c r="J3660" s="551">
        <v>0.65</v>
      </c>
    </row>
    <row r="3661" spans="1:10" ht="14.25" customHeight="1" thickBot="1" x14ac:dyDescent="0.35">
      <c r="A3661" s="547" t="s">
        <v>433</v>
      </c>
      <c r="B3661" s="548" t="s">
        <v>1201</v>
      </c>
      <c r="C3661" s="547" t="s">
        <v>19</v>
      </c>
      <c r="D3661" s="547" t="s">
        <v>1202</v>
      </c>
      <c r="E3661" s="688" t="s">
        <v>438</v>
      </c>
      <c r="F3661" s="688"/>
      <c r="G3661" s="549" t="s">
        <v>81</v>
      </c>
      <c r="H3661" s="550">
        <v>3.0200000000000001E-2</v>
      </c>
      <c r="I3661" s="551">
        <v>2.38</v>
      </c>
      <c r="J3661" s="551">
        <v>7.0000000000000007E-2</v>
      </c>
    </row>
    <row r="3662" spans="1:10" ht="14.25" customHeight="1" thickTop="1" x14ac:dyDescent="0.3">
      <c r="A3662" s="562"/>
      <c r="B3662" s="562"/>
      <c r="C3662" s="562"/>
      <c r="D3662" s="562"/>
      <c r="E3662" s="562"/>
      <c r="F3662" s="562"/>
      <c r="G3662" s="562"/>
      <c r="H3662" s="562"/>
      <c r="I3662" s="562"/>
      <c r="J3662" s="562"/>
    </row>
    <row r="3663" spans="1:10" ht="15" customHeight="1" x14ac:dyDescent="0.3">
      <c r="A3663" s="553"/>
      <c r="B3663" s="554" t="s">
        <v>4</v>
      </c>
      <c r="C3663" s="553" t="s">
        <v>5</v>
      </c>
      <c r="D3663" s="553" t="s">
        <v>6</v>
      </c>
      <c r="E3663" s="691" t="s">
        <v>427</v>
      </c>
      <c r="F3663" s="691"/>
      <c r="G3663" s="555" t="s">
        <v>7</v>
      </c>
      <c r="H3663" s="554" t="s">
        <v>8</v>
      </c>
      <c r="I3663" s="554" t="s">
        <v>9</v>
      </c>
      <c r="J3663" s="554" t="s">
        <v>11</v>
      </c>
    </row>
    <row r="3664" spans="1:10" ht="25" x14ac:dyDescent="0.3">
      <c r="A3664" s="607" t="s">
        <v>428</v>
      </c>
      <c r="B3664" s="608" t="s">
        <v>482</v>
      </c>
      <c r="C3664" s="607" t="s">
        <v>26</v>
      </c>
      <c r="D3664" s="607" t="s">
        <v>483</v>
      </c>
      <c r="E3664" s="690" t="s">
        <v>429</v>
      </c>
      <c r="F3664" s="690"/>
      <c r="G3664" s="609" t="s">
        <v>81</v>
      </c>
      <c r="H3664" s="610">
        <v>1</v>
      </c>
      <c r="I3664" s="611">
        <v>822.45</v>
      </c>
      <c r="J3664" s="611">
        <v>822.45</v>
      </c>
    </row>
    <row r="3665" spans="1:10" ht="15" customHeight="1" thickBot="1" x14ac:dyDescent="0.35">
      <c r="A3665" s="547" t="s">
        <v>433</v>
      </c>
      <c r="B3665" s="548" t="s">
        <v>490</v>
      </c>
      <c r="C3665" s="547" t="s">
        <v>19</v>
      </c>
      <c r="D3665" s="547" t="s">
        <v>491</v>
      </c>
      <c r="E3665" s="688" t="s">
        <v>436</v>
      </c>
      <c r="F3665" s="688"/>
      <c r="G3665" s="549" t="s">
        <v>21</v>
      </c>
      <c r="H3665" s="550">
        <v>0.3</v>
      </c>
      <c r="I3665" s="551">
        <v>2741.53</v>
      </c>
      <c r="J3665" s="551">
        <v>822.45</v>
      </c>
    </row>
    <row r="3666" spans="1:10" s="89" customFormat="1" ht="14.5" thickTop="1" x14ac:dyDescent="0.3">
      <c r="A3666" s="562"/>
      <c r="B3666" s="562"/>
      <c r="C3666" s="562"/>
      <c r="D3666" s="562"/>
      <c r="E3666" s="562"/>
      <c r="F3666" s="562"/>
      <c r="G3666" s="562"/>
      <c r="H3666" s="562"/>
      <c r="I3666" s="562"/>
      <c r="J3666" s="562"/>
    </row>
    <row r="3667" spans="1:10" x14ac:dyDescent="0.3">
      <c r="A3667" s="553"/>
      <c r="B3667" s="554" t="s">
        <v>4</v>
      </c>
      <c r="C3667" s="553" t="s">
        <v>5</v>
      </c>
      <c r="D3667" s="553" t="s">
        <v>6</v>
      </c>
      <c r="E3667" s="691" t="s">
        <v>427</v>
      </c>
      <c r="F3667" s="691"/>
      <c r="G3667" s="555" t="s">
        <v>7</v>
      </c>
      <c r="H3667" s="554" t="s">
        <v>8</v>
      </c>
      <c r="I3667" s="554" t="s">
        <v>9</v>
      </c>
      <c r="J3667" s="554" t="s">
        <v>11</v>
      </c>
    </row>
    <row r="3668" spans="1:10" s="89" customFormat="1" ht="37.5" x14ac:dyDescent="0.3">
      <c r="A3668" s="607" t="s">
        <v>428</v>
      </c>
      <c r="B3668" s="608" t="s">
        <v>740</v>
      </c>
      <c r="C3668" s="607" t="s">
        <v>19</v>
      </c>
      <c r="D3668" s="607" t="s">
        <v>741</v>
      </c>
      <c r="E3668" s="690" t="s">
        <v>670</v>
      </c>
      <c r="F3668" s="690"/>
      <c r="G3668" s="609" t="s">
        <v>81</v>
      </c>
      <c r="H3668" s="610">
        <v>1</v>
      </c>
      <c r="I3668" s="611">
        <v>57.67</v>
      </c>
      <c r="J3668" s="611">
        <v>57.67</v>
      </c>
    </row>
    <row r="3669" spans="1:10" s="89" customFormat="1" ht="15" customHeight="1" x14ac:dyDescent="0.3">
      <c r="A3669" s="547" t="s">
        <v>430</v>
      </c>
      <c r="B3669" s="548" t="s">
        <v>1722</v>
      </c>
      <c r="C3669" s="547" t="s">
        <v>19</v>
      </c>
      <c r="D3669" s="547" t="s">
        <v>1723</v>
      </c>
      <c r="E3669" s="688" t="s">
        <v>670</v>
      </c>
      <c r="F3669" s="688"/>
      <c r="G3669" s="549" t="s">
        <v>81</v>
      </c>
      <c r="H3669" s="550">
        <v>1</v>
      </c>
      <c r="I3669" s="551">
        <v>43.51</v>
      </c>
      <c r="J3669" s="551">
        <v>43.51</v>
      </c>
    </row>
    <row r="3670" spans="1:10" s="89" customFormat="1" ht="15" customHeight="1" thickBot="1" x14ac:dyDescent="0.35">
      <c r="A3670" s="547" t="s">
        <v>430</v>
      </c>
      <c r="B3670" s="548" t="s">
        <v>1203</v>
      </c>
      <c r="C3670" s="547" t="s">
        <v>19</v>
      </c>
      <c r="D3670" s="547" t="s">
        <v>1204</v>
      </c>
      <c r="E3670" s="688" t="s">
        <v>670</v>
      </c>
      <c r="F3670" s="688"/>
      <c r="G3670" s="549" t="s">
        <v>81</v>
      </c>
      <c r="H3670" s="550">
        <v>2</v>
      </c>
      <c r="I3670" s="551">
        <v>7.08</v>
      </c>
      <c r="J3670" s="551">
        <v>14.16</v>
      </c>
    </row>
    <row r="3671" spans="1:10" ht="14.5" thickTop="1" x14ac:dyDescent="0.3">
      <c r="A3671" s="562"/>
      <c r="B3671" s="562"/>
      <c r="C3671" s="562"/>
      <c r="D3671" s="562"/>
      <c r="E3671" s="562"/>
      <c r="F3671" s="562"/>
      <c r="G3671" s="562"/>
      <c r="H3671" s="562"/>
      <c r="I3671" s="562"/>
      <c r="J3671" s="562"/>
    </row>
    <row r="3672" spans="1:10" s="89" customFormat="1" x14ac:dyDescent="0.3">
      <c r="A3672" s="553"/>
      <c r="B3672" s="554" t="s">
        <v>4</v>
      </c>
      <c r="C3672" s="553" t="s">
        <v>5</v>
      </c>
      <c r="D3672" s="553" t="s">
        <v>6</v>
      </c>
      <c r="E3672" s="691" t="s">
        <v>427</v>
      </c>
      <c r="F3672" s="691"/>
      <c r="G3672" s="555" t="s">
        <v>7</v>
      </c>
      <c r="H3672" s="554" t="s">
        <v>8</v>
      </c>
      <c r="I3672" s="554" t="s">
        <v>9</v>
      </c>
      <c r="J3672" s="554" t="s">
        <v>11</v>
      </c>
    </row>
    <row r="3673" spans="1:10" ht="25" x14ac:dyDescent="0.3">
      <c r="A3673" s="607" t="s">
        <v>428</v>
      </c>
      <c r="B3673" s="608" t="s">
        <v>682</v>
      </c>
      <c r="C3673" s="607" t="s">
        <v>19</v>
      </c>
      <c r="D3673" s="607" t="s">
        <v>683</v>
      </c>
      <c r="E3673" s="690" t="s">
        <v>619</v>
      </c>
      <c r="F3673" s="690"/>
      <c r="G3673" s="609" t="s">
        <v>556</v>
      </c>
      <c r="H3673" s="610">
        <v>1</v>
      </c>
      <c r="I3673" s="611">
        <v>19.77</v>
      </c>
      <c r="J3673" s="611">
        <v>19.77</v>
      </c>
    </row>
    <row r="3674" spans="1:10" s="89" customFormat="1" ht="15" customHeight="1" x14ac:dyDescent="0.3">
      <c r="A3674" s="547" t="s">
        <v>430</v>
      </c>
      <c r="B3674" s="548" t="s">
        <v>760</v>
      </c>
      <c r="C3674" s="547" t="s">
        <v>19</v>
      </c>
      <c r="D3674" s="547" t="s">
        <v>761</v>
      </c>
      <c r="E3674" s="688" t="s">
        <v>429</v>
      </c>
      <c r="F3674" s="688"/>
      <c r="G3674" s="549" t="s">
        <v>423</v>
      </c>
      <c r="H3674" s="550">
        <v>0.16309999999999999</v>
      </c>
      <c r="I3674" s="551">
        <v>31.1</v>
      </c>
      <c r="J3674" s="551">
        <v>5.07</v>
      </c>
    </row>
    <row r="3675" spans="1:10" ht="14.25" customHeight="1" x14ac:dyDescent="0.3">
      <c r="A3675" s="547" t="s">
        <v>430</v>
      </c>
      <c r="B3675" s="548" t="s">
        <v>559</v>
      </c>
      <c r="C3675" s="547" t="s">
        <v>19</v>
      </c>
      <c r="D3675" s="547" t="s">
        <v>560</v>
      </c>
      <c r="E3675" s="688" t="s">
        <v>429</v>
      </c>
      <c r="F3675" s="688"/>
      <c r="G3675" s="549" t="s">
        <v>423</v>
      </c>
      <c r="H3675" s="550">
        <v>4.4400000000000002E-2</v>
      </c>
      <c r="I3675" s="551">
        <v>23.4</v>
      </c>
      <c r="J3675" s="551">
        <v>1.03</v>
      </c>
    </row>
    <row r="3676" spans="1:10" s="89" customFormat="1" ht="15" customHeight="1" thickBot="1" x14ac:dyDescent="0.35">
      <c r="A3676" s="547" t="s">
        <v>430</v>
      </c>
      <c r="B3676" s="548" t="s">
        <v>160</v>
      </c>
      <c r="C3676" s="547" t="s">
        <v>19</v>
      </c>
      <c r="D3676" s="547" t="s">
        <v>161</v>
      </c>
      <c r="E3676" s="688" t="s">
        <v>619</v>
      </c>
      <c r="F3676" s="688"/>
      <c r="G3676" s="549" t="s">
        <v>532</v>
      </c>
      <c r="H3676" s="550">
        <v>3.39E-2</v>
      </c>
      <c r="I3676" s="551">
        <v>403.4</v>
      </c>
      <c r="J3676" s="551">
        <v>13.67</v>
      </c>
    </row>
    <row r="3677" spans="1:10" ht="14.25" customHeight="1" thickTop="1" x14ac:dyDescent="0.3">
      <c r="A3677" s="562"/>
      <c r="B3677" s="562"/>
      <c r="C3677" s="562"/>
      <c r="D3677" s="562"/>
      <c r="E3677" s="562"/>
      <c r="F3677" s="562"/>
      <c r="G3677" s="562"/>
      <c r="H3677" s="562"/>
      <c r="I3677" s="562"/>
      <c r="J3677" s="562"/>
    </row>
    <row r="3678" spans="1:10" s="89" customFormat="1" x14ac:dyDescent="0.3">
      <c r="A3678" s="553"/>
      <c r="B3678" s="554" t="s">
        <v>4</v>
      </c>
      <c r="C3678" s="553" t="s">
        <v>5</v>
      </c>
      <c r="D3678" s="553" t="s">
        <v>6</v>
      </c>
      <c r="E3678" s="691" t="s">
        <v>427</v>
      </c>
      <c r="F3678" s="691"/>
      <c r="G3678" s="555" t="s">
        <v>7</v>
      </c>
      <c r="H3678" s="554" t="s">
        <v>8</v>
      </c>
      <c r="I3678" s="554" t="s">
        <v>9</v>
      </c>
      <c r="J3678" s="554" t="s">
        <v>11</v>
      </c>
    </row>
    <row r="3679" spans="1:10" ht="25" x14ac:dyDescent="0.3">
      <c r="A3679" s="607" t="s">
        <v>428</v>
      </c>
      <c r="B3679" s="608" t="s">
        <v>714</v>
      </c>
      <c r="C3679" s="607" t="s">
        <v>19</v>
      </c>
      <c r="D3679" s="607" t="s">
        <v>715</v>
      </c>
      <c r="E3679" s="690" t="s">
        <v>619</v>
      </c>
      <c r="F3679" s="690"/>
      <c r="G3679" s="609" t="s">
        <v>556</v>
      </c>
      <c r="H3679" s="610">
        <v>1</v>
      </c>
      <c r="I3679" s="611">
        <v>37.880000000000003</v>
      </c>
      <c r="J3679" s="611">
        <v>37.880000000000003</v>
      </c>
    </row>
    <row r="3680" spans="1:10" s="89" customFormat="1" ht="15" customHeight="1" x14ac:dyDescent="0.3">
      <c r="A3680" s="547" t="s">
        <v>430</v>
      </c>
      <c r="B3680" s="548" t="s">
        <v>760</v>
      </c>
      <c r="C3680" s="547" t="s">
        <v>19</v>
      </c>
      <c r="D3680" s="547" t="s">
        <v>761</v>
      </c>
      <c r="E3680" s="688" t="s">
        <v>429</v>
      </c>
      <c r="F3680" s="688"/>
      <c r="G3680" s="549" t="s">
        <v>423</v>
      </c>
      <c r="H3680" s="550">
        <v>0.25414999999999999</v>
      </c>
      <c r="I3680" s="551">
        <v>31.1</v>
      </c>
      <c r="J3680" s="551">
        <v>7.9</v>
      </c>
    </row>
    <row r="3681" spans="1:10" ht="14.25" customHeight="1" x14ac:dyDescent="0.3">
      <c r="A3681" s="547" t="s">
        <v>430</v>
      </c>
      <c r="B3681" s="548" t="s">
        <v>559</v>
      </c>
      <c r="C3681" s="547" t="s">
        <v>19</v>
      </c>
      <c r="D3681" s="547" t="s">
        <v>560</v>
      </c>
      <c r="E3681" s="688" t="s">
        <v>429</v>
      </c>
      <c r="F3681" s="688"/>
      <c r="G3681" s="549" t="s">
        <v>423</v>
      </c>
      <c r="H3681" s="550">
        <v>9.1899999999999996E-2</v>
      </c>
      <c r="I3681" s="551">
        <v>23.4</v>
      </c>
      <c r="J3681" s="551">
        <v>2.15</v>
      </c>
    </row>
    <row r="3682" spans="1:10" ht="38" thickBot="1" x14ac:dyDescent="0.35">
      <c r="A3682" s="547" t="s">
        <v>430</v>
      </c>
      <c r="B3682" s="548" t="s">
        <v>160</v>
      </c>
      <c r="C3682" s="547" t="s">
        <v>19</v>
      </c>
      <c r="D3682" s="547" t="s">
        <v>161</v>
      </c>
      <c r="E3682" s="688" t="s">
        <v>619</v>
      </c>
      <c r="F3682" s="688"/>
      <c r="G3682" s="549" t="s">
        <v>532</v>
      </c>
      <c r="H3682" s="550">
        <v>6.9000000000000006E-2</v>
      </c>
      <c r="I3682" s="551">
        <v>403.4</v>
      </c>
      <c r="J3682" s="551">
        <v>27.83</v>
      </c>
    </row>
    <row r="3683" spans="1:10" ht="14.5" thickTop="1" x14ac:dyDescent="0.3">
      <c r="A3683" s="562"/>
      <c r="B3683" s="562"/>
      <c r="C3683" s="562"/>
      <c r="D3683" s="562"/>
      <c r="E3683" s="562"/>
      <c r="F3683" s="562"/>
      <c r="G3683" s="562"/>
      <c r="H3683" s="562"/>
      <c r="I3683" s="562"/>
      <c r="J3683" s="562"/>
    </row>
    <row r="3684" spans="1:10" s="89" customFormat="1" ht="15" customHeight="1" x14ac:dyDescent="0.3">
      <c r="A3684" s="553"/>
      <c r="B3684" s="554" t="s">
        <v>4</v>
      </c>
      <c r="C3684" s="553" t="s">
        <v>5</v>
      </c>
      <c r="D3684" s="553" t="s">
        <v>6</v>
      </c>
      <c r="E3684" s="691" t="s">
        <v>427</v>
      </c>
      <c r="F3684" s="691"/>
      <c r="G3684" s="555" t="s">
        <v>7</v>
      </c>
      <c r="H3684" s="554" t="s">
        <v>8</v>
      </c>
      <c r="I3684" s="554" t="s">
        <v>9</v>
      </c>
      <c r="J3684" s="554" t="s">
        <v>11</v>
      </c>
    </row>
    <row r="3685" spans="1:10" ht="25.5" thickBot="1" x14ac:dyDescent="0.35">
      <c r="A3685" s="607" t="s">
        <v>428</v>
      </c>
      <c r="B3685" s="608" t="s">
        <v>1191</v>
      </c>
      <c r="C3685" s="607" t="s">
        <v>196</v>
      </c>
      <c r="D3685" s="607" t="s">
        <v>3919</v>
      </c>
      <c r="E3685" s="690">
        <v>59</v>
      </c>
      <c r="F3685" s="690"/>
      <c r="G3685" s="609" t="s">
        <v>21</v>
      </c>
      <c r="H3685" s="610">
        <v>1</v>
      </c>
      <c r="I3685" s="611">
        <v>0</v>
      </c>
      <c r="J3685" s="611">
        <v>0</v>
      </c>
    </row>
    <row r="3686" spans="1:10" s="89" customFormat="1" ht="14.5" thickTop="1" x14ac:dyDescent="0.3">
      <c r="A3686" s="562"/>
      <c r="B3686" s="562"/>
      <c r="C3686" s="562"/>
      <c r="D3686" s="562"/>
      <c r="E3686" s="562"/>
      <c r="F3686" s="562"/>
      <c r="G3686" s="562"/>
      <c r="H3686" s="562"/>
      <c r="I3686" s="562"/>
      <c r="J3686" s="562"/>
    </row>
    <row r="3687" spans="1:10" x14ac:dyDescent="0.3">
      <c r="A3687" s="553"/>
      <c r="B3687" s="554" t="s">
        <v>4</v>
      </c>
      <c r="C3687" s="553" t="s">
        <v>5</v>
      </c>
      <c r="D3687" s="553" t="s">
        <v>6</v>
      </c>
      <c r="E3687" s="691" t="s">
        <v>427</v>
      </c>
      <c r="F3687" s="691"/>
      <c r="G3687" s="555" t="s">
        <v>7</v>
      </c>
      <c r="H3687" s="554" t="s">
        <v>8</v>
      </c>
      <c r="I3687" s="554" t="s">
        <v>9</v>
      </c>
      <c r="J3687" s="554" t="s">
        <v>11</v>
      </c>
    </row>
    <row r="3688" spans="1:10" s="89" customFormat="1" ht="38.25" customHeight="1" x14ac:dyDescent="0.3">
      <c r="A3688" s="607" t="s">
        <v>428</v>
      </c>
      <c r="B3688" s="608" t="s">
        <v>717</v>
      </c>
      <c r="C3688" s="607" t="s">
        <v>19</v>
      </c>
      <c r="D3688" s="607" t="s">
        <v>718</v>
      </c>
      <c r="E3688" s="690" t="s">
        <v>664</v>
      </c>
      <c r="F3688" s="690"/>
      <c r="G3688" s="609" t="s">
        <v>81</v>
      </c>
      <c r="H3688" s="610">
        <v>1</v>
      </c>
      <c r="I3688" s="611">
        <v>120.19</v>
      </c>
      <c r="J3688" s="611">
        <v>120.19</v>
      </c>
    </row>
    <row r="3689" spans="1:10" s="89" customFormat="1" ht="15" customHeight="1" x14ac:dyDescent="0.3">
      <c r="A3689" s="547" t="s">
        <v>430</v>
      </c>
      <c r="B3689" s="548" t="s">
        <v>863</v>
      </c>
      <c r="C3689" s="547" t="s">
        <v>19</v>
      </c>
      <c r="D3689" s="547" t="s">
        <v>864</v>
      </c>
      <c r="E3689" s="688" t="s">
        <v>429</v>
      </c>
      <c r="F3689" s="688"/>
      <c r="G3689" s="549" t="s">
        <v>423</v>
      </c>
      <c r="H3689" s="550">
        <v>0.17269999999999999</v>
      </c>
      <c r="I3689" s="551">
        <v>24.65</v>
      </c>
      <c r="J3689" s="551">
        <v>4.25</v>
      </c>
    </row>
    <row r="3690" spans="1:10" s="89" customFormat="1" ht="15" customHeight="1" x14ac:dyDescent="0.3">
      <c r="A3690" s="547" t="s">
        <v>430</v>
      </c>
      <c r="B3690" s="548" t="s">
        <v>769</v>
      </c>
      <c r="C3690" s="547" t="s">
        <v>19</v>
      </c>
      <c r="D3690" s="547" t="s">
        <v>770</v>
      </c>
      <c r="E3690" s="688" t="s">
        <v>429</v>
      </c>
      <c r="F3690" s="688"/>
      <c r="G3690" s="549" t="s">
        <v>423</v>
      </c>
      <c r="H3690" s="550">
        <v>0.41439999999999999</v>
      </c>
      <c r="I3690" s="551">
        <v>31.49</v>
      </c>
      <c r="J3690" s="551">
        <v>13.04</v>
      </c>
    </row>
    <row r="3691" spans="1:10" ht="38" thickBot="1" x14ac:dyDescent="0.35">
      <c r="A3691" s="547" t="s">
        <v>433</v>
      </c>
      <c r="B3691" s="548" t="s">
        <v>3928</v>
      </c>
      <c r="C3691" s="547" t="s">
        <v>19</v>
      </c>
      <c r="D3691" s="547" t="s">
        <v>3929</v>
      </c>
      <c r="E3691" s="688" t="s">
        <v>438</v>
      </c>
      <c r="F3691" s="688"/>
      <c r="G3691" s="549" t="s">
        <v>81</v>
      </c>
      <c r="H3691" s="550">
        <v>1</v>
      </c>
      <c r="I3691" s="551">
        <v>102.9</v>
      </c>
      <c r="J3691" s="551">
        <v>102.9</v>
      </c>
    </row>
    <row r="3692" spans="1:10" s="89" customFormat="1" ht="14.5" thickTop="1" x14ac:dyDescent="0.3">
      <c r="A3692" s="562"/>
      <c r="B3692" s="562"/>
      <c r="C3692" s="562"/>
      <c r="D3692" s="562"/>
      <c r="E3692" s="562"/>
      <c r="F3692" s="562"/>
      <c r="G3692" s="562"/>
      <c r="H3692" s="562"/>
      <c r="I3692" s="562"/>
      <c r="J3692" s="562"/>
    </row>
    <row r="3693" spans="1:10" s="89" customFormat="1" x14ac:dyDescent="0.3">
      <c r="A3693" s="553"/>
      <c r="B3693" s="554" t="s">
        <v>4</v>
      </c>
      <c r="C3693" s="553" t="s">
        <v>5</v>
      </c>
      <c r="D3693" s="553" t="s">
        <v>6</v>
      </c>
      <c r="E3693" s="691" t="s">
        <v>427</v>
      </c>
      <c r="F3693" s="691"/>
      <c r="G3693" s="555" t="s">
        <v>7</v>
      </c>
      <c r="H3693" s="554" t="s">
        <v>8</v>
      </c>
      <c r="I3693" s="554" t="s">
        <v>9</v>
      </c>
      <c r="J3693" s="554" t="s">
        <v>11</v>
      </c>
    </row>
    <row r="3694" spans="1:10" s="89" customFormat="1" ht="38.25" customHeight="1" x14ac:dyDescent="0.3">
      <c r="A3694" s="607" t="s">
        <v>428</v>
      </c>
      <c r="B3694" s="608" t="s">
        <v>685</v>
      </c>
      <c r="C3694" s="607" t="s">
        <v>19</v>
      </c>
      <c r="D3694" s="607" t="s">
        <v>686</v>
      </c>
      <c r="E3694" s="690" t="s">
        <v>664</v>
      </c>
      <c r="F3694" s="690"/>
      <c r="G3694" s="609" t="s">
        <v>81</v>
      </c>
      <c r="H3694" s="610">
        <v>1</v>
      </c>
      <c r="I3694" s="611">
        <v>131.19999999999999</v>
      </c>
      <c r="J3694" s="611">
        <v>131.19999999999999</v>
      </c>
    </row>
    <row r="3695" spans="1:10" ht="14.25" customHeight="1" x14ac:dyDescent="0.3">
      <c r="A3695" s="547" t="s">
        <v>430</v>
      </c>
      <c r="B3695" s="548" t="s">
        <v>863</v>
      </c>
      <c r="C3695" s="547" t="s">
        <v>19</v>
      </c>
      <c r="D3695" s="547" t="s">
        <v>864</v>
      </c>
      <c r="E3695" s="688" t="s">
        <v>429</v>
      </c>
      <c r="F3695" s="688"/>
      <c r="G3695" s="549" t="s">
        <v>423</v>
      </c>
      <c r="H3695" s="550">
        <v>0.18329999999999999</v>
      </c>
      <c r="I3695" s="551">
        <v>24.65</v>
      </c>
      <c r="J3695" s="551">
        <v>4.51</v>
      </c>
    </row>
    <row r="3696" spans="1:10" s="89" customFormat="1" ht="15" customHeight="1" x14ac:dyDescent="0.3">
      <c r="A3696" s="547" t="s">
        <v>430</v>
      </c>
      <c r="B3696" s="548" t="s">
        <v>769</v>
      </c>
      <c r="C3696" s="547" t="s">
        <v>19</v>
      </c>
      <c r="D3696" s="547" t="s">
        <v>770</v>
      </c>
      <c r="E3696" s="688" t="s">
        <v>429</v>
      </c>
      <c r="F3696" s="688"/>
      <c r="G3696" s="549" t="s">
        <v>423</v>
      </c>
      <c r="H3696" s="550">
        <v>0.45179999999999998</v>
      </c>
      <c r="I3696" s="551">
        <v>31.49</v>
      </c>
      <c r="J3696" s="551">
        <v>14.22</v>
      </c>
    </row>
    <row r="3697" spans="1:10" ht="37.5" x14ac:dyDescent="0.3">
      <c r="A3697" s="547" t="s">
        <v>433</v>
      </c>
      <c r="B3697" s="548" t="s">
        <v>1724</v>
      </c>
      <c r="C3697" s="547" t="s">
        <v>19</v>
      </c>
      <c r="D3697" s="547" t="s">
        <v>1725</v>
      </c>
      <c r="E3697" s="688" t="s">
        <v>438</v>
      </c>
      <c r="F3697" s="688"/>
      <c r="G3697" s="549" t="s">
        <v>81</v>
      </c>
      <c r="H3697" s="550">
        <v>1</v>
      </c>
      <c r="I3697" s="551">
        <v>107.48</v>
      </c>
      <c r="J3697" s="551">
        <v>107.48</v>
      </c>
    </row>
    <row r="3698" spans="1:10" s="89" customFormat="1" ht="25.5" thickBot="1" x14ac:dyDescent="0.35">
      <c r="A3698" s="547" t="s">
        <v>433</v>
      </c>
      <c r="B3698" s="548" t="s">
        <v>3930</v>
      </c>
      <c r="C3698" s="547" t="s">
        <v>19</v>
      </c>
      <c r="D3698" s="547" t="s">
        <v>3931</v>
      </c>
      <c r="E3698" s="688" t="s">
        <v>438</v>
      </c>
      <c r="F3698" s="688"/>
      <c r="G3698" s="549" t="s">
        <v>81</v>
      </c>
      <c r="H3698" s="550">
        <v>1</v>
      </c>
      <c r="I3698" s="551">
        <v>4.99</v>
      </c>
      <c r="J3698" s="551">
        <v>4.99</v>
      </c>
    </row>
    <row r="3699" spans="1:10" ht="14.25" customHeight="1" thickTop="1" x14ac:dyDescent="0.3">
      <c r="A3699" s="562"/>
      <c r="B3699" s="562"/>
      <c r="C3699" s="562"/>
      <c r="D3699" s="562"/>
      <c r="E3699" s="562"/>
      <c r="F3699" s="562"/>
      <c r="G3699" s="562"/>
      <c r="H3699" s="562"/>
      <c r="I3699" s="562"/>
      <c r="J3699" s="562"/>
    </row>
    <row r="3700" spans="1:10" ht="14.25" customHeight="1" x14ac:dyDescent="0.3">
      <c r="A3700" s="553"/>
      <c r="B3700" s="554" t="s">
        <v>4</v>
      </c>
      <c r="C3700" s="553" t="s">
        <v>5</v>
      </c>
      <c r="D3700" s="553" t="s">
        <v>6</v>
      </c>
      <c r="E3700" s="691" t="s">
        <v>427</v>
      </c>
      <c r="F3700" s="691"/>
      <c r="G3700" s="555" t="s">
        <v>7</v>
      </c>
      <c r="H3700" s="554" t="s">
        <v>8</v>
      </c>
      <c r="I3700" s="554" t="s">
        <v>9</v>
      </c>
      <c r="J3700" s="554" t="s">
        <v>11</v>
      </c>
    </row>
    <row r="3701" spans="1:10" ht="25.5" customHeight="1" x14ac:dyDescent="0.3">
      <c r="A3701" s="607" t="s">
        <v>428</v>
      </c>
      <c r="B3701" s="608" t="s">
        <v>662</v>
      </c>
      <c r="C3701" s="607" t="s">
        <v>19</v>
      </c>
      <c r="D3701" s="607" t="s">
        <v>663</v>
      </c>
      <c r="E3701" s="690" t="s">
        <v>664</v>
      </c>
      <c r="F3701" s="690"/>
      <c r="G3701" s="609" t="s">
        <v>81</v>
      </c>
      <c r="H3701" s="610">
        <v>1</v>
      </c>
      <c r="I3701" s="611">
        <v>18.989999999999998</v>
      </c>
      <c r="J3701" s="611">
        <v>18.989999999999998</v>
      </c>
    </row>
    <row r="3702" spans="1:10" s="89" customFormat="1" ht="15" customHeight="1" x14ac:dyDescent="0.3">
      <c r="A3702" s="547" t="s">
        <v>430</v>
      </c>
      <c r="B3702" s="548" t="s">
        <v>863</v>
      </c>
      <c r="C3702" s="547" t="s">
        <v>19</v>
      </c>
      <c r="D3702" s="547" t="s">
        <v>864</v>
      </c>
      <c r="E3702" s="688" t="s">
        <v>429</v>
      </c>
      <c r="F3702" s="688"/>
      <c r="G3702" s="549" t="s">
        <v>423</v>
      </c>
      <c r="H3702" s="550">
        <v>6.9000000000000006E-2</v>
      </c>
      <c r="I3702" s="551">
        <v>24.65</v>
      </c>
      <c r="J3702" s="551">
        <v>1.7</v>
      </c>
    </row>
    <row r="3703" spans="1:10" ht="14.25" customHeight="1" x14ac:dyDescent="0.3">
      <c r="A3703" s="547" t="s">
        <v>430</v>
      </c>
      <c r="B3703" s="548" t="s">
        <v>769</v>
      </c>
      <c r="C3703" s="547" t="s">
        <v>19</v>
      </c>
      <c r="D3703" s="547" t="s">
        <v>770</v>
      </c>
      <c r="E3703" s="688" t="s">
        <v>429</v>
      </c>
      <c r="F3703" s="688"/>
      <c r="G3703" s="549" t="s">
        <v>423</v>
      </c>
      <c r="H3703" s="550">
        <v>0.16550000000000001</v>
      </c>
      <c r="I3703" s="551">
        <v>31.49</v>
      </c>
      <c r="J3703" s="551">
        <v>5.21</v>
      </c>
    </row>
    <row r="3704" spans="1:10" s="89" customFormat="1" x14ac:dyDescent="0.3">
      <c r="A3704" s="547" t="s">
        <v>433</v>
      </c>
      <c r="B3704" s="548" t="s">
        <v>1726</v>
      </c>
      <c r="C3704" s="547" t="s">
        <v>19</v>
      </c>
      <c r="D3704" s="547" t="s">
        <v>1727</v>
      </c>
      <c r="E3704" s="688" t="s">
        <v>438</v>
      </c>
      <c r="F3704" s="688"/>
      <c r="G3704" s="549" t="s">
        <v>81</v>
      </c>
      <c r="H3704" s="550">
        <v>1</v>
      </c>
      <c r="I3704" s="551">
        <v>2.52</v>
      </c>
      <c r="J3704" s="551">
        <v>2.52</v>
      </c>
    </row>
    <row r="3705" spans="1:10" ht="14.25" customHeight="1" thickBot="1" x14ac:dyDescent="0.35">
      <c r="A3705" s="547" t="s">
        <v>433</v>
      </c>
      <c r="B3705" s="548" t="s">
        <v>3932</v>
      </c>
      <c r="C3705" s="547" t="s">
        <v>19</v>
      </c>
      <c r="D3705" s="547" t="s">
        <v>3933</v>
      </c>
      <c r="E3705" s="688" t="s">
        <v>438</v>
      </c>
      <c r="F3705" s="688"/>
      <c r="G3705" s="549" t="s">
        <v>81</v>
      </c>
      <c r="H3705" s="550">
        <v>1</v>
      </c>
      <c r="I3705" s="551">
        <v>9.56</v>
      </c>
      <c r="J3705" s="551">
        <v>9.56</v>
      </c>
    </row>
    <row r="3706" spans="1:10" s="89" customFormat="1" ht="15" customHeight="1" thickTop="1" x14ac:dyDescent="0.3">
      <c r="A3706" s="562"/>
      <c r="B3706" s="562"/>
      <c r="C3706" s="562"/>
      <c r="D3706" s="562"/>
      <c r="E3706" s="562"/>
      <c r="F3706" s="562"/>
      <c r="G3706" s="562"/>
      <c r="H3706" s="562"/>
      <c r="I3706" s="562"/>
      <c r="J3706" s="562"/>
    </row>
    <row r="3707" spans="1:10" x14ac:dyDescent="0.3">
      <c r="A3707" s="553"/>
      <c r="B3707" s="554" t="s">
        <v>4</v>
      </c>
      <c r="C3707" s="553" t="s">
        <v>5</v>
      </c>
      <c r="D3707" s="553" t="s">
        <v>6</v>
      </c>
      <c r="E3707" s="691" t="s">
        <v>427</v>
      </c>
      <c r="F3707" s="691"/>
      <c r="G3707" s="555" t="s">
        <v>7</v>
      </c>
      <c r="H3707" s="554" t="s">
        <v>8</v>
      </c>
      <c r="I3707" s="554" t="s">
        <v>9</v>
      </c>
      <c r="J3707" s="554" t="s">
        <v>11</v>
      </c>
    </row>
    <row r="3708" spans="1:10" s="89" customFormat="1" ht="25.5" customHeight="1" x14ac:dyDescent="0.3">
      <c r="A3708" s="607" t="s">
        <v>428</v>
      </c>
      <c r="B3708" s="608" t="s">
        <v>926</v>
      </c>
      <c r="C3708" s="607" t="s">
        <v>19</v>
      </c>
      <c r="D3708" s="607" t="s">
        <v>927</v>
      </c>
      <c r="E3708" s="690" t="s">
        <v>461</v>
      </c>
      <c r="F3708" s="690"/>
      <c r="G3708" s="609" t="s">
        <v>102</v>
      </c>
      <c r="H3708" s="610">
        <v>1</v>
      </c>
      <c r="I3708" s="611">
        <v>27.87</v>
      </c>
      <c r="J3708" s="611">
        <v>27.87</v>
      </c>
    </row>
    <row r="3709" spans="1:10" ht="25" x14ac:dyDescent="0.3">
      <c r="A3709" s="547" t="s">
        <v>430</v>
      </c>
      <c r="B3709" s="548" t="s">
        <v>900</v>
      </c>
      <c r="C3709" s="547" t="s">
        <v>19</v>
      </c>
      <c r="D3709" s="547" t="s">
        <v>901</v>
      </c>
      <c r="E3709" s="688" t="s">
        <v>429</v>
      </c>
      <c r="F3709" s="688"/>
      <c r="G3709" s="549" t="s">
        <v>423</v>
      </c>
      <c r="H3709" s="550">
        <v>1</v>
      </c>
      <c r="I3709" s="551">
        <v>25.72</v>
      </c>
      <c r="J3709" s="551">
        <v>25.72</v>
      </c>
    </row>
    <row r="3710" spans="1:10" s="89" customFormat="1" ht="25.5" customHeight="1" x14ac:dyDescent="0.3">
      <c r="A3710" s="547" t="s">
        <v>430</v>
      </c>
      <c r="B3710" s="548" t="s">
        <v>1728</v>
      </c>
      <c r="C3710" s="547" t="s">
        <v>19</v>
      </c>
      <c r="D3710" s="547" t="s">
        <v>1729</v>
      </c>
      <c r="E3710" s="688" t="s">
        <v>461</v>
      </c>
      <c r="F3710" s="688"/>
      <c r="G3710" s="549" t="s">
        <v>423</v>
      </c>
      <c r="H3710" s="550">
        <v>1</v>
      </c>
      <c r="I3710" s="551">
        <v>1.75</v>
      </c>
      <c r="J3710" s="551">
        <v>1.75</v>
      </c>
    </row>
    <row r="3711" spans="1:10" ht="14.25" customHeight="1" thickBot="1" x14ac:dyDescent="0.35">
      <c r="A3711" s="547" t="s">
        <v>430</v>
      </c>
      <c r="B3711" s="548" t="s">
        <v>1730</v>
      </c>
      <c r="C3711" s="547" t="s">
        <v>19</v>
      </c>
      <c r="D3711" s="547" t="s">
        <v>1731</v>
      </c>
      <c r="E3711" s="688" t="s">
        <v>461</v>
      </c>
      <c r="F3711" s="688"/>
      <c r="G3711" s="549" t="s">
        <v>423</v>
      </c>
      <c r="H3711" s="550">
        <v>1</v>
      </c>
      <c r="I3711" s="551">
        <v>0.4</v>
      </c>
      <c r="J3711" s="551">
        <v>0.4</v>
      </c>
    </row>
    <row r="3712" spans="1:10" s="89" customFormat="1" ht="15" customHeight="1" thickTop="1" x14ac:dyDescent="0.3">
      <c r="A3712" s="562"/>
      <c r="B3712" s="562"/>
      <c r="C3712" s="562"/>
      <c r="D3712" s="562"/>
      <c r="E3712" s="562"/>
      <c r="F3712" s="562"/>
      <c r="G3712" s="562"/>
      <c r="H3712" s="562"/>
      <c r="I3712" s="562"/>
      <c r="J3712" s="562"/>
    </row>
    <row r="3713" spans="1:10" ht="25.5" customHeight="1" x14ac:dyDescent="0.3">
      <c r="A3713" s="553"/>
      <c r="B3713" s="554" t="s">
        <v>4</v>
      </c>
      <c r="C3713" s="553" t="s">
        <v>5</v>
      </c>
      <c r="D3713" s="553" t="s">
        <v>6</v>
      </c>
      <c r="E3713" s="691" t="s">
        <v>427</v>
      </c>
      <c r="F3713" s="691"/>
      <c r="G3713" s="555" t="s">
        <v>7</v>
      </c>
      <c r="H3713" s="554" t="s">
        <v>8</v>
      </c>
      <c r="I3713" s="554" t="s">
        <v>9</v>
      </c>
      <c r="J3713" s="554" t="s">
        <v>11</v>
      </c>
    </row>
    <row r="3714" spans="1:10" s="89" customFormat="1" ht="25.5" customHeight="1" x14ac:dyDescent="0.3">
      <c r="A3714" s="607" t="s">
        <v>428</v>
      </c>
      <c r="B3714" s="608" t="s">
        <v>904</v>
      </c>
      <c r="C3714" s="607" t="s">
        <v>19</v>
      </c>
      <c r="D3714" s="607" t="s">
        <v>905</v>
      </c>
      <c r="E3714" s="690" t="s">
        <v>461</v>
      </c>
      <c r="F3714" s="690"/>
      <c r="G3714" s="609" t="s">
        <v>95</v>
      </c>
      <c r="H3714" s="610">
        <v>1</v>
      </c>
      <c r="I3714" s="611">
        <v>30.06</v>
      </c>
      <c r="J3714" s="611">
        <v>30.06</v>
      </c>
    </row>
    <row r="3715" spans="1:10" ht="14.25" customHeight="1" x14ac:dyDescent="0.3">
      <c r="A3715" s="547" t="s">
        <v>430</v>
      </c>
      <c r="B3715" s="548" t="s">
        <v>1732</v>
      </c>
      <c r="C3715" s="547" t="s">
        <v>19</v>
      </c>
      <c r="D3715" s="547" t="s">
        <v>1733</v>
      </c>
      <c r="E3715" s="688" t="s">
        <v>461</v>
      </c>
      <c r="F3715" s="688"/>
      <c r="G3715" s="549" t="s">
        <v>423</v>
      </c>
      <c r="H3715" s="550">
        <v>1</v>
      </c>
      <c r="I3715" s="551">
        <v>2.19</v>
      </c>
      <c r="J3715" s="551">
        <v>2.19</v>
      </c>
    </row>
    <row r="3716" spans="1:10" s="89" customFormat="1" ht="25" x14ac:dyDescent="0.3">
      <c r="A3716" s="547" t="s">
        <v>430</v>
      </c>
      <c r="B3716" s="548" t="s">
        <v>900</v>
      </c>
      <c r="C3716" s="547" t="s">
        <v>19</v>
      </c>
      <c r="D3716" s="547" t="s">
        <v>901</v>
      </c>
      <c r="E3716" s="688" t="s">
        <v>429</v>
      </c>
      <c r="F3716" s="688"/>
      <c r="G3716" s="549" t="s">
        <v>423</v>
      </c>
      <c r="H3716" s="550">
        <v>1</v>
      </c>
      <c r="I3716" s="551">
        <v>25.72</v>
      </c>
      <c r="J3716" s="551">
        <v>25.72</v>
      </c>
    </row>
    <row r="3717" spans="1:10" ht="25.5" customHeight="1" x14ac:dyDescent="0.3">
      <c r="A3717" s="547" t="s">
        <v>430</v>
      </c>
      <c r="B3717" s="548" t="s">
        <v>1728</v>
      </c>
      <c r="C3717" s="547" t="s">
        <v>19</v>
      </c>
      <c r="D3717" s="547" t="s">
        <v>1729</v>
      </c>
      <c r="E3717" s="688" t="s">
        <v>461</v>
      </c>
      <c r="F3717" s="688"/>
      <c r="G3717" s="549" t="s">
        <v>423</v>
      </c>
      <c r="H3717" s="550">
        <v>1</v>
      </c>
      <c r="I3717" s="551">
        <v>1.75</v>
      </c>
      <c r="J3717" s="551">
        <v>1.75</v>
      </c>
    </row>
    <row r="3718" spans="1:10" s="89" customFormat="1" ht="26.25" customHeight="1" thickBot="1" x14ac:dyDescent="0.35">
      <c r="A3718" s="547" t="s">
        <v>430</v>
      </c>
      <c r="B3718" s="548" t="s">
        <v>1730</v>
      </c>
      <c r="C3718" s="547" t="s">
        <v>19</v>
      </c>
      <c r="D3718" s="547" t="s">
        <v>1731</v>
      </c>
      <c r="E3718" s="688" t="s">
        <v>461</v>
      </c>
      <c r="F3718" s="688"/>
      <c r="G3718" s="549" t="s">
        <v>423</v>
      </c>
      <c r="H3718" s="550">
        <v>1</v>
      </c>
      <c r="I3718" s="551">
        <v>0.4</v>
      </c>
      <c r="J3718" s="551">
        <v>0.4</v>
      </c>
    </row>
    <row r="3719" spans="1:10" ht="14.5" thickTop="1" x14ac:dyDescent="0.3">
      <c r="A3719" s="562"/>
      <c r="B3719" s="562"/>
      <c r="C3719" s="562"/>
      <c r="D3719" s="562"/>
      <c r="E3719" s="562"/>
      <c r="F3719" s="562"/>
      <c r="G3719" s="562"/>
      <c r="H3719" s="562"/>
      <c r="I3719" s="562"/>
      <c r="J3719" s="562"/>
    </row>
    <row r="3720" spans="1:10" ht="14.25" customHeight="1" x14ac:dyDescent="0.3">
      <c r="A3720" s="553"/>
      <c r="B3720" s="554" t="s">
        <v>4</v>
      </c>
      <c r="C3720" s="553" t="s">
        <v>5</v>
      </c>
      <c r="D3720" s="553" t="s">
        <v>6</v>
      </c>
      <c r="E3720" s="691" t="s">
        <v>427</v>
      </c>
      <c r="F3720" s="691"/>
      <c r="G3720" s="555" t="s">
        <v>7</v>
      </c>
      <c r="H3720" s="554" t="s">
        <v>8</v>
      </c>
      <c r="I3720" s="554" t="s">
        <v>9</v>
      </c>
      <c r="J3720" s="554" t="s">
        <v>11</v>
      </c>
    </row>
    <row r="3721" spans="1:10" ht="14.25" customHeight="1" x14ac:dyDescent="0.3">
      <c r="A3721" s="607" t="s">
        <v>428</v>
      </c>
      <c r="B3721" s="608" t="s">
        <v>1728</v>
      </c>
      <c r="C3721" s="607" t="s">
        <v>19</v>
      </c>
      <c r="D3721" s="607" t="s">
        <v>1729</v>
      </c>
      <c r="E3721" s="690" t="s">
        <v>461</v>
      </c>
      <c r="F3721" s="690"/>
      <c r="G3721" s="609" t="s">
        <v>423</v>
      </c>
      <c r="H3721" s="610">
        <v>1</v>
      </c>
      <c r="I3721" s="611">
        <v>1.75</v>
      </c>
      <c r="J3721" s="611">
        <v>1.75</v>
      </c>
    </row>
    <row r="3722" spans="1:10" s="89" customFormat="1" ht="38.25" customHeight="1" thickBot="1" x14ac:dyDescent="0.35">
      <c r="A3722" s="547" t="s">
        <v>433</v>
      </c>
      <c r="B3722" s="548" t="s">
        <v>1734</v>
      </c>
      <c r="C3722" s="547" t="s">
        <v>19</v>
      </c>
      <c r="D3722" s="547" t="s">
        <v>1735</v>
      </c>
      <c r="E3722" s="688" t="s">
        <v>442</v>
      </c>
      <c r="F3722" s="688"/>
      <c r="G3722" s="549" t="s">
        <v>81</v>
      </c>
      <c r="H3722" s="550">
        <v>6.3999999999999997E-5</v>
      </c>
      <c r="I3722" s="551">
        <v>27465.01</v>
      </c>
      <c r="J3722" s="551">
        <v>1.75</v>
      </c>
    </row>
    <row r="3723" spans="1:10" ht="14.25" customHeight="1" thickTop="1" x14ac:dyDescent="0.3">
      <c r="A3723" s="562"/>
      <c r="B3723" s="562"/>
      <c r="C3723" s="562"/>
      <c r="D3723" s="562"/>
      <c r="E3723" s="562"/>
      <c r="F3723" s="562"/>
      <c r="G3723" s="562"/>
      <c r="H3723" s="562"/>
      <c r="I3723" s="562"/>
      <c r="J3723" s="562"/>
    </row>
    <row r="3724" spans="1:10" ht="14.25" customHeight="1" x14ac:dyDescent="0.3">
      <c r="A3724" s="553"/>
      <c r="B3724" s="554" t="s">
        <v>4</v>
      </c>
      <c r="C3724" s="553" t="s">
        <v>5</v>
      </c>
      <c r="D3724" s="553" t="s">
        <v>6</v>
      </c>
      <c r="E3724" s="691" t="s">
        <v>427</v>
      </c>
      <c r="F3724" s="691"/>
      <c r="G3724" s="555" t="s">
        <v>7</v>
      </c>
      <c r="H3724" s="554" t="s">
        <v>8</v>
      </c>
      <c r="I3724" s="554" t="s">
        <v>9</v>
      </c>
      <c r="J3724" s="554" t="s">
        <v>11</v>
      </c>
    </row>
    <row r="3725" spans="1:10" s="89" customFormat="1" ht="25.5" customHeight="1" x14ac:dyDescent="0.3">
      <c r="A3725" s="607" t="s">
        <v>428</v>
      </c>
      <c r="B3725" s="608" t="s">
        <v>1730</v>
      </c>
      <c r="C3725" s="607" t="s">
        <v>19</v>
      </c>
      <c r="D3725" s="607" t="s">
        <v>1731</v>
      </c>
      <c r="E3725" s="690" t="s">
        <v>461</v>
      </c>
      <c r="F3725" s="690"/>
      <c r="G3725" s="609" t="s">
        <v>423</v>
      </c>
      <c r="H3725" s="610">
        <v>1</v>
      </c>
      <c r="I3725" s="611">
        <v>0.4</v>
      </c>
      <c r="J3725" s="611">
        <v>0.4</v>
      </c>
    </row>
    <row r="3726" spans="1:10" ht="25.5" thickBot="1" x14ac:dyDescent="0.35">
      <c r="A3726" s="547" t="s">
        <v>433</v>
      </c>
      <c r="B3726" s="548" t="s">
        <v>1734</v>
      </c>
      <c r="C3726" s="547" t="s">
        <v>19</v>
      </c>
      <c r="D3726" s="547" t="s">
        <v>1735</v>
      </c>
      <c r="E3726" s="688" t="s">
        <v>442</v>
      </c>
      <c r="F3726" s="688"/>
      <c r="G3726" s="549" t="s">
        <v>81</v>
      </c>
      <c r="H3726" s="550">
        <v>1.4800000000000001E-5</v>
      </c>
      <c r="I3726" s="551">
        <v>27465.01</v>
      </c>
      <c r="J3726" s="551">
        <v>0.4</v>
      </c>
    </row>
    <row r="3727" spans="1:10" ht="14.5" thickTop="1" x14ac:dyDescent="0.3">
      <c r="A3727" s="562"/>
      <c r="B3727" s="562"/>
      <c r="C3727" s="562"/>
      <c r="D3727" s="562"/>
      <c r="E3727" s="562"/>
      <c r="F3727" s="562"/>
      <c r="G3727" s="562"/>
      <c r="H3727" s="562"/>
      <c r="I3727" s="562"/>
      <c r="J3727" s="562"/>
    </row>
    <row r="3728" spans="1:10" s="89" customFormat="1" ht="38.25" customHeight="1" x14ac:dyDescent="0.3">
      <c r="A3728" s="553"/>
      <c r="B3728" s="554" t="s">
        <v>4</v>
      </c>
      <c r="C3728" s="553" t="s">
        <v>5</v>
      </c>
      <c r="D3728" s="553" t="s">
        <v>6</v>
      </c>
      <c r="E3728" s="691" t="s">
        <v>427</v>
      </c>
      <c r="F3728" s="691"/>
      <c r="G3728" s="555" t="s">
        <v>7</v>
      </c>
      <c r="H3728" s="554" t="s">
        <v>8</v>
      </c>
      <c r="I3728" s="554" t="s">
        <v>9</v>
      </c>
      <c r="J3728" s="554" t="s">
        <v>11</v>
      </c>
    </row>
    <row r="3729" spans="1:10" ht="14.25" customHeight="1" x14ac:dyDescent="0.3">
      <c r="A3729" s="607" t="s">
        <v>428</v>
      </c>
      <c r="B3729" s="608" t="s">
        <v>1732</v>
      </c>
      <c r="C3729" s="607" t="s">
        <v>19</v>
      </c>
      <c r="D3729" s="607" t="s">
        <v>1733</v>
      </c>
      <c r="E3729" s="690" t="s">
        <v>461</v>
      </c>
      <c r="F3729" s="690"/>
      <c r="G3729" s="609" t="s">
        <v>423</v>
      </c>
      <c r="H3729" s="610">
        <v>1</v>
      </c>
      <c r="I3729" s="611">
        <v>2.19</v>
      </c>
      <c r="J3729" s="611">
        <v>2.19</v>
      </c>
    </row>
    <row r="3730" spans="1:10" ht="14.25" customHeight="1" thickBot="1" x14ac:dyDescent="0.35">
      <c r="A3730" s="547" t="s">
        <v>433</v>
      </c>
      <c r="B3730" s="548" t="s">
        <v>1734</v>
      </c>
      <c r="C3730" s="547" t="s">
        <v>19</v>
      </c>
      <c r="D3730" s="547" t="s">
        <v>1735</v>
      </c>
      <c r="E3730" s="688" t="s">
        <v>442</v>
      </c>
      <c r="F3730" s="688"/>
      <c r="G3730" s="549" t="s">
        <v>81</v>
      </c>
      <c r="H3730" s="550">
        <v>8.0000000000000007E-5</v>
      </c>
      <c r="I3730" s="551">
        <v>27465.01</v>
      </c>
      <c r="J3730" s="551">
        <v>2.19</v>
      </c>
    </row>
    <row r="3731" spans="1:10" ht="14.5" thickTop="1" x14ac:dyDescent="0.3">
      <c r="A3731" s="562"/>
      <c r="B3731" s="562"/>
      <c r="C3731" s="562"/>
      <c r="D3731" s="562"/>
      <c r="E3731" s="562"/>
      <c r="F3731" s="562"/>
      <c r="G3731" s="562"/>
      <c r="H3731" s="562"/>
      <c r="I3731" s="562"/>
      <c r="J3731" s="562"/>
    </row>
    <row r="3732" spans="1:10" x14ac:dyDescent="0.3">
      <c r="A3732" s="553"/>
      <c r="B3732" s="554" t="s">
        <v>4</v>
      </c>
      <c r="C3732" s="553" t="s">
        <v>5</v>
      </c>
      <c r="D3732" s="553" t="s">
        <v>6</v>
      </c>
      <c r="E3732" s="691" t="s">
        <v>427</v>
      </c>
      <c r="F3732" s="691"/>
      <c r="G3732" s="555" t="s">
        <v>7</v>
      </c>
      <c r="H3732" s="554" t="s">
        <v>8</v>
      </c>
      <c r="I3732" s="554" t="s">
        <v>9</v>
      </c>
      <c r="J3732" s="554" t="s">
        <v>11</v>
      </c>
    </row>
    <row r="3733" spans="1:10" ht="50" x14ac:dyDescent="0.3">
      <c r="A3733" s="607" t="s">
        <v>428</v>
      </c>
      <c r="B3733" s="608" t="s">
        <v>3565</v>
      </c>
      <c r="C3733" s="607" t="s">
        <v>19</v>
      </c>
      <c r="D3733" s="607" t="s">
        <v>3566</v>
      </c>
      <c r="E3733" s="690" t="s">
        <v>461</v>
      </c>
      <c r="F3733" s="690"/>
      <c r="G3733" s="609" t="s">
        <v>95</v>
      </c>
      <c r="H3733" s="610">
        <v>1</v>
      </c>
      <c r="I3733" s="611">
        <v>14.19</v>
      </c>
      <c r="J3733" s="611">
        <v>14.19</v>
      </c>
    </row>
    <row r="3734" spans="1:10" s="89" customFormat="1" ht="38.25" customHeight="1" x14ac:dyDescent="0.3">
      <c r="A3734" s="547" t="s">
        <v>430</v>
      </c>
      <c r="B3734" s="548" t="s">
        <v>3723</v>
      </c>
      <c r="C3734" s="547" t="s">
        <v>19</v>
      </c>
      <c r="D3734" s="547" t="s">
        <v>3724</v>
      </c>
      <c r="E3734" s="688" t="s">
        <v>461</v>
      </c>
      <c r="F3734" s="688"/>
      <c r="G3734" s="549" t="s">
        <v>423</v>
      </c>
      <c r="H3734" s="550">
        <v>1</v>
      </c>
      <c r="I3734" s="551">
        <v>4.17</v>
      </c>
      <c r="J3734" s="551">
        <v>4.17</v>
      </c>
    </row>
    <row r="3735" spans="1:10" s="89" customFormat="1" ht="25.5" customHeight="1" x14ac:dyDescent="0.3">
      <c r="A3735" s="547" t="s">
        <v>430</v>
      </c>
      <c r="B3735" s="548" t="s">
        <v>3725</v>
      </c>
      <c r="C3735" s="547" t="s">
        <v>19</v>
      </c>
      <c r="D3735" s="547" t="s">
        <v>3726</v>
      </c>
      <c r="E3735" s="688" t="s">
        <v>461</v>
      </c>
      <c r="F3735" s="688"/>
      <c r="G3735" s="549" t="s">
        <v>423</v>
      </c>
      <c r="H3735" s="550">
        <v>1</v>
      </c>
      <c r="I3735" s="551">
        <v>0.96</v>
      </c>
      <c r="J3735" s="551">
        <v>0.96</v>
      </c>
    </row>
    <row r="3736" spans="1:10" ht="14.25" customHeight="1" x14ac:dyDescent="0.3">
      <c r="A3736" s="547" t="s">
        <v>430</v>
      </c>
      <c r="B3736" s="548" t="s">
        <v>3727</v>
      </c>
      <c r="C3736" s="547" t="s">
        <v>19</v>
      </c>
      <c r="D3736" s="547" t="s">
        <v>3728</v>
      </c>
      <c r="E3736" s="688" t="s">
        <v>461</v>
      </c>
      <c r="F3736" s="688"/>
      <c r="G3736" s="549" t="s">
        <v>423</v>
      </c>
      <c r="H3736" s="550">
        <v>1</v>
      </c>
      <c r="I3736" s="551">
        <v>4.5599999999999996</v>
      </c>
      <c r="J3736" s="551">
        <v>4.5599999999999996</v>
      </c>
    </row>
    <row r="3737" spans="1:10" ht="14.25" customHeight="1" thickBot="1" x14ac:dyDescent="0.35">
      <c r="A3737" s="547" t="s">
        <v>430</v>
      </c>
      <c r="B3737" s="548" t="s">
        <v>3729</v>
      </c>
      <c r="C3737" s="547" t="s">
        <v>19</v>
      </c>
      <c r="D3737" s="547" t="s">
        <v>3730</v>
      </c>
      <c r="E3737" s="688" t="s">
        <v>461</v>
      </c>
      <c r="F3737" s="688"/>
      <c r="G3737" s="549" t="s">
        <v>423</v>
      </c>
      <c r="H3737" s="550">
        <v>1</v>
      </c>
      <c r="I3737" s="551">
        <v>4.5</v>
      </c>
      <c r="J3737" s="551">
        <v>4.5</v>
      </c>
    </row>
    <row r="3738" spans="1:10" ht="14.5" thickTop="1" x14ac:dyDescent="0.3">
      <c r="A3738" s="562"/>
      <c r="B3738" s="562"/>
      <c r="C3738" s="562"/>
      <c r="D3738" s="562"/>
      <c r="E3738" s="562"/>
      <c r="F3738" s="562"/>
      <c r="G3738" s="562"/>
      <c r="H3738" s="562"/>
      <c r="I3738" s="562"/>
      <c r="J3738" s="562"/>
    </row>
    <row r="3739" spans="1:10" x14ac:dyDescent="0.3">
      <c r="A3739" s="553"/>
      <c r="B3739" s="554" t="s">
        <v>4</v>
      </c>
      <c r="C3739" s="553" t="s">
        <v>5</v>
      </c>
      <c r="D3739" s="553" t="s">
        <v>6</v>
      </c>
      <c r="E3739" s="691" t="s">
        <v>427</v>
      </c>
      <c r="F3739" s="691"/>
      <c r="G3739" s="555" t="s">
        <v>7</v>
      </c>
      <c r="H3739" s="554" t="s">
        <v>8</v>
      </c>
      <c r="I3739" s="554" t="s">
        <v>9</v>
      </c>
      <c r="J3739" s="554" t="s">
        <v>11</v>
      </c>
    </row>
    <row r="3740" spans="1:10" ht="50" x14ac:dyDescent="0.3">
      <c r="A3740" s="607" t="s">
        <v>428</v>
      </c>
      <c r="B3740" s="608" t="s">
        <v>3723</v>
      </c>
      <c r="C3740" s="607" t="s">
        <v>19</v>
      </c>
      <c r="D3740" s="607" t="s">
        <v>3724</v>
      </c>
      <c r="E3740" s="690" t="s">
        <v>461</v>
      </c>
      <c r="F3740" s="690"/>
      <c r="G3740" s="609" t="s">
        <v>423</v>
      </c>
      <c r="H3740" s="610">
        <v>1</v>
      </c>
      <c r="I3740" s="611">
        <v>4.17</v>
      </c>
      <c r="J3740" s="611">
        <v>4.17</v>
      </c>
    </row>
    <row r="3741" spans="1:10" s="89" customFormat="1" ht="25.5" customHeight="1" thickBot="1" x14ac:dyDescent="0.35">
      <c r="A3741" s="547" t="s">
        <v>433</v>
      </c>
      <c r="B3741" s="548" t="s">
        <v>3731</v>
      </c>
      <c r="C3741" s="547" t="s">
        <v>19</v>
      </c>
      <c r="D3741" s="547" t="s">
        <v>3732</v>
      </c>
      <c r="E3741" s="688" t="s">
        <v>442</v>
      </c>
      <c r="F3741" s="688"/>
      <c r="G3741" s="549" t="s">
        <v>81</v>
      </c>
      <c r="H3741" s="550">
        <v>6.3999999999999997E-5</v>
      </c>
      <c r="I3741" s="551">
        <v>65227.59</v>
      </c>
      <c r="J3741" s="551">
        <v>4.17</v>
      </c>
    </row>
    <row r="3742" spans="1:10" s="89" customFormat="1" ht="15" customHeight="1" thickTop="1" x14ac:dyDescent="0.3">
      <c r="A3742" s="562"/>
      <c r="B3742" s="562"/>
      <c r="C3742" s="562"/>
      <c r="D3742" s="562"/>
      <c r="E3742" s="562"/>
      <c r="F3742" s="562"/>
      <c r="G3742" s="562"/>
      <c r="H3742" s="562"/>
      <c r="I3742" s="562"/>
      <c r="J3742" s="562"/>
    </row>
    <row r="3743" spans="1:10" s="89" customFormat="1" ht="15" customHeight="1" x14ac:dyDescent="0.3">
      <c r="A3743" s="553"/>
      <c r="B3743" s="554" t="s">
        <v>4</v>
      </c>
      <c r="C3743" s="553" t="s">
        <v>5</v>
      </c>
      <c r="D3743" s="553" t="s">
        <v>6</v>
      </c>
      <c r="E3743" s="691" t="s">
        <v>427</v>
      </c>
      <c r="F3743" s="691"/>
      <c r="G3743" s="555" t="s">
        <v>7</v>
      </c>
      <c r="H3743" s="554" t="s">
        <v>8</v>
      </c>
      <c r="I3743" s="554" t="s">
        <v>9</v>
      </c>
      <c r="J3743" s="554" t="s">
        <v>11</v>
      </c>
    </row>
    <row r="3744" spans="1:10" ht="14.25" customHeight="1" x14ac:dyDescent="0.3">
      <c r="A3744" s="607" t="s">
        <v>428</v>
      </c>
      <c r="B3744" s="608" t="s">
        <v>3725</v>
      </c>
      <c r="C3744" s="607" t="s">
        <v>19</v>
      </c>
      <c r="D3744" s="607" t="s">
        <v>3726</v>
      </c>
      <c r="E3744" s="690" t="s">
        <v>461</v>
      </c>
      <c r="F3744" s="690"/>
      <c r="G3744" s="609" t="s">
        <v>423</v>
      </c>
      <c r="H3744" s="610">
        <v>1</v>
      </c>
      <c r="I3744" s="611">
        <v>0.96</v>
      </c>
      <c r="J3744" s="611">
        <v>0.96</v>
      </c>
    </row>
    <row r="3745" spans="1:10" ht="38" thickBot="1" x14ac:dyDescent="0.35">
      <c r="A3745" s="547" t="s">
        <v>433</v>
      </c>
      <c r="B3745" s="548" t="s">
        <v>3731</v>
      </c>
      <c r="C3745" s="547" t="s">
        <v>19</v>
      </c>
      <c r="D3745" s="547" t="s">
        <v>3732</v>
      </c>
      <c r="E3745" s="688" t="s">
        <v>442</v>
      </c>
      <c r="F3745" s="688"/>
      <c r="G3745" s="549" t="s">
        <v>81</v>
      </c>
      <c r="H3745" s="550">
        <v>1.4800000000000001E-5</v>
      </c>
      <c r="I3745" s="551">
        <v>65227.59</v>
      </c>
      <c r="J3745" s="551">
        <v>0.96</v>
      </c>
    </row>
    <row r="3746" spans="1:10" ht="14.5" thickTop="1" x14ac:dyDescent="0.3">
      <c r="A3746" s="562"/>
      <c r="B3746" s="562"/>
      <c r="C3746" s="562"/>
      <c r="D3746" s="562"/>
      <c r="E3746" s="562"/>
      <c r="F3746" s="562"/>
      <c r="G3746" s="562"/>
      <c r="H3746" s="562"/>
      <c r="I3746" s="562"/>
      <c r="J3746" s="562"/>
    </row>
    <row r="3747" spans="1:10" s="89" customFormat="1" x14ac:dyDescent="0.3">
      <c r="A3747" s="553"/>
      <c r="B3747" s="554" t="s">
        <v>4</v>
      </c>
      <c r="C3747" s="553" t="s">
        <v>5</v>
      </c>
      <c r="D3747" s="553" t="s">
        <v>6</v>
      </c>
      <c r="E3747" s="691" t="s">
        <v>427</v>
      </c>
      <c r="F3747" s="691"/>
      <c r="G3747" s="555" t="s">
        <v>7</v>
      </c>
      <c r="H3747" s="554" t="s">
        <v>8</v>
      </c>
      <c r="I3747" s="554" t="s">
        <v>9</v>
      </c>
      <c r="J3747" s="554" t="s">
        <v>11</v>
      </c>
    </row>
    <row r="3748" spans="1:10" s="89" customFormat="1" ht="25.5" customHeight="1" x14ac:dyDescent="0.3">
      <c r="A3748" s="607" t="s">
        <v>428</v>
      </c>
      <c r="B3748" s="608" t="s">
        <v>3727</v>
      </c>
      <c r="C3748" s="607" t="s">
        <v>19</v>
      </c>
      <c r="D3748" s="607" t="s">
        <v>3728</v>
      </c>
      <c r="E3748" s="690" t="s">
        <v>461</v>
      </c>
      <c r="F3748" s="690"/>
      <c r="G3748" s="609" t="s">
        <v>423</v>
      </c>
      <c r="H3748" s="610">
        <v>1</v>
      </c>
      <c r="I3748" s="611">
        <v>4.5599999999999996</v>
      </c>
      <c r="J3748" s="611">
        <v>4.5599999999999996</v>
      </c>
    </row>
    <row r="3749" spans="1:10" s="89" customFormat="1" ht="38" thickBot="1" x14ac:dyDescent="0.35">
      <c r="A3749" s="547" t="s">
        <v>433</v>
      </c>
      <c r="B3749" s="548" t="s">
        <v>3731</v>
      </c>
      <c r="C3749" s="547" t="s">
        <v>19</v>
      </c>
      <c r="D3749" s="547" t="s">
        <v>3732</v>
      </c>
      <c r="E3749" s="688" t="s">
        <v>442</v>
      </c>
      <c r="F3749" s="688"/>
      <c r="G3749" s="549" t="s">
        <v>81</v>
      </c>
      <c r="H3749" s="550">
        <v>6.9999999999999994E-5</v>
      </c>
      <c r="I3749" s="551">
        <v>65227.59</v>
      </c>
      <c r="J3749" s="551">
        <v>4.5599999999999996</v>
      </c>
    </row>
    <row r="3750" spans="1:10" ht="25.5" customHeight="1" thickTop="1" x14ac:dyDescent="0.3">
      <c r="A3750" s="562"/>
      <c r="B3750" s="562"/>
      <c r="C3750" s="562"/>
      <c r="D3750" s="562"/>
      <c r="E3750" s="562"/>
      <c r="F3750" s="562"/>
      <c r="G3750" s="562"/>
      <c r="H3750" s="562"/>
      <c r="I3750" s="562"/>
      <c r="J3750" s="562"/>
    </row>
    <row r="3751" spans="1:10" ht="26.25" customHeight="1" x14ac:dyDescent="0.3">
      <c r="A3751" s="553"/>
      <c r="B3751" s="554" t="s">
        <v>4</v>
      </c>
      <c r="C3751" s="553" t="s">
        <v>5</v>
      </c>
      <c r="D3751" s="553" t="s">
        <v>6</v>
      </c>
      <c r="E3751" s="691" t="s">
        <v>427</v>
      </c>
      <c r="F3751" s="691"/>
      <c r="G3751" s="555" t="s">
        <v>7</v>
      </c>
      <c r="H3751" s="554" t="s">
        <v>8</v>
      </c>
      <c r="I3751" s="554" t="s">
        <v>9</v>
      </c>
      <c r="J3751" s="554" t="s">
        <v>11</v>
      </c>
    </row>
    <row r="3752" spans="1:10" ht="50" x14ac:dyDescent="0.3">
      <c r="A3752" s="607" t="s">
        <v>428</v>
      </c>
      <c r="B3752" s="608" t="s">
        <v>3729</v>
      </c>
      <c r="C3752" s="607" t="s">
        <v>19</v>
      </c>
      <c r="D3752" s="607" t="s">
        <v>3730</v>
      </c>
      <c r="E3752" s="690" t="s">
        <v>461</v>
      </c>
      <c r="F3752" s="690"/>
      <c r="G3752" s="609" t="s">
        <v>423</v>
      </c>
      <c r="H3752" s="610">
        <v>1</v>
      </c>
      <c r="I3752" s="611">
        <v>4.5</v>
      </c>
      <c r="J3752" s="611">
        <v>4.5</v>
      </c>
    </row>
    <row r="3753" spans="1:10" ht="14.5" thickBot="1" x14ac:dyDescent="0.35">
      <c r="A3753" s="547" t="s">
        <v>433</v>
      </c>
      <c r="B3753" s="548" t="s">
        <v>1301</v>
      </c>
      <c r="C3753" s="547" t="s">
        <v>19</v>
      </c>
      <c r="D3753" s="547" t="s">
        <v>1302</v>
      </c>
      <c r="E3753" s="688" t="s">
        <v>438</v>
      </c>
      <c r="F3753" s="688"/>
      <c r="G3753" s="549" t="s">
        <v>528</v>
      </c>
      <c r="H3753" s="550">
        <v>6.26</v>
      </c>
      <c r="I3753" s="551">
        <v>0.72</v>
      </c>
      <c r="J3753" s="551">
        <v>4.5</v>
      </c>
    </row>
    <row r="3754" spans="1:10" s="89" customFormat="1" ht="25.5" customHeight="1" thickTop="1" x14ac:dyDescent="0.3">
      <c r="A3754" s="562"/>
      <c r="B3754" s="562"/>
      <c r="C3754" s="562"/>
      <c r="D3754" s="562"/>
      <c r="E3754" s="562"/>
      <c r="F3754" s="562"/>
      <c r="G3754" s="562"/>
      <c r="H3754" s="562"/>
      <c r="I3754" s="562"/>
      <c r="J3754" s="562"/>
    </row>
    <row r="3755" spans="1:10" ht="25.5" customHeight="1" x14ac:dyDescent="0.3">
      <c r="A3755" s="553"/>
      <c r="B3755" s="554" t="s">
        <v>4</v>
      </c>
      <c r="C3755" s="553" t="s">
        <v>5</v>
      </c>
      <c r="D3755" s="553" t="s">
        <v>6</v>
      </c>
      <c r="E3755" s="691" t="s">
        <v>427</v>
      </c>
      <c r="F3755" s="691"/>
      <c r="G3755" s="555" t="s">
        <v>7</v>
      </c>
      <c r="H3755" s="554" t="s">
        <v>8</v>
      </c>
      <c r="I3755" s="554" t="s">
        <v>9</v>
      </c>
      <c r="J3755" s="554" t="s">
        <v>11</v>
      </c>
    </row>
    <row r="3756" spans="1:10" s="89" customFormat="1" ht="25" x14ac:dyDescent="0.3">
      <c r="A3756" s="607" t="s">
        <v>428</v>
      </c>
      <c r="B3756" s="608" t="s">
        <v>3567</v>
      </c>
      <c r="C3756" s="607" t="s">
        <v>19</v>
      </c>
      <c r="D3756" s="607" t="s">
        <v>3568</v>
      </c>
      <c r="E3756" s="690" t="s">
        <v>429</v>
      </c>
      <c r="F3756" s="690"/>
      <c r="G3756" s="609" t="s">
        <v>423</v>
      </c>
      <c r="H3756" s="610">
        <v>1</v>
      </c>
      <c r="I3756" s="611">
        <v>24.87</v>
      </c>
      <c r="J3756" s="611">
        <v>24.87</v>
      </c>
    </row>
    <row r="3757" spans="1:10" ht="25.5" customHeight="1" x14ac:dyDescent="0.3">
      <c r="A3757" s="547" t="s">
        <v>430</v>
      </c>
      <c r="B3757" s="548" t="s">
        <v>3688</v>
      </c>
      <c r="C3757" s="547" t="s">
        <v>19</v>
      </c>
      <c r="D3757" s="547" t="s">
        <v>3689</v>
      </c>
      <c r="E3757" s="688" t="s">
        <v>429</v>
      </c>
      <c r="F3757" s="688"/>
      <c r="G3757" s="549" t="s">
        <v>423</v>
      </c>
      <c r="H3757" s="550">
        <v>1</v>
      </c>
      <c r="I3757" s="551">
        <v>0.28000000000000003</v>
      </c>
      <c r="J3757" s="551">
        <v>0.28000000000000003</v>
      </c>
    </row>
    <row r="3758" spans="1:10" s="89" customFormat="1" ht="26.25" customHeight="1" x14ac:dyDescent="0.3">
      <c r="A3758" s="547" t="s">
        <v>433</v>
      </c>
      <c r="B3758" s="548" t="s">
        <v>3690</v>
      </c>
      <c r="C3758" s="547" t="s">
        <v>19</v>
      </c>
      <c r="D3758" s="547" t="s">
        <v>3691</v>
      </c>
      <c r="E3758" s="688" t="s">
        <v>436</v>
      </c>
      <c r="F3758" s="688"/>
      <c r="G3758" s="549" t="s">
        <v>423</v>
      </c>
      <c r="H3758" s="550">
        <v>1</v>
      </c>
      <c r="I3758" s="551">
        <v>17.04</v>
      </c>
      <c r="J3758" s="551">
        <v>17.04</v>
      </c>
    </row>
    <row r="3759" spans="1:10" ht="25" x14ac:dyDescent="0.3">
      <c r="A3759" s="547" t="s">
        <v>433</v>
      </c>
      <c r="B3759" s="548" t="s">
        <v>1213</v>
      </c>
      <c r="C3759" s="547" t="s">
        <v>19</v>
      </c>
      <c r="D3759" s="547" t="s">
        <v>3592</v>
      </c>
      <c r="E3759" s="688" t="s">
        <v>862</v>
      </c>
      <c r="F3759" s="688"/>
      <c r="G3759" s="549" t="s">
        <v>423</v>
      </c>
      <c r="H3759" s="550">
        <v>1</v>
      </c>
      <c r="I3759" s="551">
        <v>3.8</v>
      </c>
      <c r="J3759" s="551">
        <v>3.8</v>
      </c>
    </row>
    <row r="3760" spans="1:10" ht="25" x14ac:dyDescent="0.3">
      <c r="A3760" s="547" t="s">
        <v>433</v>
      </c>
      <c r="B3760" s="548" t="s">
        <v>1214</v>
      </c>
      <c r="C3760" s="547" t="s">
        <v>19</v>
      </c>
      <c r="D3760" s="547" t="s">
        <v>3593</v>
      </c>
      <c r="E3760" s="688" t="s">
        <v>1215</v>
      </c>
      <c r="F3760" s="688"/>
      <c r="G3760" s="549" t="s">
        <v>423</v>
      </c>
      <c r="H3760" s="550">
        <v>1</v>
      </c>
      <c r="I3760" s="551">
        <v>1.5</v>
      </c>
      <c r="J3760" s="551">
        <v>1.5</v>
      </c>
    </row>
    <row r="3761" spans="1:10" s="89" customFormat="1" ht="25.5" customHeight="1" x14ac:dyDescent="0.3">
      <c r="A3761" s="547" t="s">
        <v>433</v>
      </c>
      <c r="B3761" s="548" t="s">
        <v>1216</v>
      </c>
      <c r="C3761" s="547" t="s">
        <v>19</v>
      </c>
      <c r="D3761" s="547" t="s">
        <v>3594</v>
      </c>
      <c r="E3761" s="688" t="s">
        <v>862</v>
      </c>
      <c r="F3761" s="688"/>
      <c r="G3761" s="549" t="s">
        <v>423</v>
      </c>
      <c r="H3761" s="550">
        <v>1</v>
      </c>
      <c r="I3761" s="551">
        <v>1.34</v>
      </c>
      <c r="J3761" s="551">
        <v>1.34</v>
      </c>
    </row>
    <row r="3762" spans="1:10" ht="25" x14ac:dyDescent="0.3">
      <c r="A3762" s="547" t="s">
        <v>433</v>
      </c>
      <c r="B3762" s="548" t="s">
        <v>1217</v>
      </c>
      <c r="C3762" s="547" t="s">
        <v>19</v>
      </c>
      <c r="D3762" s="547" t="s">
        <v>3595</v>
      </c>
      <c r="E3762" s="688" t="s">
        <v>531</v>
      </c>
      <c r="F3762" s="688"/>
      <c r="G3762" s="549" t="s">
        <v>423</v>
      </c>
      <c r="H3762" s="550">
        <v>1</v>
      </c>
      <c r="I3762" s="551">
        <v>0.04</v>
      </c>
      <c r="J3762" s="551">
        <v>0.04</v>
      </c>
    </row>
    <row r="3763" spans="1:10" ht="25" x14ac:dyDescent="0.3">
      <c r="A3763" s="547" t="s">
        <v>433</v>
      </c>
      <c r="B3763" s="548" t="s">
        <v>1262</v>
      </c>
      <c r="C3763" s="547" t="s">
        <v>19</v>
      </c>
      <c r="D3763" s="547" t="s">
        <v>1263</v>
      </c>
      <c r="E3763" s="688" t="s">
        <v>442</v>
      </c>
      <c r="F3763" s="688"/>
      <c r="G3763" s="549" t="s">
        <v>423</v>
      </c>
      <c r="H3763" s="550">
        <v>1</v>
      </c>
      <c r="I3763" s="551">
        <v>0.01</v>
      </c>
      <c r="J3763" s="551">
        <v>0.01</v>
      </c>
    </row>
    <row r="3764" spans="1:10" ht="25.5" thickBot="1" x14ac:dyDescent="0.35">
      <c r="A3764" s="547" t="s">
        <v>433</v>
      </c>
      <c r="B3764" s="548" t="s">
        <v>1264</v>
      </c>
      <c r="C3764" s="547" t="s">
        <v>19</v>
      </c>
      <c r="D3764" s="547" t="s">
        <v>1265</v>
      </c>
      <c r="E3764" s="688" t="s">
        <v>442</v>
      </c>
      <c r="F3764" s="688"/>
      <c r="G3764" s="549" t="s">
        <v>423</v>
      </c>
      <c r="H3764" s="550">
        <v>1</v>
      </c>
      <c r="I3764" s="551">
        <v>0.86</v>
      </c>
      <c r="J3764" s="551">
        <v>0.86</v>
      </c>
    </row>
    <row r="3765" spans="1:10" s="89" customFormat="1" ht="25.5" customHeight="1" thickTop="1" x14ac:dyDescent="0.3">
      <c r="A3765" s="562"/>
      <c r="B3765" s="562"/>
      <c r="C3765" s="562"/>
      <c r="D3765" s="562"/>
      <c r="E3765" s="562"/>
      <c r="F3765" s="562"/>
      <c r="G3765" s="562"/>
      <c r="H3765" s="562"/>
      <c r="I3765" s="562"/>
      <c r="J3765" s="562"/>
    </row>
    <row r="3766" spans="1:10" x14ac:dyDescent="0.3">
      <c r="A3766" s="553"/>
      <c r="B3766" s="554" t="s">
        <v>4</v>
      </c>
      <c r="C3766" s="553" t="s">
        <v>5</v>
      </c>
      <c r="D3766" s="553" t="s">
        <v>6</v>
      </c>
      <c r="E3766" s="691" t="s">
        <v>427</v>
      </c>
      <c r="F3766" s="691"/>
      <c r="G3766" s="555" t="s">
        <v>7</v>
      </c>
      <c r="H3766" s="554" t="s">
        <v>8</v>
      </c>
      <c r="I3766" s="554" t="s">
        <v>9</v>
      </c>
      <c r="J3766" s="554" t="s">
        <v>11</v>
      </c>
    </row>
    <row r="3767" spans="1:10" ht="25" x14ac:dyDescent="0.3">
      <c r="A3767" s="607" t="s">
        <v>428</v>
      </c>
      <c r="B3767" s="608" t="s">
        <v>557</v>
      </c>
      <c r="C3767" s="607" t="s">
        <v>19</v>
      </c>
      <c r="D3767" s="607" t="s">
        <v>558</v>
      </c>
      <c r="E3767" s="690" t="s">
        <v>429</v>
      </c>
      <c r="F3767" s="690"/>
      <c r="G3767" s="609" t="s">
        <v>423</v>
      </c>
      <c r="H3767" s="610">
        <v>1</v>
      </c>
      <c r="I3767" s="611">
        <v>25.36</v>
      </c>
      <c r="J3767" s="611">
        <v>25.36</v>
      </c>
    </row>
    <row r="3768" spans="1:10" ht="25" x14ac:dyDescent="0.3">
      <c r="A3768" s="547" t="s">
        <v>430</v>
      </c>
      <c r="B3768" s="548" t="s">
        <v>1456</v>
      </c>
      <c r="C3768" s="547" t="s">
        <v>19</v>
      </c>
      <c r="D3768" s="547" t="s">
        <v>1457</v>
      </c>
      <c r="E3768" s="688" t="s">
        <v>429</v>
      </c>
      <c r="F3768" s="688"/>
      <c r="G3768" s="549" t="s">
        <v>423</v>
      </c>
      <c r="H3768" s="550">
        <v>1</v>
      </c>
      <c r="I3768" s="551">
        <v>0.23</v>
      </c>
      <c r="J3768" s="551">
        <v>0.23</v>
      </c>
    </row>
    <row r="3769" spans="1:10" s="89" customFormat="1" ht="25.5" customHeight="1" x14ac:dyDescent="0.3">
      <c r="A3769" s="547" t="s">
        <v>433</v>
      </c>
      <c r="B3769" s="548" t="s">
        <v>1213</v>
      </c>
      <c r="C3769" s="547" t="s">
        <v>19</v>
      </c>
      <c r="D3769" s="547" t="s">
        <v>3592</v>
      </c>
      <c r="E3769" s="688" t="s">
        <v>862</v>
      </c>
      <c r="F3769" s="688"/>
      <c r="G3769" s="549" t="s">
        <v>423</v>
      </c>
      <c r="H3769" s="550">
        <v>1</v>
      </c>
      <c r="I3769" s="551">
        <v>3.8</v>
      </c>
      <c r="J3769" s="551">
        <v>3.8</v>
      </c>
    </row>
    <row r="3770" spans="1:10" ht="25" x14ac:dyDescent="0.3">
      <c r="A3770" s="547" t="s">
        <v>433</v>
      </c>
      <c r="B3770" s="548" t="s">
        <v>1214</v>
      </c>
      <c r="C3770" s="547" t="s">
        <v>19</v>
      </c>
      <c r="D3770" s="547" t="s">
        <v>3593</v>
      </c>
      <c r="E3770" s="688" t="s">
        <v>1215</v>
      </c>
      <c r="F3770" s="688"/>
      <c r="G3770" s="549" t="s">
        <v>423</v>
      </c>
      <c r="H3770" s="550">
        <v>1</v>
      </c>
      <c r="I3770" s="551">
        <v>1.5</v>
      </c>
      <c r="J3770" s="551">
        <v>1.5</v>
      </c>
    </row>
    <row r="3771" spans="1:10" ht="25" x14ac:dyDescent="0.3">
      <c r="A3771" s="547" t="s">
        <v>433</v>
      </c>
      <c r="B3771" s="548" t="s">
        <v>1216</v>
      </c>
      <c r="C3771" s="547" t="s">
        <v>19</v>
      </c>
      <c r="D3771" s="547" t="s">
        <v>3594</v>
      </c>
      <c r="E3771" s="688" t="s">
        <v>862</v>
      </c>
      <c r="F3771" s="688"/>
      <c r="G3771" s="549" t="s">
        <v>423</v>
      </c>
      <c r="H3771" s="550">
        <v>1</v>
      </c>
      <c r="I3771" s="551">
        <v>1.34</v>
      </c>
      <c r="J3771" s="551">
        <v>1.34</v>
      </c>
    </row>
    <row r="3772" spans="1:10" ht="25" x14ac:dyDescent="0.3">
      <c r="A3772" s="547" t="s">
        <v>433</v>
      </c>
      <c r="B3772" s="548" t="s">
        <v>1217</v>
      </c>
      <c r="C3772" s="547" t="s">
        <v>19</v>
      </c>
      <c r="D3772" s="547" t="s">
        <v>3595</v>
      </c>
      <c r="E3772" s="688" t="s">
        <v>531</v>
      </c>
      <c r="F3772" s="688"/>
      <c r="G3772" s="549" t="s">
        <v>423</v>
      </c>
      <c r="H3772" s="550">
        <v>1</v>
      </c>
      <c r="I3772" s="551">
        <v>0.04</v>
      </c>
      <c r="J3772" s="551">
        <v>0.04</v>
      </c>
    </row>
    <row r="3773" spans="1:10" s="89" customFormat="1" ht="25" x14ac:dyDescent="0.3">
      <c r="A3773" s="547" t="s">
        <v>433</v>
      </c>
      <c r="B3773" s="548" t="s">
        <v>1262</v>
      </c>
      <c r="C3773" s="547" t="s">
        <v>19</v>
      </c>
      <c r="D3773" s="547" t="s">
        <v>1263</v>
      </c>
      <c r="E3773" s="688" t="s">
        <v>442</v>
      </c>
      <c r="F3773" s="688"/>
      <c r="G3773" s="549" t="s">
        <v>423</v>
      </c>
      <c r="H3773" s="550">
        <v>1</v>
      </c>
      <c r="I3773" s="551">
        <v>0.01</v>
      </c>
      <c r="J3773" s="551">
        <v>0.01</v>
      </c>
    </row>
    <row r="3774" spans="1:10" ht="25" x14ac:dyDescent="0.3">
      <c r="A3774" s="547" t="s">
        <v>433</v>
      </c>
      <c r="B3774" s="548" t="s">
        <v>1264</v>
      </c>
      <c r="C3774" s="547" t="s">
        <v>19</v>
      </c>
      <c r="D3774" s="547" t="s">
        <v>1265</v>
      </c>
      <c r="E3774" s="688" t="s">
        <v>442</v>
      </c>
      <c r="F3774" s="688"/>
      <c r="G3774" s="549" t="s">
        <v>423</v>
      </c>
      <c r="H3774" s="550">
        <v>1</v>
      </c>
      <c r="I3774" s="551">
        <v>0.86</v>
      </c>
      <c r="J3774" s="551">
        <v>0.86</v>
      </c>
    </row>
    <row r="3775" spans="1:10" ht="14.5" thickBot="1" x14ac:dyDescent="0.35">
      <c r="A3775" s="547" t="s">
        <v>433</v>
      </c>
      <c r="B3775" s="548" t="s">
        <v>1458</v>
      </c>
      <c r="C3775" s="547" t="s">
        <v>19</v>
      </c>
      <c r="D3775" s="547" t="s">
        <v>1459</v>
      </c>
      <c r="E3775" s="688" t="s">
        <v>436</v>
      </c>
      <c r="F3775" s="688"/>
      <c r="G3775" s="549" t="s">
        <v>423</v>
      </c>
      <c r="H3775" s="550">
        <v>1</v>
      </c>
      <c r="I3775" s="551">
        <v>17.579999999999998</v>
      </c>
      <c r="J3775" s="551">
        <v>17.579999999999998</v>
      </c>
    </row>
    <row r="3776" spans="1:10" ht="14.5" thickTop="1" x14ac:dyDescent="0.3">
      <c r="A3776" s="562"/>
      <c r="B3776" s="562"/>
      <c r="C3776" s="562"/>
      <c r="D3776" s="562"/>
      <c r="E3776" s="562"/>
      <c r="F3776" s="562"/>
      <c r="G3776" s="562"/>
      <c r="H3776" s="562"/>
      <c r="I3776" s="562"/>
      <c r="J3776" s="562"/>
    </row>
    <row r="3777" spans="1:10" x14ac:dyDescent="0.3">
      <c r="A3777" s="553"/>
      <c r="B3777" s="554" t="s">
        <v>4</v>
      </c>
      <c r="C3777" s="553" t="s">
        <v>5</v>
      </c>
      <c r="D3777" s="553" t="s">
        <v>6</v>
      </c>
      <c r="E3777" s="691" t="s">
        <v>427</v>
      </c>
      <c r="F3777" s="691"/>
      <c r="G3777" s="555" t="s">
        <v>7</v>
      </c>
      <c r="H3777" s="554" t="s">
        <v>8</v>
      </c>
      <c r="I3777" s="554" t="s">
        <v>9</v>
      </c>
      <c r="J3777" s="554" t="s">
        <v>11</v>
      </c>
    </row>
    <row r="3778" spans="1:10" ht="38.25" customHeight="1" x14ac:dyDescent="0.3">
      <c r="A3778" s="607" t="s">
        <v>428</v>
      </c>
      <c r="B3778" s="608" t="s">
        <v>963</v>
      </c>
      <c r="C3778" s="607" t="s">
        <v>19</v>
      </c>
      <c r="D3778" s="607" t="s">
        <v>964</v>
      </c>
      <c r="E3778" s="690" t="s">
        <v>461</v>
      </c>
      <c r="F3778" s="690"/>
      <c r="G3778" s="609" t="s">
        <v>102</v>
      </c>
      <c r="H3778" s="610">
        <v>1</v>
      </c>
      <c r="I3778" s="611">
        <v>103.2</v>
      </c>
      <c r="J3778" s="611">
        <v>103.2</v>
      </c>
    </row>
    <row r="3779" spans="1:10" ht="25" x14ac:dyDescent="0.3">
      <c r="A3779" s="547" t="s">
        <v>430</v>
      </c>
      <c r="B3779" s="548" t="s">
        <v>1736</v>
      </c>
      <c r="C3779" s="547" t="s">
        <v>19</v>
      </c>
      <c r="D3779" s="547" t="s">
        <v>1737</v>
      </c>
      <c r="E3779" s="688" t="s">
        <v>429</v>
      </c>
      <c r="F3779" s="688"/>
      <c r="G3779" s="549" t="s">
        <v>423</v>
      </c>
      <c r="H3779" s="550">
        <v>1</v>
      </c>
      <c r="I3779" s="551">
        <v>39.909999999999997</v>
      </c>
      <c r="J3779" s="551">
        <v>39.909999999999997</v>
      </c>
    </row>
    <row r="3780" spans="1:10" s="89" customFormat="1" ht="38.25" customHeight="1" x14ac:dyDescent="0.3">
      <c r="A3780" s="547" t="s">
        <v>430</v>
      </c>
      <c r="B3780" s="548" t="s">
        <v>1738</v>
      </c>
      <c r="C3780" s="547" t="s">
        <v>19</v>
      </c>
      <c r="D3780" s="547" t="s">
        <v>1739</v>
      </c>
      <c r="E3780" s="688" t="s">
        <v>461</v>
      </c>
      <c r="F3780" s="688"/>
      <c r="G3780" s="549" t="s">
        <v>423</v>
      </c>
      <c r="H3780" s="550">
        <v>1</v>
      </c>
      <c r="I3780" s="551">
        <v>46.8</v>
      </c>
      <c r="J3780" s="551">
        <v>46.8</v>
      </c>
    </row>
    <row r="3781" spans="1:10" ht="39" customHeight="1" thickBot="1" x14ac:dyDescent="0.35">
      <c r="A3781" s="547" t="s">
        <v>430</v>
      </c>
      <c r="B3781" s="548" t="s">
        <v>1740</v>
      </c>
      <c r="C3781" s="547" t="s">
        <v>19</v>
      </c>
      <c r="D3781" s="547" t="s">
        <v>1741</v>
      </c>
      <c r="E3781" s="688" t="s">
        <v>461</v>
      </c>
      <c r="F3781" s="688"/>
      <c r="G3781" s="549" t="s">
        <v>423</v>
      </c>
      <c r="H3781" s="550">
        <v>1</v>
      </c>
      <c r="I3781" s="551">
        <v>16.489999999999998</v>
      </c>
      <c r="J3781" s="551">
        <v>16.489999999999998</v>
      </c>
    </row>
    <row r="3782" spans="1:10" ht="14.5" thickTop="1" x14ac:dyDescent="0.3">
      <c r="A3782" s="562"/>
      <c r="B3782" s="562"/>
      <c r="C3782" s="562"/>
      <c r="D3782" s="562"/>
      <c r="E3782" s="562"/>
      <c r="F3782" s="562"/>
      <c r="G3782" s="562"/>
      <c r="H3782" s="562"/>
      <c r="I3782" s="562"/>
      <c r="J3782" s="562"/>
    </row>
    <row r="3783" spans="1:10" x14ac:dyDescent="0.3">
      <c r="A3783" s="553"/>
      <c r="B3783" s="554" t="s">
        <v>4</v>
      </c>
      <c r="C3783" s="553" t="s">
        <v>5</v>
      </c>
      <c r="D3783" s="553" t="s">
        <v>6</v>
      </c>
      <c r="E3783" s="691" t="s">
        <v>427</v>
      </c>
      <c r="F3783" s="691"/>
      <c r="G3783" s="555" t="s">
        <v>7</v>
      </c>
      <c r="H3783" s="554" t="s">
        <v>8</v>
      </c>
      <c r="I3783" s="554" t="s">
        <v>9</v>
      </c>
      <c r="J3783" s="554" t="s">
        <v>11</v>
      </c>
    </row>
    <row r="3784" spans="1:10" s="89" customFormat="1" ht="38.25" customHeight="1" x14ac:dyDescent="0.3">
      <c r="A3784" s="607" t="s">
        <v>428</v>
      </c>
      <c r="B3784" s="608" t="s">
        <v>961</v>
      </c>
      <c r="C3784" s="607" t="s">
        <v>19</v>
      </c>
      <c r="D3784" s="607" t="s">
        <v>962</v>
      </c>
      <c r="E3784" s="690" t="s">
        <v>461</v>
      </c>
      <c r="F3784" s="690"/>
      <c r="G3784" s="609" t="s">
        <v>95</v>
      </c>
      <c r="H3784" s="610">
        <v>1</v>
      </c>
      <c r="I3784" s="611">
        <v>254.07</v>
      </c>
      <c r="J3784" s="611">
        <v>254.07</v>
      </c>
    </row>
    <row r="3785" spans="1:10" ht="38.25" customHeight="1" x14ac:dyDescent="0.3">
      <c r="A3785" s="547" t="s">
        <v>430</v>
      </c>
      <c r="B3785" s="548" t="s">
        <v>1742</v>
      </c>
      <c r="C3785" s="547" t="s">
        <v>19</v>
      </c>
      <c r="D3785" s="547" t="s">
        <v>1743</v>
      </c>
      <c r="E3785" s="688" t="s">
        <v>461</v>
      </c>
      <c r="F3785" s="688"/>
      <c r="G3785" s="549" t="s">
        <v>423</v>
      </c>
      <c r="H3785" s="550">
        <v>1</v>
      </c>
      <c r="I3785" s="551">
        <v>75.64</v>
      </c>
      <c r="J3785" s="551">
        <v>75.64</v>
      </c>
    </row>
    <row r="3786" spans="1:10" ht="38.25" customHeight="1" x14ac:dyDescent="0.3">
      <c r="A3786" s="547" t="s">
        <v>430</v>
      </c>
      <c r="B3786" s="548" t="s">
        <v>1744</v>
      </c>
      <c r="C3786" s="547" t="s">
        <v>19</v>
      </c>
      <c r="D3786" s="547" t="s">
        <v>1745</v>
      </c>
      <c r="E3786" s="688" t="s">
        <v>461</v>
      </c>
      <c r="F3786" s="688"/>
      <c r="G3786" s="549" t="s">
        <v>423</v>
      </c>
      <c r="H3786" s="550">
        <v>1</v>
      </c>
      <c r="I3786" s="551">
        <v>75.23</v>
      </c>
      <c r="J3786" s="551">
        <v>75.23</v>
      </c>
    </row>
    <row r="3787" spans="1:10" ht="25" x14ac:dyDescent="0.3">
      <c r="A3787" s="547" t="s">
        <v>430</v>
      </c>
      <c r="B3787" s="548" t="s">
        <v>1736</v>
      </c>
      <c r="C3787" s="547" t="s">
        <v>19</v>
      </c>
      <c r="D3787" s="547" t="s">
        <v>1737</v>
      </c>
      <c r="E3787" s="688" t="s">
        <v>429</v>
      </c>
      <c r="F3787" s="688"/>
      <c r="G3787" s="549" t="s">
        <v>423</v>
      </c>
      <c r="H3787" s="550">
        <v>1</v>
      </c>
      <c r="I3787" s="551">
        <v>39.909999999999997</v>
      </c>
      <c r="J3787" s="551">
        <v>39.909999999999997</v>
      </c>
    </row>
    <row r="3788" spans="1:10" s="89" customFormat="1" ht="38.25" customHeight="1" x14ac:dyDescent="0.3">
      <c r="A3788" s="547" t="s">
        <v>430</v>
      </c>
      <c r="B3788" s="548" t="s">
        <v>1738</v>
      </c>
      <c r="C3788" s="547" t="s">
        <v>19</v>
      </c>
      <c r="D3788" s="547" t="s">
        <v>1739</v>
      </c>
      <c r="E3788" s="688" t="s">
        <v>461</v>
      </c>
      <c r="F3788" s="688"/>
      <c r="G3788" s="549" t="s">
        <v>423</v>
      </c>
      <c r="H3788" s="550">
        <v>1</v>
      </c>
      <c r="I3788" s="551">
        <v>46.8</v>
      </c>
      <c r="J3788" s="551">
        <v>46.8</v>
      </c>
    </row>
    <row r="3789" spans="1:10" ht="39" customHeight="1" thickBot="1" x14ac:dyDescent="0.35">
      <c r="A3789" s="547" t="s">
        <v>430</v>
      </c>
      <c r="B3789" s="548" t="s">
        <v>1740</v>
      </c>
      <c r="C3789" s="547" t="s">
        <v>19</v>
      </c>
      <c r="D3789" s="547" t="s">
        <v>1741</v>
      </c>
      <c r="E3789" s="688" t="s">
        <v>461</v>
      </c>
      <c r="F3789" s="688"/>
      <c r="G3789" s="549" t="s">
        <v>423</v>
      </c>
      <c r="H3789" s="550">
        <v>1</v>
      </c>
      <c r="I3789" s="551">
        <v>16.489999999999998</v>
      </c>
      <c r="J3789" s="551">
        <v>16.489999999999998</v>
      </c>
    </row>
    <row r="3790" spans="1:10" ht="14.5" thickTop="1" x14ac:dyDescent="0.3">
      <c r="A3790" s="562"/>
      <c r="B3790" s="562"/>
      <c r="C3790" s="562"/>
      <c r="D3790" s="562"/>
      <c r="E3790" s="562"/>
      <c r="F3790" s="562"/>
      <c r="G3790" s="562"/>
      <c r="H3790" s="562"/>
      <c r="I3790" s="562"/>
      <c r="J3790" s="562"/>
    </row>
    <row r="3791" spans="1:10" x14ac:dyDescent="0.3">
      <c r="A3791" s="553"/>
      <c r="B3791" s="554" t="s">
        <v>4</v>
      </c>
      <c r="C3791" s="553" t="s">
        <v>5</v>
      </c>
      <c r="D3791" s="553" t="s">
        <v>6</v>
      </c>
      <c r="E3791" s="691" t="s">
        <v>427</v>
      </c>
      <c r="F3791" s="691"/>
      <c r="G3791" s="555" t="s">
        <v>7</v>
      </c>
      <c r="H3791" s="554" t="s">
        <v>8</v>
      </c>
      <c r="I3791" s="554" t="s">
        <v>9</v>
      </c>
      <c r="J3791" s="554" t="s">
        <v>11</v>
      </c>
    </row>
    <row r="3792" spans="1:10" s="89" customFormat="1" ht="38.25" customHeight="1" x14ac:dyDescent="0.3">
      <c r="A3792" s="607" t="s">
        <v>428</v>
      </c>
      <c r="B3792" s="608" t="s">
        <v>1738</v>
      </c>
      <c r="C3792" s="607" t="s">
        <v>19</v>
      </c>
      <c r="D3792" s="607" t="s">
        <v>1739</v>
      </c>
      <c r="E3792" s="690" t="s">
        <v>461</v>
      </c>
      <c r="F3792" s="690"/>
      <c r="G3792" s="609" t="s">
        <v>423</v>
      </c>
      <c r="H3792" s="610">
        <v>1</v>
      </c>
      <c r="I3792" s="611">
        <v>46.8</v>
      </c>
      <c r="J3792" s="611">
        <v>46.8</v>
      </c>
    </row>
    <row r="3793" spans="1:10" ht="25.5" thickBot="1" x14ac:dyDescent="0.35">
      <c r="A3793" s="547" t="s">
        <v>433</v>
      </c>
      <c r="B3793" s="548" t="s">
        <v>1746</v>
      </c>
      <c r="C3793" s="547" t="s">
        <v>19</v>
      </c>
      <c r="D3793" s="547" t="s">
        <v>1747</v>
      </c>
      <c r="E3793" s="688" t="s">
        <v>442</v>
      </c>
      <c r="F3793" s="688"/>
      <c r="G3793" s="549" t="s">
        <v>81</v>
      </c>
      <c r="H3793" s="550">
        <v>4.0000000000000003E-5</v>
      </c>
      <c r="I3793" s="551">
        <v>1170000</v>
      </c>
      <c r="J3793" s="551">
        <v>46.8</v>
      </c>
    </row>
    <row r="3794" spans="1:10" ht="14.5" thickTop="1" x14ac:dyDescent="0.3">
      <c r="A3794" s="562"/>
      <c r="B3794" s="562"/>
      <c r="C3794" s="562"/>
      <c r="D3794" s="562"/>
      <c r="E3794" s="562"/>
      <c r="F3794" s="562"/>
      <c r="G3794" s="562"/>
      <c r="H3794" s="562"/>
      <c r="I3794" s="562"/>
      <c r="J3794" s="562"/>
    </row>
    <row r="3795" spans="1:10" x14ac:dyDescent="0.3">
      <c r="A3795" s="553"/>
      <c r="B3795" s="554" t="s">
        <v>4</v>
      </c>
      <c r="C3795" s="553" t="s">
        <v>5</v>
      </c>
      <c r="D3795" s="553" t="s">
        <v>6</v>
      </c>
      <c r="E3795" s="691" t="s">
        <v>427</v>
      </c>
      <c r="F3795" s="691"/>
      <c r="G3795" s="555" t="s">
        <v>7</v>
      </c>
      <c r="H3795" s="554" t="s">
        <v>8</v>
      </c>
      <c r="I3795" s="554" t="s">
        <v>9</v>
      </c>
      <c r="J3795" s="554" t="s">
        <v>11</v>
      </c>
    </row>
    <row r="3796" spans="1:10" s="89" customFormat="1" ht="38.25" customHeight="1" x14ac:dyDescent="0.3">
      <c r="A3796" s="607" t="s">
        <v>428</v>
      </c>
      <c r="B3796" s="608" t="s">
        <v>1740</v>
      </c>
      <c r="C3796" s="607" t="s">
        <v>19</v>
      </c>
      <c r="D3796" s="607" t="s">
        <v>1741</v>
      </c>
      <c r="E3796" s="690" t="s">
        <v>461</v>
      </c>
      <c r="F3796" s="690"/>
      <c r="G3796" s="609" t="s">
        <v>423</v>
      </c>
      <c r="H3796" s="610">
        <v>1</v>
      </c>
      <c r="I3796" s="611">
        <v>16.489999999999998</v>
      </c>
      <c r="J3796" s="611">
        <v>16.489999999999998</v>
      </c>
    </row>
    <row r="3797" spans="1:10" ht="25.5" thickBot="1" x14ac:dyDescent="0.35">
      <c r="A3797" s="547" t="s">
        <v>433</v>
      </c>
      <c r="B3797" s="548" t="s">
        <v>1746</v>
      </c>
      <c r="C3797" s="547" t="s">
        <v>19</v>
      </c>
      <c r="D3797" s="547" t="s">
        <v>1747</v>
      </c>
      <c r="E3797" s="688" t="s">
        <v>442</v>
      </c>
      <c r="F3797" s="688"/>
      <c r="G3797" s="549" t="s">
        <v>81</v>
      </c>
      <c r="H3797" s="550">
        <v>1.4100000000000001E-5</v>
      </c>
      <c r="I3797" s="551">
        <v>1170000</v>
      </c>
      <c r="J3797" s="551">
        <v>16.489999999999998</v>
      </c>
    </row>
    <row r="3798" spans="1:10" s="89" customFormat="1" ht="14.5" thickTop="1" x14ac:dyDescent="0.3">
      <c r="A3798" s="562"/>
      <c r="B3798" s="562"/>
      <c r="C3798" s="562"/>
      <c r="D3798" s="562"/>
      <c r="E3798" s="562"/>
      <c r="F3798" s="562"/>
      <c r="G3798" s="562"/>
      <c r="H3798" s="562"/>
      <c r="I3798" s="562"/>
      <c r="J3798" s="562"/>
    </row>
    <row r="3799" spans="1:10" x14ac:dyDescent="0.3">
      <c r="A3799" s="553"/>
      <c r="B3799" s="554" t="s">
        <v>4</v>
      </c>
      <c r="C3799" s="553" t="s">
        <v>5</v>
      </c>
      <c r="D3799" s="553" t="s">
        <v>6</v>
      </c>
      <c r="E3799" s="691" t="s">
        <v>427</v>
      </c>
      <c r="F3799" s="691"/>
      <c r="G3799" s="555" t="s">
        <v>7</v>
      </c>
      <c r="H3799" s="554" t="s">
        <v>8</v>
      </c>
      <c r="I3799" s="554" t="s">
        <v>9</v>
      </c>
      <c r="J3799" s="554" t="s">
        <v>11</v>
      </c>
    </row>
    <row r="3800" spans="1:10" ht="38.25" customHeight="1" x14ac:dyDescent="0.3">
      <c r="A3800" s="607" t="s">
        <v>428</v>
      </c>
      <c r="B3800" s="608" t="s">
        <v>1744</v>
      </c>
      <c r="C3800" s="607" t="s">
        <v>19</v>
      </c>
      <c r="D3800" s="607" t="s">
        <v>1745</v>
      </c>
      <c r="E3800" s="690" t="s">
        <v>461</v>
      </c>
      <c r="F3800" s="690"/>
      <c r="G3800" s="609" t="s">
        <v>423</v>
      </c>
      <c r="H3800" s="610">
        <v>1</v>
      </c>
      <c r="I3800" s="611">
        <v>75.23</v>
      </c>
      <c r="J3800" s="611">
        <v>75.23</v>
      </c>
    </row>
    <row r="3801" spans="1:10" ht="25.5" thickBot="1" x14ac:dyDescent="0.35">
      <c r="A3801" s="547" t="s">
        <v>433</v>
      </c>
      <c r="B3801" s="548" t="s">
        <v>1746</v>
      </c>
      <c r="C3801" s="547" t="s">
        <v>19</v>
      </c>
      <c r="D3801" s="547" t="s">
        <v>1747</v>
      </c>
      <c r="E3801" s="688" t="s">
        <v>442</v>
      </c>
      <c r="F3801" s="688"/>
      <c r="G3801" s="549" t="s">
        <v>81</v>
      </c>
      <c r="H3801" s="550">
        <v>6.4300000000000004E-5</v>
      </c>
      <c r="I3801" s="551">
        <v>1170000</v>
      </c>
      <c r="J3801" s="551">
        <v>75.23</v>
      </c>
    </row>
    <row r="3802" spans="1:10" ht="14.5" thickTop="1" x14ac:dyDescent="0.3">
      <c r="A3802" s="562"/>
      <c r="B3802" s="562"/>
      <c r="C3802" s="562"/>
      <c r="D3802" s="562"/>
      <c r="E3802" s="562"/>
      <c r="F3802" s="562"/>
      <c r="G3802" s="562"/>
      <c r="H3802" s="562"/>
      <c r="I3802" s="562"/>
      <c r="J3802" s="562"/>
    </row>
    <row r="3803" spans="1:10" s="89" customFormat="1" x14ac:dyDescent="0.3">
      <c r="A3803" s="553"/>
      <c r="B3803" s="554" t="s">
        <v>4</v>
      </c>
      <c r="C3803" s="553" t="s">
        <v>5</v>
      </c>
      <c r="D3803" s="553" t="s">
        <v>6</v>
      </c>
      <c r="E3803" s="691" t="s">
        <v>427</v>
      </c>
      <c r="F3803" s="691"/>
      <c r="G3803" s="555" t="s">
        <v>7</v>
      </c>
      <c r="H3803" s="554" t="s">
        <v>8</v>
      </c>
      <c r="I3803" s="554" t="s">
        <v>9</v>
      </c>
      <c r="J3803" s="554" t="s">
        <v>11</v>
      </c>
    </row>
    <row r="3804" spans="1:10" ht="38.25" customHeight="1" x14ac:dyDescent="0.3">
      <c r="A3804" s="607" t="s">
        <v>428</v>
      </c>
      <c r="B3804" s="608" t="s">
        <v>1742</v>
      </c>
      <c r="C3804" s="607" t="s">
        <v>19</v>
      </c>
      <c r="D3804" s="607" t="s">
        <v>1743</v>
      </c>
      <c r="E3804" s="690" t="s">
        <v>461</v>
      </c>
      <c r="F3804" s="690"/>
      <c r="G3804" s="609" t="s">
        <v>423</v>
      </c>
      <c r="H3804" s="610">
        <v>1</v>
      </c>
      <c r="I3804" s="611">
        <v>75.64</v>
      </c>
      <c r="J3804" s="611">
        <v>75.64</v>
      </c>
    </row>
    <row r="3805" spans="1:10" s="89" customFormat="1" ht="14.5" thickBot="1" x14ac:dyDescent="0.35">
      <c r="A3805" s="547" t="s">
        <v>433</v>
      </c>
      <c r="B3805" s="548" t="s">
        <v>3859</v>
      </c>
      <c r="C3805" s="547" t="s">
        <v>115</v>
      </c>
      <c r="D3805" s="547" t="s">
        <v>3860</v>
      </c>
      <c r="E3805" s="688" t="s">
        <v>438</v>
      </c>
      <c r="F3805" s="688"/>
      <c r="G3805" s="549" t="s">
        <v>835</v>
      </c>
      <c r="H3805" s="550">
        <v>13.99</v>
      </c>
      <c r="I3805" s="551">
        <v>5.4069000000000003</v>
      </c>
      <c r="J3805" s="551">
        <v>75.64</v>
      </c>
    </row>
    <row r="3806" spans="1:10" ht="14.5" thickTop="1" x14ac:dyDescent="0.3">
      <c r="A3806" s="562"/>
      <c r="B3806" s="562"/>
      <c r="C3806" s="562"/>
      <c r="D3806" s="562"/>
      <c r="E3806" s="562"/>
      <c r="F3806" s="562"/>
      <c r="G3806" s="562"/>
      <c r="H3806" s="562"/>
      <c r="I3806" s="562"/>
      <c r="J3806" s="562"/>
    </row>
    <row r="3807" spans="1:10" s="89" customFormat="1" x14ac:dyDescent="0.3">
      <c r="A3807" s="553"/>
      <c r="B3807" s="554" t="s">
        <v>4</v>
      </c>
      <c r="C3807" s="553" t="s">
        <v>5</v>
      </c>
      <c r="D3807" s="553" t="s">
        <v>6</v>
      </c>
      <c r="E3807" s="691" t="s">
        <v>427</v>
      </c>
      <c r="F3807" s="691"/>
      <c r="G3807" s="555" t="s">
        <v>7</v>
      </c>
      <c r="H3807" s="554" t="s">
        <v>8</v>
      </c>
      <c r="I3807" s="554" t="s">
        <v>9</v>
      </c>
      <c r="J3807" s="554" t="s">
        <v>11</v>
      </c>
    </row>
    <row r="3808" spans="1:10" ht="14.25" customHeight="1" x14ac:dyDescent="0.3">
      <c r="A3808" s="607" t="s">
        <v>428</v>
      </c>
      <c r="B3808" s="608" t="s">
        <v>1333</v>
      </c>
      <c r="C3808" s="607" t="s">
        <v>19</v>
      </c>
      <c r="D3808" s="607" t="s">
        <v>1334</v>
      </c>
      <c r="E3808" s="690" t="s">
        <v>429</v>
      </c>
      <c r="F3808" s="690"/>
      <c r="G3808" s="609" t="s">
        <v>423</v>
      </c>
      <c r="H3808" s="610">
        <v>1</v>
      </c>
      <c r="I3808" s="611">
        <v>30.35</v>
      </c>
      <c r="J3808" s="611">
        <v>30.35</v>
      </c>
    </row>
    <row r="3809" spans="1:10" s="89" customFormat="1" ht="25" x14ac:dyDescent="0.3">
      <c r="A3809" s="547" t="s">
        <v>430</v>
      </c>
      <c r="B3809" s="548" t="s">
        <v>1460</v>
      </c>
      <c r="C3809" s="547" t="s">
        <v>19</v>
      </c>
      <c r="D3809" s="547" t="s">
        <v>1461</v>
      </c>
      <c r="E3809" s="688" t="s">
        <v>429</v>
      </c>
      <c r="F3809" s="688"/>
      <c r="G3809" s="549" t="s">
        <v>423</v>
      </c>
      <c r="H3809" s="550">
        <v>1</v>
      </c>
      <c r="I3809" s="551">
        <v>0.13</v>
      </c>
      <c r="J3809" s="551">
        <v>0.13</v>
      </c>
    </row>
    <row r="3810" spans="1:10" x14ac:dyDescent="0.3">
      <c r="A3810" s="547" t="s">
        <v>433</v>
      </c>
      <c r="B3810" s="548" t="s">
        <v>1462</v>
      </c>
      <c r="C3810" s="547" t="s">
        <v>19</v>
      </c>
      <c r="D3810" s="547" t="s">
        <v>3692</v>
      </c>
      <c r="E3810" s="688" t="s">
        <v>436</v>
      </c>
      <c r="F3810" s="688"/>
      <c r="G3810" s="549" t="s">
        <v>423</v>
      </c>
      <c r="H3810" s="550">
        <v>1</v>
      </c>
      <c r="I3810" s="551">
        <v>22.67</v>
      </c>
      <c r="J3810" s="551">
        <v>22.67</v>
      </c>
    </row>
    <row r="3811" spans="1:10" s="89" customFormat="1" ht="25" x14ac:dyDescent="0.3">
      <c r="A3811" s="547" t="s">
        <v>433</v>
      </c>
      <c r="B3811" s="548" t="s">
        <v>1213</v>
      </c>
      <c r="C3811" s="547" t="s">
        <v>19</v>
      </c>
      <c r="D3811" s="547" t="s">
        <v>3592</v>
      </c>
      <c r="E3811" s="688" t="s">
        <v>862</v>
      </c>
      <c r="F3811" s="688"/>
      <c r="G3811" s="549" t="s">
        <v>423</v>
      </c>
      <c r="H3811" s="550">
        <v>1</v>
      </c>
      <c r="I3811" s="551">
        <v>3.8</v>
      </c>
      <c r="J3811" s="551">
        <v>3.8</v>
      </c>
    </row>
    <row r="3812" spans="1:10" ht="25" x14ac:dyDescent="0.3">
      <c r="A3812" s="547" t="s">
        <v>433</v>
      </c>
      <c r="B3812" s="548" t="s">
        <v>1214</v>
      </c>
      <c r="C3812" s="547" t="s">
        <v>19</v>
      </c>
      <c r="D3812" s="547" t="s">
        <v>3593</v>
      </c>
      <c r="E3812" s="688" t="s">
        <v>1215</v>
      </c>
      <c r="F3812" s="688"/>
      <c r="G3812" s="549" t="s">
        <v>423</v>
      </c>
      <c r="H3812" s="550">
        <v>1</v>
      </c>
      <c r="I3812" s="551">
        <v>1.5</v>
      </c>
      <c r="J3812" s="551">
        <v>1.5</v>
      </c>
    </row>
    <row r="3813" spans="1:10" s="89" customFormat="1" ht="25" x14ac:dyDescent="0.3">
      <c r="A3813" s="547" t="s">
        <v>433</v>
      </c>
      <c r="B3813" s="548" t="s">
        <v>1216</v>
      </c>
      <c r="C3813" s="547" t="s">
        <v>19</v>
      </c>
      <c r="D3813" s="547" t="s">
        <v>3594</v>
      </c>
      <c r="E3813" s="688" t="s">
        <v>862</v>
      </c>
      <c r="F3813" s="688"/>
      <c r="G3813" s="549" t="s">
        <v>423</v>
      </c>
      <c r="H3813" s="550">
        <v>1</v>
      </c>
      <c r="I3813" s="551">
        <v>1.34</v>
      </c>
      <c r="J3813" s="551">
        <v>1.34</v>
      </c>
    </row>
    <row r="3814" spans="1:10" ht="25" x14ac:dyDescent="0.3">
      <c r="A3814" s="547" t="s">
        <v>433</v>
      </c>
      <c r="B3814" s="548" t="s">
        <v>1217</v>
      </c>
      <c r="C3814" s="547" t="s">
        <v>19</v>
      </c>
      <c r="D3814" s="547" t="s">
        <v>3595</v>
      </c>
      <c r="E3814" s="688" t="s">
        <v>531</v>
      </c>
      <c r="F3814" s="688"/>
      <c r="G3814" s="549" t="s">
        <v>423</v>
      </c>
      <c r="H3814" s="550">
        <v>1</v>
      </c>
      <c r="I3814" s="551">
        <v>0.04</v>
      </c>
      <c r="J3814" s="551">
        <v>0.04</v>
      </c>
    </row>
    <row r="3815" spans="1:10" s="89" customFormat="1" ht="25" x14ac:dyDescent="0.3">
      <c r="A3815" s="547" t="s">
        <v>433</v>
      </c>
      <c r="B3815" s="548" t="s">
        <v>1262</v>
      </c>
      <c r="C3815" s="547" t="s">
        <v>19</v>
      </c>
      <c r="D3815" s="547" t="s">
        <v>1263</v>
      </c>
      <c r="E3815" s="688" t="s">
        <v>442</v>
      </c>
      <c r="F3815" s="688"/>
      <c r="G3815" s="549" t="s">
        <v>423</v>
      </c>
      <c r="H3815" s="550">
        <v>1</v>
      </c>
      <c r="I3815" s="551">
        <v>0.01</v>
      </c>
      <c r="J3815" s="551">
        <v>0.01</v>
      </c>
    </row>
    <row r="3816" spans="1:10" ht="25.5" thickBot="1" x14ac:dyDescent="0.35">
      <c r="A3816" s="547" t="s">
        <v>433</v>
      </c>
      <c r="B3816" s="548" t="s">
        <v>1264</v>
      </c>
      <c r="C3816" s="547" t="s">
        <v>19</v>
      </c>
      <c r="D3816" s="547" t="s">
        <v>1265</v>
      </c>
      <c r="E3816" s="688" t="s">
        <v>442</v>
      </c>
      <c r="F3816" s="688"/>
      <c r="G3816" s="549" t="s">
        <v>423</v>
      </c>
      <c r="H3816" s="550">
        <v>1</v>
      </c>
      <c r="I3816" s="551">
        <v>0.86</v>
      </c>
      <c r="J3816" s="551">
        <v>0.86</v>
      </c>
    </row>
    <row r="3817" spans="1:10" s="89" customFormat="1" ht="14.5" thickTop="1" x14ac:dyDescent="0.3">
      <c r="A3817" s="562"/>
      <c r="B3817" s="562"/>
      <c r="C3817" s="562"/>
      <c r="D3817" s="562"/>
      <c r="E3817" s="562"/>
      <c r="F3817" s="562"/>
      <c r="G3817" s="562"/>
      <c r="H3817" s="562"/>
      <c r="I3817" s="562"/>
      <c r="J3817" s="562"/>
    </row>
    <row r="3818" spans="1:10" s="89" customFormat="1" ht="38.25" customHeight="1" x14ac:dyDescent="0.3">
      <c r="A3818" s="553"/>
      <c r="B3818" s="554" t="s">
        <v>4</v>
      </c>
      <c r="C3818" s="553" t="s">
        <v>5</v>
      </c>
      <c r="D3818" s="553" t="s">
        <v>6</v>
      </c>
      <c r="E3818" s="691" t="s">
        <v>427</v>
      </c>
      <c r="F3818" s="691"/>
      <c r="G3818" s="555" t="s">
        <v>7</v>
      </c>
      <c r="H3818" s="554" t="s">
        <v>8</v>
      </c>
      <c r="I3818" s="554" t="s">
        <v>9</v>
      </c>
      <c r="J3818" s="554" t="s">
        <v>11</v>
      </c>
    </row>
    <row r="3819" spans="1:10" s="89" customFormat="1" ht="15" customHeight="1" x14ac:dyDescent="0.3">
      <c r="A3819" s="607" t="s">
        <v>428</v>
      </c>
      <c r="B3819" s="608" t="s">
        <v>537</v>
      </c>
      <c r="C3819" s="607" t="s">
        <v>19</v>
      </c>
      <c r="D3819" s="607" t="s">
        <v>538</v>
      </c>
      <c r="E3819" s="690" t="s">
        <v>429</v>
      </c>
      <c r="F3819" s="690"/>
      <c r="G3819" s="609" t="s">
        <v>423</v>
      </c>
      <c r="H3819" s="610">
        <v>1</v>
      </c>
      <c r="I3819" s="611">
        <v>29.5</v>
      </c>
      <c r="J3819" s="611">
        <v>29.5</v>
      </c>
    </row>
    <row r="3820" spans="1:10" ht="38.25" customHeight="1" x14ac:dyDescent="0.3">
      <c r="A3820" s="547" t="s">
        <v>430</v>
      </c>
      <c r="B3820" s="548" t="s">
        <v>1463</v>
      </c>
      <c r="C3820" s="547" t="s">
        <v>19</v>
      </c>
      <c r="D3820" s="547" t="s">
        <v>1464</v>
      </c>
      <c r="E3820" s="688" t="s">
        <v>429</v>
      </c>
      <c r="F3820" s="688"/>
      <c r="G3820" s="549" t="s">
        <v>423</v>
      </c>
      <c r="H3820" s="550">
        <v>1</v>
      </c>
      <c r="I3820" s="551">
        <v>0.12</v>
      </c>
      <c r="J3820" s="551">
        <v>0.12</v>
      </c>
    </row>
    <row r="3821" spans="1:10" s="89" customFormat="1" ht="39" customHeight="1" x14ac:dyDescent="0.3">
      <c r="A3821" s="547" t="s">
        <v>433</v>
      </c>
      <c r="B3821" s="548" t="s">
        <v>1465</v>
      </c>
      <c r="C3821" s="547" t="s">
        <v>19</v>
      </c>
      <c r="D3821" s="547" t="s">
        <v>3693</v>
      </c>
      <c r="E3821" s="688" t="s">
        <v>436</v>
      </c>
      <c r="F3821" s="688"/>
      <c r="G3821" s="549" t="s">
        <v>423</v>
      </c>
      <c r="H3821" s="550">
        <v>1</v>
      </c>
      <c r="I3821" s="551">
        <v>21.83</v>
      </c>
      <c r="J3821" s="551">
        <v>21.83</v>
      </c>
    </row>
    <row r="3822" spans="1:10" ht="25" x14ac:dyDescent="0.3">
      <c r="A3822" s="547" t="s">
        <v>433</v>
      </c>
      <c r="B3822" s="548" t="s">
        <v>1213</v>
      </c>
      <c r="C3822" s="547" t="s">
        <v>19</v>
      </c>
      <c r="D3822" s="547" t="s">
        <v>3592</v>
      </c>
      <c r="E3822" s="688" t="s">
        <v>862</v>
      </c>
      <c r="F3822" s="688"/>
      <c r="G3822" s="549" t="s">
        <v>423</v>
      </c>
      <c r="H3822" s="550">
        <v>1</v>
      </c>
      <c r="I3822" s="551">
        <v>3.8</v>
      </c>
      <c r="J3822" s="551">
        <v>3.8</v>
      </c>
    </row>
    <row r="3823" spans="1:10" ht="25" x14ac:dyDescent="0.3">
      <c r="A3823" s="547" t="s">
        <v>433</v>
      </c>
      <c r="B3823" s="548" t="s">
        <v>1214</v>
      </c>
      <c r="C3823" s="547" t="s">
        <v>19</v>
      </c>
      <c r="D3823" s="547" t="s">
        <v>3593</v>
      </c>
      <c r="E3823" s="688" t="s">
        <v>1215</v>
      </c>
      <c r="F3823" s="688"/>
      <c r="G3823" s="549" t="s">
        <v>423</v>
      </c>
      <c r="H3823" s="550">
        <v>1</v>
      </c>
      <c r="I3823" s="551">
        <v>1.5</v>
      </c>
      <c r="J3823" s="551">
        <v>1.5</v>
      </c>
    </row>
    <row r="3824" spans="1:10" ht="38.25" customHeight="1" x14ac:dyDescent="0.3">
      <c r="A3824" s="547" t="s">
        <v>433</v>
      </c>
      <c r="B3824" s="548" t="s">
        <v>1216</v>
      </c>
      <c r="C3824" s="547" t="s">
        <v>19</v>
      </c>
      <c r="D3824" s="547" t="s">
        <v>3594</v>
      </c>
      <c r="E3824" s="688" t="s">
        <v>862</v>
      </c>
      <c r="F3824" s="688"/>
      <c r="G3824" s="549" t="s">
        <v>423</v>
      </c>
      <c r="H3824" s="550">
        <v>1</v>
      </c>
      <c r="I3824" s="551">
        <v>1.34</v>
      </c>
      <c r="J3824" s="551">
        <v>1.34</v>
      </c>
    </row>
    <row r="3825" spans="1:10" ht="38.25" customHeight="1" x14ac:dyDescent="0.3">
      <c r="A3825" s="547" t="s">
        <v>433</v>
      </c>
      <c r="B3825" s="548" t="s">
        <v>1217</v>
      </c>
      <c r="C3825" s="547" t="s">
        <v>19</v>
      </c>
      <c r="D3825" s="547" t="s">
        <v>3595</v>
      </c>
      <c r="E3825" s="688" t="s">
        <v>531</v>
      </c>
      <c r="F3825" s="688"/>
      <c r="G3825" s="549" t="s">
        <v>423</v>
      </c>
      <c r="H3825" s="550">
        <v>1</v>
      </c>
      <c r="I3825" s="551">
        <v>0.04</v>
      </c>
      <c r="J3825" s="551">
        <v>0.04</v>
      </c>
    </row>
    <row r="3826" spans="1:10" ht="38.25" customHeight="1" x14ac:dyDescent="0.3">
      <c r="A3826" s="547" t="s">
        <v>433</v>
      </c>
      <c r="B3826" s="548" t="s">
        <v>1262</v>
      </c>
      <c r="C3826" s="547" t="s">
        <v>19</v>
      </c>
      <c r="D3826" s="547" t="s">
        <v>1263</v>
      </c>
      <c r="E3826" s="688" t="s">
        <v>442</v>
      </c>
      <c r="F3826" s="688"/>
      <c r="G3826" s="549" t="s">
        <v>423</v>
      </c>
      <c r="H3826" s="550">
        <v>1</v>
      </c>
      <c r="I3826" s="551">
        <v>0.01</v>
      </c>
      <c r="J3826" s="551">
        <v>0.01</v>
      </c>
    </row>
    <row r="3827" spans="1:10" ht="25.5" thickBot="1" x14ac:dyDescent="0.35">
      <c r="A3827" s="547" t="s">
        <v>433</v>
      </c>
      <c r="B3827" s="548" t="s">
        <v>1264</v>
      </c>
      <c r="C3827" s="547" t="s">
        <v>19</v>
      </c>
      <c r="D3827" s="547" t="s">
        <v>1265</v>
      </c>
      <c r="E3827" s="688" t="s">
        <v>442</v>
      </c>
      <c r="F3827" s="688"/>
      <c r="G3827" s="549" t="s">
        <v>423</v>
      </c>
      <c r="H3827" s="550">
        <v>1</v>
      </c>
      <c r="I3827" s="551">
        <v>0.86</v>
      </c>
      <c r="J3827" s="551">
        <v>0.86</v>
      </c>
    </row>
    <row r="3828" spans="1:10" s="89" customFormat="1" ht="38.25" customHeight="1" thickTop="1" x14ac:dyDescent="0.3">
      <c r="A3828" s="562"/>
      <c r="B3828" s="562"/>
      <c r="C3828" s="562"/>
      <c r="D3828" s="562"/>
      <c r="E3828" s="562"/>
      <c r="F3828" s="562"/>
      <c r="G3828" s="562"/>
      <c r="H3828" s="562"/>
      <c r="I3828" s="562"/>
      <c r="J3828" s="562"/>
    </row>
    <row r="3829" spans="1:10" s="89" customFormat="1" ht="38.25" customHeight="1" x14ac:dyDescent="0.3">
      <c r="A3829" s="553"/>
      <c r="B3829" s="554" t="s">
        <v>4</v>
      </c>
      <c r="C3829" s="553" t="s">
        <v>5</v>
      </c>
      <c r="D3829" s="553" t="s">
        <v>6</v>
      </c>
      <c r="E3829" s="691" t="s">
        <v>427</v>
      </c>
      <c r="F3829" s="691"/>
      <c r="G3829" s="555" t="s">
        <v>7</v>
      </c>
      <c r="H3829" s="554" t="s">
        <v>8</v>
      </c>
      <c r="I3829" s="554" t="s">
        <v>9</v>
      </c>
      <c r="J3829" s="554" t="s">
        <v>11</v>
      </c>
    </row>
    <row r="3830" spans="1:10" s="89" customFormat="1" ht="25" x14ac:dyDescent="0.3">
      <c r="A3830" s="607" t="s">
        <v>428</v>
      </c>
      <c r="B3830" s="608" t="s">
        <v>1688</v>
      </c>
      <c r="C3830" s="607" t="s">
        <v>19</v>
      </c>
      <c r="D3830" s="607" t="s">
        <v>1689</v>
      </c>
      <c r="E3830" s="690" t="s">
        <v>429</v>
      </c>
      <c r="F3830" s="690"/>
      <c r="G3830" s="609" t="s">
        <v>423</v>
      </c>
      <c r="H3830" s="610">
        <v>1</v>
      </c>
      <c r="I3830" s="611">
        <v>31.05</v>
      </c>
      <c r="J3830" s="611">
        <v>31.05</v>
      </c>
    </row>
    <row r="3831" spans="1:10" ht="38.25" customHeight="1" x14ac:dyDescent="0.3">
      <c r="A3831" s="547" t="s">
        <v>430</v>
      </c>
      <c r="B3831" s="548" t="s">
        <v>1466</v>
      </c>
      <c r="C3831" s="547" t="s">
        <v>19</v>
      </c>
      <c r="D3831" s="547" t="s">
        <v>1467</v>
      </c>
      <c r="E3831" s="688" t="s">
        <v>429</v>
      </c>
      <c r="F3831" s="688"/>
      <c r="G3831" s="549" t="s">
        <v>423</v>
      </c>
      <c r="H3831" s="550">
        <v>1</v>
      </c>
      <c r="I3831" s="551">
        <v>0.43</v>
      </c>
      <c r="J3831" s="551">
        <v>0.43</v>
      </c>
    </row>
    <row r="3832" spans="1:10" ht="39" customHeight="1" x14ac:dyDescent="0.3">
      <c r="A3832" s="547" t="s">
        <v>433</v>
      </c>
      <c r="B3832" s="548" t="s">
        <v>1468</v>
      </c>
      <c r="C3832" s="547" t="s">
        <v>19</v>
      </c>
      <c r="D3832" s="547" t="s">
        <v>3694</v>
      </c>
      <c r="E3832" s="688" t="s">
        <v>436</v>
      </c>
      <c r="F3832" s="688"/>
      <c r="G3832" s="549" t="s">
        <v>423</v>
      </c>
      <c r="H3832" s="550">
        <v>1</v>
      </c>
      <c r="I3832" s="551">
        <v>23.07</v>
      </c>
      <c r="J3832" s="551">
        <v>23.07</v>
      </c>
    </row>
    <row r="3833" spans="1:10" ht="25" x14ac:dyDescent="0.3">
      <c r="A3833" s="547" t="s">
        <v>433</v>
      </c>
      <c r="B3833" s="548" t="s">
        <v>1213</v>
      </c>
      <c r="C3833" s="547" t="s">
        <v>19</v>
      </c>
      <c r="D3833" s="547" t="s">
        <v>3592</v>
      </c>
      <c r="E3833" s="688" t="s">
        <v>862</v>
      </c>
      <c r="F3833" s="688"/>
      <c r="G3833" s="549" t="s">
        <v>423</v>
      </c>
      <c r="H3833" s="550">
        <v>1</v>
      </c>
      <c r="I3833" s="551">
        <v>3.8</v>
      </c>
      <c r="J3833" s="551">
        <v>3.8</v>
      </c>
    </row>
    <row r="3834" spans="1:10" ht="25" x14ac:dyDescent="0.3">
      <c r="A3834" s="547" t="s">
        <v>433</v>
      </c>
      <c r="B3834" s="548" t="s">
        <v>1214</v>
      </c>
      <c r="C3834" s="547" t="s">
        <v>19</v>
      </c>
      <c r="D3834" s="547" t="s">
        <v>3593</v>
      </c>
      <c r="E3834" s="688" t="s">
        <v>1215</v>
      </c>
      <c r="F3834" s="688"/>
      <c r="G3834" s="549" t="s">
        <v>423</v>
      </c>
      <c r="H3834" s="550">
        <v>1</v>
      </c>
      <c r="I3834" s="551">
        <v>1.5</v>
      </c>
      <c r="J3834" s="551">
        <v>1.5</v>
      </c>
    </row>
    <row r="3835" spans="1:10" s="89" customFormat="1" ht="38.25" customHeight="1" x14ac:dyDescent="0.3">
      <c r="A3835" s="547" t="s">
        <v>433</v>
      </c>
      <c r="B3835" s="548" t="s">
        <v>1216</v>
      </c>
      <c r="C3835" s="547" t="s">
        <v>19</v>
      </c>
      <c r="D3835" s="547" t="s">
        <v>3594</v>
      </c>
      <c r="E3835" s="688" t="s">
        <v>862</v>
      </c>
      <c r="F3835" s="688"/>
      <c r="G3835" s="549" t="s">
        <v>423</v>
      </c>
      <c r="H3835" s="550">
        <v>1</v>
      </c>
      <c r="I3835" s="551">
        <v>1.34</v>
      </c>
      <c r="J3835" s="551">
        <v>1.34</v>
      </c>
    </row>
    <row r="3836" spans="1:10" s="89" customFormat="1" ht="38.25" customHeight="1" x14ac:dyDescent="0.3">
      <c r="A3836" s="547" t="s">
        <v>433</v>
      </c>
      <c r="B3836" s="548" t="s">
        <v>1217</v>
      </c>
      <c r="C3836" s="547" t="s">
        <v>19</v>
      </c>
      <c r="D3836" s="547" t="s">
        <v>3595</v>
      </c>
      <c r="E3836" s="688" t="s">
        <v>531</v>
      </c>
      <c r="F3836" s="688"/>
      <c r="G3836" s="549" t="s">
        <v>423</v>
      </c>
      <c r="H3836" s="550">
        <v>1</v>
      </c>
      <c r="I3836" s="551">
        <v>0.04</v>
      </c>
      <c r="J3836" s="551">
        <v>0.04</v>
      </c>
    </row>
    <row r="3837" spans="1:10" ht="38.25" customHeight="1" x14ac:dyDescent="0.3">
      <c r="A3837" s="547" t="s">
        <v>433</v>
      </c>
      <c r="B3837" s="548" t="s">
        <v>1262</v>
      </c>
      <c r="C3837" s="547" t="s">
        <v>19</v>
      </c>
      <c r="D3837" s="547" t="s">
        <v>1263</v>
      </c>
      <c r="E3837" s="688" t="s">
        <v>442</v>
      </c>
      <c r="F3837" s="688"/>
      <c r="G3837" s="549" t="s">
        <v>423</v>
      </c>
      <c r="H3837" s="550">
        <v>1</v>
      </c>
      <c r="I3837" s="551">
        <v>0.01</v>
      </c>
      <c r="J3837" s="551">
        <v>0.01</v>
      </c>
    </row>
    <row r="3838" spans="1:10" s="89" customFormat="1" ht="25.5" thickBot="1" x14ac:dyDescent="0.35">
      <c r="A3838" s="547" t="s">
        <v>433</v>
      </c>
      <c r="B3838" s="548" t="s">
        <v>1264</v>
      </c>
      <c r="C3838" s="547" t="s">
        <v>19</v>
      </c>
      <c r="D3838" s="547" t="s">
        <v>1265</v>
      </c>
      <c r="E3838" s="688" t="s">
        <v>442</v>
      </c>
      <c r="F3838" s="688"/>
      <c r="G3838" s="549" t="s">
        <v>423</v>
      </c>
      <c r="H3838" s="550">
        <v>1</v>
      </c>
      <c r="I3838" s="551">
        <v>0.86</v>
      </c>
      <c r="J3838" s="551">
        <v>0.86</v>
      </c>
    </row>
    <row r="3839" spans="1:10" ht="38.25" customHeight="1" thickTop="1" x14ac:dyDescent="0.3">
      <c r="A3839" s="562"/>
      <c r="B3839" s="562"/>
      <c r="C3839" s="562"/>
      <c r="D3839" s="562"/>
      <c r="E3839" s="562"/>
      <c r="F3839" s="562"/>
      <c r="G3839" s="562"/>
      <c r="H3839" s="562"/>
      <c r="I3839" s="562"/>
      <c r="J3839" s="562"/>
    </row>
    <row r="3840" spans="1:10" ht="39" customHeight="1" x14ac:dyDescent="0.3">
      <c r="A3840" s="553"/>
      <c r="B3840" s="554" t="s">
        <v>4</v>
      </c>
      <c r="C3840" s="553" t="s">
        <v>5</v>
      </c>
      <c r="D3840" s="553" t="s">
        <v>6</v>
      </c>
      <c r="E3840" s="691" t="s">
        <v>427</v>
      </c>
      <c r="F3840" s="691"/>
      <c r="G3840" s="555" t="s">
        <v>7</v>
      </c>
      <c r="H3840" s="554" t="s">
        <v>8</v>
      </c>
      <c r="I3840" s="554" t="s">
        <v>9</v>
      </c>
      <c r="J3840" s="554" t="s">
        <v>11</v>
      </c>
    </row>
    <row r="3841" spans="1:10" s="89" customFormat="1" ht="25" x14ac:dyDescent="0.3">
      <c r="A3841" s="607" t="s">
        <v>428</v>
      </c>
      <c r="B3841" s="608" t="s">
        <v>816</v>
      </c>
      <c r="C3841" s="607" t="s">
        <v>19</v>
      </c>
      <c r="D3841" s="607" t="s">
        <v>817</v>
      </c>
      <c r="E3841" s="690" t="s">
        <v>429</v>
      </c>
      <c r="F3841" s="690"/>
      <c r="G3841" s="609" t="s">
        <v>423</v>
      </c>
      <c r="H3841" s="610">
        <v>1</v>
      </c>
      <c r="I3841" s="611">
        <v>25.72</v>
      </c>
      <c r="J3841" s="611">
        <v>25.72</v>
      </c>
    </row>
    <row r="3842" spans="1:10" ht="37.5" x14ac:dyDescent="0.3">
      <c r="A3842" s="547" t="s">
        <v>430</v>
      </c>
      <c r="B3842" s="548" t="s">
        <v>1469</v>
      </c>
      <c r="C3842" s="547" t="s">
        <v>19</v>
      </c>
      <c r="D3842" s="547" t="s">
        <v>1470</v>
      </c>
      <c r="E3842" s="688" t="s">
        <v>429</v>
      </c>
      <c r="F3842" s="688"/>
      <c r="G3842" s="549" t="s">
        <v>423</v>
      </c>
      <c r="H3842" s="550">
        <v>1</v>
      </c>
      <c r="I3842" s="551">
        <v>0.17</v>
      </c>
      <c r="J3842" s="551">
        <v>0.17</v>
      </c>
    </row>
    <row r="3843" spans="1:10" s="89" customFormat="1" ht="38.25" customHeight="1" x14ac:dyDescent="0.3">
      <c r="A3843" s="547" t="s">
        <v>433</v>
      </c>
      <c r="B3843" s="548" t="s">
        <v>1213</v>
      </c>
      <c r="C3843" s="547" t="s">
        <v>19</v>
      </c>
      <c r="D3843" s="547" t="s">
        <v>3592</v>
      </c>
      <c r="E3843" s="688" t="s">
        <v>862</v>
      </c>
      <c r="F3843" s="688"/>
      <c r="G3843" s="549" t="s">
        <v>423</v>
      </c>
      <c r="H3843" s="550">
        <v>1</v>
      </c>
      <c r="I3843" s="551">
        <v>3.8</v>
      </c>
      <c r="J3843" s="551">
        <v>3.8</v>
      </c>
    </row>
    <row r="3844" spans="1:10" ht="38.25" customHeight="1" x14ac:dyDescent="0.3">
      <c r="A3844" s="547" t="s">
        <v>433</v>
      </c>
      <c r="B3844" s="548" t="s">
        <v>1214</v>
      </c>
      <c r="C3844" s="547" t="s">
        <v>19</v>
      </c>
      <c r="D3844" s="547" t="s">
        <v>3593</v>
      </c>
      <c r="E3844" s="688" t="s">
        <v>1215</v>
      </c>
      <c r="F3844" s="688"/>
      <c r="G3844" s="549" t="s">
        <v>423</v>
      </c>
      <c r="H3844" s="550">
        <v>1</v>
      </c>
      <c r="I3844" s="551">
        <v>1.5</v>
      </c>
      <c r="J3844" s="551">
        <v>1.5</v>
      </c>
    </row>
    <row r="3845" spans="1:10" s="89" customFormat="1" ht="25" x14ac:dyDescent="0.3">
      <c r="A3845" s="547" t="s">
        <v>433</v>
      </c>
      <c r="B3845" s="548" t="s">
        <v>1216</v>
      </c>
      <c r="C3845" s="547" t="s">
        <v>19</v>
      </c>
      <c r="D3845" s="547" t="s">
        <v>3594</v>
      </c>
      <c r="E3845" s="688" t="s">
        <v>862</v>
      </c>
      <c r="F3845" s="688"/>
      <c r="G3845" s="549" t="s">
        <v>423</v>
      </c>
      <c r="H3845" s="550">
        <v>1</v>
      </c>
      <c r="I3845" s="551">
        <v>1.34</v>
      </c>
      <c r="J3845" s="551">
        <v>1.34</v>
      </c>
    </row>
    <row r="3846" spans="1:10" ht="25" x14ac:dyDescent="0.3">
      <c r="A3846" s="547" t="s">
        <v>433</v>
      </c>
      <c r="B3846" s="548" t="s">
        <v>1217</v>
      </c>
      <c r="C3846" s="547" t="s">
        <v>19</v>
      </c>
      <c r="D3846" s="547" t="s">
        <v>3595</v>
      </c>
      <c r="E3846" s="688" t="s">
        <v>531</v>
      </c>
      <c r="F3846" s="688"/>
      <c r="G3846" s="549" t="s">
        <v>423</v>
      </c>
      <c r="H3846" s="550">
        <v>1</v>
      </c>
      <c r="I3846" s="551">
        <v>0.04</v>
      </c>
      <c r="J3846" s="551">
        <v>0.04</v>
      </c>
    </row>
    <row r="3847" spans="1:10" s="89" customFormat="1" ht="38.25" customHeight="1" x14ac:dyDescent="0.3">
      <c r="A3847" s="547" t="s">
        <v>433</v>
      </c>
      <c r="B3847" s="548" t="s">
        <v>1471</v>
      </c>
      <c r="C3847" s="547" t="s">
        <v>19</v>
      </c>
      <c r="D3847" s="547" t="s">
        <v>3695</v>
      </c>
      <c r="E3847" s="688" t="s">
        <v>436</v>
      </c>
      <c r="F3847" s="688"/>
      <c r="G3847" s="549" t="s">
        <v>423</v>
      </c>
      <c r="H3847" s="550">
        <v>1</v>
      </c>
      <c r="I3847" s="551">
        <v>18</v>
      </c>
      <c r="J3847" s="551">
        <v>18</v>
      </c>
    </row>
    <row r="3848" spans="1:10" s="89" customFormat="1" ht="15" customHeight="1" x14ac:dyDescent="0.3">
      <c r="A3848" s="547" t="s">
        <v>433</v>
      </c>
      <c r="B3848" s="548" t="s">
        <v>1262</v>
      </c>
      <c r="C3848" s="547" t="s">
        <v>19</v>
      </c>
      <c r="D3848" s="547" t="s">
        <v>1263</v>
      </c>
      <c r="E3848" s="688" t="s">
        <v>442</v>
      </c>
      <c r="F3848" s="688"/>
      <c r="G3848" s="549" t="s">
        <v>423</v>
      </c>
      <c r="H3848" s="550">
        <v>1</v>
      </c>
      <c r="I3848" s="551">
        <v>0.01</v>
      </c>
      <c r="J3848" s="551">
        <v>0.01</v>
      </c>
    </row>
    <row r="3849" spans="1:10" ht="25.5" thickBot="1" x14ac:dyDescent="0.35">
      <c r="A3849" s="547" t="s">
        <v>433</v>
      </c>
      <c r="B3849" s="548" t="s">
        <v>1264</v>
      </c>
      <c r="C3849" s="547" t="s">
        <v>19</v>
      </c>
      <c r="D3849" s="547" t="s">
        <v>1265</v>
      </c>
      <c r="E3849" s="688" t="s">
        <v>442</v>
      </c>
      <c r="F3849" s="688"/>
      <c r="G3849" s="549" t="s">
        <v>423</v>
      </c>
      <c r="H3849" s="550">
        <v>1</v>
      </c>
      <c r="I3849" s="551">
        <v>0.86</v>
      </c>
      <c r="J3849" s="551">
        <v>0.86</v>
      </c>
    </row>
    <row r="3850" spans="1:10" ht="14.5" thickTop="1" x14ac:dyDescent="0.3">
      <c r="A3850" s="562"/>
      <c r="B3850" s="562"/>
      <c r="C3850" s="562"/>
      <c r="D3850" s="562"/>
      <c r="E3850" s="562"/>
      <c r="F3850" s="562"/>
      <c r="G3850" s="562"/>
      <c r="H3850" s="562"/>
      <c r="I3850" s="562"/>
      <c r="J3850" s="562"/>
    </row>
    <row r="3851" spans="1:10" s="89" customFormat="1" ht="38.25" customHeight="1" x14ac:dyDescent="0.3">
      <c r="A3851" s="553"/>
      <c r="B3851" s="554" t="s">
        <v>4</v>
      </c>
      <c r="C3851" s="553" t="s">
        <v>5</v>
      </c>
      <c r="D3851" s="553" t="s">
        <v>6</v>
      </c>
      <c r="E3851" s="691" t="s">
        <v>427</v>
      </c>
      <c r="F3851" s="691"/>
      <c r="G3851" s="555" t="s">
        <v>7</v>
      </c>
      <c r="H3851" s="554" t="s">
        <v>8</v>
      </c>
      <c r="I3851" s="554" t="s">
        <v>9</v>
      </c>
      <c r="J3851" s="554" t="s">
        <v>11</v>
      </c>
    </row>
    <row r="3852" spans="1:10" s="89" customFormat="1" ht="15" customHeight="1" x14ac:dyDescent="0.3">
      <c r="A3852" s="607" t="s">
        <v>428</v>
      </c>
      <c r="B3852" s="608" t="s">
        <v>1585</v>
      </c>
      <c r="C3852" s="607" t="s">
        <v>19</v>
      </c>
      <c r="D3852" s="607" t="s">
        <v>1586</v>
      </c>
      <c r="E3852" s="690" t="s">
        <v>429</v>
      </c>
      <c r="F3852" s="690"/>
      <c r="G3852" s="609" t="s">
        <v>423</v>
      </c>
      <c r="H3852" s="610">
        <v>1</v>
      </c>
      <c r="I3852" s="611">
        <v>29.66</v>
      </c>
      <c r="J3852" s="611">
        <v>29.66</v>
      </c>
    </row>
    <row r="3853" spans="1:10" ht="25" x14ac:dyDescent="0.3">
      <c r="A3853" s="547" t="s">
        <v>430</v>
      </c>
      <c r="B3853" s="548" t="s">
        <v>1472</v>
      </c>
      <c r="C3853" s="547" t="s">
        <v>19</v>
      </c>
      <c r="D3853" s="547" t="s">
        <v>1473</v>
      </c>
      <c r="E3853" s="688" t="s">
        <v>429</v>
      </c>
      <c r="F3853" s="688"/>
      <c r="G3853" s="549" t="s">
        <v>423</v>
      </c>
      <c r="H3853" s="550">
        <v>1</v>
      </c>
      <c r="I3853" s="551">
        <v>0.28000000000000003</v>
      </c>
      <c r="J3853" s="551">
        <v>0.28000000000000003</v>
      </c>
    </row>
    <row r="3854" spans="1:10" x14ac:dyDescent="0.3">
      <c r="A3854" s="547" t="s">
        <v>433</v>
      </c>
      <c r="B3854" s="548" t="s">
        <v>1474</v>
      </c>
      <c r="C3854" s="547" t="s">
        <v>19</v>
      </c>
      <c r="D3854" s="547" t="s">
        <v>3696</v>
      </c>
      <c r="E3854" s="688" t="s">
        <v>436</v>
      </c>
      <c r="F3854" s="688"/>
      <c r="G3854" s="549" t="s">
        <v>423</v>
      </c>
      <c r="H3854" s="550">
        <v>1</v>
      </c>
      <c r="I3854" s="551">
        <v>21.83</v>
      </c>
      <c r="J3854" s="551">
        <v>21.83</v>
      </c>
    </row>
    <row r="3855" spans="1:10" s="89" customFormat="1" ht="38.25" customHeight="1" x14ac:dyDescent="0.3">
      <c r="A3855" s="547" t="s">
        <v>433</v>
      </c>
      <c r="B3855" s="548" t="s">
        <v>1213</v>
      </c>
      <c r="C3855" s="547" t="s">
        <v>19</v>
      </c>
      <c r="D3855" s="547" t="s">
        <v>3592</v>
      </c>
      <c r="E3855" s="688" t="s">
        <v>862</v>
      </c>
      <c r="F3855" s="688"/>
      <c r="G3855" s="549" t="s">
        <v>423</v>
      </c>
      <c r="H3855" s="550">
        <v>1</v>
      </c>
      <c r="I3855" s="551">
        <v>3.8</v>
      </c>
      <c r="J3855" s="551">
        <v>3.8</v>
      </c>
    </row>
    <row r="3856" spans="1:10" ht="25" x14ac:dyDescent="0.3">
      <c r="A3856" s="547" t="s">
        <v>433</v>
      </c>
      <c r="B3856" s="548" t="s">
        <v>1214</v>
      </c>
      <c r="C3856" s="547" t="s">
        <v>19</v>
      </c>
      <c r="D3856" s="547" t="s">
        <v>3593</v>
      </c>
      <c r="E3856" s="688" t="s">
        <v>1215</v>
      </c>
      <c r="F3856" s="688"/>
      <c r="G3856" s="549" t="s">
        <v>423</v>
      </c>
      <c r="H3856" s="550">
        <v>1</v>
      </c>
      <c r="I3856" s="551">
        <v>1.5</v>
      </c>
      <c r="J3856" s="551">
        <v>1.5</v>
      </c>
    </row>
    <row r="3857" spans="1:10" ht="25" x14ac:dyDescent="0.3">
      <c r="A3857" s="547" t="s">
        <v>433</v>
      </c>
      <c r="B3857" s="548" t="s">
        <v>1216</v>
      </c>
      <c r="C3857" s="547" t="s">
        <v>19</v>
      </c>
      <c r="D3857" s="547" t="s">
        <v>3594</v>
      </c>
      <c r="E3857" s="688" t="s">
        <v>862</v>
      </c>
      <c r="F3857" s="688"/>
      <c r="G3857" s="549" t="s">
        <v>423</v>
      </c>
      <c r="H3857" s="550">
        <v>1</v>
      </c>
      <c r="I3857" s="551">
        <v>1.34</v>
      </c>
      <c r="J3857" s="551">
        <v>1.34</v>
      </c>
    </row>
    <row r="3858" spans="1:10" ht="25" x14ac:dyDescent="0.3">
      <c r="A3858" s="547" t="s">
        <v>433</v>
      </c>
      <c r="B3858" s="548" t="s">
        <v>1217</v>
      </c>
      <c r="C3858" s="547" t="s">
        <v>19</v>
      </c>
      <c r="D3858" s="547" t="s">
        <v>3595</v>
      </c>
      <c r="E3858" s="688" t="s">
        <v>531</v>
      </c>
      <c r="F3858" s="688"/>
      <c r="G3858" s="549" t="s">
        <v>423</v>
      </c>
      <c r="H3858" s="550">
        <v>1</v>
      </c>
      <c r="I3858" s="551">
        <v>0.04</v>
      </c>
      <c r="J3858" s="551">
        <v>0.04</v>
      </c>
    </row>
    <row r="3859" spans="1:10" s="89" customFormat="1" ht="15" customHeight="1" x14ac:dyDescent="0.3">
      <c r="A3859" s="547" t="s">
        <v>433</v>
      </c>
      <c r="B3859" s="548" t="s">
        <v>1262</v>
      </c>
      <c r="C3859" s="547" t="s">
        <v>19</v>
      </c>
      <c r="D3859" s="547" t="s">
        <v>1263</v>
      </c>
      <c r="E3859" s="688" t="s">
        <v>442</v>
      </c>
      <c r="F3859" s="688"/>
      <c r="G3859" s="549" t="s">
        <v>423</v>
      </c>
      <c r="H3859" s="550">
        <v>1</v>
      </c>
      <c r="I3859" s="551">
        <v>0.01</v>
      </c>
      <c r="J3859" s="551">
        <v>0.01</v>
      </c>
    </row>
    <row r="3860" spans="1:10" ht="25.5" thickBot="1" x14ac:dyDescent="0.35">
      <c r="A3860" s="547" t="s">
        <v>433</v>
      </c>
      <c r="B3860" s="548" t="s">
        <v>1264</v>
      </c>
      <c r="C3860" s="547" t="s">
        <v>19</v>
      </c>
      <c r="D3860" s="547" t="s">
        <v>1265</v>
      </c>
      <c r="E3860" s="688" t="s">
        <v>442</v>
      </c>
      <c r="F3860" s="688"/>
      <c r="G3860" s="549" t="s">
        <v>423</v>
      </c>
      <c r="H3860" s="550">
        <v>1</v>
      </c>
      <c r="I3860" s="551">
        <v>0.86</v>
      </c>
      <c r="J3860" s="551">
        <v>0.86</v>
      </c>
    </row>
    <row r="3861" spans="1:10" s="89" customFormat="1" ht="14.5" thickTop="1" x14ac:dyDescent="0.3">
      <c r="A3861" s="562"/>
      <c r="B3861" s="562"/>
      <c r="C3861" s="562"/>
      <c r="D3861" s="562"/>
      <c r="E3861" s="562"/>
      <c r="F3861" s="562"/>
      <c r="G3861" s="562"/>
      <c r="H3861" s="562"/>
      <c r="I3861" s="562"/>
      <c r="J3861" s="562"/>
    </row>
    <row r="3862" spans="1:10" x14ac:dyDescent="0.3">
      <c r="A3862" s="553"/>
      <c r="B3862" s="554" t="s">
        <v>4</v>
      </c>
      <c r="C3862" s="553" t="s">
        <v>5</v>
      </c>
      <c r="D3862" s="553" t="s">
        <v>6</v>
      </c>
      <c r="E3862" s="691" t="s">
        <v>427</v>
      </c>
      <c r="F3862" s="691"/>
      <c r="G3862" s="555" t="s">
        <v>7</v>
      </c>
      <c r="H3862" s="554" t="s">
        <v>8</v>
      </c>
      <c r="I3862" s="554" t="s">
        <v>9</v>
      </c>
      <c r="J3862" s="554" t="s">
        <v>11</v>
      </c>
    </row>
    <row r="3863" spans="1:10" ht="14.25" customHeight="1" x14ac:dyDescent="0.3">
      <c r="A3863" s="607" t="s">
        <v>428</v>
      </c>
      <c r="B3863" s="608" t="s">
        <v>1660</v>
      </c>
      <c r="C3863" s="607" t="s">
        <v>19</v>
      </c>
      <c r="D3863" s="607" t="s">
        <v>1661</v>
      </c>
      <c r="E3863" s="690" t="s">
        <v>429</v>
      </c>
      <c r="F3863" s="690"/>
      <c r="G3863" s="609" t="s">
        <v>423</v>
      </c>
      <c r="H3863" s="610">
        <v>1</v>
      </c>
      <c r="I3863" s="611">
        <v>25.88</v>
      </c>
      <c r="J3863" s="611">
        <v>25.88</v>
      </c>
    </row>
    <row r="3864" spans="1:10" ht="25" x14ac:dyDescent="0.3">
      <c r="A3864" s="547" t="s">
        <v>430</v>
      </c>
      <c r="B3864" s="548" t="s">
        <v>1475</v>
      </c>
      <c r="C3864" s="547" t="s">
        <v>19</v>
      </c>
      <c r="D3864" s="547" t="s">
        <v>1476</v>
      </c>
      <c r="E3864" s="688" t="s">
        <v>429</v>
      </c>
      <c r="F3864" s="688"/>
      <c r="G3864" s="549" t="s">
        <v>423</v>
      </c>
      <c r="H3864" s="550">
        <v>1</v>
      </c>
      <c r="I3864" s="551">
        <v>0.33</v>
      </c>
      <c r="J3864" s="551">
        <v>0.33</v>
      </c>
    </row>
    <row r="3865" spans="1:10" s="89" customFormat="1" x14ac:dyDescent="0.3">
      <c r="A3865" s="547" t="s">
        <v>433</v>
      </c>
      <c r="B3865" s="548" t="s">
        <v>1477</v>
      </c>
      <c r="C3865" s="547" t="s">
        <v>19</v>
      </c>
      <c r="D3865" s="547" t="s">
        <v>3697</v>
      </c>
      <c r="E3865" s="688" t="s">
        <v>436</v>
      </c>
      <c r="F3865" s="688"/>
      <c r="G3865" s="549" t="s">
        <v>423</v>
      </c>
      <c r="H3865" s="550">
        <v>1</v>
      </c>
      <c r="I3865" s="551">
        <v>18</v>
      </c>
      <c r="J3865" s="551">
        <v>18</v>
      </c>
    </row>
    <row r="3866" spans="1:10" ht="25" x14ac:dyDescent="0.3">
      <c r="A3866" s="547" t="s">
        <v>433</v>
      </c>
      <c r="B3866" s="548" t="s">
        <v>1213</v>
      </c>
      <c r="C3866" s="547" t="s">
        <v>19</v>
      </c>
      <c r="D3866" s="547" t="s">
        <v>3592</v>
      </c>
      <c r="E3866" s="688" t="s">
        <v>862</v>
      </c>
      <c r="F3866" s="688"/>
      <c r="G3866" s="549" t="s">
        <v>423</v>
      </c>
      <c r="H3866" s="550">
        <v>1</v>
      </c>
      <c r="I3866" s="551">
        <v>3.8</v>
      </c>
      <c r="J3866" s="551">
        <v>3.8</v>
      </c>
    </row>
    <row r="3867" spans="1:10" s="89" customFormat="1" ht="25" x14ac:dyDescent="0.3">
      <c r="A3867" s="547" t="s">
        <v>433</v>
      </c>
      <c r="B3867" s="548" t="s">
        <v>1214</v>
      </c>
      <c r="C3867" s="547" t="s">
        <v>19</v>
      </c>
      <c r="D3867" s="547" t="s">
        <v>3593</v>
      </c>
      <c r="E3867" s="688" t="s">
        <v>1215</v>
      </c>
      <c r="F3867" s="688"/>
      <c r="G3867" s="549" t="s">
        <v>423</v>
      </c>
      <c r="H3867" s="550">
        <v>1</v>
      </c>
      <c r="I3867" s="551">
        <v>1.5</v>
      </c>
      <c r="J3867" s="551">
        <v>1.5</v>
      </c>
    </row>
    <row r="3868" spans="1:10" ht="25" x14ac:dyDescent="0.3">
      <c r="A3868" s="547" t="s">
        <v>433</v>
      </c>
      <c r="B3868" s="548" t="s">
        <v>1216</v>
      </c>
      <c r="C3868" s="547" t="s">
        <v>19</v>
      </c>
      <c r="D3868" s="547" t="s">
        <v>3594</v>
      </c>
      <c r="E3868" s="688" t="s">
        <v>862</v>
      </c>
      <c r="F3868" s="688"/>
      <c r="G3868" s="549" t="s">
        <v>423</v>
      </c>
      <c r="H3868" s="550">
        <v>1</v>
      </c>
      <c r="I3868" s="551">
        <v>1.34</v>
      </c>
      <c r="J3868" s="551">
        <v>1.34</v>
      </c>
    </row>
    <row r="3869" spans="1:10" ht="25" x14ac:dyDescent="0.3">
      <c r="A3869" s="547" t="s">
        <v>433</v>
      </c>
      <c r="B3869" s="548" t="s">
        <v>1217</v>
      </c>
      <c r="C3869" s="547" t="s">
        <v>19</v>
      </c>
      <c r="D3869" s="547" t="s">
        <v>3595</v>
      </c>
      <c r="E3869" s="688" t="s">
        <v>531</v>
      </c>
      <c r="F3869" s="688"/>
      <c r="G3869" s="549" t="s">
        <v>423</v>
      </c>
      <c r="H3869" s="550">
        <v>1</v>
      </c>
      <c r="I3869" s="551">
        <v>0.04</v>
      </c>
      <c r="J3869" s="551">
        <v>0.04</v>
      </c>
    </row>
    <row r="3870" spans="1:10" s="89" customFormat="1" ht="15" customHeight="1" x14ac:dyDescent="0.3">
      <c r="A3870" s="547" t="s">
        <v>433</v>
      </c>
      <c r="B3870" s="548" t="s">
        <v>1262</v>
      </c>
      <c r="C3870" s="547" t="s">
        <v>19</v>
      </c>
      <c r="D3870" s="547" t="s">
        <v>1263</v>
      </c>
      <c r="E3870" s="688" t="s">
        <v>442</v>
      </c>
      <c r="F3870" s="688"/>
      <c r="G3870" s="549" t="s">
        <v>423</v>
      </c>
      <c r="H3870" s="550">
        <v>1</v>
      </c>
      <c r="I3870" s="551">
        <v>0.01</v>
      </c>
      <c r="J3870" s="551">
        <v>0.01</v>
      </c>
    </row>
    <row r="3871" spans="1:10" ht="25.5" thickBot="1" x14ac:dyDescent="0.35">
      <c r="A3871" s="547" t="s">
        <v>433</v>
      </c>
      <c r="B3871" s="548" t="s">
        <v>1264</v>
      </c>
      <c r="C3871" s="547" t="s">
        <v>19</v>
      </c>
      <c r="D3871" s="547" t="s">
        <v>1265</v>
      </c>
      <c r="E3871" s="688" t="s">
        <v>442</v>
      </c>
      <c r="F3871" s="688"/>
      <c r="G3871" s="549" t="s">
        <v>423</v>
      </c>
      <c r="H3871" s="550">
        <v>1</v>
      </c>
      <c r="I3871" s="551">
        <v>0.86</v>
      </c>
      <c r="J3871" s="551">
        <v>0.86</v>
      </c>
    </row>
    <row r="3872" spans="1:10" s="89" customFormat="1" ht="14.5" thickTop="1" x14ac:dyDescent="0.3">
      <c r="A3872" s="562"/>
      <c r="B3872" s="562"/>
      <c r="C3872" s="562"/>
      <c r="D3872" s="562"/>
      <c r="E3872" s="562"/>
      <c r="F3872" s="562"/>
      <c r="G3872" s="562"/>
      <c r="H3872" s="562"/>
      <c r="I3872" s="562"/>
      <c r="J3872" s="562"/>
    </row>
    <row r="3873" spans="1:10" x14ac:dyDescent="0.3">
      <c r="A3873" s="553"/>
      <c r="B3873" s="554" t="s">
        <v>4</v>
      </c>
      <c r="C3873" s="553" t="s">
        <v>5</v>
      </c>
      <c r="D3873" s="553" t="s">
        <v>6</v>
      </c>
      <c r="E3873" s="691" t="s">
        <v>427</v>
      </c>
      <c r="F3873" s="691"/>
      <c r="G3873" s="555" t="s">
        <v>7</v>
      </c>
      <c r="H3873" s="554" t="s">
        <v>8</v>
      </c>
      <c r="I3873" s="554" t="s">
        <v>9</v>
      </c>
      <c r="J3873" s="554" t="s">
        <v>11</v>
      </c>
    </row>
    <row r="3874" spans="1:10" ht="14.25" customHeight="1" x14ac:dyDescent="0.3">
      <c r="A3874" s="607" t="s">
        <v>428</v>
      </c>
      <c r="B3874" s="608" t="s">
        <v>1674</v>
      </c>
      <c r="C3874" s="607" t="s">
        <v>19</v>
      </c>
      <c r="D3874" s="607" t="s">
        <v>1675</v>
      </c>
      <c r="E3874" s="690" t="s">
        <v>429</v>
      </c>
      <c r="F3874" s="690"/>
      <c r="G3874" s="609" t="s">
        <v>423</v>
      </c>
      <c r="H3874" s="610">
        <v>1</v>
      </c>
      <c r="I3874" s="611">
        <v>25.88</v>
      </c>
      <c r="J3874" s="611">
        <v>25.88</v>
      </c>
    </row>
    <row r="3875" spans="1:10" ht="25" x14ac:dyDescent="0.3">
      <c r="A3875" s="547" t="s">
        <v>430</v>
      </c>
      <c r="B3875" s="548" t="s">
        <v>1478</v>
      </c>
      <c r="C3875" s="547" t="s">
        <v>19</v>
      </c>
      <c r="D3875" s="547" t="s">
        <v>1479</v>
      </c>
      <c r="E3875" s="688" t="s">
        <v>429</v>
      </c>
      <c r="F3875" s="688"/>
      <c r="G3875" s="549" t="s">
        <v>423</v>
      </c>
      <c r="H3875" s="550">
        <v>1</v>
      </c>
      <c r="I3875" s="551">
        <v>0.33</v>
      </c>
      <c r="J3875" s="551">
        <v>0.33</v>
      </c>
    </row>
    <row r="3876" spans="1:10" x14ac:dyDescent="0.3">
      <c r="A3876" s="547" t="s">
        <v>433</v>
      </c>
      <c r="B3876" s="548" t="s">
        <v>1480</v>
      </c>
      <c r="C3876" s="547" t="s">
        <v>19</v>
      </c>
      <c r="D3876" s="547" t="s">
        <v>1481</v>
      </c>
      <c r="E3876" s="688" t="s">
        <v>436</v>
      </c>
      <c r="F3876" s="688"/>
      <c r="G3876" s="549" t="s">
        <v>423</v>
      </c>
      <c r="H3876" s="550">
        <v>1</v>
      </c>
      <c r="I3876" s="551">
        <v>18</v>
      </c>
      <c r="J3876" s="551">
        <v>18</v>
      </c>
    </row>
    <row r="3877" spans="1:10" ht="25" x14ac:dyDescent="0.3">
      <c r="A3877" s="547" t="s">
        <v>433</v>
      </c>
      <c r="B3877" s="548" t="s">
        <v>1213</v>
      </c>
      <c r="C3877" s="547" t="s">
        <v>19</v>
      </c>
      <c r="D3877" s="547" t="s">
        <v>3592</v>
      </c>
      <c r="E3877" s="688" t="s">
        <v>862</v>
      </c>
      <c r="F3877" s="688"/>
      <c r="G3877" s="549" t="s">
        <v>423</v>
      </c>
      <c r="H3877" s="550">
        <v>1</v>
      </c>
      <c r="I3877" s="551">
        <v>3.8</v>
      </c>
      <c r="J3877" s="551">
        <v>3.8</v>
      </c>
    </row>
    <row r="3878" spans="1:10" ht="25" x14ac:dyDescent="0.3">
      <c r="A3878" s="547" t="s">
        <v>433</v>
      </c>
      <c r="B3878" s="548" t="s">
        <v>1214</v>
      </c>
      <c r="C3878" s="547" t="s">
        <v>19</v>
      </c>
      <c r="D3878" s="547" t="s">
        <v>3593</v>
      </c>
      <c r="E3878" s="688" t="s">
        <v>1215</v>
      </c>
      <c r="F3878" s="688"/>
      <c r="G3878" s="549" t="s">
        <v>423</v>
      </c>
      <c r="H3878" s="550">
        <v>1</v>
      </c>
      <c r="I3878" s="551">
        <v>1.5</v>
      </c>
      <c r="J3878" s="551">
        <v>1.5</v>
      </c>
    </row>
    <row r="3879" spans="1:10" s="89" customFormat="1" ht="25" x14ac:dyDescent="0.3">
      <c r="A3879" s="547" t="s">
        <v>433</v>
      </c>
      <c r="B3879" s="548" t="s">
        <v>1216</v>
      </c>
      <c r="C3879" s="547" t="s">
        <v>19</v>
      </c>
      <c r="D3879" s="547" t="s">
        <v>3594</v>
      </c>
      <c r="E3879" s="688" t="s">
        <v>862</v>
      </c>
      <c r="F3879" s="688"/>
      <c r="G3879" s="549" t="s">
        <v>423</v>
      </c>
      <c r="H3879" s="550">
        <v>1</v>
      </c>
      <c r="I3879" s="551">
        <v>1.34</v>
      </c>
      <c r="J3879" s="551">
        <v>1.34</v>
      </c>
    </row>
    <row r="3880" spans="1:10" ht="25" x14ac:dyDescent="0.3">
      <c r="A3880" s="547" t="s">
        <v>433</v>
      </c>
      <c r="B3880" s="548" t="s">
        <v>1217</v>
      </c>
      <c r="C3880" s="547" t="s">
        <v>19</v>
      </c>
      <c r="D3880" s="547" t="s">
        <v>3595</v>
      </c>
      <c r="E3880" s="688" t="s">
        <v>531</v>
      </c>
      <c r="F3880" s="688"/>
      <c r="G3880" s="549" t="s">
        <v>423</v>
      </c>
      <c r="H3880" s="550">
        <v>1</v>
      </c>
      <c r="I3880" s="551">
        <v>0.04</v>
      </c>
      <c r="J3880" s="551">
        <v>0.04</v>
      </c>
    </row>
    <row r="3881" spans="1:10" s="89" customFormat="1" ht="25" x14ac:dyDescent="0.3">
      <c r="A3881" s="547" t="s">
        <v>433</v>
      </c>
      <c r="B3881" s="548" t="s">
        <v>1262</v>
      </c>
      <c r="C3881" s="547" t="s">
        <v>19</v>
      </c>
      <c r="D3881" s="547" t="s">
        <v>1263</v>
      </c>
      <c r="E3881" s="688" t="s">
        <v>442</v>
      </c>
      <c r="F3881" s="688"/>
      <c r="G3881" s="549" t="s">
        <v>423</v>
      </c>
      <c r="H3881" s="550">
        <v>1</v>
      </c>
      <c r="I3881" s="551">
        <v>0.01</v>
      </c>
      <c r="J3881" s="551">
        <v>0.01</v>
      </c>
    </row>
    <row r="3882" spans="1:10" s="89" customFormat="1" ht="25.5" thickBot="1" x14ac:dyDescent="0.35">
      <c r="A3882" s="547" t="s">
        <v>433</v>
      </c>
      <c r="B3882" s="548" t="s">
        <v>1264</v>
      </c>
      <c r="C3882" s="547" t="s">
        <v>19</v>
      </c>
      <c r="D3882" s="547" t="s">
        <v>1265</v>
      </c>
      <c r="E3882" s="688" t="s">
        <v>442</v>
      </c>
      <c r="F3882" s="688"/>
      <c r="G3882" s="549" t="s">
        <v>423</v>
      </c>
      <c r="H3882" s="550">
        <v>1</v>
      </c>
      <c r="I3882" s="551">
        <v>0.86</v>
      </c>
      <c r="J3882" s="551">
        <v>0.86</v>
      </c>
    </row>
    <row r="3883" spans="1:10" ht="14.5" thickTop="1" x14ac:dyDescent="0.3">
      <c r="A3883" s="562"/>
      <c r="B3883" s="562"/>
      <c r="C3883" s="562"/>
      <c r="D3883" s="562"/>
      <c r="E3883" s="562"/>
      <c r="F3883" s="562"/>
      <c r="G3883" s="562"/>
      <c r="H3883" s="562"/>
      <c r="I3883" s="562"/>
      <c r="J3883" s="562"/>
    </row>
    <row r="3884" spans="1:10" s="89" customFormat="1" x14ac:dyDescent="0.3">
      <c r="A3884" s="553"/>
      <c r="B3884" s="554" t="s">
        <v>4</v>
      </c>
      <c r="C3884" s="553" t="s">
        <v>5</v>
      </c>
      <c r="D3884" s="553" t="s">
        <v>6</v>
      </c>
      <c r="E3884" s="691" t="s">
        <v>427</v>
      </c>
      <c r="F3884" s="691"/>
      <c r="G3884" s="555" t="s">
        <v>7</v>
      </c>
      <c r="H3884" s="554" t="s">
        <v>8</v>
      </c>
      <c r="I3884" s="554" t="s">
        <v>9</v>
      </c>
      <c r="J3884" s="554" t="s">
        <v>11</v>
      </c>
    </row>
    <row r="3885" spans="1:10" ht="25" x14ac:dyDescent="0.3">
      <c r="A3885" s="607" t="s">
        <v>428</v>
      </c>
      <c r="B3885" s="608" t="s">
        <v>900</v>
      </c>
      <c r="C3885" s="607" t="s">
        <v>19</v>
      </c>
      <c r="D3885" s="607" t="s">
        <v>901</v>
      </c>
      <c r="E3885" s="690" t="s">
        <v>429</v>
      </c>
      <c r="F3885" s="690"/>
      <c r="G3885" s="609" t="s">
        <v>423</v>
      </c>
      <c r="H3885" s="610">
        <v>1</v>
      </c>
      <c r="I3885" s="611">
        <v>25.72</v>
      </c>
      <c r="J3885" s="611">
        <v>25.72</v>
      </c>
    </row>
    <row r="3886" spans="1:10" ht="25" x14ac:dyDescent="0.3">
      <c r="A3886" s="547" t="s">
        <v>430</v>
      </c>
      <c r="B3886" s="548" t="s">
        <v>1482</v>
      </c>
      <c r="C3886" s="547" t="s">
        <v>19</v>
      </c>
      <c r="D3886" s="547" t="s">
        <v>1483</v>
      </c>
      <c r="E3886" s="688" t="s">
        <v>429</v>
      </c>
      <c r="F3886" s="688"/>
      <c r="G3886" s="549" t="s">
        <v>423</v>
      </c>
      <c r="H3886" s="550">
        <v>1</v>
      </c>
      <c r="I3886" s="551">
        <v>0.17</v>
      </c>
      <c r="J3886" s="551">
        <v>0.17</v>
      </c>
    </row>
    <row r="3887" spans="1:10" x14ac:dyDescent="0.3">
      <c r="A3887" s="547" t="s">
        <v>433</v>
      </c>
      <c r="B3887" s="548" t="s">
        <v>1484</v>
      </c>
      <c r="C3887" s="547" t="s">
        <v>19</v>
      </c>
      <c r="D3887" s="547" t="s">
        <v>3698</v>
      </c>
      <c r="E3887" s="688" t="s">
        <v>436</v>
      </c>
      <c r="F3887" s="688"/>
      <c r="G3887" s="549" t="s">
        <v>423</v>
      </c>
      <c r="H3887" s="550">
        <v>1</v>
      </c>
      <c r="I3887" s="551">
        <v>18</v>
      </c>
      <c r="J3887" s="551">
        <v>18</v>
      </c>
    </row>
    <row r="3888" spans="1:10" s="89" customFormat="1" ht="25" x14ac:dyDescent="0.3">
      <c r="A3888" s="547" t="s">
        <v>433</v>
      </c>
      <c r="B3888" s="548" t="s">
        <v>1213</v>
      </c>
      <c r="C3888" s="547" t="s">
        <v>19</v>
      </c>
      <c r="D3888" s="547" t="s">
        <v>3592</v>
      </c>
      <c r="E3888" s="688" t="s">
        <v>862</v>
      </c>
      <c r="F3888" s="688"/>
      <c r="G3888" s="549" t="s">
        <v>423</v>
      </c>
      <c r="H3888" s="550">
        <v>1</v>
      </c>
      <c r="I3888" s="551">
        <v>3.8</v>
      </c>
      <c r="J3888" s="551">
        <v>3.8</v>
      </c>
    </row>
    <row r="3889" spans="1:10" ht="25" x14ac:dyDescent="0.3">
      <c r="A3889" s="547" t="s">
        <v>433</v>
      </c>
      <c r="B3889" s="548" t="s">
        <v>1214</v>
      </c>
      <c r="C3889" s="547" t="s">
        <v>19</v>
      </c>
      <c r="D3889" s="547" t="s">
        <v>3593</v>
      </c>
      <c r="E3889" s="688" t="s">
        <v>1215</v>
      </c>
      <c r="F3889" s="688"/>
      <c r="G3889" s="549" t="s">
        <v>423</v>
      </c>
      <c r="H3889" s="550">
        <v>1</v>
      </c>
      <c r="I3889" s="551">
        <v>1.5</v>
      </c>
      <c r="J3889" s="551">
        <v>1.5</v>
      </c>
    </row>
    <row r="3890" spans="1:10" ht="25" x14ac:dyDescent="0.3">
      <c r="A3890" s="547" t="s">
        <v>433</v>
      </c>
      <c r="B3890" s="548" t="s">
        <v>1216</v>
      </c>
      <c r="C3890" s="547" t="s">
        <v>19</v>
      </c>
      <c r="D3890" s="547" t="s">
        <v>3594</v>
      </c>
      <c r="E3890" s="688" t="s">
        <v>862</v>
      </c>
      <c r="F3890" s="688"/>
      <c r="G3890" s="549" t="s">
        <v>423</v>
      </c>
      <c r="H3890" s="550">
        <v>1</v>
      </c>
      <c r="I3890" s="551">
        <v>1.34</v>
      </c>
      <c r="J3890" s="551">
        <v>1.34</v>
      </c>
    </row>
    <row r="3891" spans="1:10" ht="25" x14ac:dyDescent="0.3">
      <c r="A3891" s="547" t="s">
        <v>433</v>
      </c>
      <c r="B3891" s="548" t="s">
        <v>1217</v>
      </c>
      <c r="C3891" s="547" t="s">
        <v>19</v>
      </c>
      <c r="D3891" s="547" t="s">
        <v>3595</v>
      </c>
      <c r="E3891" s="688" t="s">
        <v>531</v>
      </c>
      <c r="F3891" s="688"/>
      <c r="G3891" s="549" t="s">
        <v>423</v>
      </c>
      <c r="H3891" s="550">
        <v>1</v>
      </c>
      <c r="I3891" s="551">
        <v>0.04</v>
      </c>
      <c r="J3891" s="551">
        <v>0.04</v>
      </c>
    </row>
    <row r="3892" spans="1:10" s="89" customFormat="1" ht="15" customHeight="1" x14ac:dyDescent="0.3">
      <c r="A3892" s="547" t="s">
        <v>433</v>
      </c>
      <c r="B3892" s="548" t="s">
        <v>1262</v>
      </c>
      <c r="C3892" s="547" t="s">
        <v>19</v>
      </c>
      <c r="D3892" s="547" t="s">
        <v>1263</v>
      </c>
      <c r="E3892" s="688" t="s">
        <v>442</v>
      </c>
      <c r="F3892" s="688"/>
      <c r="G3892" s="549" t="s">
        <v>423</v>
      </c>
      <c r="H3892" s="550">
        <v>1</v>
      </c>
      <c r="I3892" s="551">
        <v>0.01</v>
      </c>
      <c r="J3892" s="551">
        <v>0.01</v>
      </c>
    </row>
    <row r="3893" spans="1:10" ht="25.5" thickBot="1" x14ac:dyDescent="0.35">
      <c r="A3893" s="547" t="s">
        <v>433</v>
      </c>
      <c r="B3893" s="548" t="s">
        <v>1264</v>
      </c>
      <c r="C3893" s="547" t="s">
        <v>19</v>
      </c>
      <c r="D3893" s="547" t="s">
        <v>1265</v>
      </c>
      <c r="E3893" s="688" t="s">
        <v>442</v>
      </c>
      <c r="F3893" s="688"/>
      <c r="G3893" s="549" t="s">
        <v>423</v>
      </c>
      <c r="H3893" s="550">
        <v>1</v>
      </c>
      <c r="I3893" s="551">
        <v>0.86</v>
      </c>
      <c r="J3893" s="551">
        <v>0.86</v>
      </c>
    </row>
    <row r="3894" spans="1:10" s="89" customFormat="1" ht="14.5" thickTop="1" x14ac:dyDescent="0.3">
      <c r="A3894" s="562"/>
      <c r="B3894" s="562"/>
      <c r="C3894" s="562"/>
      <c r="D3894" s="562"/>
      <c r="E3894" s="562"/>
      <c r="F3894" s="562"/>
      <c r="G3894" s="562"/>
      <c r="H3894" s="562"/>
      <c r="I3894" s="562"/>
      <c r="J3894" s="562"/>
    </row>
    <row r="3895" spans="1:10" x14ac:dyDescent="0.3">
      <c r="A3895" s="553"/>
      <c r="B3895" s="554" t="s">
        <v>4</v>
      </c>
      <c r="C3895" s="553" t="s">
        <v>5</v>
      </c>
      <c r="D3895" s="553" t="s">
        <v>6</v>
      </c>
      <c r="E3895" s="691" t="s">
        <v>427</v>
      </c>
      <c r="F3895" s="691"/>
      <c r="G3895" s="555" t="s">
        <v>7</v>
      </c>
      <c r="H3895" s="554" t="s">
        <v>8</v>
      </c>
      <c r="I3895" s="554" t="s">
        <v>9</v>
      </c>
      <c r="J3895" s="554" t="s">
        <v>11</v>
      </c>
    </row>
    <row r="3896" spans="1:10" s="89" customFormat="1" ht="25" x14ac:dyDescent="0.3">
      <c r="A3896" s="607" t="s">
        <v>428</v>
      </c>
      <c r="B3896" s="608" t="s">
        <v>1736</v>
      </c>
      <c r="C3896" s="607" t="s">
        <v>19</v>
      </c>
      <c r="D3896" s="607" t="s">
        <v>1737</v>
      </c>
      <c r="E3896" s="690" t="s">
        <v>429</v>
      </c>
      <c r="F3896" s="690"/>
      <c r="G3896" s="609" t="s">
        <v>423</v>
      </c>
      <c r="H3896" s="610">
        <v>1</v>
      </c>
      <c r="I3896" s="611">
        <v>39.909999999999997</v>
      </c>
      <c r="J3896" s="611">
        <v>39.909999999999997</v>
      </c>
    </row>
    <row r="3897" spans="1:10" ht="25" x14ac:dyDescent="0.3">
      <c r="A3897" s="547" t="s">
        <v>430</v>
      </c>
      <c r="B3897" s="548" t="s">
        <v>1485</v>
      </c>
      <c r="C3897" s="547" t="s">
        <v>19</v>
      </c>
      <c r="D3897" s="547" t="s">
        <v>1486</v>
      </c>
      <c r="E3897" s="688" t="s">
        <v>429</v>
      </c>
      <c r="F3897" s="688"/>
      <c r="G3897" s="549" t="s">
        <v>423</v>
      </c>
      <c r="H3897" s="550">
        <v>1</v>
      </c>
      <c r="I3897" s="551">
        <v>0.3</v>
      </c>
      <c r="J3897" s="551">
        <v>0.3</v>
      </c>
    </row>
    <row r="3898" spans="1:10" s="89" customFormat="1" x14ac:dyDescent="0.3">
      <c r="A3898" s="547" t="s">
        <v>433</v>
      </c>
      <c r="B3898" s="548" t="s">
        <v>1487</v>
      </c>
      <c r="C3898" s="547" t="s">
        <v>19</v>
      </c>
      <c r="D3898" s="547" t="s">
        <v>3699</v>
      </c>
      <c r="E3898" s="688" t="s">
        <v>436</v>
      </c>
      <c r="F3898" s="688"/>
      <c r="G3898" s="549" t="s">
        <v>423</v>
      </c>
      <c r="H3898" s="550">
        <v>1</v>
      </c>
      <c r="I3898" s="551">
        <v>32.06</v>
      </c>
      <c r="J3898" s="551">
        <v>32.06</v>
      </c>
    </row>
    <row r="3899" spans="1:10" ht="25" x14ac:dyDescent="0.3">
      <c r="A3899" s="547" t="s">
        <v>433</v>
      </c>
      <c r="B3899" s="548" t="s">
        <v>1213</v>
      </c>
      <c r="C3899" s="547" t="s">
        <v>19</v>
      </c>
      <c r="D3899" s="547" t="s">
        <v>3592</v>
      </c>
      <c r="E3899" s="688" t="s">
        <v>862</v>
      </c>
      <c r="F3899" s="688"/>
      <c r="G3899" s="549" t="s">
        <v>423</v>
      </c>
      <c r="H3899" s="550">
        <v>1</v>
      </c>
      <c r="I3899" s="551">
        <v>3.8</v>
      </c>
      <c r="J3899" s="551">
        <v>3.8</v>
      </c>
    </row>
    <row r="3900" spans="1:10" s="89" customFormat="1" ht="25" x14ac:dyDescent="0.3">
      <c r="A3900" s="547" t="s">
        <v>433</v>
      </c>
      <c r="B3900" s="548" t="s">
        <v>1214</v>
      </c>
      <c r="C3900" s="547" t="s">
        <v>19</v>
      </c>
      <c r="D3900" s="547" t="s">
        <v>3593</v>
      </c>
      <c r="E3900" s="688" t="s">
        <v>1215</v>
      </c>
      <c r="F3900" s="688"/>
      <c r="G3900" s="549" t="s">
        <v>423</v>
      </c>
      <c r="H3900" s="550">
        <v>1</v>
      </c>
      <c r="I3900" s="551">
        <v>1.5</v>
      </c>
      <c r="J3900" s="551">
        <v>1.5</v>
      </c>
    </row>
    <row r="3901" spans="1:10" ht="25" x14ac:dyDescent="0.3">
      <c r="A3901" s="547" t="s">
        <v>433</v>
      </c>
      <c r="B3901" s="548" t="s">
        <v>1216</v>
      </c>
      <c r="C3901" s="547" t="s">
        <v>19</v>
      </c>
      <c r="D3901" s="547" t="s">
        <v>3594</v>
      </c>
      <c r="E3901" s="688" t="s">
        <v>862</v>
      </c>
      <c r="F3901" s="688"/>
      <c r="G3901" s="549" t="s">
        <v>423</v>
      </c>
      <c r="H3901" s="550">
        <v>1</v>
      </c>
      <c r="I3901" s="551">
        <v>1.34</v>
      </c>
      <c r="J3901" s="551">
        <v>1.34</v>
      </c>
    </row>
    <row r="3902" spans="1:10" s="89" customFormat="1" ht="25" x14ac:dyDescent="0.3">
      <c r="A3902" s="547" t="s">
        <v>433</v>
      </c>
      <c r="B3902" s="548" t="s">
        <v>1217</v>
      </c>
      <c r="C3902" s="547" t="s">
        <v>19</v>
      </c>
      <c r="D3902" s="547" t="s">
        <v>3595</v>
      </c>
      <c r="E3902" s="688" t="s">
        <v>531</v>
      </c>
      <c r="F3902" s="688"/>
      <c r="G3902" s="549" t="s">
        <v>423</v>
      </c>
      <c r="H3902" s="550">
        <v>1</v>
      </c>
      <c r="I3902" s="551">
        <v>0.04</v>
      </c>
      <c r="J3902" s="551">
        <v>0.04</v>
      </c>
    </row>
    <row r="3903" spans="1:10" s="89" customFormat="1" ht="15" customHeight="1" x14ac:dyDescent="0.3">
      <c r="A3903" s="547" t="s">
        <v>433</v>
      </c>
      <c r="B3903" s="548" t="s">
        <v>1262</v>
      </c>
      <c r="C3903" s="547" t="s">
        <v>19</v>
      </c>
      <c r="D3903" s="547" t="s">
        <v>1263</v>
      </c>
      <c r="E3903" s="688" t="s">
        <v>442</v>
      </c>
      <c r="F3903" s="688"/>
      <c r="G3903" s="549" t="s">
        <v>423</v>
      </c>
      <c r="H3903" s="550">
        <v>1</v>
      </c>
      <c r="I3903" s="551">
        <v>0.01</v>
      </c>
      <c r="J3903" s="551">
        <v>0.01</v>
      </c>
    </row>
    <row r="3904" spans="1:10" s="89" customFormat="1" ht="25.5" thickBot="1" x14ac:dyDescent="0.35">
      <c r="A3904" s="547" t="s">
        <v>433</v>
      </c>
      <c r="B3904" s="548" t="s">
        <v>1264</v>
      </c>
      <c r="C3904" s="547" t="s">
        <v>19</v>
      </c>
      <c r="D3904" s="547" t="s">
        <v>1265</v>
      </c>
      <c r="E3904" s="688" t="s">
        <v>442</v>
      </c>
      <c r="F3904" s="688"/>
      <c r="G3904" s="549" t="s">
        <v>423</v>
      </c>
      <c r="H3904" s="550">
        <v>1</v>
      </c>
      <c r="I3904" s="551">
        <v>0.86</v>
      </c>
      <c r="J3904" s="551">
        <v>0.86</v>
      </c>
    </row>
    <row r="3905" spans="1:10" ht="14.5" thickTop="1" x14ac:dyDescent="0.3">
      <c r="A3905" s="562"/>
      <c r="B3905" s="562"/>
      <c r="C3905" s="562"/>
      <c r="D3905" s="562"/>
      <c r="E3905" s="562"/>
      <c r="F3905" s="562"/>
      <c r="G3905" s="562"/>
      <c r="H3905" s="562"/>
      <c r="I3905" s="562"/>
      <c r="J3905" s="562"/>
    </row>
    <row r="3906" spans="1:10" s="89" customFormat="1" x14ac:dyDescent="0.3">
      <c r="A3906" s="553"/>
      <c r="B3906" s="554" t="s">
        <v>4</v>
      </c>
      <c r="C3906" s="553" t="s">
        <v>5</v>
      </c>
      <c r="D3906" s="553" t="s">
        <v>6</v>
      </c>
      <c r="E3906" s="691" t="s">
        <v>427</v>
      </c>
      <c r="F3906" s="691"/>
      <c r="G3906" s="555" t="s">
        <v>7</v>
      </c>
      <c r="H3906" s="554" t="s">
        <v>8</v>
      </c>
      <c r="I3906" s="554" t="s">
        <v>9</v>
      </c>
      <c r="J3906" s="554" t="s">
        <v>11</v>
      </c>
    </row>
    <row r="3907" spans="1:10" ht="25" x14ac:dyDescent="0.3">
      <c r="A3907" s="607" t="s">
        <v>428</v>
      </c>
      <c r="B3907" s="608" t="s">
        <v>907</v>
      </c>
      <c r="C3907" s="607" t="s">
        <v>19</v>
      </c>
      <c r="D3907" s="607" t="s">
        <v>908</v>
      </c>
      <c r="E3907" s="690" t="s">
        <v>429</v>
      </c>
      <c r="F3907" s="690"/>
      <c r="G3907" s="609" t="s">
        <v>423</v>
      </c>
      <c r="H3907" s="610">
        <v>1</v>
      </c>
      <c r="I3907" s="611">
        <v>25.78</v>
      </c>
      <c r="J3907" s="611">
        <v>25.78</v>
      </c>
    </row>
    <row r="3908" spans="1:10" s="89" customFormat="1" ht="25" x14ac:dyDescent="0.3">
      <c r="A3908" s="547" t="s">
        <v>430</v>
      </c>
      <c r="B3908" s="548" t="s">
        <v>1488</v>
      </c>
      <c r="C3908" s="547" t="s">
        <v>19</v>
      </c>
      <c r="D3908" s="547" t="s">
        <v>1489</v>
      </c>
      <c r="E3908" s="688" t="s">
        <v>429</v>
      </c>
      <c r="F3908" s="688"/>
      <c r="G3908" s="549" t="s">
        <v>423</v>
      </c>
      <c r="H3908" s="550">
        <v>1</v>
      </c>
      <c r="I3908" s="551">
        <v>0.23</v>
      </c>
      <c r="J3908" s="551">
        <v>0.23</v>
      </c>
    </row>
    <row r="3909" spans="1:10" ht="25" x14ac:dyDescent="0.3">
      <c r="A3909" s="547" t="s">
        <v>433</v>
      </c>
      <c r="B3909" s="548" t="s">
        <v>1490</v>
      </c>
      <c r="C3909" s="547" t="s">
        <v>19</v>
      </c>
      <c r="D3909" s="547" t="s">
        <v>3700</v>
      </c>
      <c r="E3909" s="688" t="s">
        <v>436</v>
      </c>
      <c r="F3909" s="688"/>
      <c r="G3909" s="549" t="s">
        <v>423</v>
      </c>
      <c r="H3909" s="550">
        <v>1</v>
      </c>
      <c r="I3909" s="551">
        <v>18</v>
      </c>
      <c r="J3909" s="551">
        <v>18</v>
      </c>
    </row>
    <row r="3910" spans="1:10" s="89" customFormat="1" ht="25" x14ac:dyDescent="0.3">
      <c r="A3910" s="547" t="s">
        <v>433</v>
      </c>
      <c r="B3910" s="548" t="s">
        <v>1213</v>
      </c>
      <c r="C3910" s="547" t="s">
        <v>19</v>
      </c>
      <c r="D3910" s="547" t="s">
        <v>3592</v>
      </c>
      <c r="E3910" s="688" t="s">
        <v>862</v>
      </c>
      <c r="F3910" s="688"/>
      <c r="G3910" s="549" t="s">
        <v>423</v>
      </c>
      <c r="H3910" s="550">
        <v>1</v>
      </c>
      <c r="I3910" s="551">
        <v>3.8</v>
      </c>
      <c r="J3910" s="551">
        <v>3.8</v>
      </c>
    </row>
    <row r="3911" spans="1:10" ht="25" x14ac:dyDescent="0.3">
      <c r="A3911" s="547" t="s">
        <v>433</v>
      </c>
      <c r="B3911" s="548" t="s">
        <v>1214</v>
      </c>
      <c r="C3911" s="547" t="s">
        <v>19</v>
      </c>
      <c r="D3911" s="547" t="s">
        <v>3593</v>
      </c>
      <c r="E3911" s="688" t="s">
        <v>1215</v>
      </c>
      <c r="F3911" s="688"/>
      <c r="G3911" s="549" t="s">
        <v>423</v>
      </c>
      <c r="H3911" s="550">
        <v>1</v>
      </c>
      <c r="I3911" s="551">
        <v>1.5</v>
      </c>
      <c r="J3911" s="551">
        <v>1.5</v>
      </c>
    </row>
    <row r="3912" spans="1:10" s="89" customFormat="1" ht="25" x14ac:dyDescent="0.3">
      <c r="A3912" s="547" t="s">
        <v>433</v>
      </c>
      <c r="B3912" s="548" t="s">
        <v>1216</v>
      </c>
      <c r="C3912" s="547" t="s">
        <v>19</v>
      </c>
      <c r="D3912" s="547" t="s">
        <v>3594</v>
      </c>
      <c r="E3912" s="688" t="s">
        <v>862</v>
      </c>
      <c r="F3912" s="688"/>
      <c r="G3912" s="549" t="s">
        <v>423</v>
      </c>
      <c r="H3912" s="550">
        <v>1</v>
      </c>
      <c r="I3912" s="551">
        <v>1.34</v>
      </c>
      <c r="J3912" s="551">
        <v>1.34</v>
      </c>
    </row>
    <row r="3913" spans="1:10" ht="25" x14ac:dyDescent="0.3">
      <c r="A3913" s="547" t="s">
        <v>433</v>
      </c>
      <c r="B3913" s="548" t="s">
        <v>1217</v>
      </c>
      <c r="C3913" s="547" t="s">
        <v>19</v>
      </c>
      <c r="D3913" s="547" t="s">
        <v>3595</v>
      </c>
      <c r="E3913" s="688" t="s">
        <v>531</v>
      </c>
      <c r="F3913" s="688"/>
      <c r="G3913" s="549" t="s">
        <v>423</v>
      </c>
      <c r="H3913" s="550">
        <v>1</v>
      </c>
      <c r="I3913" s="551">
        <v>0.04</v>
      </c>
      <c r="J3913" s="551">
        <v>0.04</v>
      </c>
    </row>
    <row r="3914" spans="1:10" s="89" customFormat="1" ht="15" customHeight="1" x14ac:dyDescent="0.3">
      <c r="A3914" s="547" t="s">
        <v>433</v>
      </c>
      <c r="B3914" s="548" t="s">
        <v>1262</v>
      </c>
      <c r="C3914" s="547" t="s">
        <v>19</v>
      </c>
      <c r="D3914" s="547" t="s">
        <v>1263</v>
      </c>
      <c r="E3914" s="688" t="s">
        <v>442</v>
      </c>
      <c r="F3914" s="688"/>
      <c r="G3914" s="549" t="s">
        <v>423</v>
      </c>
      <c r="H3914" s="550">
        <v>1</v>
      </c>
      <c r="I3914" s="551">
        <v>0.01</v>
      </c>
      <c r="J3914" s="551">
        <v>0.01</v>
      </c>
    </row>
    <row r="3915" spans="1:10" ht="25.5" thickBot="1" x14ac:dyDescent="0.35">
      <c r="A3915" s="547" t="s">
        <v>433</v>
      </c>
      <c r="B3915" s="548" t="s">
        <v>1264</v>
      </c>
      <c r="C3915" s="547" t="s">
        <v>19</v>
      </c>
      <c r="D3915" s="547" t="s">
        <v>1265</v>
      </c>
      <c r="E3915" s="688" t="s">
        <v>442</v>
      </c>
      <c r="F3915" s="688"/>
      <c r="G3915" s="549" t="s">
        <v>423</v>
      </c>
      <c r="H3915" s="550">
        <v>1</v>
      </c>
      <c r="I3915" s="551">
        <v>0.86</v>
      </c>
      <c r="J3915" s="551">
        <v>0.86</v>
      </c>
    </row>
    <row r="3916" spans="1:10" ht="14.5" thickTop="1" x14ac:dyDescent="0.3">
      <c r="A3916" s="562"/>
      <c r="B3916" s="562"/>
      <c r="C3916" s="562"/>
      <c r="D3916" s="562"/>
      <c r="E3916" s="562"/>
      <c r="F3916" s="562"/>
      <c r="G3916" s="562"/>
      <c r="H3916" s="562"/>
      <c r="I3916" s="562"/>
      <c r="J3916" s="562"/>
    </row>
    <row r="3917" spans="1:10" x14ac:dyDescent="0.3">
      <c r="A3917" s="553"/>
      <c r="B3917" s="554" t="s">
        <v>4</v>
      </c>
      <c r="C3917" s="553" t="s">
        <v>5</v>
      </c>
      <c r="D3917" s="553" t="s">
        <v>6</v>
      </c>
      <c r="E3917" s="691" t="s">
        <v>427</v>
      </c>
      <c r="F3917" s="691"/>
      <c r="G3917" s="555" t="s">
        <v>7</v>
      </c>
      <c r="H3917" s="554" t="s">
        <v>8</v>
      </c>
      <c r="I3917" s="554" t="s">
        <v>9</v>
      </c>
      <c r="J3917" s="554" t="s">
        <v>11</v>
      </c>
    </row>
    <row r="3918" spans="1:10" ht="14.25" customHeight="1" x14ac:dyDescent="0.3">
      <c r="A3918" s="607" t="s">
        <v>428</v>
      </c>
      <c r="B3918" s="608" t="s">
        <v>1748</v>
      </c>
      <c r="C3918" s="607" t="s">
        <v>19</v>
      </c>
      <c r="D3918" s="607" t="s">
        <v>1749</v>
      </c>
      <c r="E3918" s="690" t="s">
        <v>429</v>
      </c>
      <c r="F3918" s="690"/>
      <c r="G3918" s="609" t="s">
        <v>423</v>
      </c>
      <c r="H3918" s="610">
        <v>1</v>
      </c>
      <c r="I3918" s="611">
        <v>25.72</v>
      </c>
      <c r="J3918" s="611">
        <v>25.72</v>
      </c>
    </row>
    <row r="3919" spans="1:10" ht="25" x14ac:dyDescent="0.3">
      <c r="A3919" s="547" t="s">
        <v>430</v>
      </c>
      <c r="B3919" s="548" t="s">
        <v>1491</v>
      </c>
      <c r="C3919" s="547" t="s">
        <v>19</v>
      </c>
      <c r="D3919" s="547" t="s">
        <v>1492</v>
      </c>
      <c r="E3919" s="688" t="s">
        <v>429</v>
      </c>
      <c r="F3919" s="688"/>
      <c r="G3919" s="549" t="s">
        <v>423</v>
      </c>
      <c r="H3919" s="550">
        <v>1</v>
      </c>
      <c r="I3919" s="551">
        <v>0.17</v>
      </c>
      <c r="J3919" s="551">
        <v>0.17</v>
      </c>
    </row>
    <row r="3920" spans="1:10" s="89" customFormat="1" ht="25" x14ac:dyDescent="0.3">
      <c r="A3920" s="547" t="s">
        <v>433</v>
      </c>
      <c r="B3920" s="548" t="s">
        <v>1213</v>
      </c>
      <c r="C3920" s="547" t="s">
        <v>19</v>
      </c>
      <c r="D3920" s="547" t="s">
        <v>3592</v>
      </c>
      <c r="E3920" s="688" t="s">
        <v>862</v>
      </c>
      <c r="F3920" s="688"/>
      <c r="G3920" s="549" t="s">
        <v>423</v>
      </c>
      <c r="H3920" s="550">
        <v>1</v>
      </c>
      <c r="I3920" s="551">
        <v>3.8</v>
      </c>
      <c r="J3920" s="551">
        <v>3.8</v>
      </c>
    </row>
    <row r="3921" spans="1:10" ht="25" x14ac:dyDescent="0.3">
      <c r="A3921" s="547" t="s">
        <v>433</v>
      </c>
      <c r="B3921" s="548" t="s">
        <v>1214</v>
      </c>
      <c r="C3921" s="547" t="s">
        <v>19</v>
      </c>
      <c r="D3921" s="547" t="s">
        <v>3593</v>
      </c>
      <c r="E3921" s="688" t="s">
        <v>1215</v>
      </c>
      <c r="F3921" s="688"/>
      <c r="G3921" s="549" t="s">
        <v>423</v>
      </c>
      <c r="H3921" s="550">
        <v>1</v>
      </c>
      <c r="I3921" s="551">
        <v>1.5</v>
      </c>
      <c r="J3921" s="551">
        <v>1.5</v>
      </c>
    </row>
    <row r="3922" spans="1:10" s="89" customFormat="1" ht="25" x14ac:dyDescent="0.3">
      <c r="A3922" s="547" t="s">
        <v>433</v>
      </c>
      <c r="B3922" s="548" t="s">
        <v>1216</v>
      </c>
      <c r="C3922" s="547" t="s">
        <v>19</v>
      </c>
      <c r="D3922" s="547" t="s">
        <v>3594</v>
      </c>
      <c r="E3922" s="688" t="s">
        <v>862</v>
      </c>
      <c r="F3922" s="688"/>
      <c r="G3922" s="549" t="s">
        <v>423</v>
      </c>
      <c r="H3922" s="550">
        <v>1</v>
      </c>
      <c r="I3922" s="551">
        <v>1.34</v>
      </c>
      <c r="J3922" s="551">
        <v>1.34</v>
      </c>
    </row>
    <row r="3923" spans="1:10" ht="25" x14ac:dyDescent="0.3">
      <c r="A3923" s="547" t="s">
        <v>433</v>
      </c>
      <c r="B3923" s="548" t="s">
        <v>1217</v>
      </c>
      <c r="C3923" s="547" t="s">
        <v>19</v>
      </c>
      <c r="D3923" s="547" t="s">
        <v>3595</v>
      </c>
      <c r="E3923" s="688" t="s">
        <v>531</v>
      </c>
      <c r="F3923" s="688"/>
      <c r="G3923" s="549" t="s">
        <v>423</v>
      </c>
      <c r="H3923" s="550">
        <v>1</v>
      </c>
      <c r="I3923" s="551">
        <v>0.04</v>
      </c>
      <c r="J3923" s="551">
        <v>0.04</v>
      </c>
    </row>
    <row r="3924" spans="1:10" s="89" customFormat="1" ht="25" x14ac:dyDescent="0.3">
      <c r="A3924" s="547" t="s">
        <v>433</v>
      </c>
      <c r="B3924" s="548" t="s">
        <v>1262</v>
      </c>
      <c r="C3924" s="547" t="s">
        <v>19</v>
      </c>
      <c r="D3924" s="547" t="s">
        <v>1263</v>
      </c>
      <c r="E3924" s="688" t="s">
        <v>442</v>
      </c>
      <c r="F3924" s="688"/>
      <c r="G3924" s="549" t="s">
        <v>423</v>
      </c>
      <c r="H3924" s="550">
        <v>1</v>
      </c>
      <c r="I3924" s="551">
        <v>0.01</v>
      </c>
      <c r="J3924" s="551">
        <v>0.01</v>
      </c>
    </row>
    <row r="3925" spans="1:10" s="89" customFormat="1" ht="15" customHeight="1" x14ac:dyDescent="0.3">
      <c r="A3925" s="547" t="s">
        <v>433</v>
      </c>
      <c r="B3925" s="548" t="s">
        <v>1264</v>
      </c>
      <c r="C3925" s="547" t="s">
        <v>19</v>
      </c>
      <c r="D3925" s="547" t="s">
        <v>1265</v>
      </c>
      <c r="E3925" s="688" t="s">
        <v>442</v>
      </c>
      <c r="F3925" s="688"/>
      <c r="G3925" s="549" t="s">
        <v>423</v>
      </c>
      <c r="H3925" s="550">
        <v>1</v>
      </c>
      <c r="I3925" s="551">
        <v>0.86</v>
      </c>
      <c r="J3925" s="551">
        <v>0.86</v>
      </c>
    </row>
    <row r="3926" spans="1:10" s="89" customFormat="1" ht="14.5" thickBot="1" x14ac:dyDescent="0.35">
      <c r="A3926" s="547" t="s">
        <v>433</v>
      </c>
      <c r="B3926" s="548" t="s">
        <v>1493</v>
      </c>
      <c r="C3926" s="547" t="s">
        <v>19</v>
      </c>
      <c r="D3926" s="547" t="s">
        <v>3701</v>
      </c>
      <c r="E3926" s="688" t="s">
        <v>436</v>
      </c>
      <c r="F3926" s="688"/>
      <c r="G3926" s="549" t="s">
        <v>423</v>
      </c>
      <c r="H3926" s="550">
        <v>1</v>
      </c>
      <c r="I3926" s="551">
        <v>18</v>
      </c>
      <c r="J3926" s="551">
        <v>18</v>
      </c>
    </row>
    <row r="3927" spans="1:10" ht="14.5" thickTop="1" x14ac:dyDescent="0.3">
      <c r="A3927" s="562"/>
      <c r="B3927" s="562"/>
      <c r="C3927" s="562"/>
      <c r="D3927" s="562"/>
      <c r="E3927" s="562"/>
      <c r="F3927" s="562"/>
      <c r="G3927" s="562"/>
      <c r="H3927" s="562"/>
      <c r="I3927" s="562"/>
      <c r="J3927" s="562"/>
    </row>
    <row r="3928" spans="1:10" s="89" customFormat="1" x14ac:dyDescent="0.3">
      <c r="A3928" s="553"/>
      <c r="B3928" s="554" t="s">
        <v>4</v>
      </c>
      <c r="C3928" s="553" t="s">
        <v>5</v>
      </c>
      <c r="D3928" s="553" t="s">
        <v>6</v>
      </c>
      <c r="E3928" s="691" t="s">
        <v>427</v>
      </c>
      <c r="F3928" s="691"/>
      <c r="G3928" s="555" t="s">
        <v>7</v>
      </c>
      <c r="H3928" s="554" t="s">
        <v>8</v>
      </c>
      <c r="I3928" s="554" t="s">
        <v>9</v>
      </c>
      <c r="J3928" s="554" t="s">
        <v>11</v>
      </c>
    </row>
    <row r="3929" spans="1:10" ht="25" x14ac:dyDescent="0.3">
      <c r="A3929" s="607" t="s">
        <v>428</v>
      </c>
      <c r="B3929" s="608" t="s">
        <v>1750</v>
      </c>
      <c r="C3929" s="607" t="s">
        <v>19</v>
      </c>
      <c r="D3929" s="607" t="s">
        <v>1751</v>
      </c>
      <c r="E3929" s="690" t="s">
        <v>429</v>
      </c>
      <c r="F3929" s="690"/>
      <c r="G3929" s="609" t="s">
        <v>423</v>
      </c>
      <c r="H3929" s="610">
        <v>1</v>
      </c>
      <c r="I3929" s="611">
        <v>25.72</v>
      </c>
      <c r="J3929" s="611">
        <v>25.72</v>
      </c>
    </row>
    <row r="3930" spans="1:10" s="89" customFormat="1" ht="25" x14ac:dyDescent="0.3">
      <c r="A3930" s="547" t="s">
        <v>430</v>
      </c>
      <c r="B3930" s="548" t="s">
        <v>1494</v>
      </c>
      <c r="C3930" s="547" t="s">
        <v>19</v>
      </c>
      <c r="D3930" s="547" t="s">
        <v>1495</v>
      </c>
      <c r="E3930" s="688" t="s">
        <v>429</v>
      </c>
      <c r="F3930" s="688"/>
      <c r="G3930" s="549" t="s">
        <v>423</v>
      </c>
      <c r="H3930" s="550">
        <v>1</v>
      </c>
      <c r="I3930" s="551">
        <v>0.17</v>
      </c>
      <c r="J3930" s="551">
        <v>0.17</v>
      </c>
    </row>
    <row r="3931" spans="1:10" x14ac:dyDescent="0.3">
      <c r="A3931" s="547" t="s">
        <v>433</v>
      </c>
      <c r="B3931" s="548" t="s">
        <v>1496</v>
      </c>
      <c r="C3931" s="547" t="s">
        <v>19</v>
      </c>
      <c r="D3931" s="547" t="s">
        <v>3702</v>
      </c>
      <c r="E3931" s="688" t="s">
        <v>436</v>
      </c>
      <c r="F3931" s="688"/>
      <c r="G3931" s="549" t="s">
        <v>423</v>
      </c>
      <c r="H3931" s="550">
        <v>1</v>
      </c>
      <c r="I3931" s="551">
        <v>18</v>
      </c>
      <c r="J3931" s="551">
        <v>18</v>
      </c>
    </row>
    <row r="3932" spans="1:10" s="89" customFormat="1" ht="25" x14ac:dyDescent="0.3">
      <c r="A3932" s="547" t="s">
        <v>433</v>
      </c>
      <c r="B3932" s="548" t="s">
        <v>1213</v>
      </c>
      <c r="C3932" s="547" t="s">
        <v>19</v>
      </c>
      <c r="D3932" s="547" t="s">
        <v>3592</v>
      </c>
      <c r="E3932" s="688" t="s">
        <v>862</v>
      </c>
      <c r="F3932" s="688"/>
      <c r="G3932" s="549" t="s">
        <v>423</v>
      </c>
      <c r="H3932" s="550">
        <v>1</v>
      </c>
      <c r="I3932" s="551">
        <v>3.8</v>
      </c>
      <c r="J3932" s="551">
        <v>3.8</v>
      </c>
    </row>
    <row r="3933" spans="1:10" ht="25" x14ac:dyDescent="0.3">
      <c r="A3933" s="547" t="s">
        <v>433</v>
      </c>
      <c r="B3933" s="548" t="s">
        <v>1214</v>
      </c>
      <c r="C3933" s="547" t="s">
        <v>19</v>
      </c>
      <c r="D3933" s="547" t="s">
        <v>3593</v>
      </c>
      <c r="E3933" s="688" t="s">
        <v>1215</v>
      </c>
      <c r="F3933" s="688"/>
      <c r="G3933" s="549" t="s">
        <v>423</v>
      </c>
      <c r="H3933" s="550">
        <v>1</v>
      </c>
      <c r="I3933" s="551">
        <v>1.5</v>
      </c>
      <c r="J3933" s="551">
        <v>1.5</v>
      </c>
    </row>
    <row r="3934" spans="1:10" s="89" customFormat="1" ht="25" x14ac:dyDescent="0.3">
      <c r="A3934" s="547" t="s">
        <v>433</v>
      </c>
      <c r="B3934" s="548" t="s">
        <v>1216</v>
      </c>
      <c r="C3934" s="547" t="s">
        <v>19</v>
      </c>
      <c r="D3934" s="547" t="s">
        <v>3594</v>
      </c>
      <c r="E3934" s="688" t="s">
        <v>862</v>
      </c>
      <c r="F3934" s="688"/>
      <c r="G3934" s="549" t="s">
        <v>423</v>
      </c>
      <c r="H3934" s="550">
        <v>1</v>
      </c>
      <c r="I3934" s="551">
        <v>1.34</v>
      </c>
      <c r="J3934" s="551">
        <v>1.34</v>
      </c>
    </row>
    <row r="3935" spans="1:10" ht="25" x14ac:dyDescent="0.3">
      <c r="A3935" s="547" t="s">
        <v>433</v>
      </c>
      <c r="B3935" s="548" t="s">
        <v>1217</v>
      </c>
      <c r="C3935" s="547" t="s">
        <v>19</v>
      </c>
      <c r="D3935" s="547" t="s">
        <v>3595</v>
      </c>
      <c r="E3935" s="688" t="s">
        <v>531</v>
      </c>
      <c r="F3935" s="688"/>
      <c r="G3935" s="549" t="s">
        <v>423</v>
      </c>
      <c r="H3935" s="550">
        <v>1</v>
      </c>
      <c r="I3935" s="551">
        <v>0.04</v>
      </c>
      <c r="J3935" s="551">
        <v>0.04</v>
      </c>
    </row>
    <row r="3936" spans="1:10" s="89" customFormat="1" ht="25" x14ac:dyDescent="0.3">
      <c r="A3936" s="547" t="s">
        <v>433</v>
      </c>
      <c r="B3936" s="548" t="s">
        <v>1262</v>
      </c>
      <c r="C3936" s="547" t="s">
        <v>19</v>
      </c>
      <c r="D3936" s="547" t="s">
        <v>1263</v>
      </c>
      <c r="E3936" s="688" t="s">
        <v>442</v>
      </c>
      <c r="F3936" s="688"/>
      <c r="G3936" s="549" t="s">
        <v>423</v>
      </c>
      <c r="H3936" s="550">
        <v>1</v>
      </c>
      <c r="I3936" s="551">
        <v>0.01</v>
      </c>
      <c r="J3936" s="551">
        <v>0.01</v>
      </c>
    </row>
    <row r="3937" spans="1:10" ht="25.5" thickBot="1" x14ac:dyDescent="0.35">
      <c r="A3937" s="547" t="s">
        <v>433</v>
      </c>
      <c r="B3937" s="548" t="s">
        <v>1264</v>
      </c>
      <c r="C3937" s="547" t="s">
        <v>19</v>
      </c>
      <c r="D3937" s="547" t="s">
        <v>1265</v>
      </c>
      <c r="E3937" s="688" t="s">
        <v>442</v>
      </c>
      <c r="F3937" s="688"/>
      <c r="G3937" s="549" t="s">
        <v>423</v>
      </c>
      <c r="H3937" s="550">
        <v>1</v>
      </c>
      <c r="I3937" s="551">
        <v>0.86</v>
      </c>
      <c r="J3937" s="551">
        <v>0.86</v>
      </c>
    </row>
    <row r="3938" spans="1:10" s="89" customFormat="1" ht="14.5" thickTop="1" x14ac:dyDescent="0.3">
      <c r="A3938" s="562"/>
      <c r="B3938" s="562"/>
      <c r="C3938" s="562"/>
      <c r="D3938" s="562"/>
      <c r="E3938" s="562"/>
      <c r="F3938" s="562"/>
      <c r="G3938" s="562"/>
      <c r="H3938" s="562"/>
      <c r="I3938" s="562"/>
      <c r="J3938" s="562"/>
    </row>
    <row r="3939" spans="1:10" x14ac:dyDescent="0.3">
      <c r="A3939" s="553"/>
      <c r="B3939" s="554" t="s">
        <v>4</v>
      </c>
      <c r="C3939" s="553" t="s">
        <v>5</v>
      </c>
      <c r="D3939" s="553" t="s">
        <v>6</v>
      </c>
      <c r="E3939" s="691" t="s">
        <v>427</v>
      </c>
      <c r="F3939" s="691"/>
      <c r="G3939" s="555" t="s">
        <v>7</v>
      </c>
      <c r="H3939" s="554" t="s">
        <v>8</v>
      </c>
      <c r="I3939" s="554" t="s">
        <v>9</v>
      </c>
      <c r="J3939" s="554" t="s">
        <v>11</v>
      </c>
    </row>
    <row r="3940" spans="1:10" s="89" customFormat="1" ht="25" x14ac:dyDescent="0.3">
      <c r="A3940" s="607" t="s">
        <v>428</v>
      </c>
      <c r="B3940" s="608" t="s">
        <v>1752</v>
      </c>
      <c r="C3940" s="607" t="s">
        <v>19</v>
      </c>
      <c r="D3940" s="607" t="s">
        <v>1753</v>
      </c>
      <c r="E3940" s="690" t="s">
        <v>429</v>
      </c>
      <c r="F3940" s="690"/>
      <c r="G3940" s="609" t="s">
        <v>423</v>
      </c>
      <c r="H3940" s="610">
        <v>1</v>
      </c>
      <c r="I3940" s="611">
        <v>25.72</v>
      </c>
      <c r="J3940" s="611">
        <v>25.72</v>
      </c>
    </row>
    <row r="3941" spans="1:10" ht="25" x14ac:dyDescent="0.3">
      <c r="A3941" s="547" t="s">
        <v>430</v>
      </c>
      <c r="B3941" s="548" t="s">
        <v>1497</v>
      </c>
      <c r="C3941" s="547" t="s">
        <v>19</v>
      </c>
      <c r="D3941" s="547" t="s">
        <v>1498</v>
      </c>
      <c r="E3941" s="688" t="s">
        <v>429</v>
      </c>
      <c r="F3941" s="688"/>
      <c r="G3941" s="549" t="s">
        <v>423</v>
      </c>
      <c r="H3941" s="550">
        <v>1</v>
      </c>
      <c r="I3941" s="551">
        <v>0.17</v>
      </c>
      <c r="J3941" s="551">
        <v>0.17</v>
      </c>
    </row>
    <row r="3942" spans="1:10" x14ac:dyDescent="0.3">
      <c r="A3942" s="547" t="s">
        <v>433</v>
      </c>
      <c r="B3942" s="548" t="s">
        <v>1499</v>
      </c>
      <c r="C3942" s="547" t="s">
        <v>19</v>
      </c>
      <c r="D3942" s="547" t="s">
        <v>3703</v>
      </c>
      <c r="E3942" s="688" t="s">
        <v>436</v>
      </c>
      <c r="F3942" s="688"/>
      <c r="G3942" s="549" t="s">
        <v>423</v>
      </c>
      <c r="H3942" s="550">
        <v>1</v>
      </c>
      <c r="I3942" s="551">
        <v>18</v>
      </c>
      <c r="J3942" s="551">
        <v>18</v>
      </c>
    </row>
    <row r="3943" spans="1:10" ht="25" x14ac:dyDescent="0.3">
      <c r="A3943" s="547" t="s">
        <v>433</v>
      </c>
      <c r="B3943" s="548" t="s">
        <v>1213</v>
      </c>
      <c r="C3943" s="547" t="s">
        <v>19</v>
      </c>
      <c r="D3943" s="547" t="s">
        <v>3592</v>
      </c>
      <c r="E3943" s="688" t="s">
        <v>862</v>
      </c>
      <c r="F3943" s="688"/>
      <c r="G3943" s="549" t="s">
        <v>423</v>
      </c>
      <c r="H3943" s="550">
        <v>1</v>
      </c>
      <c r="I3943" s="551">
        <v>3.8</v>
      </c>
      <c r="J3943" s="551">
        <v>3.8</v>
      </c>
    </row>
    <row r="3944" spans="1:10" ht="25" x14ac:dyDescent="0.3">
      <c r="A3944" s="547" t="s">
        <v>433</v>
      </c>
      <c r="B3944" s="548" t="s">
        <v>1214</v>
      </c>
      <c r="C3944" s="547" t="s">
        <v>19</v>
      </c>
      <c r="D3944" s="547" t="s">
        <v>3593</v>
      </c>
      <c r="E3944" s="688" t="s">
        <v>1215</v>
      </c>
      <c r="F3944" s="688"/>
      <c r="G3944" s="549" t="s">
        <v>423</v>
      </c>
      <c r="H3944" s="550">
        <v>1</v>
      </c>
      <c r="I3944" s="551">
        <v>1.5</v>
      </c>
      <c r="J3944" s="551">
        <v>1.5</v>
      </c>
    </row>
    <row r="3945" spans="1:10" ht="25" x14ac:dyDescent="0.3">
      <c r="A3945" s="547" t="s">
        <v>433</v>
      </c>
      <c r="B3945" s="548" t="s">
        <v>1216</v>
      </c>
      <c r="C3945" s="547" t="s">
        <v>19</v>
      </c>
      <c r="D3945" s="547" t="s">
        <v>3594</v>
      </c>
      <c r="E3945" s="688" t="s">
        <v>862</v>
      </c>
      <c r="F3945" s="688"/>
      <c r="G3945" s="549" t="s">
        <v>423</v>
      </c>
      <c r="H3945" s="550">
        <v>1</v>
      </c>
      <c r="I3945" s="551">
        <v>1.34</v>
      </c>
      <c r="J3945" s="551">
        <v>1.34</v>
      </c>
    </row>
    <row r="3946" spans="1:10" s="89" customFormat="1" ht="25" x14ac:dyDescent="0.3">
      <c r="A3946" s="547" t="s">
        <v>433</v>
      </c>
      <c r="B3946" s="548" t="s">
        <v>1217</v>
      </c>
      <c r="C3946" s="547" t="s">
        <v>19</v>
      </c>
      <c r="D3946" s="547" t="s">
        <v>3595</v>
      </c>
      <c r="E3946" s="688" t="s">
        <v>531</v>
      </c>
      <c r="F3946" s="688"/>
      <c r="G3946" s="549" t="s">
        <v>423</v>
      </c>
      <c r="H3946" s="550">
        <v>1</v>
      </c>
      <c r="I3946" s="551">
        <v>0.04</v>
      </c>
      <c r="J3946" s="551">
        <v>0.04</v>
      </c>
    </row>
    <row r="3947" spans="1:10" s="89" customFormat="1" ht="25" x14ac:dyDescent="0.3">
      <c r="A3947" s="547" t="s">
        <v>433</v>
      </c>
      <c r="B3947" s="548" t="s">
        <v>1262</v>
      </c>
      <c r="C3947" s="547" t="s">
        <v>19</v>
      </c>
      <c r="D3947" s="547" t="s">
        <v>1263</v>
      </c>
      <c r="E3947" s="688" t="s">
        <v>442</v>
      </c>
      <c r="F3947" s="688"/>
      <c r="G3947" s="549" t="s">
        <v>423</v>
      </c>
      <c r="H3947" s="550">
        <v>1</v>
      </c>
      <c r="I3947" s="551">
        <v>0.01</v>
      </c>
      <c r="J3947" s="551">
        <v>0.01</v>
      </c>
    </row>
    <row r="3948" spans="1:10" s="89" customFormat="1" ht="25.5" thickBot="1" x14ac:dyDescent="0.35">
      <c r="A3948" s="547" t="s">
        <v>433</v>
      </c>
      <c r="B3948" s="548" t="s">
        <v>1264</v>
      </c>
      <c r="C3948" s="547" t="s">
        <v>19</v>
      </c>
      <c r="D3948" s="547" t="s">
        <v>1265</v>
      </c>
      <c r="E3948" s="688" t="s">
        <v>442</v>
      </c>
      <c r="F3948" s="688"/>
      <c r="G3948" s="549" t="s">
        <v>423</v>
      </c>
      <c r="H3948" s="550">
        <v>1</v>
      </c>
      <c r="I3948" s="551">
        <v>0.86</v>
      </c>
      <c r="J3948" s="551">
        <v>0.86</v>
      </c>
    </row>
    <row r="3949" spans="1:10" ht="14.5" thickTop="1" x14ac:dyDescent="0.3">
      <c r="A3949" s="562"/>
      <c r="B3949" s="562"/>
      <c r="C3949" s="562"/>
      <c r="D3949" s="562"/>
      <c r="E3949" s="562"/>
      <c r="F3949" s="562"/>
      <c r="G3949" s="562"/>
      <c r="H3949" s="562"/>
      <c r="I3949" s="562"/>
      <c r="J3949" s="562"/>
    </row>
    <row r="3950" spans="1:10" s="89" customFormat="1" x14ac:dyDescent="0.3">
      <c r="A3950" s="553"/>
      <c r="B3950" s="554" t="s">
        <v>4</v>
      </c>
      <c r="C3950" s="553" t="s">
        <v>5</v>
      </c>
      <c r="D3950" s="553" t="s">
        <v>6</v>
      </c>
      <c r="E3950" s="691" t="s">
        <v>427</v>
      </c>
      <c r="F3950" s="691"/>
      <c r="G3950" s="555" t="s">
        <v>7</v>
      </c>
      <c r="H3950" s="554" t="s">
        <v>8</v>
      </c>
      <c r="I3950" s="554" t="s">
        <v>9</v>
      </c>
      <c r="J3950" s="554" t="s">
        <v>11</v>
      </c>
    </row>
    <row r="3951" spans="1:10" ht="25" x14ac:dyDescent="0.3">
      <c r="A3951" s="607" t="s">
        <v>428</v>
      </c>
      <c r="B3951" s="608" t="s">
        <v>1754</v>
      </c>
      <c r="C3951" s="607" t="s">
        <v>19</v>
      </c>
      <c r="D3951" s="607" t="s">
        <v>1755</v>
      </c>
      <c r="E3951" s="690" t="s">
        <v>429</v>
      </c>
      <c r="F3951" s="690"/>
      <c r="G3951" s="609" t="s">
        <v>423</v>
      </c>
      <c r="H3951" s="610">
        <v>1</v>
      </c>
      <c r="I3951" s="611">
        <v>39.909999999999997</v>
      </c>
      <c r="J3951" s="611">
        <v>39.909999999999997</v>
      </c>
    </row>
    <row r="3952" spans="1:10" s="89" customFormat="1" ht="25" x14ac:dyDescent="0.3">
      <c r="A3952" s="547" t="s">
        <v>430</v>
      </c>
      <c r="B3952" s="548" t="s">
        <v>1500</v>
      </c>
      <c r="C3952" s="547" t="s">
        <v>19</v>
      </c>
      <c r="D3952" s="547" t="s">
        <v>1501</v>
      </c>
      <c r="E3952" s="688" t="s">
        <v>429</v>
      </c>
      <c r="F3952" s="688"/>
      <c r="G3952" s="549" t="s">
        <v>423</v>
      </c>
      <c r="H3952" s="550">
        <v>1</v>
      </c>
      <c r="I3952" s="551">
        <v>0.3</v>
      </c>
      <c r="J3952" s="551">
        <v>0.3</v>
      </c>
    </row>
    <row r="3953" spans="1:10" ht="25" x14ac:dyDescent="0.3">
      <c r="A3953" s="547" t="s">
        <v>433</v>
      </c>
      <c r="B3953" s="548" t="s">
        <v>1502</v>
      </c>
      <c r="C3953" s="547" t="s">
        <v>19</v>
      </c>
      <c r="D3953" s="547" t="s">
        <v>3704</v>
      </c>
      <c r="E3953" s="688" t="s">
        <v>436</v>
      </c>
      <c r="F3953" s="688"/>
      <c r="G3953" s="549" t="s">
        <v>423</v>
      </c>
      <c r="H3953" s="550">
        <v>1</v>
      </c>
      <c r="I3953" s="551">
        <v>32.06</v>
      </c>
      <c r="J3953" s="551">
        <v>32.06</v>
      </c>
    </row>
    <row r="3954" spans="1:10" s="89" customFormat="1" ht="25" x14ac:dyDescent="0.3">
      <c r="A3954" s="547" t="s">
        <v>433</v>
      </c>
      <c r="B3954" s="548" t="s">
        <v>1213</v>
      </c>
      <c r="C3954" s="547" t="s">
        <v>19</v>
      </c>
      <c r="D3954" s="547" t="s">
        <v>3592</v>
      </c>
      <c r="E3954" s="688" t="s">
        <v>862</v>
      </c>
      <c r="F3954" s="688"/>
      <c r="G3954" s="549" t="s">
        <v>423</v>
      </c>
      <c r="H3954" s="550">
        <v>1</v>
      </c>
      <c r="I3954" s="551">
        <v>3.8</v>
      </c>
      <c r="J3954" s="551">
        <v>3.8</v>
      </c>
    </row>
    <row r="3955" spans="1:10" ht="25" x14ac:dyDescent="0.3">
      <c r="A3955" s="547" t="s">
        <v>433</v>
      </c>
      <c r="B3955" s="548" t="s">
        <v>1214</v>
      </c>
      <c r="C3955" s="547" t="s">
        <v>19</v>
      </c>
      <c r="D3955" s="547" t="s">
        <v>3593</v>
      </c>
      <c r="E3955" s="688" t="s">
        <v>1215</v>
      </c>
      <c r="F3955" s="688"/>
      <c r="G3955" s="549" t="s">
        <v>423</v>
      </c>
      <c r="H3955" s="550">
        <v>1</v>
      </c>
      <c r="I3955" s="551">
        <v>1.5</v>
      </c>
      <c r="J3955" s="551">
        <v>1.5</v>
      </c>
    </row>
    <row r="3956" spans="1:10" s="89" customFormat="1" ht="25" x14ac:dyDescent="0.3">
      <c r="A3956" s="547" t="s">
        <v>433</v>
      </c>
      <c r="B3956" s="548" t="s">
        <v>1216</v>
      </c>
      <c r="C3956" s="547" t="s">
        <v>19</v>
      </c>
      <c r="D3956" s="547" t="s">
        <v>3594</v>
      </c>
      <c r="E3956" s="688" t="s">
        <v>862</v>
      </c>
      <c r="F3956" s="688"/>
      <c r="G3956" s="549" t="s">
        <v>423</v>
      </c>
      <c r="H3956" s="550">
        <v>1</v>
      </c>
      <c r="I3956" s="551">
        <v>1.34</v>
      </c>
      <c r="J3956" s="551">
        <v>1.34</v>
      </c>
    </row>
    <row r="3957" spans="1:10" ht="25" x14ac:dyDescent="0.3">
      <c r="A3957" s="547" t="s">
        <v>433</v>
      </c>
      <c r="B3957" s="548" t="s">
        <v>1217</v>
      </c>
      <c r="C3957" s="547" t="s">
        <v>19</v>
      </c>
      <c r="D3957" s="547" t="s">
        <v>3595</v>
      </c>
      <c r="E3957" s="688" t="s">
        <v>531</v>
      </c>
      <c r="F3957" s="688"/>
      <c r="G3957" s="549" t="s">
        <v>423</v>
      </c>
      <c r="H3957" s="550">
        <v>1</v>
      </c>
      <c r="I3957" s="551">
        <v>0.04</v>
      </c>
      <c r="J3957" s="551">
        <v>0.04</v>
      </c>
    </row>
    <row r="3958" spans="1:10" s="89" customFormat="1" ht="15" customHeight="1" x14ac:dyDescent="0.3">
      <c r="A3958" s="547" t="s">
        <v>433</v>
      </c>
      <c r="B3958" s="548" t="s">
        <v>1262</v>
      </c>
      <c r="C3958" s="547" t="s">
        <v>19</v>
      </c>
      <c r="D3958" s="547" t="s">
        <v>1263</v>
      </c>
      <c r="E3958" s="688" t="s">
        <v>442</v>
      </c>
      <c r="F3958" s="688"/>
      <c r="G3958" s="549" t="s">
        <v>423</v>
      </c>
      <c r="H3958" s="550">
        <v>1</v>
      </c>
      <c r="I3958" s="551">
        <v>0.01</v>
      </c>
      <c r="J3958" s="551">
        <v>0.01</v>
      </c>
    </row>
    <row r="3959" spans="1:10" ht="25.5" thickBot="1" x14ac:dyDescent="0.35">
      <c r="A3959" s="547" t="s">
        <v>433</v>
      </c>
      <c r="B3959" s="548" t="s">
        <v>1264</v>
      </c>
      <c r="C3959" s="547" t="s">
        <v>19</v>
      </c>
      <c r="D3959" s="547" t="s">
        <v>1265</v>
      </c>
      <c r="E3959" s="688" t="s">
        <v>442</v>
      </c>
      <c r="F3959" s="688"/>
      <c r="G3959" s="549" t="s">
        <v>423</v>
      </c>
      <c r="H3959" s="550">
        <v>1</v>
      </c>
      <c r="I3959" s="551">
        <v>0.86</v>
      </c>
      <c r="J3959" s="551">
        <v>0.86</v>
      </c>
    </row>
    <row r="3960" spans="1:10" s="89" customFormat="1" ht="14.5" thickTop="1" x14ac:dyDescent="0.3">
      <c r="A3960" s="562"/>
      <c r="B3960" s="562"/>
      <c r="C3960" s="562"/>
      <c r="D3960" s="562"/>
      <c r="E3960" s="562"/>
      <c r="F3960" s="562"/>
      <c r="G3960" s="562"/>
      <c r="H3960" s="562"/>
      <c r="I3960" s="562"/>
      <c r="J3960" s="562"/>
    </row>
    <row r="3961" spans="1:10" x14ac:dyDescent="0.3">
      <c r="A3961" s="553"/>
      <c r="B3961" s="554" t="s">
        <v>4</v>
      </c>
      <c r="C3961" s="553" t="s">
        <v>5</v>
      </c>
      <c r="D3961" s="553" t="s">
        <v>6</v>
      </c>
      <c r="E3961" s="691" t="s">
        <v>427</v>
      </c>
      <c r="F3961" s="691"/>
      <c r="G3961" s="555" t="s">
        <v>7</v>
      </c>
      <c r="H3961" s="554" t="s">
        <v>8</v>
      </c>
      <c r="I3961" s="554" t="s">
        <v>9</v>
      </c>
      <c r="J3961" s="554" t="s">
        <v>11</v>
      </c>
    </row>
    <row r="3962" spans="1:10" x14ac:dyDescent="0.3">
      <c r="A3962" s="607" t="s">
        <v>428</v>
      </c>
      <c r="B3962" s="608" t="s">
        <v>1756</v>
      </c>
      <c r="C3962" s="607" t="s">
        <v>115</v>
      </c>
      <c r="D3962" s="607" t="s">
        <v>1106</v>
      </c>
      <c r="E3962" s="690" t="s">
        <v>402</v>
      </c>
      <c r="F3962" s="690"/>
      <c r="G3962" s="609" t="s">
        <v>556</v>
      </c>
      <c r="H3962" s="610">
        <v>1</v>
      </c>
      <c r="I3962" s="611">
        <v>3.08</v>
      </c>
      <c r="J3962" s="611">
        <v>3.08</v>
      </c>
    </row>
    <row r="3963" spans="1:10" ht="15" customHeight="1" x14ac:dyDescent="0.3">
      <c r="A3963" s="691" t="s">
        <v>408</v>
      </c>
      <c r="B3963" s="692" t="s">
        <v>4</v>
      </c>
      <c r="C3963" s="691" t="s">
        <v>5</v>
      </c>
      <c r="D3963" s="691" t="s">
        <v>462</v>
      </c>
      <c r="E3963" s="692" t="s">
        <v>463</v>
      </c>
      <c r="F3963" s="694" t="s">
        <v>464</v>
      </c>
      <c r="G3963" s="692"/>
      <c r="H3963" s="694" t="s">
        <v>465</v>
      </c>
      <c r="I3963" s="692"/>
      <c r="J3963" s="692" t="s">
        <v>466</v>
      </c>
    </row>
    <row r="3964" spans="1:10" s="89" customFormat="1" x14ac:dyDescent="0.3">
      <c r="A3964" s="692"/>
      <c r="B3964" s="692"/>
      <c r="C3964" s="692"/>
      <c r="D3964" s="692"/>
      <c r="E3964" s="692"/>
      <c r="F3964" s="554" t="s">
        <v>467</v>
      </c>
      <c r="G3964" s="554" t="s">
        <v>468</v>
      </c>
      <c r="H3964" s="554" t="s">
        <v>467</v>
      </c>
      <c r="I3964" s="554" t="s">
        <v>468</v>
      </c>
      <c r="J3964" s="692"/>
    </row>
    <row r="3965" spans="1:10" x14ac:dyDescent="0.3">
      <c r="A3965" s="547" t="s">
        <v>433</v>
      </c>
      <c r="B3965" s="548" t="s">
        <v>1093</v>
      </c>
      <c r="C3965" s="547" t="s">
        <v>115</v>
      </c>
      <c r="D3965" s="547" t="s">
        <v>1060</v>
      </c>
      <c r="E3965" s="550">
        <v>1</v>
      </c>
      <c r="F3965" s="551">
        <v>0.2</v>
      </c>
      <c r="G3965" s="551">
        <v>0.8</v>
      </c>
      <c r="H3965" s="563">
        <v>151.00700000000001</v>
      </c>
      <c r="I3965" s="563">
        <v>55.2605</v>
      </c>
      <c r="J3965" s="563">
        <v>74.409800000000004</v>
      </c>
    </row>
    <row r="3966" spans="1:10" s="89" customFormat="1" ht="15" customHeight="1" x14ac:dyDescent="0.3">
      <c r="A3966" s="689"/>
      <c r="B3966" s="689"/>
      <c r="C3966" s="689"/>
      <c r="D3966" s="689"/>
      <c r="E3966" s="689"/>
      <c r="F3966" s="689" t="s">
        <v>471</v>
      </c>
      <c r="G3966" s="689"/>
      <c r="H3966" s="689"/>
      <c r="I3966" s="689"/>
      <c r="J3966" s="564">
        <v>74.409800000000004</v>
      </c>
    </row>
    <row r="3967" spans="1:10" ht="14.25" customHeight="1" x14ac:dyDescent="0.3">
      <c r="A3967" s="689"/>
      <c r="B3967" s="689"/>
      <c r="C3967" s="689"/>
      <c r="D3967" s="689"/>
      <c r="E3967" s="689"/>
      <c r="F3967" s="689" t="s">
        <v>472</v>
      </c>
      <c r="G3967" s="689"/>
      <c r="H3967" s="689"/>
      <c r="I3967" s="689"/>
      <c r="J3967" s="564">
        <v>74.409800000000004</v>
      </c>
    </row>
    <row r="3968" spans="1:10" ht="14.25" customHeight="1" x14ac:dyDescent="0.3">
      <c r="A3968" s="689"/>
      <c r="B3968" s="689"/>
      <c r="C3968" s="689"/>
      <c r="D3968" s="689"/>
      <c r="E3968" s="689"/>
      <c r="F3968" s="689" t="s">
        <v>473</v>
      </c>
      <c r="G3968" s="689"/>
      <c r="H3968" s="689"/>
      <c r="I3968" s="689"/>
      <c r="J3968" s="564">
        <v>0</v>
      </c>
    </row>
    <row r="3969" spans="1:10" s="89" customFormat="1" x14ac:dyDescent="0.3">
      <c r="A3969" s="689"/>
      <c r="B3969" s="689"/>
      <c r="C3969" s="689"/>
      <c r="D3969" s="689"/>
      <c r="E3969" s="689"/>
      <c r="F3969" s="689" t="s">
        <v>474</v>
      </c>
      <c r="G3969" s="689"/>
      <c r="H3969" s="689"/>
      <c r="I3969" s="689"/>
      <c r="J3969" s="564">
        <v>0</v>
      </c>
    </row>
    <row r="3970" spans="1:10" s="89" customFormat="1" ht="15" customHeight="1" x14ac:dyDescent="0.3">
      <c r="A3970" s="689"/>
      <c r="B3970" s="689"/>
      <c r="C3970" s="689"/>
      <c r="D3970" s="689"/>
      <c r="E3970" s="689"/>
      <c r="F3970" s="689" t="s">
        <v>475</v>
      </c>
      <c r="G3970" s="689"/>
      <c r="H3970" s="689"/>
      <c r="I3970" s="689"/>
      <c r="J3970" s="564">
        <v>100</v>
      </c>
    </row>
    <row r="3971" spans="1:10" ht="14.25" customHeight="1" x14ac:dyDescent="0.3">
      <c r="A3971" s="689"/>
      <c r="B3971" s="689"/>
      <c r="C3971" s="689"/>
      <c r="D3971" s="689"/>
      <c r="E3971" s="689"/>
      <c r="F3971" s="689" t="s">
        <v>476</v>
      </c>
      <c r="G3971" s="689"/>
      <c r="H3971" s="689"/>
      <c r="I3971" s="689"/>
      <c r="J3971" s="564">
        <v>0.74409999999999998</v>
      </c>
    </row>
    <row r="3972" spans="1:10" s="89" customFormat="1" ht="15" customHeight="1" x14ac:dyDescent="0.3">
      <c r="A3972" s="553" t="s">
        <v>573</v>
      </c>
      <c r="B3972" s="554" t="s">
        <v>5</v>
      </c>
      <c r="C3972" s="553" t="s">
        <v>4</v>
      </c>
      <c r="D3972" s="553" t="s">
        <v>574</v>
      </c>
      <c r="E3972" s="554" t="s">
        <v>463</v>
      </c>
      <c r="F3972" s="554" t="s">
        <v>575</v>
      </c>
      <c r="G3972" s="692" t="s">
        <v>576</v>
      </c>
      <c r="H3972" s="692"/>
      <c r="I3972" s="692"/>
      <c r="J3972" s="554" t="s">
        <v>466</v>
      </c>
    </row>
    <row r="3973" spans="1:10" x14ac:dyDescent="0.3">
      <c r="A3973" s="547" t="s">
        <v>577</v>
      </c>
      <c r="B3973" s="548" t="s">
        <v>19</v>
      </c>
      <c r="C3973" s="547">
        <v>88316</v>
      </c>
      <c r="D3973" s="547" t="s">
        <v>560</v>
      </c>
      <c r="E3973" s="550">
        <v>0.1</v>
      </c>
      <c r="F3973" s="549" t="s">
        <v>423</v>
      </c>
      <c r="G3973" s="693">
        <v>23.4</v>
      </c>
      <c r="H3973" s="693"/>
      <c r="I3973" s="688"/>
      <c r="J3973" s="563">
        <v>2.34</v>
      </c>
    </row>
    <row r="3974" spans="1:10" ht="15" customHeight="1" thickBot="1" x14ac:dyDescent="0.35">
      <c r="A3974" s="689"/>
      <c r="B3974" s="689"/>
      <c r="C3974" s="689"/>
      <c r="D3974" s="689"/>
      <c r="E3974" s="689"/>
      <c r="F3974" s="689" t="s">
        <v>578</v>
      </c>
      <c r="G3974" s="689"/>
      <c r="H3974" s="689"/>
      <c r="I3974" s="689"/>
      <c r="J3974" s="564">
        <v>2.34</v>
      </c>
    </row>
    <row r="3975" spans="1:10" s="89" customFormat="1" ht="14.5" thickTop="1" x14ac:dyDescent="0.3">
      <c r="A3975" s="562"/>
      <c r="B3975" s="562"/>
      <c r="C3975" s="562"/>
      <c r="D3975" s="562"/>
      <c r="E3975" s="562"/>
      <c r="F3975" s="562"/>
      <c r="G3975" s="562"/>
      <c r="H3975" s="562"/>
      <c r="I3975" s="562"/>
      <c r="J3975" s="562"/>
    </row>
    <row r="3976" spans="1:10" x14ac:dyDescent="0.3">
      <c r="A3976" s="553"/>
      <c r="B3976" s="554" t="s">
        <v>4</v>
      </c>
      <c r="C3976" s="553" t="s">
        <v>5</v>
      </c>
      <c r="D3976" s="553" t="s">
        <v>6</v>
      </c>
      <c r="E3976" s="691" t="s">
        <v>427</v>
      </c>
      <c r="F3976" s="691"/>
      <c r="G3976" s="555" t="s">
        <v>7</v>
      </c>
      <c r="H3976" s="554" t="s">
        <v>8</v>
      </c>
      <c r="I3976" s="554" t="s">
        <v>9</v>
      </c>
      <c r="J3976" s="554" t="s">
        <v>11</v>
      </c>
    </row>
    <row r="3977" spans="1:10" s="89" customFormat="1" ht="37.5" x14ac:dyDescent="0.3">
      <c r="A3977" s="607" t="s">
        <v>428</v>
      </c>
      <c r="B3977" s="608" t="s">
        <v>694</v>
      </c>
      <c r="C3977" s="607" t="s">
        <v>19</v>
      </c>
      <c r="D3977" s="607" t="s">
        <v>695</v>
      </c>
      <c r="E3977" s="690" t="s">
        <v>481</v>
      </c>
      <c r="F3977" s="690"/>
      <c r="G3977" s="609" t="s">
        <v>556</v>
      </c>
      <c r="H3977" s="610">
        <v>1</v>
      </c>
      <c r="I3977" s="611">
        <v>102.51</v>
      </c>
      <c r="J3977" s="611">
        <v>102.51</v>
      </c>
    </row>
    <row r="3978" spans="1:10" s="89" customFormat="1" ht="15" customHeight="1" x14ac:dyDescent="0.3">
      <c r="A3978" s="547" t="s">
        <v>430</v>
      </c>
      <c r="B3978" s="548" t="s">
        <v>629</v>
      </c>
      <c r="C3978" s="547" t="s">
        <v>19</v>
      </c>
      <c r="D3978" s="547" t="s">
        <v>630</v>
      </c>
      <c r="E3978" s="688" t="s">
        <v>429</v>
      </c>
      <c r="F3978" s="688"/>
      <c r="G3978" s="549" t="s">
        <v>423</v>
      </c>
      <c r="H3978" s="550">
        <v>0.68899999999999995</v>
      </c>
      <c r="I3978" s="551">
        <v>24.12</v>
      </c>
      <c r="J3978" s="551">
        <v>16.61</v>
      </c>
    </row>
    <row r="3979" spans="1:10" ht="14.25" customHeight="1" x14ac:dyDescent="0.3">
      <c r="A3979" s="547" t="s">
        <v>430</v>
      </c>
      <c r="B3979" s="548" t="s">
        <v>620</v>
      </c>
      <c r="C3979" s="547" t="s">
        <v>19</v>
      </c>
      <c r="D3979" s="547" t="s">
        <v>621</v>
      </c>
      <c r="E3979" s="688" t="s">
        <v>429</v>
      </c>
      <c r="F3979" s="688"/>
      <c r="G3979" s="549" t="s">
        <v>423</v>
      </c>
      <c r="H3979" s="550">
        <v>1.0209999999999999</v>
      </c>
      <c r="I3979" s="551">
        <v>30.71</v>
      </c>
      <c r="J3979" s="551">
        <v>31.35</v>
      </c>
    </row>
    <row r="3980" spans="1:10" s="89" customFormat="1" ht="25.5" customHeight="1" x14ac:dyDescent="0.3">
      <c r="A3980" s="547" t="s">
        <v>430</v>
      </c>
      <c r="B3980" s="548" t="s">
        <v>631</v>
      </c>
      <c r="C3980" s="547" t="s">
        <v>19</v>
      </c>
      <c r="D3980" s="547" t="s">
        <v>632</v>
      </c>
      <c r="E3980" s="688" t="s">
        <v>461</v>
      </c>
      <c r="F3980" s="688"/>
      <c r="G3980" s="549" t="s">
        <v>95</v>
      </c>
      <c r="H3980" s="550">
        <v>2.53E-2</v>
      </c>
      <c r="I3980" s="551">
        <v>26.94</v>
      </c>
      <c r="J3980" s="551">
        <v>0.68</v>
      </c>
    </row>
    <row r="3981" spans="1:10" ht="25.5" customHeight="1" x14ac:dyDescent="0.3">
      <c r="A3981" s="547" t="s">
        <v>430</v>
      </c>
      <c r="B3981" s="548" t="s">
        <v>633</v>
      </c>
      <c r="C3981" s="547" t="s">
        <v>19</v>
      </c>
      <c r="D3981" s="547" t="s">
        <v>634</v>
      </c>
      <c r="E3981" s="688" t="s">
        <v>461</v>
      </c>
      <c r="F3981" s="688"/>
      <c r="G3981" s="549" t="s">
        <v>102</v>
      </c>
      <c r="H3981" s="550">
        <v>0.1016</v>
      </c>
      <c r="I3981" s="551">
        <v>25.9</v>
      </c>
      <c r="J3981" s="551">
        <v>2.63</v>
      </c>
    </row>
    <row r="3982" spans="1:10" ht="25" x14ac:dyDescent="0.3">
      <c r="A3982" s="547" t="s">
        <v>430</v>
      </c>
      <c r="B3982" s="548" t="s">
        <v>635</v>
      </c>
      <c r="C3982" s="547" t="s">
        <v>19</v>
      </c>
      <c r="D3982" s="547" t="s">
        <v>636</v>
      </c>
      <c r="E3982" s="688" t="s">
        <v>619</v>
      </c>
      <c r="F3982" s="688"/>
      <c r="G3982" s="549" t="s">
        <v>532</v>
      </c>
      <c r="H3982" s="550">
        <v>4.3E-3</v>
      </c>
      <c r="I3982" s="551">
        <v>470.61</v>
      </c>
      <c r="J3982" s="551">
        <v>2.02</v>
      </c>
    </row>
    <row r="3983" spans="1:10" s="89" customFormat="1" ht="25" x14ac:dyDescent="0.3">
      <c r="A3983" s="547" t="s">
        <v>433</v>
      </c>
      <c r="B3983" s="548" t="s">
        <v>624</v>
      </c>
      <c r="C3983" s="547" t="s">
        <v>19</v>
      </c>
      <c r="D3983" s="547" t="s">
        <v>625</v>
      </c>
      <c r="E3983" s="688" t="s">
        <v>438</v>
      </c>
      <c r="F3983" s="688"/>
      <c r="G3983" s="549" t="s">
        <v>173</v>
      </c>
      <c r="H3983" s="550">
        <v>1.8032999999999999</v>
      </c>
      <c r="I3983" s="551">
        <v>7.78</v>
      </c>
      <c r="J3983" s="551">
        <v>14.02</v>
      </c>
    </row>
    <row r="3984" spans="1:10" x14ac:dyDescent="0.3">
      <c r="A3984" s="547" t="s">
        <v>433</v>
      </c>
      <c r="B3984" s="548" t="s">
        <v>639</v>
      </c>
      <c r="C3984" s="547" t="s">
        <v>19</v>
      </c>
      <c r="D3984" s="547" t="s">
        <v>640</v>
      </c>
      <c r="E3984" s="688" t="s">
        <v>438</v>
      </c>
      <c r="F3984" s="688"/>
      <c r="G3984" s="549" t="s">
        <v>424</v>
      </c>
      <c r="H3984" s="550">
        <v>6.9000000000000006E-2</v>
      </c>
      <c r="I3984" s="551">
        <v>19.5</v>
      </c>
      <c r="J3984" s="551">
        <v>1.34</v>
      </c>
    </row>
    <row r="3985" spans="1:10" s="89" customFormat="1" ht="25" x14ac:dyDescent="0.3">
      <c r="A3985" s="547" t="s">
        <v>433</v>
      </c>
      <c r="B3985" s="548" t="s">
        <v>3833</v>
      </c>
      <c r="C3985" s="547" t="s">
        <v>19</v>
      </c>
      <c r="D3985" s="547" t="s">
        <v>3834</v>
      </c>
      <c r="E3985" s="688" t="s">
        <v>438</v>
      </c>
      <c r="F3985" s="688"/>
      <c r="G3985" s="549" t="s">
        <v>173</v>
      </c>
      <c r="H3985" s="550">
        <v>1.8032999999999999</v>
      </c>
      <c r="I3985" s="551">
        <v>5.55</v>
      </c>
      <c r="J3985" s="551">
        <v>10</v>
      </c>
    </row>
    <row r="3986" spans="1:10" ht="38" thickBot="1" x14ac:dyDescent="0.35">
      <c r="A3986" s="547" t="s">
        <v>433</v>
      </c>
      <c r="B3986" s="548" t="s">
        <v>754</v>
      </c>
      <c r="C3986" s="547" t="s">
        <v>19</v>
      </c>
      <c r="D3986" s="547" t="s">
        <v>755</v>
      </c>
      <c r="E3986" s="688" t="s">
        <v>438</v>
      </c>
      <c r="F3986" s="688"/>
      <c r="G3986" s="549" t="s">
        <v>556</v>
      </c>
      <c r="H3986" s="550">
        <v>1.050038</v>
      </c>
      <c r="I3986" s="551">
        <v>22.73</v>
      </c>
      <c r="J3986" s="551">
        <v>23.86</v>
      </c>
    </row>
    <row r="3987" spans="1:10" s="89" customFormat="1" ht="14.5" thickTop="1" x14ac:dyDescent="0.3">
      <c r="A3987" s="562"/>
      <c r="B3987" s="562"/>
      <c r="C3987" s="562"/>
      <c r="D3987" s="562"/>
      <c r="E3987" s="562"/>
      <c r="F3987" s="562"/>
      <c r="G3987" s="562"/>
      <c r="H3987" s="562"/>
      <c r="I3987" s="562"/>
      <c r="J3987" s="562"/>
    </row>
    <row r="3988" spans="1:10" x14ac:dyDescent="0.3">
      <c r="A3988" s="553"/>
      <c r="B3988" s="554" t="s">
        <v>4</v>
      </c>
      <c r="C3988" s="553" t="s">
        <v>5</v>
      </c>
      <c r="D3988" s="553" t="s">
        <v>6</v>
      </c>
      <c r="E3988" s="691" t="s">
        <v>427</v>
      </c>
      <c r="F3988" s="691"/>
      <c r="G3988" s="555" t="s">
        <v>7</v>
      </c>
      <c r="H3988" s="554" t="s">
        <v>8</v>
      </c>
      <c r="I3988" s="554" t="s">
        <v>9</v>
      </c>
      <c r="J3988" s="554" t="s">
        <v>11</v>
      </c>
    </row>
    <row r="3989" spans="1:10" ht="37.5" x14ac:dyDescent="0.3">
      <c r="A3989" s="607" t="s">
        <v>428</v>
      </c>
      <c r="B3989" s="608" t="s">
        <v>690</v>
      </c>
      <c r="C3989" s="607" t="s">
        <v>19</v>
      </c>
      <c r="D3989" s="607" t="s">
        <v>691</v>
      </c>
      <c r="E3989" s="690" t="s">
        <v>481</v>
      </c>
      <c r="F3989" s="690"/>
      <c r="G3989" s="609" t="s">
        <v>556</v>
      </c>
      <c r="H3989" s="610">
        <v>1</v>
      </c>
      <c r="I3989" s="611">
        <v>86.04</v>
      </c>
      <c r="J3989" s="611">
        <v>86.04</v>
      </c>
    </row>
    <row r="3990" spans="1:10" ht="14.25" customHeight="1" x14ac:dyDescent="0.3">
      <c r="A3990" s="547" t="s">
        <v>430</v>
      </c>
      <c r="B3990" s="548" t="s">
        <v>629</v>
      </c>
      <c r="C3990" s="547" t="s">
        <v>19</v>
      </c>
      <c r="D3990" s="547" t="s">
        <v>630</v>
      </c>
      <c r="E3990" s="688" t="s">
        <v>429</v>
      </c>
      <c r="F3990" s="688"/>
      <c r="G3990" s="549" t="s">
        <v>423</v>
      </c>
      <c r="H3990" s="550">
        <v>0.55000000000000004</v>
      </c>
      <c r="I3990" s="551">
        <v>24.12</v>
      </c>
      <c r="J3990" s="551">
        <v>13.26</v>
      </c>
    </row>
    <row r="3991" spans="1:10" s="89" customFormat="1" ht="15" customHeight="1" x14ac:dyDescent="0.3">
      <c r="A3991" s="547" t="s">
        <v>430</v>
      </c>
      <c r="B3991" s="548" t="s">
        <v>620</v>
      </c>
      <c r="C3991" s="547" t="s">
        <v>19</v>
      </c>
      <c r="D3991" s="547" t="s">
        <v>621</v>
      </c>
      <c r="E3991" s="688" t="s">
        <v>429</v>
      </c>
      <c r="F3991" s="688"/>
      <c r="G3991" s="549" t="s">
        <v>423</v>
      </c>
      <c r="H3991" s="550">
        <v>0.81599999999999995</v>
      </c>
      <c r="I3991" s="551">
        <v>30.71</v>
      </c>
      <c r="J3991" s="551">
        <v>25.05</v>
      </c>
    </row>
    <row r="3992" spans="1:10" ht="25.5" customHeight="1" x14ac:dyDescent="0.3">
      <c r="A3992" s="547" t="s">
        <v>430</v>
      </c>
      <c r="B3992" s="548" t="s">
        <v>631</v>
      </c>
      <c r="C3992" s="547" t="s">
        <v>19</v>
      </c>
      <c r="D3992" s="547" t="s">
        <v>632</v>
      </c>
      <c r="E3992" s="688" t="s">
        <v>461</v>
      </c>
      <c r="F3992" s="688"/>
      <c r="G3992" s="549" t="s">
        <v>95</v>
      </c>
      <c r="H3992" s="550">
        <v>1.8700000000000001E-2</v>
      </c>
      <c r="I3992" s="551">
        <v>26.94</v>
      </c>
      <c r="J3992" s="551">
        <v>0.5</v>
      </c>
    </row>
    <row r="3993" spans="1:10" s="89" customFormat="1" ht="25.5" customHeight="1" x14ac:dyDescent="0.3">
      <c r="A3993" s="547" t="s">
        <v>430</v>
      </c>
      <c r="B3993" s="548" t="s">
        <v>633</v>
      </c>
      <c r="C3993" s="547" t="s">
        <v>19</v>
      </c>
      <c r="D3993" s="547" t="s">
        <v>634</v>
      </c>
      <c r="E3993" s="688" t="s">
        <v>461</v>
      </c>
      <c r="F3993" s="688"/>
      <c r="G3993" s="549" t="s">
        <v>102</v>
      </c>
      <c r="H3993" s="550">
        <v>7.51E-2</v>
      </c>
      <c r="I3993" s="551">
        <v>25.9</v>
      </c>
      <c r="J3993" s="551">
        <v>1.94</v>
      </c>
    </row>
    <row r="3994" spans="1:10" ht="25" x14ac:dyDescent="0.3">
      <c r="A3994" s="547" t="s">
        <v>430</v>
      </c>
      <c r="B3994" s="548" t="s">
        <v>635</v>
      </c>
      <c r="C3994" s="547" t="s">
        <v>19</v>
      </c>
      <c r="D3994" s="547" t="s">
        <v>636</v>
      </c>
      <c r="E3994" s="688" t="s">
        <v>619</v>
      </c>
      <c r="F3994" s="688"/>
      <c r="G3994" s="549" t="s">
        <v>532</v>
      </c>
      <c r="H3994" s="550">
        <v>2.8999999999999998E-3</v>
      </c>
      <c r="I3994" s="551">
        <v>470.61</v>
      </c>
      <c r="J3994" s="551">
        <v>1.36</v>
      </c>
    </row>
    <row r="3995" spans="1:10" ht="25" x14ac:dyDescent="0.3">
      <c r="A3995" s="547" t="s">
        <v>433</v>
      </c>
      <c r="B3995" s="548" t="s">
        <v>624</v>
      </c>
      <c r="C3995" s="547" t="s">
        <v>19</v>
      </c>
      <c r="D3995" s="547" t="s">
        <v>625</v>
      </c>
      <c r="E3995" s="688" t="s">
        <v>438</v>
      </c>
      <c r="F3995" s="688"/>
      <c r="G3995" s="549" t="s">
        <v>173</v>
      </c>
      <c r="H3995" s="550">
        <v>1.2307999999999999</v>
      </c>
      <c r="I3995" s="551">
        <v>7.78</v>
      </c>
      <c r="J3995" s="551">
        <v>9.57</v>
      </c>
    </row>
    <row r="3996" spans="1:10" x14ac:dyDescent="0.3">
      <c r="A3996" s="547" t="s">
        <v>433</v>
      </c>
      <c r="B3996" s="548" t="s">
        <v>639</v>
      </c>
      <c r="C3996" s="547" t="s">
        <v>19</v>
      </c>
      <c r="D3996" s="547" t="s">
        <v>640</v>
      </c>
      <c r="E3996" s="688" t="s">
        <v>438</v>
      </c>
      <c r="F3996" s="688"/>
      <c r="G3996" s="549" t="s">
        <v>424</v>
      </c>
      <c r="H3996" s="550">
        <v>5.7000000000000002E-2</v>
      </c>
      <c r="I3996" s="551">
        <v>19.5</v>
      </c>
      <c r="J3996" s="551">
        <v>1.1100000000000001</v>
      </c>
    </row>
    <row r="3997" spans="1:10" ht="25" x14ac:dyDescent="0.3">
      <c r="A3997" s="547" t="s">
        <v>433</v>
      </c>
      <c r="B3997" s="548" t="s">
        <v>3833</v>
      </c>
      <c r="C3997" s="547" t="s">
        <v>19</v>
      </c>
      <c r="D3997" s="547" t="s">
        <v>3834</v>
      </c>
      <c r="E3997" s="688" t="s">
        <v>438</v>
      </c>
      <c r="F3997" s="688"/>
      <c r="G3997" s="549" t="s">
        <v>173</v>
      </c>
      <c r="H3997" s="550">
        <v>1.6922999999999999</v>
      </c>
      <c r="I3997" s="551">
        <v>5.55</v>
      </c>
      <c r="J3997" s="551">
        <v>9.39</v>
      </c>
    </row>
    <row r="3998" spans="1:10" ht="38" thickBot="1" x14ac:dyDescent="0.35">
      <c r="A3998" s="547" t="s">
        <v>433</v>
      </c>
      <c r="B3998" s="548" t="s">
        <v>754</v>
      </c>
      <c r="C3998" s="547" t="s">
        <v>19</v>
      </c>
      <c r="D3998" s="547" t="s">
        <v>755</v>
      </c>
      <c r="E3998" s="688" t="s">
        <v>438</v>
      </c>
      <c r="F3998" s="688"/>
      <c r="G3998" s="549" t="s">
        <v>556</v>
      </c>
      <c r="H3998" s="550">
        <v>1.050038</v>
      </c>
      <c r="I3998" s="551">
        <v>22.73</v>
      </c>
      <c r="J3998" s="551">
        <v>23.86</v>
      </c>
    </row>
    <row r="3999" spans="1:10" s="89" customFormat="1" ht="14.5" thickTop="1" x14ac:dyDescent="0.3">
      <c r="A3999" s="562"/>
      <c r="B3999" s="562"/>
      <c r="C3999" s="562"/>
      <c r="D3999" s="562"/>
      <c r="E3999" s="562"/>
      <c r="F3999" s="562"/>
      <c r="G3999" s="562"/>
      <c r="H3999" s="562"/>
      <c r="I3999" s="562"/>
      <c r="J3999" s="562"/>
    </row>
    <row r="4000" spans="1:10" x14ac:dyDescent="0.3">
      <c r="A4000" s="553"/>
      <c r="B4000" s="554" t="s">
        <v>4</v>
      </c>
      <c r="C4000" s="553" t="s">
        <v>5</v>
      </c>
      <c r="D4000" s="553" t="s">
        <v>6</v>
      </c>
      <c r="E4000" s="691" t="s">
        <v>427</v>
      </c>
      <c r="F4000" s="691"/>
      <c r="G4000" s="555" t="s">
        <v>7</v>
      </c>
      <c r="H4000" s="554" t="s">
        <v>8</v>
      </c>
      <c r="I4000" s="554" t="s">
        <v>9</v>
      </c>
      <c r="J4000" s="554" t="s">
        <v>11</v>
      </c>
    </row>
    <row r="4001" spans="1:10" s="89" customFormat="1" ht="37.5" x14ac:dyDescent="0.3">
      <c r="A4001" s="607" t="s">
        <v>428</v>
      </c>
      <c r="B4001" s="608" t="s">
        <v>696</v>
      </c>
      <c r="C4001" s="607" t="s">
        <v>19</v>
      </c>
      <c r="D4001" s="607" t="s">
        <v>697</v>
      </c>
      <c r="E4001" s="690" t="s">
        <v>481</v>
      </c>
      <c r="F4001" s="690"/>
      <c r="G4001" s="609" t="s">
        <v>556</v>
      </c>
      <c r="H4001" s="610">
        <v>1</v>
      </c>
      <c r="I4001" s="611">
        <v>133.46</v>
      </c>
      <c r="J4001" s="611">
        <v>133.46</v>
      </c>
    </row>
    <row r="4002" spans="1:10" s="89" customFormat="1" ht="15" customHeight="1" x14ac:dyDescent="0.3">
      <c r="A4002" s="547" t="s">
        <v>430</v>
      </c>
      <c r="B4002" s="548" t="s">
        <v>629</v>
      </c>
      <c r="C4002" s="547" t="s">
        <v>19</v>
      </c>
      <c r="D4002" s="547" t="s">
        <v>630</v>
      </c>
      <c r="E4002" s="688" t="s">
        <v>429</v>
      </c>
      <c r="F4002" s="688"/>
      <c r="G4002" s="549" t="s">
        <v>423</v>
      </c>
      <c r="H4002" s="550">
        <v>0.995</v>
      </c>
      <c r="I4002" s="551">
        <v>24.12</v>
      </c>
      <c r="J4002" s="551">
        <v>23.99</v>
      </c>
    </row>
    <row r="4003" spans="1:10" s="89" customFormat="1" ht="15" customHeight="1" x14ac:dyDescent="0.3">
      <c r="A4003" s="547" t="s">
        <v>430</v>
      </c>
      <c r="B4003" s="548" t="s">
        <v>620</v>
      </c>
      <c r="C4003" s="547" t="s">
        <v>19</v>
      </c>
      <c r="D4003" s="547" t="s">
        <v>621</v>
      </c>
      <c r="E4003" s="688" t="s">
        <v>429</v>
      </c>
      <c r="F4003" s="688"/>
      <c r="G4003" s="549" t="s">
        <v>423</v>
      </c>
      <c r="H4003" s="550">
        <v>1.4750000000000001</v>
      </c>
      <c r="I4003" s="551">
        <v>30.71</v>
      </c>
      <c r="J4003" s="551">
        <v>45.29</v>
      </c>
    </row>
    <row r="4004" spans="1:10" ht="25.5" customHeight="1" x14ac:dyDescent="0.3">
      <c r="A4004" s="547" t="s">
        <v>430</v>
      </c>
      <c r="B4004" s="548" t="s">
        <v>631</v>
      </c>
      <c r="C4004" s="547" t="s">
        <v>19</v>
      </c>
      <c r="D4004" s="547" t="s">
        <v>632</v>
      </c>
      <c r="E4004" s="688" t="s">
        <v>461</v>
      </c>
      <c r="F4004" s="688"/>
      <c r="G4004" s="549" t="s">
        <v>95</v>
      </c>
      <c r="H4004" s="550">
        <v>3.4599999999999999E-2</v>
      </c>
      <c r="I4004" s="551">
        <v>26.94</v>
      </c>
      <c r="J4004" s="551">
        <v>0.93</v>
      </c>
    </row>
    <row r="4005" spans="1:10" s="89" customFormat="1" ht="25.5" customHeight="1" x14ac:dyDescent="0.3">
      <c r="A4005" s="547" t="s">
        <v>430</v>
      </c>
      <c r="B4005" s="548" t="s">
        <v>633</v>
      </c>
      <c r="C4005" s="547" t="s">
        <v>19</v>
      </c>
      <c r="D4005" s="547" t="s">
        <v>634</v>
      </c>
      <c r="E4005" s="688" t="s">
        <v>461</v>
      </c>
      <c r="F4005" s="688"/>
      <c r="G4005" s="549" t="s">
        <v>102</v>
      </c>
      <c r="H4005" s="550">
        <v>0.1391</v>
      </c>
      <c r="I4005" s="551">
        <v>25.9</v>
      </c>
      <c r="J4005" s="551">
        <v>3.6</v>
      </c>
    </row>
    <row r="4006" spans="1:10" ht="14.25" customHeight="1" x14ac:dyDescent="0.3">
      <c r="A4006" s="547" t="s">
        <v>430</v>
      </c>
      <c r="B4006" s="548" t="s">
        <v>635</v>
      </c>
      <c r="C4006" s="547" t="s">
        <v>19</v>
      </c>
      <c r="D4006" s="547" t="s">
        <v>636</v>
      </c>
      <c r="E4006" s="688" t="s">
        <v>619</v>
      </c>
      <c r="F4006" s="688"/>
      <c r="G4006" s="549" t="s">
        <v>532</v>
      </c>
      <c r="H4006" s="550">
        <v>6.1999999999999998E-3</v>
      </c>
      <c r="I4006" s="551">
        <v>470.61</v>
      </c>
      <c r="J4006" s="551">
        <v>2.91</v>
      </c>
    </row>
    <row r="4007" spans="1:10" s="89" customFormat="1" ht="15" customHeight="1" x14ac:dyDescent="0.3">
      <c r="A4007" s="547" t="s">
        <v>433</v>
      </c>
      <c r="B4007" s="548" t="s">
        <v>624</v>
      </c>
      <c r="C4007" s="547" t="s">
        <v>19</v>
      </c>
      <c r="D4007" s="547" t="s">
        <v>625</v>
      </c>
      <c r="E4007" s="688" t="s">
        <v>438</v>
      </c>
      <c r="F4007" s="688"/>
      <c r="G4007" s="549" t="s">
        <v>173</v>
      </c>
      <c r="H4007" s="550">
        <v>2.6139000000000001</v>
      </c>
      <c r="I4007" s="551">
        <v>7.78</v>
      </c>
      <c r="J4007" s="551">
        <v>20.329999999999998</v>
      </c>
    </row>
    <row r="4008" spans="1:10" ht="14.25" customHeight="1" x14ac:dyDescent="0.3">
      <c r="A4008" s="547" t="s">
        <v>433</v>
      </c>
      <c r="B4008" s="548" t="s">
        <v>639</v>
      </c>
      <c r="C4008" s="547" t="s">
        <v>19</v>
      </c>
      <c r="D4008" s="547" t="s">
        <v>640</v>
      </c>
      <c r="E4008" s="688" t="s">
        <v>438</v>
      </c>
      <c r="F4008" s="688"/>
      <c r="G4008" s="549" t="s">
        <v>424</v>
      </c>
      <c r="H4008" s="550">
        <v>8.5999999999999993E-2</v>
      </c>
      <c r="I4008" s="551">
        <v>19.5</v>
      </c>
      <c r="J4008" s="551">
        <v>1.67</v>
      </c>
    </row>
    <row r="4009" spans="1:10" s="89" customFormat="1" ht="25" x14ac:dyDescent="0.3">
      <c r="A4009" s="547" t="s">
        <v>433</v>
      </c>
      <c r="B4009" s="548" t="s">
        <v>3833</v>
      </c>
      <c r="C4009" s="547" t="s">
        <v>19</v>
      </c>
      <c r="D4009" s="547" t="s">
        <v>3834</v>
      </c>
      <c r="E4009" s="688" t="s">
        <v>438</v>
      </c>
      <c r="F4009" s="688"/>
      <c r="G4009" s="549" t="s">
        <v>173</v>
      </c>
      <c r="H4009" s="550">
        <v>1.9603999999999999</v>
      </c>
      <c r="I4009" s="551">
        <v>5.55</v>
      </c>
      <c r="J4009" s="551">
        <v>10.88</v>
      </c>
    </row>
    <row r="4010" spans="1:10" ht="14.25" customHeight="1" thickBot="1" x14ac:dyDescent="0.35">
      <c r="A4010" s="547" t="s">
        <v>433</v>
      </c>
      <c r="B4010" s="548" t="s">
        <v>754</v>
      </c>
      <c r="C4010" s="547" t="s">
        <v>19</v>
      </c>
      <c r="D4010" s="547" t="s">
        <v>755</v>
      </c>
      <c r="E4010" s="688" t="s">
        <v>438</v>
      </c>
      <c r="F4010" s="688"/>
      <c r="G4010" s="549" t="s">
        <v>556</v>
      </c>
      <c r="H4010" s="550">
        <v>1.050038</v>
      </c>
      <c r="I4010" s="551">
        <v>22.73</v>
      </c>
      <c r="J4010" s="551">
        <v>23.86</v>
      </c>
    </row>
    <row r="4011" spans="1:10" s="89" customFormat="1" ht="15" customHeight="1" thickTop="1" x14ac:dyDescent="0.3">
      <c r="A4011" s="562"/>
      <c r="B4011" s="562"/>
      <c r="C4011" s="562"/>
      <c r="D4011" s="562"/>
      <c r="E4011" s="562"/>
      <c r="F4011" s="562"/>
      <c r="G4011" s="562"/>
      <c r="H4011" s="562"/>
      <c r="I4011" s="562"/>
      <c r="J4011" s="562"/>
    </row>
    <row r="4012" spans="1:10" ht="15" customHeight="1" x14ac:dyDescent="0.3">
      <c r="A4012" s="553"/>
      <c r="B4012" s="554" t="s">
        <v>4</v>
      </c>
      <c r="C4012" s="553" t="s">
        <v>5</v>
      </c>
      <c r="D4012" s="553" t="s">
        <v>6</v>
      </c>
      <c r="E4012" s="691" t="s">
        <v>427</v>
      </c>
      <c r="F4012" s="691"/>
      <c r="G4012" s="555" t="s">
        <v>7</v>
      </c>
      <c r="H4012" s="554" t="s">
        <v>8</v>
      </c>
      <c r="I4012" s="554" t="s">
        <v>9</v>
      </c>
      <c r="J4012" s="554" t="s">
        <v>11</v>
      </c>
    </row>
    <row r="4013" spans="1:10" s="89" customFormat="1" ht="37.5" x14ac:dyDescent="0.3">
      <c r="A4013" s="607" t="s">
        <v>428</v>
      </c>
      <c r="B4013" s="608" t="s">
        <v>692</v>
      </c>
      <c r="C4013" s="607" t="s">
        <v>19</v>
      </c>
      <c r="D4013" s="607" t="s">
        <v>693</v>
      </c>
      <c r="E4013" s="690" t="s">
        <v>481</v>
      </c>
      <c r="F4013" s="690"/>
      <c r="G4013" s="609" t="s">
        <v>556</v>
      </c>
      <c r="H4013" s="610">
        <v>1</v>
      </c>
      <c r="I4013" s="611">
        <v>141.79</v>
      </c>
      <c r="J4013" s="611">
        <v>141.79</v>
      </c>
    </row>
    <row r="4014" spans="1:10" ht="15" customHeight="1" x14ac:dyDescent="0.3">
      <c r="A4014" s="547" t="s">
        <v>430</v>
      </c>
      <c r="B4014" s="548" t="s">
        <v>629</v>
      </c>
      <c r="C4014" s="547" t="s">
        <v>19</v>
      </c>
      <c r="D4014" s="547" t="s">
        <v>630</v>
      </c>
      <c r="E4014" s="688" t="s">
        <v>429</v>
      </c>
      <c r="F4014" s="688"/>
      <c r="G4014" s="549" t="s">
        <v>423</v>
      </c>
      <c r="H4014" s="550">
        <v>0.28439999999999999</v>
      </c>
      <c r="I4014" s="551">
        <v>24.12</v>
      </c>
      <c r="J4014" s="551">
        <v>6.85</v>
      </c>
    </row>
    <row r="4015" spans="1:10" ht="14.25" customHeight="1" x14ac:dyDescent="0.3">
      <c r="A4015" s="547" t="s">
        <v>430</v>
      </c>
      <c r="B4015" s="548" t="s">
        <v>620</v>
      </c>
      <c r="C4015" s="547" t="s">
        <v>19</v>
      </c>
      <c r="D4015" s="547" t="s">
        <v>621</v>
      </c>
      <c r="E4015" s="688" t="s">
        <v>429</v>
      </c>
      <c r="F4015" s="688"/>
      <c r="G4015" s="549" t="s">
        <v>423</v>
      </c>
      <c r="H4015" s="550">
        <v>0.85319999999999996</v>
      </c>
      <c r="I4015" s="551">
        <v>30.71</v>
      </c>
      <c r="J4015" s="551">
        <v>26.2</v>
      </c>
    </row>
    <row r="4016" spans="1:10" ht="25.5" customHeight="1" x14ac:dyDescent="0.3">
      <c r="A4016" s="547" t="s">
        <v>430</v>
      </c>
      <c r="B4016" s="548" t="s">
        <v>631</v>
      </c>
      <c r="C4016" s="547" t="s">
        <v>19</v>
      </c>
      <c r="D4016" s="547" t="s">
        <v>632</v>
      </c>
      <c r="E4016" s="688" t="s">
        <v>461</v>
      </c>
      <c r="F4016" s="688"/>
      <c r="G4016" s="549" t="s">
        <v>95</v>
      </c>
      <c r="H4016" s="550">
        <v>7.6E-3</v>
      </c>
      <c r="I4016" s="551">
        <v>26.94</v>
      </c>
      <c r="J4016" s="551">
        <v>0.2</v>
      </c>
    </row>
    <row r="4017" spans="1:10" ht="14.25" customHeight="1" x14ac:dyDescent="0.3">
      <c r="A4017" s="547" t="s">
        <v>430</v>
      </c>
      <c r="B4017" s="548" t="s">
        <v>633</v>
      </c>
      <c r="C4017" s="547" t="s">
        <v>19</v>
      </c>
      <c r="D4017" s="547" t="s">
        <v>634</v>
      </c>
      <c r="E4017" s="688" t="s">
        <v>461</v>
      </c>
      <c r="F4017" s="688"/>
      <c r="G4017" s="549" t="s">
        <v>102</v>
      </c>
      <c r="H4017" s="550">
        <v>3.32E-2</v>
      </c>
      <c r="I4017" s="551">
        <v>25.9</v>
      </c>
      <c r="J4017" s="551">
        <v>0.85</v>
      </c>
    </row>
    <row r="4018" spans="1:10" ht="14.25" customHeight="1" x14ac:dyDescent="0.3">
      <c r="A4018" s="547" t="s">
        <v>430</v>
      </c>
      <c r="B4018" s="548" t="s">
        <v>635</v>
      </c>
      <c r="C4018" s="547" t="s">
        <v>19</v>
      </c>
      <c r="D4018" s="547" t="s">
        <v>636</v>
      </c>
      <c r="E4018" s="688" t="s">
        <v>619</v>
      </c>
      <c r="F4018" s="688"/>
      <c r="G4018" s="549" t="s">
        <v>532</v>
      </c>
      <c r="H4018" s="550">
        <v>1.5E-3</v>
      </c>
      <c r="I4018" s="551">
        <v>470.61</v>
      </c>
      <c r="J4018" s="551">
        <v>0.7</v>
      </c>
    </row>
    <row r="4019" spans="1:10" ht="14.25" customHeight="1" x14ac:dyDescent="0.3">
      <c r="A4019" s="547" t="s">
        <v>433</v>
      </c>
      <c r="B4019" s="548" t="s">
        <v>637</v>
      </c>
      <c r="C4019" s="547" t="s">
        <v>19</v>
      </c>
      <c r="D4019" s="547" t="s">
        <v>3515</v>
      </c>
      <c r="E4019" s="688" t="s">
        <v>438</v>
      </c>
      <c r="F4019" s="688"/>
      <c r="G4019" s="549" t="s">
        <v>173</v>
      </c>
      <c r="H4019" s="550">
        <v>1.6922999999999999</v>
      </c>
      <c r="I4019" s="551">
        <v>30.09</v>
      </c>
      <c r="J4019" s="551">
        <v>50.92</v>
      </c>
    </row>
    <row r="4020" spans="1:10" ht="25.5" customHeight="1" x14ac:dyDescent="0.3">
      <c r="A4020" s="547" t="s">
        <v>433</v>
      </c>
      <c r="B4020" s="548" t="s">
        <v>638</v>
      </c>
      <c r="C4020" s="547" t="s">
        <v>19</v>
      </c>
      <c r="D4020" s="547" t="s">
        <v>3516</v>
      </c>
      <c r="E4020" s="688" t="s">
        <v>438</v>
      </c>
      <c r="F4020" s="688"/>
      <c r="G4020" s="549" t="s">
        <v>173</v>
      </c>
      <c r="H4020" s="550">
        <v>1.2307999999999999</v>
      </c>
      <c r="I4020" s="551">
        <v>25.36</v>
      </c>
      <c r="J4020" s="551">
        <v>31.21</v>
      </c>
    </row>
    <row r="4021" spans="1:10" ht="25.5" customHeight="1" x14ac:dyDescent="0.3">
      <c r="A4021" s="547" t="s">
        <v>433</v>
      </c>
      <c r="B4021" s="548" t="s">
        <v>639</v>
      </c>
      <c r="C4021" s="547" t="s">
        <v>19</v>
      </c>
      <c r="D4021" s="547" t="s">
        <v>640</v>
      </c>
      <c r="E4021" s="688" t="s">
        <v>438</v>
      </c>
      <c r="F4021" s="688"/>
      <c r="G4021" s="549" t="s">
        <v>424</v>
      </c>
      <c r="H4021" s="550">
        <v>5.1700000000000003E-2</v>
      </c>
      <c r="I4021" s="551">
        <v>19.5</v>
      </c>
      <c r="J4021" s="551">
        <v>1</v>
      </c>
    </row>
    <row r="4022" spans="1:10" s="89" customFormat="1" ht="15" customHeight="1" thickBot="1" x14ac:dyDescent="0.35">
      <c r="A4022" s="547" t="s">
        <v>433</v>
      </c>
      <c r="B4022" s="548" t="s">
        <v>754</v>
      </c>
      <c r="C4022" s="547" t="s">
        <v>19</v>
      </c>
      <c r="D4022" s="547" t="s">
        <v>755</v>
      </c>
      <c r="E4022" s="688" t="s">
        <v>438</v>
      </c>
      <c r="F4022" s="688"/>
      <c r="G4022" s="549" t="s">
        <v>556</v>
      </c>
      <c r="H4022" s="550">
        <v>1.050038</v>
      </c>
      <c r="I4022" s="551">
        <v>22.73</v>
      </c>
      <c r="J4022" s="551">
        <v>23.86</v>
      </c>
    </row>
    <row r="4023" spans="1:10" ht="14.5" thickTop="1" x14ac:dyDescent="0.3">
      <c r="A4023" s="562"/>
      <c r="B4023" s="562"/>
      <c r="C4023" s="562"/>
      <c r="D4023" s="562"/>
      <c r="E4023" s="562"/>
      <c r="F4023" s="562"/>
      <c r="G4023" s="562"/>
      <c r="H4023" s="562"/>
      <c r="I4023" s="562"/>
      <c r="J4023" s="562"/>
    </row>
    <row r="4024" spans="1:10" s="89" customFormat="1" x14ac:dyDescent="0.3">
      <c r="A4024" s="553"/>
      <c r="B4024" s="554" t="s">
        <v>4</v>
      </c>
      <c r="C4024" s="553" t="s">
        <v>5</v>
      </c>
      <c r="D4024" s="553" t="s">
        <v>6</v>
      </c>
      <c r="E4024" s="691" t="s">
        <v>427</v>
      </c>
      <c r="F4024" s="691"/>
      <c r="G4024" s="555" t="s">
        <v>7</v>
      </c>
      <c r="H4024" s="554" t="s">
        <v>8</v>
      </c>
      <c r="I4024" s="554" t="s">
        <v>9</v>
      </c>
      <c r="J4024" s="554" t="s">
        <v>11</v>
      </c>
    </row>
    <row r="4025" spans="1:10" ht="15" customHeight="1" x14ac:dyDescent="0.3">
      <c r="A4025" s="607" t="s">
        <v>428</v>
      </c>
      <c r="B4025" s="608" t="s">
        <v>1187</v>
      </c>
      <c r="C4025" s="607" t="s">
        <v>196</v>
      </c>
      <c r="D4025" s="607" t="s">
        <v>3918</v>
      </c>
      <c r="E4025" s="690">
        <v>57</v>
      </c>
      <c r="F4025" s="690"/>
      <c r="G4025" s="609" t="s">
        <v>21</v>
      </c>
      <c r="H4025" s="610">
        <v>1</v>
      </c>
      <c r="I4025" s="611">
        <v>5604.3</v>
      </c>
      <c r="J4025" s="611">
        <v>5604.3</v>
      </c>
    </row>
    <row r="4026" spans="1:10" ht="15" customHeight="1" thickBot="1" x14ac:dyDescent="0.35">
      <c r="A4026" s="547" t="s">
        <v>430</v>
      </c>
      <c r="B4026" s="548" t="s">
        <v>1192</v>
      </c>
      <c r="C4026" s="547" t="s">
        <v>19</v>
      </c>
      <c r="D4026" s="547" t="s">
        <v>761</v>
      </c>
      <c r="E4026" s="688" t="s">
        <v>429</v>
      </c>
      <c r="F4026" s="688"/>
      <c r="G4026" s="549" t="s">
        <v>21</v>
      </c>
      <c r="H4026" s="550">
        <v>1</v>
      </c>
      <c r="I4026" s="551">
        <v>5604.3</v>
      </c>
      <c r="J4026" s="551">
        <v>5604.3</v>
      </c>
    </row>
    <row r="4027" spans="1:10" s="89" customFormat="1" ht="14.5" thickTop="1" x14ac:dyDescent="0.3">
      <c r="A4027" s="562"/>
      <c r="B4027" s="562"/>
      <c r="C4027" s="562"/>
      <c r="D4027" s="562"/>
      <c r="E4027" s="562"/>
      <c r="F4027" s="562"/>
      <c r="G4027" s="562"/>
      <c r="H4027" s="562"/>
      <c r="I4027" s="562"/>
      <c r="J4027" s="562"/>
    </row>
    <row r="4028" spans="1:10" s="89" customFormat="1" x14ac:dyDescent="0.3">
      <c r="A4028" s="553"/>
      <c r="B4028" s="554" t="s">
        <v>4</v>
      </c>
      <c r="C4028" s="553" t="s">
        <v>5</v>
      </c>
      <c r="D4028" s="553" t="s">
        <v>6</v>
      </c>
      <c r="E4028" s="691" t="s">
        <v>427</v>
      </c>
      <c r="F4028" s="691"/>
      <c r="G4028" s="555" t="s">
        <v>7</v>
      </c>
      <c r="H4028" s="554" t="s">
        <v>8</v>
      </c>
      <c r="I4028" s="554" t="s">
        <v>9</v>
      </c>
      <c r="J4028" s="554" t="s">
        <v>11</v>
      </c>
    </row>
    <row r="4029" spans="1:10" s="89" customFormat="1" ht="15" customHeight="1" x14ac:dyDescent="0.3">
      <c r="A4029" s="607" t="s">
        <v>428</v>
      </c>
      <c r="B4029" s="608" t="s">
        <v>760</v>
      </c>
      <c r="C4029" s="607" t="s">
        <v>19</v>
      </c>
      <c r="D4029" s="607" t="s">
        <v>761</v>
      </c>
      <c r="E4029" s="690" t="s">
        <v>429</v>
      </c>
      <c r="F4029" s="690"/>
      <c r="G4029" s="609" t="s">
        <v>423</v>
      </c>
      <c r="H4029" s="610">
        <v>1</v>
      </c>
      <c r="I4029" s="611">
        <v>31.1</v>
      </c>
      <c r="J4029" s="611">
        <v>31.1</v>
      </c>
    </row>
    <row r="4030" spans="1:10" ht="14.25" customHeight="1" x14ac:dyDescent="0.3">
      <c r="A4030" s="547" t="s">
        <v>430</v>
      </c>
      <c r="B4030" s="548" t="s">
        <v>1503</v>
      </c>
      <c r="C4030" s="547" t="s">
        <v>19</v>
      </c>
      <c r="D4030" s="547" t="s">
        <v>1504</v>
      </c>
      <c r="E4030" s="688" t="s">
        <v>429</v>
      </c>
      <c r="F4030" s="688"/>
      <c r="G4030" s="549" t="s">
        <v>423</v>
      </c>
      <c r="H4030" s="550">
        <v>1</v>
      </c>
      <c r="I4030" s="551">
        <v>0.53</v>
      </c>
      <c r="J4030" s="551">
        <v>0.53</v>
      </c>
    </row>
    <row r="4031" spans="1:10" ht="25.5" customHeight="1" x14ac:dyDescent="0.3">
      <c r="A4031" s="547" t="s">
        <v>433</v>
      </c>
      <c r="B4031" s="548" t="s">
        <v>1505</v>
      </c>
      <c r="C4031" s="547" t="s">
        <v>19</v>
      </c>
      <c r="D4031" s="547" t="s">
        <v>1506</v>
      </c>
      <c r="E4031" s="688" t="s">
        <v>436</v>
      </c>
      <c r="F4031" s="688"/>
      <c r="G4031" s="549" t="s">
        <v>423</v>
      </c>
      <c r="H4031" s="550">
        <v>1</v>
      </c>
      <c r="I4031" s="551">
        <v>21.83</v>
      </c>
      <c r="J4031" s="551">
        <v>21.83</v>
      </c>
    </row>
    <row r="4032" spans="1:10" ht="25.5" customHeight="1" x14ac:dyDescent="0.3">
      <c r="A4032" s="547" t="s">
        <v>433</v>
      </c>
      <c r="B4032" s="548" t="s">
        <v>1213</v>
      </c>
      <c r="C4032" s="547" t="s">
        <v>19</v>
      </c>
      <c r="D4032" s="547" t="s">
        <v>3592</v>
      </c>
      <c r="E4032" s="688" t="s">
        <v>862</v>
      </c>
      <c r="F4032" s="688"/>
      <c r="G4032" s="549" t="s">
        <v>423</v>
      </c>
      <c r="H4032" s="550">
        <v>1</v>
      </c>
      <c r="I4032" s="551">
        <v>3.8</v>
      </c>
      <c r="J4032" s="551">
        <v>3.8</v>
      </c>
    </row>
    <row r="4033" spans="1:10" s="89" customFormat="1" ht="25.5" customHeight="1" x14ac:dyDescent="0.3">
      <c r="A4033" s="547" t="s">
        <v>433</v>
      </c>
      <c r="B4033" s="548" t="s">
        <v>1214</v>
      </c>
      <c r="C4033" s="547" t="s">
        <v>19</v>
      </c>
      <c r="D4033" s="547" t="s">
        <v>3593</v>
      </c>
      <c r="E4033" s="688" t="s">
        <v>1215</v>
      </c>
      <c r="F4033" s="688"/>
      <c r="G4033" s="549" t="s">
        <v>423</v>
      </c>
      <c r="H4033" s="550">
        <v>1</v>
      </c>
      <c r="I4033" s="551">
        <v>1.5</v>
      </c>
      <c r="J4033" s="551">
        <v>1.5</v>
      </c>
    </row>
    <row r="4034" spans="1:10" ht="25" x14ac:dyDescent="0.3">
      <c r="A4034" s="547" t="s">
        <v>433</v>
      </c>
      <c r="B4034" s="548" t="s">
        <v>1216</v>
      </c>
      <c r="C4034" s="547" t="s">
        <v>19</v>
      </c>
      <c r="D4034" s="547" t="s">
        <v>3594</v>
      </c>
      <c r="E4034" s="688" t="s">
        <v>862</v>
      </c>
      <c r="F4034" s="688"/>
      <c r="G4034" s="549" t="s">
        <v>423</v>
      </c>
      <c r="H4034" s="550">
        <v>1</v>
      </c>
      <c r="I4034" s="551">
        <v>1.34</v>
      </c>
      <c r="J4034" s="551">
        <v>1.34</v>
      </c>
    </row>
    <row r="4035" spans="1:10" s="89" customFormat="1" ht="25" x14ac:dyDescent="0.3">
      <c r="A4035" s="547" t="s">
        <v>433</v>
      </c>
      <c r="B4035" s="548" t="s">
        <v>1217</v>
      </c>
      <c r="C4035" s="547" t="s">
        <v>19</v>
      </c>
      <c r="D4035" s="547" t="s">
        <v>3595</v>
      </c>
      <c r="E4035" s="688" t="s">
        <v>531</v>
      </c>
      <c r="F4035" s="688"/>
      <c r="G4035" s="549" t="s">
        <v>423</v>
      </c>
      <c r="H4035" s="550">
        <v>1</v>
      </c>
      <c r="I4035" s="551">
        <v>0.04</v>
      </c>
      <c r="J4035" s="551">
        <v>0.04</v>
      </c>
    </row>
    <row r="4036" spans="1:10" ht="25" x14ac:dyDescent="0.3">
      <c r="A4036" s="547" t="s">
        <v>433</v>
      </c>
      <c r="B4036" s="548" t="s">
        <v>1218</v>
      </c>
      <c r="C4036" s="547" t="s">
        <v>19</v>
      </c>
      <c r="D4036" s="547" t="s">
        <v>1219</v>
      </c>
      <c r="E4036" s="688" t="s">
        <v>442</v>
      </c>
      <c r="F4036" s="688"/>
      <c r="G4036" s="549" t="s">
        <v>423</v>
      </c>
      <c r="H4036" s="550">
        <v>1</v>
      </c>
      <c r="I4036" s="551">
        <v>0.82</v>
      </c>
      <c r="J4036" s="551">
        <v>0.82</v>
      </c>
    </row>
    <row r="4037" spans="1:10" ht="25.5" thickBot="1" x14ac:dyDescent="0.35">
      <c r="A4037" s="547" t="s">
        <v>433</v>
      </c>
      <c r="B4037" s="548" t="s">
        <v>1220</v>
      </c>
      <c r="C4037" s="547" t="s">
        <v>19</v>
      </c>
      <c r="D4037" s="547" t="s">
        <v>1221</v>
      </c>
      <c r="E4037" s="688" t="s">
        <v>442</v>
      </c>
      <c r="F4037" s="688"/>
      <c r="G4037" s="549" t="s">
        <v>423</v>
      </c>
      <c r="H4037" s="550">
        <v>1</v>
      </c>
      <c r="I4037" s="551">
        <v>1.24</v>
      </c>
      <c r="J4037" s="551">
        <v>1.24</v>
      </c>
    </row>
    <row r="4038" spans="1:10" ht="14.5" thickTop="1" x14ac:dyDescent="0.3">
      <c r="A4038" s="562"/>
      <c r="B4038" s="562"/>
      <c r="C4038" s="562"/>
      <c r="D4038" s="562"/>
      <c r="E4038" s="562"/>
      <c r="F4038" s="562"/>
      <c r="G4038" s="562"/>
      <c r="H4038" s="562"/>
      <c r="I4038" s="562"/>
      <c r="J4038" s="562"/>
    </row>
    <row r="4039" spans="1:10" x14ac:dyDescent="0.3">
      <c r="A4039" s="553"/>
      <c r="B4039" s="554" t="s">
        <v>4</v>
      </c>
      <c r="C4039" s="553" t="s">
        <v>5</v>
      </c>
      <c r="D4039" s="553" t="s">
        <v>6</v>
      </c>
      <c r="E4039" s="691" t="s">
        <v>427</v>
      </c>
      <c r="F4039" s="691"/>
      <c r="G4039" s="555" t="s">
        <v>7</v>
      </c>
      <c r="H4039" s="554" t="s">
        <v>8</v>
      </c>
      <c r="I4039" s="554" t="s">
        <v>9</v>
      </c>
      <c r="J4039" s="554" t="s">
        <v>11</v>
      </c>
    </row>
    <row r="4040" spans="1:10" s="89" customFormat="1" ht="15" customHeight="1" x14ac:dyDescent="0.3">
      <c r="A4040" s="607" t="s">
        <v>428</v>
      </c>
      <c r="B4040" s="608" t="s">
        <v>1192</v>
      </c>
      <c r="C4040" s="607" t="s">
        <v>19</v>
      </c>
      <c r="D4040" s="607" t="s">
        <v>761</v>
      </c>
      <c r="E4040" s="690" t="s">
        <v>429</v>
      </c>
      <c r="F4040" s="690"/>
      <c r="G4040" s="609" t="s">
        <v>21</v>
      </c>
      <c r="H4040" s="610">
        <v>1</v>
      </c>
      <c r="I4040" s="611">
        <v>5604.3</v>
      </c>
      <c r="J4040" s="611">
        <v>5604.3</v>
      </c>
    </row>
    <row r="4041" spans="1:10" ht="14.25" customHeight="1" x14ac:dyDescent="0.3">
      <c r="A4041" s="547" t="s">
        <v>430</v>
      </c>
      <c r="B4041" s="548" t="s">
        <v>1507</v>
      </c>
      <c r="C4041" s="547" t="s">
        <v>19</v>
      </c>
      <c r="D4041" s="547" t="s">
        <v>1508</v>
      </c>
      <c r="E4041" s="688" t="s">
        <v>429</v>
      </c>
      <c r="F4041" s="688"/>
      <c r="G4041" s="549" t="s">
        <v>21</v>
      </c>
      <c r="H4041" s="550">
        <v>1</v>
      </c>
      <c r="I4041" s="551">
        <v>70.97</v>
      </c>
      <c r="J4041" s="551">
        <v>70.97</v>
      </c>
    </row>
    <row r="4042" spans="1:10" ht="14.25" customHeight="1" x14ac:dyDescent="0.3">
      <c r="A4042" s="547" t="s">
        <v>433</v>
      </c>
      <c r="B4042" s="548" t="s">
        <v>488</v>
      </c>
      <c r="C4042" s="547" t="s">
        <v>19</v>
      </c>
      <c r="D4042" s="547" t="s">
        <v>3510</v>
      </c>
      <c r="E4042" s="688" t="s">
        <v>438</v>
      </c>
      <c r="F4042" s="688"/>
      <c r="G4042" s="549" t="s">
        <v>21</v>
      </c>
      <c r="H4042" s="550">
        <v>1</v>
      </c>
      <c r="I4042" s="551">
        <v>282.98</v>
      </c>
      <c r="J4042" s="551">
        <v>282.98</v>
      </c>
    </row>
    <row r="4043" spans="1:10" s="89" customFormat="1" ht="15" customHeight="1" x14ac:dyDescent="0.3">
      <c r="A4043" s="547" t="s">
        <v>433</v>
      </c>
      <c r="B4043" s="548" t="s">
        <v>489</v>
      </c>
      <c r="C4043" s="547" t="s">
        <v>19</v>
      </c>
      <c r="D4043" s="547" t="s">
        <v>3511</v>
      </c>
      <c r="E4043" s="688" t="s">
        <v>438</v>
      </c>
      <c r="F4043" s="688"/>
      <c r="G4043" s="549" t="s">
        <v>21</v>
      </c>
      <c r="H4043" s="550">
        <v>1</v>
      </c>
      <c r="I4043" s="551">
        <v>715.63</v>
      </c>
      <c r="J4043" s="551">
        <v>715.63</v>
      </c>
    </row>
    <row r="4044" spans="1:10" ht="25.5" customHeight="1" x14ac:dyDescent="0.3">
      <c r="A4044" s="547" t="s">
        <v>433</v>
      </c>
      <c r="B4044" s="548" t="s">
        <v>437</v>
      </c>
      <c r="C4044" s="547" t="s">
        <v>19</v>
      </c>
      <c r="D4044" s="547" t="s">
        <v>3505</v>
      </c>
      <c r="E4044" s="688" t="s">
        <v>438</v>
      </c>
      <c r="F4044" s="688"/>
      <c r="G4044" s="549" t="s">
        <v>21</v>
      </c>
      <c r="H4044" s="550">
        <v>1</v>
      </c>
      <c r="I4044" s="551">
        <v>252.08</v>
      </c>
      <c r="J4044" s="551">
        <v>252.08</v>
      </c>
    </row>
    <row r="4045" spans="1:10" s="89" customFormat="1" ht="25.5" customHeight="1" x14ac:dyDescent="0.3">
      <c r="A4045" s="547" t="s">
        <v>433</v>
      </c>
      <c r="B4045" s="548" t="s">
        <v>439</v>
      </c>
      <c r="C4045" s="547" t="s">
        <v>19</v>
      </c>
      <c r="D4045" s="547" t="s">
        <v>3506</v>
      </c>
      <c r="E4045" s="688" t="s">
        <v>438</v>
      </c>
      <c r="F4045" s="688"/>
      <c r="G4045" s="549" t="s">
        <v>21</v>
      </c>
      <c r="H4045" s="550">
        <v>1</v>
      </c>
      <c r="I4045" s="551">
        <v>7.31</v>
      </c>
      <c r="J4045" s="551">
        <v>7.31</v>
      </c>
    </row>
    <row r="4046" spans="1:10" x14ac:dyDescent="0.3">
      <c r="A4046" s="547" t="s">
        <v>433</v>
      </c>
      <c r="B4046" s="548" t="s">
        <v>1509</v>
      </c>
      <c r="C4046" s="547" t="s">
        <v>19</v>
      </c>
      <c r="D4046" s="547" t="s">
        <v>1510</v>
      </c>
      <c r="E4046" s="688" t="s">
        <v>436</v>
      </c>
      <c r="F4046" s="688"/>
      <c r="G4046" s="549" t="s">
        <v>21</v>
      </c>
      <c r="H4046" s="550">
        <v>1</v>
      </c>
      <c r="I4046" s="551">
        <v>3886.77</v>
      </c>
      <c r="J4046" s="551">
        <v>3886.77</v>
      </c>
    </row>
    <row r="4047" spans="1:10" ht="25" x14ac:dyDescent="0.3">
      <c r="A4047" s="547" t="s">
        <v>433</v>
      </c>
      <c r="B4047" s="548" t="s">
        <v>1757</v>
      </c>
      <c r="C4047" s="547" t="s">
        <v>19</v>
      </c>
      <c r="D4047" s="547" t="s">
        <v>1758</v>
      </c>
      <c r="E4047" s="688" t="s">
        <v>438</v>
      </c>
      <c r="F4047" s="688"/>
      <c r="G4047" s="549" t="s">
        <v>21</v>
      </c>
      <c r="H4047" s="550">
        <v>1</v>
      </c>
      <c r="I4047" s="551">
        <v>155.21</v>
      </c>
      <c r="J4047" s="551">
        <v>155.21</v>
      </c>
    </row>
    <row r="4048" spans="1:10" ht="25.5" thickBot="1" x14ac:dyDescent="0.35">
      <c r="A4048" s="547" t="s">
        <v>433</v>
      </c>
      <c r="B4048" s="548" t="s">
        <v>1759</v>
      </c>
      <c r="C4048" s="547" t="s">
        <v>19</v>
      </c>
      <c r="D4048" s="547" t="s">
        <v>1760</v>
      </c>
      <c r="E4048" s="688" t="s">
        <v>438</v>
      </c>
      <c r="F4048" s="688"/>
      <c r="G4048" s="549" t="s">
        <v>21</v>
      </c>
      <c r="H4048" s="550">
        <v>1</v>
      </c>
      <c r="I4048" s="551">
        <v>233.35</v>
      </c>
      <c r="J4048" s="551">
        <v>233.35</v>
      </c>
    </row>
    <row r="4049" spans="1:10" ht="14.5" thickTop="1" x14ac:dyDescent="0.3">
      <c r="A4049" s="562"/>
      <c r="B4049" s="562"/>
      <c r="C4049" s="562"/>
      <c r="D4049" s="562"/>
      <c r="E4049" s="562"/>
      <c r="F4049" s="562"/>
      <c r="G4049" s="562"/>
      <c r="H4049" s="562"/>
      <c r="I4049" s="562"/>
      <c r="J4049" s="562"/>
    </row>
    <row r="4050" spans="1:10" x14ac:dyDescent="0.3">
      <c r="A4050" s="553"/>
      <c r="B4050" s="554" t="s">
        <v>4</v>
      </c>
      <c r="C4050" s="553" t="s">
        <v>5</v>
      </c>
      <c r="D4050" s="553" t="s">
        <v>6</v>
      </c>
      <c r="E4050" s="691" t="s">
        <v>427</v>
      </c>
      <c r="F4050" s="691"/>
      <c r="G4050" s="555" t="s">
        <v>7</v>
      </c>
      <c r="H4050" s="554" t="s">
        <v>8</v>
      </c>
      <c r="I4050" s="554" t="s">
        <v>9</v>
      </c>
      <c r="J4050" s="554" t="s">
        <v>11</v>
      </c>
    </row>
    <row r="4051" spans="1:10" ht="25" x14ac:dyDescent="0.3">
      <c r="A4051" s="607" t="s">
        <v>428</v>
      </c>
      <c r="B4051" s="608" t="s">
        <v>3934</v>
      </c>
      <c r="C4051" s="607" t="s">
        <v>199</v>
      </c>
      <c r="D4051" s="607" t="s">
        <v>3935</v>
      </c>
      <c r="E4051" s="690">
        <v>55</v>
      </c>
      <c r="F4051" s="690"/>
      <c r="G4051" s="609" t="s">
        <v>424</v>
      </c>
      <c r="H4051" s="610">
        <v>1</v>
      </c>
      <c r="I4051" s="611">
        <v>5.72</v>
      </c>
      <c r="J4051" s="611">
        <v>5.72</v>
      </c>
    </row>
    <row r="4052" spans="1:10" s="89" customFormat="1" ht="25.5" thickBot="1" x14ac:dyDescent="0.35">
      <c r="A4052" s="547" t="s">
        <v>433</v>
      </c>
      <c r="B4052" s="548" t="s">
        <v>1294</v>
      </c>
      <c r="C4052" s="547" t="s">
        <v>199</v>
      </c>
      <c r="D4052" s="547" t="s">
        <v>3890</v>
      </c>
      <c r="E4052" s="688" t="s">
        <v>438</v>
      </c>
      <c r="F4052" s="688"/>
      <c r="G4052" s="549" t="s">
        <v>424</v>
      </c>
      <c r="H4052" s="550">
        <v>0.45960000000000001</v>
      </c>
      <c r="I4052" s="551">
        <v>12.45</v>
      </c>
      <c r="J4052" s="551">
        <v>5.72</v>
      </c>
    </row>
    <row r="4053" spans="1:10" s="89" customFormat="1" ht="15" customHeight="1" thickTop="1" x14ac:dyDescent="0.3">
      <c r="A4053" s="562"/>
      <c r="B4053" s="562"/>
      <c r="C4053" s="562"/>
      <c r="D4053" s="562"/>
      <c r="E4053" s="562"/>
      <c r="F4053" s="562"/>
      <c r="G4053" s="562"/>
      <c r="H4053" s="562"/>
      <c r="I4053" s="562"/>
      <c r="J4053" s="562"/>
    </row>
    <row r="4054" spans="1:10" ht="14.25" customHeight="1" x14ac:dyDescent="0.3">
      <c r="A4054" s="553"/>
      <c r="B4054" s="554" t="s">
        <v>4</v>
      </c>
      <c r="C4054" s="553" t="s">
        <v>5</v>
      </c>
      <c r="D4054" s="553" t="s">
        <v>6</v>
      </c>
      <c r="E4054" s="691" t="s">
        <v>427</v>
      </c>
      <c r="F4054" s="691"/>
      <c r="G4054" s="555" t="s">
        <v>7</v>
      </c>
      <c r="H4054" s="554" t="s">
        <v>8</v>
      </c>
      <c r="I4054" s="554" t="s">
        <v>9</v>
      </c>
      <c r="J4054" s="554" t="s">
        <v>11</v>
      </c>
    </row>
    <row r="4055" spans="1:10" s="89" customFormat="1" ht="15" customHeight="1" x14ac:dyDescent="0.3">
      <c r="A4055" s="607" t="s">
        <v>428</v>
      </c>
      <c r="B4055" s="608" t="s">
        <v>3936</v>
      </c>
      <c r="C4055" s="607" t="s">
        <v>199</v>
      </c>
      <c r="D4055" s="607" t="s">
        <v>3937</v>
      </c>
      <c r="E4055" s="690">
        <v>55</v>
      </c>
      <c r="F4055" s="690"/>
      <c r="G4055" s="609" t="s">
        <v>424</v>
      </c>
      <c r="H4055" s="610">
        <v>1</v>
      </c>
      <c r="I4055" s="611">
        <v>5.57</v>
      </c>
      <c r="J4055" s="611">
        <v>5.57</v>
      </c>
    </row>
    <row r="4056" spans="1:10" ht="25.5" customHeight="1" thickBot="1" x14ac:dyDescent="0.35">
      <c r="A4056" s="547" t="s">
        <v>433</v>
      </c>
      <c r="B4056" s="548" t="s">
        <v>1294</v>
      </c>
      <c r="C4056" s="547" t="s">
        <v>199</v>
      </c>
      <c r="D4056" s="547" t="s">
        <v>3890</v>
      </c>
      <c r="E4056" s="688" t="s">
        <v>438</v>
      </c>
      <c r="F4056" s="688"/>
      <c r="G4056" s="549" t="s">
        <v>424</v>
      </c>
      <c r="H4056" s="550">
        <v>0.44779999999999998</v>
      </c>
      <c r="I4056" s="551">
        <v>12.45</v>
      </c>
      <c r="J4056" s="551">
        <v>5.57</v>
      </c>
    </row>
    <row r="4057" spans="1:10" ht="25.5" customHeight="1" thickTop="1" x14ac:dyDescent="0.3">
      <c r="A4057" s="562"/>
      <c r="B4057" s="562"/>
      <c r="C4057" s="562"/>
      <c r="D4057" s="562"/>
      <c r="E4057" s="562"/>
      <c r="F4057" s="562"/>
      <c r="G4057" s="562"/>
      <c r="H4057" s="562"/>
      <c r="I4057" s="562"/>
      <c r="J4057" s="562"/>
    </row>
    <row r="4058" spans="1:10" x14ac:dyDescent="0.3">
      <c r="A4058" s="553"/>
      <c r="B4058" s="554" t="s">
        <v>4</v>
      </c>
      <c r="C4058" s="553" t="s">
        <v>5</v>
      </c>
      <c r="D4058" s="553" t="s">
        <v>6</v>
      </c>
      <c r="E4058" s="691" t="s">
        <v>427</v>
      </c>
      <c r="F4058" s="691"/>
      <c r="G4058" s="555" t="s">
        <v>7</v>
      </c>
      <c r="H4058" s="554" t="s">
        <v>8</v>
      </c>
      <c r="I4058" s="554" t="s">
        <v>9</v>
      </c>
      <c r="J4058" s="554" t="s">
        <v>11</v>
      </c>
    </row>
    <row r="4059" spans="1:10" ht="25" x14ac:dyDescent="0.3">
      <c r="A4059" s="607" t="s">
        <v>428</v>
      </c>
      <c r="B4059" s="608" t="s">
        <v>765</v>
      </c>
      <c r="C4059" s="607" t="s">
        <v>19</v>
      </c>
      <c r="D4059" s="607" t="s">
        <v>766</v>
      </c>
      <c r="E4059" s="690" t="s">
        <v>619</v>
      </c>
      <c r="F4059" s="690"/>
      <c r="G4059" s="609" t="s">
        <v>532</v>
      </c>
      <c r="H4059" s="610">
        <v>1</v>
      </c>
      <c r="I4059" s="611">
        <v>1971.05</v>
      </c>
      <c r="J4059" s="611">
        <v>1971.05</v>
      </c>
    </row>
    <row r="4060" spans="1:10" ht="14.25" customHeight="1" x14ac:dyDescent="0.3">
      <c r="A4060" s="547" t="s">
        <v>430</v>
      </c>
      <c r="B4060" s="548" t="s">
        <v>629</v>
      </c>
      <c r="C4060" s="547" t="s">
        <v>19</v>
      </c>
      <c r="D4060" s="547" t="s">
        <v>630</v>
      </c>
      <c r="E4060" s="688" t="s">
        <v>429</v>
      </c>
      <c r="F4060" s="688"/>
      <c r="G4060" s="549" t="s">
        <v>423</v>
      </c>
      <c r="H4060" s="550">
        <v>0.86129999999999995</v>
      </c>
      <c r="I4060" s="551">
        <v>24.12</v>
      </c>
      <c r="J4060" s="551">
        <v>20.77</v>
      </c>
    </row>
    <row r="4061" spans="1:10" ht="14.25" customHeight="1" x14ac:dyDescent="0.3">
      <c r="A4061" s="547" t="s">
        <v>430</v>
      </c>
      <c r="B4061" s="548" t="s">
        <v>1022</v>
      </c>
      <c r="C4061" s="547" t="s">
        <v>19</v>
      </c>
      <c r="D4061" s="547" t="s">
        <v>1023</v>
      </c>
      <c r="E4061" s="688" t="s">
        <v>429</v>
      </c>
      <c r="F4061" s="688"/>
      <c r="G4061" s="549" t="s">
        <v>423</v>
      </c>
      <c r="H4061" s="550">
        <v>4.3066000000000004</v>
      </c>
      <c r="I4061" s="551">
        <v>29.49</v>
      </c>
      <c r="J4061" s="551">
        <v>127</v>
      </c>
    </row>
    <row r="4062" spans="1:10" ht="14.25" customHeight="1" x14ac:dyDescent="0.3">
      <c r="A4062" s="547" t="s">
        <v>430</v>
      </c>
      <c r="B4062" s="548" t="s">
        <v>760</v>
      </c>
      <c r="C4062" s="547" t="s">
        <v>19</v>
      </c>
      <c r="D4062" s="547" t="s">
        <v>761</v>
      </c>
      <c r="E4062" s="688" t="s">
        <v>429</v>
      </c>
      <c r="F4062" s="688"/>
      <c r="G4062" s="549" t="s">
        <v>423</v>
      </c>
      <c r="H4062" s="550">
        <v>7.3795000000000002</v>
      </c>
      <c r="I4062" s="551">
        <v>31.1</v>
      </c>
      <c r="J4062" s="551">
        <v>229.5</v>
      </c>
    </row>
    <row r="4063" spans="1:10" s="89" customFormat="1" ht="15" customHeight="1" x14ac:dyDescent="0.3">
      <c r="A4063" s="547" t="s">
        <v>430</v>
      </c>
      <c r="B4063" s="548" t="s">
        <v>559</v>
      </c>
      <c r="C4063" s="547" t="s">
        <v>19</v>
      </c>
      <c r="D4063" s="547" t="s">
        <v>560</v>
      </c>
      <c r="E4063" s="688" t="s">
        <v>429</v>
      </c>
      <c r="F4063" s="688"/>
      <c r="G4063" s="549" t="s">
        <v>423</v>
      </c>
      <c r="H4063" s="550">
        <v>7.3795000000000002</v>
      </c>
      <c r="I4063" s="551">
        <v>23.4</v>
      </c>
      <c r="J4063" s="551">
        <v>172.68</v>
      </c>
    </row>
    <row r="4064" spans="1:10" s="89" customFormat="1" ht="25.5" customHeight="1" x14ac:dyDescent="0.3">
      <c r="A4064" s="547" t="s">
        <v>430</v>
      </c>
      <c r="B4064" s="548" t="s">
        <v>852</v>
      </c>
      <c r="C4064" s="547" t="s">
        <v>19</v>
      </c>
      <c r="D4064" s="547" t="s">
        <v>853</v>
      </c>
      <c r="E4064" s="688" t="s">
        <v>461</v>
      </c>
      <c r="F4064" s="688"/>
      <c r="G4064" s="549" t="s">
        <v>95</v>
      </c>
      <c r="H4064" s="550">
        <v>1.0264</v>
      </c>
      <c r="I4064" s="551">
        <v>1.23</v>
      </c>
      <c r="J4064" s="551">
        <v>1.26</v>
      </c>
    </row>
    <row r="4065" spans="1:10" s="89" customFormat="1" ht="15" customHeight="1" x14ac:dyDescent="0.3">
      <c r="A4065" s="547" t="s">
        <v>430</v>
      </c>
      <c r="B4065" s="548" t="s">
        <v>854</v>
      </c>
      <c r="C4065" s="547" t="s">
        <v>19</v>
      </c>
      <c r="D4065" s="547" t="s">
        <v>855</v>
      </c>
      <c r="E4065" s="688" t="s">
        <v>461</v>
      </c>
      <c r="F4065" s="688"/>
      <c r="G4065" s="549" t="s">
        <v>102</v>
      </c>
      <c r="H4065" s="550">
        <v>2.7986</v>
      </c>
      <c r="I4065" s="551">
        <v>0.53</v>
      </c>
      <c r="J4065" s="551">
        <v>1.48</v>
      </c>
    </row>
    <row r="4066" spans="1:10" ht="14.25" customHeight="1" x14ac:dyDescent="0.3">
      <c r="A4066" s="547" t="s">
        <v>430</v>
      </c>
      <c r="B4066" s="548" t="s">
        <v>631</v>
      </c>
      <c r="C4066" s="547" t="s">
        <v>19</v>
      </c>
      <c r="D4066" s="547" t="s">
        <v>632</v>
      </c>
      <c r="E4066" s="688" t="s">
        <v>461</v>
      </c>
      <c r="F4066" s="688"/>
      <c r="G4066" s="549" t="s">
        <v>95</v>
      </c>
      <c r="H4066" s="550">
        <v>0.26750000000000002</v>
      </c>
      <c r="I4066" s="551">
        <v>26.94</v>
      </c>
      <c r="J4066" s="551">
        <v>7.2</v>
      </c>
    </row>
    <row r="4067" spans="1:10" ht="25.5" customHeight="1" x14ac:dyDescent="0.3">
      <c r="A4067" s="547" t="s">
        <v>430</v>
      </c>
      <c r="B4067" s="548" t="s">
        <v>633</v>
      </c>
      <c r="C4067" s="547" t="s">
        <v>19</v>
      </c>
      <c r="D4067" s="547" t="s">
        <v>634</v>
      </c>
      <c r="E4067" s="688" t="s">
        <v>461</v>
      </c>
      <c r="F4067" s="688"/>
      <c r="G4067" s="549" t="s">
        <v>102</v>
      </c>
      <c r="H4067" s="550">
        <v>0.59379999999999999</v>
      </c>
      <c r="I4067" s="551">
        <v>25.9</v>
      </c>
      <c r="J4067" s="551">
        <v>15.37</v>
      </c>
    </row>
    <row r="4068" spans="1:10" ht="25" x14ac:dyDescent="0.3">
      <c r="A4068" s="547" t="s">
        <v>430</v>
      </c>
      <c r="B4068" s="548" t="s">
        <v>1255</v>
      </c>
      <c r="C4068" s="547" t="s">
        <v>19</v>
      </c>
      <c r="D4068" s="547" t="s">
        <v>1256</v>
      </c>
      <c r="E4068" s="688" t="s">
        <v>619</v>
      </c>
      <c r="F4068" s="688"/>
      <c r="G4068" s="549" t="s">
        <v>424</v>
      </c>
      <c r="H4068" s="550">
        <v>32.6798</v>
      </c>
      <c r="I4068" s="551">
        <v>14.4</v>
      </c>
      <c r="J4068" s="551">
        <v>470.58</v>
      </c>
    </row>
    <row r="4069" spans="1:10" ht="14.25" customHeight="1" x14ac:dyDescent="0.3">
      <c r="A4069" s="547" t="s">
        <v>430</v>
      </c>
      <c r="B4069" s="548" t="s">
        <v>1421</v>
      </c>
      <c r="C4069" s="547" t="s">
        <v>19</v>
      </c>
      <c r="D4069" s="547" t="s">
        <v>1422</v>
      </c>
      <c r="E4069" s="688" t="s">
        <v>619</v>
      </c>
      <c r="F4069" s="688"/>
      <c r="G4069" s="549" t="s">
        <v>532</v>
      </c>
      <c r="H4069" s="550">
        <v>1.103</v>
      </c>
      <c r="I4069" s="551">
        <v>481.4</v>
      </c>
      <c r="J4069" s="551">
        <v>530.98</v>
      </c>
    </row>
    <row r="4070" spans="1:10" ht="37.5" x14ac:dyDescent="0.3">
      <c r="A4070" s="547" t="s">
        <v>433</v>
      </c>
      <c r="B4070" s="548" t="s">
        <v>1067</v>
      </c>
      <c r="C4070" s="547" t="s">
        <v>19</v>
      </c>
      <c r="D4070" s="547" t="s">
        <v>1068</v>
      </c>
      <c r="E4070" s="688" t="s">
        <v>438</v>
      </c>
      <c r="F4070" s="688"/>
      <c r="G4070" s="549" t="s">
        <v>556</v>
      </c>
      <c r="H4070" s="550">
        <v>6.7614000000000001</v>
      </c>
      <c r="I4070" s="551">
        <v>36.07</v>
      </c>
      <c r="J4070" s="551">
        <v>243.88</v>
      </c>
    </row>
    <row r="4071" spans="1:10" ht="25" x14ac:dyDescent="0.3">
      <c r="A4071" s="547" t="s">
        <v>433</v>
      </c>
      <c r="B4071" s="548" t="s">
        <v>912</v>
      </c>
      <c r="C4071" s="547" t="s">
        <v>19</v>
      </c>
      <c r="D4071" s="547" t="s">
        <v>913</v>
      </c>
      <c r="E4071" s="688" t="s">
        <v>438</v>
      </c>
      <c r="F4071" s="688"/>
      <c r="G4071" s="549" t="s">
        <v>906</v>
      </c>
      <c r="H4071" s="550">
        <v>3.5000000000000003E-2</v>
      </c>
      <c r="I4071" s="551">
        <v>7.96</v>
      </c>
      <c r="J4071" s="551">
        <v>0.27</v>
      </c>
    </row>
    <row r="4072" spans="1:10" ht="25" x14ac:dyDescent="0.3">
      <c r="A4072" s="547" t="s">
        <v>433</v>
      </c>
      <c r="B4072" s="548" t="s">
        <v>624</v>
      </c>
      <c r="C4072" s="547" t="s">
        <v>19</v>
      </c>
      <c r="D4072" s="547" t="s">
        <v>625</v>
      </c>
      <c r="E4072" s="688" t="s">
        <v>438</v>
      </c>
      <c r="F4072" s="688"/>
      <c r="G4072" s="549" t="s">
        <v>173</v>
      </c>
      <c r="H4072" s="550">
        <v>1.4216</v>
      </c>
      <c r="I4072" s="551">
        <v>7.78</v>
      </c>
      <c r="J4072" s="551">
        <v>11.06</v>
      </c>
    </row>
    <row r="4073" spans="1:10" ht="25" x14ac:dyDescent="0.3">
      <c r="A4073" s="547" t="s">
        <v>433</v>
      </c>
      <c r="B4073" s="548" t="s">
        <v>916</v>
      </c>
      <c r="C4073" s="547" t="s">
        <v>19</v>
      </c>
      <c r="D4073" s="547" t="s">
        <v>917</v>
      </c>
      <c r="E4073" s="688" t="s">
        <v>438</v>
      </c>
      <c r="F4073" s="688"/>
      <c r="G4073" s="549" t="s">
        <v>173</v>
      </c>
      <c r="H4073" s="550">
        <v>6.25</v>
      </c>
      <c r="I4073" s="551">
        <v>2.72</v>
      </c>
      <c r="J4073" s="551">
        <v>17</v>
      </c>
    </row>
    <row r="4074" spans="1:10" x14ac:dyDescent="0.3">
      <c r="A4074" s="547" t="s">
        <v>433</v>
      </c>
      <c r="B4074" s="548" t="s">
        <v>1761</v>
      </c>
      <c r="C4074" s="547" t="s">
        <v>19</v>
      </c>
      <c r="D4074" s="547" t="s">
        <v>1762</v>
      </c>
      <c r="E4074" s="688" t="s">
        <v>438</v>
      </c>
      <c r="F4074" s="688"/>
      <c r="G4074" s="549" t="s">
        <v>424</v>
      </c>
      <c r="H4074" s="550">
        <v>0.18429999999999999</v>
      </c>
      <c r="I4074" s="551">
        <v>20.22</v>
      </c>
      <c r="J4074" s="551">
        <v>3.72</v>
      </c>
    </row>
    <row r="4075" spans="1:10" s="89" customFormat="1" x14ac:dyDescent="0.3">
      <c r="A4075" s="547" t="s">
        <v>433</v>
      </c>
      <c r="B4075" s="548" t="s">
        <v>797</v>
      </c>
      <c r="C4075" s="547" t="s">
        <v>19</v>
      </c>
      <c r="D4075" s="547" t="s">
        <v>798</v>
      </c>
      <c r="E4075" s="688" t="s">
        <v>438</v>
      </c>
      <c r="F4075" s="688"/>
      <c r="G4075" s="549" t="s">
        <v>424</v>
      </c>
      <c r="H4075" s="550">
        <v>0.2954</v>
      </c>
      <c r="I4075" s="551">
        <v>21.96</v>
      </c>
      <c r="J4075" s="551">
        <v>6.48</v>
      </c>
    </row>
    <row r="4076" spans="1:10" s="89" customFormat="1" x14ac:dyDescent="0.3">
      <c r="A4076" s="547" t="s">
        <v>433</v>
      </c>
      <c r="B4076" s="548" t="s">
        <v>1763</v>
      </c>
      <c r="C4076" s="547" t="s">
        <v>19</v>
      </c>
      <c r="D4076" s="547" t="s">
        <v>1764</v>
      </c>
      <c r="E4076" s="688" t="s">
        <v>438</v>
      </c>
      <c r="F4076" s="688"/>
      <c r="G4076" s="549" t="s">
        <v>532</v>
      </c>
      <c r="H4076" s="550">
        <v>0.2475</v>
      </c>
      <c r="I4076" s="551">
        <v>434.15</v>
      </c>
      <c r="J4076" s="551">
        <v>107.45</v>
      </c>
    </row>
    <row r="4077" spans="1:10" ht="38" thickBot="1" x14ac:dyDescent="0.35">
      <c r="A4077" s="547" t="s">
        <v>433</v>
      </c>
      <c r="B4077" s="548" t="s">
        <v>1765</v>
      </c>
      <c r="C4077" s="547" t="s">
        <v>19</v>
      </c>
      <c r="D4077" s="547" t="s">
        <v>1766</v>
      </c>
      <c r="E4077" s="688" t="s">
        <v>438</v>
      </c>
      <c r="F4077" s="688"/>
      <c r="G4077" s="549" t="s">
        <v>556</v>
      </c>
      <c r="H4077" s="550">
        <v>0.31890000000000002</v>
      </c>
      <c r="I4077" s="551">
        <v>13.72</v>
      </c>
      <c r="J4077" s="551">
        <v>4.37</v>
      </c>
    </row>
    <row r="4078" spans="1:10" ht="14.5" thickTop="1" x14ac:dyDescent="0.3">
      <c r="A4078" s="562"/>
      <c r="B4078" s="562"/>
      <c r="C4078" s="562"/>
      <c r="D4078" s="562"/>
      <c r="E4078" s="562"/>
      <c r="F4078" s="562"/>
      <c r="G4078" s="562"/>
      <c r="H4078" s="562"/>
      <c r="I4078" s="562"/>
      <c r="J4078" s="562"/>
    </row>
    <row r="4079" spans="1:10" x14ac:dyDescent="0.3">
      <c r="A4079" s="553"/>
      <c r="B4079" s="554" t="s">
        <v>4</v>
      </c>
      <c r="C4079" s="553" t="s">
        <v>5</v>
      </c>
      <c r="D4079" s="553" t="s">
        <v>6</v>
      </c>
      <c r="E4079" s="691" t="s">
        <v>427</v>
      </c>
      <c r="F4079" s="691"/>
      <c r="G4079" s="555" t="s">
        <v>7</v>
      </c>
      <c r="H4079" s="554" t="s">
        <v>8</v>
      </c>
      <c r="I4079" s="554" t="s">
        <v>9</v>
      </c>
      <c r="J4079" s="554" t="s">
        <v>11</v>
      </c>
    </row>
    <row r="4080" spans="1:10" ht="14.25" customHeight="1" x14ac:dyDescent="0.3">
      <c r="A4080" s="607" t="s">
        <v>428</v>
      </c>
      <c r="B4080" s="608" t="s">
        <v>764</v>
      </c>
      <c r="C4080" s="607" t="s">
        <v>19</v>
      </c>
      <c r="D4080" s="607" t="s">
        <v>3542</v>
      </c>
      <c r="E4080" s="690" t="s">
        <v>619</v>
      </c>
      <c r="F4080" s="690"/>
      <c r="G4080" s="609" t="s">
        <v>532</v>
      </c>
      <c r="H4080" s="610">
        <v>1</v>
      </c>
      <c r="I4080" s="611">
        <v>3853.89</v>
      </c>
      <c r="J4080" s="611">
        <v>3853.89</v>
      </c>
    </row>
    <row r="4081" spans="1:10" ht="14.25" customHeight="1" x14ac:dyDescent="0.3">
      <c r="A4081" s="547" t="s">
        <v>430</v>
      </c>
      <c r="B4081" s="548" t="s">
        <v>629</v>
      </c>
      <c r="C4081" s="547" t="s">
        <v>19</v>
      </c>
      <c r="D4081" s="547" t="s">
        <v>630</v>
      </c>
      <c r="E4081" s="688" t="s">
        <v>429</v>
      </c>
      <c r="F4081" s="688"/>
      <c r="G4081" s="549" t="s">
        <v>423</v>
      </c>
      <c r="H4081" s="550">
        <v>4.3071999999999999</v>
      </c>
      <c r="I4081" s="551">
        <v>24.12</v>
      </c>
      <c r="J4081" s="551">
        <v>103.88</v>
      </c>
    </row>
    <row r="4082" spans="1:10" ht="14.25" customHeight="1" x14ac:dyDescent="0.3">
      <c r="A4082" s="547" t="s">
        <v>430</v>
      </c>
      <c r="B4082" s="548" t="s">
        <v>1022</v>
      </c>
      <c r="C4082" s="547" t="s">
        <v>19</v>
      </c>
      <c r="D4082" s="547" t="s">
        <v>1023</v>
      </c>
      <c r="E4082" s="688" t="s">
        <v>429</v>
      </c>
      <c r="F4082" s="688"/>
      <c r="G4082" s="549" t="s">
        <v>423</v>
      </c>
      <c r="H4082" s="550">
        <v>21.535799999999998</v>
      </c>
      <c r="I4082" s="551">
        <v>29.49</v>
      </c>
      <c r="J4082" s="551">
        <v>635.09</v>
      </c>
    </row>
    <row r="4083" spans="1:10" ht="14.25" customHeight="1" x14ac:dyDescent="0.3">
      <c r="A4083" s="547" t="s">
        <v>430</v>
      </c>
      <c r="B4083" s="548" t="s">
        <v>760</v>
      </c>
      <c r="C4083" s="547" t="s">
        <v>19</v>
      </c>
      <c r="D4083" s="547" t="s">
        <v>761</v>
      </c>
      <c r="E4083" s="688" t="s">
        <v>429</v>
      </c>
      <c r="F4083" s="688"/>
      <c r="G4083" s="549" t="s">
        <v>423</v>
      </c>
      <c r="H4083" s="550">
        <v>31.7545</v>
      </c>
      <c r="I4083" s="551">
        <v>31.1</v>
      </c>
      <c r="J4083" s="551">
        <v>987.56</v>
      </c>
    </row>
    <row r="4084" spans="1:10" ht="14.25" customHeight="1" x14ac:dyDescent="0.3">
      <c r="A4084" s="547" t="s">
        <v>430</v>
      </c>
      <c r="B4084" s="548" t="s">
        <v>559</v>
      </c>
      <c r="C4084" s="547" t="s">
        <v>19</v>
      </c>
      <c r="D4084" s="547" t="s">
        <v>560</v>
      </c>
      <c r="E4084" s="688" t="s">
        <v>429</v>
      </c>
      <c r="F4084" s="688"/>
      <c r="G4084" s="549" t="s">
        <v>423</v>
      </c>
      <c r="H4084" s="550">
        <v>31.7545</v>
      </c>
      <c r="I4084" s="551">
        <v>23.4</v>
      </c>
      <c r="J4084" s="551">
        <v>743.05</v>
      </c>
    </row>
    <row r="4085" spans="1:10" s="89" customFormat="1" ht="25.5" customHeight="1" x14ac:dyDescent="0.3">
      <c r="A4085" s="547" t="s">
        <v>430</v>
      </c>
      <c r="B4085" s="548" t="s">
        <v>852</v>
      </c>
      <c r="C4085" s="547" t="s">
        <v>19</v>
      </c>
      <c r="D4085" s="547" t="s">
        <v>853</v>
      </c>
      <c r="E4085" s="688" t="s">
        <v>461</v>
      </c>
      <c r="F4085" s="688"/>
      <c r="G4085" s="549" t="s">
        <v>95</v>
      </c>
      <c r="H4085" s="550">
        <v>6.6349999999999998</v>
      </c>
      <c r="I4085" s="551">
        <v>1.23</v>
      </c>
      <c r="J4085" s="551">
        <v>8.16</v>
      </c>
    </row>
    <row r="4086" spans="1:10" ht="25.5" customHeight="1" x14ac:dyDescent="0.3">
      <c r="A4086" s="547" t="s">
        <v>430</v>
      </c>
      <c r="B4086" s="548" t="s">
        <v>854</v>
      </c>
      <c r="C4086" s="547" t="s">
        <v>19</v>
      </c>
      <c r="D4086" s="547" t="s">
        <v>855</v>
      </c>
      <c r="E4086" s="688" t="s">
        <v>461</v>
      </c>
      <c r="F4086" s="688"/>
      <c r="G4086" s="549" t="s">
        <v>102</v>
      </c>
      <c r="H4086" s="550">
        <v>18.091699999999999</v>
      </c>
      <c r="I4086" s="551">
        <v>0.53</v>
      </c>
      <c r="J4086" s="551">
        <v>9.58</v>
      </c>
    </row>
    <row r="4087" spans="1:10" s="89" customFormat="1" ht="15" customHeight="1" x14ac:dyDescent="0.3">
      <c r="A4087" s="547" t="s">
        <v>430</v>
      </c>
      <c r="B4087" s="548" t="s">
        <v>631</v>
      </c>
      <c r="C4087" s="547" t="s">
        <v>19</v>
      </c>
      <c r="D4087" s="547" t="s">
        <v>632</v>
      </c>
      <c r="E4087" s="688" t="s">
        <v>461</v>
      </c>
      <c r="F4087" s="688"/>
      <c r="G4087" s="549" t="s">
        <v>95</v>
      </c>
      <c r="H4087" s="550">
        <v>0.88009999999999999</v>
      </c>
      <c r="I4087" s="551">
        <v>26.94</v>
      </c>
      <c r="J4087" s="551">
        <v>23.7</v>
      </c>
    </row>
    <row r="4088" spans="1:10" ht="25.5" customHeight="1" x14ac:dyDescent="0.3">
      <c r="A4088" s="547" t="s">
        <v>430</v>
      </c>
      <c r="B4088" s="548" t="s">
        <v>633</v>
      </c>
      <c r="C4088" s="547" t="s">
        <v>19</v>
      </c>
      <c r="D4088" s="547" t="s">
        <v>634</v>
      </c>
      <c r="E4088" s="688" t="s">
        <v>461</v>
      </c>
      <c r="F4088" s="688"/>
      <c r="G4088" s="549" t="s">
        <v>102</v>
      </c>
      <c r="H4088" s="550">
        <v>3.4270999999999998</v>
      </c>
      <c r="I4088" s="551">
        <v>25.9</v>
      </c>
      <c r="J4088" s="551">
        <v>88.76</v>
      </c>
    </row>
    <row r="4089" spans="1:10" ht="37.5" x14ac:dyDescent="0.3">
      <c r="A4089" s="547" t="s">
        <v>430</v>
      </c>
      <c r="B4089" s="548" t="s">
        <v>162</v>
      </c>
      <c r="C4089" s="547" t="s">
        <v>19</v>
      </c>
      <c r="D4089" s="547" t="s">
        <v>163</v>
      </c>
      <c r="E4089" s="688" t="s">
        <v>619</v>
      </c>
      <c r="F4089" s="688"/>
      <c r="G4089" s="549" t="s">
        <v>532</v>
      </c>
      <c r="H4089" s="550">
        <v>1.2</v>
      </c>
      <c r="I4089" s="551">
        <v>470.06</v>
      </c>
      <c r="J4089" s="551">
        <v>564.07000000000005</v>
      </c>
    </row>
    <row r="4090" spans="1:10" ht="25" x14ac:dyDescent="0.3">
      <c r="A4090" s="547" t="s">
        <v>433</v>
      </c>
      <c r="B4090" s="548" t="s">
        <v>912</v>
      </c>
      <c r="C4090" s="547" t="s">
        <v>19</v>
      </c>
      <c r="D4090" s="547" t="s">
        <v>913</v>
      </c>
      <c r="E4090" s="688" t="s">
        <v>438</v>
      </c>
      <c r="F4090" s="688"/>
      <c r="G4090" s="549" t="s">
        <v>906</v>
      </c>
      <c r="H4090" s="550">
        <v>6.6699999999999995E-2</v>
      </c>
      <c r="I4090" s="551">
        <v>7.96</v>
      </c>
      <c r="J4090" s="551">
        <v>0.53</v>
      </c>
    </row>
    <row r="4091" spans="1:10" x14ac:dyDescent="0.3">
      <c r="A4091" s="547" t="s">
        <v>433</v>
      </c>
      <c r="B4091" s="548" t="s">
        <v>797</v>
      </c>
      <c r="C4091" s="547" t="s">
        <v>19</v>
      </c>
      <c r="D4091" s="547" t="s">
        <v>798</v>
      </c>
      <c r="E4091" s="688" t="s">
        <v>438</v>
      </c>
      <c r="F4091" s="688"/>
      <c r="G4091" s="549" t="s">
        <v>424</v>
      </c>
      <c r="H4091" s="550">
        <v>2.1276000000000002</v>
      </c>
      <c r="I4091" s="551">
        <v>21.96</v>
      </c>
      <c r="J4091" s="551">
        <v>46.72</v>
      </c>
    </row>
    <row r="4092" spans="1:10" ht="37.5" x14ac:dyDescent="0.3">
      <c r="A4092" s="547" t="s">
        <v>433</v>
      </c>
      <c r="B4092" s="548" t="s">
        <v>1767</v>
      </c>
      <c r="C4092" s="547" t="s">
        <v>19</v>
      </c>
      <c r="D4092" s="547" t="s">
        <v>1768</v>
      </c>
      <c r="E4092" s="688" t="s">
        <v>438</v>
      </c>
      <c r="F4092" s="688"/>
      <c r="G4092" s="549" t="s">
        <v>424</v>
      </c>
      <c r="H4092" s="550">
        <v>6</v>
      </c>
      <c r="I4092" s="551">
        <v>8.3800000000000008</v>
      </c>
      <c r="J4092" s="551">
        <v>50.28</v>
      </c>
    </row>
    <row r="4093" spans="1:10" ht="37.5" x14ac:dyDescent="0.3">
      <c r="A4093" s="547" t="s">
        <v>433</v>
      </c>
      <c r="B4093" s="548" t="s">
        <v>1769</v>
      </c>
      <c r="C4093" s="547" t="s">
        <v>19</v>
      </c>
      <c r="D4093" s="547" t="s">
        <v>1770</v>
      </c>
      <c r="E4093" s="688" t="s">
        <v>438</v>
      </c>
      <c r="F4093" s="688"/>
      <c r="G4093" s="549" t="s">
        <v>556</v>
      </c>
      <c r="H4093" s="550">
        <v>13.051399999999999</v>
      </c>
      <c r="I4093" s="551">
        <v>44.76</v>
      </c>
      <c r="J4093" s="551">
        <v>584.17999999999995</v>
      </c>
    </row>
    <row r="4094" spans="1:10" ht="38" thickBot="1" x14ac:dyDescent="0.35">
      <c r="A4094" s="547" t="s">
        <v>433</v>
      </c>
      <c r="B4094" s="548" t="s">
        <v>1765</v>
      </c>
      <c r="C4094" s="547" t="s">
        <v>19</v>
      </c>
      <c r="D4094" s="547" t="s">
        <v>1766</v>
      </c>
      <c r="E4094" s="688" t="s">
        <v>438</v>
      </c>
      <c r="F4094" s="688"/>
      <c r="G4094" s="549" t="s">
        <v>556</v>
      </c>
      <c r="H4094" s="550">
        <v>0.60740000000000005</v>
      </c>
      <c r="I4094" s="551">
        <v>13.72</v>
      </c>
      <c r="J4094" s="551">
        <v>8.33</v>
      </c>
    </row>
    <row r="4095" spans="1:10" s="89" customFormat="1" ht="14.5" thickTop="1" x14ac:dyDescent="0.3">
      <c r="A4095" s="562"/>
      <c r="B4095" s="562"/>
      <c r="C4095" s="562"/>
      <c r="D4095" s="562"/>
      <c r="E4095" s="562"/>
      <c r="F4095" s="562"/>
      <c r="G4095" s="562"/>
      <c r="H4095" s="562"/>
      <c r="I4095" s="562"/>
      <c r="J4095" s="562"/>
    </row>
    <row r="4096" spans="1:10" x14ac:dyDescent="0.3">
      <c r="A4096" s="553"/>
      <c r="B4096" s="554" t="s">
        <v>4</v>
      </c>
      <c r="C4096" s="553" t="s">
        <v>5</v>
      </c>
      <c r="D4096" s="553" t="s">
        <v>6</v>
      </c>
      <c r="E4096" s="691" t="s">
        <v>427</v>
      </c>
      <c r="F4096" s="691"/>
      <c r="G4096" s="555" t="s">
        <v>7</v>
      </c>
      <c r="H4096" s="554" t="s">
        <v>8</v>
      </c>
      <c r="I4096" s="554" t="s">
        <v>9</v>
      </c>
      <c r="J4096" s="554" t="s">
        <v>11</v>
      </c>
    </row>
    <row r="4097" spans="1:10" ht="25" x14ac:dyDescent="0.3">
      <c r="A4097" s="607" t="s">
        <v>428</v>
      </c>
      <c r="B4097" s="608" t="s">
        <v>1327</v>
      </c>
      <c r="C4097" s="607" t="s">
        <v>19</v>
      </c>
      <c r="D4097" s="607" t="s">
        <v>1328</v>
      </c>
      <c r="E4097" s="690" t="s">
        <v>619</v>
      </c>
      <c r="F4097" s="690"/>
      <c r="G4097" s="609" t="s">
        <v>532</v>
      </c>
      <c r="H4097" s="610">
        <v>1</v>
      </c>
      <c r="I4097" s="611">
        <v>3083.22</v>
      </c>
      <c r="J4097" s="611">
        <v>3083.22</v>
      </c>
    </row>
    <row r="4098" spans="1:10" s="89" customFormat="1" ht="15" customHeight="1" x14ac:dyDescent="0.3">
      <c r="A4098" s="547" t="s">
        <v>430</v>
      </c>
      <c r="B4098" s="548" t="s">
        <v>629</v>
      </c>
      <c r="C4098" s="547" t="s">
        <v>19</v>
      </c>
      <c r="D4098" s="547" t="s">
        <v>630</v>
      </c>
      <c r="E4098" s="688" t="s">
        <v>429</v>
      </c>
      <c r="F4098" s="688"/>
      <c r="G4098" s="549" t="s">
        <v>423</v>
      </c>
      <c r="H4098" s="550">
        <v>1.1919999999999999</v>
      </c>
      <c r="I4098" s="551">
        <v>24.12</v>
      </c>
      <c r="J4098" s="551">
        <v>28.75</v>
      </c>
    </row>
    <row r="4099" spans="1:10" ht="14.25" customHeight="1" x14ac:dyDescent="0.3">
      <c r="A4099" s="547" t="s">
        <v>430</v>
      </c>
      <c r="B4099" s="548" t="s">
        <v>1022</v>
      </c>
      <c r="C4099" s="547" t="s">
        <v>19</v>
      </c>
      <c r="D4099" s="547" t="s">
        <v>1023</v>
      </c>
      <c r="E4099" s="688" t="s">
        <v>429</v>
      </c>
      <c r="F4099" s="688"/>
      <c r="G4099" s="549" t="s">
        <v>423</v>
      </c>
      <c r="H4099" s="550">
        <v>5.96</v>
      </c>
      <c r="I4099" s="551">
        <v>29.49</v>
      </c>
      <c r="J4099" s="551">
        <v>175.76</v>
      </c>
    </row>
    <row r="4100" spans="1:10" ht="14.25" customHeight="1" x14ac:dyDescent="0.3">
      <c r="A4100" s="547" t="s">
        <v>430</v>
      </c>
      <c r="B4100" s="548" t="s">
        <v>760</v>
      </c>
      <c r="C4100" s="547" t="s">
        <v>19</v>
      </c>
      <c r="D4100" s="547" t="s">
        <v>761</v>
      </c>
      <c r="E4100" s="688" t="s">
        <v>429</v>
      </c>
      <c r="F4100" s="688"/>
      <c r="G4100" s="549" t="s">
        <v>423</v>
      </c>
      <c r="H4100" s="550">
        <v>31.349900000000002</v>
      </c>
      <c r="I4100" s="551">
        <v>31.1</v>
      </c>
      <c r="J4100" s="551">
        <v>974.98</v>
      </c>
    </row>
    <row r="4101" spans="1:10" ht="14.25" customHeight="1" x14ac:dyDescent="0.3">
      <c r="A4101" s="547" t="s">
        <v>430</v>
      </c>
      <c r="B4101" s="548" t="s">
        <v>559</v>
      </c>
      <c r="C4101" s="547" t="s">
        <v>19</v>
      </c>
      <c r="D4101" s="547" t="s">
        <v>560</v>
      </c>
      <c r="E4101" s="688" t="s">
        <v>429</v>
      </c>
      <c r="F4101" s="688"/>
      <c r="G4101" s="549" t="s">
        <v>423</v>
      </c>
      <c r="H4101" s="550">
        <v>31.349900000000002</v>
      </c>
      <c r="I4101" s="551">
        <v>23.4</v>
      </c>
      <c r="J4101" s="551">
        <v>733.58</v>
      </c>
    </row>
    <row r="4102" spans="1:10" ht="14.25" customHeight="1" x14ac:dyDescent="0.3">
      <c r="A4102" s="547" t="s">
        <v>430</v>
      </c>
      <c r="B4102" s="548" t="s">
        <v>852</v>
      </c>
      <c r="C4102" s="547" t="s">
        <v>19</v>
      </c>
      <c r="D4102" s="547" t="s">
        <v>853</v>
      </c>
      <c r="E4102" s="688" t="s">
        <v>461</v>
      </c>
      <c r="F4102" s="688"/>
      <c r="G4102" s="549" t="s">
        <v>95</v>
      </c>
      <c r="H4102" s="550">
        <v>6.6349999999999998</v>
      </c>
      <c r="I4102" s="551">
        <v>1.23</v>
      </c>
      <c r="J4102" s="551">
        <v>8.16</v>
      </c>
    </row>
    <row r="4103" spans="1:10" ht="25.5" customHeight="1" x14ac:dyDescent="0.3">
      <c r="A4103" s="547" t="s">
        <v>430</v>
      </c>
      <c r="B4103" s="548" t="s">
        <v>854</v>
      </c>
      <c r="C4103" s="547" t="s">
        <v>19</v>
      </c>
      <c r="D4103" s="547" t="s">
        <v>855</v>
      </c>
      <c r="E4103" s="688" t="s">
        <v>461</v>
      </c>
      <c r="F4103" s="688"/>
      <c r="G4103" s="549" t="s">
        <v>102</v>
      </c>
      <c r="H4103" s="550">
        <v>18.091699999999999</v>
      </c>
      <c r="I4103" s="551">
        <v>0.53</v>
      </c>
      <c r="J4103" s="551">
        <v>9.58</v>
      </c>
    </row>
    <row r="4104" spans="1:10" ht="25.5" customHeight="1" x14ac:dyDescent="0.3">
      <c r="A4104" s="547" t="s">
        <v>430</v>
      </c>
      <c r="B4104" s="548" t="s">
        <v>631</v>
      </c>
      <c r="C4104" s="547" t="s">
        <v>19</v>
      </c>
      <c r="D4104" s="547" t="s">
        <v>632</v>
      </c>
      <c r="E4104" s="688" t="s">
        <v>461</v>
      </c>
      <c r="F4104" s="688"/>
      <c r="G4104" s="549" t="s">
        <v>95</v>
      </c>
      <c r="H4104" s="550">
        <v>0.48770000000000002</v>
      </c>
      <c r="I4104" s="551">
        <v>26.94</v>
      </c>
      <c r="J4104" s="551">
        <v>13.13</v>
      </c>
    </row>
    <row r="4105" spans="1:10" s="89" customFormat="1" ht="25.5" customHeight="1" x14ac:dyDescent="0.3">
      <c r="A4105" s="547" t="s">
        <v>430</v>
      </c>
      <c r="B4105" s="548" t="s">
        <v>633</v>
      </c>
      <c r="C4105" s="547" t="s">
        <v>19</v>
      </c>
      <c r="D4105" s="547" t="s">
        <v>634</v>
      </c>
      <c r="E4105" s="688" t="s">
        <v>461</v>
      </c>
      <c r="F4105" s="688"/>
      <c r="G4105" s="549" t="s">
        <v>102</v>
      </c>
      <c r="H4105" s="550">
        <v>0.70430000000000004</v>
      </c>
      <c r="I4105" s="551">
        <v>25.9</v>
      </c>
      <c r="J4105" s="551">
        <v>18.239999999999998</v>
      </c>
    </row>
    <row r="4106" spans="1:10" ht="25.5" customHeight="1" x14ac:dyDescent="0.3">
      <c r="A4106" s="547" t="s">
        <v>430</v>
      </c>
      <c r="B4106" s="548" t="s">
        <v>1065</v>
      </c>
      <c r="C4106" s="547" t="s">
        <v>19</v>
      </c>
      <c r="D4106" s="547" t="s">
        <v>1066</v>
      </c>
      <c r="E4106" s="688" t="s">
        <v>619</v>
      </c>
      <c r="F4106" s="688"/>
      <c r="G4106" s="549" t="s">
        <v>424</v>
      </c>
      <c r="H4106" s="550">
        <v>27.898800000000001</v>
      </c>
      <c r="I4106" s="551">
        <v>16.54</v>
      </c>
      <c r="J4106" s="551">
        <v>461.44</v>
      </c>
    </row>
    <row r="4107" spans="1:10" s="89" customFormat="1" ht="25.5" customHeight="1" x14ac:dyDescent="0.3">
      <c r="A4107" s="547" t="s">
        <v>430</v>
      </c>
      <c r="B4107" s="548" t="s">
        <v>162</v>
      </c>
      <c r="C4107" s="547" t="s">
        <v>19</v>
      </c>
      <c r="D4107" s="547" t="s">
        <v>163</v>
      </c>
      <c r="E4107" s="688" t="s">
        <v>619</v>
      </c>
      <c r="F4107" s="688"/>
      <c r="G4107" s="549" t="s">
        <v>532</v>
      </c>
      <c r="H4107" s="550">
        <v>1.2</v>
      </c>
      <c r="I4107" s="551">
        <v>470.06</v>
      </c>
      <c r="J4107" s="551">
        <v>564.07000000000005</v>
      </c>
    </row>
    <row r="4108" spans="1:10" ht="37.5" x14ac:dyDescent="0.3">
      <c r="A4108" s="547" t="s">
        <v>433</v>
      </c>
      <c r="B4108" s="548" t="s">
        <v>1067</v>
      </c>
      <c r="C4108" s="547" t="s">
        <v>19</v>
      </c>
      <c r="D4108" s="547" t="s">
        <v>1068</v>
      </c>
      <c r="E4108" s="688" t="s">
        <v>438</v>
      </c>
      <c r="F4108" s="688"/>
      <c r="G4108" s="549" t="s">
        <v>556</v>
      </c>
      <c r="H4108" s="550">
        <v>1.9403999999999999</v>
      </c>
      <c r="I4108" s="551">
        <v>36.07</v>
      </c>
      <c r="J4108" s="551">
        <v>69.989999999999995</v>
      </c>
    </row>
    <row r="4109" spans="1:10" ht="25" x14ac:dyDescent="0.3">
      <c r="A4109" s="547" t="s">
        <v>433</v>
      </c>
      <c r="B4109" s="548" t="s">
        <v>912</v>
      </c>
      <c r="C4109" s="547" t="s">
        <v>19</v>
      </c>
      <c r="D4109" s="547" t="s">
        <v>913</v>
      </c>
      <c r="E4109" s="688" t="s">
        <v>438</v>
      </c>
      <c r="F4109" s="688"/>
      <c r="G4109" s="549" t="s">
        <v>906</v>
      </c>
      <c r="H4109" s="550">
        <v>8.3299999999999999E-2</v>
      </c>
      <c r="I4109" s="551">
        <v>7.96</v>
      </c>
      <c r="J4109" s="551">
        <v>0.66</v>
      </c>
    </row>
    <row r="4110" spans="1:10" ht="25" x14ac:dyDescent="0.3">
      <c r="A4110" s="547" t="s">
        <v>433</v>
      </c>
      <c r="B4110" s="548" t="s">
        <v>916</v>
      </c>
      <c r="C4110" s="547" t="s">
        <v>19</v>
      </c>
      <c r="D4110" s="547" t="s">
        <v>917</v>
      </c>
      <c r="E4110" s="688" t="s">
        <v>438</v>
      </c>
      <c r="F4110" s="688"/>
      <c r="G4110" s="549" t="s">
        <v>173</v>
      </c>
      <c r="H4110" s="550">
        <v>5.6283000000000003</v>
      </c>
      <c r="I4110" s="551">
        <v>2.72</v>
      </c>
      <c r="J4110" s="551">
        <v>15.3</v>
      </c>
    </row>
    <row r="4111" spans="1:10" ht="14.5" thickBot="1" x14ac:dyDescent="0.35">
      <c r="A4111" s="547" t="s">
        <v>433</v>
      </c>
      <c r="B4111" s="548" t="s">
        <v>797</v>
      </c>
      <c r="C4111" s="547" t="s">
        <v>19</v>
      </c>
      <c r="D4111" s="547" t="s">
        <v>798</v>
      </c>
      <c r="E4111" s="688" t="s">
        <v>438</v>
      </c>
      <c r="F4111" s="688"/>
      <c r="G4111" s="549" t="s">
        <v>424</v>
      </c>
      <c r="H4111" s="550">
        <v>0.4365</v>
      </c>
      <c r="I4111" s="551">
        <v>21.96</v>
      </c>
      <c r="J4111" s="551">
        <v>9.58</v>
      </c>
    </row>
    <row r="4112" spans="1:10" ht="14.5" thickTop="1" x14ac:dyDescent="0.3">
      <c r="A4112" s="562"/>
      <c r="B4112" s="562"/>
      <c r="C4112" s="562"/>
      <c r="D4112" s="562"/>
      <c r="E4112" s="562"/>
      <c r="F4112" s="562"/>
      <c r="G4112" s="562"/>
      <c r="H4112" s="562"/>
      <c r="I4112" s="562"/>
      <c r="J4112" s="562"/>
    </row>
    <row r="4113" spans="1:10" x14ac:dyDescent="0.3">
      <c r="A4113" s="553"/>
      <c r="B4113" s="554" t="s">
        <v>4</v>
      </c>
      <c r="C4113" s="553" t="s">
        <v>5</v>
      </c>
      <c r="D4113" s="553" t="s">
        <v>6</v>
      </c>
      <c r="E4113" s="691" t="s">
        <v>427</v>
      </c>
      <c r="F4113" s="691"/>
      <c r="G4113" s="555" t="s">
        <v>7</v>
      </c>
      <c r="H4113" s="554" t="s">
        <v>8</v>
      </c>
      <c r="I4113" s="554" t="s">
        <v>9</v>
      </c>
      <c r="J4113" s="554" t="s">
        <v>11</v>
      </c>
    </row>
    <row r="4114" spans="1:10" ht="14.25" customHeight="1" x14ac:dyDescent="0.3">
      <c r="A4114" s="607" t="s">
        <v>428</v>
      </c>
      <c r="B4114" s="608" t="s">
        <v>1024</v>
      </c>
      <c r="C4114" s="607" t="s">
        <v>19</v>
      </c>
      <c r="D4114" s="607" t="s">
        <v>1025</v>
      </c>
      <c r="E4114" s="690" t="s">
        <v>429</v>
      </c>
      <c r="F4114" s="690"/>
      <c r="G4114" s="609" t="s">
        <v>423</v>
      </c>
      <c r="H4114" s="610">
        <v>1</v>
      </c>
      <c r="I4114" s="611">
        <v>32.58</v>
      </c>
      <c r="J4114" s="611">
        <v>32.58</v>
      </c>
    </row>
    <row r="4115" spans="1:10" ht="25" x14ac:dyDescent="0.3">
      <c r="A4115" s="547" t="s">
        <v>430</v>
      </c>
      <c r="B4115" s="548" t="s">
        <v>1511</v>
      </c>
      <c r="C4115" s="547" t="s">
        <v>19</v>
      </c>
      <c r="D4115" s="547" t="s">
        <v>1512</v>
      </c>
      <c r="E4115" s="688" t="s">
        <v>429</v>
      </c>
      <c r="F4115" s="688"/>
      <c r="G4115" s="549" t="s">
        <v>423</v>
      </c>
      <c r="H4115" s="550">
        <v>1</v>
      </c>
      <c r="I4115" s="551">
        <v>0.37</v>
      </c>
      <c r="J4115" s="551">
        <v>0.37</v>
      </c>
    </row>
    <row r="4116" spans="1:10" x14ac:dyDescent="0.3">
      <c r="A4116" s="547" t="s">
        <v>433</v>
      </c>
      <c r="B4116" s="548" t="s">
        <v>1513</v>
      </c>
      <c r="C4116" s="547" t="s">
        <v>19</v>
      </c>
      <c r="D4116" s="547" t="s">
        <v>1514</v>
      </c>
      <c r="E4116" s="688" t="s">
        <v>436</v>
      </c>
      <c r="F4116" s="688"/>
      <c r="G4116" s="549" t="s">
        <v>423</v>
      </c>
      <c r="H4116" s="550">
        <v>1</v>
      </c>
      <c r="I4116" s="551">
        <v>21.83</v>
      </c>
      <c r="J4116" s="551">
        <v>21.83</v>
      </c>
    </row>
    <row r="4117" spans="1:10" s="89" customFormat="1" ht="25" x14ac:dyDescent="0.3">
      <c r="A4117" s="547" t="s">
        <v>433</v>
      </c>
      <c r="B4117" s="548" t="s">
        <v>1213</v>
      </c>
      <c r="C4117" s="547" t="s">
        <v>19</v>
      </c>
      <c r="D4117" s="547" t="s">
        <v>3592</v>
      </c>
      <c r="E4117" s="688" t="s">
        <v>862</v>
      </c>
      <c r="F4117" s="688"/>
      <c r="G4117" s="549" t="s">
        <v>423</v>
      </c>
      <c r="H4117" s="550">
        <v>1</v>
      </c>
      <c r="I4117" s="551">
        <v>3.8</v>
      </c>
      <c r="J4117" s="551">
        <v>3.8</v>
      </c>
    </row>
    <row r="4118" spans="1:10" ht="25" x14ac:dyDescent="0.3">
      <c r="A4118" s="547" t="s">
        <v>433</v>
      </c>
      <c r="B4118" s="548" t="s">
        <v>1214</v>
      </c>
      <c r="C4118" s="547" t="s">
        <v>19</v>
      </c>
      <c r="D4118" s="547" t="s">
        <v>3593</v>
      </c>
      <c r="E4118" s="688" t="s">
        <v>1215</v>
      </c>
      <c r="F4118" s="688"/>
      <c r="G4118" s="549" t="s">
        <v>423</v>
      </c>
      <c r="H4118" s="550">
        <v>1</v>
      </c>
      <c r="I4118" s="551">
        <v>1.5</v>
      </c>
      <c r="J4118" s="551">
        <v>1.5</v>
      </c>
    </row>
    <row r="4119" spans="1:10" s="89" customFormat="1" ht="25" x14ac:dyDescent="0.3">
      <c r="A4119" s="547" t="s">
        <v>433</v>
      </c>
      <c r="B4119" s="548" t="s">
        <v>1216</v>
      </c>
      <c r="C4119" s="547" t="s">
        <v>19</v>
      </c>
      <c r="D4119" s="547" t="s">
        <v>3594</v>
      </c>
      <c r="E4119" s="688" t="s">
        <v>862</v>
      </c>
      <c r="F4119" s="688"/>
      <c r="G4119" s="549" t="s">
        <v>423</v>
      </c>
      <c r="H4119" s="550">
        <v>1</v>
      </c>
      <c r="I4119" s="551">
        <v>1.34</v>
      </c>
      <c r="J4119" s="551">
        <v>1.34</v>
      </c>
    </row>
    <row r="4120" spans="1:10" ht="14.25" customHeight="1" x14ac:dyDescent="0.3">
      <c r="A4120" s="547" t="s">
        <v>433</v>
      </c>
      <c r="B4120" s="548" t="s">
        <v>1217</v>
      </c>
      <c r="C4120" s="547" t="s">
        <v>19</v>
      </c>
      <c r="D4120" s="547" t="s">
        <v>3595</v>
      </c>
      <c r="E4120" s="688" t="s">
        <v>531</v>
      </c>
      <c r="F4120" s="688"/>
      <c r="G4120" s="549" t="s">
        <v>423</v>
      </c>
      <c r="H4120" s="550">
        <v>1</v>
      </c>
      <c r="I4120" s="551">
        <v>0.04</v>
      </c>
      <c r="J4120" s="551">
        <v>0.04</v>
      </c>
    </row>
    <row r="4121" spans="1:10" ht="14.25" customHeight="1" x14ac:dyDescent="0.3">
      <c r="A4121" s="547" t="s">
        <v>433</v>
      </c>
      <c r="B4121" s="548" t="s">
        <v>1771</v>
      </c>
      <c r="C4121" s="547" t="s">
        <v>19</v>
      </c>
      <c r="D4121" s="547" t="s">
        <v>1772</v>
      </c>
      <c r="E4121" s="688" t="s">
        <v>442</v>
      </c>
      <c r="F4121" s="688"/>
      <c r="G4121" s="549" t="s">
        <v>423</v>
      </c>
      <c r="H4121" s="550">
        <v>1</v>
      </c>
      <c r="I4121" s="551">
        <v>1.97</v>
      </c>
      <c r="J4121" s="551">
        <v>1.97</v>
      </c>
    </row>
    <row r="4122" spans="1:10" ht="14.25" customHeight="1" thickBot="1" x14ac:dyDescent="0.35">
      <c r="A4122" s="547" t="s">
        <v>433</v>
      </c>
      <c r="B4122" s="548" t="s">
        <v>1773</v>
      </c>
      <c r="C4122" s="547" t="s">
        <v>19</v>
      </c>
      <c r="D4122" s="547" t="s">
        <v>1774</v>
      </c>
      <c r="E4122" s="688" t="s">
        <v>442</v>
      </c>
      <c r="F4122" s="688"/>
      <c r="G4122" s="549" t="s">
        <v>423</v>
      </c>
      <c r="H4122" s="550">
        <v>1</v>
      </c>
      <c r="I4122" s="551">
        <v>1.73</v>
      </c>
      <c r="J4122" s="551">
        <v>1.73</v>
      </c>
    </row>
    <row r="4123" spans="1:10" ht="14.25" customHeight="1" thickTop="1" x14ac:dyDescent="0.3">
      <c r="A4123" s="562"/>
      <c r="B4123" s="562"/>
      <c r="C4123" s="562"/>
      <c r="D4123" s="562"/>
      <c r="E4123" s="562"/>
      <c r="F4123" s="562"/>
      <c r="G4123" s="562"/>
      <c r="H4123" s="562"/>
      <c r="I4123" s="562"/>
      <c r="J4123" s="562"/>
    </row>
    <row r="4124" spans="1:10" ht="25.5" customHeight="1" x14ac:dyDescent="0.3">
      <c r="A4124" s="553"/>
      <c r="B4124" s="554" t="s">
        <v>4</v>
      </c>
      <c r="C4124" s="553" t="s">
        <v>5</v>
      </c>
      <c r="D4124" s="553" t="s">
        <v>6</v>
      </c>
      <c r="E4124" s="691" t="s">
        <v>427</v>
      </c>
      <c r="F4124" s="691"/>
      <c r="G4124" s="555" t="s">
        <v>7</v>
      </c>
      <c r="H4124" s="554" t="s">
        <v>8</v>
      </c>
      <c r="I4124" s="554" t="s">
        <v>9</v>
      </c>
      <c r="J4124" s="554" t="s">
        <v>11</v>
      </c>
    </row>
    <row r="4125" spans="1:10" ht="25.5" customHeight="1" x14ac:dyDescent="0.3">
      <c r="A4125" s="607" t="s">
        <v>428</v>
      </c>
      <c r="B4125" s="608" t="s">
        <v>665</v>
      </c>
      <c r="C4125" s="607" t="s">
        <v>19</v>
      </c>
      <c r="D4125" s="607" t="s">
        <v>3520</v>
      </c>
      <c r="E4125" s="690" t="s">
        <v>666</v>
      </c>
      <c r="F4125" s="690"/>
      <c r="G4125" s="609" t="s">
        <v>556</v>
      </c>
      <c r="H4125" s="610">
        <v>1</v>
      </c>
      <c r="I4125" s="611">
        <v>13.83</v>
      </c>
      <c r="J4125" s="611">
        <v>13.83</v>
      </c>
    </row>
    <row r="4126" spans="1:10" ht="25.5" customHeight="1" x14ac:dyDescent="0.3">
      <c r="A4126" s="547" t="s">
        <v>430</v>
      </c>
      <c r="B4126" s="548" t="s">
        <v>1024</v>
      </c>
      <c r="C4126" s="547" t="s">
        <v>19</v>
      </c>
      <c r="D4126" s="547" t="s">
        <v>1025</v>
      </c>
      <c r="E4126" s="688" t="s">
        <v>429</v>
      </c>
      <c r="F4126" s="688"/>
      <c r="G4126" s="549" t="s">
        <v>423</v>
      </c>
      <c r="H4126" s="550">
        <v>0.16309999999999999</v>
      </c>
      <c r="I4126" s="551">
        <v>32.58</v>
      </c>
      <c r="J4126" s="551">
        <v>5.31</v>
      </c>
    </row>
    <row r="4127" spans="1:10" s="89" customFormat="1" ht="25.5" customHeight="1" x14ac:dyDescent="0.3">
      <c r="A4127" s="547" t="s">
        <v>430</v>
      </c>
      <c r="B4127" s="548" t="s">
        <v>559</v>
      </c>
      <c r="C4127" s="547" t="s">
        <v>19</v>
      </c>
      <c r="D4127" s="547" t="s">
        <v>560</v>
      </c>
      <c r="E4127" s="688" t="s">
        <v>429</v>
      </c>
      <c r="F4127" s="688"/>
      <c r="G4127" s="549" t="s">
        <v>423</v>
      </c>
      <c r="H4127" s="550">
        <v>5.4399999999999997E-2</v>
      </c>
      <c r="I4127" s="551">
        <v>23.4</v>
      </c>
      <c r="J4127" s="551">
        <v>1.27</v>
      </c>
    </row>
    <row r="4128" spans="1:10" ht="25.5" customHeight="1" thickBot="1" x14ac:dyDescent="0.35">
      <c r="A4128" s="547" t="s">
        <v>433</v>
      </c>
      <c r="B4128" s="548" t="s">
        <v>1236</v>
      </c>
      <c r="C4128" s="547" t="s">
        <v>19</v>
      </c>
      <c r="D4128" s="547" t="s">
        <v>1237</v>
      </c>
      <c r="E4128" s="688" t="s">
        <v>438</v>
      </c>
      <c r="F4128" s="688"/>
      <c r="G4128" s="549" t="s">
        <v>906</v>
      </c>
      <c r="H4128" s="550">
        <v>0.22850000000000001</v>
      </c>
      <c r="I4128" s="551">
        <v>31.77</v>
      </c>
      <c r="J4128" s="551">
        <v>7.25</v>
      </c>
    </row>
    <row r="4129" spans="1:10" s="89" customFormat="1" ht="14.5" thickTop="1" x14ac:dyDescent="0.3">
      <c r="A4129" s="562"/>
      <c r="B4129" s="562"/>
      <c r="C4129" s="562"/>
      <c r="D4129" s="562"/>
      <c r="E4129" s="562"/>
      <c r="F4129" s="562"/>
      <c r="G4129" s="562"/>
      <c r="H4129" s="562"/>
      <c r="I4129" s="562"/>
      <c r="J4129" s="562"/>
    </row>
    <row r="4130" spans="1:10" x14ac:dyDescent="0.3">
      <c r="A4130" s="553"/>
      <c r="B4130" s="554" t="s">
        <v>4</v>
      </c>
      <c r="C4130" s="553" t="s">
        <v>5</v>
      </c>
      <c r="D4130" s="553" t="s">
        <v>6</v>
      </c>
      <c r="E4130" s="691" t="s">
        <v>427</v>
      </c>
      <c r="F4130" s="691"/>
      <c r="G4130" s="555" t="s">
        <v>7</v>
      </c>
      <c r="H4130" s="554" t="s">
        <v>8</v>
      </c>
      <c r="I4130" s="554" t="s">
        <v>9</v>
      </c>
      <c r="J4130" s="554" t="s">
        <v>11</v>
      </c>
    </row>
    <row r="4131" spans="1:10" ht="38.25" customHeight="1" x14ac:dyDescent="0.3">
      <c r="A4131" s="607" t="s">
        <v>428</v>
      </c>
      <c r="B4131" s="608" t="s">
        <v>1008</v>
      </c>
      <c r="C4131" s="607" t="s">
        <v>19</v>
      </c>
      <c r="D4131" s="607" t="s">
        <v>1009</v>
      </c>
      <c r="E4131" s="690" t="s">
        <v>461</v>
      </c>
      <c r="F4131" s="690"/>
      <c r="G4131" s="609" t="s">
        <v>95</v>
      </c>
      <c r="H4131" s="610">
        <v>1</v>
      </c>
      <c r="I4131" s="611">
        <v>9.27</v>
      </c>
      <c r="J4131" s="611">
        <v>9.27</v>
      </c>
    </row>
    <row r="4132" spans="1:10" ht="38.25" customHeight="1" x14ac:dyDescent="0.3">
      <c r="A4132" s="547" t="s">
        <v>430</v>
      </c>
      <c r="B4132" s="548" t="s">
        <v>1775</v>
      </c>
      <c r="C4132" s="547" t="s">
        <v>19</v>
      </c>
      <c r="D4132" s="547" t="s">
        <v>1776</v>
      </c>
      <c r="E4132" s="688" t="s">
        <v>461</v>
      </c>
      <c r="F4132" s="688"/>
      <c r="G4132" s="549" t="s">
        <v>423</v>
      </c>
      <c r="H4132" s="550">
        <v>1</v>
      </c>
      <c r="I4132" s="551">
        <v>0.6</v>
      </c>
      <c r="J4132" s="551">
        <v>0.6</v>
      </c>
    </row>
    <row r="4133" spans="1:10" ht="38.25" customHeight="1" x14ac:dyDescent="0.3">
      <c r="A4133" s="547" t="s">
        <v>430</v>
      </c>
      <c r="B4133" s="548" t="s">
        <v>1777</v>
      </c>
      <c r="C4133" s="547" t="s">
        <v>19</v>
      </c>
      <c r="D4133" s="547" t="s">
        <v>1778</v>
      </c>
      <c r="E4133" s="688" t="s">
        <v>461</v>
      </c>
      <c r="F4133" s="688"/>
      <c r="G4133" s="549" t="s">
        <v>423</v>
      </c>
      <c r="H4133" s="550">
        <v>1</v>
      </c>
      <c r="I4133" s="551">
        <v>0.16</v>
      </c>
      <c r="J4133" s="551">
        <v>0.16</v>
      </c>
    </row>
    <row r="4134" spans="1:10" ht="38.25" customHeight="1" x14ac:dyDescent="0.3">
      <c r="A4134" s="547" t="s">
        <v>430</v>
      </c>
      <c r="B4134" s="548" t="s">
        <v>1779</v>
      </c>
      <c r="C4134" s="547" t="s">
        <v>19</v>
      </c>
      <c r="D4134" s="547" t="s">
        <v>1780</v>
      </c>
      <c r="E4134" s="688" t="s">
        <v>461</v>
      </c>
      <c r="F4134" s="688"/>
      <c r="G4134" s="549" t="s">
        <v>423</v>
      </c>
      <c r="H4134" s="550">
        <v>1</v>
      </c>
      <c r="I4134" s="551">
        <v>0.75</v>
      </c>
      <c r="J4134" s="551">
        <v>0.75</v>
      </c>
    </row>
    <row r="4135" spans="1:10" ht="39" customHeight="1" thickBot="1" x14ac:dyDescent="0.35">
      <c r="A4135" s="547" t="s">
        <v>430</v>
      </c>
      <c r="B4135" s="548" t="s">
        <v>1781</v>
      </c>
      <c r="C4135" s="547" t="s">
        <v>19</v>
      </c>
      <c r="D4135" s="547" t="s">
        <v>1782</v>
      </c>
      <c r="E4135" s="688" t="s">
        <v>461</v>
      </c>
      <c r="F4135" s="688"/>
      <c r="G4135" s="549" t="s">
        <v>423</v>
      </c>
      <c r="H4135" s="550">
        <v>1</v>
      </c>
      <c r="I4135" s="551">
        <v>7.76</v>
      </c>
      <c r="J4135" s="551">
        <v>7.76</v>
      </c>
    </row>
    <row r="4136" spans="1:10" s="89" customFormat="1" ht="14.5" thickTop="1" x14ac:dyDescent="0.3">
      <c r="A4136" s="562"/>
      <c r="B4136" s="562"/>
      <c r="C4136" s="562"/>
      <c r="D4136" s="562"/>
      <c r="E4136" s="562"/>
      <c r="F4136" s="562"/>
      <c r="G4136" s="562"/>
      <c r="H4136" s="562"/>
      <c r="I4136" s="562"/>
      <c r="J4136" s="562"/>
    </row>
    <row r="4137" spans="1:10" s="89" customFormat="1" x14ac:dyDescent="0.3">
      <c r="A4137" s="553"/>
      <c r="B4137" s="554" t="s">
        <v>4</v>
      </c>
      <c r="C4137" s="553" t="s">
        <v>5</v>
      </c>
      <c r="D4137" s="553" t="s">
        <v>6</v>
      </c>
      <c r="E4137" s="691" t="s">
        <v>427</v>
      </c>
      <c r="F4137" s="691"/>
      <c r="G4137" s="555" t="s">
        <v>7</v>
      </c>
      <c r="H4137" s="554" t="s">
        <v>8</v>
      </c>
      <c r="I4137" s="554" t="s">
        <v>9</v>
      </c>
      <c r="J4137" s="554" t="s">
        <v>11</v>
      </c>
    </row>
    <row r="4138" spans="1:10" ht="14.25" customHeight="1" x14ac:dyDescent="0.3">
      <c r="A4138" s="607" t="s">
        <v>428</v>
      </c>
      <c r="B4138" s="608" t="s">
        <v>1775</v>
      </c>
      <c r="C4138" s="607" t="s">
        <v>19</v>
      </c>
      <c r="D4138" s="607" t="s">
        <v>1776</v>
      </c>
      <c r="E4138" s="690" t="s">
        <v>461</v>
      </c>
      <c r="F4138" s="690"/>
      <c r="G4138" s="609" t="s">
        <v>423</v>
      </c>
      <c r="H4138" s="610">
        <v>1</v>
      </c>
      <c r="I4138" s="611">
        <v>0.6</v>
      </c>
      <c r="J4138" s="611">
        <v>0.6</v>
      </c>
    </row>
    <row r="4139" spans="1:10" s="89" customFormat="1" ht="15" customHeight="1" thickBot="1" x14ac:dyDescent="0.35">
      <c r="A4139" s="547" t="s">
        <v>433</v>
      </c>
      <c r="B4139" s="548" t="s">
        <v>1783</v>
      </c>
      <c r="C4139" s="547" t="s">
        <v>19</v>
      </c>
      <c r="D4139" s="547" t="s">
        <v>3733</v>
      </c>
      <c r="E4139" s="688" t="s">
        <v>442</v>
      </c>
      <c r="F4139" s="688"/>
      <c r="G4139" s="549" t="s">
        <v>81</v>
      </c>
      <c r="H4139" s="550">
        <v>5.3300000000000001E-5</v>
      </c>
      <c r="I4139" s="551">
        <v>11291.17</v>
      </c>
      <c r="J4139" s="551">
        <v>0.6</v>
      </c>
    </row>
    <row r="4140" spans="1:10" ht="14.25" customHeight="1" thickTop="1" x14ac:dyDescent="0.3">
      <c r="A4140" s="562"/>
      <c r="B4140" s="562"/>
      <c r="C4140" s="562"/>
      <c r="D4140" s="562"/>
      <c r="E4140" s="562"/>
      <c r="F4140" s="562"/>
      <c r="G4140" s="562"/>
      <c r="H4140" s="562"/>
      <c r="I4140" s="562"/>
      <c r="J4140" s="562"/>
    </row>
    <row r="4141" spans="1:10" ht="25.5" customHeight="1" x14ac:dyDescent="0.3">
      <c r="A4141" s="553"/>
      <c r="B4141" s="554" t="s">
        <v>4</v>
      </c>
      <c r="C4141" s="553" t="s">
        <v>5</v>
      </c>
      <c r="D4141" s="553" t="s">
        <v>6</v>
      </c>
      <c r="E4141" s="691" t="s">
        <v>427</v>
      </c>
      <c r="F4141" s="691"/>
      <c r="G4141" s="555" t="s">
        <v>7</v>
      </c>
      <c r="H4141" s="554" t="s">
        <v>8</v>
      </c>
      <c r="I4141" s="554" t="s">
        <v>9</v>
      </c>
      <c r="J4141" s="554" t="s">
        <v>11</v>
      </c>
    </row>
    <row r="4142" spans="1:10" ht="25.5" customHeight="1" x14ac:dyDescent="0.3">
      <c r="A4142" s="607" t="s">
        <v>428</v>
      </c>
      <c r="B4142" s="608" t="s">
        <v>1777</v>
      </c>
      <c r="C4142" s="607" t="s">
        <v>19</v>
      </c>
      <c r="D4142" s="607" t="s">
        <v>1778</v>
      </c>
      <c r="E4142" s="690" t="s">
        <v>461</v>
      </c>
      <c r="F4142" s="690"/>
      <c r="G4142" s="609" t="s">
        <v>423</v>
      </c>
      <c r="H4142" s="610">
        <v>1</v>
      </c>
      <c r="I4142" s="611">
        <v>0.16</v>
      </c>
      <c r="J4142" s="611">
        <v>0.16</v>
      </c>
    </row>
    <row r="4143" spans="1:10" ht="25.5" customHeight="1" thickBot="1" x14ac:dyDescent="0.35">
      <c r="A4143" s="547" t="s">
        <v>433</v>
      </c>
      <c r="B4143" s="548" t="s">
        <v>1783</v>
      </c>
      <c r="C4143" s="547" t="s">
        <v>19</v>
      </c>
      <c r="D4143" s="547" t="s">
        <v>3733</v>
      </c>
      <c r="E4143" s="688" t="s">
        <v>442</v>
      </c>
      <c r="F4143" s="688"/>
      <c r="G4143" s="549" t="s">
        <v>81</v>
      </c>
      <c r="H4143" s="550">
        <v>1.43E-5</v>
      </c>
      <c r="I4143" s="551">
        <v>11291.17</v>
      </c>
      <c r="J4143" s="551">
        <v>0.16</v>
      </c>
    </row>
    <row r="4144" spans="1:10" ht="25.5" customHeight="1" thickTop="1" x14ac:dyDescent="0.3">
      <c r="A4144" s="562"/>
      <c r="B4144" s="562"/>
      <c r="C4144" s="562"/>
      <c r="D4144" s="562"/>
      <c r="E4144" s="562"/>
      <c r="F4144" s="562"/>
      <c r="G4144" s="562"/>
      <c r="H4144" s="562"/>
      <c r="I4144" s="562"/>
      <c r="J4144" s="562"/>
    </row>
    <row r="4145" spans="1:10" ht="25.5" customHeight="1" x14ac:dyDescent="0.3">
      <c r="A4145" s="553"/>
      <c r="B4145" s="554" t="s">
        <v>4</v>
      </c>
      <c r="C4145" s="553" t="s">
        <v>5</v>
      </c>
      <c r="D4145" s="553" t="s">
        <v>6</v>
      </c>
      <c r="E4145" s="691" t="s">
        <v>427</v>
      </c>
      <c r="F4145" s="691"/>
      <c r="G4145" s="555" t="s">
        <v>7</v>
      </c>
      <c r="H4145" s="554" t="s">
        <v>8</v>
      </c>
      <c r="I4145" s="554" t="s">
        <v>9</v>
      </c>
      <c r="J4145" s="554" t="s">
        <v>11</v>
      </c>
    </row>
    <row r="4146" spans="1:10" ht="38.25" customHeight="1" x14ac:dyDescent="0.3">
      <c r="A4146" s="607" t="s">
        <v>428</v>
      </c>
      <c r="B4146" s="608" t="s">
        <v>1779</v>
      </c>
      <c r="C4146" s="607" t="s">
        <v>19</v>
      </c>
      <c r="D4146" s="607" t="s">
        <v>1780</v>
      </c>
      <c r="E4146" s="690" t="s">
        <v>461</v>
      </c>
      <c r="F4146" s="690"/>
      <c r="G4146" s="609" t="s">
        <v>423</v>
      </c>
      <c r="H4146" s="610">
        <v>1</v>
      </c>
      <c r="I4146" s="611">
        <v>0.75</v>
      </c>
      <c r="J4146" s="611">
        <v>0.75</v>
      </c>
    </row>
    <row r="4147" spans="1:10" ht="50.5" thickBot="1" x14ac:dyDescent="0.35">
      <c r="A4147" s="547" t="s">
        <v>433</v>
      </c>
      <c r="B4147" s="548" t="s">
        <v>1783</v>
      </c>
      <c r="C4147" s="547" t="s">
        <v>19</v>
      </c>
      <c r="D4147" s="547" t="s">
        <v>3733</v>
      </c>
      <c r="E4147" s="688" t="s">
        <v>442</v>
      </c>
      <c r="F4147" s="688"/>
      <c r="G4147" s="549" t="s">
        <v>81</v>
      </c>
      <c r="H4147" s="550">
        <v>6.6699999999999995E-5</v>
      </c>
      <c r="I4147" s="551">
        <v>11291.17</v>
      </c>
      <c r="J4147" s="551">
        <v>0.75</v>
      </c>
    </row>
    <row r="4148" spans="1:10" ht="14.5" thickTop="1" x14ac:dyDescent="0.3">
      <c r="A4148" s="562"/>
      <c r="B4148" s="562"/>
      <c r="C4148" s="562"/>
      <c r="D4148" s="562"/>
      <c r="E4148" s="562"/>
      <c r="F4148" s="562"/>
      <c r="G4148" s="562"/>
      <c r="H4148" s="562"/>
      <c r="I4148" s="562"/>
      <c r="J4148" s="562"/>
    </row>
    <row r="4149" spans="1:10" s="89" customFormat="1" x14ac:dyDescent="0.3">
      <c r="A4149" s="553"/>
      <c r="B4149" s="554" t="s">
        <v>4</v>
      </c>
      <c r="C4149" s="553" t="s">
        <v>5</v>
      </c>
      <c r="D4149" s="553" t="s">
        <v>6</v>
      </c>
      <c r="E4149" s="691" t="s">
        <v>427</v>
      </c>
      <c r="F4149" s="691"/>
      <c r="G4149" s="555" t="s">
        <v>7</v>
      </c>
      <c r="H4149" s="554" t="s">
        <v>8</v>
      </c>
      <c r="I4149" s="554" t="s">
        <v>9</v>
      </c>
      <c r="J4149" s="554" t="s">
        <v>11</v>
      </c>
    </row>
    <row r="4150" spans="1:10" ht="38.25" customHeight="1" x14ac:dyDescent="0.3">
      <c r="A4150" s="607" t="s">
        <v>428</v>
      </c>
      <c r="B4150" s="608" t="s">
        <v>1781</v>
      </c>
      <c r="C4150" s="607" t="s">
        <v>19</v>
      </c>
      <c r="D4150" s="607" t="s">
        <v>1782</v>
      </c>
      <c r="E4150" s="690" t="s">
        <v>461</v>
      </c>
      <c r="F4150" s="690"/>
      <c r="G4150" s="609" t="s">
        <v>423</v>
      </c>
      <c r="H4150" s="610">
        <v>1</v>
      </c>
      <c r="I4150" s="611">
        <v>7.76</v>
      </c>
      <c r="J4150" s="611">
        <v>7.76</v>
      </c>
    </row>
    <row r="4151" spans="1:10" ht="14.5" thickBot="1" x14ac:dyDescent="0.35">
      <c r="A4151" s="547" t="s">
        <v>433</v>
      </c>
      <c r="B4151" s="548" t="s">
        <v>3670</v>
      </c>
      <c r="C4151" s="547" t="s">
        <v>115</v>
      </c>
      <c r="D4151" s="547" t="s">
        <v>3891</v>
      </c>
      <c r="E4151" s="688" t="s">
        <v>438</v>
      </c>
      <c r="F4151" s="688"/>
      <c r="G4151" s="549" t="s">
        <v>835</v>
      </c>
      <c r="H4151" s="550">
        <v>1.44</v>
      </c>
      <c r="I4151" s="551">
        <v>5.3951000000000002</v>
      </c>
      <c r="J4151" s="551">
        <v>7.76</v>
      </c>
    </row>
    <row r="4152" spans="1:10" ht="14.5" thickTop="1" x14ac:dyDescent="0.3">
      <c r="A4152" s="562"/>
      <c r="B4152" s="562"/>
      <c r="C4152" s="562"/>
      <c r="D4152" s="562"/>
      <c r="E4152" s="562"/>
      <c r="F4152" s="562"/>
      <c r="G4152" s="562"/>
      <c r="H4152" s="562"/>
      <c r="I4152" s="562"/>
      <c r="J4152" s="562"/>
    </row>
    <row r="4153" spans="1:10" s="89" customFormat="1" x14ac:dyDescent="0.3">
      <c r="A4153" s="553"/>
      <c r="B4153" s="554" t="s">
        <v>4</v>
      </c>
      <c r="C4153" s="553" t="s">
        <v>5</v>
      </c>
      <c r="D4153" s="553" t="s">
        <v>6</v>
      </c>
      <c r="E4153" s="691" t="s">
        <v>427</v>
      </c>
      <c r="F4153" s="691"/>
      <c r="G4153" s="555" t="s">
        <v>7</v>
      </c>
      <c r="H4153" s="554" t="s">
        <v>8</v>
      </c>
      <c r="I4153" s="554" t="s">
        <v>9</v>
      </c>
      <c r="J4153" s="554" t="s">
        <v>11</v>
      </c>
    </row>
    <row r="4154" spans="1:10" ht="14.25" customHeight="1" x14ac:dyDescent="0.3">
      <c r="A4154" s="607" t="s">
        <v>428</v>
      </c>
      <c r="B4154" s="608" t="s">
        <v>667</v>
      </c>
      <c r="C4154" s="607" t="s">
        <v>19</v>
      </c>
      <c r="D4154" s="607" t="s">
        <v>668</v>
      </c>
      <c r="E4154" s="690" t="s">
        <v>643</v>
      </c>
      <c r="F4154" s="690"/>
      <c r="G4154" s="609" t="s">
        <v>81</v>
      </c>
      <c r="H4154" s="610">
        <v>1</v>
      </c>
      <c r="I4154" s="611">
        <v>398.03</v>
      </c>
      <c r="J4154" s="611">
        <v>398.03</v>
      </c>
    </row>
    <row r="4155" spans="1:10" ht="14.25" customHeight="1" x14ac:dyDescent="0.3">
      <c r="A4155" s="547" t="s">
        <v>430</v>
      </c>
      <c r="B4155" s="548" t="s">
        <v>1022</v>
      </c>
      <c r="C4155" s="547" t="s">
        <v>19</v>
      </c>
      <c r="D4155" s="547" t="s">
        <v>1023</v>
      </c>
      <c r="E4155" s="688" t="s">
        <v>429</v>
      </c>
      <c r="F4155" s="688"/>
      <c r="G4155" s="549" t="s">
        <v>423</v>
      </c>
      <c r="H4155" s="550">
        <v>1.546</v>
      </c>
      <c r="I4155" s="551">
        <v>29.49</v>
      </c>
      <c r="J4155" s="551">
        <v>45.59</v>
      </c>
    </row>
    <row r="4156" spans="1:10" ht="14.25" customHeight="1" x14ac:dyDescent="0.3">
      <c r="A4156" s="547" t="s">
        <v>430</v>
      </c>
      <c r="B4156" s="548" t="s">
        <v>559</v>
      </c>
      <c r="C4156" s="547" t="s">
        <v>19</v>
      </c>
      <c r="D4156" s="547" t="s">
        <v>560</v>
      </c>
      <c r="E4156" s="688" t="s">
        <v>429</v>
      </c>
      <c r="F4156" s="688"/>
      <c r="G4156" s="549" t="s">
        <v>423</v>
      </c>
      <c r="H4156" s="550">
        <v>0.77300000000000002</v>
      </c>
      <c r="I4156" s="551">
        <v>23.4</v>
      </c>
      <c r="J4156" s="551">
        <v>18.079999999999998</v>
      </c>
    </row>
    <row r="4157" spans="1:10" ht="25" x14ac:dyDescent="0.3">
      <c r="A4157" s="547" t="s">
        <v>433</v>
      </c>
      <c r="B4157" s="548" t="s">
        <v>1784</v>
      </c>
      <c r="C4157" s="547" t="s">
        <v>19</v>
      </c>
      <c r="D4157" s="547" t="s">
        <v>1785</v>
      </c>
      <c r="E4157" s="688" t="s">
        <v>438</v>
      </c>
      <c r="F4157" s="688"/>
      <c r="G4157" s="549" t="s">
        <v>81</v>
      </c>
      <c r="H4157" s="550">
        <v>3</v>
      </c>
      <c r="I4157" s="551">
        <v>25.07</v>
      </c>
      <c r="J4157" s="551">
        <v>75.209999999999994</v>
      </c>
    </row>
    <row r="4158" spans="1:10" ht="37.5" x14ac:dyDescent="0.3">
      <c r="A4158" s="547" t="s">
        <v>433</v>
      </c>
      <c r="B4158" s="548" t="s">
        <v>1786</v>
      </c>
      <c r="C4158" s="547" t="s">
        <v>19</v>
      </c>
      <c r="D4158" s="547" t="s">
        <v>1787</v>
      </c>
      <c r="E4158" s="688" t="s">
        <v>438</v>
      </c>
      <c r="F4158" s="688"/>
      <c r="G4158" s="549" t="s">
        <v>81</v>
      </c>
      <c r="H4158" s="550">
        <v>1</v>
      </c>
      <c r="I4158" s="551">
        <v>257.57</v>
      </c>
      <c r="J4158" s="551">
        <v>257.57</v>
      </c>
    </row>
    <row r="4159" spans="1:10" s="89" customFormat="1" ht="25.5" thickBot="1" x14ac:dyDescent="0.35">
      <c r="A4159" s="547" t="s">
        <v>433</v>
      </c>
      <c r="B4159" s="548" t="s">
        <v>1788</v>
      </c>
      <c r="C4159" s="547" t="s">
        <v>19</v>
      </c>
      <c r="D4159" s="547" t="s">
        <v>1789</v>
      </c>
      <c r="E4159" s="688" t="s">
        <v>438</v>
      </c>
      <c r="F4159" s="688"/>
      <c r="G4159" s="549" t="s">
        <v>81</v>
      </c>
      <c r="H4159" s="550">
        <v>19.8</v>
      </c>
      <c r="I4159" s="551">
        <v>0.08</v>
      </c>
      <c r="J4159" s="551">
        <v>1.58</v>
      </c>
    </row>
    <row r="4160" spans="1:10" ht="14.5" thickTop="1" x14ac:dyDescent="0.3">
      <c r="A4160" s="562"/>
      <c r="B4160" s="562"/>
      <c r="C4160" s="562"/>
      <c r="D4160" s="562"/>
      <c r="E4160" s="562"/>
      <c r="F4160" s="562"/>
      <c r="G4160" s="562"/>
      <c r="H4160" s="562"/>
      <c r="I4160" s="562"/>
      <c r="J4160" s="562"/>
    </row>
    <row r="4161" spans="1:10" s="89" customFormat="1" x14ac:dyDescent="0.3">
      <c r="A4161" s="553"/>
      <c r="B4161" s="554" t="s">
        <v>4</v>
      </c>
      <c r="C4161" s="553" t="s">
        <v>5</v>
      </c>
      <c r="D4161" s="553" t="s">
        <v>6</v>
      </c>
      <c r="E4161" s="691" t="s">
        <v>427</v>
      </c>
      <c r="F4161" s="691"/>
      <c r="G4161" s="555" t="s">
        <v>7</v>
      </c>
      <c r="H4161" s="554" t="s">
        <v>8</v>
      </c>
      <c r="I4161" s="554" t="s">
        <v>9</v>
      </c>
      <c r="J4161" s="554" t="s">
        <v>11</v>
      </c>
    </row>
    <row r="4162" spans="1:10" ht="37.5" x14ac:dyDescent="0.3">
      <c r="A4162" s="607" t="s">
        <v>428</v>
      </c>
      <c r="B4162" s="608" t="s">
        <v>703</v>
      </c>
      <c r="C4162" s="607" t="s">
        <v>19</v>
      </c>
      <c r="D4162" s="607" t="s">
        <v>704</v>
      </c>
      <c r="E4162" s="690" t="s">
        <v>643</v>
      </c>
      <c r="F4162" s="690"/>
      <c r="G4162" s="609" t="s">
        <v>556</v>
      </c>
      <c r="H4162" s="610">
        <v>1</v>
      </c>
      <c r="I4162" s="611">
        <v>619.99</v>
      </c>
      <c r="J4162" s="611">
        <v>619.99</v>
      </c>
    </row>
    <row r="4163" spans="1:10" ht="14.25" customHeight="1" x14ac:dyDescent="0.3">
      <c r="A4163" s="547" t="s">
        <v>430</v>
      </c>
      <c r="B4163" s="548" t="s">
        <v>760</v>
      </c>
      <c r="C4163" s="547" t="s">
        <v>19</v>
      </c>
      <c r="D4163" s="547" t="s">
        <v>761</v>
      </c>
      <c r="E4163" s="688" t="s">
        <v>429</v>
      </c>
      <c r="F4163" s="688"/>
      <c r="G4163" s="549" t="s">
        <v>423</v>
      </c>
      <c r="H4163" s="550">
        <v>0.3826</v>
      </c>
      <c r="I4163" s="551">
        <v>31.1</v>
      </c>
      <c r="J4163" s="551">
        <v>11.89</v>
      </c>
    </row>
    <row r="4164" spans="1:10" s="89" customFormat="1" ht="15" customHeight="1" x14ac:dyDescent="0.3">
      <c r="A4164" s="547" t="s">
        <v>430</v>
      </c>
      <c r="B4164" s="548" t="s">
        <v>559</v>
      </c>
      <c r="C4164" s="547" t="s">
        <v>19</v>
      </c>
      <c r="D4164" s="547" t="s">
        <v>560</v>
      </c>
      <c r="E4164" s="688" t="s">
        <v>429</v>
      </c>
      <c r="F4164" s="688"/>
      <c r="G4164" s="549" t="s">
        <v>423</v>
      </c>
      <c r="H4164" s="550">
        <v>0.191</v>
      </c>
      <c r="I4164" s="551">
        <v>23.4</v>
      </c>
      <c r="J4164" s="551">
        <v>4.46</v>
      </c>
    </row>
    <row r="4165" spans="1:10" ht="14.25" customHeight="1" x14ac:dyDescent="0.3">
      <c r="A4165" s="547" t="s">
        <v>433</v>
      </c>
      <c r="B4165" s="548" t="s">
        <v>1715</v>
      </c>
      <c r="C4165" s="547" t="s">
        <v>19</v>
      </c>
      <c r="D4165" s="547" t="s">
        <v>1716</v>
      </c>
      <c r="E4165" s="688" t="s">
        <v>438</v>
      </c>
      <c r="F4165" s="688"/>
      <c r="G4165" s="549" t="s">
        <v>1717</v>
      </c>
      <c r="H4165" s="550">
        <v>0.88290000000000002</v>
      </c>
      <c r="I4165" s="551">
        <v>39.76</v>
      </c>
      <c r="J4165" s="551">
        <v>35.1</v>
      </c>
    </row>
    <row r="4166" spans="1:10" s="89" customFormat="1" ht="15" customHeight="1" x14ac:dyDescent="0.3">
      <c r="A4166" s="547" t="s">
        <v>433</v>
      </c>
      <c r="B4166" s="548" t="s">
        <v>1790</v>
      </c>
      <c r="C4166" s="547" t="s">
        <v>19</v>
      </c>
      <c r="D4166" s="547" t="s">
        <v>1791</v>
      </c>
      <c r="E4166" s="688" t="s">
        <v>438</v>
      </c>
      <c r="F4166" s="688"/>
      <c r="G4166" s="549" t="s">
        <v>81</v>
      </c>
      <c r="H4166" s="550">
        <v>4.8166000000000002</v>
      </c>
      <c r="I4166" s="551">
        <v>1.1599999999999999</v>
      </c>
      <c r="J4166" s="551">
        <v>5.58</v>
      </c>
    </row>
    <row r="4167" spans="1:10" ht="14.25" customHeight="1" x14ac:dyDescent="0.3">
      <c r="A4167" s="547" t="s">
        <v>433</v>
      </c>
      <c r="B4167" s="548" t="s">
        <v>1792</v>
      </c>
      <c r="C4167" s="547" t="s">
        <v>19</v>
      </c>
      <c r="D4167" s="547" t="s">
        <v>1793</v>
      </c>
      <c r="E4167" s="688" t="s">
        <v>438</v>
      </c>
      <c r="F4167" s="688"/>
      <c r="G4167" s="549" t="s">
        <v>173</v>
      </c>
      <c r="H4167" s="550">
        <v>6.8503999999999996</v>
      </c>
      <c r="I4167" s="551">
        <v>32.33</v>
      </c>
      <c r="J4167" s="551">
        <v>221.47</v>
      </c>
    </row>
    <row r="4168" spans="1:10" ht="25.5" thickBot="1" x14ac:dyDescent="0.35">
      <c r="A4168" s="547" t="s">
        <v>433</v>
      </c>
      <c r="B4168" s="548" t="s">
        <v>1794</v>
      </c>
      <c r="C4168" s="547" t="s">
        <v>19</v>
      </c>
      <c r="D4168" s="547" t="s">
        <v>1795</v>
      </c>
      <c r="E4168" s="688" t="s">
        <v>438</v>
      </c>
      <c r="F4168" s="688"/>
      <c r="G4168" s="549" t="s">
        <v>81</v>
      </c>
      <c r="H4168" s="550">
        <v>0.54730000000000001</v>
      </c>
      <c r="I4168" s="551">
        <v>623.96</v>
      </c>
      <c r="J4168" s="551">
        <v>341.49</v>
      </c>
    </row>
    <row r="4169" spans="1:10" ht="14.5" thickTop="1" x14ac:dyDescent="0.3">
      <c r="A4169" s="562"/>
      <c r="B4169" s="562"/>
      <c r="C4169" s="562"/>
      <c r="D4169" s="562"/>
      <c r="E4169" s="562"/>
      <c r="F4169" s="562"/>
      <c r="G4169" s="562"/>
      <c r="H4169" s="562"/>
      <c r="I4169" s="562"/>
      <c r="J4169" s="562"/>
    </row>
    <row r="4170" spans="1:10" s="89" customFormat="1" ht="38.25" customHeight="1" x14ac:dyDescent="0.3">
      <c r="A4170" s="553"/>
      <c r="B4170" s="554" t="s">
        <v>4</v>
      </c>
      <c r="C4170" s="553" t="s">
        <v>5</v>
      </c>
      <c r="D4170" s="553" t="s">
        <v>6</v>
      </c>
      <c r="E4170" s="691" t="s">
        <v>427</v>
      </c>
      <c r="F4170" s="691"/>
      <c r="G4170" s="555" t="s">
        <v>7</v>
      </c>
      <c r="H4170" s="554" t="s">
        <v>8</v>
      </c>
      <c r="I4170" s="554" t="s">
        <v>9</v>
      </c>
      <c r="J4170" s="554" t="s">
        <v>11</v>
      </c>
    </row>
    <row r="4171" spans="1:10" ht="38.25" customHeight="1" x14ac:dyDescent="0.3">
      <c r="A4171" s="607" t="s">
        <v>428</v>
      </c>
      <c r="B4171" s="608" t="s">
        <v>1325</v>
      </c>
      <c r="C4171" s="607" t="s">
        <v>19</v>
      </c>
      <c r="D4171" s="607" t="s">
        <v>1326</v>
      </c>
      <c r="E4171" s="690" t="s">
        <v>709</v>
      </c>
      <c r="F4171" s="690"/>
      <c r="G4171" s="609" t="s">
        <v>532</v>
      </c>
      <c r="H4171" s="610">
        <v>1</v>
      </c>
      <c r="I4171" s="611">
        <v>318.48</v>
      </c>
      <c r="J4171" s="611">
        <v>318.48</v>
      </c>
    </row>
    <row r="4172" spans="1:10" s="89" customFormat="1" ht="38.25" customHeight="1" x14ac:dyDescent="0.3">
      <c r="A4172" s="547" t="s">
        <v>430</v>
      </c>
      <c r="B4172" s="548" t="s">
        <v>760</v>
      </c>
      <c r="C4172" s="547" t="s">
        <v>19</v>
      </c>
      <c r="D4172" s="547" t="s">
        <v>761</v>
      </c>
      <c r="E4172" s="688" t="s">
        <v>429</v>
      </c>
      <c r="F4172" s="688"/>
      <c r="G4172" s="549" t="s">
        <v>423</v>
      </c>
      <c r="H4172" s="550">
        <v>2.4937999999999998</v>
      </c>
      <c r="I4172" s="551">
        <v>31.1</v>
      </c>
      <c r="J4172" s="551">
        <v>77.55</v>
      </c>
    </row>
    <row r="4173" spans="1:10" ht="38.25" customHeight="1" x14ac:dyDescent="0.3">
      <c r="A4173" s="547" t="s">
        <v>430</v>
      </c>
      <c r="B4173" s="548" t="s">
        <v>559</v>
      </c>
      <c r="C4173" s="547" t="s">
        <v>19</v>
      </c>
      <c r="D4173" s="547" t="s">
        <v>560</v>
      </c>
      <c r="E4173" s="688" t="s">
        <v>429</v>
      </c>
      <c r="F4173" s="688"/>
      <c r="G4173" s="549" t="s">
        <v>423</v>
      </c>
      <c r="H4173" s="550">
        <v>3.7406999999999999</v>
      </c>
      <c r="I4173" s="551">
        <v>23.4</v>
      </c>
      <c r="J4173" s="551">
        <v>87.53</v>
      </c>
    </row>
    <row r="4174" spans="1:10" ht="39" customHeight="1" x14ac:dyDescent="0.3">
      <c r="A4174" s="547" t="s">
        <v>430</v>
      </c>
      <c r="B4174" s="548" t="s">
        <v>943</v>
      </c>
      <c r="C4174" s="547" t="s">
        <v>19</v>
      </c>
      <c r="D4174" s="547" t="s">
        <v>944</v>
      </c>
      <c r="E4174" s="688" t="s">
        <v>461</v>
      </c>
      <c r="F4174" s="688"/>
      <c r="G4174" s="549" t="s">
        <v>95</v>
      </c>
      <c r="H4174" s="550">
        <v>7.1800000000000003E-2</v>
      </c>
      <c r="I4174" s="551">
        <v>33.549999999999997</v>
      </c>
      <c r="J4174" s="551">
        <v>2.4</v>
      </c>
    </row>
    <row r="4175" spans="1:10" ht="39" customHeight="1" x14ac:dyDescent="0.3">
      <c r="A4175" s="547" t="s">
        <v>430</v>
      </c>
      <c r="B4175" s="548" t="s">
        <v>945</v>
      </c>
      <c r="C4175" s="547" t="s">
        <v>19</v>
      </c>
      <c r="D4175" s="547" t="s">
        <v>946</v>
      </c>
      <c r="E4175" s="688" t="s">
        <v>461</v>
      </c>
      <c r="F4175" s="688"/>
      <c r="G4175" s="549" t="s">
        <v>102</v>
      </c>
      <c r="H4175" s="550">
        <v>6.6600000000000006E-2</v>
      </c>
      <c r="I4175" s="551">
        <v>26.89</v>
      </c>
      <c r="J4175" s="551">
        <v>1.79</v>
      </c>
    </row>
    <row r="4176" spans="1:10" s="89" customFormat="1" ht="14.5" thickBot="1" x14ac:dyDescent="0.35">
      <c r="A4176" s="547" t="s">
        <v>433</v>
      </c>
      <c r="B4176" s="548" t="s">
        <v>947</v>
      </c>
      <c r="C4176" s="547" t="s">
        <v>115</v>
      </c>
      <c r="D4176" s="547" t="s">
        <v>948</v>
      </c>
      <c r="E4176" s="688" t="s">
        <v>438</v>
      </c>
      <c r="F4176" s="688"/>
      <c r="G4176" s="549" t="s">
        <v>532</v>
      </c>
      <c r="H4176" s="550">
        <v>1.1000000000000001</v>
      </c>
      <c r="I4176" s="551">
        <v>135.64580000000001</v>
      </c>
      <c r="J4176" s="551">
        <v>149.21</v>
      </c>
    </row>
    <row r="4177" spans="1:10" s="89" customFormat="1" ht="38.25" customHeight="1" thickTop="1" x14ac:dyDescent="0.3">
      <c r="A4177" s="562"/>
      <c r="B4177" s="562"/>
      <c r="C4177" s="562"/>
      <c r="D4177" s="562"/>
      <c r="E4177" s="562"/>
      <c r="F4177" s="562"/>
      <c r="G4177" s="562"/>
      <c r="H4177" s="562"/>
      <c r="I4177" s="562"/>
      <c r="J4177" s="562"/>
    </row>
    <row r="4178" spans="1:10" s="89" customFormat="1" ht="38.25" customHeight="1" x14ac:dyDescent="0.3">
      <c r="A4178" s="553"/>
      <c r="B4178" s="554" t="s">
        <v>4</v>
      </c>
      <c r="C4178" s="553" t="s">
        <v>5</v>
      </c>
      <c r="D4178" s="553" t="s">
        <v>6</v>
      </c>
      <c r="E4178" s="691" t="s">
        <v>427</v>
      </c>
      <c r="F4178" s="691"/>
      <c r="G4178" s="555" t="s">
        <v>7</v>
      </c>
      <c r="H4178" s="554" t="s">
        <v>8</v>
      </c>
      <c r="I4178" s="554" t="s">
        <v>9</v>
      </c>
      <c r="J4178" s="554" t="s">
        <v>11</v>
      </c>
    </row>
    <row r="4179" spans="1:10" ht="25" x14ac:dyDescent="0.3">
      <c r="A4179" s="607" t="s">
        <v>428</v>
      </c>
      <c r="B4179" s="608" t="s">
        <v>1796</v>
      </c>
      <c r="C4179" s="607" t="s">
        <v>115</v>
      </c>
      <c r="D4179" s="607" t="s">
        <v>1553</v>
      </c>
      <c r="E4179" s="690" t="s">
        <v>402</v>
      </c>
      <c r="F4179" s="690"/>
      <c r="G4179" s="609" t="s">
        <v>556</v>
      </c>
      <c r="H4179" s="610">
        <v>1</v>
      </c>
      <c r="I4179" s="611">
        <v>8.18</v>
      </c>
      <c r="J4179" s="611">
        <v>8.18</v>
      </c>
    </row>
    <row r="4180" spans="1:10" s="89" customFormat="1" ht="15" customHeight="1" x14ac:dyDescent="0.3">
      <c r="A4180" s="691" t="s">
        <v>408</v>
      </c>
      <c r="B4180" s="692" t="s">
        <v>4</v>
      </c>
      <c r="C4180" s="691" t="s">
        <v>5</v>
      </c>
      <c r="D4180" s="691" t="s">
        <v>462</v>
      </c>
      <c r="E4180" s="692" t="s">
        <v>463</v>
      </c>
      <c r="F4180" s="694" t="s">
        <v>464</v>
      </c>
      <c r="G4180" s="692"/>
      <c r="H4180" s="694" t="s">
        <v>465</v>
      </c>
      <c r="I4180" s="692"/>
      <c r="J4180" s="692" t="s">
        <v>466</v>
      </c>
    </row>
    <row r="4181" spans="1:10" s="89" customFormat="1" ht="38.25" customHeight="1" x14ac:dyDescent="0.3">
      <c r="A4181" s="692"/>
      <c r="B4181" s="692"/>
      <c r="C4181" s="692"/>
      <c r="D4181" s="692"/>
      <c r="E4181" s="692"/>
      <c r="F4181" s="554" t="s">
        <v>467</v>
      </c>
      <c r="G4181" s="554" t="s">
        <v>468</v>
      </c>
      <c r="H4181" s="554" t="s">
        <v>467</v>
      </c>
      <c r="I4181" s="554" t="s">
        <v>468</v>
      </c>
      <c r="J4181" s="692"/>
    </row>
    <row r="4182" spans="1:10" s="89" customFormat="1" ht="38.25" customHeight="1" x14ac:dyDescent="0.3">
      <c r="A4182" s="547" t="s">
        <v>433</v>
      </c>
      <c r="B4182" s="548" t="s">
        <v>1797</v>
      </c>
      <c r="C4182" s="547" t="s">
        <v>115</v>
      </c>
      <c r="D4182" s="547" t="s">
        <v>1798</v>
      </c>
      <c r="E4182" s="550">
        <v>1</v>
      </c>
      <c r="F4182" s="551">
        <v>1</v>
      </c>
      <c r="G4182" s="551">
        <v>0</v>
      </c>
      <c r="H4182" s="563">
        <v>0.46160000000000001</v>
      </c>
      <c r="I4182" s="563">
        <v>0.316</v>
      </c>
      <c r="J4182" s="563">
        <v>0.46160000000000001</v>
      </c>
    </row>
    <row r="4183" spans="1:10" x14ac:dyDescent="0.3">
      <c r="A4183" s="547" t="s">
        <v>433</v>
      </c>
      <c r="B4183" s="548" t="s">
        <v>1799</v>
      </c>
      <c r="C4183" s="547" t="s">
        <v>115</v>
      </c>
      <c r="D4183" s="547" t="s">
        <v>3734</v>
      </c>
      <c r="E4183" s="550">
        <v>1</v>
      </c>
      <c r="F4183" s="551">
        <v>1</v>
      </c>
      <c r="G4183" s="551">
        <v>0</v>
      </c>
      <c r="H4183" s="563">
        <v>4.8464999999999998</v>
      </c>
      <c r="I4183" s="563">
        <v>0.2341</v>
      </c>
      <c r="J4183" s="563">
        <v>4.8464999999999998</v>
      </c>
    </row>
    <row r="4184" spans="1:10" s="89" customFormat="1" ht="15" customHeight="1" x14ac:dyDescent="0.3">
      <c r="A4184" s="689"/>
      <c r="B4184" s="689"/>
      <c r="C4184" s="689"/>
      <c r="D4184" s="689"/>
      <c r="E4184" s="689"/>
      <c r="F4184" s="689" t="s">
        <v>471</v>
      </c>
      <c r="G4184" s="689"/>
      <c r="H4184" s="689"/>
      <c r="I4184" s="689"/>
      <c r="J4184" s="564">
        <v>5.3080999999999996</v>
      </c>
    </row>
    <row r="4185" spans="1:10" s="89" customFormat="1" ht="38.25" customHeight="1" x14ac:dyDescent="0.3">
      <c r="A4185" s="689"/>
      <c r="B4185" s="689"/>
      <c r="C4185" s="689"/>
      <c r="D4185" s="689"/>
      <c r="E4185" s="689"/>
      <c r="F4185" s="689" t="s">
        <v>472</v>
      </c>
      <c r="G4185" s="689"/>
      <c r="H4185" s="689"/>
      <c r="I4185" s="689"/>
      <c r="J4185" s="564">
        <v>5.3080999999999996</v>
      </c>
    </row>
    <row r="4186" spans="1:10" s="89" customFormat="1" ht="38.25" customHeight="1" x14ac:dyDescent="0.3">
      <c r="A4186" s="689"/>
      <c r="B4186" s="689"/>
      <c r="C4186" s="689"/>
      <c r="D4186" s="689"/>
      <c r="E4186" s="689"/>
      <c r="F4186" s="689" t="s">
        <v>473</v>
      </c>
      <c r="G4186" s="689"/>
      <c r="H4186" s="689"/>
      <c r="I4186" s="689"/>
      <c r="J4186" s="564">
        <v>0</v>
      </c>
    </row>
    <row r="4187" spans="1:10" x14ac:dyDescent="0.3">
      <c r="A4187" s="689"/>
      <c r="B4187" s="689"/>
      <c r="C4187" s="689"/>
      <c r="D4187" s="689"/>
      <c r="E4187" s="689"/>
      <c r="F4187" s="689" t="s">
        <v>474</v>
      </c>
      <c r="G4187" s="689"/>
      <c r="H4187" s="689"/>
      <c r="I4187" s="689"/>
      <c r="J4187" s="564">
        <v>0</v>
      </c>
    </row>
    <row r="4188" spans="1:10" s="89" customFormat="1" ht="15" customHeight="1" x14ac:dyDescent="0.3">
      <c r="A4188" s="689"/>
      <c r="B4188" s="689"/>
      <c r="C4188" s="689"/>
      <c r="D4188" s="689"/>
      <c r="E4188" s="689"/>
      <c r="F4188" s="689" t="s">
        <v>475</v>
      </c>
      <c r="G4188" s="689"/>
      <c r="H4188" s="689"/>
      <c r="I4188" s="689"/>
      <c r="J4188" s="564">
        <v>49.8</v>
      </c>
    </row>
    <row r="4189" spans="1:10" s="89" customFormat="1" ht="38.25" customHeight="1" x14ac:dyDescent="0.3">
      <c r="A4189" s="689"/>
      <c r="B4189" s="689"/>
      <c r="C4189" s="689"/>
      <c r="D4189" s="689"/>
      <c r="E4189" s="689"/>
      <c r="F4189" s="689" t="s">
        <v>476</v>
      </c>
      <c r="G4189" s="689"/>
      <c r="H4189" s="689"/>
      <c r="I4189" s="689"/>
      <c r="J4189" s="564">
        <v>0.1066</v>
      </c>
    </row>
    <row r="4190" spans="1:10" ht="38.25" customHeight="1" x14ac:dyDescent="0.3">
      <c r="A4190" s="553" t="s">
        <v>410</v>
      </c>
      <c r="B4190" s="554" t="s">
        <v>5</v>
      </c>
      <c r="C4190" s="553" t="s">
        <v>4</v>
      </c>
      <c r="D4190" s="553" t="s">
        <v>438</v>
      </c>
      <c r="E4190" s="554" t="s">
        <v>463</v>
      </c>
      <c r="F4190" s="554" t="s">
        <v>575</v>
      </c>
      <c r="G4190" s="692" t="s">
        <v>576</v>
      </c>
      <c r="H4190" s="692"/>
      <c r="I4190" s="692"/>
      <c r="J4190" s="554" t="s">
        <v>466</v>
      </c>
    </row>
    <row r="4191" spans="1:10" x14ac:dyDescent="0.3">
      <c r="A4191" s="547" t="s">
        <v>433</v>
      </c>
      <c r="B4191" s="548" t="s">
        <v>115</v>
      </c>
      <c r="C4191" s="547" t="s">
        <v>1800</v>
      </c>
      <c r="D4191" s="547" t="s">
        <v>1801</v>
      </c>
      <c r="E4191" s="550">
        <v>0.01</v>
      </c>
      <c r="F4191" s="549" t="s">
        <v>835</v>
      </c>
      <c r="G4191" s="693">
        <v>61.604500000000002</v>
      </c>
      <c r="H4191" s="693"/>
      <c r="I4191" s="688"/>
      <c r="J4191" s="563">
        <v>0.61599999999999999</v>
      </c>
    </row>
    <row r="4192" spans="1:10" x14ac:dyDescent="0.3">
      <c r="A4192" s="547" t="s">
        <v>433</v>
      </c>
      <c r="B4192" s="548" t="s">
        <v>115</v>
      </c>
      <c r="C4192" s="547" t="s">
        <v>1802</v>
      </c>
      <c r="D4192" s="547" t="s">
        <v>1803</v>
      </c>
      <c r="E4192" s="550">
        <v>0.1</v>
      </c>
      <c r="F4192" s="549" t="s">
        <v>835</v>
      </c>
      <c r="G4192" s="693">
        <v>63.091200000000001</v>
      </c>
      <c r="H4192" s="693"/>
      <c r="I4192" s="688"/>
      <c r="J4192" s="563">
        <v>6.3090999999999999</v>
      </c>
    </row>
    <row r="4193" spans="1:10" s="89" customFormat="1" ht="15" customHeight="1" x14ac:dyDescent="0.3">
      <c r="A4193" s="689"/>
      <c r="B4193" s="689"/>
      <c r="C4193" s="689"/>
      <c r="D4193" s="689"/>
      <c r="E4193" s="689"/>
      <c r="F4193" s="689" t="s">
        <v>813</v>
      </c>
      <c r="G4193" s="689"/>
      <c r="H4193" s="689"/>
      <c r="I4193" s="689"/>
      <c r="J4193" s="564">
        <v>6.9250999999999996</v>
      </c>
    </row>
    <row r="4194" spans="1:10" ht="14.25" customHeight="1" x14ac:dyDescent="0.3">
      <c r="A4194" s="553" t="s">
        <v>573</v>
      </c>
      <c r="B4194" s="554" t="s">
        <v>5</v>
      </c>
      <c r="C4194" s="553" t="s">
        <v>4</v>
      </c>
      <c r="D4194" s="553" t="s">
        <v>574</v>
      </c>
      <c r="E4194" s="554" t="s">
        <v>463</v>
      </c>
      <c r="F4194" s="554" t="s">
        <v>575</v>
      </c>
      <c r="G4194" s="692" t="s">
        <v>576</v>
      </c>
      <c r="H4194" s="692"/>
      <c r="I4194" s="692"/>
      <c r="J4194" s="554" t="s">
        <v>466</v>
      </c>
    </row>
    <row r="4195" spans="1:10" ht="14.25" customHeight="1" x14ac:dyDescent="0.3">
      <c r="A4195" s="547" t="s">
        <v>577</v>
      </c>
      <c r="B4195" s="548" t="s">
        <v>19</v>
      </c>
      <c r="C4195" s="547">
        <v>88241</v>
      </c>
      <c r="D4195" s="547" t="s">
        <v>794</v>
      </c>
      <c r="E4195" s="550">
        <v>2.0080299999999999E-2</v>
      </c>
      <c r="F4195" s="549" t="s">
        <v>423</v>
      </c>
      <c r="G4195" s="693">
        <v>24.15</v>
      </c>
      <c r="H4195" s="693"/>
      <c r="I4195" s="688"/>
      <c r="J4195" s="563">
        <v>0.4849</v>
      </c>
    </row>
    <row r="4196" spans="1:10" ht="14.25" customHeight="1" x14ac:dyDescent="0.3">
      <c r="A4196" s="547" t="s">
        <v>577</v>
      </c>
      <c r="B4196" s="548" t="s">
        <v>19</v>
      </c>
      <c r="C4196" s="547">
        <v>88310</v>
      </c>
      <c r="D4196" s="547" t="s">
        <v>1025</v>
      </c>
      <c r="E4196" s="550">
        <v>2.0080299999999999E-2</v>
      </c>
      <c r="F4196" s="549" t="s">
        <v>423</v>
      </c>
      <c r="G4196" s="693">
        <v>32.58</v>
      </c>
      <c r="H4196" s="693"/>
      <c r="I4196" s="688"/>
      <c r="J4196" s="563">
        <v>0.6542</v>
      </c>
    </row>
    <row r="4197" spans="1:10" ht="14.25" customHeight="1" x14ac:dyDescent="0.3">
      <c r="A4197" s="689"/>
      <c r="B4197" s="689"/>
      <c r="C4197" s="689"/>
      <c r="D4197" s="689"/>
      <c r="E4197" s="689"/>
      <c r="F4197" s="689" t="s">
        <v>578</v>
      </c>
      <c r="G4197" s="689"/>
      <c r="H4197" s="689"/>
      <c r="I4197" s="689"/>
      <c r="J4197" s="564">
        <v>1.1391</v>
      </c>
    </row>
    <row r="4198" spans="1:10" ht="15" customHeight="1" x14ac:dyDescent="0.3">
      <c r="A4198" s="553" t="s">
        <v>579</v>
      </c>
      <c r="B4198" s="554" t="s">
        <v>5</v>
      </c>
      <c r="C4198" s="553" t="s">
        <v>433</v>
      </c>
      <c r="D4198" s="553" t="s">
        <v>580</v>
      </c>
      <c r="E4198" s="554" t="s">
        <v>4</v>
      </c>
      <c r="F4198" s="554" t="s">
        <v>463</v>
      </c>
      <c r="G4198" s="555" t="s">
        <v>575</v>
      </c>
      <c r="H4198" s="692" t="s">
        <v>576</v>
      </c>
      <c r="I4198" s="692"/>
      <c r="J4198" s="554" t="s">
        <v>466</v>
      </c>
    </row>
    <row r="4199" spans="1:10" ht="25" x14ac:dyDescent="0.3">
      <c r="A4199" s="547" t="s">
        <v>581</v>
      </c>
      <c r="B4199" s="548" t="s">
        <v>115</v>
      </c>
      <c r="C4199" s="547" t="s">
        <v>1800</v>
      </c>
      <c r="D4199" s="547" t="s">
        <v>844</v>
      </c>
      <c r="E4199" s="548">
        <v>5914655</v>
      </c>
      <c r="F4199" s="550">
        <v>1.0000000000000001E-5</v>
      </c>
      <c r="G4199" s="549" t="s">
        <v>584</v>
      </c>
      <c r="H4199" s="693">
        <v>33.159999999999997</v>
      </c>
      <c r="I4199" s="688"/>
      <c r="J4199" s="563">
        <v>2.9999999999999997E-4</v>
      </c>
    </row>
    <row r="4200" spans="1:10" ht="25" x14ac:dyDescent="0.3">
      <c r="A4200" s="547" t="s">
        <v>581</v>
      </c>
      <c r="B4200" s="548" t="s">
        <v>115</v>
      </c>
      <c r="C4200" s="547" t="s">
        <v>1802</v>
      </c>
      <c r="D4200" s="547" t="s">
        <v>844</v>
      </c>
      <c r="E4200" s="548">
        <v>5914655</v>
      </c>
      <c r="F4200" s="550">
        <v>1.2999999999999999E-4</v>
      </c>
      <c r="G4200" s="549" t="s">
        <v>584</v>
      </c>
      <c r="H4200" s="693">
        <v>33.159999999999997</v>
      </c>
      <c r="I4200" s="688"/>
      <c r="J4200" s="563">
        <v>4.3E-3</v>
      </c>
    </row>
    <row r="4201" spans="1:10" s="89" customFormat="1" ht="15" customHeight="1" x14ac:dyDescent="0.3">
      <c r="A4201" s="689"/>
      <c r="B4201" s="689"/>
      <c r="C4201" s="689"/>
      <c r="D4201" s="689"/>
      <c r="E4201" s="689"/>
      <c r="F4201" s="689" t="s">
        <v>585</v>
      </c>
      <c r="G4201" s="689"/>
      <c r="H4201" s="689"/>
      <c r="I4201" s="689"/>
      <c r="J4201" s="564">
        <v>4.5999999999999999E-3</v>
      </c>
    </row>
    <row r="4202" spans="1:10" ht="14.25" customHeight="1" x14ac:dyDescent="0.3">
      <c r="A4202" s="553" t="s">
        <v>586</v>
      </c>
      <c r="B4202" s="554" t="s">
        <v>5</v>
      </c>
      <c r="C4202" s="553" t="s">
        <v>433</v>
      </c>
      <c r="D4202" s="553" t="s">
        <v>587</v>
      </c>
      <c r="E4202" s="554" t="s">
        <v>463</v>
      </c>
      <c r="F4202" s="554" t="s">
        <v>575</v>
      </c>
      <c r="G4202" s="694" t="s">
        <v>588</v>
      </c>
      <c r="H4202" s="692"/>
      <c r="I4202" s="692"/>
      <c r="J4202" s="554" t="s">
        <v>466</v>
      </c>
    </row>
    <row r="4203" spans="1:10" ht="14.25" customHeight="1" x14ac:dyDescent="0.3">
      <c r="A4203" s="555"/>
      <c r="B4203" s="555"/>
      <c r="C4203" s="555"/>
      <c r="D4203" s="555"/>
      <c r="E4203" s="555"/>
      <c r="F4203" s="555"/>
      <c r="G4203" s="555" t="s">
        <v>589</v>
      </c>
      <c r="H4203" s="555" t="s">
        <v>590</v>
      </c>
      <c r="I4203" s="555" t="s">
        <v>591</v>
      </c>
      <c r="J4203" s="555"/>
    </row>
    <row r="4204" spans="1:10" ht="14.25" customHeight="1" x14ac:dyDescent="0.3">
      <c r="A4204" s="547" t="s">
        <v>587</v>
      </c>
      <c r="B4204" s="548" t="s">
        <v>115</v>
      </c>
      <c r="C4204" s="547" t="s">
        <v>1800</v>
      </c>
      <c r="D4204" s="547" t="s">
        <v>3938</v>
      </c>
      <c r="E4204" s="550">
        <v>1.0000000000000001E-5</v>
      </c>
      <c r="F4204" s="549" t="s">
        <v>593</v>
      </c>
      <c r="G4204" s="548" t="s">
        <v>3846</v>
      </c>
      <c r="H4204" s="548" t="s">
        <v>3847</v>
      </c>
      <c r="I4204" s="548" t="s">
        <v>3848</v>
      </c>
      <c r="J4204" s="563">
        <v>0</v>
      </c>
    </row>
    <row r="4205" spans="1:10" ht="37.5" x14ac:dyDescent="0.3">
      <c r="A4205" s="547" t="s">
        <v>587</v>
      </c>
      <c r="B4205" s="548" t="s">
        <v>115</v>
      </c>
      <c r="C4205" s="547" t="s">
        <v>1802</v>
      </c>
      <c r="D4205" s="547" t="s">
        <v>3939</v>
      </c>
      <c r="E4205" s="550">
        <v>1.2999999999999999E-4</v>
      </c>
      <c r="F4205" s="549" t="s">
        <v>593</v>
      </c>
      <c r="G4205" s="548" t="s">
        <v>3846</v>
      </c>
      <c r="H4205" s="548" t="s">
        <v>3847</v>
      </c>
      <c r="I4205" s="548" t="s">
        <v>3848</v>
      </c>
      <c r="J4205" s="563">
        <v>0</v>
      </c>
    </row>
    <row r="4206" spans="1:10" ht="15" customHeight="1" thickBot="1" x14ac:dyDescent="0.35">
      <c r="A4206" s="689"/>
      <c r="B4206" s="689"/>
      <c r="C4206" s="689"/>
      <c r="D4206" s="689"/>
      <c r="E4206" s="689"/>
      <c r="F4206" s="689" t="s">
        <v>594</v>
      </c>
      <c r="G4206" s="689"/>
      <c r="H4206" s="689"/>
      <c r="I4206" s="689"/>
      <c r="J4206" s="564">
        <v>0</v>
      </c>
    </row>
    <row r="4207" spans="1:10" ht="14.5" thickTop="1" x14ac:dyDescent="0.3">
      <c r="A4207" s="562"/>
      <c r="B4207" s="562"/>
      <c r="C4207" s="562"/>
      <c r="D4207" s="562"/>
      <c r="E4207" s="562"/>
      <c r="F4207" s="562"/>
      <c r="G4207" s="562"/>
      <c r="H4207" s="562"/>
      <c r="I4207" s="562"/>
      <c r="J4207" s="562"/>
    </row>
    <row r="4208" spans="1:10" x14ac:dyDescent="0.3">
      <c r="A4208" s="553"/>
      <c r="B4208" s="554" t="s">
        <v>4</v>
      </c>
      <c r="C4208" s="553" t="s">
        <v>5</v>
      </c>
      <c r="D4208" s="553" t="s">
        <v>6</v>
      </c>
      <c r="E4208" s="691" t="s">
        <v>427</v>
      </c>
      <c r="F4208" s="691"/>
      <c r="G4208" s="555" t="s">
        <v>7</v>
      </c>
      <c r="H4208" s="554" t="s">
        <v>8</v>
      </c>
      <c r="I4208" s="554" t="s">
        <v>9</v>
      </c>
      <c r="J4208" s="554" t="s">
        <v>11</v>
      </c>
    </row>
    <row r="4209" spans="1:10" ht="25" x14ac:dyDescent="0.3">
      <c r="A4209" s="607" t="s">
        <v>428</v>
      </c>
      <c r="B4209" s="608" t="s">
        <v>1804</v>
      </c>
      <c r="C4209" s="607" t="s">
        <v>115</v>
      </c>
      <c r="D4209" s="607" t="s">
        <v>1554</v>
      </c>
      <c r="E4209" s="690" t="s">
        <v>402</v>
      </c>
      <c r="F4209" s="690"/>
      <c r="G4209" s="609" t="s">
        <v>556</v>
      </c>
      <c r="H4209" s="610">
        <v>1</v>
      </c>
      <c r="I4209" s="611">
        <v>49.29</v>
      </c>
      <c r="J4209" s="611">
        <v>49.29</v>
      </c>
    </row>
    <row r="4210" spans="1:10" s="89" customFormat="1" ht="15" customHeight="1" x14ac:dyDescent="0.3">
      <c r="A4210" s="691" t="s">
        <v>408</v>
      </c>
      <c r="B4210" s="692" t="s">
        <v>4</v>
      </c>
      <c r="C4210" s="691" t="s">
        <v>5</v>
      </c>
      <c r="D4210" s="691" t="s">
        <v>462</v>
      </c>
      <c r="E4210" s="692" t="s">
        <v>463</v>
      </c>
      <c r="F4210" s="694" t="s">
        <v>464</v>
      </c>
      <c r="G4210" s="692"/>
      <c r="H4210" s="694" t="s">
        <v>465</v>
      </c>
      <c r="I4210" s="692"/>
      <c r="J4210" s="692" t="s">
        <v>466</v>
      </c>
    </row>
    <row r="4211" spans="1:10" ht="14.25" customHeight="1" x14ac:dyDescent="0.3">
      <c r="A4211" s="692"/>
      <c r="B4211" s="692"/>
      <c r="C4211" s="692"/>
      <c r="D4211" s="692"/>
      <c r="E4211" s="692"/>
      <c r="F4211" s="554" t="s">
        <v>467</v>
      </c>
      <c r="G4211" s="554" t="s">
        <v>468</v>
      </c>
      <c r="H4211" s="554" t="s">
        <v>467</v>
      </c>
      <c r="I4211" s="554" t="s">
        <v>468</v>
      </c>
      <c r="J4211" s="692"/>
    </row>
    <row r="4212" spans="1:10" ht="14.25" customHeight="1" x14ac:dyDescent="0.3">
      <c r="A4212" s="547" t="s">
        <v>433</v>
      </c>
      <c r="B4212" s="548" t="s">
        <v>1797</v>
      </c>
      <c r="C4212" s="547" t="s">
        <v>115</v>
      </c>
      <c r="D4212" s="547" t="s">
        <v>1798</v>
      </c>
      <c r="E4212" s="550">
        <v>1</v>
      </c>
      <c r="F4212" s="551">
        <v>1</v>
      </c>
      <c r="G4212" s="551">
        <v>0</v>
      </c>
      <c r="H4212" s="563">
        <v>0.46160000000000001</v>
      </c>
      <c r="I4212" s="563">
        <v>0.316</v>
      </c>
      <c r="J4212" s="563">
        <v>0.46160000000000001</v>
      </c>
    </row>
    <row r="4213" spans="1:10" ht="25.5" customHeight="1" x14ac:dyDescent="0.3">
      <c r="A4213" s="547" t="s">
        <v>433</v>
      </c>
      <c r="B4213" s="548" t="s">
        <v>1799</v>
      </c>
      <c r="C4213" s="547" t="s">
        <v>115</v>
      </c>
      <c r="D4213" s="547" t="s">
        <v>3734</v>
      </c>
      <c r="E4213" s="550">
        <v>1</v>
      </c>
      <c r="F4213" s="551">
        <v>1</v>
      </c>
      <c r="G4213" s="551">
        <v>0</v>
      </c>
      <c r="H4213" s="563">
        <v>4.8464999999999998</v>
      </c>
      <c r="I4213" s="563">
        <v>0.2341</v>
      </c>
      <c r="J4213" s="563">
        <v>4.8464999999999998</v>
      </c>
    </row>
    <row r="4214" spans="1:10" ht="25.5" customHeight="1" x14ac:dyDescent="0.3">
      <c r="A4214" s="689"/>
      <c r="B4214" s="689"/>
      <c r="C4214" s="689"/>
      <c r="D4214" s="689"/>
      <c r="E4214" s="689"/>
      <c r="F4214" s="689" t="s">
        <v>471</v>
      </c>
      <c r="G4214" s="689"/>
      <c r="H4214" s="689"/>
      <c r="I4214" s="689"/>
      <c r="J4214" s="564">
        <v>5.3080999999999996</v>
      </c>
    </row>
    <row r="4215" spans="1:10" ht="25.5" customHeight="1" x14ac:dyDescent="0.3">
      <c r="A4215" s="689"/>
      <c r="B4215" s="689"/>
      <c r="C4215" s="689"/>
      <c r="D4215" s="689"/>
      <c r="E4215" s="689"/>
      <c r="F4215" s="689" t="s">
        <v>472</v>
      </c>
      <c r="G4215" s="689"/>
      <c r="H4215" s="689"/>
      <c r="I4215" s="689"/>
      <c r="J4215" s="564">
        <v>5.3080999999999996</v>
      </c>
    </row>
    <row r="4216" spans="1:10" s="89" customFormat="1" ht="15" customHeight="1" x14ac:dyDescent="0.3">
      <c r="A4216" s="689"/>
      <c r="B4216" s="689"/>
      <c r="C4216" s="689"/>
      <c r="D4216" s="689"/>
      <c r="E4216" s="689"/>
      <c r="F4216" s="689" t="s">
        <v>473</v>
      </c>
      <c r="G4216" s="689"/>
      <c r="H4216" s="689"/>
      <c r="I4216" s="689"/>
      <c r="J4216" s="564">
        <v>0</v>
      </c>
    </row>
    <row r="4217" spans="1:10" x14ac:dyDescent="0.3">
      <c r="A4217" s="689"/>
      <c r="B4217" s="689"/>
      <c r="C4217" s="689"/>
      <c r="D4217" s="689"/>
      <c r="E4217" s="689"/>
      <c r="F4217" s="689" t="s">
        <v>474</v>
      </c>
      <c r="G4217" s="689"/>
      <c r="H4217" s="689"/>
      <c r="I4217" s="689"/>
      <c r="J4217" s="564">
        <v>0</v>
      </c>
    </row>
    <row r="4218" spans="1:10" s="89" customFormat="1" ht="15" customHeight="1" x14ac:dyDescent="0.3">
      <c r="A4218" s="689"/>
      <c r="B4218" s="689"/>
      <c r="C4218" s="689"/>
      <c r="D4218" s="689"/>
      <c r="E4218" s="689"/>
      <c r="F4218" s="689" t="s">
        <v>475</v>
      </c>
      <c r="G4218" s="689"/>
      <c r="H4218" s="689"/>
      <c r="I4218" s="689"/>
      <c r="J4218" s="564">
        <v>49.8</v>
      </c>
    </row>
    <row r="4219" spans="1:10" s="89" customFormat="1" ht="15" customHeight="1" x14ac:dyDescent="0.3">
      <c r="A4219" s="689"/>
      <c r="B4219" s="689"/>
      <c r="C4219" s="689"/>
      <c r="D4219" s="689"/>
      <c r="E4219" s="689"/>
      <c r="F4219" s="689" t="s">
        <v>476</v>
      </c>
      <c r="G4219" s="689"/>
      <c r="H4219" s="689"/>
      <c r="I4219" s="689"/>
      <c r="J4219" s="564">
        <v>0.1066</v>
      </c>
    </row>
    <row r="4220" spans="1:10" ht="15" customHeight="1" x14ac:dyDescent="0.3">
      <c r="A4220" s="553" t="s">
        <v>410</v>
      </c>
      <c r="B4220" s="554" t="s">
        <v>5</v>
      </c>
      <c r="C4220" s="553" t="s">
        <v>4</v>
      </c>
      <c r="D4220" s="553" t="s">
        <v>438</v>
      </c>
      <c r="E4220" s="554" t="s">
        <v>463</v>
      </c>
      <c r="F4220" s="554" t="s">
        <v>575</v>
      </c>
      <c r="G4220" s="692" t="s">
        <v>576</v>
      </c>
      <c r="H4220" s="692"/>
      <c r="I4220" s="692"/>
      <c r="J4220" s="554" t="s">
        <v>466</v>
      </c>
    </row>
    <row r="4221" spans="1:10" s="89" customFormat="1" x14ac:dyDescent="0.3">
      <c r="A4221" s="547" t="s">
        <v>433</v>
      </c>
      <c r="B4221" s="548" t="s">
        <v>115</v>
      </c>
      <c r="C4221" s="547" t="s">
        <v>1800</v>
      </c>
      <c r="D4221" s="547" t="s">
        <v>1801</v>
      </c>
      <c r="E4221" s="550">
        <v>1.5630000000000002E-2</v>
      </c>
      <c r="F4221" s="549" t="s">
        <v>835</v>
      </c>
      <c r="G4221" s="693">
        <v>61.604500000000002</v>
      </c>
      <c r="H4221" s="693"/>
      <c r="I4221" s="688"/>
      <c r="J4221" s="563">
        <v>0.96289999999999998</v>
      </c>
    </row>
    <row r="4222" spans="1:10" x14ac:dyDescent="0.3">
      <c r="A4222" s="547" t="s">
        <v>433</v>
      </c>
      <c r="B4222" s="548" t="s">
        <v>115</v>
      </c>
      <c r="C4222" s="547" t="s">
        <v>1805</v>
      </c>
      <c r="D4222" s="547" t="s">
        <v>1806</v>
      </c>
      <c r="E4222" s="550">
        <v>0.15625</v>
      </c>
      <c r="F4222" s="549" t="s">
        <v>835</v>
      </c>
      <c r="G4222" s="693">
        <v>301.29199999999997</v>
      </c>
      <c r="H4222" s="693"/>
      <c r="I4222" s="688"/>
      <c r="J4222" s="563">
        <v>47.076900000000002</v>
      </c>
    </row>
    <row r="4223" spans="1:10" ht="14.25" customHeight="1" x14ac:dyDescent="0.3">
      <c r="A4223" s="689"/>
      <c r="B4223" s="689"/>
      <c r="C4223" s="689"/>
      <c r="D4223" s="689"/>
      <c r="E4223" s="689"/>
      <c r="F4223" s="689" t="s">
        <v>813</v>
      </c>
      <c r="G4223" s="689"/>
      <c r="H4223" s="689"/>
      <c r="I4223" s="689"/>
      <c r="J4223" s="564">
        <v>48.0398</v>
      </c>
    </row>
    <row r="4224" spans="1:10" ht="14.25" customHeight="1" x14ac:dyDescent="0.3">
      <c r="A4224" s="553" t="s">
        <v>573</v>
      </c>
      <c r="B4224" s="554" t="s">
        <v>5</v>
      </c>
      <c r="C4224" s="553" t="s">
        <v>4</v>
      </c>
      <c r="D4224" s="553" t="s">
        <v>574</v>
      </c>
      <c r="E4224" s="554" t="s">
        <v>463</v>
      </c>
      <c r="F4224" s="554" t="s">
        <v>575</v>
      </c>
      <c r="G4224" s="692" t="s">
        <v>576</v>
      </c>
      <c r="H4224" s="692"/>
      <c r="I4224" s="692"/>
      <c r="J4224" s="554" t="s">
        <v>466</v>
      </c>
    </row>
    <row r="4225" spans="1:10" ht="14.25" customHeight="1" x14ac:dyDescent="0.3">
      <c r="A4225" s="547" t="s">
        <v>577</v>
      </c>
      <c r="B4225" s="548" t="s">
        <v>19</v>
      </c>
      <c r="C4225" s="547">
        <v>88241</v>
      </c>
      <c r="D4225" s="547" t="s">
        <v>794</v>
      </c>
      <c r="E4225" s="550">
        <v>2.0080299999999999E-2</v>
      </c>
      <c r="F4225" s="549" t="s">
        <v>423</v>
      </c>
      <c r="G4225" s="693">
        <v>24.15</v>
      </c>
      <c r="H4225" s="693"/>
      <c r="I4225" s="688"/>
      <c r="J4225" s="563">
        <v>0.4849</v>
      </c>
    </row>
    <row r="4226" spans="1:10" s="89" customFormat="1" ht="15" customHeight="1" x14ac:dyDescent="0.3">
      <c r="A4226" s="547" t="s">
        <v>577</v>
      </c>
      <c r="B4226" s="548" t="s">
        <v>19</v>
      </c>
      <c r="C4226" s="547">
        <v>88310</v>
      </c>
      <c r="D4226" s="547" t="s">
        <v>1025</v>
      </c>
      <c r="E4226" s="550">
        <v>2.0080299999999999E-2</v>
      </c>
      <c r="F4226" s="549" t="s">
        <v>423</v>
      </c>
      <c r="G4226" s="693">
        <v>32.58</v>
      </c>
      <c r="H4226" s="693"/>
      <c r="I4226" s="688"/>
      <c r="J4226" s="563">
        <v>0.6542</v>
      </c>
    </row>
    <row r="4227" spans="1:10" ht="14.25" customHeight="1" x14ac:dyDescent="0.3">
      <c r="A4227" s="689"/>
      <c r="B4227" s="689"/>
      <c r="C4227" s="689"/>
      <c r="D4227" s="689"/>
      <c r="E4227" s="689"/>
      <c r="F4227" s="689" t="s">
        <v>578</v>
      </c>
      <c r="G4227" s="689"/>
      <c r="H4227" s="689"/>
      <c r="I4227" s="689"/>
      <c r="J4227" s="564">
        <v>1.1391</v>
      </c>
    </row>
    <row r="4228" spans="1:10" s="89" customFormat="1" ht="15" customHeight="1" x14ac:dyDescent="0.3">
      <c r="A4228" s="553" t="s">
        <v>579</v>
      </c>
      <c r="B4228" s="554" t="s">
        <v>5</v>
      </c>
      <c r="C4228" s="553" t="s">
        <v>433</v>
      </c>
      <c r="D4228" s="553" t="s">
        <v>580</v>
      </c>
      <c r="E4228" s="554" t="s">
        <v>4</v>
      </c>
      <c r="F4228" s="554" t="s">
        <v>463</v>
      </c>
      <c r="G4228" s="555" t="s">
        <v>575</v>
      </c>
      <c r="H4228" s="692" t="s">
        <v>576</v>
      </c>
      <c r="I4228" s="692"/>
      <c r="J4228" s="554" t="s">
        <v>466</v>
      </c>
    </row>
    <row r="4229" spans="1:10" ht="15" customHeight="1" x14ac:dyDescent="0.3">
      <c r="A4229" s="547" t="s">
        <v>581</v>
      </c>
      <c r="B4229" s="548" t="s">
        <v>115</v>
      </c>
      <c r="C4229" s="547" t="s">
        <v>1800</v>
      </c>
      <c r="D4229" s="547" t="s">
        <v>844</v>
      </c>
      <c r="E4229" s="548">
        <v>5914655</v>
      </c>
      <c r="F4229" s="550">
        <v>1.0000000000000001E-5</v>
      </c>
      <c r="G4229" s="549" t="s">
        <v>584</v>
      </c>
      <c r="H4229" s="693">
        <v>33.159999999999997</v>
      </c>
      <c r="I4229" s="688"/>
      <c r="J4229" s="563">
        <v>2.9999999999999997E-4</v>
      </c>
    </row>
    <row r="4230" spans="1:10" s="89" customFormat="1" ht="15" customHeight="1" x14ac:dyDescent="0.3">
      <c r="A4230" s="547" t="s">
        <v>581</v>
      </c>
      <c r="B4230" s="548" t="s">
        <v>115</v>
      </c>
      <c r="C4230" s="547" t="s">
        <v>1805</v>
      </c>
      <c r="D4230" s="547" t="s">
        <v>844</v>
      </c>
      <c r="E4230" s="548">
        <v>5914655</v>
      </c>
      <c r="F4230" s="550">
        <v>2.2000000000000001E-4</v>
      </c>
      <c r="G4230" s="549" t="s">
        <v>584</v>
      </c>
      <c r="H4230" s="693">
        <v>33.159999999999997</v>
      </c>
      <c r="I4230" s="688"/>
      <c r="J4230" s="563">
        <v>7.3000000000000001E-3</v>
      </c>
    </row>
    <row r="4231" spans="1:10" ht="14.25" customHeight="1" x14ac:dyDescent="0.3">
      <c r="A4231" s="689"/>
      <c r="B4231" s="689"/>
      <c r="C4231" s="689"/>
      <c r="D4231" s="689"/>
      <c r="E4231" s="689"/>
      <c r="F4231" s="689" t="s">
        <v>585</v>
      </c>
      <c r="G4231" s="689"/>
      <c r="H4231" s="689"/>
      <c r="I4231" s="689"/>
      <c r="J4231" s="564">
        <v>7.6E-3</v>
      </c>
    </row>
    <row r="4232" spans="1:10" s="89" customFormat="1" ht="15" customHeight="1" x14ac:dyDescent="0.3">
      <c r="A4232" s="553" t="s">
        <v>586</v>
      </c>
      <c r="B4232" s="554" t="s">
        <v>5</v>
      </c>
      <c r="C4232" s="553" t="s">
        <v>433</v>
      </c>
      <c r="D4232" s="553" t="s">
        <v>587</v>
      </c>
      <c r="E4232" s="554" t="s">
        <v>463</v>
      </c>
      <c r="F4232" s="554" t="s">
        <v>575</v>
      </c>
      <c r="G4232" s="694" t="s">
        <v>588</v>
      </c>
      <c r="H4232" s="692"/>
      <c r="I4232" s="692"/>
      <c r="J4232" s="554" t="s">
        <v>466</v>
      </c>
    </row>
    <row r="4233" spans="1:10" ht="14.25" customHeight="1" x14ac:dyDescent="0.3">
      <c r="A4233" s="555"/>
      <c r="B4233" s="555"/>
      <c r="C4233" s="555"/>
      <c r="D4233" s="555"/>
      <c r="E4233" s="555"/>
      <c r="F4233" s="555"/>
      <c r="G4233" s="555" t="s">
        <v>589</v>
      </c>
      <c r="H4233" s="555" t="s">
        <v>590</v>
      </c>
      <c r="I4233" s="555" t="s">
        <v>591</v>
      </c>
      <c r="J4233" s="555"/>
    </row>
    <row r="4234" spans="1:10" s="89" customFormat="1" ht="15" customHeight="1" x14ac:dyDescent="0.3">
      <c r="A4234" s="547" t="s">
        <v>587</v>
      </c>
      <c r="B4234" s="548" t="s">
        <v>115</v>
      </c>
      <c r="C4234" s="547" t="s">
        <v>1800</v>
      </c>
      <c r="D4234" s="547" t="s">
        <v>3938</v>
      </c>
      <c r="E4234" s="550">
        <v>1.0000000000000001E-5</v>
      </c>
      <c r="F4234" s="549" t="s">
        <v>593</v>
      </c>
      <c r="G4234" s="548" t="s">
        <v>3846</v>
      </c>
      <c r="H4234" s="548" t="s">
        <v>3847</v>
      </c>
      <c r="I4234" s="548" t="s">
        <v>3848</v>
      </c>
      <c r="J4234" s="563">
        <v>0</v>
      </c>
    </row>
    <row r="4235" spans="1:10" ht="37.5" x14ac:dyDescent="0.3">
      <c r="A4235" s="547" t="s">
        <v>587</v>
      </c>
      <c r="B4235" s="548" t="s">
        <v>115</v>
      </c>
      <c r="C4235" s="547" t="s">
        <v>1805</v>
      </c>
      <c r="D4235" s="547" t="s">
        <v>3940</v>
      </c>
      <c r="E4235" s="550">
        <v>2.2000000000000001E-4</v>
      </c>
      <c r="F4235" s="549" t="s">
        <v>593</v>
      </c>
      <c r="G4235" s="548" t="s">
        <v>3846</v>
      </c>
      <c r="H4235" s="548" t="s">
        <v>3847</v>
      </c>
      <c r="I4235" s="548" t="s">
        <v>3848</v>
      </c>
      <c r="J4235" s="563">
        <v>0</v>
      </c>
    </row>
    <row r="4236" spans="1:10" s="89" customFormat="1" ht="15" customHeight="1" thickBot="1" x14ac:dyDescent="0.35">
      <c r="A4236" s="689"/>
      <c r="B4236" s="689"/>
      <c r="C4236" s="689"/>
      <c r="D4236" s="689"/>
      <c r="E4236" s="689"/>
      <c r="F4236" s="689" t="s">
        <v>594</v>
      </c>
      <c r="G4236" s="689"/>
      <c r="H4236" s="689"/>
      <c r="I4236" s="689"/>
      <c r="J4236" s="564">
        <v>0</v>
      </c>
    </row>
    <row r="4237" spans="1:10" ht="14.25" customHeight="1" thickTop="1" x14ac:dyDescent="0.3">
      <c r="A4237" s="562"/>
      <c r="B4237" s="562"/>
      <c r="C4237" s="562"/>
      <c r="D4237" s="562"/>
      <c r="E4237" s="562"/>
      <c r="F4237" s="562"/>
      <c r="G4237" s="562"/>
      <c r="H4237" s="562"/>
      <c r="I4237" s="562"/>
      <c r="J4237" s="562"/>
    </row>
    <row r="4238" spans="1:10" s="89" customFormat="1" ht="15" customHeight="1" x14ac:dyDescent="0.3">
      <c r="A4238" s="553"/>
      <c r="B4238" s="554" t="s">
        <v>4</v>
      </c>
      <c r="C4238" s="553" t="s">
        <v>5</v>
      </c>
      <c r="D4238" s="553" t="s">
        <v>6</v>
      </c>
      <c r="E4238" s="691" t="s">
        <v>427</v>
      </c>
      <c r="F4238" s="691"/>
      <c r="G4238" s="555" t="s">
        <v>7</v>
      </c>
      <c r="H4238" s="554" t="s">
        <v>8</v>
      </c>
      <c r="I4238" s="554" t="s">
        <v>9</v>
      </c>
      <c r="J4238" s="554" t="s">
        <v>11</v>
      </c>
    </row>
    <row r="4239" spans="1:10" x14ac:dyDescent="0.3">
      <c r="A4239" s="607" t="s">
        <v>428</v>
      </c>
      <c r="B4239" s="608" t="s">
        <v>1807</v>
      </c>
      <c r="C4239" s="607" t="s">
        <v>115</v>
      </c>
      <c r="D4239" s="607" t="s">
        <v>1808</v>
      </c>
      <c r="E4239" s="690" t="s">
        <v>402</v>
      </c>
      <c r="F4239" s="690"/>
      <c r="G4239" s="609" t="s">
        <v>556</v>
      </c>
      <c r="H4239" s="610">
        <v>1</v>
      </c>
      <c r="I4239" s="611">
        <v>15.94</v>
      </c>
      <c r="J4239" s="611">
        <v>15.94</v>
      </c>
    </row>
    <row r="4240" spans="1:10" s="89" customFormat="1" ht="15" customHeight="1" x14ac:dyDescent="0.3">
      <c r="A4240" s="691" t="s">
        <v>408</v>
      </c>
      <c r="B4240" s="692" t="s">
        <v>4</v>
      </c>
      <c r="C4240" s="691" t="s">
        <v>5</v>
      </c>
      <c r="D4240" s="691" t="s">
        <v>462</v>
      </c>
      <c r="E4240" s="692" t="s">
        <v>463</v>
      </c>
      <c r="F4240" s="694" t="s">
        <v>464</v>
      </c>
      <c r="G4240" s="692"/>
      <c r="H4240" s="694" t="s">
        <v>465</v>
      </c>
      <c r="I4240" s="692"/>
      <c r="J4240" s="692" t="s">
        <v>466</v>
      </c>
    </row>
    <row r="4241" spans="1:10" ht="14.25" customHeight="1" x14ac:dyDescent="0.3">
      <c r="A4241" s="692"/>
      <c r="B4241" s="692"/>
      <c r="C4241" s="692"/>
      <c r="D4241" s="692"/>
      <c r="E4241" s="692"/>
      <c r="F4241" s="554" t="s">
        <v>467</v>
      </c>
      <c r="G4241" s="554" t="s">
        <v>468</v>
      </c>
      <c r="H4241" s="554" t="s">
        <v>467</v>
      </c>
      <c r="I4241" s="554" t="s">
        <v>468</v>
      </c>
      <c r="J4241" s="692"/>
    </row>
    <row r="4242" spans="1:10" s="89" customFormat="1" ht="15" customHeight="1" x14ac:dyDescent="0.3">
      <c r="A4242" s="547" t="s">
        <v>433</v>
      </c>
      <c r="B4242" s="548" t="s">
        <v>1809</v>
      </c>
      <c r="C4242" s="547" t="s">
        <v>115</v>
      </c>
      <c r="D4242" s="547" t="s">
        <v>1810</v>
      </c>
      <c r="E4242" s="550">
        <v>1</v>
      </c>
      <c r="F4242" s="551">
        <v>1</v>
      </c>
      <c r="G4242" s="551">
        <v>0</v>
      </c>
      <c r="H4242" s="563">
        <v>44.047499999999999</v>
      </c>
      <c r="I4242" s="563">
        <v>38.283200000000001</v>
      </c>
      <c r="J4242" s="563">
        <v>44.047499999999999</v>
      </c>
    </row>
    <row r="4243" spans="1:10" x14ac:dyDescent="0.3">
      <c r="A4243" s="547" t="s">
        <v>433</v>
      </c>
      <c r="B4243" s="548" t="s">
        <v>1811</v>
      </c>
      <c r="C4243" s="547" t="s">
        <v>115</v>
      </c>
      <c r="D4243" s="547" t="s">
        <v>1812</v>
      </c>
      <c r="E4243" s="550">
        <v>1</v>
      </c>
      <c r="F4243" s="551">
        <v>1</v>
      </c>
      <c r="G4243" s="551">
        <v>0</v>
      </c>
      <c r="H4243" s="563">
        <v>26.9573</v>
      </c>
      <c r="I4243" s="563">
        <v>5.54</v>
      </c>
      <c r="J4243" s="563">
        <v>26.9573</v>
      </c>
    </row>
    <row r="4244" spans="1:10" s="89" customFormat="1" ht="15" customHeight="1" x14ac:dyDescent="0.3">
      <c r="A4244" s="689"/>
      <c r="B4244" s="689"/>
      <c r="C4244" s="689"/>
      <c r="D4244" s="689"/>
      <c r="E4244" s="689"/>
      <c r="F4244" s="689" t="s">
        <v>471</v>
      </c>
      <c r="G4244" s="689"/>
      <c r="H4244" s="689"/>
      <c r="I4244" s="689"/>
      <c r="J4244" s="564">
        <v>71.004800000000003</v>
      </c>
    </row>
    <row r="4245" spans="1:10" ht="15" customHeight="1" x14ac:dyDescent="0.3">
      <c r="A4245" s="689"/>
      <c r="B4245" s="689"/>
      <c r="C4245" s="689"/>
      <c r="D4245" s="689"/>
      <c r="E4245" s="689"/>
      <c r="F4245" s="689" t="s">
        <v>472</v>
      </c>
      <c r="G4245" s="689"/>
      <c r="H4245" s="689"/>
      <c r="I4245" s="689"/>
      <c r="J4245" s="564">
        <v>71.004800000000003</v>
      </c>
    </row>
    <row r="4246" spans="1:10" s="89" customFormat="1" ht="15.75" customHeight="1" x14ac:dyDescent="0.3">
      <c r="A4246" s="689"/>
      <c r="B4246" s="689"/>
      <c r="C4246" s="689"/>
      <c r="D4246" s="689"/>
      <c r="E4246" s="689"/>
      <c r="F4246" s="689" t="s">
        <v>473</v>
      </c>
      <c r="G4246" s="689"/>
      <c r="H4246" s="689"/>
      <c r="I4246" s="689"/>
      <c r="J4246" s="564">
        <v>0</v>
      </c>
    </row>
    <row r="4247" spans="1:10" x14ac:dyDescent="0.3">
      <c r="A4247" s="689"/>
      <c r="B4247" s="689"/>
      <c r="C4247" s="689"/>
      <c r="D4247" s="689"/>
      <c r="E4247" s="689"/>
      <c r="F4247" s="689" t="s">
        <v>474</v>
      </c>
      <c r="G4247" s="689"/>
      <c r="H4247" s="689"/>
      <c r="I4247" s="689"/>
      <c r="J4247" s="564">
        <v>0</v>
      </c>
    </row>
    <row r="4248" spans="1:10" s="89" customFormat="1" ht="15" customHeight="1" x14ac:dyDescent="0.3">
      <c r="A4248" s="689"/>
      <c r="B4248" s="689"/>
      <c r="C4248" s="689"/>
      <c r="D4248" s="689"/>
      <c r="E4248" s="689"/>
      <c r="F4248" s="689" t="s">
        <v>475</v>
      </c>
      <c r="G4248" s="689"/>
      <c r="H4248" s="689"/>
      <c r="I4248" s="689"/>
      <c r="J4248" s="564">
        <v>19.149999999999999</v>
      </c>
    </row>
    <row r="4249" spans="1:10" ht="15" customHeight="1" x14ac:dyDescent="0.3">
      <c r="A4249" s="689"/>
      <c r="B4249" s="689"/>
      <c r="C4249" s="689"/>
      <c r="D4249" s="689"/>
      <c r="E4249" s="689"/>
      <c r="F4249" s="689" t="s">
        <v>476</v>
      </c>
      <c r="G4249" s="689"/>
      <c r="H4249" s="689"/>
      <c r="I4249" s="689"/>
      <c r="J4249" s="564">
        <v>3.7078000000000002</v>
      </c>
    </row>
    <row r="4250" spans="1:10" ht="15" customHeight="1" x14ac:dyDescent="0.3">
      <c r="A4250" s="553" t="s">
        <v>410</v>
      </c>
      <c r="B4250" s="554" t="s">
        <v>5</v>
      </c>
      <c r="C4250" s="553" t="s">
        <v>4</v>
      </c>
      <c r="D4250" s="553" t="s">
        <v>438</v>
      </c>
      <c r="E4250" s="554" t="s">
        <v>463</v>
      </c>
      <c r="F4250" s="554" t="s">
        <v>575</v>
      </c>
      <c r="G4250" s="692" t="s">
        <v>576</v>
      </c>
      <c r="H4250" s="692"/>
      <c r="I4250" s="692"/>
      <c r="J4250" s="554" t="s">
        <v>466</v>
      </c>
    </row>
    <row r="4251" spans="1:10" x14ac:dyDescent="0.3">
      <c r="A4251" s="547" t="s">
        <v>433</v>
      </c>
      <c r="B4251" s="548" t="s">
        <v>115</v>
      </c>
      <c r="C4251" s="547" t="s">
        <v>1813</v>
      </c>
      <c r="D4251" s="547" t="s">
        <v>1814</v>
      </c>
      <c r="E4251" s="550">
        <v>0.112</v>
      </c>
      <c r="F4251" s="549" t="s">
        <v>655</v>
      </c>
      <c r="G4251" s="693">
        <v>67.535799999999995</v>
      </c>
      <c r="H4251" s="693"/>
      <c r="I4251" s="688"/>
      <c r="J4251" s="563">
        <v>7.5640000000000001</v>
      </c>
    </row>
    <row r="4252" spans="1:10" ht="14.25" customHeight="1" x14ac:dyDescent="0.3">
      <c r="A4252" s="689"/>
      <c r="B4252" s="689"/>
      <c r="C4252" s="689"/>
      <c r="D4252" s="689"/>
      <c r="E4252" s="689"/>
      <c r="F4252" s="689" t="s">
        <v>813</v>
      </c>
      <c r="G4252" s="689"/>
      <c r="H4252" s="689"/>
      <c r="I4252" s="689"/>
      <c r="J4252" s="564">
        <v>7.5640000000000001</v>
      </c>
    </row>
    <row r="4253" spans="1:10" ht="14.25" customHeight="1" x14ac:dyDescent="0.3">
      <c r="A4253" s="553" t="s">
        <v>573</v>
      </c>
      <c r="B4253" s="554" t="s">
        <v>5</v>
      </c>
      <c r="C4253" s="553" t="s">
        <v>4</v>
      </c>
      <c r="D4253" s="553" t="s">
        <v>574</v>
      </c>
      <c r="E4253" s="554" t="s">
        <v>463</v>
      </c>
      <c r="F4253" s="554" t="s">
        <v>575</v>
      </c>
      <c r="G4253" s="692" t="s">
        <v>576</v>
      </c>
      <c r="H4253" s="692"/>
      <c r="I4253" s="692"/>
      <c r="J4253" s="554" t="s">
        <v>466</v>
      </c>
    </row>
    <row r="4254" spans="1:10" s="89" customFormat="1" ht="15" customHeight="1" x14ac:dyDescent="0.3">
      <c r="A4254" s="547" t="s">
        <v>577</v>
      </c>
      <c r="B4254" s="548" t="s">
        <v>19</v>
      </c>
      <c r="C4254" s="547">
        <v>88241</v>
      </c>
      <c r="D4254" s="547" t="s">
        <v>794</v>
      </c>
      <c r="E4254" s="550">
        <v>5.2219300000000003E-2</v>
      </c>
      <c r="F4254" s="549" t="s">
        <v>423</v>
      </c>
      <c r="G4254" s="693">
        <v>24.15</v>
      </c>
      <c r="H4254" s="693"/>
      <c r="I4254" s="688"/>
      <c r="J4254" s="563">
        <v>1.2611000000000001</v>
      </c>
    </row>
    <row r="4255" spans="1:10" ht="14.25" customHeight="1" x14ac:dyDescent="0.3">
      <c r="A4255" s="547" t="s">
        <v>577</v>
      </c>
      <c r="B4255" s="548" t="s">
        <v>19</v>
      </c>
      <c r="C4255" s="547">
        <v>88310</v>
      </c>
      <c r="D4255" s="547" t="s">
        <v>1025</v>
      </c>
      <c r="E4255" s="550">
        <v>0.10443860000000001</v>
      </c>
      <c r="F4255" s="549" t="s">
        <v>423</v>
      </c>
      <c r="G4255" s="693">
        <v>32.58</v>
      </c>
      <c r="H4255" s="693"/>
      <c r="I4255" s="688"/>
      <c r="J4255" s="563">
        <v>3.4026000000000001</v>
      </c>
    </row>
    <row r="4256" spans="1:10" s="89" customFormat="1" ht="15" customHeight="1" x14ac:dyDescent="0.3">
      <c r="A4256" s="689"/>
      <c r="B4256" s="689"/>
      <c r="C4256" s="689"/>
      <c r="D4256" s="689"/>
      <c r="E4256" s="689"/>
      <c r="F4256" s="689" t="s">
        <v>578</v>
      </c>
      <c r="G4256" s="689"/>
      <c r="H4256" s="689"/>
      <c r="I4256" s="689"/>
      <c r="J4256" s="564">
        <v>4.6637000000000004</v>
      </c>
    </row>
    <row r="4257" spans="1:10" ht="14.25" customHeight="1" x14ac:dyDescent="0.3">
      <c r="A4257" s="553" t="s">
        <v>579</v>
      </c>
      <c r="B4257" s="554" t="s">
        <v>5</v>
      </c>
      <c r="C4257" s="553" t="s">
        <v>433</v>
      </c>
      <c r="D4257" s="553" t="s">
        <v>580</v>
      </c>
      <c r="E4257" s="554" t="s">
        <v>4</v>
      </c>
      <c r="F4257" s="554" t="s">
        <v>463</v>
      </c>
      <c r="G4257" s="555" t="s">
        <v>575</v>
      </c>
      <c r="H4257" s="692" t="s">
        <v>576</v>
      </c>
      <c r="I4257" s="692"/>
      <c r="J4257" s="554" t="s">
        <v>466</v>
      </c>
    </row>
    <row r="4258" spans="1:10" s="89" customFormat="1" ht="15" customHeight="1" x14ac:dyDescent="0.3">
      <c r="A4258" s="547" t="s">
        <v>581</v>
      </c>
      <c r="B4258" s="548" t="s">
        <v>115</v>
      </c>
      <c r="C4258" s="547" t="s">
        <v>1813</v>
      </c>
      <c r="D4258" s="547" t="s">
        <v>844</v>
      </c>
      <c r="E4258" s="548">
        <v>5914655</v>
      </c>
      <c r="F4258" s="550">
        <v>1.1E-4</v>
      </c>
      <c r="G4258" s="549" t="s">
        <v>584</v>
      </c>
      <c r="H4258" s="693">
        <v>33.159999999999997</v>
      </c>
      <c r="I4258" s="688"/>
      <c r="J4258" s="563">
        <v>3.5999999999999999E-3</v>
      </c>
    </row>
    <row r="4259" spans="1:10" ht="15" customHeight="1" x14ac:dyDescent="0.3">
      <c r="A4259" s="689"/>
      <c r="B4259" s="689"/>
      <c r="C4259" s="689"/>
      <c r="D4259" s="689"/>
      <c r="E4259" s="689"/>
      <c r="F4259" s="689" t="s">
        <v>585</v>
      </c>
      <c r="G4259" s="689"/>
      <c r="H4259" s="689"/>
      <c r="I4259" s="689"/>
      <c r="J4259" s="564">
        <v>3.5999999999999999E-3</v>
      </c>
    </row>
    <row r="4260" spans="1:10" s="89" customFormat="1" ht="15" customHeight="1" x14ac:dyDescent="0.3">
      <c r="A4260" s="553" t="s">
        <v>586</v>
      </c>
      <c r="B4260" s="554" t="s">
        <v>5</v>
      </c>
      <c r="C4260" s="553" t="s">
        <v>433</v>
      </c>
      <c r="D4260" s="553" t="s">
        <v>587</v>
      </c>
      <c r="E4260" s="554" t="s">
        <v>463</v>
      </c>
      <c r="F4260" s="554" t="s">
        <v>575</v>
      </c>
      <c r="G4260" s="694" t="s">
        <v>588</v>
      </c>
      <c r="H4260" s="692"/>
      <c r="I4260" s="692"/>
      <c r="J4260" s="554" t="s">
        <v>466</v>
      </c>
    </row>
    <row r="4261" spans="1:10" x14ac:dyDescent="0.3">
      <c r="A4261" s="555"/>
      <c r="B4261" s="555"/>
      <c r="C4261" s="555"/>
      <c r="D4261" s="555"/>
      <c r="E4261" s="555"/>
      <c r="F4261" s="555"/>
      <c r="G4261" s="555" t="s">
        <v>589</v>
      </c>
      <c r="H4261" s="555" t="s">
        <v>590</v>
      </c>
      <c r="I4261" s="555" t="s">
        <v>591</v>
      </c>
      <c r="J4261" s="555"/>
    </row>
    <row r="4262" spans="1:10" s="89" customFormat="1" ht="15" customHeight="1" x14ac:dyDescent="0.3">
      <c r="A4262" s="547" t="s">
        <v>587</v>
      </c>
      <c r="B4262" s="548" t="s">
        <v>115</v>
      </c>
      <c r="C4262" s="547" t="s">
        <v>1813</v>
      </c>
      <c r="D4262" s="547" t="s">
        <v>1815</v>
      </c>
      <c r="E4262" s="550">
        <v>1.1E-4</v>
      </c>
      <c r="F4262" s="549" t="s">
        <v>593</v>
      </c>
      <c r="G4262" s="548" t="s">
        <v>3846</v>
      </c>
      <c r="H4262" s="548" t="s">
        <v>3847</v>
      </c>
      <c r="I4262" s="548" t="s">
        <v>3848</v>
      </c>
      <c r="J4262" s="563">
        <v>0</v>
      </c>
    </row>
    <row r="4263" spans="1:10" ht="15" customHeight="1" thickBot="1" x14ac:dyDescent="0.35">
      <c r="A4263" s="689"/>
      <c r="B4263" s="689"/>
      <c r="C4263" s="689"/>
      <c r="D4263" s="689"/>
      <c r="E4263" s="689"/>
      <c r="F4263" s="689" t="s">
        <v>594</v>
      </c>
      <c r="G4263" s="689"/>
      <c r="H4263" s="689"/>
      <c r="I4263" s="689"/>
      <c r="J4263" s="564">
        <v>0</v>
      </c>
    </row>
    <row r="4264" spans="1:10" s="89" customFormat="1" ht="15" customHeight="1" thickTop="1" x14ac:dyDescent="0.3">
      <c r="A4264" s="562"/>
      <c r="B4264" s="562"/>
      <c r="C4264" s="562"/>
      <c r="D4264" s="562"/>
      <c r="E4264" s="562"/>
      <c r="F4264" s="562"/>
      <c r="G4264" s="562"/>
      <c r="H4264" s="562"/>
      <c r="I4264" s="562"/>
      <c r="J4264" s="562"/>
    </row>
    <row r="4265" spans="1:10" x14ac:dyDescent="0.3">
      <c r="A4265" s="553"/>
      <c r="B4265" s="554" t="s">
        <v>4</v>
      </c>
      <c r="C4265" s="553" t="s">
        <v>5</v>
      </c>
      <c r="D4265" s="553" t="s">
        <v>6</v>
      </c>
      <c r="E4265" s="691" t="s">
        <v>427</v>
      </c>
      <c r="F4265" s="691"/>
      <c r="G4265" s="555" t="s">
        <v>7</v>
      </c>
      <c r="H4265" s="554" t="s">
        <v>8</v>
      </c>
      <c r="I4265" s="554" t="s">
        <v>9</v>
      </c>
      <c r="J4265" s="554" t="s">
        <v>11</v>
      </c>
    </row>
    <row r="4266" spans="1:10" s="89" customFormat="1" ht="25" x14ac:dyDescent="0.3">
      <c r="A4266" s="607" t="s">
        <v>428</v>
      </c>
      <c r="B4266" s="608" t="s">
        <v>1816</v>
      </c>
      <c r="C4266" s="607" t="s">
        <v>115</v>
      </c>
      <c r="D4266" s="607" t="s">
        <v>870</v>
      </c>
      <c r="E4266" s="690" t="s">
        <v>402</v>
      </c>
      <c r="F4266" s="690"/>
      <c r="G4266" s="609" t="s">
        <v>556</v>
      </c>
      <c r="H4266" s="610">
        <v>1</v>
      </c>
      <c r="I4266" s="611">
        <v>405.93</v>
      </c>
      <c r="J4266" s="611">
        <v>405.93</v>
      </c>
    </row>
    <row r="4267" spans="1:10" ht="15" customHeight="1" x14ac:dyDescent="0.3">
      <c r="A4267" s="691" t="s">
        <v>408</v>
      </c>
      <c r="B4267" s="692" t="s">
        <v>4</v>
      </c>
      <c r="C4267" s="691" t="s">
        <v>5</v>
      </c>
      <c r="D4267" s="691" t="s">
        <v>462</v>
      </c>
      <c r="E4267" s="692" t="s">
        <v>463</v>
      </c>
      <c r="F4267" s="694" t="s">
        <v>464</v>
      </c>
      <c r="G4267" s="692"/>
      <c r="H4267" s="694" t="s">
        <v>465</v>
      </c>
      <c r="I4267" s="692"/>
      <c r="J4267" s="692" t="s">
        <v>466</v>
      </c>
    </row>
    <row r="4268" spans="1:10" s="89" customFormat="1" ht="15" customHeight="1" x14ac:dyDescent="0.3">
      <c r="A4268" s="692"/>
      <c r="B4268" s="692"/>
      <c r="C4268" s="692"/>
      <c r="D4268" s="692"/>
      <c r="E4268" s="692"/>
      <c r="F4268" s="554" t="s">
        <v>467</v>
      </c>
      <c r="G4268" s="554" t="s">
        <v>468</v>
      </c>
      <c r="H4268" s="554" t="s">
        <v>467</v>
      </c>
      <c r="I4268" s="554" t="s">
        <v>468</v>
      </c>
      <c r="J4268" s="692"/>
    </row>
    <row r="4269" spans="1:10" x14ac:dyDescent="0.3">
      <c r="A4269" s="547" t="s">
        <v>433</v>
      </c>
      <c r="B4269" s="548" t="s">
        <v>1817</v>
      </c>
      <c r="C4269" s="547" t="s">
        <v>115</v>
      </c>
      <c r="D4269" s="547" t="s">
        <v>1818</v>
      </c>
      <c r="E4269" s="550">
        <v>0.15060000000000001</v>
      </c>
      <c r="F4269" s="551">
        <v>1</v>
      </c>
      <c r="G4269" s="551">
        <v>0</v>
      </c>
      <c r="H4269" s="563">
        <v>0.20530000000000001</v>
      </c>
      <c r="I4269" s="563">
        <v>0.13619999999999999</v>
      </c>
      <c r="J4269" s="563">
        <v>3.09E-2</v>
      </c>
    </row>
    <row r="4270" spans="1:10" s="89" customFormat="1" x14ac:dyDescent="0.3">
      <c r="A4270" s="547" t="s">
        <v>433</v>
      </c>
      <c r="B4270" s="548" t="s">
        <v>1811</v>
      </c>
      <c r="C4270" s="547" t="s">
        <v>115</v>
      </c>
      <c r="D4270" s="547" t="s">
        <v>1812</v>
      </c>
      <c r="E4270" s="550">
        <v>0.48193000000000003</v>
      </c>
      <c r="F4270" s="551">
        <v>1</v>
      </c>
      <c r="G4270" s="551">
        <v>0</v>
      </c>
      <c r="H4270" s="563">
        <v>26.9573</v>
      </c>
      <c r="I4270" s="563">
        <v>5.54</v>
      </c>
      <c r="J4270" s="563">
        <v>12.9915</v>
      </c>
    </row>
    <row r="4271" spans="1:10" ht="15" customHeight="1" x14ac:dyDescent="0.3">
      <c r="A4271" s="547" t="s">
        <v>433</v>
      </c>
      <c r="B4271" s="548" t="s">
        <v>1819</v>
      </c>
      <c r="C4271" s="547" t="s">
        <v>115</v>
      </c>
      <c r="D4271" s="547" t="s">
        <v>1820</v>
      </c>
      <c r="E4271" s="550">
        <v>0.20080000000000001</v>
      </c>
      <c r="F4271" s="551">
        <v>1</v>
      </c>
      <c r="G4271" s="551">
        <v>0</v>
      </c>
      <c r="H4271" s="563">
        <v>14.806699999999999</v>
      </c>
      <c r="I4271" s="563">
        <v>9.4120000000000008</v>
      </c>
      <c r="J4271" s="563">
        <v>2.9731999999999998</v>
      </c>
    </row>
    <row r="4272" spans="1:10" s="89" customFormat="1" ht="15" customHeight="1" x14ac:dyDescent="0.3">
      <c r="A4272" s="547" t="s">
        <v>433</v>
      </c>
      <c r="B4272" s="548" t="s">
        <v>1821</v>
      </c>
      <c r="C4272" s="547" t="s">
        <v>115</v>
      </c>
      <c r="D4272" s="547" t="s">
        <v>1822</v>
      </c>
      <c r="E4272" s="550">
        <v>0.48193000000000003</v>
      </c>
      <c r="F4272" s="551">
        <v>1</v>
      </c>
      <c r="G4272" s="551">
        <v>0</v>
      </c>
      <c r="H4272" s="563">
        <v>12.2171</v>
      </c>
      <c r="I4272" s="563">
        <v>7.7659000000000002</v>
      </c>
      <c r="J4272" s="563">
        <v>5.8878000000000004</v>
      </c>
    </row>
    <row r="4273" spans="1:10" x14ac:dyDescent="0.3">
      <c r="A4273" s="547" t="s">
        <v>433</v>
      </c>
      <c r="B4273" s="548" t="s">
        <v>1823</v>
      </c>
      <c r="C4273" s="547" t="s">
        <v>115</v>
      </c>
      <c r="D4273" s="547" t="s">
        <v>1824</v>
      </c>
      <c r="E4273" s="550">
        <v>0.48193000000000003</v>
      </c>
      <c r="F4273" s="551">
        <v>1</v>
      </c>
      <c r="G4273" s="551">
        <v>0</v>
      </c>
      <c r="H4273" s="563">
        <v>25.220700000000001</v>
      </c>
      <c r="I4273" s="563">
        <v>15.8993</v>
      </c>
      <c r="J4273" s="563">
        <v>12.1546</v>
      </c>
    </row>
    <row r="4274" spans="1:10" ht="14.25" customHeight="1" x14ac:dyDescent="0.3">
      <c r="A4274" s="689"/>
      <c r="B4274" s="689"/>
      <c r="C4274" s="689"/>
      <c r="D4274" s="689"/>
      <c r="E4274" s="689"/>
      <c r="F4274" s="689" t="s">
        <v>471</v>
      </c>
      <c r="G4274" s="689"/>
      <c r="H4274" s="689"/>
      <c r="I4274" s="689"/>
      <c r="J4274" s="564">
        <v>34.037999999999997</v>
      </c>
    </row>
    <row r="4275" spans="1:10" ht="15" customHeight="1" x14ac:dyDescent="0.3">
      <c r="A4275" s="689"/>
      <c r="B4275" s="689"/>
      <c r="C4275" s="689"/>
      <c r="D4275" s="689"/>
      <c r="E4275" s="689"/>
      <c r="F4275" s="689" t="s">
        <v>472</v>
      </c>
      <c r="G4275" s="689"/>
      <c r="H4275" s="689"/>
      <c r="I4275" s="689"/>
      <c r="J4275" s="564">
        <v>34.037999999999997</v>
      </c>
    </row>
    <row r="4276" spans="1:10" ht="15" customHeight="1" x14ac:dyDescent="0.3">
      <c r="A4276" s="689"/>
      <c r="B4276" s="689"/>
      <c r="C4276" s="689"/>
      <c r="D4276" s="689"/>
      <c r="E4276" s="689"/>
      <c r="F4276" s="689" t="s">
        <v>473</v>
      </c>
      <c r="G4276" s="689"/>
      <c r="H4276" s="689"/>
      <c r="I4276" s="689"/>
      <c r="J4276" s="564">
        <v>0</v>
      </c>
    </row>
    <row r="4277" spans="1:10" x14ac:dyDescent="0.3">
      <c r="A4277" s="689"/>
      <c r="B4277" s="689"/>
      <c r="C4277" s="689"/>
      <c r="D4277" s="689"/>
      <c r="E4277" s="689"/>
      <c r="F4277" s="689" t="s">
        <v>474</v>
      </c>
      <c r="G4277" s="689"/>
      <c r="H4277" s="689"/>
      <c r="I4277" s="689"/>
      <c r="J4277" s="564">
        <v>0</v>
      </c>
    </row>
    <row r="4278" spans="1:10" s="89" customFormat="1" ht="15" customHeight="1" x14ac:dyDescent="0.3">
      <c r="A4278" s="689"/>
      <c r="B4278" s="689"/>
      <c r="C4278" s="689"/>
      <c r="D4278" s="689"/>
      <c r="E4278" s="689"/>
      <c r="F4278" s="689" t="s">
        <v>475</v>
      </c>
      <c r="G4278" s="689"/>
      <c r="H4278" s="689"/>
      <c r="I4278" s="689"/>
      <c r="J4278" s="564">
        <v>4</v>
      </c>
    </row>
    <row r="4279" spans="1:10" ht="15" customHeight="1" x14ac:dyDescent="0.3">
      <c r="A4279" s="689"/>
      <c r="B4279" s="689"/>
      <c r="C4279" s="689"/>
      <c r="D4279" s="689"/>
      <c r="E4279" s="689"/>
      <c r="F4279" s="689" t="s">
        <v>476</v>
      </c>
      <c r="G4279" s="689"/>
      <c r="H4279" s="689"/>
      <c r="I4279" s="689"/>
      <c r="J4279" s="564">
        <v>8.5094999999999992</v>
      </c>
    </row>
    <row r="4280" spans="1:10" ht="15" customHeight="1" x14ac:dyDescent="0.3">
      <c r="A4280" s="553" t="s">
        <v>410</v>
      </c>
      <c r="B4280" s="554" t="s">
        <v>5</v>
      </c>
      <c r="C4280" s="553" t="s">
        <v>4</v>
      </c>
      <c r="D4280" s="553" t="s">
        <v>438</v>
      </c>
      <c r="E4280" s="554" t="s">
        <v>463</v>
      </c>
      <c r="F4280" s="554" t="s">
        <v>575</v>
      </c>
      <c r="G4280" s="692" t="s">
        <v>576</v>
      </c>
      <c r="H4280" s="692"/>
      <c r="I4280" s="692"/>
      <c r="J4280" s="554" t="s">
        <v>466</v>
      </c>
    </row>
    <row r="4281" spans="1:10" x14ac:dyDescent="0.3">
      <c r="A4281" s="547" t="s">
        <v>433</v>
      </c>
      <c r="B4281" s="548" t="s">
        <v>115</v>
      </c>
      <c r="C4281" s="547" t="s">
        <v>1825</v>
      </c>
      <c r="D4281" s="547" t="s">
        <v>1826</v>
      </c>
      <c r="E4281" s="550">
        <v>11.775</v>
      </c>
      <c r="F4281" s="549" t="s">
        <v>655</v>
      </c>
      <c r="G4281" s="693">
        <v>11.4353</v>
      </c>
      <c r="H4281" s="693"/>
      <c r="I4281" s="688"/>
      <c r="J4281" s="563">
        <v>134.6507</v>
      </c>
    </row>
    <row r="4282" spans="1:10" x14ac:dyDescent="0.3">
      <c r="A4282" s="547" t="s">
        <v>433</v>
      </c>
      <c r="B4282" s="548" t="s">
        <v>115</v>
      </c>
      <c r="C4282" s="547" t="s">
        <v>1827</v>
      </c>
      <c r="D4282" s="547" t="s">
        <v>1828</v>
      </c>
      <c r="E4282" s="550">
        <v>1.4</v>
      </c>
      <c r="F4282" s="549" t="s">
        <v>556</v>
      </c>
      <c r="G4282" s="693">
        <v>149.0067</v>
      </c>
      <c r="H4282" s="693"/>
      <c r="I4282" s="688"/>
      <c r="J4282" s="563">
        <v>208.60939999999999</v>
      </c>
    </row>
    <row r="4283" spans="1:10" s="89" customFormat="1" ht="15" customHeight="1" x14ac:dyDescent="0.3">
      <c r="A4283" s="689"/>
      <c r="B4283" s="689"/>
      <c r="C4283" s="689"/>
      <c r="D4283" s="689"/>
      <c r="E4283" s="689"/>
      <c r="F4283" s="689" t="s">
        <v>813</v>
      </c>
      <c r="G4283" s="689"/>
      <c r="H4283" s="689"/>
      <c r="I4283" s="689"/>
      <c r="J4283" s="564">
        <v>343.26010000000002</v>
      </c>
    </row>
    <row r="4284" spans="1:10" ht="14.25" customHeight="1" x14ac:dyDescent="0.3">
      <c r="A4284" s="553" t="s">
        <v>573</v>
      </c>
      <c r="B4284" s="554" t="s">
        <v>5</v>
      </c>
      <c r="C4284" s="553" t="s">
        <v>4</v>
      </c>
      <c r="D4284" s="553" t="s">
        <v>574</v>
      </c>
      <c r="E4284" s="554" t="s">
        <v>463</v>
      </c>
      <c r="F4284" s="554" t="s">
        <v>575</v>
      </c>
      <c r="G4284" s="692" t="s">
        <v>576</v>
      </c>
      <c r="H4284" s="692"/>
      <c r="I4284" s="692"/>
      <c r="J4284" s="554" t="s">
        <v>466</v>
      </c>
    </row>
    <row r="4285" spans="1:10" s="89" customFormat="1" ht="15" customHeight="1" x14ac:dyDescent="0.3">
      <c r="A4285" s="547" t="s">
        <v>577</v>
      </c>
      <c r="B4285" s="548" t="s">
        <v>115</v>
      </c>
      <c r="C4285" s="547">
        <v>5212552</v>
      </c>
      <c r="D4285" s="547" t="s">
        <v>1808</v>
      </c>
      <c r="E4285" s="550">
        <v>1</v>
      </c>
      <c r="F4285" s="549" t="s">
        <v>556</v>
      </c>
      <c r="G4285" s="693">
        <v>15.94</v>
      </c>
      <c r="H4285" s="693"/>
      <c r="I4285" s="688"/>
      <c r="J4285" s="563">
        <v>15.94</v>
      </c>
    </row>
    <row r="4286" spans="1:10" s="89" customFormat="1" ht="15" customHeight="1" x14ac:dyDescent="0.3">
      <c r="A4286" s="547" t="s">
        <v>577</v>
      </c>
      <c r="B4286" s="548" t="s">
        <v>19</v>
      </c>
      <c r="C4286" s="547">
        <v>88241</v>
      </c>
      <c r="D4286" s="547" t="s">
        <v>794</v>
      </c>
      <c r="E4286" s="550">
        <v>0.5</v>
      </c>
      <c r="F4286" s="549" t="s">
        <v>423</v>
      </c>
      <c r="G4286" s="693">
        <v>24.15</v>
      </c>
      <c r="H4286" s="693"/>
      <c r="I4286" s="688"/>
      <c r="J4286" s="563">
        <v>12.074999999999999</v>
      </c>
    </row>
    <row r="4287" spans="1:10" x14ac:dyDescent="0.3">
      <c r="A4287" s="547" t="s">
        <v>577</v>
      </c>
      <c r="B4287" s="548" t="s">
        <v>19</v>
      </c>
      <c r="C4287" s="547">
        <v>88316</v>
      </c>
      <c r="D4287" s="547" t="s">
        <v>560</v>
      </c>
      <c r="E4287" s="550">
        <v>0.5</v>
      </c>
      <c r="F4287" s="549" t="s">
        <v>423</v>
      </c>
      <c r="G4287" s="693">
        <v>23.4</v>
      </c>
      <c r="H4287" s="693"/>
      <c r="I4287" s="688"/>
      <c r="J4287" s="563">
        <v>11.7</v>
      </c>
    </row>
    <row r="4288" spans="1:10" s="89" customFormat="1" ht="15" customHeight="1" x14ac:dyDescent="0.3">
      <c r="A4288" s="547" t="s">
        <v>577</v>
      </c>
      <c r="B4288" s="548" t="s">
        <v>19</v>
      </c>
      <c r="C4288" s="547">
        <v>88315</v>
      </c>
      <c r="D4288" s="547" t="s">
        <v>1166</v>
      </c>
      <c r="E4288" s="550">
        <v>0.25</v>
      </c>
      <c r="F4288" s="549" t="s">
        <v>423</v>
      </c>
      <c r="G4288" s="693">
        <v>30.85</v>
      </c>
      <c r="H4288" s="693"/>
      <c r="I4288" s="688"/>
      <c r="J4288" s="563">
        <v>7.7125000000000004</v>
      </c>
    </row>
    <row r="4289" spans="1:11" ht="15" customHeight="1" x14ac:dyDescent="0.3">
      <c r="A4289" s="547" t="s">
        <v>577</v>
      </c>
      <c r="B4289" s="548" t="s">
        <v>19</v>
      </c>
      <c r="C4289" s="547">
        <v>88278</v>
      </c>
      <c r="D4289" s="547" t="s">
        <v>558</v>
      </c>
      <c r="E4289" s="550">
        <v>0.25</v>
      </c>
      <c r="F4289" s="549" t="s">
        <v>423</v>
      </c>
      <c r="G4289" s="693">
        <v>25.36</v>
      </c>
      <c r="H4289" s="693"/>
      <c r="I4289" s="688"/>
      <c r="J4289" s="563">
        <v>6.34</v>
      </c>
      <c r="K4289" s="116"/>
    </row>
    <row r="4290" spans="1:11" s="89" customFormat="1" ht="15" customHeight="1" x14ac:dyDescent="0.3">
      <c r="A4290" s="689"/>
      <c r="B4290" s="689"/>
      <c r="C4290" s="689"/>
      <c r="D4290" s="689"/>
      <c r="E4290" s="689"/>
      <c r="F4290" s="689" t="s">
        <v>578</v>
      </c>
      <c r="G4290" s="689"/>
      <c r="H4290" s="689"/>
      <c r="I4290" s="689"/>
      <c r="J4290" s="564">
        <v>53.767499999999998</v>
      </c>
      <c r="K4290" s="545"/>
    </row>
    <row r="4291" spans="1:11" ht="14.25" customHeight="1" x14ac:dyDescent="0.3">
      <c r="A4291" s="553" t="s">
        <v>579</v>
      </c>
      <c r="B4291" s="554" t="s">
        <v>5</v>
      </c>
      <c r="C4291" s="553" t="s">
        <v>433</v>
      </c>
      <c r="D4291" s="553" t="s">
        <v>580</v>
      </c>
      <c r="E4291" s="554" t="s">
        <v>4</v>
      </c>
      <c r="F4291" s="554" t="s">
        <v>463</v>
      </c>
      <c r="G4291" s="555" t="s">
        <v>575</v>
      </c>
      <c r="H4291" s="692" t="s">
        <v>576</v>
      </c>
      <c r="I4291" s="692"/>
      <c r="J4291" s="554" t="s">
        <v>466</v>
      </c>
      <c r="K4291" s="116"/>
    </row>
    <row r="4292" spans="1:11" ht="15" customHeight="1" x14ac:dyDescent="0.3">
      <c r="A4292" s="547" t="s">
        <v>581</v>
      </c>
      <c r="B4292" s="548" t="s">
        <v>115</v>
      </c>
      <c r="C4292" s="547" t="s">
        <v>1825</v>
      </c>
      <c r="D4292" s="547" t="s">
        <v>3902</v>
      </c>
      <c r="E4292" s="548">
        <v>5914333</v>
      </c>
      <c r="F4292" s="550">
        <v>1.1780000000000001E-2</v>
      </c>
      <c r="G4292" s="549" t="s">
        <v>584</v>
      </c>
      <c r="H4292" s="693">
        <v>31.97</v>
      </c>
      <c r="I4292" s="688"/>
      <c r="J4292" s="563">
        <v>0.37659999999999999</v>
      </c>
      <c r="K4292" s="116"/>
    </row>
    <row r="4293" spans="1:11" ht="15" customHeight="1" x14ac:dyDescent="0.3">
      <c r="A4293" s="547" t="s">
        <v>581</v>
      </c>
      <c r="B4293" s="548" t="s">
        <v>115</v>
      </c>
      <c r="C4293" s="547" t="s">
        <v>1827</v>
      </c>
      <c r="D4293" s="547" t="s">
        <v>844</v>
      </c>
      <c r="E4293" s="548">
        <v>5914655</v>
      </c>
      <c r="F4293" s="550">
        <v>6.2E-4</v>
      </c>
      <c r="G4293" s="549" t="s">
        <v>584</v>
      </c>
      <c r="H4293" s="693">
        <v>33.159999999999997</v>
      </c>
      <c r="I4293" s="688"/>
      <c r="J4293" s="563">
        <v>2.06E-2</v>
      </c>
      <c r="K4293" s="116"/>
    </row>
    <row r="4294" spans="1:11" ht="14.25" customHeight="1" x14ac:dyDescent="0.3">
      <c r="A4294" s="689"/>
      <c r="B4294" s="689"/>
      <c r="C4294" s="689"/>
      <c r="D4294" s="689"/>
      <c r="E4294" s="689"/>
      <c r="F4294" s="689" t="s">
        <v>585</v>
      </c>
      <c r="G4294" s="689"/>
      <c r="H4294" s="689"/>
      <c r="I4294" s="689"/>
      <c r="J4294" s="564">
        <v>0.3972</v>
      </c>
      <c r="K4294" s="116"/>
    </row>
    <row r="4295" spans="1:11" ht="14.25" customHeight="1" x14ac:dyDescent="0.3">
      <c r="A4295" s="553" t="s">
        <v>586</v>
      </c>
      <c r="B4295" s="554" t="s">
        <v>5</v>
      </c>
      <c r="C4295" s="553" t="s">
        <v>433</v>
      </c>
      <c r="D4295" s="553" t="s">
        <v>587</v>
      </c>
      <c r="E4295" s="554" t="s">
        <v>463</v>
      </c>
      <c r="F4295" s="554" t="s">
        <v>575</v>
      </c>
      <c r="G4295" s="694" t="s">
        <v>588</v>
      </c>
      <c r="H4295" s="692"/>
      <c r="I4295" s="692"/>
      <c r="J4295" s="554" t="s">
        <v>466</v>
      </c>
      <c r="K4295" s="116"/>
    </row>
    <row r="4296" spans="1:11" ht="14.25" customHeight="1" x14ac:dyDescent="0.3">
      <c r="A4296" s="555"/>
      <c r="B4296" s="555"/>
      <c r="C4296" s="555"/>
      <c r="D4296" s="555"/>
      <c r="E4296" s="555"/>
      <c r="F4296" s="555"/>
      <c r="G4296" s="555" t="s">
        <v>589</v>
      </c>
      <c r="H4296" s="555" t="s">
        <v>590</v>
      </c>
      <c r="I4296" s="555" t="s">
        <v>591</v>
      </c>
      <c r="J4296" s="555"/>
      <c r="K4296" s="116"/>
    </row>
    <row r="4297" spans="1:11" ht="15" customHeight="1" x14ac:dyDescent="0.3">
      <c r="A4297" s="547" t="s">
        <v>587</v>
      </c>
      <c r="B4297" s="548" t="s">
        <v>115</v>
      </c>
      <c r="C4297" s="547" t="s">
        <v>1825</v>
      </c>
      <c r="D4297" s="547" t="s">
        <v>1829</v>
      </c>
      <c r="E4297" s="550">
        <v>1.1780000000000001E-2</v>
      </c>
      <c r="F4297" s="549" t="s">
        <v>593</v>
      </c>
      <c r="G4297" s="548" t="s">
        <v>3846</v>
      </c>
      <c r="H4297" s="548" t="s">
        <v>3847</v>
      </c>
      <c r="I4297" s="548" t="s">
        <v>3848</v>
      </c>
      <c r="J4297" s="563">
        <v>0</v>
      </c>
      <c r="K4297" s="116"/>
    </row>
    <row r="4298" spans="1:11" ht="14.25" customHeight="1" x14ac:dyDescent="0.3">
      <c r="A4298" s="547" t="s">
        <v>587</v>
      </c>
      <c r="B4298" s="548" t="s">
        <v>115</v>
      </c>
      <c r="C4298" s="547" t="s">
        <v>1827</v>
      </c>
      <c r="D4298" s="547" t="s">
        <v>1830</v>
      </c>
      <c r="E4298" s="550">
        <v>6.2E-4</v>
      </c>
      <c r="F4298" s="549" t="s">
        <v>593</v>
      </c>
      <c r="G4298" s="548" t="s">
        <v>3846</v>
      </c>
      <c r="H4298" s="548" t="s">
        <v>3847</v>
      </c>
      <c r="I4298" s="548" t="s">
        <v>3848</v>
      </c>
      <c r="J4298" s="563">
        <v>0</v>
      </c>
      <c r="K4298" s="116"/>
    </row>
    <row r="4299" spans="1:11" ht="15" customHeight="1" thickBot="1" x14ac:dyDescent="0.35">
      <c r="A4299" s="689"/>
      <c r="B4299" s="689"/>
      <c r="C4299" s="689"/>
      <c r="D4299" s="689"/>
      <c r="E4299" s="689"/>
      <c r="F4299" s="689" t="s">
        <v>594</v>
      </c>
      <c r="G4299" s="689"/>
      <c r="H4299" s="689"/>
      <c r="I4299" s="689"/>
      <c r="J4299" s="564">
        <v>0</v>
      </c>
      <c r="K4299" s="116"/>
    </row>
    <row r="4300" spans="1:11" ht="15" customHeight="1" thickTop="1" x14ac:dyDescent="0.3">
      <c r="A4300" s="562"/>
      <c r="B4300" s="562"/>
      <c r="C4300" s="562"/>
      <c r="D4300" s="562"/>
      <c r="E4300" s="562"/>
      <c r="F4300" s="562"/>
      <c r="G4300" s="562"/>
      <c r="H4300" s="562"/>
      <c r="I4300" s="562"/>
      <c r="J4300" s="562"/>
      <c r="K4300" s="116"/>
    </row>
    <row r="4301" spans="1:11" x14ac:dyDescent="0.3">
      <c r="A4301" s="553"/>
      <c r="B4301" s="554" t="s">
        <v>4</v>
      </c>
      <c r="C4301" s="553" t="s">
        <v>5</v>
      </c>
      <c r="D4301" s="553" t="s">
        <v>6</v>
      </c>
      <c r="E4301" s="691" t="s">
        <v>427</v>
      </c>
      <c r="F4301" s="691"/>
      <c r="G4301" s="555" t="s">
        <v>7</v>
      </c>
      <c r="H4301" s="554" t="s">
        <v>8</v>
      </c>
      <c r="I4301" s="554" t="s">
        <v>9</v>
      </c>
      <c r="J4301" s="554" t="s">
        <v>11</v>
      </c>
      <c r="K4301" s="116"/>
    </row>
    <row r="4302" spans="1:11" ht="15" customHeight="1" x14ac:dyDescent="0.3">
      <c r="A4302" s="607" t="s">
        <v>428</v>
      </c>
      <c r="B4302" s="608" t="s">
        <v>1831</v>
      </c>
      <c r="C4302" s="607" t="s">
        <v>115</v>
      </c>
      <c r="D4302" s="607" t="s">
        <v>1117</v>
      </c>
      <c r="E4302" s="690" t="s">
        <v>402</v>
      </c>
      <c r="F4302" s="690"/>
      <c r="G4302" s="609" t="s">
        <v>556</v>
      </c>
      <c r="H4302" s="610">
        <v>1</v>
      </c>
      <c r="I4302" s="611">
        <v>450.08</v>
      </c>
      <c r="J4302" s="611">
        <v>450.08</v>
      </c>
      <c r="K4302" s="116"/>
    </row>
    <row r="4303" spans="1:11" ht="15" customHeight="1" x14ac:dyDescent="0.3">
      <c r="A4303" s="691" t="s">
        <v>408</v>
      </c>
      <c r="B4303" s="692" t="s">
        <v>4</v>
      </c>
      <c r="C4303" s="691" t="s">
        <v>5</v>
      </c>
      <c r="D4303" s="691" t="s">
        <v>462</v>
      </c>
      <c r="E4303" s="692" t="s">
        <v>463</v>
      </c>
      <c r="F4303" s="694" t="s">
        <v>464</v>
      </c>
      <c r="G4303" s="692"/>
      <c r="H4303" s="694" t="s">
        <v>465</v>
      </c>
      <c r="I4303" s="692"/>
      <c r="J4303" s="692" t="s">
        <v>466</v>
      </c>
      <c r="K4303" s="116"/>
    </row>
    <row r="4304" spans="1:11" x14ac:dyDescent="0.3">
      <c r="A4304" s="692"/>
      <c r="B4304" s="692"/>
      <c r="C4304" s="692"/>
      <c r="D4304" s="692"/>
      <c r="E4304" s="692"/>
      <c r="F4304" s="554" t="s">
        <v>467</v>
      </c>
      <c r="G4304" s="554" t="s">
        <v>468</v>
      </c>
      <c r="H4304" s="554" t="s">
        <v>467</v>
      </c>
      <c r="I4304" s="554" t="s">
        <v>468</v>
      </c>
      <c r="J4304" s="692"/>
      <c r="K4304" s="116"/>
    </row>
    <row r="4305" spans="1:11" s="89" customFormat="1" x14ac:dyDescent="0.3">
      <c r="A4305" s="547" t="s">
        <v>433</v>
      </c>
      <c r="B4305" s="548" t="s">
        <v>1817</v>
      </c>
      <c r="C4305" s="547" t="s">
        <v>115</v>
      </c>
      <c r="D4305" s="547" t="s">
        <v>1818</v>
      </c>
      <c r="E4305" s="550">
        <v>0.15060000000000001</v>
      </c>
      <c r="F4305" s="551">
        <v>1</v>
      </c>
      <c r="G4305" s="551">
        <v>0</v>
      </c>
      <c r="H4305" s="563">
        <v>0.20530000000000001</v>
      </c>
      <c r="I4305" s="563">
        <v>0.13619999999999999</v>
      </c>
      <c r="J4305" s="563">
        <v>3.09E-2</v>
      </c>
      <c r="K4305" s="545"/>
    </row>
    <row r="4306" spans="1:11" ht="15" customHeight="1" x14ac:dyDescent="0.3">
      <c r="A4306" s="547" t="s">
        <v>433</v>
      </c>
      <c r="B4306" s="548" t="s">
        <v>1811</v>
      </c>
      <c r="C4306" s="547" t="s">
        <v>115</v>
      </c>
      <c r="D4306" s="547" t="s">
        <v>1812</v>
      </c>
      <c r="E4306" s="550">
        <v>0.48193000000000003</v>
      </c>
      <c r="F4306" s="551">
        <v>1</v>
      </c>
      <c r="G4306" s="551">
        <v>0</v>
      </c>
      <c r="H4306" s="563">
        <v>26.9573</v>
      </c>
      <c r="I4306" s="563">
        <v>5.54</v>
      </c>
      <c r="J4306" s="563">
        <v>12.9915</v>
      </c>
      <c r="K4306" s="116"/>
    </row>
    <row r="4307" spans="1:11" ht="15" customHeight="1" x14ac:dyDescent="0.3">
      <c r="A4307" s="547" t="s">
        <v>433</v>
      </c>
      <c r="B4307" s="548" t="s">
        <v>1819</v>
      </c>
      <c r="C4307" s="547" t="s">
        <v>115</v>
      </c>
      <c r="D4307" s="547" t="s">
        <v>1820</v>
      </c>
      <c r="E4307" s="550">
        <v>0.20080000000000001</v>
      </c>
      <c r="F4307" s="551">
        <v>1</v>
      </c>
      <c r="G4307" s="551">
        <v>0</v>
      </c>
      <c r="H4307" s="563">
        <v>14.806699999999999</v>
      </c>
      <c r="I4307" s="563">
        <v>9.4120000000000008</v>
      </c>
      <c r="J4307" s="563">
        <v>2.9731999999999998</v>
      </c>
      <c r="K4307" s="116"/>
    </row>
    <row r="4308" spans="1:11" x14ac:dyDescent="0.3">
      <c r="A4308" s="547" t="s">
        <v>433</v>
      </c>
      <c r="B4308" s="548" t="s">
        <v>1821</v>
      </c>
      <c r="C4308" s="547" t="s">
        <v>115</v>
      </c>
      <c r="D4308" s="547" t="s">
        <v>1822</v>
      </c>
      <c r="E4308" s="550">
        <v>0.48193000000000003</v>
      </c>
      <c r="F4308" s="551">
        <v>1</v>
      </c>
      <c r="G4308" s="551">
        <v>0</v>
      </c>
      <c r="H4308" s="563">
        <v>12.2171</v>
      </c>
      <c r="I4308" s="563">
        <v>7.7659000000000002</v>
      </c>
      <c r="J4308" s="563">
        <v>5.8878000000000004</v>
      </c>
      <c r="K4308" s="116"/>
    </row>
    <row r="4309" spans="1:11" s="89" customFormat="1" x14ac:dyDescent="0.3">
      <c r="A4309" s="547" t="s">
        <v>433</v>
      </c>
      <c r="B4309" s="548" t="s">
        <v>1823</v>
      </c>
      <c r="C4309" s="547" t="s">
        <v>115</v>
      </c>
      <c r="D4309" s="547" t="s">
        <v>1824</v>
      </c>
      <c r="E4309" s="550">
        <v>0.48193000000000003</v>
      </c>
      <c r="F4309" s="551">
        <v>1</v>
      </c>
      <c r="G4309" s="551">
        <v>0</v>
      </c>
      <c r="H4309" s="563">
        <v>25.220700000000001</v>
      </c>
      <c r="I4309" s="563">
        <v>15.8993</v>
      </c>
      <c r="J4309" s="563">
        <v>12.1546</v>
      </c>
      <c r="K4309" s="545"/>
    </row>
    <row r="4310" spans="1:11" ht="14.25" customHeight="1" x14ac:dyDescent="0.3">
      <c r="A4310" s="689"/>
      <c r="B4310" s="689"/>
      <c r="C4310" s="689"/>
      <c r="D4310" s="689"/>
      <c r="E4310" s="689"/>
      <c r="F4310" s="689" t="s">
        <v>471</v>
      </c>
      <c r="G4310" s="689"/>
      <c r="H4310" s="689"/>
      <c r="I4310" s="689"/>
      <c r="J4310" s="564">
        <v>34.037999999999997</v>
      </c>
      <c r="K4310" s="116"/>
    </row>
    <row r="4311" spans="1:11" ht="14.25" customHeight="1" x14ac:dyDescent="0.3">
      <c r="A4311" s="689"/>
      <c r="B4311" s="689"/>
      <c r="C4311" s="689"/>
      <c r="D4311" s="689"/>
      <c r="E4311" s="689"/>
      <c r="F4311" s="689" t="s">
        <v>472</v>
      </c>
      <c r="G4311" s="689"/>
      <c r="H4311" s="689"/>
      <c r="I4311" s="689"/>
      <c r="J4311" s="564">
        <v>34.037999999999997</v>
      </c>
      <c r="K4311" s="116"/>
    </row>
    <row r="4312" spans="1:11" ht="14.25" customHeight="1" x14ac:dyDescent="0.3">
      <c r="A4312" s="689"/>
      <c r="B4312" s="689"/>
      <c r="C4312" s="689"/>
      <c r="D4312" s="689"/>
      <c r="E4312" s="689"/>
      <c r="F4312" s="689" t="s">
        <v>473</v>
      </c>
      <c r="G4312" s="689"/>
      <c r="H4312" s="689"/>
      <c r="I4312" s="689"/>
      <c r="J4312" s="564">
        <v>0</v>
      </c>
      <c r="K4312" s="116"/>
    </row>
    <row r="4313" spans="1:11" x14ac:dyDescent="0.3">
      <c r="A4313" s="689"/>
      <c r="B4313" s="689"/>
      <c r="C4313" s="689"/>
      <c r="D4313" s="689"/>
      <c r="E4313" s="689"/>
      <c r="F4313" s="689" t="s">
        <v>474</v>
      </c>
      <c r="G4313" s="689"/>
      <c r="H4313" s="689"/>
      <c r="I4313" s="689"/>
      <c r="J4313" s="564">
        <v>0</v>
      </c>
      <c r="K4313" s="116"/>
    </row>
    <row r="4314" spans="1:11" s="89" customFormat="1" ht="15" customHeight="1" x14ac:dyDescent="0.3">
      <c r="A4314" s="689"/>
      <c r="B4314" s="689"/>
      <c r="C4314" s="689"/>
      <c r="D4314" s="689"/>
      <c r="E4314" s="689"/>
      <c r="F4314" s="689" t="s">
        <v>475</v>
      </c>
      <c r="G4314" s="689"/>
      <c r="H4314" s="689"/>
      <c r="I4314" s="689"/>
      <c r="J4314" s="564">
        <v>4</v>
      </c>
      <c r="K4314" s="545"/>
    </row>
    <row r="4315" spans="1:11" ht="14.25" customHeight="1" x14ac:dyDescent="0.3">
      <c r="A4315" s="689"/>
      <c r="B4315" s="689"/>
      <c r="C4315" s="689"/>
      <c r="D4315" s="689"/>
      <c r="E4315" s="689"/>
      <c r="F4315" s="689" t="s">
        <v>476</v>
      </c>
      <c r="G4315" s="689"/>
      <c r="H4315" s="689"/>
      <c r="I4315" s="689"/>
      <c r="J4315" s="564">
        <v>8.5094999999999992</v>
      </c>
      <c r="K4315" s="116"/>
    </row>
    <row r="4316" spans="1:11" ht="14.25" customHeight="1" x14ac:dyDescent="0.3">
      <c r="A4316" s="553" t="s">
        <v>410</v>
      </c>
      <c r="B4316" s="554" t="s">
        <v>5</v>
      </c>
      <c r="C4316" s="553" t="s">
        <v>4</v>
      </c>
      <c r="D4316" s="553" t="s">
        <v>438</v>
      </c>
      <c r="E4316" s="554" t="s">
        <v>463</v>
      </c>
      <c r="F4316" s="554" t="s">
        <v>575</v>
      </c>
      <c r="G4316" s="692" t="s">
        <v>576</v>
      </c>
      <c r="H4316" s="692"/>
      <c r="I4316" s="692"/>
      <c r="J4316" s="554" t="s">
        <v>466</v>
      </c>
    </row>
    <row r="4317" spans="1:11" x14ac:dyDescent="0.3">
      <c r="A4317" s="547" t="s">
        <v>433</v>
      </c>
      <c r="B4317" s="548" t="s">
        <v>115</v>
      </c>
      <c r="C4317" s="547" t="s">
        <v>1825</v>
      </c>
      <c r="D4317" s="547" t="s">
        <v>1826</v>
      </c>
      <c r="E4317" s="550">
        <v>11.775</v>
      </c>
      <c r="F4317" s="549" t="s">
        <v>655</v>
      </c>
      <c r="G4317" s="693">
        <v>11.4353</v>
      </c>
      <c r="H4317" s="693"/>
      <c r="I4317" s="688"/>
      <c r="J4317" s="563">
        <v>134.6507</v>
      </c>
    </row>
    <row r="4318" spans="1:11" ht="14.25" customHeight="1" x14ac:dyDescent="0.3">
      <c r="A4318" s="547" t="s">
        <v>433</v>
      </c>
      <c r="B4318" s="548" t="s">
        <v>115</v>
      </c>
      <c r="C4318" s="547" t="s">
        <v>1827</v>
      </c>
      <c r="D4318" s="547" t="s">
        <v>1828</v>
      </c>
      <c r="E4318" s="550">
        <v>1</v>
      </c>
      <c r="F4318" s="549" t="s">
        <v>556</v>
      </c>
      <c r="G4318" s="693">
        <v>149.0067</v>
      </c>
      <c r="H4318" s="693"/>
      <c r="I4318" s="688"/>
      <c r="J4318" s="563">
        <v>149.0067</v>
      </c>
    </row>
    <row r="4319" spans="1:11" ht="15" customHeight="1" x14ac:dyDescent="0.3">
      <c r="A4319" s="547" t="s">
        <v>433</v>
      </c>
      <c r="B4319" s="548" t="s">
        <v>115</v>
      </c>
      <c r="C4319" s="547" t="s">
        <v>1832</v>
      </c>
      <c r="D4319" s="547" t="s">
        <v>1833</v>
      </c>
      <c r="E4319" s="550">
        <v>0.4</v>
      </c>
      <c r="F4319" s="549" t="s">
        <v>556</v>
      </c>
      <c r="G4319" s="693">
        <v>259.3768</v>
      </c>
      <c r="H4319" s="693"/>
      <c r="I4319" s="688"/>
      <c r="J4319" s="563">
        <v>103.75069999999999</v>
      </c>
    </row>
    <row r="4320" spans="1:11" ht="15" customHeight="1" x14ac:dyDescent="0.3">
      <c r="A4320" s="689"/>
      <c r="B4320" s="689"/>
      <c r="C4320" s="689"/>
      <c r="D4320" s="689"/>
      <c r="E4320" s="689"/>
      <c r="F4320" s="689" t="s">
        <v>813</v>
      </c>
      <c r="G4320" s="689"/>
      <c r="H4320" s="689"/>
      <c r="I4320" s="689"/>
      <c r="J4320" s="564">
        <v>387.40809999999999</v>
      </c>
    </row>
    <row r="4321" spans="1:10" ht="15" customHeight="1" x14ac:dyDescent="0.3">
      <c r="A4321" s="553" t="s">
        <v>573</v>
      </c>
      <c r="B4321" s="554" t="s">
        <v>5</v>
      </c>
      <c r="C4321" s="553" t="s">
        <v>4</v>
      </c>
      <c r="D4321" s="553" t="s">
        <v>574</v>
      </c>
      <c r="E4321" s="554" t="s">
        <v>463</v>
      </c>
      <c r="F4321" s="554" t="s">
        <v>575</v>
      </c>
      <c r="G4321" s="692" t="s">
        <v>576</v>
      </c>
      <c r="H4321" s="692"/>
      <c r="I4321" s="692"/>
      <c r="J4321" s="554" t="s">
        <v>466</v>
      </c>
    </row>
    <row r="4322" spans="1:10" x14ac:dyDescent="0.3">
      <c r="A4322" s="547" t="s">
        <v>577</v>
      </c>
      <c r="B4322" s="548" t="s">
        <v>115</v>
      </c>
      <c r="C4322" s="547">
        <v>5212552</v>
      </c>
      <c r="D4322" s="547" t="s">
        <v>1808</v>
      </c>
      <c r="E4322" s="550">
        <v>1</v>
      </c>
      <c r="F4322" s="549" t="s">
        <v>556</v>
      </c>
      <c r="G4322" s="693">
        <v>15.94</v>
      </c>
      <c r="H4322" s="693"/>
      <c r="I4322" s="688"/>
      <c r="J4322" s="563">
        <v>15.94</v>
      </c>
    </row>
    <row r="4323" spans="1:10" ht="15" customHeight="1" x14ac:dyDescent="0.3">
      <c r="A4323" s="547" t="s">
        <v>577</v>
      </c>
      <c r="B4323" s="548" t="s">
        <v>19</v>
      </c>
      <c r="C4323" s="547">
        <v>88241</v>
      </c>
      <c r="D4323" s="547" t="s">
        <v>794</v>
      </c>
      <c r="E4323" s="550">
        <v>0.5</v>
      </c>
      <c r="F4323" s="549" t="s">
        <v>423</v>
      </c>
      <c r="G4323" s="693">
        <v>24.15</v>
      </c>
      <c r="H4323" s="693"/>
      <c r="I4323" s="688"/>
      <c r="J4323" s="563">
        <v>12.074999999999999</v>
      </c>
    </row>
    <row r="4324" spans="1:10" ht="15" customHeight="1" x14ac:dyDescent="0.3">
      <c r="A4324" s="547" t="s">
        <v>577</v>
      </c>
      <c r="B4324" s="548" t="s">
        <v>19</v>
      </c>
      <c r="C4324" s="547">
        <v>88316</v>
      </c>
      <c r="D4324" s="547" t="s">
        <v>560</v>
      </c>
      <c r="E4324" s="550">
        <v>0.5</v>
      </c>
      <c r="F4324" s="549" t="s">
        <v>423</v>
      </c>
      <c r="G4324" s="693">
        <v>23.4</v>
      </c>
      <c r="H4324" s="693"/>
      <c r="I4324" s="688"/>
      <c r="J4324" s="563">
        <v>11.7</v>
      </c>
    </row>
    <row r="4325" spans="1:10" x14ac:dyDescent="0.3">
      <c r="A4325" s="547" t="s">
        <v>577</v>
      </c>
      <c r="B4325" s="548" t="s">
        <v>19</v>
      </c>
      <c r="C4325" s="547">
        <v>88315</v>
      </c>
      <c r="D4325" s="547" t="s">
        <v>1166</v>
      </c>
      <c r="E4325" s="550">
        <v>0.25</v>
      </c>
      <c r="F4325" s="549" t="s">
        <v>423</v>
      </c>
      <c r="G4325" s="693">
        <v>30.85</v>
      </c>
      <c r="H4325" s="693"/>
      <c r="I4325" s="688"/>
      <c r="J4325" s="563">
        <v>7.7125000000000004</v>
      </c>
    </row>
    <row r="4326" spans="1:10" ht="25" x14ac:dyDescent="0.3">
      <c r="A4326" s="547" t="s">
        <v>577</v>
      </c>
      <c r="B4326" s="548" t="s">
        <v>19</v>
      </c>
      <c r="C4326" s="547">
        <v>88278</v>
      </c>
      <c r="D4326" s="547" t="s">
        <v>558</v>
      </c>
      <c r="E4326" s="550">
        <v>0.25</v>
      </c>
      <c r="F4326" s="549" t="s">
        <v>423</v>
      </c>
      <c r="G4326" s="693">
        <v>25.36</v>
      </c>
      <c r="H4326" s="693"/>
      <c r="I4326" s="688"/>
      <c r="J4326" s="563">
        <v>6.34</v>
      </c>
    </row>
    <row r="4327" spans="1:10" ht="14.25" customHeight="1" x14ac:dyDescent="0.3">
      <c r="A4327" s="689"/>
      <c r="B4327" s="689"/>
      <c r="C4327" s="689"/>
      <c r="D4327" s="689"/>
      <c r="E4327" s="689"/>
      <c r="F4327" s="689" t="s">
        <v>578</v>
      </c>
      <c r="G4327" s="689"/>
      <c r="H4327" s="689"/>
      <c r="I4327" s="689"/>
      <c r="J4327" s="564">
        <v>53.767499999999998</v>
      </c>
    </row>
    <row r="4328" spans="1:10" ht="15" customHeight="1" x14ac:dyDescent="0.3">
      <c r="A4328" s="553" t="s">
        <v>579</v>
      </c>
      <c r="B4328" s="554" t="s">
        <v>5</v>
      </c>
      <c r="C4328" s="553" t="s">
        <v>433</v>
      </c>
      <c r="D4328" s="553" t="s">
        <v>580</v>
      </c>
      <c r="E4328" s="554" t="s">
        <v>4</v>
      </c>
      <c r="F4328" s="554" t="s">
        <v>463</v>
      </c>
      <c r="G4328" s="555" t="s">
        <v>575</v>
      </c>
      <c r="H4328" s="692" t="s">
        <v>576</v>
      </c>
      <c r="I4328" s="692"/>
      <c r="J4328" s="554" t="s">
        <v>466</v>
      </c>
    </row>
    <row r="4329" spans="1:10" ht="14.25" customHeight="1" x14ac:dyDescent="0.3">
      <c r="A4329" s="547" t="s">
        <v>581</v>
      </c>
      <c r="B4329" s="548" t="s">
        <v>115</v>
      </c>
      <c r="C4329" s="547" t="s">
        <v>1825</v>
      </c>
      <c r="D4329" s="547" t="s">
        <v>1180</v>
      </c>
      <c r="E4329" s="548">
        <v>5914333</v>
      </c>
      <c r="F4329" s="550">
        <v>1.1780000000000001E-2</v>
      </c>
      <c r="G4329" s="549" t="s">
        <v>584</v>
      </c>
      <c r="H4329" s="693">
        <v>31.97</v>
      </c>
      <c r="I4329" s="688"/>
      <c r="J4329" s="563">
        <v>0.37659999999999999</v>
      </c>
    </row>
    <row r="4330" spans="1:10" ht="15" customHeight="1" x14ac:dyDescent="0.3">
      <c r="A4330" s="547" t="s">
        <v>581</v>
      </c>
      <c r="B4330" s="548" t="s">
        <v>115</v>
      </c>
      <c r="C4330" s="547" t="s">
        <v>1827</v>
      </c>
      <c r="D4330" s="547" t="s">
        <v>844</v>
      </c>
      <c r="E4330" s="548">
        <v>5914655</v>
      </c>
      <c r="F4330" s="550">
        <v>4.4000000000000002E-4</v>
      </c>
      <c r="G4330" s="549" t="s">
        <v>584</v>
      </c>
      <c r="H4330" s="693">
        <v>33.159999999999997</v>
      </c>
      <c r="I4330" s="688"/>
      <c r="J4330" s="563">
        <v>1.46E-2</v>
      </c>
    </row>
    <row r="4331" spans="1:10" ht="15" customHeight="1" x14ac:dyDescent="0.3">
      <c r="A4331" s="547" t="s">
        <v>581</v>
      </c>
      <c r="B4331" s="548" t="s">
        <v>115</v>
      </c>
      <c r="C4331" s="547" t="s">
        <v>1832</v>
      </c>
      <c r="D4331" s="547" t="s">
        <v>844</v>
      </c>
      <c r="E4331" s="548">
        <v>5914655</v>
      </c>
      <c r="F4331" s="550">
        <v>1.9000000000000001E-4</v>
      </c>
      <c r="G4331" s="549" t="s">
        <v>584</v>
      </c>
      <c r="H4331" s="693">
        <v>33.159999999999997</v>
      </c>
      <c r="I4331" s="688"/>
      <c r="J4331" s="563">
        <v>6.3E-3</v>
      </c>
    </row>
    <row r="4332" spans="1:10" ht="14.25" customHeight="1" x14ac:dyDescent="0.3">
      <c r="A4332" s="689"/>
      <c r="B4332" s="689"/>
      <c r="C4332" s="689"/>
      <c r="D4332" s="689"/>
      <c r="E4332" s="689"/>
      <c r="F4332" s="689" t="s">
        <v>585</v>
      </c>
      <c r="G4332" s="689"/>
      <c r="H4332" s="689"/>
      <c r="I4332" s="689"/>
      <c r="J4332" s="564">
        <v>0.39750000000000002</v>
      </c>
    </row>
    <row r="4333" spans="1:10" ht="14.25" customHeight="1" x14ac:dyDescent="0.3">
      <c r="A4333" s="553" t="s">
        <v>586</v>
      </c>
      <c r="B4333" s="554" t="s">
        <v>5</v>
      </c>
      <c r="C4333" s="553" t="s">
        <v>433</v>
      </c>
      <c r="D4333" s="553" t="s">
        <v>587</v>
      </c>
      <c r="E4333" s="554" t="s">
        <v>463</v>
      </c>
      <c r="F4333" s="554" t="s">
        <v>575</v>
      </c>
      <c r="G4333" s="694" t="s">
        <v>588</v>
      </c>
      <c r="H4333" s="692"/>
      <c r="I4333" s="692"/>
      <c r="J4333" s="554" t="s">
        <v>466</v>
      </c>
    </row>
    <row r="4334" spans="1:10" ht="14.25" customHeight="1" x14ac:dyDescent="0.3">
      <c r="A4334" s="555"/>
      <c r="B4334" s="555"/>
      <c r="C4334" s="555"/>
      <c r="D4334" s="555"/>
      <c r="E4334" s="555"/>
      <c r="F4334" s="555"/>
      <c r="G4334" s="555" t="s">
        <v>589</v>
      </c>
      <c r="H4334" s="555" t="s">
        <v>590</v>
      </c>
      <c r="I4334" s="555" t="s">
        <v>591</v>
      </c>
      <c r="J4334" s="555"/>
    </row>
    <row r="4335" spans="1:10" ht="15" customHeight="1" x14ac:dyDescent="0.3">
      <c r="A4335" s="547" t="s">
        <v>587</v>
      </c>
      <c r="B4335" s="548" t="s">
        <v>115</v>
      </c>
      <c r="C4335" s="547" t="s">
        <v>1825</v>
      </c>
      <c r="D4335" s="547" t="s">
        <v>1829</v>
      </c>
      <c r="E4335" s="550">
        <v>1.1780000000000001E-2</v>
      </c>
      <c r="F4335" s="549" t="s">
        <v>593</v>
      </c>
      <c r="G4335" s="548" t="s">
        <v>3846</v>
      </c>
      <c r="H4335" s="548" t="s">
        <v>3847</v>
      </c>
      <c r="I4335" s="548" t="s">
        <v>3848</v>
      </c>
      <c r="J4335" s="563">
        <v>0</v>
      </c>
    </row>
    <row r="4336" spans="1:10" ht="37.5" x14ac:dyDescent="0.3">
      <c r="A4336" s="547" t="s">
        <v>587</v>
      </c>
      <c r="B4336" s="548" t="s">
        <v>115</v>
      </c>
      <c r="C4336" s="547" t="s">
        <v>1827</v>
      </c>
      <c r="D4336" s="547" t="s">
        <v>1830</v>
      </c>
      <c r="E4336" s="550">
        <v>4.4000000000000002E-4</v>
      </c>
      <c r="F4336" s="549" t="s">
        <v>593</v>
      </c>
      <c r="G4336" s="548" t="s">
        <v>3846</v>
      </c>
      <c r="H4336" s="548" t="s">
        <v>3847</v>
      </c>
      <c r="I4336" s="548" t="s">
        <v>3848</v>
      </c>
      <c r="J4336" s="563">
        <v>0</v>
      </c>
    </row>
    <row r="4337" spans="1:10" ht="37.5" x14ac:dyDescent="0.3">
      <c r="A4337" s="547" t="s">
        <v>587</v>
      </c>
      <c r="B4337" s="548" t="s">
        <v>115</v>
      </c>
      <c r="C4337" s="547" t="s">
        <v>1832</v>
      </c>
      <c r="D4337" s="547" t="s">
        <v>1834</v>
      </c>
      <c r="E4337" s="550">
        <v>1.9000000000000001E-4</v>
      </c>
      <c r="F4337" s="549" t="s">
        <v>593</v>
      </c>
      <c r="G4337" s="548" t="s">
        <v>3846</v>
      </c>
      <c r="H4337" s="548" t="s">
        <v>3847</v>
      </c>
      <c r="I4337" s="548" t="s">
        <v>3848</v>
      </c>
      <c r="J4337" s="563">
        <v>0</v>
      </c>
    </row>
    <row r="4338" spans="1:10" ht="15" customHeight="1" thickBot="1" x14ac:dyDescent="0.35">
      <c r="A4338" s="689"/>
      <c r="B4338" s="689"/>
      <c r="C4338" s="689"/>
      <c r="D4338" s="689"/>
      <c r="E4338" s="689"/>
      <c r="F4338" s="689" t="s">
        <v>594</v>
      </c>
      <c r="G4338" s="689"/>
      <c r="H4338" s="689"/>
      <c r="I4338" s="689"/>
      <c r="J4338" s="564">
        <v>0</v>
      </c>
    </row>
    <row r="4339" spans="1:10" ht="15" customHeight="1" thickTop="1" x14ac:dyDescent="0.3">
      <c r="A4339" s="562"/>
      <c r="B4339" s="562"/>
      <c r="C4339" s="562"/>
      <c r="D4339" s="562"/>
      <c r="E4339" s="562"/>
      <c r="F4339" s="562"/>
      <c r="G4339" s="562"/>
      <c r="H4339" s="562"/>
      <c r="I4339" s="562"/>
      <c r="J4339" s="562"/>
    </row>
    <row r="4340" spans="1:10" x14ac:dyDescent="0.3">
      <c r="A4340" s="553"/>
      <c r="B4340" s="554" t="s">
        <v>4</v>
      </c>
      <c r="C4340" s="553" t="s">
        <v>5</v>
      </c>
      <c r="D4340" s="553" t="s">
        <v>6</v>
      </c>
      <c r="E4340" s="691" t="s">
        <v>427</v>
      </c>
      <c r="F4340" s="691"/>
      <c r="G4340" s="555" t="s">
        <v>7</v>
      </c>
      <c r="H4340" s="554" t="s">
        <v>8</v>
      </c>
      <c r="I4340" s="554" t="s">
        <v>9</v>
      </c>
      <c r="J4340" s="554" t="s">
        <v>11</v>
      </c>
    </row>
    <row r="4341" spans="1:10" s="89" customFormat="1" ht="38.25" customHeight="1" x14ac:dyDescent="0.3">
      <c r="A4341" s="607" t="s">
        <v>428</v>
      </c>
      <c r="B4341" s="608" t="s">
        <v>995</v>
      </c>
      <c r="C4341" s="607" t="s">
        <v>19</v>
      </c>
      <c r="D4341" s="607" t="s">
        <v>996</v>
      </c>
      <c r="E4341" s="690" t="s">
        <v>461</v>
      </c>
      <c r="F4341" s="690"/>
      <c r="G4341" s="609" t="s">
        <v>102</v>
      </c>
      <c r="H4341" s="610">
        <v>1</v>
      </c>
      <c r="I4341" s="611">
        <v>72.8</v>
      </c>
      <c r="J4341" s="611">
        <v>72.8</v>
      </c>
    </row>
    <row r="4342" spans="1:10" ht="15" customHeight="1" x14ac:dyDescent="0.3">
      <c r="A4342" s="547" t="s">
        <v>430</v>
      </c>
      <c r="B4342" s="548" t="s">
        <v>1750</v>
      </c>
      <c r="C4342" s="547" t="s">
        <v>19</v>
      </c>
      <c r="D4342" s="547" t="s">
        <v>1751</v>
      </c>
      <c r="E4342" s="688" t="s">
        <v>429</v>
      </c>
      <c r="F4342" s="688"/>
      <c r="G4342" s="549" t="s">
        <v>423</v>
      </c>
      <c r="H4342" s="550">
        <v>1</v>
      </c>
      <c r="I4342" s="551">
        <v>25.72</v>
      </c>
      <c r="J4342" s="551">
        <v>25.72</v>
      </c>
    </row>
    <row r="4343" spans="1:10" ht="15" customHeight="1" x14ac:dyDescent="0.3">
      <c r="A4343" s="547" t="s">
        <v>430</v>
      </c>
      <c r="B4343" s="548" t="s">
        <v>1835</v>
      </c>
      <c r="C4343" s="547" t="s">
        <v>19</v>
      </c>
      <c r="D4343" s="547" t="s">
        <v>1836</v>
      </c>
      <c r="E4343" s="688" t="s">
        <v>461</v>
      </c>
      <c r="F4343" s="688"/>
      <c r="G4343" s="549" t="s">
        <v>423</v>
      </c>
      <c r="H4343" s="550">
        <v>1</v>
      </c>
      <c r="I4343" s="551">
        <v>37.24</v>
      </c>
      <c r="J4343" s="551">
        <v>37.24</v>
      </c>
    </row>
    <row r="4344" spans="1:10" ht="39" customHeight="1" thickBot="1" x14ac:dyDescent="0.35">
      <c r="A4344" s="547" t="s">
        <v>430</v>
      </c>
      <c r="B4344" s="548" t="s">
        <v>1837</v>
      </c>
      <c r="C4344" s="547" t="s">
        <v>19</v>
      </c>
      <c r="D4344" s="547" t="s">
        <v>1838</v>
      </c>
      <c r="E4344" s="688" t="s">
        <v>461</v>
      </c>
      <c r="F4344" s="688"/>
      <c r="G4344" s="549" t="s">
        <v>423</v>
      </c>
      <c r="H4344" s="550">
        <v>1</v>
      </c>
      <c r="I4344" s="551">
        <v>9.84</v>
      </c>
      <c r="J4344" s="551">
        <v>9.84</v>
      </c>
    </row>
    <row r="4345" spans="1:10" ht="14.5" thickTop="1" x14ac:dyDescent="0.3">
      <c r="A4345" s="562"/>
      <c r="B4345" s="562"/>
      <c r="C4345" s="562"/>
      <c r="D4345" s="562"/>
      <c r="E4345" s="562"/>
      <c r="F4345" s="562"/>
      <c r="G4345" s="562"/>
      <c r="H4345" s="562"/>
      <c r="I4345" s="562"/>
      <c r="J4345" s="562"/>
    </row>
    <row r="4346" spans="1:10" x14ac:dyDescent="0.3">
      <c r="A4346" s="553"/>
      <c r="B4346" s="554" t="s">
        <v>4</v>
      </c>
      <c r="C4346" s="553" t="s">
        <v>5</v>
      </c>
      <c r="D4346" s="553" t="s">
        <v>6</v>
      </c>
      <c r="E4346" s="691" t="s">
        <v>427</v>
      </c>
      <c r="F4346" s="691"/>
      <c r="G4346" s="555" t="s">
        <v>7</v>
      </c>
      <c r="H4346" s="554" t="s">
        <v>8</v>
      </c>
      <c r="I4346" s="554" t="s">
        <v>9</v>
      </c>
      <c r="J4346" s="554" t="s">
        <v>11</v>
      </c>
    </row>
    <row r="4347" spans="1:10" ht="38.25" customHeight="1" x14ac:dyDescent="0.3">
      <c r="A4347" s="607" t="s">
        <v>428</v>
      </c>
      <c r="B4347" s="608" t="s">
        <v>993</v>
      </c>
      <c r="C4347" s="607" t="s">
        <v>19</v>
      </c>
      <c r="D4347" s="607" t="s">
        <v>994</v>
      </c>
      <c r="E4347" s="690" t="s">
        <v>461</v>
      </c>
      <c r="F4347" s="690"/>
      <c r="G4347" s="609" t="s">
        <v>95</v>
      </c>
      <c r="H4347" s="610">
        <v>1</v>
      </c>
      <c r="I4347" s="611">
        <v>160.65</v>
      </c>
      <c r="J4347" s="611">
        <v>160.65</v>
      </c>
    </row>
    <row r="4348" spans="1:10" ht="38.25" customHeight="1" x14ac:dyDescent="0.3">
      <c r="A4348" s="547" t="s">
        <v>430</v>
      </c>
      <c r="B4348" s="548" t="s">
        <v>1839</v>
      </c>
      <c r="C4348" s="547" t="s">
        <v>19</v>
      </c>
      <c r="D4348" s="547" t="s">
        <v>1840</v>
      </c>
      <c r="E4348" s="688" t="s">
        <v>461</v>
      </c>
      <c r="F4348" s="688"/>
      <c r="G4348" s="549" t="s">
        <v>423</v>
      </c>
      <c r="H4348" s="550">
        <v>1</v>
      </c>
      <c r="I4348" s="551">
        <v>46.55</v>
      </c>
      <c r="J4348" s="551">
        <v>46.55</v>
      </c>
    </row>
    <row r="4349" spans="1:10" ht="14.25" customHeight="1" x14ac:dyDescent="0.3">
      <c r="A4349" s="547" t="s">
        <v>430</v>
      </c>
      <c r="B4349" s="548" t="s">
        <v>1841</v>
      </c>
      <c r="C4349" s="547" t="s">
        <v>19</v>
      </c>
      <c r="D4349" s="547" t="s">
        <v>1842</v>
      </c>
      <c r="E4349" s="688" t="s">
        <v>461</v>
      </c>
      <c r="F4349" s="688"/>
      <c r="G4349" s="549" t="s">
        <v>423</v>
      </c>
      <c r="H4349" s="550">
        <v>1</v>
      </c>
      <c r="I4349" s="551">
        <v>41.3</v>
      </c>
      <c r="J4349" s="551">
        <v>41.3</v>
      </c>
    </row>
    <row r="4350" spans="1:10" ht="14.25" customHeight="1" x14ac:dyDescent="0.3">
      <c r="A4350" s="547" t="s">
        <v>430</v>
      </c>
      <c r="B4350" s="548" t="s">
        <v>1750</v>
      </c>
      <c r="C4350" s="547" t="s">
        <v>19</v>
      </c>
      <c r="D4350" s="547" t="s">
        <v>1751</v>
      </c>
      <c r="E4350" s="688" t="s">
        <v>429</v>
      </c>
      <c r="F4350" s="688"/>
      <c r="G4350" s="549" t="s">
        <v>423</v>
      </c>
      <c r="H4350" s="550">
        <v>1</v>
      </c>
      <c r="I4350" s="551">
        <v>25.72</v>
      </c>
      <c r="J4350" s="551">
        <v>25.72</v>
      </c>
    </row>
    <row r="4351" spans="1:10" ht="14.25" customHeight="1" x14ac:dyDescent="0.3">
      <c r="A4351" s="547" t="s">
        <v>430</v>
      </c>
      <c r="B4351" s="548" t="s">
        <v>1835</v>
      </c>
      <c r="C4351" s="547" t="s">
        <v>19</v>
      </c>
      <c r="D4351" s="547" t="s">
        <v>1836</v>
      </c>
      <c r="E4351" s="688" t="s">
        <v>461</v>
      </c>
      <c r="F4351" s="688"/>
      <c r="G4351" s="549" t="s">
        <v>423</v>
      </c>
      <c r="H4351" s="550">
        <v>1</v>
      </c>
      <c r="I4351" s="551">
        <v>37.24</v>
      </c>
      <c r="J4351" s="551">
        <v>37.24</v>
      </c>
    </row>
    <row r="4352" spans="1:10" ht="14.25" customHeight="1" thickBot="1" x14ac:dyDescent="0.35">
      <c r="A4352" s="547" t="s">
        <v>430</v>
      </c>
      <c r="B4352" s="548" t="s">
        <v>1837</v>
      </c>
      <c r="C4352" s="547" t="s">
        <v>19</v>
      </c>
      <c r="D4352" s="547" t="s">
        <v>1838</v>
      </c>
      <c r="E4352" s="688" t="s">
        <v>461</v>
      </c>
      <c r="F4352" s="688"/>
      <c r="G4352" s="549" t="s">
        <v>423</v>
      </c>
      <c r="H4352" s="550">
        <v>1</v>
      </c>
      <c r="I4352" s="551">
        <v>9.84</v>
      </c>
      <c r="J4352" s="551">
        <v>9.84</v>
      </c>
    </row>
    <row r="4353" spans="1:10" ht="14.25" customHeight="1" thickTop="1" x14ac:dyDescent="0.3">
      <c r="A4353" s="562"/>
      <c r="B4353" s="562"/>
      <c r="C4353" s="562"/>
      <c r="D4353" s="562"/>
      <c r="E4353" s="562"/>
      <c r="F4353" s="562"/>
      <c r="G4353" s="562"/>
      <c r="H4353" s="562"/>
      <c r="I4353" s="562"/>
      <c r="J4353" s="562"/>
    </row>
    <row r="4354" spans="1:10" ht="14.25" customHeight="1" x14ac:dyDescent="0.3">
      <c r="A4354" s="553"/>
      <c r="B4354" s="554" t="s">
        <v>4</v>
      </c>
      <c r="C4354" s="553" t="s">
        <v>5</v>
      </c>
      <c r="D4354" s="553" t="s">
        <v>6</v>
      </c>
      <c r="E4354" s="691" t="s">
        <v>427</v>
      </c>
      <c r="F4354" s="691"/>
      <c r="G4354" s="555" t="s">
        <v>7</v>
      </c>
      <c r="H4354" s="554" t="s">
        <v>8</v>
      </c>
      <c r="I4354" s="554" t="s">
        <v>9</v>
      </c>
      <c r="J4354" s="554" t="s">
        <v>11</v>
      </c>
    </row>
    <row r="4355" spans="1:10" ht="15" customHeight="1" x14ac:dyDescent="0.3">
      <c r="A4355" s="607" t="s">
        <v>428</v>
      </c>
      <c r="B4355" s="608" t="s">
        <v>1835</v>
      </c>
      <c r="C4355" s="607" t="s">
        <v>19</v>
      </c>
      <c r="D4355" s="607" t="s">
        <v>1836</v>
      </c>
      <c r="E4355" s="690" t="s">
        <v>461</v>
      </c>
      <c r="F4355" s="690"/>
      <c r="G4355" s="609" t="s">
        <v>423</v>
      </c>
      <c r="H4355" s="610">
        <v>1</v>
      </c>
      <c r="I4355" s="611">
        <v>37.24</v>
      </c>
      <c r="J4355" s="611">
        <v>37.24</v>
      </c>
    </row>
    <row r="4356" spans="1:10" ht="15" customHeight="1" thickBot="1" x14ac:dyDescent="0.35">
      <c r="A4356" s="547" t="s">
        <v>433</v>
      </c>
      <c r="B4356" s="548" t="s">
        <v>1843</v>
      </c>
      <c r="C4356" s="547" t="s">
        <v>19</v>
      </c>
      <c r="D4356" s="547" t="s">
        <v>1844</v>
      </c>
      <c r="E4356" s="688" t="s">
        <v>442</v>
      </c>
      <c r="F4356" s="688"/>
      <c r="G4356" s="549" t="s">
        <v>81</v>
      </c>
      <c r="H4356" s="550">
        <v>5.5999999999999999E-5</v>
      </c>
      <c r="I4356" s="551">
        <v>665000</v>
      </c>
      <c r="J4356" s="551">
        <v>37.24</v>
      </c>
    </row>
    <row r="4357" spans="1:10" ht="14.5" thickTop="1" x14ac:dyDescent="0.3">
      <c r="A4357" s="562"/>
      <c r="B4357" s="562"/>
      <c r="C4357" s="562"/>
      <c r="D4357" s="562"/>
      <c r="E4357" s="562"/>
      <c r="F4357" s="562"/>
      <c r="G4357" s="562"/>
      <c r="H4357" s="562"/>
      <c r="I4357" s="562"/>
      <c r="J4357" s="562"/>
    </row>
    <row r="4358" spans="1:10" x14ac:dyDescent="0.3">
      <c r="A4358" s="553"/>
      <c r="B4358" s="554" t="s">
        <v>4</v>
      </c>
      <c r="C4358" s="553" t="s">
        <v>5</v>
      </c>
      <c r="D4358" s="553" t="s">
        <v>6</v>
      </c>
      <c r="E4358" s="691" t="s">
        <v>427</v>
      </c>
      <c r="F4358" s="691"/>
      <c r="G4358" s="555" t="s">
        <v>7</v>
      </c>
      <c r="H4358" s="554" t="s">
        <v>8</v>
      </c>
      <c r="I4358" s="554" t="s">
        <v>9</v>
      </c>
      <c r="J4358" s="554" t="s">
        <v>11</v>
      </c>
    </row>
    <row r="4359" spans="1:10" ht="14.25" customHeight="1" x14ac:dyDescent="0.3">
      <c r="A4359" s="607" t="s">
        <v>428</v>
      </c>
      <c r="B4359" s="608" t="s">
        <v>1837</v>
      </c>
      <c r="C4359" s="607" t="s">
        <v>19</v>
      </c>
      <c r="D4359" s="607" t="s">
        <v>1838</v>
      </c>
      <c r="E4359" s="690" t="s">
        <v>461</v>
      </c>
      <c r="F4359" s="690"/>
      <c r="G4359" s="609" t="s">
        <v>423</v>
      </c>
      <c r="H4359" s="610">
        <v>1</v>
      </c>
      <c r="I4359" s="611">
        <v>9.84</v>
      </c>
      <c r="J4359" s="611">
        <v>9.84</v>
      </c>
    </row>
    <row r="4360" spans="1:10" ht="15" customHeight="1" thickBot="1" x14ac:dyDescent="0.35">
      <c r="A4360" s="547" t="s">
        <v>433</v>
      </c>
      <c r="B4360" s="548" t="s">
        <v>1843</v>
      </c>
      <c r="C4360" s="547" t="s">
        <v>19</v>
      </c>
      <c r="D4360" s="547" t="s">
        <v>1844</v>
      </c>
      <c r="E4360" s="688" t="s">
        <v>442</v>
      </c>
      <c r="F4360" s="688"/>
      <c r="G4360" s="549" t="s">
        <v>81</v>
      </c>
      <c r="H4360" s="550">
        <v>1.4800000000000001E-5</v>
      </c>
      <c r="I4360" s="551">
        <v>665000</v>
      </c>
      <c r="J4360" s="551">
        <v>9.84</v>
      </c>
    </row>
    <row r="4361" spans="1:10" ht="15" customHeight="1" thickTop="1" x14ac:dyDescent="0.3">
      <c r="A4361" s="562"/>
      <c r="B4361" s="562"/>
      <c r="C4361" s="562"/>
      <c r="D4361" s="562"/>
      <c r="E4361" s="562"/>
      <c r="F4361" s="562"/>
      <c r="G4361" s="562"/>
      <c r="H4361" s="562"/>
      <c r="I4361" s="562"/>
      <c r="J4361" s="562"/>
    </row>
    <row r="4362" spans="1:10" x14ac:dyDescent="0.3">
      <c r="A4362" s="553"/>
      <c r="B4362" s="554" t="s">
        <v>4</v>
      </c>
      <c r="C4362" s="553" t="s">
        <v>5</v>
      </c>
      <c r="D4362" s="553" t="s">
        <v>6</v>
      </c>
      <c r="E4362" s="691" t="s">
        <v>427</v>
      </c>
      <c r="F4362" s="691"/>
      <c r="G4362" s="555" t="s">
        <v>7</v>
      </c>
      <c r="H4362" s="554" t="s">
        <v>8</v>
      </c>
      <c r="I4362" s="554" t="s">
        <v>9</v>
      </c>
      <c r="J4362" s="554" t="s">
        <v>11</v>
      </c>
    </row>
    <row r="4363" spans="1:10" ht="38.25" customHeight="1" x14ac:dyDescent="0.3">
      <c r="A4363" s="607" t="s">
        <v>428</v>
      </c>
      <c r="B4363" s="608" t="s">
        <v>1839</v>
      </c>
      <c r="C4363" s="607" t="s">
        <v>19</v>
      </c>
      <c r="D4363" s="607" t="s">
        <v>1840</v>
      </c>
      <c r="E4363" s="690" t="s">
        <v>461</v>
      </c>
      <c r="F4363" s="690"/>
      <c r="G4363" s="609" t="s">
        <v>423</v>
      </c>
      <c r="H4363" s="610">
        <v>1</v>
      </c>
      <c r="I4363" s="611">
        <v>46.55</v>
      </c>
      <c r="J4363" s="611">
        <v>46.55</v>
      </c>
    </row>
    <row r="4364" spans="1:10" ht="38" thickBot="1" x14ac:dyDescent="0.35">
      <c r="A4364" s="547" t="s">
        <v>433</v>
      </c>
      <c r="B4364" s="548" t="s">
        <v>1843</v>
      </c>
      <c r="C4364" s="547" t="s">
        <v>19</v>
      </c>
      <c r="D4364" s="547" t="s">
        <v>1844</v>
      </c>
      <c r="E4364" s="688" t="s">
        <v>442</v>
      </c>
      <c r="F4364" s="688"/>
      <c r="G4364" s="549" t="s">
        <v>81</v>
      </c>
      <c r="H4364" s="550">
        <v>6.9999999999999994E-5</v>
      </c>
      <c r="I4364" s="551">
        <v>665000</v>
      </c>
      <c r="J4364" s="551">
        <v>46.55</v>
      </c>
    </row>
    <row r="4365" spans="1:10" ht="14.5" thickTop="1" x14ac:dyDescent="0.3">
      <c r="A4365" s="562"/>
      <c r="B4365" s="562"/>
      <c r="C4365" s="562"/>
      <c r="D4365" s="562"/>
      <c r="E4365" s="562"/>
      <c r="F4365" s="562"/>
      <c r="G4365" s="562"/>
      <c r="H4365" s="562"/>
      <c r="I4365" s="562"/>
      <c r="J4365" s="562"/>
    </row>
    <row r="4366" spans="1:10" ht="14.25" customHeight="1" x14ac:dyDescent="0.3">
      <c r="A4366" s="553"/>
      <c r="B4366" s="554" t="s">
        <v>4</v>
      </c>
      <c r="C4366" s="553" t="s">
        <v>5</v>
      </c>
      <c r="D4366" s="553" t="s">
        <v>6</v>
      </c>
      <c r="E4366" s="691" t="s">
        <v>427</v>
      </c>
      <c r="F4366" s="691"/>
      <c r="G4366" s="555" t="s">
        <v>7</v>
      </c>
      <c r="H4366" s="554" t="s">
        <v>8</v>
      </c>
      <c r="I4366" s="554" t="s">
        <v>9</v>
      </c>
      <c r="J4366" s="554" t="s">
        <v>11</v>
      </c>
    </row>
    <row r="4367" spans="1:10" ht="15" customHeight="1" x14ac:dyDescent="0.3">
      <c r="A4367" s="607" t="s">
        <v>428</v>
      </c>
      <c r="B4367" s="608" t="s">
        <v>1841</v>
      </c>
      <c r="C4367" s="607" t="s">
        <v>19</v>
      </c>
      <c r="D4367" s="607" t="s">
        <v>1842</v>
      </c>
      <c r="E4367" s="690" t="s">
        <v>461</v>
      </c>
      <c r="F4367" s="690"/>
      <c r="G4367" s="609" t="s">
        <v>423</v>
      </c>
      <c r="H4367" s="610">
        <v>1</v>
      </c>
      <c r="I4367" s="611">
        <v>41.3</v>
      </c>
      <c r="J4367" s="611">
        <v>41.3</v>
      </c>
    </row>
    <row r="4368" spans="1:10" ht="15" customHeight="1" thickBot="1" x14ac:dyDescent="0.35">
      <c r="A4368" s="547" t="s">
        <v>433</v>
      </c>
      <c r="B4368" s="548" t="s">
        <v>3859</v>
      </c>
      <c r="C4368" s="547" t="s">
        <v>115</v>
      </c>
      <c r="D4368" s="547" t="s">
        <v>3860</v>
      </c>
      <c r="E4368" s="688" t="s">
        <v>438</v>
      </c>
      <c r="F4368" s="688"/>
      <c r="G4368" s="549" t="s">
        <v>835</v>
      </c>
      <c r="H4368" s="550">
        <v>7.64</v>
      </c>
      <c r="I4368" s="551">
        <v>5.4069000000000003</v>
      </c>
      <c r="J4368" s="551">
        <v>41.3</v>
      </c>
    </row>
    <row r="4369" spans="1:10" ht="14.5" thickTop="1" x14ac:dyDescent="0.3">
      <c r="A4369" s="562"/>
      <c r="B4369" s="562"/>
      <c r="C4369" s="562"/>
      <c r="D4369" s="562"/>
      <c r="E4369" s="562"/>
      <c r="F4369" s="562"/>
      <c r="G4369" s="562"/>
      <c r="H4369" s="562"/>
      <c r="I4369" s="562"/>
      <c r="J4369" s="562"/>
    </row>
    <row r="4370" spans="1:10" x14ac:dyDescent="0.3">
      <c r="A4370" s="553"/>
      <c r="B4370" s="554" t="s">
        <v>4</v>
      </c>
      <c r="C4370" s="553" t="s">
        <v>5</v>
      </c>
      <c r="D4370" s="553" t="s">
        <v>6</v>
      </c>
      <c r="E4370" s="691" t="s">
        <v>427</v>
      </c>
      <c r="F4370" s="691"/>
      <c r="G4370" s="555" t="s">
        <v>7</v>
      </c>
      <c r="H4370" s="554" t="s">
        <v>8</v>
      </c>
      <c r="I4370" s="554" t="s">
        <v>9</v>
      </c>
      <c r="J4370" s="554" t="s">
        <v>11</v>
      </c>
    </row>
    <row r="4371" spans="1:10" ht="14.25" customHeight="1" x14ac:dyDescent="0.3">
      <c r="A4371" s="607" t="s">
        <v>428</v>
      </c>
      <c r="B4371" s="608" t="s">
        <v>1618</v>
      </c>
      <c r="C4371" s="607" t="s">
        <v>19</v>
      </c>
      <c r="D4371" s="607" t="s">
        <v>1619</v>
      </c>
      <c r="E4371" s="690" t="s">
        <v>461</v>
      </c>
      <c r="F4371" s="690"/>
      <c r="G4371" s="609" t="s">
        <v>423</v>
      </c>
      <c r="H4371" s="610">
        <v>1</v>
      </c>
      <c r="I4371" s="611">
        <v>0.92</v>
      </c>
      <c r="J4371" s="611">
        <v>0.92</v>
      </c>
    </row>
    <row r="4372" spans="1:10" ht="14.25" customHeight="1" thickBot="1" x14ac:dyDescent="0.35">
      <c r="A4372" s="547" t="s">
        <v>433</v>
      </c>
      <c r="B4372" s="548" t="s">
        <v>1301</v>
      </c>
      <c r="C4372" s="547" t="s">
        <v>19</v>
      </c>
      <c r="D4372" s="547" t="s">
        <v>1302</v>
      </c>
      <c r="E4372" s="688" t="s">
        <v>438</v>
      </c>
      <c r="F4372" s="688"/>
      <c r="G4372" s="549" t="s">
        <v>528</v>
      </c>
      <c r="H4372" s="550">
        <v>1.28</v>
      </c>
      <c r="I4372" s="551">
        <v>0.72</v>
      </c>
      <c r="J4372" s="551">
        <v>0.92</v>
      </c>
    </row>
    <row r="4373" spans="1:10" ht="15" customHeight="1" thickTop="1" x14ac:dyDescent="0.3">
      <c r="A4373" s="562"/>
      <c r="B4373" s="562"/>
      <c r="C4373" s="562"/>
      <c r="D4373" s="562"/>
      <c r="E4373" s="562"/>
      <c r="F4373" s="562"/>
      <c r="G4373" s="562"/>
      <c r="H4373" s="562"/>
      <c r="I4373" s="562"/>
      <c r="J4373" s="562"/>
    </row>
    <row r="4374" spans="1:10" x14ac:dyDescent="0.3">
      <c r="A4374" s="553"/>
      <c r="B4374" s="554" t="s">
        <v>4</v>
      </c>
      <c r="C4374" s="553" t="s">
        <v>5</v>
      </c>
      <c r="D4374" s="553" t="s">
        <v>6</v>
      </c>
      <c r="E4374" s="691" t="s">
        <v>427</v>
      </c>
      <c r="F4374" s="691"/>
      <c r="G4374" s="555" t="s">
        <v>7</v>
      </c>
      <c r="H4374" s="554" t="s">
        <v>8</v>
      </c>
      <c r="I4374" s="554" t="s">
        <v>9</v>
      </c>
      <c r="J4374" s="554" t="s">
        <v>11</v>
      </c>
    </row>
    <row r="4375" spans="1:10" ht="38.25" customHeight="1" x14ac:dyDescent="0.3">
      <c r="A4375" s="607" t="s">
        <v>428</v>
      </c>
      <c r="B4375" s="608" t="s">
        <v>721</v>
      </c>
      <c r="C4375" s="607" t="s">
        <v>19</v>
      </c>
      <c r="D4375" s="607" t="s">
        <v>722</v>
      </c>
      <c r="E4375" s="690" t="s">
        <v>664</v>
      </c>
      <c r="F4375" s="690"/>
      <c r="G4375" s="609" t="s">
        <v>81</v>
      </c>
      <c r="H4375" s="610">
        <v>1</v>
      </c>
      <c r="I4375" s="611">
        <v>135.4</v>
      </c>
      <c r="J4375" s="611">
        <v>135.4</v>
      </c>
    </row>
    <row r="4376" spans="1:10" ht="37.5" x14ac:dyDescent="0.3">
      <c r="A4376" s="547" t="s">
        <v>430</v>
      </c>
      <c r="B4376" s="548" t="s">
        <v>1238</v>
      </c>
      <c r="C4376" s="547" t="s">
        <v>19</v>
      </c>
      <c r="D4376" s="547" t="s">
        <v>1239</v>
      </c>
      <c r="E4376" s="688" t="s">
        <v>429</v>
      </c>
      <c r="F4376" s="688"/>
      <c r="G4376" s="549" t="s">
        <v>532</v>
      </c>
      <c r="H4376" s="550">
        <v>4.4000000000000003E-3</v>
      </c>
      <c r="I4376" s="551">
        <v>648.42999999999995</v>
      </c>
      <c r="J4376" s="551">
        <v>2.85</v>
      </c>
    </row>
    <row r="4377" spans="1:10" ht="15" customHeight="1" x14ac:dyDescent="0.3">
      <c r="A4377" s="547" t="s">
        <v>430</v>
      </c>
      <c r="B4377" s="548" t="s">
        <v>863</v>
      </c>
      <c r="C4377" s="547" t="s">
        <v>19</v>
      </c>
      <c r="D4377" s="547" t="s">
        <v>864</v>
      </c>
      <c r="E4377" s="688" t="s">
        <v>429</v>
      </c>
      <c r="F4377" s="688"/>
      <c r="G4377" s="549" t="s">
        <v>423</v>
      </c>
      <c r="H4377" s="550">
        <v>0.32590000000000002</v>
      </c>
      <c r="I4377" s="551">
        <v>24.65</v>
      </c>
      <c r="J4377" s="551">
        <v>8.0299999999999994</v>
      </c>
    </row>
    <row r="4378" spans="1:10" ht="15" customHeight="1" x14ac:dyDescent="0.3">
      <c r="A4378" s="547" t="s">
        <v>430</v>
      </c>
      <c r="B4378" s="548" t="s">
        <v>769</v>
      </c>
      <c r="C4378" s="547" t="s">
        <v>19</v>
      </c>
      <c r="D4378" s="547" t="s">
        <v>770</v>
      </c>
      <c r="E4378" s="688" t="s">
        <v>429</v>
      </c>
      <c r="F4378" s="688"/>
      <c r="G4378" s="549" t="s">
        <v>423</v>
      </c>
      <c r="H4378" s="550">
        <v>0.32590000000000002</v>
      </c>
      <c r="I4378" s="551">
        <v>31.49</v>
      </c>
      <c r="J4378" s="551">
        <v>10.26</v>
      </c>
    </row>
    <row r="4379" spans="1:10" ht="25.5" thickBot="1" x14ac:dyDescent="0.35">
      <c r="A4379" s="547" t="s">
        <v>433</v>
      </c>
      <c r="B4379" s="548" t="s">
        <v>1845</v>
      </c>
      <c r="C4379" s="547" t="s">
        <v>19</v>
      </c>
      <c r="D4379" s="547" t="s">
        <v>1846</v>
      </c>
      <c r="E4379" s="688" t="s">
        <v>438</v>
      </c>
      <c r="F4379" s="688"/>
      <c r="G4379" s="549" t="s">
        <v>81</v>
      </c>
      <c r="H4379" s="550">
        <v>1</v>
      </c>
      <c r="I4379" s="551">
        <v>114.26</v>
      </c>
      <c r="J4379" s="551">
        <v>114.26</v>
      </c>
    </row>
    <row r="4380" spans="1:10" s="89" customFormat="1" ht="38.25" customHeight="1" thickTop="1" x14ac:dyDescent="0.3">
      <c r="A4380" s="562"/>
      <c r="B4380" s="562"/>
      <c r="C4380" s="562"/>
      <c r="D4380" s="562"/>
      <c r="E4380" s="562"/>
      <c r="F4380" s="562"/>
      <c r="G4380" s="562"/>
      <c r="H4380" s="562"/>
      <c r="I4380" s="562"/>
      <c r="J4380" s="562"/>
    </row>
    <row r="4381" spans="1:10" ht="38.25" customHeight="1" x14ac:dyDescent="0.3">
      <c r="A4381" s="553"/>
      <c r="B4381" s="554" t="s">
        <v>4</v>
      </c>
      <c r="C4381" s="553" t="s">
        <v>5</v>
      </c>
      <c r="D4381" s="553" t="s">
        <v>6</v>
      </c>
      <c r="E4381" s="691" t="s">
        <v>427</v>
      </c>
      <c r="F4381" s="691"/>
      <c r="G4381" s="555" t="s">
        <v>7</v>
      </c>
      <c r="H4381" s="554" t="s">
        <v>8</v>
      </c>
      <c r="I4381" s="554" t="s">
        <v>9</v>
      </c>
      <c r="J4381" s="554" t="s">
        <v>11</v>
      </c>
    </row>
    <row r="4382" spans="1:10" ht="38.25" customHeight="1" x14ac:dyDescent="0.3">
      <c r="A4382" s="607" t="s">
        <v>428</v>
      </c>
      <c r="B4382" s="608" t="s">
        <v>1607</v>
      </c>
      <c r="C4382" s="607" t="s">
        <v>19</v>
      </c>
      <c r="D4382" s="607" t="s">
        <v>1608</v>
      </c>
      <c r="E4382" s="690" t="s">
        <v>429</v>
      </c>
      <c r="F4382" s="690"/>
      <c r="G4382" s="609" t="s">
        <v>423</v>
      </c>
      <c r="H4382" s="610">
        <v>1</v>
      </c>
      <c r="I4382" s="611">
        <v>27.43</v>
      </c>
      <c r="J4382" s="611">
        <v>27.43</v>
      </c>
    </row>
    <row r="4383" spans="1:10" ht="39" customHeight="1" x14ac:dyDescent="0.3">
      <c r="A4383" s="547" t="s">
        <v>430</v>
      </c>
      <c r="B4383" s="548" t="s">
        <v>1515</v>
      </c>
      <c r="C4383" s="547" t="s">
        <v>19</v>
      </c>
      <c r="D4383" s="547" t="s">
        <v>1516</v>
      </c>
      <c r="E4383" s="688" t="s">
        <v>429</v>
      </c>
      <c r="F4383" s="688"/>
      <c r="G4383" s="549" t="s">
        <v>423</v>
      </c>
      <c r="H4383" s="550">
        <v>1</v>
      </c>
      <c r="I4383" s="551">
        <v>0.11</v>
      </c>
      <c r="J4383" s="551">
        <v>0.11</v>
      </c>
    </row>
    <row r="4384" spans="1:10" ht="39" customHeight="1" x14ac:dyDescent="0.3">
      <c r="A4384" s="547" t="s">
        <v>433</v>
      </c>
      <c r="B4384" s="548" t="s">
        <v>1517</v>
      </c>
      <c r="C4384" s="547" t="s">
        <v>19</v>
      </c>
      <c r="D4384" s="547" t="s">
        <v>1518</v>
      </c>
      <c r="E4384" s="688" t="s">
        <v>436</v>
      </c>
      <c r="F4384" s="688"/>
      <c r="G4384" s="549" t="s">
        <v>423</v>
      </c>
      <c r="H4384" s="550">
        <v>1</v>
      </c>
      <c r="I4384" s="551">
        <v>19.77</v>
      </c>
      <c r="J4384" s="551">
        <v>19.77</v>
      </c>
    </row>
    <row r="4385" spans="1:10" ht="25" x14ac:dyDescent="0.3">
      <c r="A4385" s="547" t="s">
        <v>433</v>
      </c>
      <c r="B4385" s="548" t="s">
        <v>1213</v>
      </c>
      <c r="C4385" s="547" t="s">
        <v>19</v>
      </c>
      <c r="D4385" s="547" t="s">
        <v>3592</v>
      </c>
      <c r="E4385" s="688" t="s">
        <v>862</v>
      </c>
      <c r="F4385" s="688"/>
      <c r="G4385" s="549" t="s">
        <v>423</v>
      </c>
      <c r="H4385" s="550">
        <v>1</v>
      </c>
      <c r="I4385" s="551">
        <v>3.8</v>
      </c>
      <c r="J4385" s="551">
        <v>3.8</v>
      </c>
    </row>
    <row r="4386" spans="1:10" s="89" customFormat="1" ht="38.25" customHeight="1" x14ac:dyDescent="0.3">
      <c r="A4386" s="547" t="s">
        <v>433</v>
      </c>
      <c r="B4386" s="548" t="s">
        <v>1214</v>
      </c>
      <c r="C4386" s="547" t="s">
        <v>19</v>
      </c>
      <c r="D4386" s="547" t="s">
        <v>3593</v>
      </c>
      <c r="E4386" s="688" t="s">
        <v>1215</v>
      </c>
      <c r="F4386" s="688"/>
      <c r="G4386" s="549" t="s">
        <v>423</v>
      </c>
      <c r="H4386" s="550">
        <v>1</v>
      </c>
      <c r="I4386" s="551">
        <v>1.5</v>
      </c>
      <c r="J4386" s="551">
        <v>1.5</v>
      </c>
    </row>
    <row r="4387" spans="1:10" ht="38.25" customHeight="1" x14ac:dyDescent="0.3">
      <c r="A4387" s="547" t="s">
        <v>433</v>
      </c>
      <c r="B4387" s="548" t="s">
        <v>1216</v>
      </c>
      <c r="C4387" s="547" t="s">
        <v>19</v>
      </c>
      <c r="D4387" s="547" t="s">
        <v>3594</v>
      </c>
      <c r="E4387" s="688" t="s">
        <v>862</v>
      </c>
      <c r="F4387" s="688"/>
      <c r="G4387" s="549" t="s">
        <v>423</v>
      </c>
      <c r="H4387" s="550">
        <v>1</v>
      </c>
      <c r="I4387" s="551">
        <v>1.34</v>
      </c>
      <c r="J4387" s="551">
        <v>1.34</v>
      </c>
    </row>
    <row r="4388" spans="1:10" ht="38.25" customHeight="1" x14ac:dyDescent="0.3">
      <c r="A4388" s="547" t="s">
        <v>433</v>
      </c>
      <c r="B4388" s="548" t="s">
        <v>1217</v>
      </c>
      <c r="C4388" s="547" t="s">
        <v>19</v>
      </c>
      <c r="D4388" s="547" t="s">
        <v>3595</v>
      </c>
      <c r="E4388" s="688" t="s">
        <v>531</v>
      </c>
      <c r="F4388" s="688"/>
      <c r="G4388" s="549" t="s">
        <v>423</v>
      </c>
      <c r="H4388" s="550">
        <v>1</v>
      </c>
      <c r="I4388" s="551">
        <v>0.04</v>
      </c>
      <c r="J4388" s="551">
        <v>0.04</v>
      </c>
    </row>
    <row r="4389" spans="1:10" ht="38.25" customHeight="1" x14ac:dyDescent="0.3">
      <c r="A4389" s="547" t="s">
        <v>433</v>
      </c>
      <c r="B4389" s="548" t="s">
        <v>1262</v>
      </c>
      <c r="C4389" s="547" t="s">
        <v>19</v>
      </c>
      <c r="D4389" s="547" t="s">
        <v>1263</v>
      </c>
      <c r="E4389" s="688" t="s">
        <v>442</v>
      </c>
      <c r="F4389" s="688"/>
      <c r="G4389" s="549" t="s">
        <v>423</v>
      </c>
      <c r="H4389" s="550">
        <v>1</v>
      </c>
      <c r="I4389" s="551">
        <v>0.01</v>
      </c>
      <c r="J4389" s="551">
        <v>0.01</v>
      </c>
    </row>
    <row r="4390" spans="1:10" ht="38.25" customHeight="1" thickBot="1" x14ac:dyDescent="0.35">
      <c r="A4390" s="547" t="s">
        <v>433</v>
      </c>
      <c r="B4390" s="548" t="s">
        <v>1264</v>
      </c>
      <c r="C4390" s="547" t="s">
        <v>19</v>
      </c>
      <c r="D4390" s="547" t="s">
        <v>1265</v>
      </c>
      <c r="E4390" s="688" t="s">
        <v>442</v>
      </c>
      <c r="F4390" s="688"/>
      <c r="G4390" s="549" t="s">
        <v>423</v>
      </c>
      <c r="H4390" s="550">
        <v>1</v>
      </c>
      <c r="I4390" s="551">
        <v>0.86</v>
      </c>
      <c r="J4390" s="551">
        <v>0.86</v>
      </c>
    </row>
    <row r="4391" spans="1:10" ht="39" customHeight="1" thickTop="1" x14ac:dyDescent="0.3">
      <c r="A4391" s="562"/>
      <c r="B4391" s="562"/>
      <c r="C4391" s="562"/>
      <c r="D4391" s="562"/>
      <c r="E4391" s="562"/>
      <c r="F4391" s="562"/>
      <c r="G4391" s="562"/>
      <c r="H4391" s="562"/>
      <c r="I4391" s="562"/>
      <c r="J4391" s="562"/>
    </row>
    <row r="4392" spans="1:10" ht="39" customHeight="1" x14ac:dyDescent="0.3">
      <c r="A4392" s="553"/>
      <c r="B4392" s="554" t="s">
        <v>4</v>
      </c>
      <c r="C4392" s="553" t="s">
        <v>5</v>
      </c>
      <c r="D4392" s="553" t="s">
        <v>6</v>
      </c>
      <c r="E4392" s="691" t="s">
        <v>427</v>
      </c>
      <c r="F4392" s="691"/>
      <c r="G4392" s="555" t="s">
        <v>7</v>
      </c>
      <c r="H4392" s="554" t="s">
        <v>8</v>
      </c>
      <c r="I4392" s="554" t="s">
        <v>9</v>
      </c>
      <c r="J4392" s="554" t="s">
        <v>11</v>
      </c>
    </row>
    <row r="4393" spans="1:10" ht="25" x14ac:dyDescent="0.3">
      <c r="A4393" s="607" t="s">
        <v>428</v>
      </c>
      <c r="B4393" s="608" t="s">
        <v>710</v>
      </c>
      <c r="C4393" s="607" t="s">
        <v>19</v>
      </c>
      <c r="D4393" s="607" t="s">
        <v>711</v>
      </c>
      <c r="E4393" s="690" t="s">
        <v>709</v>
      </c>
      <c r="F4393" s="690"/>
      <c r="G4393" s="609" t="s">
        <v>532</v>
      </c>
      <c r="H4393" s="610">
        <v>1</v>
      </c>
      <c r="I4393" s="611">
        <v>26.63</v>
      </c>
      <c r="J4393" s="611">
        <v>26.63</v>
      </c>
    </row>
    <row r="4394" spans="1:10" s="89" customFormat="1" ht="38.25" customHeight="1" x14ac:dyDescent="0.3">
      <c r="A4394" s="547" t="s">
        <v>430</v>
      </c>
      <c r="B4394" s="548" t="s">
        <v>953</v>
      </c>
      <c r="C4394" s="547" t="s">
        <v>19</v>
      </c>
      <c r="D4394" s="547" t="s">
        <v>954</v>
      </c>
      <c r="E4394" s="688" t="s">
        <v>461</v>
      </c>
      <c r="F4394" s="688"/>
      <c r="G4394" s="549" t="s">
        <v>95</v>
      </c>
      <c r="H4394" s="550">
        <v>5.4000000000000003E-3</v>
      </c>
      <c r="I4394" s="551">
        <v>299.89999999999998</v>
      </c>
      <c r="J4394" s="551">
        <v>1.61</v>
      </c>
    </row>
    <row r="4395" spans="1:10" ht="38.25" customHeight="1" x14ac:dyDescent="0.3">
      <c r="A4395" s="547" t="s">
        <v>430</v>
      </c>
      <c r="B4395" s="548" t="s">
        <v>955</v>
      </c>
      <c r="C4395" s="547" t="s">
        <v>19</v>
      </c>
      <c r="D4395" s="547" t="s">
        <v>956</v>
      </c>
      <c r="E4395" s="688" t="s">
        <v>461</v>
      </c>
      <c r="F4395" s="688"/>
      <c r="G4395" s="549" t="s">
        <v>102</v>
      </c>
      <c r="H4395" s="550">
        <v>5.9999999999999995E-4</v>
      </c>
      <c r="I4395" s="551">
        <v>74.400000000000006</v>
      </c>
      <c r="J4395" s="551">
        <v>0.04</v>
      </c>
    </row>
    <row r="4396" spans="1:10" ht="14.25" customHeight="1" x14ac:dyDescent="0.3">
      <c r="A4396" s="547" t="s">
        <v>430</v>
      </c>
      <c r="B4396" s="548" t="s">
        <v>559</v>
      </c>
      <c r="C4396" s="547" t="s">
        <v>19</v>
      </c>
      <c r="D4396" s="547" t="s">
        <v>560</v>
      </c>
      <c r="E4396" s="688" t="s">
        <v>429</v>
      </c>
      <c r="F4396" s="688"/>
      <c r="G4396" s="549" t="s">
        <v>423</v>
      </c>
      <c r="H4396" s="550">
        <v>0.78659999999999997</v>
      </c>
      <c r="I4396" s="551">
        <v>23.4</v>
      </c>
      <c r="J4396" s="551">
        <v>18.399999999999999</v>
      </c>
    </row>
    <row r="4397" spans="1:10" ht="26.25" customHeight="1" thickBot="1" x14ac:dyDescent="0.35">
      <c r="A4397" s="547" t="s">
        <v>430</v>
      </c>
      <c r="B4397" s="548" t="s">
        <v>943</v>
      </c>
      <c r="C4397" s="547" t="s">
        <v>19</v>
      </c>
      <c r="D4397" s="547" t="s">
        <v>944</v>
      </c>
      <c r="E4397" s="688" t="s">
        <v>461</v>
      </c>
      <c r="F4397" s="688"/>
      <c r="G4397" s="549" t="s">
        <v>95</v>
      </c>
      <c r="H4397" s="550">
        <v>0.19620000000000001</v>
      </c>
      <c r="I4397" s="551">
        <v>33.549999999999997</v>
      </c>
      <c r="J4397" s="551">
        <v>6.58</v>
      </c>
    </row>
    <row r="4398" spans="1:10" s="89" customFormat="1" ht="38.25" customHeight="1" thickTop="1" x14ac:dyDescent="0.3">
      <c r="A4398" s="562"/>
      <c r="B4398" s="562"/>
      <c r="C4398" s="562"/>
      <c r="D4398" s="562"/>
      <c r="E4398" s="562"/>
      <c r="F4398" s="562"/>
      <c r="G4398" s="562"/>
      <c r="H4398" s="562"/>
      <c r="I4398" s="562"/>
      <c r="J4398" s="562"/>
    </row>
    <row r="4399" spans="1:10" ht="38.25" customHeight="1" x14ac:dyDescent="0.3">
      <c r="A4399" s="553"/>
      <c r="B4399" s="554" t="s">
        <v>4</v>
      </c>
      <c r="C4399" s="553" t="s">
        <v>5</v>
      </c>
      <c r="D4399" s="553" t="s">
        <v>6</v>
      </c>
      <c r="E4399" s="691" t="s">
        <v>427</v>
      </c>
      <c r="F4399" s="691"/>
      <c r="G4399" s="555" t="s">
        <v>7</v>
      </c>
      <c r="H4399" s="554" t="s">
        <v>8</v>
      </c>
      <c r="I4399" s="554" t="s">
        <v>9</v>
      </c>
      <c r="J4399" s="554" t="s">
        <v>11</v>
      </c>
    </row>
    <row r="4400" spans="1:10" ht="25" x14ac:dyDescent="0.3">
      <c r="A4400" s="607" t="s">
        <v>428</v>
      </c>
      <c r="B4400" s="608" t="s">
        <v>1722</v>
      </c>
      <c r="C4400" s="607" t="s">
        <v>19</v>
      </c>
      <c r="D4400" s="607" t="s">
        <v>1723</v>
      </c>
      <c r="E4400" s="690" t="s">
        <v>670</v>
      </c>
      <c r="F4400" s="690"/>
      <c r="G4400" s="609" t="s">
        <v>81</v>
      </c>
      <c r="H4400" s="610">
        <v>1</v>
      </c>
      <c r="I4400" s="611">
        <v>43.51</v>
      </c>
      <c r="J4400" s="611">
        <v>43.51</v>
      </c>
    </row>
    <row r="4401" spans="1:10" ht="25" x14ac:dyDescent="0.3">
      <c r="A4401" s="547" t="s">
        <v>430</v>
      </c>
      <c r="B4401" s="548" t="s">
        <v>1195</v>
      </c>
      <c r="C4401" s="547" t="s">
        <v>19</v>
      </c>
      <c r="D4401" s="547" t="s">
        <v>1196</v>
      </c>
      <c r="E4401" s="688" t="s">
        <v>429</v>
      </c>
      <c r="F4401" s="688"/>
      <c r="G4401" s="549" t="s">
        <v>423</v>
      </c>
      <c r="H4401" s="550">
        <v>0.11020000000000001</v>
      </c>
      <c r="I4401" s="551">
        <v>23.63</v>
      </c>
      <c r="J4401" s="551">
        <v>2.6</v>
      </c>
    </row>
    <row r="4402" spans="1:10" s="89" customFormat="1" ht="38.25" customHeight="1" x14ac:dyDescent="0.3">
      <c r="A4402" s="547" t="s">
        <v>430</v>
      </c>
      <c r="B4402" s="548" t="s">
        <v>789</v>
      </c>
      <c r="C4402" s="547" t="s">
        <v>19</v>
      </c>
      <c r="D4402" s="547" t="s">
        <v>790</v>
      </c>
      <c r="E4402" s="688" t="s">
        <v>429</v>
      </c>
      <c r="F4402" s="688"/>
      <c r="G4402" s="549" t="s">
        <v>423</v>
      </c>
      <c r="H4402" s="550">
        <v>0.11020000000000001</v>
      </c>
      <c r="I4402" s="551">
        <v>30.33</v>
      </c>
      <c r="J4402" s="551">
        <v>3.34</v>
      </c>
    </row>
    <row r="4403" spans="1:10" ht="38.25" customHeight="1" x14ac:dyDescent="0.3">
      <c r="A4403" s="547" t="s">
        <v>433</v>
      </c>
      <c r="B4403" s="548" t="s">
        <v>1847</v>
      </c>
      <c r="C4403" s="547" t="s">
        <v>19</v>
      </c>
      <c r="D4403" s="547" t="s">
        <v>1848</v>
      </c>
      <c r="E4403" s="688" t="s">
        <v>438</v>
      </c>
      <c r="F4403" s="688"/>
      <c r="G4403" s="549" t="s">
        <v>81</v>
      </c>
      <c r="H4403" s="550">
        <v>1.06E-2</v>
      </c>
      <c r="I4403" s="551">
        <v>14.38</v>
      </c>
      <c r="J4403" s="551">
        <v>0.15</v>
      </c>
    </row>
    <row r="4404" spans="1:10" ht="25.5" thickBot="1" x14ac:dyDescent="0.35">
      <c r="A4404" s="547" t="s">
        <v>433</v>
      </c>
      <c r="B4404" s="548" t="s">
        <v>1849</v>
      </c>
      <c r="C4404" s="547" t="s">
        <v>19</v>
      </c>
      <c r="D4404" s="547" t="s">
        <v>1850</v>
      </c>
      <c r="E4404" s="688" t="s">
        <v>438</v>
      </c>
      <c r="F4404" s="688"/>
      <c r="G4404" s="549" t="s">
        <v>81</v>
      </c>
      <c r="H4404" s="550">
        <v>1</v>
      </c>
      <c r="I4404" s="551">
        <v>37.42</v>
      </c>
      <c r="J4404" s="551">
        <v>37.42</v>
      </c>
    </row>
    <row r="4405" spans="1:10" ht="14.5" thickTop="1" x14ac:dyDescent="0.3">
      <c r="A4405" s="562"/>
      <c r="B4405" s="562"/>
      <c r="C4405" s="562"/>
      <c r="D4405" s="562"/>
      <c r="E4405" s="562"/>
      <c r="F4405" s="562"/>
      <c r="G4405" s="562"/>
      <c r="H4405" s="562"/>
      <c r="I4405" s="562"/>
      <c r="J4405" s="562"/>
    </row>
    <row r="4406" spans="1:10" s="89" customFormat="1" ht="38.25" customHeight="1" x14ac:dyDescent="0.3">
      <c r="A4406" s="553"/>
      <c r="B4406" s="554" t="s">
        <v>4</v>
      </c>
      <c r="C4406" s="553" t="s">
        <v>5</v>
      </c>
      <c r="D4406" s="553" t="s">
        <v>6</v>
      </c>
      <c r="E4406" s="691" t="s">
        <v>427</v>
      </c>
      <c r="F4406" s="691"/>
      <c r="G4406" s="555" t="s">
        <v>7</v>
      </c>
      <c r="H4406" s="554" t="s">
        <v>8</v>
      </c>
      <c r="I4406" s="554" t="s">
        <v>9</v>
      </c>
      <c r="J4406" s="554" t="s">
        <v>11</v>
      </c>
    </row>
    <row r="4407" spans="1:10" ht="38.25" customHeight="1" x14ac:dyDescent="0.3">
      <c r="A4407" s="607" t="s">
        <v>428</v>
      </c>
      <c r="B4407" s="608" t="s">
        <v>758</v>
      </c>
      <c r="C4407" s="607" t="s">
        <v>19</v>
      </c>
      <c r="D4407" s="607" t="s">
        <v>759</v>
      </c>
      <c r="E4407" s="690" t="s">
        <v>461</v>
      </c>
      <c r="F4407" s="690"/>
      <c r="G4407" s="609" t="s">
        <v>102</v>
      </c>
      <c r="H4407" s="610">
        <v>1</v>
      </c>
      <c r="I4407" s="611">
        <v>61.95</v>
      </c>
      <c r="J4407" s="611">
        <v>61.95</v>
      </c>
    </row>
    <row r="4408" spans="1:10" ht="14.25" customHeight="1" x14ac:dyDescent="0.3">
      <c r="A4408" s="547" t="s">
        <v>430</v>
      </c>
      <c r="B4408" s="548" t="s">
        <v>1585</v>
      </c>
      <c r="C4408" s="547" t="s">
        <v>19</v>
      </c>
      <c r="D4408" s="547" t="s">
        <v>1586</v>
      </c>
      <c r="E4408" s="688" t="s">
        <v>429</v>
      </c>
      <c r="F4408" s="688"/>
      <c r="G4408" s="549" t="s">
        <v>423</v>
      </c>
      <c r="H4408" s="550">
        <v>1</v>
      </c>
      <c r="I4408" s="551">
        <v>29.66</v>
      </c>
      <c r="J4408" s="551">
        <v>29.66</v>
      </c>
    </row>
    <row r="4409" spans="1:10" ht="50" x14ac:dyDescent="0.3">
      <c r="A4409" s="547" t="s">
        <v>430</v>
      </c>
      <c r="B4409" s="548" t="s">
        <v>1851</v>
      </c>
      <c r="C4409" s="547" t="s">
        <v>19</v>
      </c>
      <c r="D4409" s="547" t="s">
        <v>1852</v>
      </c>
      <c r="E4409" s="688" t="s">
        <v>461</v>
      </c>
      <c r="F4409" s="688"/>
      <c r="G4409" s="549" t="s">
        <v>423</v>
      </c>
      <c r="H4409" s="550">
        <v>1</v>
      </c>
      <c r="I4409" s="551">
        <v>25.54</v>
      </c>
      <c r="J4409" s="551">
        <v>25.54</v>
      </c>
    </row>
    <row r="4410" spans="1:10" s="89" customFormat="1" ht="25.5" customHeight="1" thickBot="1" x14ac:dyDescent="0.35">
      <c r="A4410" s="547" t="s">
        <v>430</v>
      </c>
      <c r="B4410" s="548" t="s">
        <v>1853</v>
      </c>
      <c r="C4410" s="547" t="s">
        <v>19</v>
      </c>
      <c r="D4410" s="547" t="s">
        <v>1854</v>
      </c>
      <c r="E4410" s="688" t="s">
        <v>461</v>
      </c>
      <c r="F4410" s="688"/>
      <c r="G4410" s="549" t="s">
        <v>423</v>
      </c>
      <c r="H4410" s="550">
        <v>1</v>
      </c>
      <c r="I4410" s="551">
        <v>6.75</v>
      </c>
      <c r="J4410" s="551">
        <v>6.75</v>
      </c>
    </row>
    <row r="4411" spans="1:10" ht="25.5" customHeight="1" thickTop="1" x14ac:dyDescent="0.3">
      <c r="A4411" s="562"/>
      <c r="B4411" s="562"/>
      <c r="C4411" s="562"/>
      <c r="D4411" s="562"/>
      <c r="E4411" s="562"/>
      <c r="F4411" s="562"/>
      <c r="G4411" s="562"/>
      <c r="H4411" s="562"/>
      <c r="I4411" s="562"/>
      <c r="J4411" s="562"/>
    </row>
    <row r="4412" spans="1:10" x14ac:dyDescent="0.3">
      <c r="A4412" s="553"/>
      <c r="B4412" s="554" t="s">
        <v>4</v>
      </c>
      <c r="C4412" s="553" t="s">
        <v>5</v>
      </c>
      <c r="D4412" s="553" t="s">
        <v>6</v>
      </c>
      <c r="E4412" s="691" t="s">
        <v>427</v>
      </c>
      <c r="F4412" s="691"/>
      <c r="G4412" s="555" t="s">
        <v>7</v>
      </c>
      <c r="H4412" s="554" t="s">
        <v>8</v>
      </c>
      <c r="I4412" s="554" t="s">
        <v>9</v>
      </c>
      <c r="J4412" s="554" t="s">
        <v>11</v>
      </c>
    </row>
    <row r="4413" spans="1:10" ht="50" x14ac:dyDescent="0.3">
      <c r="A4413" s="607" t="s">
        <v>428</v>
      </c>
      <c r="B4413" s="608" t="s">
        <v>756</v>
      </c>
      <c r="C4413" s="607" t="s">
        <v>19</v>
      </c>
      <c r="D4413" s="607" t="s">
        <v>757</v>
      </c>
      <c r="E4413" s="690" t="s">
        <v>461</v>
      </c>
      <c r="F4413" s="690"/>
      <c r="G4413" s="609" t="s">
        <v>95</v>
      </c>
      <c r="H4413" s="610">
        <v>1</v>
      </c>
      <c r="I4413" s="611">
        <v>139.99</v>
      </c>
      <c r="J4413" s="611">
        <v>139.99</v>
      </c>
    </row>
    <row r="4414" spans="1:10" s="89" customFormat="1" ht="38.25" customHeight="1" x14ac:dyDescent="0.3">
      <c r="A4414" s="547" t="s">
        <v>430</v>
      </c>
      <c r="B4414" s="548" t="s">
        <v>1855</v>
      </c>
      <c r="C4414" s="547" t="s">
        <v>19</v>
      </c>
      <c r="D4414" s="547" t="s">
        <v>1856</v>
      </c>
      <c r="E4414" s="688" t="s">
        <v>461</v>
      </c>
      <c r="F4414" s="688"/>
      <c r="G4414" s="549" t="s">
        <v>423</v>
      </c>
      <c r="H4414" s="550">
        <v>1</v>
      </c>
      <c r="I4414" s="551">
        <v>46.12</v>
      </c>
      <c r="J4414" s="551">
        <v>46.12</v>
      </c>
    </row>
    <row r="4415" spans="1:10" ht="38.25" customHeight="1" x14ac:dyDescent="0.3">
      <c r="A4415" s="547" t="s">
        <v>430</v>
      </c>
      <c r="B4415" s="548" t="s">
        <v>1857</v>
      </c>
      <c r="C4415" s="547" t="s">
        <v>19</v>
      </c>
      <c r="D4415" s="547" t="s">
        <v>1858</v>
      </c>
      <c r="E4415" s="688" t="s">
        <v>461</v>
      </c>
      <c r="F4415" s="688"/>
      <c r="G4415" s="549" t="s">
        <v>423</v>
      </c>
      <c r="H4415" s="550">
        <v>1</v>
      </c>
      <c r="I4415" s="551">
        <v>31.92</v>
      </c>
      <c r="J4415" s="551">
        <v>31.92</v>
      </c>
    </row>
    <row r="4416" spans="1:10" ht="14.25" customHeight="1" x14ac:dyDescent="0.3">
      <c r="A4416" s="547" t="s">
        <v>430</v>
      </c>
      <c r="B4416" s="548" t="s">
        <v>1585</v>
      </c>
      <c r="C4416" s="547" t="s">
        <v>19</v>
      </c>
      <c r="D4416" s="547" t="s">
        <v>1586</v>
      </c>
      <c r="E4416" s="688" t="s">
        <v>429</v>
      </c>
      <c r="F4416" s="688"/>
      <c r="G4416" s="549" t="s">
        <v>423</v>
      </c>
      <c r="H4416" s="550">
        <v>1</v>
      </c>
      <c r="I4416" s="551">
        <v>29.66</v>
      </c>
      <c r="J4416" s="551">
        <v>29.66</v>
      </c>
    </row>
    <row r="4417" spans="1:10" ht="14.25" customHeight="1" x14ac:dyDescent="0.3">
      <c r="A4417" s="547" t="s">
        <v>430</v>
      </c>
      <c r="B4417" s="548" t="s">
        <v>1851</v>
      </c>
      <c r="C4417" s="547" t="s">
        <v>19</v>
      </c>
      <c r="D4417" s="547" t="s">
        <v>1852</v>
      </c>
      <c r="E4417" s="688" t="s">
        <v>461</v>
      </c>
      <c r="F4417" s="688"/>
      <c r="G4417" s="549" t="s">
        <v>423</v>
      </c>
      <c r="H4417" s="550">
        <v>1</v>
      </c>
      <c r="I4417" s="551">
        <v>25.54</v>
      </c>
      <c r="J4417" s="551">
        <v>25.54</v>
      </c>
    </row>
    <row r="4418" spans="1:10" ht="14.25" customHeight="1" thickBot="1" x14ac:dyDescent="0.35">
      <c r="A4418" s="547" t="s">
        <v>430</v>
      </c>
      <c r="B4418" s="548" t="s">
        <v>1853</v>
      </c>
      <c r="C4418" s="547" t="s">
        <v>19</v>
      </c>
      <c r="D4418" s="547" t="s">
        <v>1854</v>
      </c>
      <c r="E4418" s="688" t="s">
        <v>461</v>
      </c>
      <c r="F4418" s="688"/>
      <c r="G4418" s="549" t="s">
        <v>423</v>
      </c>
      <c r="H4418" s="550">
        <v>1</v>
      </c>
      <c r="I4418" s="551">
        <v>6.75</v>
      </c>
      <c r="J4418" s="551">
        <v>6.75</v>
      </c>
    </row>
    <row r="4419" spans="1:10" ht="14.5" thickTop="1" x14ac:dyDescent="0.3">
      <c r="A4419" s="562"/>
      <c r="B4419" s="562"/>
      <c r="C4419" s="562"/>
      <c r="D4419" s="562"/>
      <c r="E4419" s="562"/>
      <c r="F4419" s="562"/>
      <c r="G4419" s="562"/>
      <c r="H4419" s="562"/>
      <c r="I4419" s="562"/>
      <c r="J4419" s="562"/>
    </row>
    <row r="4420" spans="1:10" x14ac:dyDescent="0.3">
      <c r="A4420" s="553"/>
      <c r="B4420" s="554" t="s">
        <v>4</v>
      </c>
      <c r="C4420" s="553" t="s">
        <v>5</v>
      </c>
      <c r="D4420" s="553" t="s">
        <v>6</v>
      </c>
      <c r="E4420" s="691" t="s">
        <v>427</v>
      </c>
      <c r="F4420" s="691"/>
      <c r="G4420" s="555" t="s">
        <v>7</v>
      </c>
      <c r="H4420" s="554" t="s">
        <v>8</v>
      </c>
      <c r="I4420" s="554" t="s">
        <v>9</v>
      </c>
      <c r="J4420" s="554" t="s">
        <v>11</v>
      </c>
    </row>
    <row r="4421" spans="1:10" s="89" customFormat="1" ht="15" customHeight="1" x14ac:dyDescent="0.3">
      <c r="A4421" s="607" t="s">
        <v>428</v>
      </c>
      <c r="B4421" s="608" t="s">
        <v>1851</v>
      </c>
      <c r="C4421" s="607" t="s">
        <v>19</v>
      </c>
      <c r="D4421" s="607" t="s">
        <v>1852</v>
      </c>
      <c r="E4421" s="690" t="s">
        <v>461</v>
      </c>
      <c r="F4421" s="690"/>
      <c r="G4421" s="609" t="s">
        <v>423</v>
      </c>
      <c r="H4421" s="610">
        <v>1</v>
      </c>
      <c r="I4421" s="611">
        <v>25.54</v>
      </c>
      <c r="J4421" s="611">
        <v>25.54</v>
      </c>
    </row>
    <row r="4422" spans="1:10" ht="14.25" customHeight="1" thickBot="1" x14ac:dyDescent="0.35">
      <c r="A4422" s="547" t="s">
        <v>433</v>
      </c>
      <c r="B4422" s="548" t="s">
        <v>1859</v>
      </c>
      <c r="C4422" s="547" t="s">
        <v>19</v>
      </c>
      <c r="D4422" s="547" t="s">
        <v>1860</v>
      </c>
      <c r="E4422" s="688" t="s">
        <v>442</v>
      </c>
      <c r="F4422" s="688"/>
      <c r="G4422" s="549" t="s">
        <v>81</v>
      </c>
      <c r="H4422" s="550">
        <v>5.5999999999999999E-5</v>
      </c>
      <c r="I4422" s="551">
        <v>456097.53</v>
      </c>
      <c r="J4422" s="551">
        <v>25.54</v>
      </c>
    </row>
    <row r="4423" spans="1:10" ht="14.5" thickTop="1" x14ac:dyDescent="0.3">
      <c r="A4423" s="562"/>
      <c r="B4423" s="562"/>
      <c r="C4423" s="562"/>
      <c r="D4423" s="562"/>
      <c r="E4423" s="562"/>
      <c r="F4423" s="562"/>
      <c r="G4423" s="562"/>
      <c r="H4423" s="562"/>
      <c r="I4423" s="562"/>
      <c r="J4423" s="562"/>
    </row>
    <row r="4424" spans="1:10" x14ac:dyDescent="0.3">
      <c r="A4424" s="553"/>
      <c r="B4424" s="554" t="s">
        <v>4</v>
      </c>
      <c r="C4424" s="553" t="s">
        <v>5</v>
      </c>
      <c r="D4424" s="553" t="s">
        <v>6</v>
      </c>
      <c r="E4424" s="691" t="s">
        <v>427</v>
      </c>
      <c r="F4424" s="691"/>
      <c r="G4424" s="555" t="s">
        <v>7</v>
      </c>
      <c r="H4424" s="554" t="s">
        <v>8</v>
      </c>
      <c r="I4424" s="554" t="s">
        <v>9</v>
      </c>
      <c r="J4424" s="554" t="s">
        <v>11</v>
      </c>
    </row>
    <row r="4425" spans="1:10" ht="50" x14ac:dyDescent="0.3">
      <c r="A4425" s="607" t="s">
        <v>428</v>
      </c>
      <c r="B4425" s="608" t="s">
        <v>1853</v>
      </c>
      <c r="C4425" s="607" t="s">
        <v>19</v>
      </c>
      <c r="D4425" s="607" t="s">
        <v>1854</v>
      </c>
      <c r="E4425" s="690" t="s">
        <v>461</v>
      </c>
      <c r="F4425" s="690"/>
      <c r="G4425" s="609" t="s">
        <v>423</v>
      </c>
      <c r="H4425" s="610">
        <v>1</v>
      </c>
      <c r="I4425" s="611">
        <v>6.75</v>
      </c>
      <c r="J4425" s="611">
        <v>6.75</v>
      </c>
    </row>
    <row r="4426" spans="1:10" ht="63" thickBot="1" x14ac:dyDescent="0.35">
      <c r="A4426" s="547" t="s">
        <v>433</v>
      </c>
      <c r="B4426" s="548" t="s">
        <v>1859</v>
      </c>
      <c r="C4426" s="547" t="s">
        <v>19</v>
      </c>
      <c r="D4426" s="547" t="s">
        <v>1860</v>
      </c>
      <c r="E4426" s="688" t="s">
        <v>442</v>
      </c>
      <c r="F4426" s="688"/>
      <c r="G4426" s="549" t="s">
        <v>81</v>
      </c>
      <c r="H4426" s="550">
        <v>1.4800000000000001E-5</v>
      </c>
      <c r="I4426" s="551">
        <v>456097.53</v>
      </c>
      <c r="J4426" s="551">
        <v>6.75</v>
      </c>
    </row>
    <row r="4427" spans="1:10" ht="14.5" thickTop="1" x14ac:dyDescent="0.3">
      <c r="A4427" s="562"/>
      <c r="B4427" s="562"/>
      <c r="C4427" s="562"/>
      <c r="D4427" s="562"/>
      <c r="E4427" s="562"/>
      <c r="F4427" s="562"/>
      <c r="G4427" s="562"/>
      <c r="H4427" s="562"/>
      <c r="I4427" s="562"/>
      <c r="J4427" s="562"/>
    </row>
    <row r="4428" spans="1:10" x14ac:dyDescent="0.3">
      <c r="A4428" s="553"/>
      <c r="B4428" s="554" t="s">
        <v>4</v>
      </c>
      <c r="C4428" s="553" t="s">
        <v>5</v>
      </c>
      <c r="D4428" s="553" t="s">
        <v>6</v>
      </c>
      <c r="E4428" s="691" t="s">
        <v>427</v>
      </c>
      <c r="F4428" s="691"/>
      <c r="G4428" s="555" t="s">
        <v>7</v>
      </c>
      <c r="H4428" s="554" t="s">
        <v>8</v>
      </c>
      <c r="I4428" s="554" t="s">
        <v>9</v>
      </c>
      <c r="J4428" s="554" t="s">
        <v>11</v>
      </c>
    </row>
    <row r="4429" spans="1:10" ht="50" x14ac:dyDescent="0.3">
      <c r="A4429" s="607" t="s">
        <v>428</v>
      </c>
      <c r="B4429" s="608" t="s">
        <v>1857</v>
      </c>
      <c r="C4429" s="607" t="s">
        <v>19</v>
      </c>
      <c r="D4429" s="607" t="s">
        <v>1858</v>
      </c>
      <c r="E4429" s="690" t="s">
        <v>461</v>
      </c>
      <c r="F4429" s="690"/>
      <c r="G4429" s="609" t="s">
        <v>423</v>
      </c>
      <c r="H4429" s="610">
        <v>1</v>
      </c>
      <c r="I4429" s="611">
        <v>31.92</v>
      </c>
      <c r="J4429" s="611">
        <v>31.92</v>
      </c>
    </row>
    <row r="4430" spans="1:10" ht="63" thickBot="1" x14ac:dyDescent="0.35">
      <c r="A4430" s="547" t="s">
        <v>433</v>
      </c>
      <c r="B4430" s="548" t="s">
        <v>1859</v>
      </c>
      <c r="C4430" s="547" t="s">
        <v>19</v>
      </c>
      <c r="D4430" s="547" t="s">
        <v>1860</v>
      </c>
      <c r="E4430" s="688" t="s">
        <v>442</v>
      </c>
      <c r="F4430" s="688"/>
      <c r="G4430" s="549" t="s">
        <v>81</v>
      </c>
      <c r="H4430" s="550">
        <v>6.9999999999999994E-5</v>
      </c>
      <c r="I4430" s="551">
        <v>456097.53</v>
      </c>
      <c r="J4430" s="551">
        <v>31.92</v>
      </c>
    </row>
    <row r="4431" spans="1:10" ht="14.5" thickTop="1" x14ac:dyDescent="0.3">
      <c r="A4431" s="562"/>
      <c r="B4431" s="562"/>
      <c r="C4431" s="562"/>
      <c r="D4431" s="562"/>
      <c r="E4431" s="562"/>
      <c r="F4431" s="562"/>
      <c r="G4431" s="562"/>
      <c r="H4431" s="562"/>
      <c r="I4431" s="562"/>
      <c r="J4431" s="562"/>
    </row>
    <row r="4432" spans="1:10" s="89" customFormat="1" x14ac:dyDescent="0.3">
      <c r="A4432" s="553"/>
      <c r="B4432" s="554" t="s">
        <v>4</v>
      </c>
      <c r="C4432" s="553" t="s">
        <v>5</v>
      </c>
      <c r="D4432" s="553" t="s">
        <v>6</v>
      </c>
      <c r="E4432" s="691" t="s">
        <v>427</v>
      </c>
      <c r="F4432" s="691"/>
      <c r="G4432" s="555" t="s">
        <v>7</v>
      </c>
      <c r="H4432" s="554" t="s">
        <v>8</v>
      </c>
      <c r="I4432" s="554" t="s">
        <v>9</v>
      </c>
      <c r="J4432" s="554" t="s">
        <v>11</v>
      </c>
    </row>
    <row r="4433" spans="1:10" ht="15" customHeight="1" x14ac:dyDescent="0.3">
      <c r="A4433" s="607" t="s">
        <v>428</v>
      </c>
      <c r="B4433" s="608" t="s">
        <v>1855</v>
      </c>
      <c r="C4433" s="607" t="s">
        <v>19</v>
      </c>
      <c r="D4433" s="607" t="s">
        <v>1856</v>
      </c>
      <c r="E4433" s="690" t="s">
        <v>461</v>
      </c>
      <c r="F4433" s="690"/>
      <c r="G4433" s="609" t="s">
        <v>423</v>
      </c>
      <c r="H4433" s="610">
        <v>1</v>
      </c>
      <c r="I4433" s="611">
        <v>46.12</v>
      </c>
      <c r="J4433" s="611">
        <v>46.12</v>
      </c>
    </row>
    <row r="4434" spans="1:10" ht="14.5" thickBot="1" x14ac:dyDescent="0.35">
      <c r="A4434" s="547" t="s">
        <v>433</v>
      </c>
      <c r="B4434" s="548" t="s">
        <v>3859</v>
      </c>
      <c r="C4434" s="547" t="s">
        <v>115</v>
      </c>
      <c r="D4434" s="547" t="s">
        <v>3860</v>
      </c>
      <c r="E4434" s="688" t="s">
        <v>438</v>
      </c>
      <c r="F4434" s="688"/>
      <c r="G4434" s="549" t="s">
        <v>835</v>
      </c>
      <c r="H4434" s="550">
        <v>8.5299999999999994</v>
      </c>
      <c r="I4434" s="551">
        <v>5.4069000000000003</v>
      </c>
      <c r="J4434" s="551">
        <v>46.12</v>
      </c>
    </row>
    <row r="4435" spans="1:10" ht="14.5" thickTop="1" x14ac:dyDescent="0.3">
      <c r="A4435" s="562"/>
      <c r="B4435" s="562"/>
      <c r="C4435" s="562"/>
      <c r="D4435" s="562"/>
      <c r="E4435" s="562"/>
      <c r="F4435" s="562"/>
      <c r="G4435" s="562"/>
      <c r="H4435" s="562"/>
      <c r="I4435" s="562"/>
      <c r="J4435" s="562"/>
    </row>
    <row r="4436" spans="1:10" s="89" customFormat="1" ht="15" customHeight="1" x14ac:dyDescent="0.3">
      <c r="A4436" s="553"/>
      <c r="B4436" s="554" t="s">
        <v>4</v>
      </c>
      <c r="C4436" s="553" t="s">
        <v>5</v>
      </c>
      <c r="D4436" s="553" t="s">
        <v>6</v>
      </c>
      <c r="E4436" s="691" t="s">
        <v>427</v>
      </c>
      <c r="F4436" s="691"/>
      <c r="G4436" s="555" t="s">
        <v>7</v>
      </c>
      <c r="H4436" s="554" t="s">
        <v>8</v>
      </c>
      <c r="I4436" s="554" t="s">
        <v>9</v>
      </c>
      <c r="J4436" s="554" t="s">
        <v>11</v>
      </c>
    </row>
    <row r="4437" spans="1:10" ht="26.25" customHeight="1" x14ac:dyDescent="0.3">
      <c r="A4437" s="607" t="s">
        <v>428</v>
      </c>
      <c r="B4437" s="608" t="s">
        <v>971</v>
      </c>
      <c r="C4437" s="607" t="s">
        <v>19</v>
      </c>
      <c r="D4437" s="607" t="s">
        <v>972</v>
      </c>
      <c r="E4437" s="690" t="s">
        <v>461</v>
      </c>
      <c r="F4437" s="690"/>
      <c r="G4437" s="609" t="s">
        <v>102</v>
      </c>
      <c r="H4437" s="610">
        <v>1</v>
      </c>
      <c r="I4437" s="611">
        <v>93.16</v>
      </c>
      <c r="J4437" s="611">
        <v>93.16</v>
      </c>
    </row>
    <row r="4438" spans="1:10" ht="25" x14ac:dyDescent="0.3">
      <c r="A4438" s="547" t="s">
        <v>430</v>
      </c>
      <c r="B4438" s="548" t="s">
        <v>1752</v>
      </c>
      <c r="C4438" s="547" t="s">
        <v>19</v>
      </c>
      <c r="D4438" s="547" t="s">
        <v>1753</v>
      </c>
      <c r="E4438" s="688" t="s">
        <v>429</v>
      </c>
      <c r="F4438" s="688"/>
      <c r="G4438" s="549" t="s">
        <v>423</v>
      </c>
      <c r="H4438" s="550">
        <v>1</v>
      </c>
      <c r="I4438" s="551">
        <v>25.72</v>
      </c>
      <c r="J4438" s="551">
        <v>25.72</v>
      </c>
    </row>
    <row r="4439" spans="1:10" ht="14.25" customHeight="1" x14ac:dyDescent="0.3">
      <c r="A4439" s="547" t="s">
        <v>430</v>
      </c>
      <c r="B4439" s="548" t="s">
        <v>1861</v>
      </c>
      <c r="C4439" s="547" t="s">
        <v>19</v>
      </c>
      <c r="D4439" s="547" t="s">
        <v>1862</v>
      </c>
      <c r="E4439" s="688" t="s">
        <v>461</v>
      </c>
      <c r="F4439" s="688"/>
      <c r="G4439" s="549" t="s">
        <v>423</v>
      </c>
      <c r="H4439" s="550">
        <v>1</v>
      </c>
      <c r="I4439" s="551">
        <v>14.26</v>
      </c>
      <c r="J4439" s="551">
        <v>14.26</v>
      </c>
    </row>
    <row r="4440" spans="1:10" ht="26.25" customHeight="1" thickBot="1" x14ac:dyDescent="0.35">
      <c r="A4440" s="547" t="s">
        <v>430</v>
      </c>
      <c r="B4440" s="548" t="s">
        <v>1863</v>
      </c>
      <c r="C4440" s="547" t="s">
        <v>19</v>
      </c>
      <c r="D4440" s="547" t="s">
        <v>1864</v>
      </c>
      <c r="E4440" s="688" t="s">
        <v>461</v>
      </c>
      <c r="F4440" s="688"/>
      <c r="G4440" s="549" t="s">
        <v>423</v>
      </c>
      <c r="H4440" s="550">
        <v>1</v>
      </c>
      <c r="I4440" s="551">
        <v>53.18</v>
      </c>
      <c r="J4440" s="551">
        <v>53.18</v>
      </c>
    </row>
    <row r="4441" spans="1:10" ht="14.5" thickTop="1" x14ac:dyDescent="0.3">
      <c r="A4441" s="562"/>
      <c r="B4441" s="562"/>
      <c r="C4441" s="562"/>
      <c r="D4441" s="562"/>
      <c r="E4441" s="562"/>
      <c r="F4441" s="562"/>
      <c r="G4441" s="562"/>
      <c r="H4441" s="562"/>
      <c r="I4441" s="562"/>
      <c r="J4441" s="562"/>
    </row>
    <row r="4442" spans="1:10" x14ac:dyDescent="0.3">
      <c r="A4442" s="553"/>
      <c r="B4442" s="554" t="s">
        <v>4</v>
      </c>
      <c r="C4442" s="553" t="s">
        <v>5</v>
      </c>
      <c r="D4442" s="553" t="s">
        <v>6</v>
      </c>
      <c r="E4442" s="691" t="s">
        <v>427</v>
      </c>
      <c r="F4442" s="691"/>
      <c r="G4442" s="555" t="s">
        <v>7</v>
      </c>
      <c r="H4442" s="554" t="s">
        <v>8</v>
      </c>
      <c r="I4442" s="554" t="s">
        <v>9</v>
      </c>
      <c r="J4442" s="554" t="s">
        <v>11</v>
      </c>
    </row>
    <row r="4443" spans="1:10" s="89" customFormat="1" ht="38.25" customHeight="1" x14ac:dyDescent="0.3">
      <c r="A4443" s="607" t="s">
        <v>428</v>
      </c>
      <c r="B4443" s="608" t="s">
        <v>969</v>
      </c>
      <c r="C4443" s="607" t="s">
        <v>19</v>
      </c>
      <c r="D4443" s="607" t="s">
        <v>970</v>
      </c>
      <c r="E4443" s="690" t="s">
        <v>461</v>
      </c>
      <c r="F4443" s="690"/>
      <c r="G4443" s="609" t="s">
        <v>95</v>
      </c>
      <c r="H4443" s="610">
        <v>1</v>
      </c>
      <c r="I4443" s="611">
        <v>217.4</v>
      </c>
      <c r="J4443" s="611">
        <v>217.4</v>
      </c>
    </row>
    <row r="4444" spans="1:10" ht="25" x14ac:dyDescent="0.3">
      <c r="A4444" s="547" t="s">
        <v>430</v>
      </c>
      <c r="B4444" s="548" t="s">
        <v>1752</v>
      </c>
      <c r="C4444" s="547" t="s">
        <v>19</v>
      </c>
      <c r="D4444" s="547" t="s">
        <v>1753</v>
      </c>
      <c r="E4444" s="688" t="s">
        <v>429</v>
      </c>
      <c r="F4444" s="688"/>
      <c r="G4444" s="549" t="s">
        <v>423</v>
      </c>
      <c r="H4444" s="550">
        <v>1</v>
      </c>
      <c r="I4444" s="551">
        <v>25.72</v>
      </c>
      <c r="J4444" s="551">
        <v>25.72</v>
      </c>
    </row>
    <row r="4445" spans="1:10" ht="38.25" customHeight="1" x14ac:dyDescent="0.3">
      <c r="A4445" s="547" t="s">
        <v>430</v>
      </c>
      <c r="B4445" s="548" t="s">
        <v>1865</v>
      </c>
      <c r="C4445" s="547" t="s">
        <v>19</v>
      </c>
      <c r="D4445" s="547" t="s">
        <v>1866</v>
      </c>
      <c r="E4445" s="688" t="s">
        <v>461</v>
      </c>
      <c r="F4445" s="688"/>
      <c r="G4445" s="549" t="s">
        <v>423</v>
      </c>
      <c r="H4445" s="550">
        <v>1</v>
      </c>
      <c r="I4445" s="551">
        <v>57.69</v>
      </c>
      <c r="J4445" s="551">
        <v>57.69</v>
      </c>
    </row>
    <row r="4446" spans="1:10" ht="38.25" customHeight="1" x14ac:dyDescent="0.3">
      <c r="A4446" s="547" t="s">
        <v>430</v>
      </c>
      <c r="B4446" s="548" t="s">
        <v>1867</v>
      </c>
      <c r="C4446" s="547" t="s">
        <v>19</v>
      </c>
      <c r="D4446" s="547" t="s">
        <v>1868</v>
      </c>
      <c r="E4446" s="688" t="s">
        <v>461</v>
      </c>
      <c r="F4446" s="688"/>
      <c r="G4446" s="549" t="s">
        <v>423</v>
      </c>
      <c r="H4446" s="550">
        <v>1</v>
      </c>
      <c r="I4446" s="551">
        <v>66.55</v>
      </c>
      <c r="J4446" s="551">
        <v>66.55</v>
      </c>
    </row>
    <row r="4447" spans="1:10" ht="38.25" customHeight="1" x14ac:dyDescent="0.3">
      <c r="A4447" s="547" t="s">
        <v>430</v>
      </c>
      <c r="B4447" s="548" t="s">
        <v>1861</v>
      </c>
      <c r="C4447" s="547" t="s">
        <v>19</v>
      </c>
      <c r="D4447" s="547" t="s">
        <v>1862</v>
      </c>
      <c r="E4447" s="688" t="s">
        <v>461</v>
      </c>
      <c r="F4447" s="688"/>
      <c r="G4447" s="549" t="s">
        <v>423</v>
      </c>
      <c r="H4447" s="550">
        <v>1</v>
      </c>
      <c r="I4447" s="551">
        <v>14.26</v>
      </c>
      <c r="J4447" s="551">
        <v>14.26</v>
      </c>
    </row>
    <row r="4448" spans="1:10" ht="14.25" customHeight="1" thickBot="1" x14ac:dyDescent="0.35">
      <c r="A4448" s="547" t="s">
        <v>430</v>
      </c>
      <c r="B4448" s="548" t="s">
        <v>1863</v>
      </c>
      <c r="C4448" s="547" t="s">
        <v>19</v>
      </c>
      <c r="D4448" s="547" t="s">
        <v>1864</v>
      </c>
      <c r="E4448" s="688" t="s">
        <v>461</v>
      </c>
      <c r="F4448" s="688"/>
      <c r="G4448" s="549" t="s">
        <v>423</v>
      </c>
      <c r="H4448" s="550">
        <v>1</v>
      </c>
      <c r="I4448" s="551">
        <v>53.18</v>
      </c>
      <c r="J4448" s="551">
        <v>53.18</v>
      </c>
    </row>
    <row r="4449" spans="1:10" ht="14.5" thickTop="1" x14ac:dyDescent="0.3">
      <c r="A4449" s="562"/>
      <c r="B4449" s="562"/>
      <c r="C4449" s="562"/>
      <c r="D4449" s="562"/>
      <c r="E4449" s="562"/>
      <c r="F4449" s="562"/>
      <c r="G4449" s="562"/>
      <c r="H4449" s="562"/>
      <c r="I4449" s="562"/>
      <c r="J4449" s="562"/>
    </row>
    <row r="4450" spans="1:10" s="89" customFormat="1" x14ac:dyDescent="0.3">
      <c r="A4450" s="553"/>
      <c r="B4450" s="554" t="s">
        <v>4</v>
      </c>
      <c r="C4450" s="553" t="s">
        <v>5</v>
      </c>
      <c r="D4450" s="553" t="s">
        <v>6</v>
      </c>
      <c r="E4450" s="691" t="s">
        <v>427</v>
      </c>
      <c r="F4450" s="691"/>
      <c r="G4450" s="555" t="s">
        <v>7</v>
      </c>
      <c r="H4450" s="554" t="s">
        <v>8</v>
      </c>
      <c r="I4450" s="554" t="s">
        <v>9</v>
      </c>
      <c r="J4450" s="554" t="s">
        <v>11</v>
      </c>
    </row>
    <row r="4451" spans="1:10" ht="14.25" customHeight="1" x14ac:dyDescent="0.3">
      <c r="A4451" s="607" t="s">
        <v>428</v>
      </c>
      <c r="B4451" s="608" t="s">
        <v>1863</v>
      </c>
      <c r="C4451" s="607" t="s">
        <v>19</v>
      </c>
      <c r="D4451" s="607" t="s">
        <v>1864</v>
      </c>
      <c r="E4451" s="690" t="s">
        <v>461</v>
      </c>
      <c r="F4451" s="690"/>
      <c r="G4451" s="609" t="s">
        <v>423</v>
      </c>
      <c r="H4451" s="610">
        <v>1</v>
      </c>
      <c r="I4451" s="611">
        <v>53.18</v>
      </c>
      <c r="J4451" s="611">
        <v>53.18</v>
      </c>
    </row>
    <row r="4452" spans="1:10" ht="38" thickBot="1" x14ac:dyDescent="0.35">
      <c r="A4452" s="547" t="s">
        <v>433</v>
      </c>
      <c r="B4452" s="548" t="s">
        <v>1869</v>
      </c>
      <c r="C4452" s="547" t="s">
        <v>19</v>
      </c>
      <c r="D4452" s="547" t="s">
        <v>1870</v>
      </c>
      <c r="E4452" s="688" t="s">
        <v>442</v>
      </c>
      <c r="F4452" s="688"/>
      <c r="G4452" s="549" t="s">
        <v>81</v>
      </c>
      <c r="H4452" s="550">
        <v>5.3300000000000001E-5</v>
      </c>
      <c r="I4452" s="551">
        <v>997825.41</v>
      </c>
      <c r="J4452" s="551">
        <v>53.18</v>
      </c>
    </row>
    <row r="4453" spans="1:10" ht="14.5" thickTop="1" x14ac:dyDescent="0.3">
      <c r="A4453" s="562"/>
      <c r="B4453" s="562"/>
      <c r="C4453" s="562"/>
      <c r="D4453" s="562"/>
      <c r="E4453" s="562"/>
      <c r="F4453" s="562"/>
      <c r="G4453" s="562"/>
      <c r="H4453" s="562"/>
      <c r="I4453" s="562"/>
      <c r="J4453" s="562"/>
    </row>
    <row r="4454" spans="1:10" x14ac:dyDescent="0.3">
      <c r="A4454" s="553"/>
      <c r="B4454" s="554" t="s">
        <v>4</v>
      </c>
      <c r="C4454" s="553" t="s">
        <v>5</v>
      </c>
      <c r="D4454" s="553" t="s">
        <v>6</v>
      </c>
      <c r="E4454" s="691" t="s">
        <v>427</v>
      </c>
      <c r="F4454" s="691"/>
      <c r="G4454" s="555" t="s">
        <v>7</v>
      </c>
      <c r="H4454" s="554" t="s">
        <v>8</v>
      </c>
      <c r="I4454" s="554" t="s">
        <v>9</v>
      </c>
      <c r="J4454" s="554" t="s">
        <v>11</v>
      </c>
    </row>
    <row r="4455" spans="1:10" ht="38.25" customHeight="1" x14ac:dyDescent="0.3">
      <c r="A4455" s="607" t="s">
        <v>428</v>
      </c>
      <c r="B4455" s="608" t="s">
        <v>1861</v>
      </c>
      <c r="C4455" s="607" t="s">
        <v>19</v>
      </c>
      <c r="D4455" s="607" t="s">
        <v>1862</v>
      </c>
      <c r="E4455" s="690" t="s">
        <v>461</v>
      </c>
      <c r="F4455" s="690"/>
      <c r="G4455" s="609" t="s">
        <v>423</v>
      </c>
      <c r="H4455" s="610">
        <v>1</v>
      </c>
      <c r="I4455" s="611">
        <v>14.26</v>
      </c>
      <c r="J4455" s="611">
        <v>14.26</v>
      </c>
    </row>
    <row r="4456" spans="1:10" s="89" customFormat="1" ht="15" customHeight="1" thickBot="1" x14ac:dyDescent="0.35">
      <c r="A4456" s="547" t="s">
        <v>433</v>
      </c>
      <c r="B4456" s="548" t="s">
        <v>1869</v>
      </c>
      <c r="C4456" s="547" t="s">
        <v>19</v>
      </c>
      <c r="D4456" s="547" t="s">
        <v>1870</v>
      </c>
      <c r="E4456" s="688" t="s">
        <v>442</v>
      </c>
      <c r="F4456" s="688"/>
      <c r="G4456" s="549" t="s">
        <v>81</v>
      </c>
      <c r="H4456" s="550">
        <v>1.43E-5</v>
      </c>
      <c r="I4456" s="551">
        <v>997825.41</v>
      </c>
      <c r="J4456" s="551">
        <v>14.26</v>
      </c>
    </row>
    <row r="4457" spans="1:10" ht="14.5" thickTop="1" x14ac:dyDescent="0.3">
      <c r="A4457" s="562"/>
      <c r="B4457" s="562"/>
      <c r="C4457" s="562"/>
      <c r="D4457" s="562"/>
      <c r="E4457" s="562"/>
      <c r="F4457" s="562"/>
      <c r="G4457" s="562"/>
      <c r="H4457" s="562"/>
      <c r="I4457" s="562"/>
      <c r="J4457" s="562"/>
    </row>
    <row r="4458" spans="1:10" x14ac:dyDescent="0.3">
      <c r="A4458" s="553"/>
      <c r="B4458" s="554" t="s">
        <v>4</v>
      </c>
      <c r="C4458" s="553" t="s">
        <v>5</v>
      </c>
      <c r="D4458" s="553" t="s">
        <v>6</v>
      </c>
      <c r="E4458" s="691" t="s">
        <v>427</v>
      </c>
      <c r="F4458" s="691"/>
      <c r="G4458" s="555" t="s">
        <v>7</v>
      </c>
      <c r="H4458" s="554" t="s">
        <v>8</v>
      </c>
      <c r="I4458" s="554" t="s">
        <v>9</v>
      </c>
      <c r="J4458" s="554" t="s">
        <v>11</v>
      </c>
    </row>
    <row r="4459" spans="1:10" ht="14.25" customHeight="1" x14ac:dyDescent="0.3">
      <c r="A4459" s="607" t="s">
        <v>428</v>
      </c>
      <c r="B4459" s="608" t="s">
        <v>1867</v>
      </c>
      <c r="C4459" s="607" t="s">
        <v>19</v>
      </c>
      <c r="D4459" s="607" t="s">
        <v>1868</v>
      </c>
      <c r="E4459" s="690" t="s">
        <v>461</v>
      </c>
      <c r="F4459" s="690"/>
      <c r="G4459" s="609" t="s">
        <v>423</v>
      </c>
      <c r="H4459" s="610">
        <v>1</v>
      </c>
      <c r="I4459" s="611">
        <v>66.55</v>
      </c>
      <c r="J4459" s="611">
        <v>66.55</v>
      </c>
    </row>
    <row r="4460" spans="1:10" ht="38" thickBot="1" x14ac:dyDescent="0.35">
      <c r="A4460" s="547" t="s">
        <v>433</v>
      </c>
      <c r="B4460" s="548" t="s">
        <v>1869</v>
      </c>
      <c r="C4460" s="547" t="s">
        <v>19</v>
      </c>
      <c r="D4460" s="547" t="s">
        <v>1870</v>
      </c>
      <c r="E4460" s="688" t="s">
        <v>442</v>
      </c>
      <c r="F4460" s="688"/>
      <c r="G4460" s="549" t="s">
        <v>81</v>
      </c>
      <c r="H4460" s="550">
        <v>6.6699999999999995E-5</v>
      </c>
      <c r="I4460" s="551">
        <v>997825.41</v>
      </c>
      <c r="J4460" s="551">
        <v>66.55</v>
      </c>
    </row>
    <row r="4461" spans="1:10" ht="14.5" thickTop="1" x14ac:dyDescent="0.3">
      <c r="A4461" s="562"/>
      <c r="B4461" s="562"/>
      <c r="C4461" s="562"/>
      <c r="D4461" s="562"/>
      <c r="E4461" s="562"/>
      <c r="F4461" s="562"/>
      <c r="G4461" s="562"/>
      <c r="H4461" s="562"/>
      <c r="I4461" s="562"/>
      <c r="J4461" s="562"/>
    </row>
    <row r="4462" spans="1:10" x14ac:dyDescent="0.3">
      <c r="A4462" s="553"/>
      <c r="B4462" s="554" t="s">
        <v>4</v>
      </c>
      <c r="C4462" s="553" t="s">
        <v>5</v>
      </c>
      <c r="D4462" s="553" t="s">
        <v>6</v>
      </c>
      <c r="E4462" s="691" t="s">
        <v>427</v>
      </c>
      <c r="F4462" s="691"/>
      <c r="G4462" s="555" t="s">
        <v>7</v>
      </c>
      <c r="H4462" s="554" t="s">
        <v>8</v>
      </c>
      <c r="I4462" s="554" t="s">
        <v>9</v>
      </c>
      <c r="J4462" s="554" t="s">
        <v>11</v>
      </c>
    </row>
    <row r="4463" spans="1:10" ht="38.25" customHeight="1" x14ac:dyDescent="0.3">
      <c r="A4463" s="607" t="s">
        <v>428</v>
      </c>
      <c r="B4463" s="608" t="s">
        <v>1865</v>
      </c>
      <c r="C4463" s="607" t="s">
        <v>19</v>
      </c>
      <c r="D4463" s="607" t="s">
        <v>1866</v>
      </c>
      <c r="E4463" s="690" t="s">
        <v>461</v>
      </c>
      <c r="F4463" s="690"/>
      <c r="G4463" s="609" t="s">
        <v>423</v>
      </c>
      <c r="H4463" s="610">
        <v>1</v>
      </c>
      <c r="I4463" s="611">
        <v>57.69</v>
      </c>
      <c r="J4463" s="611">
        <v>57.69</v>
      </c>
    </row>
    <row r="4464" spans="1:10" s="89" customFormat="1" ht="14.5" thickBot="1" x14ac:dyDescent="0.35">
      <c r="A4464" s="547" t="s">
        <v>433</v>
      </c>
      <c r="B4464" s="548" t="s">
        <v>3859</v>
      </c>
      <c r="C4464" s="547" t="s">
        <v>115</v>
      </c>
      <c r="D4464" s="547" t="s">
        <v>3860</v>
      </c>
      <c r="E4464" s="688" t="s">
        <v>438</v>
      </c>
      <c r="F4464" s="688"/>
      <c r="G4464" s="549" t="s">
        <v>835</v>
      </c>
      <c r="H4464" s="550">
        <v>10.67</v>
      </c>
      <c r="I4464" s="551">
        <v>5.4069000000000003</v>
      </c>
      <c r="J4464" s="551">
        <v>57.69</v>
      </c>
    </row>
    <row r="4465" spans="1:10" ht="14.5" thickTop="1" x14ac:dyDescent="0.3">
      <c r="A4465" s="562"/>
      <c r="B4465" s="562"/>
      <c r="C4465" s="562"/>
      <c r="D4465" s="562"/>
      <c r="E4465" s="562"/>
      <c r="F4465" s="562"/>
      <c r="G4465" s="562"/>
      <c r="H4465" s="562"/>
      <c r="I4465" s="562"/>
      <c r="J4465" s="562"/>
    </row>
    <row r="4466" spans="1:10" x14ac:dyDescent="0.3">
      <c r="A4466" s="553"/>
      <c r="B4466" s="554" t="s">
        <v>4</v>
      </c>
      <c r="C4466" s="553" t="s">
        <v>5</v>
      </c>
      <c r="D4466" s="553" t="s">
        <v>6</v>
      </c>
      <c r="E4466" s="691" t="s">
        <v>427</v>
      </c>
      <c r="F4466" s="691"/>
      <c r="G4466" s="555" t="s">
        <v>7</v>
      </c>
      <c r="H4466" s="554" t="s">
        <v>8</v>
      </c>
      <c r="I4466" s="554" t="s">
        <v>9</v>
      </c>
      <c r="J4466" s="554" t="s">
        <v>11</v>
      </c>
    </row>
    <row r="4467" spans="1:10" ht="38.25" customHeight="1" x14ac:dyDescent="0.3">
      <c r="A4467" s="607" t="s">
        <v>428</v>
      </c>
      <c r="B4467" s="608" t="s">
        <v>1611</v>
      </c>
      <c r="C4467" s="607" t="s">
        <v>19</v>
      </c>
      <c r="D4467" s="607" t="s">
        <v>1612</v>
      </c>
      <c r="E4467" s="690" t="s">
        <v>461</v>
      </c>
      <c r="F4467" s="690"/>
      <c r="G4467" s="609" t="s">
        <v>102</v>
      </c>
      <c r="H4467" s="610">
        <v>1</v>
      </c>
      <c r="I4467" s="611">
        <v>86.53</v>
      </c>
      <c r="J4467" s="611">
        <v>86.53</v>
      </c>
    </row>
    <row r="4468" spans="1:10" s="89" customFormat="1" ht="25" x14ac:dyDescent="0.3">
      <c r="A4468" s="547" t="s">
        <v>430</v>
      </c>
      <c r="B4468" s="548" t="s">
        <v>1752</v>
      </c>
      <c r="C4468" s="547" t="s">
        <v>19</v>
      </c>
      <c r="D4468" s="547" t="s">
        <v>1753</v>
      </c>
      <c r="E4468" s="688" t="s">
        <v>429</v>
      </c>
      <c r="F4468" s="688"/>
      <c r="G4468" s="549" t="s">
        <v>423</v>
      </c>
      <c r="H4468" s="550">
        <v>1</v>
      </c>
      <c r="I4468" s="551">
        <v>25.72</v>
      </c>
      <c r="J4468" s="551">
        <v>25.72</v>
      </c>
    </row>
    <row r="4469" spans="1:10" ht="38.25" customHeight="1" x14ac:dyDescent="0.3">
      <c r="A4469" s="547" t="s">
        <v>430</v>
      </c>
      <c r="B4469" s="548" t="s">
        <v>1871</v>
      </c>
      <c r="C4469" s="547" t="s">
        <v>19</v>
      </c>
      <c r="D4469" s="547" t="s">
        <v>1872</v>
      </c>
      <c r="E4469" s="688" t="s">
        <v>461</v>
      </c>
      <c r="F4469" s="688"/>
      <c r="G4469" s="549" t="s">
        <v>423</v>
      </c>
      <c r="H4469" s="550">
        <v>1</v>
      </c>
      <c r="I4469" s="551">
        <v>47.95</v>
      </c>
      <c r="J4469" s="551">
        <v>47.95</v>
      </c>
    </row>
    <row r="4470" spans="1:10" ht="39" customHeight="1" thickBot="1" x14ac:dyDescent="0.35">
      <c r="A4470" s="547" t="s">
        <v>430</v>
      </c>
      <c r="B4470" s="548" t="s">
        <v>1873</v>
      </c>
      <c r="C4470" s="547" t="s">
        <v>19</v>
      </c>
      <c r="D4470" s="547" t="s">
        <v>1874</v>
      </c>
      <c r="E4470" s="688" t="s">
        <v>461</v>
      </c>
      <c r="F4470" s="688"/>
      <c r="G4470" s="549" t="s">
        <v>423</v>
      </c>
      <c r="H4470" s="550">
        <v>1</v>
      </c>
      <c r="I4470" s="551">
        <v>12.86</v>
      </c>
      <c r="J4470" s="551">
        <v>12.86</v>
      </c>
    </row>
    <row r="4471" spans="1:10" ht="14.5" thickTop="1" x14ac:dyDescent="0.3">
      <c r="A4471" s="562"/>
      <c r="B4471" s="562"/>
      <c r="C4471" s="562"/>
      <c r="D4471" s="562"/>
      <c r="E4471" s="562"/>
      <c r="F4471" s="562"/>
      <c r="G4471" s="562"/>
      <c r="H4471" s="562"/>
      <c r="I4471" s="562"/>
      <c r="J4471" s="562"/>
    </row>
    <row r="4472" spans="1:10" s="89" customFormat="1" x14ac:dyDescent="0.3">
      <c r="A4472" s="553"/>
      <c r="B4472" s="554" t="s">
        <v>4</v>
      </c>
      <c r="C4472" s="553" t="s">
        <v>5</v>
      </c>
      <c r="D4472" s="553" t="s">
        <v>6</v>
      </c>
      <c r="E4472" s="691" t="s">
        <v>427</v>
      </c>
      <c r="F4472" s="691"/>
      <c r="G4472" s="555" t="s">
        <v>7</v>
      </c>
      <c r="H4472" s="554" t="s">
        <v>8</v>
      </c>
      <c r="I4472" s="554" t="s">
        <v>9</v>
      </c>
      <c r="J4472" s="554" t="s">
        <v>11</v>
      </c>
    </row>
    <row r="4473" spans="1:10" ht="38.25" customHeight="1" x14ac:dyDescent="0.3">
      <c r="A4473" s="607" t="s">
        <v>428</v>
      </c>
      <c r="B4473" s="608" t="s">
        <v>1609</v>
      </c>
      <c r="C4473" s="607" t="s">
        <v>19</v>
      </c>
      <c r="D4473" s="607" t="s">
        <v>1610</v>
      </c>
      <c r="E4473" s="690" t="s">
        <v>461</v>
      </c>
      <c r="F4473" s="690"/>
      <c r="G4473" s="609" t="s">
        <v>95</v>
      </c>
      <c r="H4473" s="610">
        <v>1</v>
      </c>
      <c r="I4473" s="611">
        <v>227.21</v>
      </c>
      <c r="J4473" s="611">
        <v>227.21</v>
      </c>
    </row>
    <row r="4474" spans="1:10" ht="25" x14ac:dyDescent="0.3">
      <c r="A4474" s="547" t="s">
        <v>430</v>
      </c>
      <c r="B4474" s="548" t="s">
        <v>1752</v>
      </c>
      <c r="C4474" s="547" t="s">
        <v>19</v>
      </c>
      <c r="D4474" s="547" t="s">
        <v>1753</v>
      </c>
      <c r="E4474" s="688" t="s">
        <v>429</v>
      </c>
      <c r="F4474" s="688"/>
      <c r="G4474" s="549" t="s">
        <v>423</v>
      </c>
      <c r="H4474" s="550">
        <v>1</v>
      </c>
      <c r="I4474" s="551">
        <v>25.72</v>
      </c>
      <c r="J4474" s="551">
        <v>25.72</v>
      </c>
    </row>
    <row r="4475" spans="1:10" ht="38.25" customHeight="1" x14ac:dyDescent="0.3">
      <c r="A4475" s="547" t="s">
        <v>430</v>
      </c>
      <c r="B4475" s="548" t="s">
        <v>1871</v>
      </c>
      <c r="C4475" s="547" t="s">
        <v>19</v>
      </c>
      <c r="D4475" s="547" t="s">
        <v>1872</v>
      </c>
      <c r="E4475" s="688" t="s">
        <v>461</v>
      </c>
      <c r="F4475" s="688"/>
      <c r="G4475" s="549" t="s">
        <v>423</v>
      </c>
      <c r="H4475" s="550">
        <v>1</v>
      </c>
      <c r="I4475" s="551">
        <v>47.95</v>
      </c>
      <c r="J4475" s="551">
        <v>47.95</v>
      </c>
    </row>
    <row r="4476" spans="1:10" s="89" customFormat="1" ht="38.25" customHeight="1" x14ac:dyDescent="0.3">
      <c r="A4476" s="547" t="s">
        <v>430</v>
      </c>
      <c r="B4476" s="548" t="s">
        <v>1873</v>
      </c>
      <c r="C4476" s="547" t="s">
        <v>19</v>
      </c>
      <c r="D4476" s="547" t="s">
        <v>1874</v>
      </c>
      <c r="E4476" s="688" t="s">
        <v>461</v>
      </c>
      <c r="F4476" s="688"/>
      <c r="G4476" s="549" t="s">
        <v>423</v>
      </c>
      <c r="H4476" s="550">
        <v>1</v>
      </c>
      <c r="I4476" s="551">
        <v>12.86</v>
      </c>
      <c r="J4476" s="551">
        <v>12.86</v>
      </c>
    </row>
    <row r="4477" spans="1:10" ht="38.25" customHeight="1" x14ac:dyDescent="0.3">
      <c r="A4477" s="547" t="s">
        <v>430</v>
      </c>
      <c r="B4477" s="548" t="s">
        <v>1875</v>
      </c>
      <c r="C4477" s="547" t="s">
        <v>19</v>
      </c>
      <c r="D4477" s="547" t="s">
        <v>1876</v>
      </c>
      <c r="E4477" s="688" t="s">
        <v>461</v>
      </c>
      <c r="F4477" s="688"/>
      <c r="G4477" s="549" t="s">
        <v>423</v>
      </c>
      <c r="H4477" s="550">
        <v>1</v>
      </c>
      <c r="I4477" s="551">
        <v>60.01</v>
      </c>
      <c r="J4477" s="551">
        <v>60.01</v>
      </c>
    </row>
    <row r="4478" spans="1:10" ht="39" customHeight="1" thickBot="1" x14ac:dyDescent="0.35">
      <c r="A4478" s="547" t="s">
        <v>430</v>
      </c>
      <c r="B4478" s="548" t="s">
        <v>1877</v>
      </c>
      <c r="C4478" s="547" t="s">
        <v>19</v>
      </c>
      <c r="D4478" s="547" t="s">
        <v>1878</v>
      </c>
      <c r="E4478" s="688" t="s">
        <v>461</v>
      </c>
      <c r="F4478" s="688"/>
      <c r="G4478" s="549" t="s">
        <v>423</v>
      </c>
      <c r="H4478" s="550">
        <v>1</v>
      </c>
      <c r="I4478" s="551">
        <v>80.67</v>
      </c>
      <c r="J4478" s="551">
        <v>80.67</v>
      </c>
    </row>
    <row r="4479" spans="1:10" ht="38.25" customHeight="1" thickTop="1" x14ac:dyDescent="0.3">
      <c r="A4479" s="562"/>
      <c r="B4479" s="562"/>
      <c r="C4479" s="562"/>
      <c r="D4479" s="562"/>
      <c r="E4479" s="562"/>
      <c r="F4479" s="562"/>
      <c r="G4479" s="562"/>
      <c r="H4479" s="562"/>
      <c r="I4479" s="562"/>
      <c r="J4479" s="562"/>
    </row>
    <row r="4480" spans="1:10" s="89" customFormat="1" ht="38.25" customHeight="1" x14ac:dyDescent="0.3">
      <c r="A4480" s="553"/>
      <c r="B4480" s="554" t="s">
        <v>4</v>
      </c>
      <c r="C4480" s="553" t="s">
        <v>5</v>
      </c>
      <c r="D4480" s="553" t="s">
        <v>6</v>
      </c>
      <c r="E4480" s="691" t="s">
        <v>427</v>
      </c>
      <c r="F4480" s="691"/>
      <c r="G4480" s="555" t="s">
        <v>7</v>
      </c>
      <c r="H4480" s="554" t="s">
        <v>8</v>
      </c>
      <c r="I4480" s="554" t="s">
        <v>9</v>
      </c>
      <c r="J4480" s="554" t="s">
        <v>11</v>
      </c>
    </row>
    <row r="4481" spans="1:10" ht="38.25" customHeight="1" x14ac:dyDescent="0.3">
      <c r="A4481" s="607" t="s">
        <v>428</v>
      </c>
      <c r="B4481" s="608" t="s">
        <v>1871</v>
      </c>
      <c r="C4481" s="607" t="s">
        <v>19</v>
      </c>
      <c r="D4481" s="607" t="s">
        <v>1872</v>
      </c>
      <c r="E4481" s="690" t="s">
        <v>461</v>
      </c>
      <c r="F4481" s="690"/>
      <c r="G4481" s="609" t="s">
        <v>423</v>
      </c>
      <c r="H4481" s="610">
        <v>1</v>
      </c>
      <c r="I4481" s="611">
        <v>47.95</v>
      </c>
      <c r="J4481" s="611">
        <v>47.95</v>
      </c>
    </row>
    <row r="4482" spans="1:10" ht="38.25" customHeight="1" thickBot="1" x14ac:dyDescent="0.35">
      <c r="A4482" s="547" t="s">
        <v>433</v>
      </c>
      <c r="B4482" s="548" t="s">
        <v>1879</v>
      </c>
      <c r="C4482" s="547" t="s">
        <v>19</v>
      </c>
      <c r="D4482" s="547" t="s">
        <v>1880</v>
      </c>
      <c r="E4482" s="688" t="s">
        <v>442</v>
      </c>
      <c r="F4482" s="688"/>
      <c r="G4482" s="549" t="s">
        <v>81</v>
      </c>
      <c r="H4482" s="550">
        <v>5.3300000000000001E-5</v>
      </c>
      <c r="I4482" s="551">
        <v>899714.32</v>
      </c>
      <c r="J4482" s="551">
        <v>47.95</v>
      </c>
    </row>
    <row r="4483" spans="1:10" ht="39" customHeight="1" thickTop="1" x14ac:dyDescent="0.3">
      <c r="A4483" s="562"/>
      <c r="B4483" s="562"/>
      <c r="C4483" s="562"/>
      <c r="D4483" s="562"/>
      <c r="E4483" s="562"/>
      <c r="F4483" s="562"/>
      <c r="G4483" s="562"/>
      <c r="H4483" s="562"/>
      <c r="I4483" s="562"/>
      <c r="J4483" s="562"/>
    </row>
    <row r="4484" spans="1:10" x14ac:dyDescent="0.3">
      <c r="A4484" s="553"/>
      <c r="B4484" s="554" t="s">
        <v>4</v>
      </c>
      <c r="C4484" s="553" t="s">
        <v>5</v>
      </c>
      <c r="D4484" s="553" t="s">
        <v>6</v>
      </c>
      <c r="E4484" s="691" t="s">
        <v>427</v>
      </c>
      <c r="F4484" s="691"/>
      <c r="G4484" s="555" t="s">
        <v>7</v>
      </c>
      <c r="H4484" s="554" t="s">
        <v>8</v>
      </c>
      <c r="I4484" s="554" t="s">
        <v>9</v>
      </c>
      <c r="J4484" s="554" t="s">
        <v>11</v>
      </c>
    </row>
    <row r="4485" spans="1:10" ht="38.25" customHeight="1" x14ac:dyDescent="0.3">
      <c r="A4485" s="607" t="s">
        <v>428</v>
      </c>
      <c r="B4485" s="608" t="s">
        <v>1873</v>
      </c>
      <c r="C4485" s="607" t="s">
        <v>19</v>
      </c>
      <c r="D4485" s="607" t="s">
        <v>1874</v>
      </c>
      <c r="E4485" s="690" t="s">
        <v>461</v>
      </c>
      <c r="F4485" s="690"/>
      <c r="G4485" s="609" t="s">
        <v>423</v>
      </c>
      <c r="H4485" s="610">
        <v>1</v>
      </c>
      <c r="I4485" s="611">
        <v>12.86</v>
      </c>
      <c r="J4485" s="611">
        <v>12.86</v>
      </c>
    </row>
    <row r="4486" spans="1:10" s="89" customFormat="1" ht="38.25" customHeight="1" thickBot="1" x14ac:dyDescent="0.35">
      <c r="A4486" s="547" t="s">
        <v>433</v>
      </c>
      <c r="B4486" s="548" t="s">
        <v>1879</v>
      </c>
      <c r="C4486" s="547" t="s">
        <v>19</v>
      </c>
      <c r="D4486" s="547" t="s">
        <v>1880</v>
      </c>
      <c r="E4486" s="688" t="s">
        <v>442</v>
      </c>
      <c r="F4486" s="688"/>
      <c r="G4486" s="549" t="s">
        <v>81</v>
      </c>
      <c r="H4486" s="550">
        <v>1.43E-5</v>
      </c>
      <c r="I4486" s="551">
        <v>899714.32</v>
      </c>
      <c r="J4486" s="551">
        <v>12.86</v>
      </c>
    </row>
    <row r="4487" spans="1:10" ht="38.25" customHeight="1" thickTop="1" x14ac:dyDescent="0.3">
      <c r="A4487" s="562"/>
      <c r="B4487" s="562"/>
      <c r="C4487" s="562"/>
      <c r="D4487" s="562"/>
      <c r="E4487" s="562"/>
      <c r="F4487" s="562"/>
      <c r="G4487" s="562"/>
      <c r="H4487" s="562"/>
      <c r="I4487" s="562"/>
      <c r="J4487" s="562"/>
    </row>
    <row r="4488" spans="1:10" ht="38.25" customHeight="1" x14ac:dyDescent="0.3">
      <c r="A4488" s="553"/>
      <c r="B4488" s="554" t="s">
        <v>4</v>
      </c>
      <c r="C4488" s="553" t="s">
        <v>5</v>
      </c>
      <c r="D4488" s="553" t="s">
        <v>6</v>
      </c>
      <c r="E4488" s="691" t="s">
        <v>427</v>
      </c>
      <c r="F4488" s="691"/>
      <c r="G4488" s="555" t="s">
        <v>7</v>
      </c>
      <c r="H4488" s="554" t="s">
        <v>8</v>
      </c>
      <c r="I4488" s="554" t="s">
        <v>9</v>
      </c>
      <c r="J4488" s="554" t="s">
        <v>11</v>
      </c>
    </row>
    <row r="4489" spans="1:10" ht="38.25" customHeight="1" x14ac:dyDescent="0.3">
      <c r="A4489" s="607" t="s">
        <v>428</v>
      </c>
      <c r="B4489" s="608" t="s">
        <v>1875</v>
      </c>
      <c r="C4489" s="607" t="s">
        <v>19</v>
      </c>
      <c r="D4489" s="607" t="s">
        <v>1876</v>
      </c>
      <c r="E4489" s="690" t="s">
        <v>461</v>
      </c>
      <c r="F4489" s="690"/>
      <c r="G4489" s="609" t="s">
        <v>423</v>
      </c>
      <c r="H4489" s="610">
        <v>1</v>
      </c>
      <c r="I4489" s="611">
        <v>60.01</v>
      </c>
      <c r="J4489" s="611">
        <v>60.01</v>
      </c>
    </row>
    <row r="4490" spans="1:10" ht="38.25" customHeight="1" thickBot="1" x14ac:dyDescent="0.35">
      <c r="A4490" s="547" t="s">
        <v>433</v>
      </c>
      <c r="B4490" s="548" t="s">
        <v>1879</v>
      </c>
      <c r="C4490" s="547" t="s">
        <v>19</v>
      </c>
      <c r="D4490" s="547" t="s">
        <v>1880</v>
      </c>
      <c r="E4490" s="688" t="s">
        <v>442</v>
      </c>
      <c r="F4490" s="688"/>
      <c r="G4490" s="549" t="s">
        <v>81</v>
      </c>
      <c r="H4490" s="550">
        <v>6.6699999999999995E-5</v>
      </c>
      <c r="I4490" s="551">
        <v>899714.32</v>
      </c>
      <c r="J4490" s="551">
        <v>60.01</v>
      </c>
    </row>
    <row r="4491" spans="1:10" ht="39" customHeight="1" thickTop="1" x14ac:dyDescent="0.3">
      <c r="A4491" s="562"/>
      <c r="B4491" s="562"/>
      <c r="C4491" s="562"/>
      <c r="D4491" s="562"/>
      <c r="E4491" s="562"/>
      <c r="F4491" s="562"/>
      <c r="G4491" s="562"/>
      <c r="H4491" s="562"/>
      <c r="I4491" s="562"/>
      <c r="J4491" s="562"/>
    </row>
    <row r="4492" spans="1:10" x14ac:dyDescent="0.3">
      <c r="A4492" s="553"/>
      <c r="B4492" s="554" t="s">
        <v>4</v>
      </c>
      <c r="C4492" s="553" t="s">
        <v>5</v>
      </c>
      <c r="D4492" s="553" t="s">
        <v>6</v>
      </c>
      <c r="E4492" s="691" t="s">
        <v>427</v>
      </c>
      <c r="F4492" s="691"/>
      <c r="G4492" s="555" t="s">
        <v>7</v>
      </c>
      <c r="H4492" s="554" t="s">
        <v>8</v>
      </c>
      <c r="I4492" s="554" t="s">
        <v>9</v>
      </c>
      <c r="J4492" s="554" t="s">
        <v>11</v>
      </c>
    </row>
    <row r="4493" spans="1:10" ht="38.25" customHeight="1" x14ac:dyDescent="0.3">
      <c r="A4493" s="607" t="s">
        <v>428</v>
      </c>
      <c r="B4493" s="608" t="s">
        <v>1877</v>
      </c>
      <c r="C4493" s="607" t="s">
        <v>19</v>
      </c>
      <c r="D4493" s="607" t="s">
        <v>1878</v>
      </c>
      <c r="E4493" s="690" t="s">
        <v>461</v>
      </c>
      <c r="F4493" s="690"/>
      <c r="G4493" s="609" t="s">
        <v>423</v>
      </c>
      <c r="H4493" s="610">
        <v>1</v>
      </c>
      <c r="I4493" s="611">
        <v>80.67</v>
      </c>
      <c r="J4493" s="611">
        <v>80.67</v>
      </c>
    </row>
    <row r="4494" spans="1:10" s="89" customFormat="1" ht="38.25" customHeight="1" thickBot="1" x14ac:dyDescent="0.35">
      <c r="A4494" s="547" t="s">
        <v>433</v>
      </c>
      <c r="B4494" s="548" t="s">
        <v>3859</v>
      </c>
      <c r="C4494" s="547" t="s">
        <v>115</v>
      </c>
      <c r="D4494" s="547" t="s">
        <v>3860</v>
      </c>
      <c r="E4494" s="688" t="s">
        <v>438</v>
      </c>
      <c r="F4494" s="688"/>
      <c r="G4494" s="549" t="s">
        <v>835</v>
      </c>
      <c r="H4494" s="550">
        <v>14.92</v>
      </c>
      <c r="I4494" s="551">
        <v>5.4069000000000003</v>
      </c>
      <c r="J4494" s="551">
        <v>80.67</v>
      </c>
    </row>
    <row r="4495" spans="1:10" ht="38.25" customHeight="1" thickTop="1" x14ac:dyDescent="0.3">
      <c r="A4495" s="562"/>
      <c r="B4495" s="562"/>
      <c r="C4495" s="562"/>
      <c r="D4495" s="562"/>
      <c r="E4495" s="562"/>
      <c r="F4495" s="562"/>
      <c r="G4495" s="562"/>
      <c r="H4495" s="562"/>
      <c r="I4495" s="562"/>
      <c r="J4495" s="562"/>
    </row>
    <row r="4496" spans="1:10" x14ac:dyDescent="0.3">
      <c r="A4496" s="553"/>
      <c r="B4496" s="554" t="s">
        <v>4</v>
      </c>
      <c r="C4496" s="553" t="s">
        <v>5</v>
      </c>
      <c r="D4496" s="553" t="s">
        <v>6</v>
      </c>
      <c r="E4496" s="691" t="s">
        <v>427</v>
      </c>
      <c r="F4496" s="691"/>
      <c r="G4496" s="555" t="s">
        <v>7</v>
      </c>
      <c r="H4496" s="554" t="s">
        <v>8</v>
      </c>
      <c r="I4496" s="554" t="s">
        <v>9</v>
      </c>
      <c r="J4496" s="554" t="s">
        <v>11</v>
      </c>
    </row>
    <row r="4497" spans="1:10" ht="50" x14ac:dyDescent="0.3">
      <c r="A4497" s="607" t="s">
        <v>428</v>
      </c>
      <c r="B4497" s="608" t="s">
        <v>951</v>
      </c>
      <c r="C4497" s="607" t="s">
        <v>19</v>
      </c>
      <c r="D4497" s="607" t="s">
        <v>952</v>
      </c>
      <c r="E4497" s="690" t="s">
        <v>461</v>
      </c>
      <c r="F4497" s="690"/>
      <c r="G4497" s="609" t="s">
        <v>102</v>
      </c>
      <c r="H4497" s="610">
        <v>1</v>
      </c>
      <c r="I4497" s="611">
        <v>66.37</v>
      </c>
      <c r="J4497" s="611">
        <v>66.37</v>
      </c>
    </row>
    <row r="4498" spans="1:10" s="89" customFormat="1" ht="38.25" customHeight="1" x14ac:dyDescent="0.3">
      <c r="A4498" s="547" t="s">
        <v>430</v>
      </c>
      <c r="B4498" s="548" t="s">
        <v>1752</v>
      </c>
      <c r="C4498" s="547" t="s">
        <v>19</v>
      </c>
      <c r="D4498" s="547" t="s">
        <v>1753</v>
      </c>
      <c r="E4498" s="688" t="s">
        <v>429</v>
      </c>
      <c r="F4498" s="688"/>
      <c r="G4498" s="549" t="s">
        <v>423</v>
      </c>
      <c r="H4498" s="550">
        <v>1</v>
      </c>
      <c r="I4498" s="551">
        <v>25.72</v>
      </c>
      <c r="J4498" s="551">
        <v>25.72</v>
      </c>
    </row>
    <row r="4499" spans="1:10" ht="38.25" customHeight="1" x14ac:dyDescent="0.3">
      <c r="A4499" s="547" t="s">
        <v>430</v>
      </c>
      <c r="B4499" s="548" t="s">
        <v>1881</v>
      </c>
      <c r="C4499" s="547" t="s">
        <v>19</v>
      </c>
      <c r="D4499" s="547" t="s">
        <v>1882</v>
      </c>
      <c r="E4499" s="688" t="s">
        <v>461</v>
      </c>
      <c r="F4499" s="688"/>
      <c r="G4499" s="549" t="s">
        <v>423</v>
      </c>
      <c r="H4499" s="550">
        <v>1</v>
      </c>
      <c r="I4499" s="551">
        <v>32.049999999999997</v>
      </c>
      <c r="J4499" s="551">
        <v>32.049999999999997</v>
      </c>
    </row>
    <row r="4500" spans="1:10" ht="50.5" thickBot="1" x14ac:dyDescent="0.35">
      <c r="A4500" s="547" t="s">
        <v>430</v>
      </c>
      <c r="B4500" s="548" t="s">
        <v>1883</v>
      </c>
      <c r="C4500" s="547" t="s">
        <v>19</v>
      </c>
      <c r="D4500" s="547" t="s">
        <v>1884</v>
      </c>
      <c r="E4500" s="688" t="s">
        <v>461</v>
      </c>
      <c r="F4500" s="688"/>
      <c r="G4500" s="549" t="s">
        <v>423</v>
      </c>
      <c r="H4500" s="550">
        <v>1</v>
      </c>
      <c r="I4500" s="551">
        <v>8.6</v>
      </c>
      <c r="J4500" s="551">
        <v>8.6</v>
      </c>
    </row>
    <row r="4501" spans="1:10" ht="14.5" thickTop="1" x14ac:dyDescent="0.3">
      <c r="A4501" s="562"/>
      <c r="B4501" s="562"/>
      <c r="C4501" s="562"/>
      <c r="D4501" s="562"/>
      <c r="E4501" s="562"/>
      <c r="F4501" s="562"/>
      <c r="G4501" s="562"/>
      <c r="H4501" s="562"/>
      <c r="I4501" s="562"/>
      <c r="J4501" s="562"/>
    </row>
    <row r="4502" spans="1:10" s="89" customFormat="1" ht="38.25" customHeight="1" x14ac:dyDescent="0.3">
      <c r="A4502" s="553"/>
      <c r="B4502" s="554" t="s">
        <v>4</v>
      </c>
      <c r="C4502" s="553" t="s">
        <v>5</v>
      </c>
      <c r="D4502" s="553" t="s">
        <v>6</v>
      </c>
      <c r="E4502" s="691" t="s">
        <v>427</v>
      </c>
      <c r="F4502" s="691"/>
      <c r="G4502" s="555" t="s">
        <v>7</v>
      </c>
      <c r="H4502" s="554" t="s">
        <v>8</v>
      </c>
      <c r="I4502" s="554" t="s">
        <v>9</v>
      </c>
      <c r="J4502" s="554" t="s">
        <v>11</v>
      </c>
    </row>
    <row r="4503" spans="1:10" ht="38.25" customHeight="1" x14ac:dyDescent="0.3">
      <c r="A4503" s="607" t="s">
        <v>428</v>
      </c>
      <c r="B4503" s="608" t="s">
        <v>949</v>
      </c>
      <c r="C4503" s="607" t="s">
        <v>19</v>
      </c>
      <c r="D4503" s="607" t="s">
        <v>950</v>
      </c>
      <c r="E4503" s="690" t="s">
        <v>461</v>
      </c>
      <c r="F4503" s="690"/>
      <c r="G4503" s="609" t="s">
        <v>95</v>
      </c>
      <c r="H4503" s="610">
        <v>1</v>
      </c>
      <c r="I4503" s="611">
        <v>158.11000000000001</v>
      </c>
      <c r="J4503" s="611">
        <v>158.11000000000001</v>
      </c>
    </row>
    <row r="4504" spans="1:10" ht="50" x14ac:dyDescent="0.3">
      <c r="A4504" s="547" t="s">
        <v>430</v>
      </c>
      <c r="B4504" s="548" t="s">
        <v>1885</v>
      </c>
      <c r="C4504" s="547" t="s">
        <v>19</v>
      </c>
      <c r="D4504" s="547" t="s">
        <v>1886</v>
      </c>
      <c r="E4504" s="688" t="s">
        <v>461</v>
      </c>
      <c r="F4504" s="688"/>
      <c r="G4504" s="549" t="s">
        <v>423</v>
      </c>
      <c r="H4504" s="550">
        <v>1</v>
      </c>
      <c r="I4504" s="551">
        <v>51.63</v>
      </c>
      <c r="J4504" s="551">
        <v>51.63</v>
      </c>
    </row>
    <row r="4505" spans="1:10" ht="50" x14ac:dyDescent="0.3">
      <c r="A4505" s="547" t="s">
        <v>430</v>
      </c>
      <c r="B4505" s="548" t="s">
        <v>1887</v>
      </c>
      <c r="C4505" s="547" t="s">
        <v>19</v>
      </c>
      <c r="D4505" s="547" t="s">
        <v>1888</v>
      </c>
      <c r="E4505" s="688" t="s">
        <v>461</v>
      </c>
      <c r="F4505" s="688"/>
      <c r="G4505" s="549" t="s">
        <v>423</v>
      </c>
      <c r="H4505" s="550">
        <v>1</v>
      </c>
      <c r="I4505" s="551">
        <v>40.11</v>
      </c>
      <c r="J4505" s="551">
        <v>40.11</v>
      </c>
    </row>
    <row r="4506" spans="1:10" s="89" customFormat="1" ht="38.25" customHeight="1" x14ac:dyDescent="0.3">
      <c r="A4506" s="547" t="s">
        <v>430</v>
      </c>
      <c r="B4506" s="548" t="s">
        <v>1752</v>
      </c>
      <c r="C4506" s="547" t="s">
        <v>19</v>
      </c>
      <c r="D4506" s="547" t="s">
        <v>1753</v>
      </c>
      <c r="E4506" s="688" t="s">
        <v>429</v>
      </c>
      <c r="F4506" s="688"/>
      <c r="G4506" s="549" t="s">
        <v>423</v>
      </c>
      <c r="H4506" s="550">
        <v>1</v>
      </c>
      <c r="I4506" s="551">
        <v>25.72</v>
      </c>
      <c r="J4506" s="551">
        <v>25.72</v>
      </c>
    </row>
    <row r="4507" spans="1:10" ht="38.25" customHeight="1" x14ac:dyDescent="0.3">
      <c r="A4507" s="547" t="s">
        <v>430</v>
      </c>
      <c r="B4507" s="548" t="s">
        <v>1881</v>
      </c>
      <c r="C4507" s="547" t="s">
        <v>19</v>
      </c>
      <c r="D4507" s="547" t="s">
        <v>1882</v>
      </c>
      <c r="E4507" s="688" t="s">
        <v>461</v>
      </c>
      <c r="F4507" s="688"/>
      <c r="G4507" s="549" t="s">
        <v>423</v>
      </c>
      <c r="H4507" s="550">
        <v>1</v>
      </c>
      <c r="I4507" s="551">
        <v>32.049999999999997</v>
      </c>
      <c r="J4507" s="551">
        <v>32.049999999999997</v>
      </c>
    </row>
    <row r="4508" spans="1:10" ht="50.5" thickBot="1" x14ac:dyDescent="0.35">
      <c r="A4508" s="547" t="s">
        <v>430</v>
      </c>
      <c r="B4508" s="548" t="s">
        <v>1883</v>
      </c>
      <c r="C4508" s="547" t="s">
        <v>19</v>
      </c>
      <c r="D4508" s="547" t="s">
        <v>1884</v>
      </c>
      <c r="E4508" s="688" t="s">
        <v>461</v>
      </c>
      <c r="F4508" s="688"/>
      <c r="G4508" s="549" t="s">
        <v>423</v>
      </c>
      <c r="H4508" s="550">
        <v>1</v>
      </c>
      <c r="I4508" s="551">
        <v>8.6</v>
      </c>
      <c r="J4508" s="551">
        <v>8.6</v>
      </c>
    </row>
    <row r="4509" spans="1:10" ht="38.25" customHeight="1" thickTop="1" x14ac:dyDescent="0.3">
      <c r="A4509" s="562"/>
      <c r="B4509" s="562"/>
      <c r="C4509" s="562"/>
      <c r="D4509" s="562"/>
      <c r="E4509" s="562"/>
      <c r="F4509" s="562"/>
      <c r="G4509" s="562"/>
      <c r="H4509" s="562"/>
      <c r="I4509" s="562"/>
      <c r="J4509" s="562"/>
    </row>
    <row r="4510" spans="1:10" s="89" customFormat="1" ht="38.25" customHeight="1" x14ac:dyDescent="0.3">
      <c r="A4510" s="553"/>
      <c r="B4510" s="554" t="s">
        <v>4</v>
      </c>
      <c r="C4510" s="553" t="s">
        <v>5</v>
      </c>
      <c r="D4510" s="553" t="s">
        <v>6</v>
      </c>
      <c r="E4510" s="691" t="s">
        <v>427</v>
      </c>
      <c r="F4510" s="691"/>
      <c r="G4510" s="555" t="s">
        <v>7</v>
      </c>
      <c r="H4510" s="554" t="s">
        <v>8</v>
      </c>
      <c r="I4510" s="554" t="s">
        <v>9</v>
      </c>
      <c r="J4510" s="554" t="s">
        <v>11</v>
      </c>
    </row>
    <row r="4511" spans="1:10" ht="50" x14ac:dyDescent="0.3">
      <c r="A4511" s="607" t="s">
        <v>428</v>
      </c>
      <c r="B4511" s="608" t="s">
        <v>1881</v>
      </c>
      <c r="C4511" s="607" t="s">
        <v>19</v>
      </c>
      <c r="D4511" s="607" t="s">
        <v>1882</v>
      </c>
      <c r="E4511" s="690" t="s">
        <v>461</v>
      </c>
      <c r="F4511" s="690"/>
      <c r="G4511" s="609" t="s">
        <v>423</v>
      </c>
      <c r="H4511" s="610">
        <v>1</v>
      </c>
      <c r="I4511" s="611">
        <v>32.049999999999997</v>
      </c>
      <c r="J4511" s="611">
        <v>32.049999999999997</v>
      </c>
    </row>
    <row r="4512" spans="1:10" ht="38.25" customHeight="1" thickBot="1" x14ac:dyDescent="0.35">
      <c r="A4512" s="547" t="s">
        <v>433</v>
      </c>
      <c r="B4512" s="548" t="s">
        <v>1889</v>
      </c>
      <c r="C4512" s="547" t="s">
        <v>19</v>
      </c>
      <c r="D4512" s="547" t="s">
        <v>1890</v>
      </c>
      <c r="E4512" s="688" t="s">
        <v>442</v>
      </c>
      <c r="F4512" s="688"/>
      <c r="G4512" s="549" t="s">
        <v>81</v>
      </c>
      <c r="H4512" s="550">
        <v>5.3300000000000001E-5</v>
      </c>
      <c r="I4512" s="551">
        <v>601465.48</v>
      </c>
      <c r="J4512" s="551">
        <v>32.049999999999997</v>
      </c>
    </row>
    <row r="4513" spans="1:10" ht="39" customHeight="1" thickTop="1" x14ac:dyDescent="0.3">
      <c r="A4513" s="562"/>
      <c r="B4513" s="562"/>
      <c r="C4513" s="562"/>
      <c r="D4513" s="562"/>
      <c r="E4513" s="562"/>
      <c r="F4513" s="562"/>
      <c r="G4513" s="562"/>
      <c r="H4513" s="562"/>
      <c r="I4513" s="562"/>
      <c r="J4513" s="562"/>
    </row>
    <row r="4514" spans="1:10" x14ac:dyDescent="0.3">
      <c r="A4514" s="553"/>
      <c r="B4514" s="554" t="s">
        <v>4</v>
      </c>
      <c r="C4514" s="553" t="s">
        <v>5</v>
      </c>
      <c r="D4514" s="553" t="s">
        <v>6</v>
      </c>
      <c r="E4514" s="691" t="s">
        <v>427</v>
      </c>
      <c r="F4514" s="691"/>
      <c r="G4514" s="555" t="s">
        <v>7</v>
      </c>
      <c r="H4514" s="554" t="s">
        <v>8</v>
      </c>
      <c r="I4514" s="554" t="s">
        <v>9</v>
      </c>
      <c r="J4514" s="554" t="s">
        <v>11</v>
      </c>
    </row>
    <row r="4515" spans="1:10" ht="38.25" customHeight="1" x14ac:dyDescent="0.3">
      <c r="A4515" s="607" t="s">
        <v>428</v>
      </c>
      <c r="B4515" s="608" t="s">
        <v>1883</v>
      </c>
      <c r="C4515" s="607" t="s">
        <v>19</v>
      </c>
      <c r="D4515" s="607" t="s">
        <v>1884</v>
      </c>
      <c r="E4515" s="690" t="s">
        <v>461</v>
      </c>
      <c r="F4515" s="690"/>
      <c r="G4515" s="609" t="s">
        <v>423</v>
      </c>
      <c r="H4515" s="610">
        <v>1</v>
      </c>
      <c r="I4515" s="611">
        <v>8.6</v>
      </c>
      <c r="J4515" s="611">
        <v>8.6</v>
      </c>
    </row>
    <row r="4516" spans="1:10" s="89" customFormat="1" ht="38.25" customHeight="1" thickBot="1" x14ac:dyDescent="0.35">
      <c r="A4516" s="547" t="s">
        <v>433</v>
      </c>
      <c r="B4516" s="548" t="s">
        <v>1889</v>
      </c>
      <c r="C4516" s="547" t="s">
        <v>19</v>
      </c>
      <c r="D4516" s="547" t="s">
        <v>1890</v>
      </c>
      <c r="E4516" s="688" t="s">
        <v>442</v>
      </c>
      <c r="F4516" s="688"/>
      <c r="G4516" s="549" t="s">
        <v>81</v>
      </c>
      <c r="H4516" s="550">
        <v>1.43E-5</v>
      </c>
      <c r="I4516" s="551">
        <v>601465.48</v>
      </c>
      <c r="J4516" s="551">
        <v>8.6</v>
      </c>
    </row>
    <row r="4517" spans="1:10" ht="38.25" customHeight="1" thickTop="1" x14ac:dyDescent="0.3">
      <c r="A4517" s="562"/>
      <c r="B4517" s="562"/>
      <c r="C4517" s="562"/>
      <c r="D4517" s="562"/>
      <c r="E4517" s="562"/>
      <c r="F4517" s="562"/>
      <c r="G4517" s="562"/>
      <c r="H4517" s="562"/>
      <c r="I4517" s="562"/>
      <c r="J4517" s="562"/>
    </row>
    <row r="4518" spans="1:10" ht="38.25" customHeight="1" x14ac:dyDescent="0.3">
      <c r="A4518" s="553"/>
      <c r="B4518" s="554" t="s">
        <v>4</v>
      </c>
      <c r="C4518" s="553" t="s">
        <v>5</v>
      </c>
      <c r="D4518" s="553" t="s">
        <v>6</v>
      </c>
      <c r="E4518" s="691" t="s">
        <v>427</v>
      </c>
      <c r="F4518" s="691"/>
      <c r="G4518" s="555" t="s">
        <v>7</v>
      </c>
      <c r="H4518" s="554" t="s">
        <v>8</v>
      </c>
      <c r="I4518" s="554" t="s">
        <v>9</v>
      </c>
      <c r="J4518" s="554" t="s">
        <v>11</v>
      </c>
    </row>
    <row r="4519" spans="1:10" ht="38.25" customHeight="1" x14ac:dyDescent="0.3">
      <c r="A4519" s="607" t="s">
        <v>428</v>
      </c>
      <c r="B4519" s="608" t="s">
        <v>1887</v>
      </c>
      <c r="C4519" s="607" t="s">
        <v>19</v>
      </c>
      <c r="D4519" s="607" t="s">
        <v>1888</v>
      </c>
      <c r="E4519" s="690" t="s">
        <v>461</v>
      </c>
      <c r="F4519" s="690"/>
      <c r="G4519" s="609" t="s">
        <v>423</v>
      </c>
      <c r="H4519" s="610">
        <v>1</v>
      </c>
      <c r="I4519" s="611">
        <v>40.11</v>
      </c>
      <c r="J4519" s="611">
        <v>40.11</v>
      </c>
    </row>
    <row r="4520" spans="1:10" ht="38.25" customHeight="1" thickBot="1" x14ac:dyDescent="0.35">
      <c r="A4520" s="547" t="s">
        <v>433</v>
      </c>
      <c r="B4520" s="548" t="s">
        <v>1889</v>
      </c>
      <c r="C4520" s="547" t="s">
        <v>19</v>
      </c>
      <c r="D4520" s="547" t="s">
        <v>1890</v>
      </c>
      <c r="E4520" s="688" t="s">
        <v>442</v>
      </c>
      <c r="F4520" s="688"/>
      <c r="G4520" s="549" t="s">
        <v>81</v>
      </c>
      <c r="H4520" s="550">
        <v>6.6699999999999995E-5</v>
      </c>
      <c r="I4520" s="551">
        <v>601465.48</v>
      </c>
      <c r="J4520" s="551">
        <v>40.11</v>
      </c>
    </row>
    <row r="4521" spans="1:10" ht="39" customHeight="1" thickTop="1" x14ac:dyDescent="0.3">
      <c r="A4521" s="562"/>
      <c r="B4521" s="562"/>
      <c r="C4521" s="562"/>
      <c r="D4521" s="562"/>
      <c r="E4521" s="562"/>
      <c r="F4521" s="562"/>
      <c r="G4521" s="562"/>
      <c r="H4521" s="562"/>
      <c r="I4521" s="562"/>
      <c r="J4521" s="562"/>
    </row>
    <row r="4522" spans="1:10" x14ac:dyDescent="0.3">
      <c r="A4522" s="553"/>
      <c r="B4522" s="554" t="s">
        <v>4</v>
      </c>
      <c r="C4522" s="553" t="s">
        <v>5</v>
      </c>
      <c r="D4522" s="553" t="s">
        <v>6</v>
      </c>
      <c r="E4522" s="691" t="s">
        <v>427</v>
      </c>
      <c r="F4522" s="691"/>
      <c r="G4522" s="555" t="s">
        <v>7</v>
      </c>
      <c r="H4522" s="554" t="s">
        <v>8</v>
      </c>
      <c r="I4522" s="554" t="s">
        <v>9</v>
      </c>
      <c r="J4522" s="554" t="s">
        <v>11</v>
      </c>
    </row>
    <row r="4523" spans="1:10" ht="50" x14ac:dyDescent="0.3">
      <c r="A4523" s="607" t="s">
        <v>428</v>
      </c>
      <c r="B4523" s="608" t="s">
        <v>1885</v>
      </c>
      <c r="C4523" s="607" t="s">
        <v>19</v>
      </c>
      <c r="D4523" s="607" t="s">
        <v>1886</v>
      </c>
      <c r="E4523" s="690" t="s">
        <v>461</v>
      </c>
      <c r="F4523" s="690"/>
      <c r="G4523" s="609" t="s">
        <v>423</v>
      </c>
      <c r="H4523" s="610">
        <v>1</v>
      </c>
      <c r="I4523" s="611">
        <v>51.63</v>
      </c>
      <c r="J4523" s="611">
        <v>51.63</v>
      </c>
    </row>
    <row r="4524" spans="1:10" s="89" customFormat="1" ht="38.25" customHeight="1" thickBot="1" x14ac:dyDescent="0.35">
      <c r="A4524" s="547" t="s">
        <v>433</v>
      </c>
      <c r="B4524" s="548" t="s">
        <v>3859</v>
      </c>
      <c r="C4524" s="547" t="s">
        <v>115</v>
      </c>
      <c r="D4524" s="547" t="s">
        <v>3860</v>
      </c>
      <c r="E4524" s="688" t="s">
        <v>438</v>
      </c>
      <c r="F4524" s="688"/>
      <c r="G4524" s="549" t="s">
        <v>835</v>
      </c>
      <c r="H4524" s="550">
        <v>9.5500000000000007</v>
      </c>
      <c r="I4524" s="551">
        <v>5.4069000000000003</v>
      </c>
      <c r="J4524" s="551">
        <v>51.63</v>
      </c>
    </row>
    <row r="4525" spans="1:10" ht="38.25" customHeight="1" thickTop="1" x14ac:dyDescent="0.3">
      <c r="A4525" s="562"/>
      <c r="B4525" s="562"/>
      <c r="C4525" s="562"/>
      <c r="D4525" s="562"/>
      <c r="E4525" s="562"/>
      <c r="F4525" s="562"/>
      <c r="G4525" s="562"/>
      <c r="H4525" s="562"/>
      <c r="I4525" s="562"/>
      <c r="J4525" s="562"/>
    </row>
    <row r="4526" spans="1:10" x14ac:dyDescent="0.3">
      <c r="A4526" s="553"/>
      <c r="B4526" s="554" t="s">
        <v>4</v>
      </c>
      <c r="C4526" s="553" t="s">
        <v>5</v>
      </c>
      <c r="D4526" s="553" t="s">
        <v>6</v>
      </c>
      <c r="E4526" s="691" t="s">
        <v>427</v>
      </c>
      <c r="F4526" s="691"/>
      <c r="G4526" s="555" t="s">
        <v>7</v>
      </c>
      <c r="H4526" s="554" t="s">
        <v>8</v>
      </c>
      <c r="I4526" s="554" t="s">
        <v>9</v>
      </c>
      <c r="J4526" s="554" t="s">
        <v>11</v>
      </c>
    </row>
    <row r="4527" spans="1:10" ht="38.25" customHeight="1" x14ac:dyDescent="0.3">
      <c r="A4527" s="607" t="s">
        <v>428</v>
      </c>
      <c r="B4527" s="608" t="s">
        <v>1088</v>
      </c>
      <c r="C4527" s="607" t="s">
        <v>19</v>
      </c>
      <c r="D4527" s="607" t="s">
        <v>1089</v>
      </c>
      <c r="E4527" s="690" t="s">
        <v>461</v>
      </c>
      <c r="F4527" s="690"/>
      <c r="G4527" s="609" t="s">
        <v>102</v>
      </c>
      <c r="H4527" s="610">
        <v>1</v>
      </c>
      <c r="I4527" s="611">
        <v>68.05</v>
      </c>
      <c r="J4527" s="611">
        <v>68.05</v>
      </c>
    </row>
    <row r="4528" spans="1:10" s="89" customFormat="1" ht="38.25" customHeight="1" x14ac:dyDescent="0.3">
      <c r="A4528" s="547" t="s">
        <v>430</v>
      </c>
      <c r="B4528" s="548" t="s">
        <v>1891</v>
      </c>
      <c r="C4528" s="547" t="s">
        <v>19</v>
      </c>
      <c r="D4528" s="547" t="s">
        <v>1892</v>
      </c>
      <c r="E4528" s="688" t="s">
        <v>461</v>
      </c>
      <c r="F4528" s="688"/>
      <c r="G4528" s="549" t="s">
        <v>423</v>
      </c>
      <c r="H4528" s="550">
        <v>1</v>
      </c>
      <c r="I4528" s="551">
        <v>33.33</v>
      </c>
      <c r="J4528" s="551">
        <v>33.33</v>
      </c>
    </row>
    <row r="4529" spans="1:10" ht="38.25" customHeight="1" x14ac:dyDescent="0.3">
      <c r="A4529" s="547" t="s">
        <v>430</v>
      </c>
      <c r="B4529" s="548" t="s">
        <v>1893</v>
      </c>
      <c r="C4529" s="547" t="s">
        <v>19</v>
      </c>
      <c r="D4529" s="547" t="s">
        <v>1894</v>
      </c>
      <c r="E4529" s="688" t="s">
        <v>461</v>
      </c>
      <c r="F4529" s="688"/>
      <c r="G4529" s="549" t="s">
        <v>423</v>
      </c>
      <c r="H4529" s="550">
        <v>1</v>
      </c>
      <c r="I4529" s="551">
        <v>9</v>
      </c>
      <c r="J4529" s="551">
        <v>9</v>
      </c>
    </row>
    <row r="4530" spans="1:10" ht="25.5" thickBot="1" x14ac:dyDescent="0.35">
      <c r="A4530" s="547" t="s">
        <v>430</v>
      </c>
      <c r="B4530" s="548" t="s">
        <v>1752</v>
      </c>
      <c r="C4530" s="547" t="s">
        <v>19</v>
      </c>
      <c r="D4530" s="547" t="s">
        <v>1753</v>
      </c>
      <c r="E4530" s="688" t="s">
        <v>429</v>
      </c>
      <c r="F4530" s="688"/>
      <c r="G4530" s="549" t="s">
        <v>423</v>
      </c>
      <c r="H4530" s="550">
        <v>1</v>
      </c>
      <c r="I4530" s="551">
        <v>25.72</v>
      </c>
      <c r="J4530" s="551">
        <v>25.72</v>
      </c>
    </row>
    <row r="4531" spans="1:10" ht="14.5" thickTop="1" x14ac:dyDescent="0.3">
      <c r="A4531" s="562"/>
      <c r="B4531" s="562"/>
      <c r="C4531" s="562"/>
      <c r="D4531" s="562"/>
      <c r="E4531" s="562"/>
      <c r="F4531" s="562"/>
      <c r="G4531" s="562"/>
      <c r="H4531" s="562"/>
      <c r="I4531" s="562"/>
      <c r="J4531" s="562"/>
    </row>
    <row r="4532" spans="1:10" s="89" customFormat="1" ht="38.25" customHeight="1" x14ac:dyDescent="0.3">
      <c r="A4532" s="553"/>
      <c r="B4532" s="554" t="s">
        <v>4</v>
      </c>
      <c r="C4532" s="553" t="s">
        <v>5</v>
      </c>
      <c r="D4532" s="553" t="s">
        <v>6</v>
      </c>
      <c r="E4532" s="691" t="s">
        <v>427</v>
      </c>
      <c r="F4532" s="691"/>
      <c r="G4532" s="555" t="s">
        <v>7</v>
      </c>
      <c r="H4532" s="554" t="s">
        <v>8</v>
      </c>
      <c r="I4532" s="554" t="s">
        <v>9</v>
      </c>
      <c r="J4532" s="554" t="s">
        <v>11</v>
      </c>
    </row>
    <row r="4533" spans="1:10" ht="38.25" customHeight="1" x14ac:dyDescent="0.3">
      <c r="A4533" s="607" t="s">
        <v>428</v>
      </c>
      <c r="B4533" s="608" t="s">
        <v>1086</v>
      </c>
      <c r="C4533" s="607" t="s">
        <v>19</v>
      </c>
      <c r="D4533" s="607" t="s">
        <v>1087</v>
      </c>
      <c r="E4533" s="690" t="s">
        <v>461</v>
      </c>
      <c r="F4533" s="690"/>
      <c r="G4533" s="609" t="s">
        <v>95</v>
      </c>
      <c r="H4533" s="610">
        <v>1</v>
      </c>
      <c r="I4533" s="611">
        <v>161.38999999999999</v>
      </c>
      <c r="J4533" s="611">
        <v>161.38999999999999</v>
      </c>
    </row>
    <row r="4534" spans="1:10" ht="38.25" customHeight="1" x14ac:dyDescent="0.3">
      <c r="A4534" s="547" t="s">
        <v>430</v>
      </c>
      <c r="B4534" s="548" t="s">
        <v>1895</v>
      </c>
      <c r="C4534" s="547" t="s">
        <v>19</v>
      </c>
      <c r="D4534" s="547" t="s">
        <v>1896</v>
      </c>
      <c r="E4534" s="688" t="s">
        <v>461</v>
      </c>
      <c r="F4534" s="688"/>
      <c r="G4534" s="549" t="s">
        <v>423</v>
      </c>
      <c r="H4534" s="550">
        <v>1</v>
      </c>
      <c r="I4534" s="551">
        <v>41.71</v>
      </c>
      <c r="J4534" s="551">
        <v>41.71</v>
      </c>
    </row>
    <row r="4535" spans="1:10" ht="38.25" customHeight="1" x14ac:dyDescent="0.3">
      <c r="A4535" s="547" t="s">
        <v>430</v>
      </c>
      <c r="B4535" s="548" t="s">
        <v>1891</v>
      </c>
      <c r="C4535" s="547" t="s">
        <v>19</v>
      </c>
      <c r="D4535" s="547" t="s">
        <v>1892</v>
      </c>
      <c r="E4535" s="688" t="s">
        <v>461</v>
      </c>
      <c r="F4535" s="688"/>
      <c r="G4535" s="549" t="s">
        <v>423</v>
      </c>
      <c r="H4535" s="550">
        <v>1</v>
      </c>
      <c r="I4535" s="551">
        <v>33.33</v>
      </c>
      <c r="J4535" s="551">
        <v>33.33</v>
      </c>
    </row>
    <row r="4536" spans="1:10" s="89" customFormat="1" ht="38.25" customHeight="1" x14ac:dyDescent="0.3">
      <c r="A4536" s="547" t="s">
        <v>430</v>
      </c>
      <c r="B4536" s="548" t="s">
        <v>1893</v>
      </c>
      <c r="C4536" s="547" t="s">
        <v>19</v>
      </c>
      <c r="D4536" s="547" t="s">
        <v>1894</v>
      </c>
      <c r="E4536" s="688" t="s">
        <v>461</v>
      </c>
      <c r="F4536" s="688"/>
      <c r="G4536" s="549" t="s">
        <v>423</v>
      </c>
      <c r="H4536" s="550">
        <v>1</v>
      </c>
      <c r="I4536" s="551">
        <v>9</v>
      </c>
      <c r="J4536" s="551">
        <v>9</v>
      </c>
    </row>
    <row r="4537" spans="1:10" ht="38.25" customHeight="1" x14ac:dyDescent="0.3">
      <c r="A4537" s="547" t="s">
        <v>430</v>
      </c>
      <c r="B4537" s="548" t="s">
        <v>1897</v>
      </c>
      <c r="C4537" s="547" t="s">
        <v>19</v>
      </c>
      <c r="D4537" s="547" t="s">
        <v>1898</v>
      </c>
      <c r="E4537" s="688" t="s">
        <v>461</v>
      </c>
      <c r="F4537" s="688"/>
      <c r="G4537" s="549" t="s">
        <v>423</v>
      </c>
      <c r="H4537" s="550">
        <v>1</v>
      </c>
      <c r="I4537" s="551">
        <v>51.63</v>
      </c>
      <c r="J4537" s="551">
        <v>51.63</v>
      </c>
    </row>
    <row r="4538" spans="1:10" ht="25.5" thickBot="1" x14ac:dyDescent="0.35">
      <c r="A4538" s="547" t="s">
        <v>430</v>
      </c>
      <c r="B4538" s="548" t="s">
        <v>1752</v>
      </c>
      <c r="C4538" s="547" t="s">
        <v>19</v>
      </c>
      <c r="D4538" s="547" t="s">
        <v>1753</v>
      </c>
      <c r="E4538" s="688" t="s">
        <v>429</v>
      </c>
      <c r="F4538" s="688"/>
      <c r="G4538" s="549" t="s">
        <v>423</v>
      </c>
      <c r="H4538" s="550">
        <v>1</v>
      </c>
      <c r="I4538" s="551">
        <v>25.72</v>
      </c>
      <c r="J4538" s="551">
        <v>25.72</v>
      </c>
    </row>
    <row r="4539" spans="1:10" ht="14.5" thickTop="1" x14ac:dyDescent="0.3">
      <c r="A4539" s="562"/>
      <c r="B4539" s="562"/>
      <c r="C4539" s="562"/>
      <c r="D4539" s="562"/>
      <c r="E4539" s="562"/>
      <c r="F4539" s="562"/>
      <c r="G4539" s="562"/>
      <c r="H4539" s="562"/>
      <c r="I4539" s="562"/>
      <c r="J4539" s="562"/>
    </row>
    <row r="4540" spans="1:10" s="89" customFormat="1" x14ac:dyDescent="0.3">
      <c r="A4540" s="553"/>
      <c r="B4540" s="554" t="s">
        <v>4</v>
      </c>
      <c r="C4540" s="553" t="s">
        <v>5</v>
      </c>
      <c r="D4540" s="553" t="s">
        <v>6</v>
      </c>
      <c r="E4540" s="691" t="s">
        <v>427</v>
      </c>
      <c r="F4540" s="691"/>
      <c r="G4540" s="555" t="s">
        <v>7</v>
      </c>
      <c r="H4540" s="554" t="s">
        <v>8</v>
      </c>
      <c r="I4540" s="554" t="s">
        <v>9</v>
      </c>
      <c r="J4540" s="554" t="s">
        <v>11</v>
      </c>
    </row>
    <row r="4541" spans="1:10" ht="38.25" customHeight="1" x14ac:dyDescent="0.3">
      <c r="A4541" s="607" t="s">
        <v>428</v>
      </c>
      <c r="B4541" s="608" t="s">
        <v>1891</v>
      </c>
      <c r="C4541" s="607" t="s">
        <v>19</v>
      </c>
      <c r="D4541" s="607" t="s">
        <v>1892</v>
      </c>
      <c r="E4541" s="690" t="s">
        <v>461</v>
      </c>
      <c r="F4541" s="690"/>
      <c r="G4541" s="609" t="s">
        <v>423</v>
      </c>
      <c r="H4541" s="610">
        <v>1</v>
      </c>
      <c r="I4541" s="611">
        <v>33.33</v>
      </c>
      <c r="J4541" s="611">
        <v>33.33</v>
      </c>
    </row>
    <row r="4542" spans="1:10" ht="38" thickBot="1" x14ac:dyDescent="0.35">
      <c r="A4542" s="547" t="s">
        <v>433</v>
      </c>
      <c r="B4542" s="548" t="s">
        <v>1899</v>
      </c>
      <c r="C4542" s="547" t="s">
        <v>19</v>
      </c>
      <c r="D4542" s="547" t="s">
        <v>1900</v>
      </c>
      <c r="E4542" s="688" t="s">
        <v>442</v>
      </c>
      <c r="F4542" s="688"/>
      <c r="G4542" s="549" t="s">
        <v>81</v>
      </c>
      <c r="H4542" s="550">
        <v>5.3300000000000001E-5</v>
      </c>
      <c r="I4542" s="551">
        <v>625341.67000000004</v>
      </c>
      <c r="J4542" s="551">
        <v>33.33</v>
      </c>
    </row>
    <row r="4543" spans="1:10" ht="14.5" thickTop="1" x14ac:dyDescent="0.3">
      <c r="A4543" s="562"/>
      <c r="B4543" s="562"/>
      <c r="C4543" s="562"/>
      <c r="D4543" s="562"/>
      <c r="E4543" s="562"/>
      <c r="F4543" s="562"/>
      <c r="G4543" s="562"/>
      <c r="H4543" s="562"/>
      <c r="I4543" s="562"/>
      <c r="J4543" s="562"/>
    </row>
    <row r="4544" spans="1:10" x14ac:dyDescent="0.3">
      <c r="A4544" s="553"/>
      <c r="B4544" s="554" t="s">
        <v>4</v>
      </c>
      <c r="C4544" s="553" t="s">
        <v>5</v>
      </c>
      <c r="D4544" s="553" t="s">
        <v>6</v>
      </c>
      <c r="E4544" s="691" t="s">
        <v>427</v>
      </c>
      <c r="F4544" s="691"/>
      <c r="G4544" s="555" t="s">
        <v>7</v>
      </c>
      <c r="H4544" s="554" t="s">
        <v>8</v>
      </c>
      <c r="I4544" s="554" t="s">
        <v>9</v>
      </c>
      <c r="J4544" s="554" t="s">
        <v>11</v>
      </c>
    </row>
    <row r="4545" spans="1:10" ht="38.25" customHeight="1" x14ac:dyDescent="0.3">
      <c r="A4545" s="607" t="s">
        <v>428</v>
      </c>
      <c r="B4545" s="608" t="s">
        <v>1893</v>
      </c>
      <c r="C4545" s="607" t="s">
        <v>19</v>
      </c>
      <c r="D4545" s="607" t="s">
        <v>1894</v>
      </c>
      <c r="E4545" s="690" t="s">
        <v>461</v>
      </c>
      <c r="F4545" s="690"/>
      <c r="G4545" s="609" t="s">
        <v>423</v>
      </c>
      <c r="H4545" s="610">
        <v>1</v>
      </c>
      <c r="I4545" s="611">
        <v>9</v>
      </c>
      <c r="J4545" s="611">
        <v>9</v>
      </c>
    </row>
    <row r="4546" spans="1:10" s="89" customFormat="1" ht="38" thickBot="1" x14ac:dyDescent="0.35">
      <c r="A4546" s="547" t="s">
        <v>433</v>
      </c>
      <c r="B4546" s="548" t="s">
        <v>1899</v>
      </c>
      <c r="C4546" s="547" t="s">
        <v>19</v>
      </c>
      <c r="D4546" s="547" t="s">
        <v>1900</v>
      </c>
      <c r="E4546" s="688" t="s">
        <v>442</v>
      </c>
      <c r="F4546" s="688"/>
      <c r="G4546" s="549" t="s">
        <v>81</v>
      </c>
      <c r="H4546" s="550">
        <v>1.4399999999999999E-5</v>
      </c>
      <c r="I4546" s="551">
        <v>625341.67000000004</v>
      </c>
      <c r="J4546" s="551">
        <v>9</v>
      </c>
    </row>
    <row r="4547" spans="1:10" ht="14.5" thickTop="1" x14ac:dyDescent="0.3">
      <c r="A4547" s="562"/>
      <c r="B4547" s="562"/>
      <c r="C4547" s="562"/>
      <c r="D4547" s="562"/>
      <c r="E4547" s="562"/>
      <c r="F4547" s="562"/>
      <c r="G4547" s="562"/>
      <c r="H4547" s="562"/>
      <c r="I4547" s="562"/>
      <c r="J4547" s="562"/>
    </row>
    <row r="4548" spans="1:10" x14ac:dyDescent="0.3">
      <c r="A4548" s="553"/>
      <c r="B4548" s="554" t="s">
        <v>4</v>
      </c>
      <c r="C4548" s="553" t="s">
        <v>5</v>
      </c>
      <c r="D4548" s="553" t="s">
        <v>6</v>
      </c>
      <c r="E4548" s="691" t="s">
        <v>427</v>
      </c>
      <c r="F4548" s="691"/>
      <c r="G4548" s="555" t="s">
        <v>7</v>
      </c>
      <c r="H4548" s="554" t="s">
        <v>8</v>
      </c>
      <c r="I4548" s="554" t="s">
        <v>9</v>
      </c>
      <c r="J4548" s="554" t="s">
        <v>11</v>
      </c>
    </row>
    <row r="4549" spans="1:10" ht="38.25" customHeight="1" x14ac:dyDescent="0.3">
      <c r="A4549" s="607" t="s">
        <v>428</v>
      </c>
      <c r="B4549" s="608" t="s">
        <v>1895</v>
      </c>
      <c r="C4549" s="607" t="s">
        <v>19</v>
      </c>
      <c r="D4549" s="607" t="s">
        <v>1896</v>
      </c>
      <c r="E4549" s="690" t="s">
        <v>461</v>
      </c>
      <c r="F4549" s="690"/>
      <c r="G4549" s="609" t="s">
        <v>423</v>
      </c>
      <c r="H4549" s="610">
        <v>1</v>
      </c>
      <c r="I4549" s="611">
        <v>41.71</v>
      </c>
      <c r="J4549" s="611">
        <v>41.71</v>
      </c>
    </row>
    <row r="4550" spans="1:10" ht="38" thickBot="1" x14ac:dyDescent="0.35">
      <c r="A4550" s="547" t="s">
        <v>433</v>
      </c>
      <c r="B4550" s="548" t="s">
        <v>1899</v>
      </c>
      <c r="C4550" s="547" t="s">
        <v>19</v>
      </c>
      <c r="D4550" s="547" t="s">
        <v>1900</v>
      </c>
      <c r="E4550" s="688" t="s">
        <v>442</v>
      </c>
      <c r="F4550" s="688"/>
      <c r="G4550" s="549" t="s">
        <v>81</v>
      </c>
      <c r="H4550" s="550">
        <v>6.6699999999999995E-5</v>
      </c>
      <c r="I4550" s="551">
        <v>625341.67000000004</v>
      </c>
      <c r="J4550" s="551">
        <v>41.71</v>
      </c>
    </row>
    <row r="4551" spans="1:10" ht="14.5" thickTop="1" x14ac:dyDescent="0.3">
      <c r="A4551" s="562"/>
      <c r="B4551" s="562"/>
      <c r="C4551" s="562"/>
      <c r="D4551" s="562"/>
      <c r="E4551" s="562"/>
      <c r="F4551" s="562"/>
      <c r="G4551" s="562"/>
      <c r="H4551" s="562"/>
      <c r="I4551" s="562"/>
      <c r="J4551" s="562"/>
    </row>
    <row r="4552" spans="1:10" x14ac:dyDescent="0.3">
      <c r="A4552" s="553"/>
      <c r="B4552" s="554" t="s">
        <v>4</v>
      </c>
      <c r="C4552" s="553" t="s">
        <v>5</v>
      </c>
      <c r="D4552" s="553" t="s">
        <v>6</v>
      </c>
      <c r="E4552" s="691" t="s">
        <v>427</v>
      </c>
      <c r="F4552" s="691"/>
      <c r="G4552" s="555" t="s">
        <v>7</v>
      </c>
      <c r="H4552" s="554" t="s">
        <v>8</v>
      </c>
      <c r="I4552" s="554" t="s">
        <v>9</v>
      </c>
      <c r="J4552" s="554" t="s">
        <v>11</v>
      </c>
    </row>
    <row r="4553" spans="1:10" ht="38.25" customHeight="1" x14ac:dyDescent="0.3">
      <c r="A4553" s="607" t="s">
        <v>428</v>
      </c>
      <c r="B4553" s="608" t="s">
        <v>1897</v>
      </c>
      <c r="C4553" s="607" t="s">
        <v>19</v>
      </c>
      <c r="D4553" s="607" t="s">
        <v>1898</v>
      </c>
      <c r="E4553" s="690" t="s">
        <v>461</v>
      </c>
      <c r="F4553" s="690"/>
      <c r="G4553" s="609" t="s">
        <v>423</v>
      </c>
      <c r="H4553" s="610">
        <v>1</v>
      </c>
      <c r="I4553" s="611">
        <v>51.63</v>
      </c>
      <c r="J4553" s="611">
        <v>51.63</v>
      </c>
    </row>
    <row r="4554" spans="1:10" s="89" customFormat="1" ht="14.5" thickBot="1" x14ac:dyDescent="0.35">
      <c r="A4554" s="547" t="s">
        <v>433</v>
      </c>
      <c r="B4554" s="548" t="s">
        <v>3859</v>
      </c>
      <c r="C4554" s="547" t="s">
        <v>115</v>
      </c>
      <c r="D4554" s="547" t="s">
        <v>3860</v>
      </c>
      <c r="E4554" s="688" t="s">
        <v>438</v>
      </c>
      <c r="F4554" s="688"/>
      <c r="G4554" s="549" t="s">
        <v>835</v>
      </c>
      <c r="H4554" s="550">
        <v>9.5500000000000007</v>
      </c>
      <c r="I4554" s="551">
        <v>5.4069000000000003</v>
      </c>
      <c r="J4554" s="551">
        <v>51.63</v>
      </c>
    </row>
    <row r="4555" spans="1:10" ht="14.5" thickTop="1" x14ac:dyDescent="0.3">
      <c r="A4555" s="562"/>
      <c r="B4555" s="562"/>
      <c r="C4555" s="562"/>
      <c r="D4555" s="562"/>
      <c r="E4555" s="562"/>
      <c r="F4555" s="562"/>
      <c r="G4555" s="562"/>
      <c r="H4555" s="562"/>
      <c r="I4555" s="562"/>
      <c r="J4555" s="562"/>
    </row>
    <row r="4556" spans="1:10" x14ac:dyDescent="0.3">
      <c r="A4556" s="553"/>
      <c r="B4556" s="554" t="s">
        <v>4</v>
      </c>
      <c r="C4556" s="553" t="s">
        <v>5</v>
      </c>
      <c r="D4556" s="553" t="s">
        <v>6</v>
      </c>
      <c r="E4556" s="691" t="s">
        <v>427</v>
      </c>
      <c r="F4556" s="691"/>
      <c r="G4556" s="555" t="s">
        <v>7</v>
      </c>
      <c r="H4556" s="554" t="s">
        <v>8</v>
      </c>
      <c r="I4556" s="554" t="s">
        <v>9</v>
      </c>
      <c r="J4556" s="554" t="s">
        <v>11</v>
      </c>
    </row>
    <row r="4557" spans="1:10" ht="38.25" customHeight="1" x14ac:dyDescent="0.3">
      <c r="A4557" s="607" t="s">
        <v>428</v>
      </c>
      <c r="B4557" s="608" t="s">
        <v>1055</v>
      </c>
      <c r="C4557" s="607" t="s">
        <v>19</v>
      </c>
      <c r="D4557" s="607" t="s">
        <v>1056</v>
      </c>
      <c r="E4557" s="690" t="s">
        <v>461</v>
      </c>
      <c r="F4557" s="690"/>
      <c r="G4557" s="609" t="s">
        <v>95</v>
      </c>
      <c r="H4557" s="610">
        <v>1</v>
      </c>
      <c r="I4557" s="611">
        <v>24.36</v>
      </c>
      <c r="J4557" s="611">
        <v>24.36</v>
      </c>
    </row>
    <row r="4558" spans="1:10" s="89" customFormat="1" ht="38.25" customHeight="1" x14ac:dyDescent="0.3">
      <c r="A4558" s="547" t="s">
        <v>430</v>
      </c>
      <c r="B4558" s="548" t="s">
        <v>1901</v>
      </c>
      <c r="C4558" s="547" t="s">
        <v>19</v>
      </c>
      <c r="D4558" s="547" t="s">
        <v>1902</v>
      </c>
      <c r="E4558" s="688" t="s">
        <v>461</v>
      </c>
      <c r="F4558" s="688"/>
      <c r="G4558" s="549" t="s">
        <v>423</v>
      </c>
      <c r="H4558" s="550">
        <v>1</v>
      </c>
      <c r="I4558" s="551">
        <v>9.67</v>
      </c>
      <c r="J4558" s="551">
        <v>9.67</v>
      </c>
    </row>
    <row r="4559" spans="1:10" ht="38.25" customHeight="1" x14ac:dyDescent="0.3">
      <c r="A4559" s="547" t="s">
        <v>430</v>
      </c>
      <c r="B4559" s="548" t="s">
        <v>1903</v>
      </c>
      <c r="C4559" s="547" t="s">
        <v>19</v>
      </c>
      <c r="D4559" s="547" t="s">
        <v>1904</v>
      </c>
      <c r="E4559" s="688" t="s">
        <v>461</v>
      </c>
      <c r="F4559" s="688"/>
      <c r="G4559" s="549" t="s">
        <v>423</v>
      </c>
      <c r="H4559" s="550">
        <v>1</v>
      </c>
      <c r="I4559" s="551">
        <v>12.1</v>
      </c>
      <c r="J4559" s="551">
        <v>12.1</v>
      </c>
    </row>
    <row r="4560" spans="1:10" ht="39" customHeight="1" thickBot="1" x14ac:dyDescent="0.35">
      <c r="A4560" s="547" t="s">
        <v>430</v>
      </c>
      <c r="B4560" s="548" t="s">
        <v>1905</v>
      </c>
      <c r="C4560" s="547" t="s">
        <v>19</v>
      </c>
      <c r="D4560" s="547" t="s">
        <v>1906</v>
      </c>
      <c r="E4560" s="688" t="s">
        <v>461</v>
      </c>
      <c r="F4560" s="688"/>
      <c r="G4560" s="549" t="s">
        <v>423</v>
      </c>
      <c r="H4560" s="550">
        <v>1</v>
      </c>
      <c r="I4560" s="551">
        <v>2.59</v>
      </c>
      <c r="J4560" s="551">
        <v>2.59</v>
      </c>
    </row>
    <row r="4561" spans="1:10" ht="14.5" thickTop="1" x14ac:dyDescent="0.3">
      <c r="A4561" s="562"/>
      <c r="B4561" s="562"/>
      <c r="C4561" s="562"/>
      <c r="D4561" s="562"/>
      <c r="E4561" s="562"/>
      <c r="F4561" s="562"/>
      <c r="G4561" s="562"/>
      <c r="H4561" s="562"/>
      <c r="I4561" s="562"/>
      <c r="J4561" s="562"/>
    </row>
    <row r="4562" spans="1:10" s="89" customFormat="1" x14ac:dyDescent="0.3">
      <c r="A4562" s="553"/>
      <c r="B4562" s="554" t="s">
        <v>4</v>
      </c>
      <c r="C4562" s="553" t="s">
        <v>5</v>
      </c>
      <c r="D4562" s="553" t="s">
        <v>6</v>
      </c>
      <c r="E4562" s="691" t="s">
        <v>427</v>
      </c>
      <c r="F4562" s="691"/>
      <c r="G4562" s="555" t="s">
        <v>7</v>
      </c>
      <c r="H4562" s="554" t="s">
        <v>8</v>
      </c>
      <c r="I4562" s="554" t="s">
        <v>9</v>
      </c>
      <c r="J4562" s="554" t="s">
        <v>11</v>
      </c>
    </row>
    <row r="4563" spans="1:10" ht="38.25" customHeight="1" x14ac:dyDescent="0.3">
      <c r="A4563" s="607" t="s">
        <v>428</v>
      </c>
      <c r="B4563" s="608" t="s">
        <v>1901</v>
      </c>
      <c r="C4563" s="607" t="s">
        <v>19</v>
      </c>
      <c r="D4563" s="607" t="s">
        <v>1902</v>
      </c>
      <c r="E4563" s="690" t="s">
        <v>461</v>
      </c>
      <c r="F4563" s="690"/>
      <c r="G4563" s="609" t="s">
        <v>423</v>
      </c>
      <c r="H4563" s="610">
        <v>1</v>
      </c>
      <c r="I4563" s="611">
        <v>9.67</v>
      </c>
      <c r="J4563" s="611">
        <v>9.67</v>
      </c>
    </row>
    <row r="4564" spans="1:10" ht="38" thickBot="1" x14ac:dyDescent="0.35">
      <c r="A4564" s="547" t="s">
        <v>433</v>
      </c>
      <c r="B4564" s="548" t="s">
        <v>1907</v>
      </c>
      <c r="C4564" s="547" t="s">
        <v>19</v>
      </c>
      <c r="D4564" s="547" t="s">
        <v>1908</v>
      </c>
      <c r="E4564" s="688" t="s">
        <v>788</v>
      </c>
      <c r="F4564" s="688"/>
      <c r="G4564" s="549" t="s">
        <v>81</v>
      </c>
      <c r="H4564" s="550">
        <v>5.3300000000000001E-5</v>
      </c>
      <c r="I4564" s="551">
        <v>181554.32</v>
      </c>
      <c r="J4564" s="551">
        <v>9.67</v>
      </c>
    </row>
    <row r="4565" spans="1:10" ht="14.5" thickTop="1" x14ac:dyDescent="0.3">
      <c r="A4565" s="562"/>
      <c r="B4565" s="562"/>
      <c r="C4565" s="562"/>
      <c r="D4565" s="562"/>
      <c r="E4565" s="562"/>
      <c r="F4565" s="562"/>
      <c r="G4565" s="562"/>
      <c r="H4565" s="562"/>
      <c r="I4565" s="562"/>
      <c r="J4565" s="562"/>
    </row>
    <row r="4566" spans="1:10" s="89" customFormat="1" x14ac:dyDescent="0.3">
      <c r="A4566" s="553"/>
      <c r="B4566" s="554" t="s">
        <v>4</v>
      </c>
      <c r="C4566" s="553" t="s">
        <v>5</v>
      </c>
      <c r="D4566" s="553" t="s">
        <v>6</v>
      </c>
      <c r="E4566" s="691" t="s">
        <v>427</v>
      </c>
      <c r="F4566" s="691"/>
      <c r="G4566" s="555" t="s">
        <v>7</v>
      </c>
      <c r="H4566" s="554" t="s">
        <v>8</v>
      </c>
      <c r="I4566" s="554" t="s">
        <v>9</v>
      </c>
      <c r="J4566" s="554" t="s">
        <v>11</v>
      </c>
    </row>
    <row r="4567" spans="1:10" ht="38.25" customHeight="1" x14ac:dyDescent="0.3">
      <c r="A4567" s="607" t="s">
        <v>428</v>
      </c>
      <c r="B4567" s="608" t="s">
        <v>1905</v>
      </c>
      <c r="C4567" s="607" t="s">
        <v>19</v>
      </c>
      <c r="D4567" s="607" t="s">
        <v>1906</v>
      </c>
      <c r="E4567" s="690" t="s">
        <v>461</v>
      </c>
      <c r="F4567" s="690"/>
      <c r="G4567" s="609" t="s">
        <v>423</v>
      </c>
      <c r="H4567" s="610">
        <v>1</v>
      </c>
      <c r="I4567" s="611">
        <v>2.59</v>
      </c>
      <c r="J4567" s="611">
        <v>2.59</v>
      </c>
    </row>
    <row r="4568" spans="1:10" ht="38.25" customHeight="1" thickBot="1" x14ac:dyDescent="0.35">
      <c r="A4568" s="547" t="s">
        <v>433</v>
      </c>
      <c r="B4568" s="548" t="s">
        <v>1907</v>
      </c>
      <c r="C4568" s="547" t="s">
        <v>19</v>
      </c>
      <c r="D4568" s="547" t="s">
        <v>1908</v>
      </c>
      <c r="E4568" s="688" t="s">
        <v>788</v>
      </c>
      <c r="F4568" s="688"/>
      <c r="G4568" s="549" t="s">
        <v>81</v>
      </c>
      <c r="H4568" s="550">
        <v>1.43E-5</v>
      </c>
      <c r="I4568" s="551">
        <v>181554.32</v>
      </c>
      <c r="J4568" s="551">
        <v>2.59</v>
      </c>
    </row>
    <row r="4569" spans="1:10" ht="38.25" customHeight="1" thickTop="1" x14ac:dyDescent="0.3">
      <c r="A4569" s="562"/>
      <c r="B4569" s="562"/>
      <c r="C4569" s="562"/>
      <c r="D4569" s="562"/>
      <c r="E4569" s="562"/>
      <c r="F4569" s="562"/>
      <c r="G4569" s="562"/>
      <c r="H4569" s="562"/>
      <c r="I4569" s="562"/>
      <c r="J4569" s="562"/>
    </row>
    <row r="4570" spans="1:10" s="89" customFormat="1" ht="38.25" customHeight="1" x14ac:dyDescent="0.3">
      <c r="A4570" s="553"/>
      <c r="B4570" s="554" t="s">
        <v>4</v>
      </c>
      <c r="C4570" s="553" t="s">
        <v>5</v>
      </c>
      <c r="D4570" s="553" t="s">
        <v>6</v>
      </c>
      <c r="E4570" s="691" t="s">
        <v>427</v>
      </c>
      <c r="F4570" s="691"/>
      <c r="G4570" s="555" t="s">
        <v>7</v>
      </c>
      <c r="H4570" s="554" t="s">
        <v>8</v>
      </c>
      <c r="I4570" s="554" t="s">
        <v>9</v>
      </c>
      <c r="J4570" s="554" t="s">
        <v>11</v>
      </c>
    </row>
    <row r="4571" spans="1:10" ht="38.25" customHeight="1" x14ac:dyDescent="0.3">
      <c r="A4571" s="607" t="s">
        <v>428</v>
      </c>
      <c r="B4571" s="608" t="s">
        <v>1903</v>
      </c>
      <c r="C4571" s="607" t="s">
        <v>19</v>
      </c>
      <c r="D4571" s="607" t="s">
        <v>1904</v>
      </c>
      <c r="E4571" s="690" t="s">
        <v>461</v>
      </c>
      <c r="F4571" s="690"/>
      <c r="G4571" s="609" t="s">
        <v>423</v>
      </c>
      <c r="H4571" s="610">
        <v>1</v>
      </c>
      <c r="I4571" s="611">
        <v>12.1</v>
      </c>
      <c r="J4571" s="611">
        <v>12.1</v>
      </c>
    </row>
    <row r="4572" spans="1:10" ht="38.25" customHeight="1" thickBot="1" x14ac:dyDescent="0.35">
      <c r="A4572" s="547" t="s">
        <v>433</v>
      </c>
      <c r="B4572" s="548" t="s">
        <v>1907</v>
      </c>
      <c r="C4572" s="547" t="s">
        <v>19</v>
      </c>
      <c r="D4572" s="547" t="s">
        <v>1908</v>
      </c>
      <c r="E4572" s="688" t="s">
        <v>788</v>
      </c>
      <c r="F4572" s="688"/>
      <c r="G4572" s="549" t="s">
        <v>81</v>
      </c>
      <c r="H4572" s="550">
        <v>6.6699999999999995E-5</v>
      </c>
      <c r="I4572" s="551">
        <v>181554.32</v>
      </c>
      <c r="J4572" s="551">
        <v>12.1</v>
      </c>
    </row>
    <row r="4573" spans="1:10" ht="38.25" customHeight="1" thickTop="1" x14ac:dyDescent="0.3">
      <c r="A4573" s="562"/>
      <c r="B4573" s="562"/>
      <c r="C4573" s="562"/>
      <c r="D4573" s="562"/>
      <c r="E4573" s="562"/>
      <c r="F4573" s="562"/>
      <c r="G4573" s="562"/>
      <c r="H4573" s="562"/>
      <c r="I4573" s="562"/>
      <c r="J4573" s="562"/>
    </row>
    <row r="4574" spans="1:10" ht="38.25" customHeight="1" x14ac:dyDescent="0.3">
      <c r="A4574" s="553"/>
      <c r="B4574" s="554" t="s">
        <v>4</v>
      </c>
      <c r="C4574" s="553" t="s">
        <v>5</v>
      </c>
      <c r="D4574" s="553" t="s">
        <v>6</v>
      </c>
      <c r="E4574" s="691" t="s">
        <v>427</v>
      </c>
      <c r="F4574" s="691"/>
      <c r="G4574" s="555" t="s">
        <v>7</v>
      </c>
      <c r="H4574" s="554" t="s">
        <v>8</v>
      </c>
      <c r="I4574" s="554" t="s">
        <v>9</v>
      </c>
      <c r="J4574" s="554" t="s">
        <v>11</v>
      </c>
    </row>
    <row r="4575" spans="1:10" ht="38.25" customHeight="1" x14ac:dyDescent="0.3">
      <c r="A4575" s="607" t="s">
        <v>428</v>
      </c>
      <c r="B4575" s="608" t="s">
        <v>633</v>
      </c>
      <c r="C4575" s="607" t="s">
        <v>19</v>
      </c>
      <c r="D4575" s="607" t="s">
        <v>634</v>
      </c>
      <c r="E4575" s="690" t="s">
        <v>461</v>
      </c>
      <c r="F4575" s="690"/>
      <c r="G4575" s="609" t="s">
        <v>102</v>
      </c>
      <c r="H4575" s="610">
        <v>1</v>
      </c>
      <c r="I4575" s="611">
        <v>25.9</v>
      </c>
      <c r="J4575" s="611">
        <v>25.9</v>
      </c>
    </row>
    <row r="4576" spans="1:10" s="89" customFormat="1" ht="38.25" customHeight="1" x14ac:dyDescent="0.3">
      <c r="A4576" s="547" t="s">
        <v>430</v>
      </c>
      <c r="B4576" s="548" t="s">
        <v>907</v>
      </c>
      <c r="C4576" s="547" t="s">
        <v>19</v>
      </c>
      <c r="D4576" s="547" t="s">
        <v>908</v>
      </c>
      <c r="E4576" s="688" t="s">
        <v>429</v>
      </c>
      <c r="F4576" s="688"/>
      <c r="G4576" s="549" t="s">
        <v>423</v>
      </c>
      <c r="H4576" s="550">
        <v>1</v>
      </c>
      <c r="I4576" s="551">
        <v>25.78</v>
      </c>
      <c r="J4576" s="551">
        <v>25.78</v>
      </c>
    </row>
    <row r="4577" spans="1:10" ht="38.25" customHeight="1" x14ac:dyDescent="0.3">
      <c r="A4577" s="547" t="s">
        <v>430</v>
      </c>
      <c r="B4577" s="548" t="s">
        <v>1909</v>
      </c>
      <c r="C4577" s="547" t="s">
        <v>19</v>
      </c>
      <c r="D4577" s="547" t="s">
        <v>1910</v>
      </c>
      <c r="E4577" s="688" t="s">
        <v>461</v>
      </c>
      <c r="F4577" s="688"/>
      <c r="G4577" s="549" t="s">
        <v>423</v>
      </c>
      <c r="H4577" s="550">
        <v>1</v>
      </c>
      <c r="I4577" s="551">
        <v>0.1</v>
      </c>
      <c r="J4577" s="551">
        <v>0.1</v>
      </c>
    </row>
    <row r="4578" spans="1:10" ht="38.25" customHeight="1" thickBot="1" x14ac:dyDescent="0.35">
      <c r="A4578" s="547" t="s">
        <v>430</v>
      </c>
      <c r="B4578" s="548" t="s">
        <v>1911</v>
      </c>
      <c r="C4578" s="547" t="s">
        <v>19</v>
      </c>
      <c r="D4578" s="547" t="s">
        <v>1912</v>
      </c>
      <c r="E4578" s="688" t="s">
        <v>461</v>
      </c>
      <c r="F4578" s="688"/>
      <c r="G4578" s="549" t="s">
        <v>423</v>
      </c>
      <c r="H4578" s="550">
        <v>1</v>
      </c>
      <c r="I4578" s="551">
        <v>0.02</v>
      </c>
      <c r="J4578" s="551">
        <v>0.02</v>
      </c>
    </row>
    <row r="4579" spans="1:10" ht="38.25" customHeight="1" thickTop="1" x14ac:dyDescent="0.3">
      <c r="A4579" s="562"/>
      <c r="B4579" s="562"/>
      <c r="C4579" s="562"/>
      <c r="D4579" s="562"/>
      <c r="E4579" s="562"/>
      <c r="F4579" s="562"/>
      <c r="G4579" s="562"/>
      <c r="H4579" s="562"/>
      <c r="I4579" s="562"/>
      <c r="J4579" s="562"/>
    </row>
    <row r="4580" spans="1:10" ht="38.25" customHeight="1" x14ac:dyDescent="0.3">
      <c r="A4580" s="553"/>
      <c r="B4580" s="554" t="s">
        <v>4</v>
      </c>
      <c r="C4580" s="553" t="s">
        <v>5</v>
      </c>
      <c r="D4580" s="553" t="s">
        <v>6</v>
      </c>
      <c r="E4580" s="691" t="s">
        <v>427</v>
      </c>
      <c r="F4580" s="691"/>
      <c r="G4580" s="555" t="s">
        <v>7</v>
      </c>
      <c r="H4580" s="554" t="s">
        <v>8</v>
      </c>
      <c r="I4580" s="554" t="s">
        <v>9</v>
      </c>
      <c r="J4580" s="554" t="s">
        <v>11</v>
      </c>
    </row>
    <row r="4581" spans="1:10" ht="38.25" customHeight="1" x14ac:dyDescent="0.3">
      <c r="A4581" s="607" t="s">
        <v>428</v>
      </c>
      <c r="B4581" s="608" t="s">
        <v>631</v>
      </c>
      <c r="C4581" s="607" t="s">
        <v>19</v>
      </c>
      <c r="D4581" s="607" t="s">
        <v>632</v>
      </c>
      <c r="E4581" s="690" t="s">
        <v>461</v>
      </c>
      <c r="F4581" s="690"/>
      <c r="G4581" s="609" t="s">
        <v>95</v>
      </c>
      <c r="H4581" s="610">
        <v>1</v>
      </c>
      <c r="I4581" s="611">
        <v>26.94</v>
      </c>
      <c r="J4581" s="611">
        <v>26.94</v>
      </c>
    </row>
    <row r="4582" spans="1:10" ht="25" x14ac:dyDescent="0.3">
      <c r="A4582" s="547" t="s">
        <v>430</v>
      </c>
      <c r="B4582" s="548" t="s">
        <v>907</v>
      </c>
      <c r="C4582" s="547" t="s">
        <v>19</v>
      </c>
      <c r="D4582" s="547" t="s">
        <v>908</v>
      </c>
      <c r="E4582" s="688" t="s">
        <v>429</v>
      </c>
      <c r="F4582" s="688"/>
      <c r="G4582" s="549" t="s">
        <v>423</v>
      </c>
      <c r="H4582" s="550">
        <v>1</v>
      </c>
      <c r="I4582" s="551">
        <v>25.78</v>
      </c>
      <c r="J4582" s="551">
        <v>25.78</v>
      </c>
    </row>
    <row r="4583" spans="1:10" ht="25.5" customHeight="1" x14ac:dyDescent="0.3">
      <c r="A4583" s="547" t="s">
        <v>430</v>
      </c>
      <c r="B4583" s="548" t="s">
        <v>1909</v>
      </c>
      <c r="C4583" s="547" t="s">
        <v>19</v>
      </c>
      <c r="D4583" s="547" t="s">
        <v>1910</v>
      </c>
      <c r="E4583" s="688" t="s">
        <v>461</v>
      </c>
      <c r="F4583" s="688"/>
      <c r="G4583" s="549" t="s">
        <v>423</v>
      </c>
      <c r="H4583" s="550">
        <v>1</v>
      </c>
      <c r="I4583" s="551">
        <v>0.1</v>
      </c>
      <c r="J4583" s="551">
        <v>0.1</v>
      </c>
    </row>
    <row r="4584" spans="1:10" s="89" customFormat="1" ht="38.25" customHeight="1" x14ac:dyDescent="0.3">
      <c r="A4584" s="547" t="s">
        <v>430</v>
      </c>
      <c r="B4584" s="548" t="s">
        <v>1911</v>
      </c>
      <c r="C4584" s="547" t="s">
        <v>19</v>
      </c>
      <c r="D4584" s="547" t="s">
        <v>1912</v>
      </c>
      <c r="E4584" s="688" t="s">
        <v>461</v>
      </c>
      <c r="F4584" s="688"/>
      <c r="G4584" s="549" t="s">
        <v>423</v>
      </c>
      <c r="H4584" s="550">
        <v>1</v>
      </c>
      <c r="I4584" s="551">
        <v>0.02</v>
      </c>
      <c r="J4584" s="551">
        <v>0.02</v>
      </c>
    </row>
    <row r="4585" spans="1:10" ht="38.25" customHeight="1" x14ac:dyDescent="0.3">
      <c r="A4585" s="547" t="s">
        <v>430</v>
      </c>
      <c r="B4585" s="548" t="s">
        <v>1913</v>
      </c>
      <c r="C4585" s="547" t="s">
        <v>19</v>
      </c>
      <c r="D4585" s="547" t="s">
        <v>1914</v>
      </c>
      <c r="E4585" s="688" t="s">
        <v>461</v>
      </c>
      <c r="F4585" s="688"/>
      <c r="G4585" s="549" t="s">
        <v>423</v>
      </c>
      <c r="H4585" s="550">
        <v>1</v>
      </c>
      <c r="I4585" s="551">
        <v>7.0000000000000007E-2</v>
      </c>
      <c r="J4585" s="551">
        <v>7.0000000000000007E-2</v>
      </c>
    </row>
    <row r="4586" spans="1:10" ht="39" customHeight="1" thickBot="1" x14ac:dyDescent="0.35">
      <c r="A4586" s="547" t="s">
        <v>430</v>
      </c>
      <c r="B4586" s="548" t="s">
        <v>1915</v>
      </c>
      <c r="C4586" s="547" t="s">
        <v>19</v>
      </c>
      <c r="D4586" s="547" t="s">
        <v>1916</v>
      </c>
      <c r="E4586" s="688" t="s">
        <v>461</v>
      </c>
      <c r="F4586" s="688"/>
      <c r="G4586" s="549" t="s">
        <v>423</v>
      </c>
      <c r="H4586" s="550">
        <v>1</v>
      </c>
      <c r="I4586" s="551">
        <v>0.97</v>
      </c>
      <c r="J4586" s="551">
        <v>0.97</v>
      </c>
    </row>
    <row r="4587" spans="1:10" ht="14.5" thickTop="1" x14ac:dyDescent="0.3">
      <c r="A4587" s="562"/>
      <c r="B4587" s="562"/>
      <c r="C4587" s="562"/>
      <c r="D4587" s="562"/>
      <c r="E4587" s="562"/>
      <c r="F4587" s="562"/>
      <c r="G4587" s="562"/>
      <c r="H4587" s="562"/>
      <c r="I4587" s="562"/>
      <c r="J4587" s="562"/>
    </row>
    <row r="4588" spans="1:10" s="89" customFormat="1" ht="38.25" customHeight="1" x14ac:dyDescent="0.3">
      <c r="A4588" s="553"/>
      <c r="B4588" s="554" t="s">
        <v>4</v>
      </c>
      <c r="C4588" s="553" t="s">
        <v>5</v>
      </c>
      <c r="D4588" s="553" t="s">
        <v>6</v>
      </c>
      <c r="E4588" s="691" t="s">
        <v>427</v>
      </c>
      <c r="F4588" s="691"/>
      <c r="G4588" s="555" t="s">
        <v>7</v>
      </c>
      <c r="H4588" s="554" t="s">
        <v>8</v>
      </c>
      <c r="I4588" s="554" t="s">
        <v>9</v>
      </c>
      <c r="J4588" s="554" t="s">
        <v>11</v>
      </c>
    </row>
    <row r="4589" spans="1:10" ht="38.25" customHeight="1" x14ac:dyDescent="0.3">
      <c r="A4589" s="607" t="s">
        <v>428</v>
      </c>
      <c r="B4589" s="608" t="s">
        <v>1909</v>
      </c>
      <c r="C4589" s="607" t="s">
        <v>19</v>
      </c>
      <c r="D4589" s="607" t="s">
        <v>1910</v>
      </c>
      <c r="E4589" s="690" t="s">
        <v>461</v>
      </c>
      <c r="F4589" s="690"/>
      <c r="G4589" s="609" t="s">
        <v>423</v>
      </c>
      <c r="H4589" s="610">
        <v>1</v>
      </c>
      <c r="I4589" s="611">
        <v>0.1</v>
      </c>
      <c r="J4589" s="611">
        <v>0.1</v>
      </c>
    </row>
    <row r="4590" spans="1:10" ht="25.5" thickBot="1" x14ac:dyDescent="0.35">
      <c r="A4590" s="547" t="s">
        <v>433</v>
      </c>
      <c r="B4590" s="548" t="s">
        <v>1917</v>
      </c>
      <c r="C4590" s="547" t="s">
        <v>19</v>
      </c>
      <c r="D4590" s="547" t="s">
        <v>1918</v>
      </c>
      <c r="E4590" s="688" t="s">
        <v>438</v>
      </c>
      <c r="F4590" s="688"/>
      <c r="G4590" s="549" t="s">
        <v>81</v>
      </c>
      <c r="H4590" s="550">
        <v>7.2000000000000002E-5</v>
      </c>
      <c r="I4590" s="551">
        <v>1504.72</v>
      </c>
      <c r="J4590" s="551">
        <v>0.1</v>
      </c>
    </row>
    <row r="4591" spans="1:10" ht="14.5" thickTop="1" x14ac:dyDescent="0.3">
      <c r="A4591" s="562"/>
      <c r="B4591" s="562"/>
      <c r="C4591" s="562"/>
      <c r="D4591" s="562"/>
      <c r="E4591" s="562"/>
      <c r="F4591" s="562"/>
      <c r="G4591" s="562"/>
      <c r="H4591" s="562"/>
      <c r="I4591" s="562"/>
      <c r="J4591" s="562"/>
    </row>
    <row r="4592" spans="1:10" s="89" customFormat="1" ht="38.25" customHeight="1" x14ac:dyDescent="0.3">
      <c r="A4592" s="553"/>
      <c r="B4592" s="554" t="s">
        <v>4</v>
      </c>
      <c r="C4592" s="553" t="s">
        <v>5</v>
      </c>
      <c r="D4592" s="553" t="s">
        <v>6</v>
      </c>
      <c r="E4592" s="691" t="s">
        <v>427</v>
      </c>
      <c r="F4592" s="691"/>
      <c r="G4592" s="555" t="s">
        <v>7</v>
      </c>
      <c r="H4592" s="554" t="s">
        <v>8</v>
      </c>
      <c r="I4592" s="554" t="s">
        <v>9</v>
      </c>
      <c r="J4592" s="554" t="s">
        <v>11</v>
      </c>
    </row>
    <row r="4593" spans="1:10" ht="38.25" customHeight="1" x14ac:dyDescent="0.3">
      <c r="A4593" s="607" t="s">
        <v>428</v>
      </c>
      <c r="B4593" s="608" t="s">
        <v>1911</v>
      </c>
      <c r="C4593" s="607" t="s">
        <v>19</v>
      </c>
      <c r="D4593" s="607" t="s">
        <v>1912</v>
      </c>
      <c r="E4593" s="690" t="s">
        <v>461</v>
      </c>
      <c r="F4593" s="690"/>
      <c r="G4593" s="609" t="s">
        <v>423</v>
      </c>
      <c r="H4593" s="610">
        <v>1</v>
      </c>
      <c r="I4593" s="611">
        <v>0.02</v>
      </c>
      <c r="J4593" s="611">
        <v>0.02</v>
      </c>
    </row>
    <row r="4594" spans="1:10" ht="25.5" thickBot="1" x14ac:dyDescent="0.35">
      <c r="A4594" s="547" t="s">
        <v>433</v>
      </c>
      <c r="B4594" s="548" t="s">
        <v>1917</v>
      </c>
      <c r="C4594" s="547" t="s">
        <v>19</v>
      </c>
      <c r="D4594" s="547" t="s">
        <v>1918</v>
      </c>
      <c r="E4594" s="688" t="s">
        <v>438</v>
      </c>
      <c r="F4594" s="688"/>
      <c r="G4594" s="549" t="s">
        <v>81</v>
      </c>
      <c r="H4594" s="550">
        <v>1.4800000000000001E-5</v>
      </c>
      <c r="I4594" s="551">
        <v>1504.72</v>
      </c>
      <c r="J4594" s="551">
        <v>0.02</v>
      </c>
    </row>
    <row r="4595" spans="1:10" ht="14.5" thickTop="1" x14ac:dyDescent="0.3">
      <c r="A4595" s="562"/>
      <c r="B4595" s="562"/>
      <c r="C4595" s="562"/>
      <c r="D4595" s="562"/>
      <c r="E4595" s="562"/>
      <c r="F4595" s="562"/>
      <c r="G4595" s="562"/>
      <c r="H4595" s="562"/>
      <c r="I4595" s="562"/>
      <c r="J4595" s="562"/>
    </row>
    <row r="4596" spans="1:10" s="89" customFormat="1" x14ac:dyDescent="0.3">
      <c r="A4596" s="553"/>
      <c r="B4596" s="554" t="s">
        <v>4</v>
      </c>
      <c r="C4596" s="553" t="s">
        <v>5</v>
      </c>
      <c r="D4596" s="553" t="s">
        <v>6</v>
      </c>
      <c r="E4596" s="691" t="s">
        <v>427</v>
      </c>
      <c r="F4596" s="691"/>
      <c r="G4596" s="555" t="s">
        <v>7</v>
      </c>
      <c r="H4596" s="554" t="s">
        <v>8</v>
      </c>
      <c r="I4596" s="554" t="s">
        <v>9</v>
      </c>
      <c r="J4596" s="554" t="s">
        <v>11</v>
      </c>
    </row>
    <row r="4597" spans="1:10" ht="38.25" customHeight="1" x14ac:dyDescent="0.3">
      <c r="A4597" s="607" t="s">
        <v>428</v>
      </c>
      <c r="B4597" s="608" t="s">
        <v>1913</v>
      </c>
      <c r="C4597" s="607" t="s">
        <v>19</v>
      </c>
      <c r="D4597" s="607" t="s">
        <v>1914</v>
      </c>
      <c r="E4597" s="690" t="s">
        <v>461</v>
      </c>
      <c r="F4597" s="690"/>
      <c r="G4597" s="609" t="s">
        <v>423</v>
      </c>
      <c r="H4597" s="610">
        <v>1</v>
      </c>
      <c r="I4597" s="611">
        <v>7.0000000000000007E-2</v>
      </c>
      <c r="J4597" s="611">
        <v>7.0000000000000007E-2</v>
      </c>
    </row>
    <row r="4598" spans="1:10" ht="38.25" customHeight="1" thickBot="1" x14ac:dyDescent="0.35">
      <c r="A4598" s="547" t="s">
        <v>433</v>
      </c>
      <c r="B4598" s="548" t="s">
        <v>1917</v>
      </c>
      <c r="C4598" s="547" t="s">
        <v>19</v>
      </c>
      <c r="D4598" s="547" t="s">
        <v>1918</v>
      </c>
      <c r="E4598" s="688" t="s">
        <v>438</v>
      </c>
      <c r="F4598" s="688"/>
      <c r="G4598" s="549" t="s">
        <v>81</v>
      </c>
      <c r="H4598" s="550">
        <v>5.0000000000000002E-5</v>
      </c>
      <c r="I4598" s="551">
        <v>1504.72</v>
      </c>
      <c r="J4598" s="551">
        <v>7.0000000000000007E-2</v>
      </c>
    </row>
    <row r="4599" spans="1:10" ht="38.25" customHeight="1" thickTop="1" x14ac:dyDescent="0.3">
      <c r="A4599" s="562"/>
      <c r="B4599" s="562"/>
      <c r="C4599" s="562"/>
      <c r="D4599" s="562"/>
      <c r="E4599" s="562"/>
      <c r="F4599" s="562"/>
      <c r="G4599" s="562"/>
      <c r="H4599" s="562"/>
      <c r="I4599" s="562"/>
      <c r="J4599" s="562"/>
    </row>
    <row r="4600" spans="1:10" s="89" customFormat="1" ht="39" customHeight="1" x14ac:dyDescent="0.3">
      <c r="A4600" s="553"/>
      <c r="B4600" s="554" t="s">
        <v>4</v>
      </c>
      <c r="C4600" s="553" t="s">
        <v>5</v>
      </c>
      <c r="D4600" s="553" t="s">
        <v>6</v>
      </c>
      <c r="E4600" s="691" t="s">
        <v>427</v>
      </c>
      <c r="F4600" s="691"/>
      <c r="G4600" s="555" t="s">
        <v>7</v>
      </c>
      <c r="H4600" s="554" t="s">
        <v>8</v>
      </c>
      <c r="I4600" s="554" t="s">
        <v>9</v>
      </c>
      <c r="J4600" s="554" t="s">
        <v>11</v>
      </c>
    </row>
    <row r="4601" spans="1:10" ht="38.25" customHeight="1" x14ac:dyDescent="0.3">
      <c r="A4601" s="607" t="s">
        <v>428</v>
      </c>
      <c r="B4601" s="608" t="s">
        <v>1915</v>
      </c>
      <c r="C4601" s="607" t="s">
        <v>19</v>
      </c>
      <c r="D4601" s="607" t="s">
        <v>1916</v>
      </c>
      <c r="E4601" s="690" t="s">
        <v>461</v>
      </c>
      <c r="F4601" s="690"/>
      <c r="G4601" s="609" t="s">
        <v>423</v>
      </c>
      <c r="H4601" s="610">
        <v>1</v>
      </c>
      <c r="I4601" s="611">
        <v>0.97</v>
      </c>
      <c r="J4601" s="611">
        <v>0.97</v>
      </c>
    </row>
    <row r="4602" spans="1:10" ht="38.25" customHeight="1" thickBot="1" x14ac:dyDescent="0.35">
      <c r="A4602" s="547" t="s">
        <v>433</v>
      </c>
      <c r="B4602" s="548" t="s">
        <v>1301</v>
      </c>
      <c r="C4602" s="547" t="s">
        <v>19</v>
      </c>
      <c r="D4602" s="547" t="s">
        <v>1302</v>
      </c>
      <c r="E4602" s="688" t="s">
        <v>438</v>
      </c>
      <c r="F4602" s="688"/>
      <c r="G4602" s="549" t="s">
        <v>528</v>
      </c>
      <c r="H4602" s="550">
        <v>1.36</v>
      </c>
      <c r="I4602" s="551">
        <v>0.72</v>
      </c>
      <c r="J4602" s="551">
        <v>0.97</v>
      </c>
    </row>
    <row r="4603" spans="1:10" ht="39" customHeight="1" thickTop="1" x14ac:dyDescent="0.3">
      <c r="A4603" s="562"/>
      <c r="B4603" s="562"/>
      <c r="C4603" s="562"/>
      <c r="D4603" s="562"/>
      <c r="E4603" s="562"/>
      <c r="F4603" s="562"/>
      <c r="G4603" s="562"/>
      <c r="H4603" s="562"/>
      <c r="I4603" s="562"/>
      <c r="J4603" s="562"/>
    </row>
    <row r="4604" spans="1:10" x14ac:dyDescent="0.3">
      <c r="A4604" s="553"/>
      <c r="B4604" s="554" t="s">
        <v>4</v>
      </c>
      <c r="C4604" s="553" t="s">
        <v>5</v>
      </c>
      <c r="D4604" s="553" t="s">
        <v>6</v>
      </c>
      <c r="E4604" s="691" t="s">
        <v>427</v>
      </c>
      <c r="F4604" s="691"/>
      <c r="G4604" s="555" t="s">
        <v>7</v>
      </c>
      <c r="H4604" s="554" t="s">
        <v>8</v>
      </c>
      <c r="I4604" s="554" t="s">
        <v>9</v>
      </c>
      <c r="J4604" s="554" t="s">
        <v>11</v>
      </c>
    </row>
    <row r="4605" spans="1:10" ht="14.25" customHeight="1" x14ac:dyDescent="0.3">
      <c r="A4605" s="607" t="s">
        <v>428</v>
      </c>
      <c r="B4605" s="608" t="s">
        <v>1165</v>
      </c>
      <c r="C4605" s="607" t="s">
        <v>19</v>
      </c>
      <c r="D4605" s="607" t="s">
        <v>1166</v>
      </c>
      <c r="E4605" s="690" t="s">
        <v>429</v>
      </c>
      <c r="F4605" s="690"/>
      <c r="G4605" s="609" t="s">
        <v>423</v>
      </c>
      <c r="H4605" s="610">
        <v>1</v>
      </c>
      <c r="I4605" s="611">
        <v>30.85</v>
      </c>
      <c r="J4605" s="611">
        <v>30.85</v>
      </c>
    </row>
    <row r="4606" spans="1:10" s="89" customFormat="1" ht="25" x14ac:dyDescent="0.3">
      <c r="A4606" s="547" t="s">
        <v>430</v>
      </c>
      <c r="B4606" s="548" t="s">
        <v>1519</v>
      </c>
      <c r="C4606" s="547" t="s">
        <v>19</v>
      </c>
      <c r="D4606" s="547" t="s">
        <v>1520</v>
      </c>
      <c r="E4606" s="688" t="s">
        <v>429</v>
      </c>
      <c r="F4606" s="688"/>
      <c r="G4606" s="549" t="s">
        <v>423</v>
      </c>
      <c r="H4606" s="550">
        <v>1</v>
      </c>
      <c r="I4606" s="551">
        <v>0.28000000000000003</v>
      </c>
      <c r="J4606" s="551">
        <v>0.28000000000000003</v>
      </c>
    </row>
    <row r="4607" spans="1:10" ht="38.25" customHeight="1" x14ac:dyDescent="0.3">
      <c r="A4607" s="547" t="s">
        <v>433</v>
      </c>
      <c r="B4607" s="548" t="s">
        <v>1521</v>
      </c>
      <c r="C4607" s="547" t="s">
        <v>19</v>
      </c>
      <c r="D4607" s="547" t="s">
        <v>1522</v>
      </c>
      <c r="E4607" s="688" t="s">
        <v>436</v>
      </c>
      <c r="F4607" s="688"/>
      <c r="G4607" s="549" t="s">
        <v>423</v>
      </c>
      <c r="H4607" s="550">
        <v>1</v>
      </c>
      <c r="I4607" s="551">
        <v>21.83</v>
      </c>
      <c r="J4607" s="551">
        <v>21.83</v>
      </c>
    </row>
    <row r="4608" spans="1:10" ht="25" x14ac:dyDescent="0.3">
      <c r="A4608" s="547" t="s">
        <v>433</v>
      </c>
      <c r="B4608" s="548" t="s">
        <v>1213</v>
      </c>
      <c r="C4608" s="547" t="s">
        <v>19</v>
      </c>
      <c r="D4608" s="547" t="s">
        <v>3592</v>
      </c>
      <c r="E4608" s="688" t="s">
        <v>862</v>
      </c>
      <c r="F4608" s="688"/>
      <c r="G4608" s="549" t="s">
        <v>423</v>
      </c>
      <c r="H4608" s="550">
        <v>1</v>
      </c>
      <c r="I4608" s="551">
        <v>3.8</v>
      </c>
      <c r="J4608" s="551">
        <v>3.8</v>
      </c>
    </row>
    <row r="4609" spans="1:10" ht="25" x14ac:dyDescent="0.3">
      <c r="A4609" s="547" t="s">
        <v>433</v>
      </c>
      <c r="B4609" s="548" t="s">
        <v>1214</v>
      </c>
      <c r="C4609" s="547" t="s">
        <v>19</v>
      </c>
      <c r="D4609" s="547" t="s">
        <v>3593</v>
      </c>
      <c r="E4609" s="688" t="s">
        <v>1215</v>
      </c>
      <c r="F4609" s="688"/>
      <c r="G4609" s="549" t="s">
        <v>423</v>
      </c>
      <c r="H4609" s="550">
        <v>1</v>
      </c>
      <c r="I4609" s="551">
        <v>1.5</v>
      </c>
      <c r="J4609" s="551">
        <v>1.5</v>
      </c>
    </row>
    <row r="4610" spans="1:10" s="89" customFormat="1" ht="38.25" customHeight="1" x14ac:dyDescent="0.3">
      <c r="A4610" s="547" t="s">
        <v>433</v>
      </c>
      <c r="B4610" s="548" t="s">
        <v>1216</v>
      </c>
      <c r="C4610" s="547" t="s">
        <v>19</v>
      </c>
      <c r="D4610" s="547" t="s">
        <v>3594</v>
      </c>
      <c r="E4610" s="688" t="s">
        <v>862</v>
      </c>
      <c r="F4610" s="688"/>
      <c r="G4610" s="549" t="s">
        <v>423</v>
      </c>
      <c r="H4610" s="550">
        <v>1</v>
      </c>
      <c r="I4610" s="551">
        <v>1.34</v>
      </c>
      <c r="J4610" s="551">
        <v>1.34</v>
      </c>
    </row>
    <row r="4611" spans="1:10" ht="38.25" customHeight="1" x14ac:dyDescent="0.3">
      <c r="A4611" s="547" t="s">
        <v>433</v>
      </c>
      <c r="B4611" s="548" t="s">
        <v>1217</v>
      </c>
      <c r="C4611" s="547" t="s">
        <v>19</v>
      </c>
      <c r="D4611" s="547" t="s">
        <v>3595</v>
      </c>
      <c r="E4611" s="688" t="s">
        <v>531</v>
      </c>
      <c r="F4611" s="688"/>
      <c r="G4611" s="549" t="s">
        <v>423</v>
      </c>
      <c r="H4611" s="550">
        <v>1</v>
      </c>
      <c r="I4611" s="551">
        <v>0.04</v>
      </c>
      <c r="J4611" s="551">
        <v>0.04</v>
      </c>
    </row>
    <row r="4612" spans="1:10" ht="25" x14ac:dyDescent="0.3">
      <c r="A4612" s="547" t="s">
        <v>433</v>
      </c>
      <c r="B4612" s="548" t="s">
        <v>1218</v>
      </c>
      <c r="C4612" s="547" t="s">
        <v>19</v>
      </c>
      <c r="D4612" s="547" t="s">
        <v>1219</v>
      </c>
      <c r="E4612" s="688" t="s">
        <v>442</v>
      </c>
      <c r="F4612" s="688"/>
      <c r="G4612" s="549" t="s">
        <v>423</v>
      </c>
      <c r="H4612" s="550">
        <v>1</v>
      </c>
      <c r="I4612" s="551">
        <v>0.82</v>
      </c>
      <c r="J4612" s="551">
        <v>0.82</v>
      </c>
    </row>
    <row r="4613" spans="1:10" ht="25.5" thickBot="1" x14ac:dyDescent="0.35">
      <c r="A4613" s="547" t="s">
        <v>433</v>
      </c>
      <c r="B4613" s="548" t="s">
        <v>1220</v>
      </c>
      <c r="C4613" s="547" t="s">
        <v>19</v>
      </c>
      <c r="D4613" s="547" t="s">
        <v>1221</v>
      </c>
      <c r="E4613" s="688" t="s">
        <v>442</v>
      </c>
      <c r="F4613" s="688"/>
      <c r="G4613" s="549" t="s">
        <v>423</v>
      </c>
      <c r="H4613" s="550">
        <v>1</v>
      </c>
      <c r="I4613" s="551">
        <v>1.24</v>
      </c>
      <c r="J4613" s="551">
        <v>1.24</v>
      </c>
    </row>
    <row r="4614" spans="1:10" s="89" customFormat="1" ht="14.5" thickTop="1" x14ac:dyDescent="0.3">
      <c r="A4614" s="562"/>
      <c r="B4614" s="562"/>
      <c r="C4614" s="562"/>
      <c r="D4614" s="562"/>
      <c r="E4614" s="562"/>
      <c r="F4614" s="562"/>
      <c r="G4614" s="562"/>
      <c r="H4614" s="562"/>
      <c r="I4614" s="562"/>
      <c r="J4614" s="562"/>
    </row>
    <row r="4615" spans="1:10" ht="25.5" customHeight="1" x14ac:dyDescent="0.3">
      <c r="A4615" s="553"/>
      <c r="B4615" s="554" t="s">
        <v>4</v>
      </c>
      <c r="C4615" s="553" t="s">
        <v>5</v>
      </c>
      <c r="D4615" s="553" t="s">
        <v>6</v>
      </c>
      <c r="E4615" s="691" t="s">
        <v>427</v>
      </c>
      <c r="F4615" s="691"/>
      <c r="G4615" s="555" t="s">
        <v>7</v>
      </c>
      <c r="H4615" s="554" t="s">
        <v>8</v>
      </c>
      <c r="I4615" s="554" t="s">
        <v>9</v>
      </c>
      <c r="J4615" s="554" t="s">
        <v>11</v>
      </c>
    </row>
    <row r="4616" spans="1:10" x14ac:dyDescent="0.3">
      <c r="A4616" s="607" t="s">
        <v>428</v>
      </c>
      <c r="B4616" s="608" t="s">
        <v>1188</v>
      </c>
      <c r="C4616" s="607" t="s">
        <v>196</v>
      </c>
      <c r="D4616" s="607" t="s">
        <v>3917</v>
      </c>
      <c r="E4616" s="690">
        <v>57</v>
      </c>
      <c r="F4616" s="690"/>
      <c r="G4616" s="609" t="s">
        <v>21</v>
      </c>
      <c r="H4616" s="610">
        <v>1</v>
      </c>
      <c r="I4616" s="611">
        <v>4239.8599999999997</v>
      </c>
      <c r="J4616" s="611">
        <v>4239.8599999999997</v>
      </c>
    </row>
    <row r="4617" spans="1:10" ht="25.5" customHeight="1" thickBot="1" x14ac:dyDescent="0.35">
      <c r="A4617" s="547" t="s">
        <v>430</v>
      </c>
      <c r="B4617" s="548" t="s">
        <v>1193</v>
      </c>
      <c r="C4617" s="547" t="s">
        <v>19</v>
      </c>
      <c r="D4617" s="547" t="s">
        <v>1194</v>
      </c>
      <c r="E4617" s="688" t="s">
        <v>429</v>
      </c>
      <c r="F4617" s="688"/>
      <c r="G4617" s="549" t="s">
        <v>21</v>
      </c>
      <c r="H4617" s="550">
        <v>1</v>
      </c>
      <c r="I4617" s="551">
        <v>4239.8599999999997</v>
      </c>
      <c r="J4617" s="551">
        <v>4239.8599999999997</v>
      </c>
    </row>
    <row r="4618" spans="1:10" s="89" customFormat="1" ht="25.5" customHeight="1" thickTop="1" x14ac:dyDescent="0.3">
      <c r="A4618" s="562"/>
      <c r="B4618" s="562"/>
      <c r="C4618" s="562"/>
      <c r="D4618" s="562"/>
      <c r="E4618" s="562"/>
      <c r="F4618" s="562"/>
      <c r="G4618" s="562"/>
      <c r="H4618" s="562"/>
      <c r="I4618" s="562"/>
      <c r="J4618" s="562"/>
    </row>
    <row r="4619" spans="1:10" x14ac:dyDescent="0.3">
      <c r="A4619" s="553"/>
      <c r="B4619" s="554" t="s">
        <v>4</v>
      </c>
      <c r="C4619" s="553" t="s">
        <v>5</v>
      </c>
      <c r="D4619" s="553" t="s">
        <v>6</v>
      </c>
      <c r="E4619" s="691" t="s">
        <v>427</v>
      </c>
      <c r="F4619" s="691"/>
      <c r="G4619" s="555" t="s">
        <v>7</v>
      </c>
      <c r="H4619" s="554" t="s">
        <v>8</v>
      </c>
      <c r="I4619" s="554" t="s">
        <v>9</v>
      </c>
      <c r="J4619" s="554" t="s">
        <v>11</v>
      </c>
    </row>
    <row r="4620" spans="1:10" x14ac:dyDescent="0.3">
      <c r="A4620" s="607" t="s">
        <v>428</v>
      </c>
      <c r="B4620" s="608" t="s">
        <v>559</v>
      </c>
      <c r="C4620" s="607" t="s">
        <v>19</v>
      </c>
      <c r="D4620" s="607" t="s">
        <v>560</v>
      </c>
      <c r="E4620" s="690" t="s">
        <v>429</v>
      </c>
      <c r="F4620" s="690"/>
      <c r="G4620" s="609" t="s">
        <v>423</v>
      </c>
      <c r="H4620" s="610">
        <v>1</v>
      </c>
      <c r="I4620" s="611">
        <v>23.4</v>
      </c>
      <c r="J4620" s="611">
        <v>23.4</v>
      </c>
    </row>
    <row r="4621" spans="1:10" ht="26.25" customHeight="1" x14ac:dyDescent="0.3">
      <c r="A4621" s="547" t="s">
        <v>430</v>
      </c>
      <c r="B4621" s="548" t="s">
        <v>1523</v>
      </c>
      <c r="C4621" s="547" t="s">
        <v>19</v>
      </c>
      <c r="D4621" s="547" t="s">
        <v>1524</v>
      </c>
      <c r="E4621" s="688" t="s">
        <v>429</v>
      </c>
      <c r="F4621" s="688"/>
      <c r="G4621" s="549" t="s">
        <v>423</v>
      </c>
      <c r="H4621" s="550">
        <v>1</v>
      </c>
      <c r="I4621" s="551">
        <v>0.35</v>
      </c>
      <c r="J4621" s="551">
        <v>0.35</v>
      </c>
    </row>
    <row r="4622" spans="1:10" x14ac:dyDescent="0.3">
      <c r="A4622" s="547" t="s">
        <v>433</v>
      </c>
      <c r="B4622" s="548" t="s">
        <v>1525</v>
      </c>
      <c r="C4622" s="547" t="s">
        <v>19</v>
      </c>
      <c r="D4622" s="547" t="s">
        <v>3705</v>
      </c>
      <c r="E4622" s="688" t="s">
        <v>436</v>
      </c>
      <c r="F4622" s="688"/>
      <c r="G4622" s="549" t="s">
        <v>423</v>
      </c>
      <c r="H4622" s="550">
        <v>1</v>
      </c>
      <c r="I4622" s="551">
        <v>14.43</v>
      </c>
      <c r="J4622" s="551">
        <v>14.43</v>
      </c>
    </row>
    <row r="4623" spans="1:10" ht="25.5" customHeight="1" x14ac:dyDescent="0.3">
      <c r="A4623" s="547" t="s">
        <v>433</v>
      </c>
      <c r="B4623" s="548" t="s">
        <v>1213</v>
      </c>
      <c r="C4623" s="547" t="s">
        <v>19</v>
      </c>
      <c r="D4623" s="547" t="s">
        <v>3592</v>
      </c>
      <c r="E4623" s="688" t="s">
        <v>862</v>
      </c>
      <c r="F4623" s="688"/>
      <c r="G4623" s="549" t="s">
        <v>423</v>
      </c>
      <c r="H4623" s="550">
        <v>1</v>
      </c>
      <c r="I4623" s="551">
        <v>3.8</v>
      </c>
      <c r="J4623" s="551">
        <v>3.8</v>
      </c>
    </row>
    <row r="4624" spans="1:10" s="89" customFormat="1" ht="25.5" customHeight="1" x14ac:dyDescent="0.3">
      <c r="A4624" s="547" t="s">
        <v>433</v>
      </c>
      <c r="B4624" s="548" t="s">
        <v>1214</v>
      </c>
      <c r="C4624" s="547" t="s">
        <v>19</v>
      </c>
      <c r="D4624" s="547" t="s">
        <v>3593</v>
      </c>
      <c r="E4624" s="688" t="s">
        <v>1215</v>
      </c>
      <c r="F4624" s="688"/>
      <c r="G4624" s="549" t="s">
        <v>423</v>
      </c>
      <c r="H4624" s="550">
        <v>1</v>
      </c>
      <c r="I4624" s="551">
        <v>1.5</v>
      </c>
      <c r="J4624" s="551">
        <v>1.5</v>
      </c>
    </row>
    <row r="4625" spans="1:10" ht="25.5" customHeight="1" x14ac:dyDescent="0.3">
      <c r="A4625" s="547" t="s">
        <v>433</v>
      </c>
      <c r="B4625" s="548" t="s">
        <v>1216</v>
      </c>
      <c r="C4625" s="547" t="s">
        <v>19</v>
      </c>
      <c r="D4625" s="547" t="s">
        <v>3594</v>
      </c>
      <c r="E4625" s="688" t="s">
        <v>862</v>
      </c>
      <c r="F4625" s="688"/>
      <c r="G4625" s="549" t="s">
        <v>423</v>
      </c>
      <c r="H4625" s="550">
        <v>1</v>
      </c>
      <c r="I4625" s="551">
        <v>1.34</v>
      </c>
      <c r="J4625" s="551">
        <v>1.34</v>
      </c>
    </row>
    <row r="4626" spans="1:10" ht="39" customHeight="1" x14ac:dyDescent="0.3">
      <c r="A4626" s="547" t="s">
        <v>433</v>
      </c>
      <c r="B4626" s="548" t="s">
        <v>1217</v>
      </c>
      <c r="C4626" s="547" t="s">
        <v>19</v>
      </c>
      <c r="D4626" s="547" t="s">
        <v>3595</v>
      </c>
      <c r="E4626" s="688" t="s">
        <v>531</v>
      </c>
      <c r="F4626" s="688"/>
      <c r="G4626" s="549" t="s">
        <v>423</v>
      </c>
      <c r="H4626" s="550">
        <v>1</v>
      </c>
      <c r="I4626" s="551">
        <v>0.04</v>
      </c>
      <c r="J4626" s="551">
        <v>0.04</v>
      </c>
    </row>
    <row r="4627" spans="1:10" ht="25" x14ac:dyDescent="0.3">
      <c r="A4627" s="547" t="s">
        <v>433</v>
      </c>
      <c r="B4627" s="548" t="s">
        <v>1285</v>
      </c>
      <c r="C4627" s="547" t="s">
        <v>19</v>
      </c>
      <c r="D4627" s="547" t="s">
        <v>1286</v>
      </c>
      <c r="E4627" s="688" t="s">
        <v>442</v>
      </c>
      <c r="F4627" s="688"/>
      <c r="G4627" s="549" t="s">
        <v>423</v>
      </c>
      <c r="H4627" s="550">
        <v>1</v>
      </c>
      <c r="I4627" s="551">
        <v>0.61</v>
      </c>
      <c r="J4627" s="551">
        <v>0.61</v>
      </c>
    </row>
    <row r="4628" spans="1:10" ht="25.5" customHeight="1" thickBot="1" x14ac:dyDescent="0.35">
      <c r="A4628" s="547" t="s">
        <v>433</v>
      </c>
      <c r="B4628" s="548" t="s">
        <v>1287</v>
      </c>
      <c r="C4628" s="547" t="s">
        <v>19</v>
      </c>
      <c r="D4628" s="547" t="s">
        <v>1288</v>
      </c>
      <c r="E4628" s="688" t="s">
        <v>442</v>
      </c>
      <c r="F4628" s="688"/>
      <c r="G4628" s="549" t="s">
        <v>423</v>
      </c>
      <c r="H4628" s="550">
        <v>1</v>
      </c>
      <c r="I4628" s="551">
        <v>1.33</v>
      </c>
      <c r="J4628" s="551">
        <v>1.33</v>
      </c>
    </row>
    <row r="4629" spans="1:10" ht="39" customHeight="1" thickTop="1" x14ac:dyDescent="0.3">
      <c r="A4629" s="562"/>
      <c r="B4629" s="562"/>
      <c r="C4629" s="562"/>
      <c r="D4629" s="562"/>
      <c r="E4629" s="562"/>
      <c r="F4629" s="562"/>
      <c r="G4629" s="562"/>
      <c r="H4629" s="562"/>
      <c r="I4629" s="562"/>
      <c r="J4629" s="562"/>
    </row>
    <row r="4630" spans="1:10" x14ac:dyDescent="0.3">
      <c r="A4630" s="553"/>
      <c r="B4630" s="554" t="s">
        <v>4</v>
      </c>
      <c r="C4630" s="553" t="s">
        <v>5</v>
      </c>
      <c r="D4630" s="553" t="s">
        <v>6</v>
      </c>
      <c r="E4630" s="691" t="s">
        <v>427</v>
      </c>
      <c r="F4630" s="691"/>
      <c r="G4630" s="555" t="s">
        <v>7</v>
      </c>
      <c r="H4630" s="554" t="s">
        <v>8</v>
      </c>
      <c r="I4630" s="554" t="s">
        <v>9</v>
      </c>
      <c r="J4630" s="554" t="s">
        <v>11</v>
      </c>
    </row>
    <row r="4631" spans="1:10" ht="14.25" customHeight="1" x14ac:dyDescent="0.3">
      <c r="A4631" s="607" t="s">
        <v>428</v>
      </c>
      <c r="B4631" s="608" t="s">
        <v>1193</v>
      </c>
      <c r="C4631" s="607" t="s">
        <v>19</v>
      </c>
      <c r="D4631" s="607" t="s">
        <v>1194</v>
      </c>
      <c r="E4631" s="690" t="s">
        <v>429</v>
      </c>
      <c r="F4631" s="690"/>
      <c r="G4631" s="609" t="s">
        <v>21</v>
      </c>
      <c r="H4631" s="610">
        <v>1</v>
      </c>
      <c r="I4631" s="611">
        <v>4239.8599999999997</v>
      </c>
      <c r="J4631" s="611">
        <v>4239.8599999999997</v>
      </c>
    </row>
    <row r="4632" spans="1:10" s="89" customFormat="1" ht="25" x14ac:dyDescent="0.3">
      <c r="A4632" s="547" t="s">
        <v>430</v>
      </c>
      <c r="B4632" s="548" t="s">
        <v>1526</v>
      </c>
      <c r="C4632" s="547" t="s">
        <v>19</v>
      </c>
      <c r="D4632" s="547" t="s">
        <v>1527</v>
      </c>
      <c r="E4632" s="688" t="s">
        <v>429</v>
      </c>
      <c r="F4632" s="688"/>
      <c r="G4632" s="549" t="s">
        <v>21</v>
      </c>
      <c r="H4632" s="550">
        <v>1</v>
      </c>
      <c r="I4632" s="551">
        <v>46.92</v>
      </c>
      <c r="J4632" s="551">
        <v>46.92</v>
      </c>
    </row>
    <row r="4633" spans="1:10" ht="25.5" customHeight="1" x14ac:dyDescent="0.3">
      <c r="A4633" s="547" t="s">
        <v>433</v>
      </c>
      <c r="B4633" s="548" t="s">
        <v>488</v>
      </c>
      <c r="C4633" s="547" t="s">
        <v>19</v>
      </c>
      <c r="D4633" s="547" t="s">
        <v>3510</v>
      </c>
      <c r="E4633" s="688" t="s">
        <v>438</v>
      </c>
      <c r="F4633" s="688"/>
      <c r="G4633" s="549" t="s">
        <v>21</v>
      </c>
      <c r="H4633" s="550">
        <v>1</v>
      </c>
      <c r="I4633" s="551">
        <v>282.98</v>
      </c>
      <c r="J4633" s="551">
        <v>282.98</v>
      </c>
    </row>
    <row r="4634" spans="1:10" ht="25" x14ac:dyDescent="0.3">
      <c r="A4634" s="547" t="s">
        <v>433</v>
      </c>
      <c r="B4634" s="548" t="s">
        <v>489</v>
      </c>
      <c r="C4634" s="547" t="s">
        <v>19</v>
      </c>
      <c r="D4634" s="547" t="s">
        <v>3511</v>
      </c>
      <c r="E4634" s="688" t="s">
        <v>438</v>
      </c>
      <c r="F4634" s="688"/>
      <c r="G4634" s="549" t="s">
        <v>21</v>
      </c>
      <c r="H4634" s="550">
        <v>1</v>
      </c>
      <c r="I4634" s="551">
        <v>715.63</v>
      </c>
      <c r="J4634" s="551">
        <v>715.63</v>
      </c>
    </row>
    <row r="4635" spans="1:10" ht="25" x14ac:dyDescent="0.3">
      <c r="A4635" s="547" t="s">
        <v>433</v>
      </c>
      <c r="B4635" s="548" t="s">
        <v>437</v>
      </c>
      <c r="C4635" s="547" t="s">
        <v>19</v>
      </c>
      <c r="D4635" s="547" t="s">
        <v>3505</v>
      </c>
      <c r="E4635" s="688" t="s">
        <v>438</v>
      </c>
      <c r="F4635" s="688"/>
      <c r="G4635" s="549" t="s">
        <v>21</v>
      </c>
      <c r="H4635" s="550">
        <v>1</v>
      </c>
      <c r="I4635" s="551">
        <v>252.08</v>
      </c>
      <c r="J4635" s="551">
        <v>252.08</v>
      </c>
    </row>
    <row r="4636" spans="1:10" s="89" customFormat="1" ht="25" x14ac:dyDescent="0.3">
      <c r="A4636" s="547" t="s">
        <v>433</v>
      </c>
      <c r="B4636" s="548" t="s">
        <v>439</v>
      </c>
      <c r="C4636" s="547" t="s">
        <v>19</v>
      </c>
      <c r="D4636" s="547" t="s">
        <v>3506</v>
      </c>
      <c r="E4636" s="688" t="s">
        <v>438</v>
      </c>
      <c r="F4636" s="688"/>
      <c r="G4636" s="549" t="s">
        <v>21</v>
      </c>
      <c r="H4636" s="550">
        <v>1</v>
      </c>
      <c r="I4636" s="551">
        <v>7.31</v>
      </c>
      <c r="J4636" s="551">
        <v>7.31</v>
      </c>
    </row>
    <row r="4637" spans="1:10" ht="25.5" customHeight="1" x14ac:dyDescent="0.3">
      <c r="A4637" s="547" t="s">
        <v>433</v>
      </c>
      <c r="B4637" s="548" t="s">
        <v>1528</v>
      </c>
      <c r="C4637" s="547" t="s">
        <v>19</v>
      </c>
      <c r="D4637" s="547" t="s">
        <v>1529</v>
      </c>
      <c r="E4637" s="688" t="s">
        <v>436</v>
      </c>
      <c r="F4637" s="688"/>
      <c r="G4637" s="549" t="s">
        <v>21</v>
      </c>
      <c r="H4637" s="550">
        <v>1</v>
      </c>
      <c r="I4637" s="551">
        <v>2569.98</v>
      </c>
      <c r="J4637" s="551">
        <v>2569.98</v>
      </c>
    </row>
    <row r="4638" spans="1:10" ht="25" x14ac:dyDescent="0.3">
      <c r="A4638" s="547" t="s">
        <v>433</v>
      </c>
      <c r="B4638" s="548" t="s">
        <v>492</v>
      </c>
      <c r="C4638" s="547" t="s">
        <v>19</v>
      </c>
      <c r="D4638" s="547" t="s">
        <v>493</v>
      </c>
      <c r="E4638" s="688" t="s">
        <v>442</v>
      </c>
      <c r="F4638" s="688"/>
      <c r="G4638" s="549" t="s">
        <v>21</v>
      </c>
      <c r="H4638" s="550">
        <v>1</v>
      </c>
      <c r="I4638" s="551">
        <v>114.72</v>
      </c>
      <c r="J4638" s="551">
        <v>114.72</v>
      </c>
    </row>
    <row r="4639" spans="1:10" ht="25.5" thickBot="1" x14ac:dyDescent="0.35">
      <c r="A4639" s="547" t="s">
        <v>433</v>
      </c>
      <c r="B4639" s="548" t="s">
        <v>494</v>
      </c>
      <c r="C4639" s="547" t="s">
        <v>19</v>
      </c>
      <c r="D4639" s="547" t="s">
        <v>495</v>
      </c>
      <c r="E4639" s="688" t="s">
        <v>442</v>
      </c>
      <c r="F4639" s="688"/>
      <c r="G4639" s="549" t="s">
        <v>21</v>
      </c>
      <c r="H4639" s="550">
        <v>1</v>
      </c>
      <c r="I4639" s="551">
        <v>250.24</v>
      </c>
      <c r="J4639" s="551">
        <v>250.24</v>
      </c>
    </row>
    <row r="4640" spans="1:10" s="89" customFormat="1" ht="25.5" customHeight="1" thickTop="1" x14ac:dyDescent="0.3">
      <c r="A4640" s="562"/>
      <c r="B4640" s="562"/>
      <c r="C4640" s="562"/>
      <c r="D4640" s="562"/>
      <c r="E4640" s="562"/>
      <c r="F4640" s="562"/>
      <c r="G4640" s="562"/>
      <c r="H4640" s="562"/>
      <c r="I4640" s="562"/>
      <c r="J4640" s="562"/>
    </row>
    <row r="4641" spans="1:10" ht="38.25" customHeight="1" x14ac:dyDescent="0.3">
      <c r="A4641" s="553"/>
      <c r="B4641" s="554" t="s">
        <v>4</v>
      </c>
      <c r="C4641" s="553" t="s">
        <v>5</v>
      </c>
      <c r="D4641" s="553" t="s">
        <v>6</v>
      </c>
      <c r="E4641" s="691" t="s">
        <v>427</v>
      </c>
      <c r="F4641" s="691"/>
      <c r="G4641" s="555" t="s">
        <v>7</v>
      </c>
      <c r="H4641" s="554" t="s">
        <v>8</v>
      </c>
      <c r="I4641" s="554" t="s">
        <v>9</v>
      </c>
      <c r="J4641" s="554" t="s">
        <v>11</v>
      </c>
    </row>
    <row r="4642" spans="1:10" ht="37.5" x14ac:dyDescent="0.3">
      <c r="A4642" s="607" t="s">
        <v>428</v>
      </c>
      <c r="B4642" s="608" t="s">
        <v>3920</v>
      </c>
      <c r="C4642" s="607" t="s">
        <v>19</v>
      </c>
      <c r="D4642" s="607" t="s">
        <v>3921</v>
      </c>
      <c r="E4642" s="690" t="s">
        <v>856</v>
      </c>
      <c r="F4642" s="690"/>
      <c r="G4642" s="609" t="s">
        <v>423</v>
      </c>
      <c r="H4642" s="610">
        <v>1</v>
      </c>
      <c r="I4642" s="611">
        <v>165.16</v>
      </c>
      <c r="J4642" s="611">
        <v>165.16</v>
      </c>
    </row>
    <row r="4643" spans="1:10" ht="14.25" customHeight="1" x14ac:dyDescent="0.3">
      <c r="A4643" s="547" t="s">
        <v>430</v>
      </c>
      <c r="B4643" s="548" t="s">
        <v>998</v>
      </c>
      <c r="C4643" s="547" t="s">
        <v>19</v>
      </c>
      <c r="D4643" s="547" t="s">
        <v>999</v>
      </c>
      <c r="E4643" s="688" t="s">
        <v>429</v>
      </c>
      <c r="F4643" s="688"/>
      <c r="G4643" s="549" t="s">
        <v>423</v>
      </c>
      <c r="H4643" s="550">
        <v>1</v>
      </c>
      <c r="I4643" s="551">
        <v>25.09</v>
      </c>
      <c r="J4643" s="551">
        <v>25.09</v>
      </c>
    </row>
    <row r="4644" spans="1:10" s="89" customFormat="1" ht="38.25" customHeight="1" thickBot="1" x14ac:dyDescent="0.35">
      <c r="A4644" s="547" t="s">
        <v>430</v>
      </c>
      <c r="B4644" s="548" t="s">
        <v>3911</v>
      </c>
      <c r="C4644" s="547" t="s">
        <v>19</v>
      </c>
      <c r="D4644" s="547" t="s">
        <v>23</v>
      </c>
      <c r="E4644" s="688" t="s">
        <v>429</v>
      </c>
      <c r="F4644" s="688"/>
      <c r="G4644" s="549" t="s">
        <v>423</v>
      </c>
      <c r="H4644" s="550">
        <v>1</v>
      </c>
      <c r="I4644" s="551">
        <v>140.07</v>
      </c>
      <c r="J4644" s="551">
        <v>140.07</v>
      </c>
    </row>
    <row r="4645" spans="1:10" ht="14.25" customHeight="1" thickTop="1" x14ac:dyDescent="0.3">
      <c r="A4645" s="562"/>
      <c r="B4645" s="562"/>
      <c r="C4645" s="562"/>
      <c r="D4645" s="562"/>
      <c r="E4645" s="562"/>
      <c r="F4645" s="562"/>
      <c r="G4645" s="562"/>
      <c r="H4645" s="562"/>
      <c r="I4645" s="562"/>
      <c r="J4645" s="562"/>
    </row>
    <row r="4646" spans="1:10" x14ac:dyDescent="0.3">
      <c r="A4646" s="553"/>
      <c r="B4646" s="554" t="s">
        <v>4</v>
      </c>
      <c r="C4646" s="553" t="s">
        <v>5</v>
      </c>
      <c r="D4646" s="553" t="s">
        <v>6</v>
      </c>
      <c r="E4646" s="691" t="s">
        <v>427</v>
      </c>
      <c r="F4646" s="691"/>
      <c r="G4646" s="555" t="s">
        <v>7</v>
      </c>
      <c r="H4646" s="554" t="s">
        <v>8</v>
      </c>
      <c r="I4646" s="554" t="s">
        <v>9</v>
      </c>
      <c r="J4646" s="554" t="s">
        <v>11</v>
      </c>
    </row>
    <row r="4647" spans="1:10" ht="38" thickBot="1" x14ac:dyDescent="0.35">
      <c r="A4647" s="607" t="s">
        <v>428</v>
      </c>
      <c r="B4647" s="608" t="s">
        <v>1186</v>
      </c>
      <c r="C4647" s="607" t="s">
        <v>196</v>
      </c>
      <c r="D4647" s="607" t="s">
        <v>3916</v>
      </c>
      <c r="E4647" s="690">
        <v>30</v>
      </c>
      <c r="F4647" s="690"/>
      <c r="G4647" s="609" t="s">
        <v>21</v>
      </c>
      <c r="H4647" s="610">
        <v>1</v>
      </c>
      <c r="I4647" s="611">
        <v>0</v>
      </c>
      <c r="J4647" s="611">
        <v>0</v>
      </c>
    </row>
    <row r="4648" spans="1:10" s="89" customFormat="1" ht="15" customHeight="1" thickTop="1" x14ac:dyDescent="0.3">
      <c r="A4648" s="562"/>
      <c r="B4648" s="562"/>
      <c r="C4648" s="562"/>
      <c r="D4648" s="562"/>
      <c r="E4648" s="562"/>
      <c r="F4648" s="562"/>
      <c r="G4648" s="562"/>
      <c r="H4648" s="562"/>
      <c r="I4648" s="562"/>
      <c r="J4648" s="562"/>
    </row>
    <row r="4649" spans="1:10" x14ac:dyDescent="0.3">
      <c r="A4649" s="553"/>
      <c r="B4649" s="554" t="s">
        <v>4</v>
      </c>
      <c r="C4649" s="553" t="s">
        <v>5</v>
      </c>
      <c r="D4649" s="553" t="s">
        <v>6</v>
      </c>
      <c r="E4649" s="691" t="s">
        <v>427</v>
      </c>
      <c r="F4649" s="691"/>
      <c r="G4649" s="555" t="s">
        <v>7</v>
      </c>
      <c r="H4649" s="554" t="s">
        <v>8</v>
      </c>
      <c r="I4649" s="554" t="s">
        <v>9</v>
      </c>
      <c r="J4649" s="554" t="s">
        <v>11</v>
      </c>
    </row>
    <row r="4650" spans="1:10" ht="14.25" customHeight="1" x14ac:dyDescent="0.3">
      <c r="A4650" s="607" t="s">
        <v>428</v>
      </c>
      <c r="B4650" s="608" t="s">
        <v>644</v>
      </c>
      <c r="C4650" s="607" t="s">
        <v>19</v>
      </c>
      <c r="D4650" s="607" t="s">
        <v>645</v>
      </c>
      <c r="E4650" s="690" t="s">
        <v>429</v>
      </c>
      <c r="F4650" s="690"/>
      <c r="G4650" s="609" t="s">
        <v>423</v>
      </c>
      <c r="H4650" s="610">
        <v>1</v>
      </c>
      <c r="I4650" s="611">
        <v>31.81</v>
      </c>
      <c r="J4650" s="611">
        <v>31.81</v>
      </c>
    </row>
    <row r="4651" spans="1:10" ht="25" x14ac:dyDescent="0.3">
      <c r="A4651" s="547" t="s">
        <v>430</v>
      </c>
      <c r="B4651" s="548" t="s">
        <v>1530</v>
      </c>
      <c r="C4651" s="547" t="s">
        <v>19</v>
      </c>
      <c r="D4651" s="547" t="s">
        <v>1531</v>
      </c>
      <c r="E4651" s="688" t="s">
        <v>429</v>
      </c>
      <c r="F4651" s="688"/>
      <c r="G4651" s="549" t="s">
        <v>423</v>
      </c>
      <c r="H4651" s="550">
        <v>1</v>
      </c>
      <c r="I4651" s="551">
        <v>0.28000000000000003</v>
      </c>
      <c r="J4651" s="551">
        <v>0.28000000000000003</v>
      </c>
    </row>
    <row r="4652" spans="1:10" x14ac:dyDescent="0.3">
      <c r="A4652" s="547" t="s">
        <v>433</v>
      </c>
      <c r="B4652" s="548" t="s">
        <v>1532</v>
      </c>
      <c r="C4652" s="547" t="s">
        <v>19</v>
      </c>
      <c r="D4652" s="547" t="s">
        <v>1533</v>
      </c>
      <c r="E4652" s="688" t="s">
        <v>436</v>
      </c>
      <c r="F4652" s="688"/>
      <c r="G4652" s="549" t="s">
        <v>423</v>
      </c>
      <c r="H4652" s="550">
        <v>1</v>
      </c>
      <c r="I4652" s="551">
        <v>21.83</v>
      </c>
      <c r="J4652" s="551">
        <v>21.83</v>
      </c>
    </row>
    <row r="4653" spans="1:10" ht="25" x14ac:dyDescent="0.3">
      <c r="A4653" s="547" t="s">
        <v>433</v>
      </c>
      <c r="B4653" s="548" t="s">
        <v>1213</v>
      </c>
      <c r="C4653" s="547" t="s">
        <v>19</v>
      </c>
      <c r="D4653" s="547" t="s">
        <v>3592</v>
      </c>
      <c r="E4653" s="688" t="s">
        <v>862</v>
      </c>
      <c r="F4653" s="688"/>
      <c r="G4653" s="549" t="s">
        <v>423</v>
      </c>
      <c r="H4653" s="550">
        <v>1</v>
      </c>
      <c r="I4653" s="551">
        <v>3.8</v>
      </c>
      <c r="J4653" s="551">
        <v>3.8</v>
      </c>
    </row>
    <row r="4654" spans="1:10" ht="25" x14ac:dyDescent="0.3">
      <c r="A4654" s="547" t="s">
        <v>433</v>
      </c>
      <c r="B4654" s="548" t="s">
        <v>1214</v>
      </c>
      <c r="C4654" s="547" t="s">
        <v>19</v>
      </c>
      <c r="D4654" s="547" t="s">
        <v>3593</v>
      </c>
      <c r="E4654" s="688" t="s">
        <v>1215</v>
      </c>
      <c r="F4654" s="688"/>
      <c r="G4654" s="549" t="s">
        <v>423</v>
      </c>
      <c r="H4654" s="550">
        <v>1</v>
      </c>
      <c r="I4654" s="551">
        <v>1.5</v>
      </c>
      <c r="J4654" s="551">
        <v>1.5</v>
      </c>
    </row>
    <row r="4655" spans="1:10" ht="25" x14ac:dyDescent="0.3">
      <c r="A4655" s="547" t="s">
        <v>433</v>
      </c>
      <c r="B4655" s="548" t="s">
        <v>1216</v>
      </c>
      <c r="C4655" s="547" t="s">
        <v>19</v>
      </c>
      <c r="D4655" s="547" t="s">
        <v>3594</v>
      </c>
      <c r="E4655" s="688" t="s">
        <v>862</v>
      </c>
      <c r="F4655" s="688"/>
      <c r="G4655" s="549" t="s">
        <v>423</v>
      </c>
      <c r="H4655" s="550">
        <v>1</v>
      </c>
      <c r="I4655" s="551">
        <v>1.34</v>
      </c>
      <c r="J4655" s="551">
        <v>1.34</v>
      </c>
    </row>
    <row r="4656" spans="1:10" ht="25" x14ac:dyDescent="0.3">
      <c r="A4656" s="547" t="s">
        <v>433</v>
      </c>
      <c r="B4656" s="548" t="s">
        <v>1217</v>
      </c>
      <c r="C4656" s="547" t="s">
        <v>19</v>
      </c>
      <c r="D4656" s="547" t="s">
        <v>3595</v>
      </c>
      <c r="E4656" s="688" t="s">
        <v>531</v>
      </c>
      <c r="F4656" s="688"/>
      <c r="G4656" s="549" t="s">
        <v>423</v>
      </c>
      <c r="H4656" s="550">
        <v>1</v>
      </c>
      <c r="I4656" s="551">
        <v>0.04</v>
      </c>
      <c r="J4656" s="551">
        <v>0.04</v>
      </c>
    </row>
    <row r="4657" spans="1:10" ht="15" customHeight="1" x14ac:dyDescent="0.3">
      <c r="A4657" s="547" t="s">
        <v>433</v>
      </c>
      <c r="B4657" s="548" t="s">
        <v>1919</v>
      </c>
      <c r="C4657" s="547" t="s">
        <v>19</v>
      </c>
      <c r="D4657" s="547" t="s">
        <v>1920</v>
      </c>
      <c r="E4657" s="688" t="s">
        <v>442</v>
      </c>
      <c r="F4657" s="688"/>
      <c r="G4657" s="549" t="s">
        <v>423</v>
      </c>
      <c r="H4657" s="550">
        <v>1</v>
      </c>
      <c r="I4657" s="551">
        <v>1.23</v>
      </c>
      <c r="J4657" s="551">
        <v>1.23</v>
      </c>
    </row>
    <row r="4658" spans="1:10" ht="25.5" thickBot="1" x14ac:dyDescent="0.35">
      <c r="A4658" s="547" t="s">
        <v>433</v>
      </c>
      <c r="B4658" s="548" t="s">
        <v>1921</v>
      </c>
      <c r="C4658" s="547" t="s">
        <v>19</v>
      </c>
      <c r="D4658" s="547" t="s">
        <v>1922</v>
      </c>
      <c r="E4658" s="688" t="s">
        <v>442</v>
      </c>
      <c r="F4658" s="688"/>
      <c r="G4658" s="549" t="s">
        <v>423</v>
      </c>
      <c r="H4658" s="550">
        <v>1</v>
      </c>
      <c r="I4658" s="551">
        <v>1.79</v>
      </c>
      <c r="J4658" s="551">
        <v>1.79</v>
      </c>
    </row>
    <row r="4659" spans="1:10" s="89" customFormat="1" ht="15" customHeight="1" thickTop="1" x14ac:dyDescent="0.3">
      <c r="A4659" s="562"/>
      <c r="B4659" s="562"/>
      <c r="C4659" s="562"/>
      <c r="D4659" s="562"/>
      <c r="E4659" s="562"/>
      <c r="F4659" s="562"/>
      <c r="G4659" s="562"/>
      <c r="H4659" s="562"/>
      <c r="I4659" s="562"/>
      <c r="J4659" s="562"/>
    </row>
    <row r="4660" spans="1:10" ht="14.25" customHeight="1" x14ac:dyDescent="0.3">
      <c r="A4660" s="553"/>
      <c r="B4660" s="554" t="s">
        <v>4</v>
      </c>
      <c r="C4660" s="553" t="s">
        <v>5</v>
      </c>
      <c r="D4660" s="553" t="s">
        <v>6</v>
      </c>
      <c r="E4660" s="691" t="s">
        <v>427</v>
      </c>
      <c r="F4660" s="691"/>
      <c r="G4660" s="555" t="s">
        <v>7</v>
      </c>
      <c r="H4660" s="554" t="s">
        <v>8</v>
      </c>
      <c r="I4660" s="554" t="s">
        <v>9</v>
      </c>
      <c r="J4660" s="554" t="s">
        <v>11</v>
      </c>
    </row>
    <row r="4661" spans="1:10" ht="38.25" customHeight="1" x14ac:dyDescent="0.3">
      <c r="A4661" s="607" t="s">
        <v>428</v>
      </c>
      <c r="B4661" s="608" t="s">
        <v>1705</v>
      </c>
      <c r="C4661" s="607" t="s">
        <v>19</v>
      </c>
      <c r="D4661" s="607" t="s">
        <v>3713</v>
      </c>
      <c r="E4661" s="690" t="s">
        <v>664</v>
      </c>
      <c r="F4661" s="690"/>
      <c r="G4661" s="609" t="s">
        <v>81</v>
      </c>
      <c r="H4661" s="610">
        <v>1</v>
      </c>
      <c r="I4661" s="611">
        <v>12.69</v>
      </c>
      <c r="J4661" s="611">
        <v>12.69</v>
      </c>
    </row>
    <row r="4662" spans="1:10" ht="14.25" customHeight="1" x14ac:dyDescent="0.3">
      <c r="A4662" s="547" t="s">
        <v>430</v>
      </c>
      <c r="B4662" s="548" t="s">
        <v>863</v>
      </c>
      <c r="C4662" s="547" t="s">
        <v>19</v>
      </c>
      <c r="D4662" s="547" t="s">
        <v>864</v>
      </c>
      <c r="E4662" s="688" t="s">
        <v>429</v>
      </c>
      <c r="F4662" s="688"/>
      <c r="G4662" s="549" t="s">
        <v>423</v>
      </c>
      <c r="H4662" s="550">
        <v>0.128</v>
      </c>
      <c r="I4662" s="551">
        <v>24.65</v>
      </c>
      <c r="J4662" s="551">
        <v>3.15</v>
      </c>
    </row>
    <row r="4663" spans="1:10" ht="14.25" customHeight="1" x14ac:dyDescent="0.3">
      <c r="A4663" s="547" t="s">
        <v>430</v>
      </c>
      <c r="B4663" s="548" t="s">
        <v>769</v>
      </c>
      <c r="C4663" s="547" t="s">
        <v>19</v>
      </c>
      <c r="D4663" s="547" t="s">
        <v>770</v>
      </c>
      <c r="E4663" s="688" t="s">
        <v>429</v>
      </c>
      <c r="F4663" s="688"/>
      <c r="G4663" s="549" t="s">
        <v>423</v>
      </c>
      <c r="H4663" s="550">
        <v>0.128</v>
      </c>
      <c r="I4663" s="551">
        <v>31.49</v>
      </c>
      <c r="J4663" s="551">
        <v>4.03</v>
      </c>
    </row>
    <row r="4664" spans="1:10" ht="25" x14ac:dyDescent="0.3">
      <c r="A4664" s="547" t="s">
        <v>433</v>
      </c>
      <c r="B4664" s="548" t="s">
        <v>1923</v>
      </c>
      <c r="C4664" s="547" t="s">
        <v>19</v>
      </c>
      <c r="D4664" s="547" t="s">
        <v>1924</v>
      </c>
      <c r="E4664" s="688" t="s">
        <v>438</v>
      </c>
      <c r="F4664" s="688"/>
      <c r="G4664" s="549" t="s">
        <v>81</v>
      </c>
      <c r="H4664" s="550">
        <v>1</v>
      </c>
      <c r="I4664" s="551">
        <v>3.63</v>
      </c>
      <c r="J4664" s="551">
        <v>3.63</v>
      </c>
    </row>
    <row r="4665" spans="1:10" ht="38" thickBot="1" x14ac:dyDescent="0.35">
      <c r="A4665" s="547" t="s">
        <v>433</v>
      </c>
      <c r="B4665" s="548" t="s">
        <v>1925</v>
      </c>
      <c r="C4665" s="547" t="s">
        <v>19</v>
      </c>
      <c r="D4665" s="547" t="s">
        <v>1926</v>
      </c>
      <c r="E4665" s="688" t="s">
        <v>438</v>
      </c>
      <c r="F4665" s="688"/>
      <c r="G4665" s="549" t="s">
        <v>81</v>
      </c>
      <c r="H4665" s="550">
        <v>1</v>
      </c>
      <c r="I4665" s="551">
        <v>1.88</v>
      </c>
      <c r="J4665" s="551">
        <v>1.88</v>
      </c>
    </row>
    <row r="4666" spans="1:10" ht="14.5" thickTop="1" x14ac:dyDescent="0.3">
      <c r="A4666" s="562"/>
      <c r="B4666" s="562"/>
      <c r="C4666" s="562"/>
      <c r="D4666" s="562"/>
      <c r="E4666" s="562"/>
      <c r="F4666" s="562"/>
      <c r="G4666" s="562"/>
      <c r="H4666" s="562"/>
      <c r="I4666" s="562"/>
      <c r="J4666" s="562"/>
    </row>
    <row r="4667" spans="1:10" x14ac:dyDescent="0.3">
      <c r="A4667" s="553"/>
      <c r="B4667" s="554" t="s">
        <v>4</v>
      </c>
      <c r="C4667" s="553" t="s">
        <v>5</v>
      </c>
      <c r="D4667" s="553" t="s">
        <v>6</v>
      </c>
      <c r="E4667" s="691" t="s">
        <v>427</v>
      </c>
      <c r="F4667" s="691"/>
      <c r="G4667" s="555" t="s">
        <v>7</v>
      </c>
      <c r="H4667" s="554" t="s">
        <v>8</v>
      </c>
      <c r="I4667" s="554" t="s">
        <v>9</v>
      </c>
      <c r="J4667" s="554" t="s">
        <v>11</v>
      </c>
    </row>
    <row r="4668" spans="1:10" x14ac:dyDescent="0.3">
      <c r="A4668" s="607" t="s">
        <v>428</v>
      </c>
      <c r="B4668" s="608" t="s">
        <v>1927</v>
      </c>
      <c r="C4668" s="607" t="s">
        <v>115</v>
      </c>
      <c r="D4668" s="607" t="s">
        <v>1555</v>
      </c>
      <c r="E4668" s="690" t="s">
        <v>402</v>
      </c>
      <c r="F4668" s="690"/>
      <c r="G4668" s="609" t="s">
        <v>655</v>
      </c>
      <c r="H4668" s="610">
        <v>1</v>
      </c>
      <c r="I4668" s="611">
        <v>96.17</v>
      </c>
      <c r="J4668" s="611">
        <v>96.17</v>
      </c>
    </row>
    <row r="4669" spans="1:10" ht="15" customHeight="1" x14ac:dyDescent="0.3">
      <c r="A4669" s="691" t="s">
        <v>408</v>
      </c>
      <c r="B4669" s="692" t="s">
        <v>4</v>
      </c>
      <c r="C4669" s="691" t="s">
        <v>5</v>
      </c>
      <c r="D4669" s="691" t="s">
        <v>462</v>
      </c>
      <c r="E4669" s="692" t="s">
        <v>463</v>
      </c>
      <c r="F4669" s="694" t="s">
        <v>464</v>
      </c>
      <c r="G4669" s="692"/>
      <c r="H4669" s="694" t="s">
        <v>465</v>
      </c>
      <c r="I4669" s="692"/>
      <c r="J4669" s="692" t="s">
        <v>466</v>
      </c>
    </row>
    <row r="4670" spans="1:10" s="89" customFormat="1" x14ac:dyDescent="0.3">
      <c r="A4670" s="692"/>
      <c r="B4670" s="692"/>
      <c r="C4670" s="692"/>
      <c r="D4670" s="692"/>
      <c r="E4670" s="692"/>
      <c r="F4670" s="554" t="s">
        <v>467</v>
      </c>
      <c r="G4670" s="554" t="s">
        <v>468</v>
      </c>
      <c r="H4670" s="554" t="s">
        <v>467</v>
      </c>
      <c r="I4670" s="554" t="s">
        <v>468</v>
      </c>
      <c r="J4670" s="692"/>
    </row>
    <row r="4671" spans="1:10" ht="14.25" customHeight="1" x14ac:dyDescent="0.3">
      <c r="A4671" s="547" t="s">
        <v>433</v>
      </c>
      <c r="B4671" s="548" t="s">
        <v>1811</v>
      </c>
      <c r="C4671" s="547" t="s">
        <v>115</v>
      </c>
      <c r="D4671" s="547" t="s">
        <v>1812</v>
      </c>
      <c r="E4671" s="550">
        <v>1</v>
      </c>
      <c r="F4671" s="551">
        <v>1</v>
      </c>
      <c r="G4671" s="551">
        <v>0</v>
      </c>
      <c r="H4671" s="563">
        <v>26.9573</v>
      </c>
      <c r="I4671" s="563">
        <v>5.54</v>
      </c>
      <c r="J4671" s="563">
        <v>26.9573</v>
      </c>
    </row>
    <row r="4672" spans="1:10" x14ac:dyDescent="0.3">
      <c r="A4672" s="547" t="s">
        <v>433</v>
      </c>
      <c r="B4672" s="548" t="s">
        <v>1928</v>
      </c>
      <c r="C4672" s="547" t="s">
        <v>115</v>
      </c>
      <c r="D4672" s="547" t="s">
        <v>1929</v>
      </c>
      <c r="E4672" s="550">
        <v>1</v>
      </c>
      <c r="F4672" s="551">
        <v>1</v>
      </c>
      <c r="G4672" s="551">
        <v>0</v>
      </c>
      <c r="H4672" s="563">
        <v>0.24410000000000001</v>
      </c>
      <c r="I4672" s="563">
        <v>0.13469999999999999</v>
      </c>
      <c r="J4672" s="563">
        <v>0.24410000000000001</v>
      </c>
    </row>
    <row r="4673" spans="1:10" ht="14.25" customHeight="1" x14ac:dyDescent="0.3">
      <c r="A4673" s="689"/>
      <c r="B4673" s="689"/>
      <c r="C4673" s="689"/>
      <c r="D4673" s="689"/>
      <c r="E4673" s="689"/>
      <c r="F4673" s="689" t="s">
        <v>471</v>
      </c>
      <c r="G4673" s="689"/>
      <c r="H4673" s="689"/>
      <c r="I4673" s="689"/>
      <c r="J4673" s="564">
        <v>27.2014</v>
      </c>
    </row>
    <row r="4674" spans="1:10" ht="14.25" customHeight="1" x14ac:dyDescent="0.3">
      <c r="A4674" s="689"/>
      <c r="B4674" s="689"/>
      <c r="C4674" s="689"/>
      <c r="D4674" s="689"/>
      <c r="E4674" s="689"/>
      <c r="F4674" s="689" t="s">
        <v>472</v>
      </c>
      <c r="G4674" s="689"/>
      <c r="H4674" s="689"/>
      <c r="I4674" s="689"/>
      <c r="J4674" s="564">
        <v>27.2014</v>
      </c>
    </row>
    <row r="4675" spans="1:10" ht="14.25" customHeight="1" x14ac:dyDescent="0.3">
      <c r="A4675" s="689"/>
      <c r="B4675" s="689"/>
      <c r="C4675" s="689"/>
      <c r="D4675" s="689"/>
      <c r="E4675" s="689"/>
      <c r="F4675" s="689" t="s">
        <v>473</v>
      </c>
      <c r="G4675" s="689"/>
      <c r="H4675" s="689"/>
      <c r="I4675" s="689"/>
      <c r="J4675" s="564">
        <v>0</v>
      </c>
    </row>
    <row r="4676" spans="1:10" x14ac:dyDescent="0.3">
      <c r="A4676" s="689"/>
      <c r="B4676" s="689"/>
      <c r="C4676" s="689"/>
      <c r="D4676" s="689"/>
      <c r="E4676" s="689"/>
      <c r="F4676" s="689" t="s">
        <v>474</v>
      </c>
      <c r="G4676" s="689"/>
      <c r="H4676" s="689"/>
      <c r="I4676" s="689"/>
      <c r="J4676" s="564">
        <v>0</v>
      </c>
    </row>
    <row r="4677" spans="1:10" ht="14.25" customHeight="1" x14ac:dyDescent="0.3">
      <c r="A4677" s="689"/>
      <c r="B4677" s="689"/>
      <c r="C4677" s="689"/>
      <c r="D4677" s="689"/>
      <c r="E4677" s="689"/>
      <c r="F4677" s="689" t="s">
        <v>475</v>
      </c>
      <c r="G4677" s="689"/>
      <c r="H4677" s="689"/>
      <c r="I4677" s="689"/>
      <c r="J4677" s="564">
        <v>1.3413999999999999</v>
      </c>
    </row>
    <row r="4678" spans="1:10" ht="14.25" customHeight="1" x14ac:dyDescent="0.3">
      <c r="A4678" s="689"/>
      <c r="B4678" s="689"/>
      <c r="C4678" s="689"/>
      <c r="D4678" s="689"/>
      <c r="E4678" s="689"/>
      <c r="F4678" s="689" t="s">
        <v>476</v>
      </c>
      <c r="G4678" s="689"/>
      <c r="H4678" s="689"/>
      <c r="I4678" s="689"/>
      <c r="J4678" s="564">
        <v>20.278500000000001</v>
      </c>
    </row>
    <row r="4679" spans="1:10" ht="15" customHeight="1" x14ac:dyDescent="0.3">
      <c r="A4679" s="553" t="s">
        <v>410</v>
      </c>
      <c r="B4679" s="554" t="s">
        <v>5</v>
      </c>
      <c r="C4679" s="553" t="s">
        <v>4</v>
      </c>
      <c r="D4679" s="553" t="s">
        <v>438</v>
      </c>
      <c r="E4679" s="554" t="s">
        <v>463</v>
      </c>
      <c r="F4679" s="554" t="s">
        <v>575</v>
      </c>
      <c r="G4679" s="692" t="s">
        <v>576</v>
      </c>
      <c r="H4679" s="692"/>
      <c r="I4679" s="692"/>
      <c r="J4679" s="554" t="s">
        <v>466</v>
      </c>
    </row>
    <row r="4680" spans="1:10" x14ac:dyDescent="0.3">
      <c r="A4680" s="547" t="s">
        <v>433</v>
      </c>
      <c r="B4680" s="548" t="s">
        <v>115</v>
      </c>
      <c r="C4680" s="547" t="s">
        <v>1930</v>
      </c>
      <c r="D4680" s="547" t="s">
        <v>1931</v>
      </c>
      <c r="E4680" s="550">
        <v>1</v>
      </c>
      <c r="F4680" s="549" t="s">
        <v>655</v>
      </c>
      <c r="G4680" s="693">
        <v>34.139899999999997</v>
      </c>
      <c r="H4680" s="693"/>
      <c r="I4680" s="688"/>
      <c r="J4680" s="563">
        <v>34.139899999999997</v>
      </c>
    </row>
    <row r="4681" spans="1:10" s="89" customFormat="1" ht="15" customHeight="1" x14ac:dyDescent="0.3">
      <c r="A4681" s="689"/>
      <c r="B4681" s="689"/>
      <c r="C4681" s="689"/>
      <c r="D4681" s="689"/>
      <c r="E4681" s="689"/>
      <c r="F4681" s="689" t="s">
        <v>813</v>
      </c>
      <c r="G4681" s="689"/>
      <c r="H4681" s="689"/>
      <c r="I4681" s="689"/>
      <c r="J4681" s="564">
        <v>34.139899999999997</v>
      </c>
    </row>
    <row r="4682" spans="1:10" ht="15" customHeight="1" x14ac:dyDescent="0.3">
      <c r="A4682" s="553" t="s">
        <v>573</v>
      </c>
      <c r="B4682" s="554" t="s">
        <v>5</v>
      </c>
      <c r="C4682" s="553" t="s">
        <v>4</v>
      </c>
      <c r="D4682" s="553" t="s">
        <v>574</v>
      </c>
      <c r="E4682" s="554" t="s">
        <v>463</v>
      </c>
      <c r="F4682" s="554" t="s">
        <v>575</v>
      </c>
      <c r="G4682" s="692" t="s">
        <v>576</v>
      </c>
      <c r="H4682" s="692"/>
      <c r="I4682" s="692"/>
      <c r="J4682" s="554" t="s">
        <v>466</v>
      </c>
    </row>
    <row r="4683" spans="1:10" ht="14.25" customHeight="1" x14ac:dyDescent="0.3">
      <c r="A4683" s="547" t="s">
        <v>577</v>
      </c>
      <c r="B4683" s="548" t="s">
        <v>19</v>
      </c>
      <c r="C4683" s="547">
        <v>88241</v>
      </c>
      <c r="D4683" s="547" t="s">
        <v>794</v>
      </c>
      <c r="E4683" s="550">
        <v>0.74549529999999997</v>
      </c>
      <c r="F4683" s="549" t="s">
        <v>423</v>
      </c>
      <c r="G4683" s="693">
        <v>24.15</v>
      </c>
      <c r="H4683" s="693"/>
      <c r="I4683" s="688"/>
      <c r="J4683" s="563">
        <v>18.003699999999998</v>
      </c>
    </row>
    <row r="4684" spans="1:10" x14ac:dyDescent="0.3">
      <c r="A4684" s="547" t="s">
        <v>577</v>
      </c>
      <c r="B4684" s="548" t="s">
        <v>19</v>
      </c>
      <c r="C4684" s="547">
        <v>88317</v>
      </c>
      <c r="D4684" s="547" t="s">
        <v>645</v>
      </c>
      <c r="E4684" s="550">
        <v>0.74549529999999997</v>
      </c>
      <c r="F4684" s="549" t="s">
        <v>423</v>
      </c>
      <c r="G4684" s="693">
        <v>31.81</v>
      </c>
      <c r="H4684" s="693"/>
      <c r="I4684" s="688"/>
      <c r="J4684" s="563">
        <v>23.714200000000002</v>
      </c>
    </row>
    <row r="4685" spans="1:10" ht="14.25" customHeight="1" x14ac:dyDescent="0.3">
      <c r="A4685" s="689"/>
      <c r="B4685" s="689"/>
      <c r="C4685" s="689"/>
      <c r="D4685" s="689"/>
      <c r="E4685" s="689"/>
      <c r="F4685" s="689" t="s">
        <v>578</v>
      </c>
      <c r="G4685" s="689"/>
      <c r="H4685" s="689"/>
      <c r="I4685" s="689"/>
      <c r="J4685" s="564">
        <v>41.7179</v>
      </c>
    </row>
    <row r="4686" spans="1:10" ht="15" customHeight="1" x14ac:dyDescent="0.3">
      <c r="A4686" s="553" t="s">
        <v>579</v>
      </c>
      <c r="B4686" s="554" t="s">
        <v>5</v>
      </c>
      <c r="C4686" s="553" t="s">
        <v>433</v>
      </c>
      <c r="D4686" s="553" t="s">
        <v>580</v>
      </c>
      <c r="E4686" s="554" t="s">
        <v>4</v>
      </c>
      <c r="F4686" s="554" t="s">
        <v>463</v>
      </c>
      <c r="G4686" s="555" t="s">
        <v>575</v>
      </c>
      <c r="H4686" s="692" t="s">
        <v>576</v>
      </c>
      <c r="I4686" s="692"/>
      <c r="J4686" s="554" t="s">
        <v>466</v>
      </c>
    </row>
    <row r="4687" spans="1:10" ht="25" x14ac:dyDescent="0.3">
      <c r="A4687" s="547" t="s">
        <v>581</v>
      </c>
      <c r="B4687" s="548" t="s">
        <v>115</v>
      </c>
      <c r="C4687" s="547" t="s">
        <v>1930</v>
      </c>
      <c r="D4687" s="547" t="s">
        <v>844</v>
      </c>
      <c r="E4687" s="548">
        <v>5914655</v>
      </c>
      <c r="F4687" s="550">
        <v>1E-3</v>
      </c>
      <c r="G4687" s="549" t="s">
        <v>584</v>
      </c>
      <c r="H4687" s="693">
        <v>33.159999999999997</v>
      </c>
      <c r="I4687" s="688"/>
      <c r="J4687" s="563">
        <v>3.32E-2</v>
      </c>
    </row>
    <row r="4688" spans="1:10" ht="14.25" customHeight="1" x14ac:dyDescent="0.3">
      <c r="A4688" s="689"/>
      <c r="B4688" s="689"/>
      <c r="C4688" s="689"/>
      <c r="D4688" s="689"/>
      <c r="E4688" s="689"/>
      <c r="F4688" s="689" t="s">
        <v>585</v>
      </c>
      <c r="G4688" s="689"/>
      <c r="H4688" s="689"/>
      <c r="I4688" s="689"/>
      <c r="J4688" s="564">
        <v>3.32E-2</v>
      </c>
    </row>
    <row r="4689" spans="1:10" s="89" customFormat="1" ht="15" customHeight="1" x14ac:dyDescent="0.3">
      <c r="A4689" s="553" t="s">
        <v>586</v>
      </c>
      <c r="B4689" s="554" t="s">
        <v>5</v>
      </c>
      <c r="C4689" s="553" t="s">
        <v>433</v>
      </c>
      <c r="D4689" s="553" t="s">
        <v>587</v>
      </c>
      <c r="E4689" s="554" t="s">
        <v>463</v>
      </c>
      <c r="F4689" s="554" t="s">
        <v>575</v>
      </c>
      <c r="G4689" s="694" t="s">
        <v>588</v>
      </c>
      <c r="H4689" s="692"/>
      <c r="I4689" s="692"/>
      <c r="J4689" s="554" t="s">
        <v>466</v>
      </c>
    </row>
    <row r="4690" spans="1:10" ht="14.25" customHeight="1" x14ac:dyDescent="0.3">
      <c r="A4690" s="555"/>
      <c r="B4690" s="555"/>
      <c r="C4690" s="555"/>
      <c r="D4690" s="555"/>
      <c r="E4690" s="555"/>
      <c r="F4690" s="555"/>
      <c r="G4690" s="555" t="s">
        <v>589</v>
      </c>
      <c r="H4690" s="555" t="s">
        <v>590</v>
      </c>
      <c r="I4690" s="555" t="s">
        <v>591</v>
      </c>
      <c r="J4690" s="555"/>
    </row>
    <row r="4691" spans="1:10" ht="37.5" x14ac:dyDescent="0.3">
      <c r="A4691" s="547" t="s">
        <v>587</v>
      </c>
      <c r="B4691" s="548" t="s">
        <v>115</v>
      </c>
      <c r="C4691" s="547" t="s">
        <v>1930</v>
      </c>
      <c r="D4691" s="547" t="s">
        <v>1932</v>
      </c>
      <c r="E4691" s="550">
        <v>1E-3</v>
      </c>
      <c r="F4691" s="549" t="s">
        <v>593</v>
      </c>
      <c r="G4691" s="548" t="s">
        <v>3846</v>
      </c>
      <c r="H4691" s="548" t="s">
        <v>3847</v>
      </c>
      <c r="I4691" s="548" t="s">
        <v>3848</v>
      </c>
      <c r="J4691" s="563">
        <v>0</v>
      </c>
    </row>
    <row r="4692" spans="1:10" ht="15" customHeight="1" thickBot="1" x14ac:dyDescent="0.35">
      <c r="A4692" s="689"/>
      <c r="B4692" s="689"/>
      <c r="C4692" s="689"/>
      <c r="D4692" s="689"/>
      <c r="E4692" s="689"/>
      <c r="F4692" s="689" t="s">
        <v>594</v>
      </c>
      <c r="G4692" s="689"/>
      <c r="H4692" s="689"/>
      <c r="I4692" s="689"/>
      <c r="J4692" s="564">
        <v>0</v>
      </c>
    </row>
    <row r="4693" spans="1:10" ht="14.5" thickTop="1" x14ac:dyDescent="0.3">
      <c r="A4693" s="562"/>
      <c r="B4693" s="562"/>
      <c r="C4693" s="562"/>
      <c r="D4693" s="562"/>
      <c r="E4693" s="562"/>
      <c r="F4693" s="562"/>
      <c r="G4693" s="562"/>
      <c r="H4693" s="562"/>
      <c r="I4693" s="562"/>
      <c r="J4693" s="562"/>
    </row>
    <row r="4694" spans="1:10" x14ac:dyDescent="0.3">
      <c r="A4694" s="553"/>
      <c r="B4694" s="554" t="s">
        <v>4</v>
      </c>
      <c r="C4694" s="553" t="s">
        <v>5</v>
      </c>
      <c r="D4694" s="553" t="s">
        <v>6</v>
      </c>
      <c r="E4694" s="691" t="s">
        <v>427</v>
      </c>
      <c r="F4694" s="691"/>
      <c r="G4694" s="555" t="s">
        <v>7</v>
      </c>
      <c r="H4694" s="554" t="s">
        <v>8</v>
      </c>
      <c r="I4694" s="554" t="s">
        <v>9</v>
      </c>
      <c r="J4694" s="554" t="s">
        <v>11</v>
      </c>
    </row>
    <row r="4695" spans="1:10" x14ac:dyDescent="0.3">
      <c r="A4695" s="607" t="s">
        <v>428</v>
      </c>
      <c r="B4695" s="608" t="s">
        <v>1933</v>
      </c>
      <c r="C4695" s="607" t="s">
        <v>115</v>
      </c>
      <c r="D4695" s="607" t="s">
        <v>877</v>
      </c>
      <c r="E4695" s="690" t="s">
        <v>402</v>
      </c>
      <c r="F4695" s="690"/>
      <c r="G4695" s="609" t="s">
        <v>869</v>
      </c>
      <c r="H4695" s="610">
        <v>1</v>
      </c>
      <c r="I4695" s="611">
        <v>338.68</v>
      </c>
      <c r="J4695" s="611">
        <v>338.68</v>
      </c>
    </row>
    <row r="4696" spans="1:10" ht="14.25" customHeight="1" x14ac:dyDescent="0.3">
      <c r="A4696" s="689"/>
      <c r="B4696" s="689"/>
      <c r="C4696" s="689"/>
      <c r="D4696" s="689"/>
      <c r="E4696" s="689"/>
      <c r="F4696" s="689" t="s">
        <v>472</v>
      </c>
      <c r="G4696" s="689"/>
      <c r="H4696" s="689"/>
      <c r="I4696" s="689"/>
      <c r="J4696" s="564">
        <v>0</v>
      </c>
    </row>
    <row r="4697" spans="1:10" ht="14.25" customHeight="1" x14ac:dyDescent="0.3">
      <c r="A4697" s="689"/>
      <c r="B4697" s="689"/>
      <c r="C4697" s="689"/>
      <c r="D4697" s="689"/>
      <c r="E4697" s="689"/>
      <c r="F4697" s="689" t="s">
        <v>473</v>
      </c>
      <c r="G4697" s="689"/>
      <c r="H4697" s="689"/>
      <c r="I4697" s="689"/>
      <c r="J4697" s="564">
        <v>0</v>
      </c>
    </row>
    <row r="4698" spans="1:10" x14ac:dyDescent="0.3">
      <c r="A4698" s="689"/>
      <c r="B4698" s="689"/>
      <c r="C4698" s="689"/>
      <c r="D4698" s="689"/>
      <c r="E4698" s="689"/>
      <c r="F4698" s="689" t="s">
        <v>474</v>
      </c>
      <c r="G4698" s="689"/>
      <c r="H4698" s="689"/>
      <c r="I4698" s="689"/>
      <c r="J4698" s="564">
        <v>0</v>
      </c>
    </row>
    <row r="4699" spans="1:10" ht="14.25" customHeight="1" x14ac:dyDescent="0.3">
      <c r="A4699" s="689"/>
      <c r="B4699" s="689"/>
      <c r="C4699" s="689"/>
      <c r="D4699" s="689"/>
      <c r="E4699" s="689"/>
      <c r="F4699" s="689" t="s">
        <v>475</v>
      </c>
      <c r="G4699" s="689"/>
      <c r="H4699" s="689"/>
      <c r="I4699" s="689"/>
      <c r="J4699" s="564">
        <v>1</v>
      </c>
    </row>
    <row r="4700" spans="1:10" s="89" customFormat="1" ht="38.25" customHeight="1" x14ac:dyDescent="0.3">
      <c r="A4700" s="689"/>
      <c r="B4700" s="689"/>
      <c r="C4700" s="689"/>
      <c r="D4700" s="689"/>
      <c r="E4700" s="689"/>
      <c r="F4700" s="689" t="s">
        <v>476</v>
      </c>
      <c r="G4700" s="689"/>
      <c r="H4700" s="689"/>
      <c r="I4700" s="689"/>
      <c r="J4700" s="564">
        <v>0</v>
      </c>
    </row>
    <row r="4701" spans="1:10" ht="14.25" customHeight="1" x14ac:dyDescent="0.3">
      <c r="A4701" s="553" t="s">
        <v>410</v>
      </c>
      <c r="B4701" s="554" t="s">
        <v>5</v>
      </c>
      <c r="C4701" s="553" t="s">
        <v>4</v>
      </c>
      <c r="D4701" s="553" t="s">
        <v>438</v>
      </c>
      <c r="E4701" s="554" t="s">
        <v>463</v>
      </c>
      <c r="F4701" s="554" t="s">
        <v>575</v>
      </c>
      <c r="G4701" s="692" t="s">
        <v>576</v>
      </c>
      <c r="H4701" s="692"/>
      <c r="I4701" s="692"/>
      <c r="J4701" s="554" t="s">
        <v>466</v>
      </c>
    </row>
    <row r="4702" spans="1:10" ht="14.25" customHeight="1" x14ac:dyDescent="0.3">
      <c r="A4702" s="547" t="s">
        <v>433</v>
      </c>
      <c r="B4702" s="548" t="s">
        <v>115</v>
      </c>
      <c r="C4702" s="547" t="s">
        <v>1118</v>
      </c>
      <c r="D4702" s="547" t="s">
        <v>1119</v>
      </c>
      <c r="E4702" s="550">
        <v>9.7732500000000009</v>
      </c>
      <c r="F4702" s="549" t="s">
        <v>655</v>
      </c>
      <c r="G4702" s="693">
        <v>29.3703</v>
      </c>
      <c r="H4702" s="693"/>
      <c r="I4702" s="688"/>
      <c r="J4702" s="563">
        <v>287.04329999999999</v>
      </c>
    </row>
    <row r="4703" spans="1:10" ht="14.25" customHeight="1" x14ac:dyDescent="0.3">
      <c r="A4703" s="689"/>
      <c r="B4703" s="689"/>
      <c r="C4703" s="689"/>
      <c r="D4703" s="689"/>
      <c r="E4703" s="689"/>
      <c r="F4703" s="689" t="s">
        <v>813</v>
      </c>
      <c r="G4703" s="689"/>
      <c r="H4703" s="689"/>
      <c r="I4703" s="689"/>
      <c r="J4703" s="564">
        <v>287.04329999999999</v>
      </c>
    </row>
    <row r="4704" spans="1:10" ht="15" customHeight="1" x14ac:dyDescent="0.3">
      <c r="A4704" s="553" t="s">
        <v>573</v>
      </c>
      <c r="B4704" s="554" t="s">
        <v>5</v>
      </c>
      <c r="C4704" s="553" t="s">
        <v>4</v>
      </c>
      <c r="D4704" s="553" t="s">
        <v>574</v>
      </c>
      <c r="E4704" s="554" t="s">
        <v>463</v>
      </c>
      <c r="F4704" s="554" t="s">
        <v>575</v>
      </c>
      <c r="G4704" s="692" t="s">
        <v>576</v>
      </c>
      <c r="H4704" s="692"/>
      <c r="I4704" s="692"/>
      <c r="J4704" s="554" t="s">
        <v>466</v>
      </c>
    </row>
    <row r="4705" spans="1:10" ht="25" x14ac:dyDescent="0.3">
      <c r="A4705" s="547" t="s">
        <v>577</v>
      </c>
      <c r="B4705" s="548" t="s">
        <v>115</v>
      </c>
      <c r="C4705" s="547">
        <v>1107892</v>
      </c>
      <c r="D4705" s="547" t="s">
        <v>1120</v>
      </c>
      <c r="E4705" s="550">
        <v>2.4E-2</v>
      </c>
      <c r="F4705" s="549" t="s">
        <v>532</v>
      </c>
      <c r="G4705" s="693">
        <v>448.91</v>
      </c>
      <c r="H4705" s="693"/>
      <c r="I4705" s="688"/>
      <c r="J4705" s="563">
        <v>10.7738</v>
      </c>
    </row>
    <row r="4706" spans="1:10" x14ac:dyDescent="0.3">
      <c r="A4706" s="547" t="s">
        <v>577</v>
      </c>
      <c r="B4706" s="548" t="s">
        <v>115</v>
      </c>
      <c r="C4706" s="547">
        <v>1419543</v>
      </c>
      <c r="D4706" s="547" t="s">
        <v>1552</v>
      </c>
      <c r="E4706" s="550">
        <v>1</v>
      </c>
      <c r="F4706" s="549" t="s">
        <v>869</v>
      </c>
      <c r="G4706" s="693">
        <v>0.19</v>
      </c>
      <c r="H4706" s="693"/>
      <c r="I4706" s="688"/>
      <c r="J4706" s="563">
        <v>0.19</v>
      </c>
    </row>
    <row r="4707" spans="1:10" s="89" customFormat="1" ht="25" x14ac:dyDescent="0.3">
      <c r="A4707" s="547" t="s">
        <v>577</v>
      </c>
      <c r="B4707" s="548" t="s">
        <v>115</v>
      </c>
      <c r="C4707" s="547">
        <v>3106121</v>
      </c>
      <c r="D4707" s="547" t="s">
        <v>1635</v>
      </c>
      <c r="E4707" s="550">
        <v>0.4</v>
      </c>
      <c r="F4707" s="549" t="s">
        <v>556</v>
      </c>
      <c r="G4707" s="693">
        <v>99.89</v>
      </c>
      <c r="H4707" s="693"/>
      <c r="I4707" s="688"/>
      <c r="J4707" s="563">
        <v>39.956000000000003</v>
      </c>
    </row>
    <row r="4708" spans="1:10" ht="15" customHeight="1" x14ac:dyDescent="0.3">
      <c r="A4708" s="547" t="s">
        <v>577</v>
      </c>
      <c r="B4708" s="548" t="s">
        <v>115</v>
      </c>
      <c r="C4708" s="547">
        <v>2408057</v>
      </c>
      <c r="D4708" s="547" t="s">
        <v>1555</v>
      </c>
      <c r="E4708" s="550">
        <v>4.0699999999999998E-3</v>
      </c>
      <c r="F4708" s="549" t="s">
        <v>655</v>
      </c>
      <c r="G4708" s="693">
        <v>96.17</v>
      </c>
      <c r="H4708" s="693"/>
      <c r="I4708" s="688"/>
      <c r="J4708" s="563">
        <v>0.39140000000000003</v>
      </c>
    </row>
    <row r="4709" spans="1:10" ht="15" customHeight="1" x14ac:dyDescent="0.3">
      <c r="A4709" s="689"/>
      <c r="B4709" s="689"/>
      <c r="C4709" s="689"/>
      <c r="D4709" s="689"/>
      <c r="E4709" s="689"/>
      <c r="F4709" s="689" t="s">
        <v>578</v>
      </c>
      <c r="G4709" s="689"/>
      <c r="H4709" s="689"/>
      <c r="I4709" s="689"/>
      <c r="J4709" s="564">
        <v>51.311199999999999</v>
      </c>
    </row>
    <row r="4710" spans="1:10" ht="15" customHeight="1" x14ac:dyDescent="0.3">
      <c r="A4710" s="553" t="s">
        <v>579</v>
      </c>
      <c r="B4710" s="554" t="s">
        <v>5</v>
      </c>
      <c r="C4710" s="553" t="s">
        <v>433</v>
      </c>
      <c r="D4710" s="553" t="s">
        <v>580</v>
      </c>
      <c r="E4710" s="554" t="s">
        <v>4</v>
      </c>
      <c r="F4710" s="554" t="s">
        <v>463</v>
      </c>
      <c r="G4710" s="555" t="s">
        <v>575</v>
      </c>
      <c r="H4710" s="692" t="s">
        <v>576</v>
      </c>
      <c r="I4710" s="692"/>
      <c r="J4710" s="554" t="s">
        <v>466</v>
      </c>
    </row>
    <row r="4711" spans="1:10" ht="25" x14ac:dyDescent="0.3">
      <c r="A4711" s="547" t="s">
        <v>581</v>
      </c>
      <c r="B4711" s="548" t="s">
        <v>115</v>
      </c>
      <c r="C4711" s="547" t="s">
        <v>1118</v>
      </c>
      <c r="D4711" s="547" t="s">
        <v>844</v>
      </c>
      <c r="E4711" s="548">
        <v>5914655</v>
      </c>
      <c r="F4711" s="550">
        <v>9.7699999999999992E-3</v>
      </c>
      <c r="G4711" s="549" t="s">
        <v>584</v>
      </c>
      <c r="H4711" s="693">
        <v>33.159999999999997</v>
      </c>
      <c r="I4711" s="688"/>
      <c r="J4711" s="563">
        <v>0.32400000000000001</v>
      </c>
    </row>
    <row r="4712" spans="1:10" ht="14.25" customHeight="1" x14ac:dyDescent="0.3">
      <c r="A4712" s="689"/>
      <c r="B4712" s="689"/>
      <c r="C4712" s="689"/>
      <c r="D4712" s="689"/>
      <c r="E4712" s="689"/>
      <c r="F4712" s="689" t="s">
        <v>585</v>
      </c>
      <c r="G4712" s="689"/>
      <c r="H4712" s="689"/>
      <c r="I4712" s="689"/>
      <c r="J4712" s="564">
        <v>0.32400000000000001</v>
      </c>
    </row>
    <row r="4713" spans="1:10" ht="14.25" customHeight="1" x14ac:dyDescent="0.3">
      <c r="A4713" s="553" t="s">
        <v>586</v>
      </c>
      <c r="B4713" s="554" t="s">
        <v>5</v>
      </c>
      <c r="C4713" s="553" t="s">
        <v>433</v>
      </c>
      <c r="D4713" s="553" t="s">
        <v>587</v>
      </c>
      <c r="E4713" s="554" t="s">
        <v>463</v>
      </c>
      <c r="F4713" s="554" t="s">
        <v>575</v>
      </c>
      <c r="G4713" s="694" t="s">
        <v>588</v>
      </c>
      <c r="H4713" s="692"/>
      <c r="I4713" s="692"/>
      <c r="J4713" s="554" t="s">
        <v>466</v>
      </c>
    </row>
    <row r="4714" spans="1:10" ht="14.25" customHeight="1" x14ac:dyDescent="0.3">
      <c r="A4714" s="555"/>
      <c r="B4714" s="555"/>
      <c r="C4714" s="555"/>
      <c r="D4714" s="555"/>
      <c r="E4714" s="555"/>
      <c r="F4714" s="555"/>
      <c r="G4714" s="555" t="s">
        <v>589</v>
      </c>
      <c r="H4714" s="555" t="s">
        <v>590</v>
      </c>
      <c r="I4714" s="555" t="s">
        <v>591</v>
      </c>
      <c r="J4714" s="555"/>
    </row>
    <row r="4715" spans="1:10" ht="14.25" customHeight="1" x14ac:dyDescent="0.3">
      <c r="A4715" s="547" t="s">
        <v>587</v>
      </c>
      <c r="B4715" s="548" t="s">
        <v>115</v>
      </c>
      <c r="C4715" s="547" t="s">
        <v>1118</v>
      </c>
      <c r="D4715" s="547" t="s">
        <v>1122</v>
      </c>
      <c r="E4715" s="550">
        <v>9.7699999999999992E-3</v>
      </c>
      <c r="F4715" s="549" t="s">
        <v>593</v>
      </c>
      <c r="G4715" s="548" t="s">
        <v>3846</v>
      </c>
      <c r="H4715" s="548" t="s">
        <v>3847</v>
      </c>
      <c r="I4715" s="548" t="s">
        <v>3848</v>
      </c>
      <c r="J4715" s="563">
        <v>0</v>
      </c>
    </row>
    <row r="4716" spans="1:10" ht="14.25" customHeight="1" thickBot="1" x14ac:dyDescent="0.35">
      <c r="A4716" s="689"/>
      <c r="B4716" s="689"/>
      <c r="C4716" s="689"/>
      <c r="D4716" s="689"/>
      <c r="E4716" s="689"/>
      <c r="F4716" s="689" t="s">
        <v>594</v>
      </c>
      <c r="G4716" s="689"/>
      <c r="H4716" s="689"/>
      <c r="I4716" s="689"/>
      <c r="J4716" s="564">
        <v>0</v>
      </c>
    </row>
    <row r="4717" spans="1:10" ht="14.25" customHeight="1" thickTop="1" x14ac:dyDescent="0.3">
      <c r="A4717" s="562"/>
      <c r="B4717" s="562"/>
      <c r="C4717" s="562"/>
      <c r="D4717" s="562"/>
      <c r="E4717" s="562"/>
      <c r="F4717" s="562"/>
      <c r="G4717" s="562"/>
      <c r="H4717" s="562"/>
      <c r="I4717" s="562"/>
      <c r="J4717" s="562"/>
    </row>
    <row r="4718" spans="1:10" ht="14.25" customHeight="1" x14ac:dyDescent="0.3">
      <c r="A4718" s="553"/>
      <c r="B4718" s="554" t="s">
        <v>4</v>
      </c>
      <c r="C4718" s="553" t="s">
        <v>5</v>
      </c>
      <c r="D4718" s="553" t="s">
        <v>6</v>
      </c>
      <c r="E4718" s="691" t="s">
        <v>427</v>
      </c>
      <c r="F4718" s="691"/>
      <c r="G4718" s="555" t="s">
        <v>7</v>
      </c>
      <c r="H4718" s="554" t="s">
        <v>8</v>
      </c>
      <c r="I4718" s="554" t="s">
        <v>9</v>
      </c>
      <c r="J4718" s="554" t="s">
        <v>11</v>
      </c>
    </row>
    <row r="4719" spans="1:10" ht="15" customHeight="1" x14ac:dyDescent="0.3">
      <c r="A4719" s="607" t="s">
        <v>428</v>
      </c>
      <c r="B4719" s="608" t="s">
        <v>997</v>
      </c>
      <c r="C4719" s="607" t="s">
        <v>19</v>
      </c>
      <c r="D4719" s="607" t="s">
        <v>3556</v>
      </c>
      <c r="E4719" s="690" t="s">
        <v>461</v>
      </c>
      <c r="F4719" s="690"/>
      <c r="G4719" s="609" t="s">
        <v>95</v>
      </c>
      <c r="H4719" s="610">
        <v>1</v>
      </c>
      <c r="I4719" s="611">
        <v>243.96</v>
      </c>
      <c r="J4719" s="611">
        <v>243.96</v>
      </c>
    </row>
    <row r="4720" spans="1:10" ht="14.25" customHeight="1" x14ac:dyDescent="0.3">
      <c r="A4720" s="547" t="s">
        <v>430</v>
      </c>
      <c r="B4720" s="548" t="s">
        <v>1934</v>
      </c>
      <c r="C4720" s="547" t="s">
        <v>19</v>
      </c>
      <c r="D4720" s="547" t="s">
        <v>3735</v>
      </c>
      <c r="E4720" s="688" t="s">
        <v>461</v>
      </c>
      <c r="F4720" s="688"/>
      <c r="G4720" s="549" t="s">
        <v>423</v>
      </c>
      <c r="H4720" s="550">
        <v>1</v>
      </c>
      <c r="I4720" s="551">
        <v>4.7</v>
      </c>
      <c r="J4720" s="551">
        <v>4.7</v>
      </c>
    </row>
    <row r="4721" spans="1:10" ht="15" customHeight="1" x14ac:dyDescent="0.3">
      <c r="A4721" s="547" t="s">
        <v>430</v>
      </c>
      <c r="B4721" s="548" t="s">
        <v>1935</v>
      </c>
      <c r="C4721" s="547" t="s">
        <v>19</v>
      </c>
      <c r="D4721" s="547" t="s">
        <v>3736</v>
      </c>
      <c r="E4721" s="688" t="s">
        <v>461</v>
      </c>
      <c r="F4721" s="688"/>
      <c r="G4721" s="549" t="s">
        <v>423</v>
      </c>
      <c r="H4721" s="550">
        <v>1</v>
      </c>
      <c r="I4721" s="551">
        <v>1.63</v>
      </c>
      <c r="J4721" s="551">
        <v>1.63</v>
      </c>
    </row>
    <row r="4722" spans="1:10" ht="15" customHeight="1" x14ac:dyDescent="0.3">
      <c r="A4722" s="547" t="s">
        <v>430</v>
      </c>
      <c r="B4722" s="548" t="s">
        <v>1936</v>
      </c>
      <c r="C4722" s="547" t="s">
        <v>19</v>
      </c>
      <c r="D4722" s="547" t="s">
        <v>3737</v>
      </c>
      <c r="E4722" s="688" t="s">
        <v>461</v>
      </c>
      <c r="F4722" s="688"/>
      <c r="G4722" s="549" t="s">
        <v>423</v>
      </c>
      <c r="H4722" s="550">
        <v>1</v>
      </c>
      <c r="I4722" s="551">
        <v>5.88</v>
      </c>
      <c r="J4722" s="551">
        <v>5.88</v>
      </c>
    </row>
    <row r="4723" spans="1:10" ht="26.25" customHeight="1" thickBot="1" x14ac:dyDescent="0.35">
      <c r="A4723" s="547" t="s">
        <v>430</v>
      </c>
      <c r="B4723" s="548" t="s">
        <v>1937</v>
      </c>
      <c r="C4723" s="547" t="s">
        <v>19</v>
      </c>
      <c r="D4723" s="547" t="s">
        <v>3738</v>
      </c>
      <c r="E4723" s="688" t="s">
        <v>461</v>
      </c>
      <c r="F4723" s="688"/>
      <c r="G4723" s="549" t="s">
        <v>423</v>
      </c>
      <c r="H4723" s="550">
        <v>1</v>
      </c>
      <c r="I4723" s="551">
        <v>231.75</v>
      </c>
      <c r="J4723" s="551">
        <v>231.75</v>
      </c>
    </row>
    <row r="4724" spans="1:10" ht="14.25" customHeight="1" thickTop="1" x14ac:dyDescent="0.3">
      <c r="A4724" s="562"/>
      <c r="B4724" s="562"/>
      <c r="C4724" s="562"/>
      <c r="D4724" s="562"/>
      <c r="E4724" s="562"/>
      <c r="F4724" s="562"/>
      <c r="G4724" s="562"/>
      <c r="H4724" s="562"/>
      <c r="I4724" s="562"/>
      <c r="J4724" s="562"/>
    </row>
    <row r="4725" spans="1:10" ht="14.25" customHeight="1" x14ac:dyDescent="0.3">
      <c r="A4725" s="553"/>
      <c r="B4725" s="554" t="s">
        <v>4</v>
      </c>
      <c r="C4725" s="553" t="s">
        <v>5</v>
      </c>
      <c r="D4725" s="553" t="s">
        <v>6</v>
      </c>
      <c r="E4725" s="691" t="s">
        <v>427</v>
      </c>
      <c r="F4725" s="691"/>
      <c r="G4725" s="555" t="s">
        <v>7</v>
      </c>
      <c r="H4725" s="554" t="s">
        <v>8</v>
      </c>
      <c r="I4725" s="554" t="s">
        <v>9</v>
      </c>
      <c r="J4725" s="554" t="s">
        <v>11</v>
      </c>
    </row>
    <row r="4726" spans="1:10" ht="15" customHeight="1" x14ac:dyDescent="0.3">
      <c r="A4726" s="607" t="s">
        <v>428</v>
      </c>
      <c r="B4726" s="608" t="s">
        <v>1934</v>
      </c>
      <c r="C4726" s="607" t="s">
        <v>19</v>
      </c>
      <c r="D4726" s="607" t="s">
        <v>3735</v>
      </c>
      <c r="E4726" s="690" t="s">
        <v>461</v>
      </c>
      <c r="F4726" s="690"/>
      <c r="G4726" s="609" t="s">
        <v>423</v>
      </c>
      <c r="H4726" s="610">
        <v>1</v>
      </c>
      <c r="I4726" s="611">
        <v>4.7</v>
      </c>
      <c r="J4726" s="611">
        <v>4.7</v>
      </c>
    </row>
    <row r="4727" spans="1:10" ht="14.25" customHeight="1" thickBot="1" x14ac:dyDescent="0.35">
      <c r="A4727" s="547" t="s">
        <v>433</v>
      </c>
      <c r="B4727" s="548" t="s">
        <v>1938</v>
      </c>
      <c r="C4727" s="547" t="s">
        <v>19</v>
      </c>
      <c r="D4727" s="547" t="s">
        <v>1939</v>
      </c>
      <c r="E4727" s="688" t="s">
        <v>438</v>
      </c>
      <c r="F4727" s="688"/>
      <c r="G4727" s="549" t="s">
        <v>81</v>
      </c>
      <c r="H4727" s="550">
        <v>3.1999999999999999E-5</v>
      </c>
      <c r="I4727" s="551">
        <v>147034.85999999999</v>
      </c>
      <c r="J4727" s="551">
        <v>4.7</v>
      </c>
    </row>
    <row r="4728" spans="1:10" ht="14.25" customHeight="1" thickTop="1" x14ac:dyDescent="0.3">
      <c r="A4728" s="562"/>
      <c r="B4728" s="562"/>
      <c r="C4728" s="562"/>
      <c r="D4728" s="562"/>
      <c r="E4728" s="562"/>
      <c r="F4728" s="562"/>
      <c r="G4728" s="562"/>
      <c r="H4728" s="562"/>
      <c r="I4728" s="562"/>
      <c r="J4728" s="562"/>
    </row>
    <row r="4729" spans="1:10" ht="15" customHeight="1" x14ac:dyDescent="0.3">
      <c r="A4729" s="553"/>
      <c r="B4729" s="554" t="s">
        <v>4</v>
      </c>
      <c r="C4729" s="553" t="s">
        <v>5</v>
      </c>
      <c r="D4729" s="553" t="s">
        <v>6</v>
      </c>
      <c r="E4729" s="691" t="s">
        <v>427</v>
      </c>
      <c r="F4729" s="691"/>
      <c r="G4729" s="555" t="s">
        <v>7</v>
      </c>
      <c r="H4729" s="554" t="s">
        <v>8</v>
      </c>
      <c r="I4729" s="554" t="s">
        <v>9</v>
      </c>
      <c r="J4729" s="554" t="s">
        <v>11</v>
      </c>
    </row>
    <row r="4730" spans="1:10" ht="25.5" customHeight="1" x14ac:dyDescent="0.3">
      <c r="A4730" s="607" t="s">
        <v>428</v>
      </c>
      <c r="B4730" s="608" t="s">
        <v>1935</v>
      </c>
      <c r="C4730" s="607" t="s">
        <v>19</v>
      </c>
      <c r="D4730" s="607" t="s">
        <v>3736</v>
      </c>
      <c r="E4730" s="690" t="s">
        <v>461</v>
      </c>
      <c r="F4730" s="690"/>
      <c r="G4730" s="609" t="s">
        <v>423</v>
      </c>
      <c r="H4730" s="610">
        <v>1</v>
      </c>
      <c r="I4730" s="611">
        <v>1.63</v>
      </c>
      <c r="J4730" s="611">
        <v>1.63</v>
      </c>
    </row>
    <row r="4731" spans="1:10" ht="15" customHeight="1" thickBot="1" x14ac:dyDescent="0.35">
      <c r="A4731" s="547" t="s">
        <v>433</v>
      </c>
      <c r="B4731" s="548" t="s">
        <v>1938</v>
      </c>
      <c r="C4731" s="547" t="s">
        <v>19</v>
      </c>
      <c r="D4731" s="547" t="s">
        <v>1939</v>
      </c>
      <c r="E4731" s="688" t="s">
        <v>438</v>
      </c>
      <c r="F4731" s="688"/>
      <c r="G4731" s="549" t="s">
        <v>81</v>
      </c>
      <c r="H4731" s="550">
        <v>1.11E-5</v>
      </c>
      <c r="I4731" s="551">
        <v>147034.85999999999</v>
      </c>
      <c r="J4731" s="551">
        <v>1.63</v>
      </c>
    </row>
    <row r="4732" spans="1:10" ht="15" customHeight="1" thickTop="1" x14ac:dyDescent="0.3">
      <c r="A4732" s="562"/>
      <c r="B4732" s="562"/>
      <c r="C4732" s="562"/>
      <c r="D4732" s="562"/>
      <c r="E4732" s="562"/>
      <c r="F4732" s="562"/>
      <c r="G4732" s="562"/>
      <c r="H4732" s="562"/>
      <c r="I4732" s="562"/>
      <c r="J4732" s="562"/>
    </row>
    <row r="4733" spans="1:10" x14ac:dyDescent="0.3">
      <c r="A4733" s="553"/>
      <c r="B4733" s="554" t="s">
        <v>4</v>
      </c>
      <c r="C4733" s="553" t="s">
        <v>5</v>
      </c>
      <c r="D4733" s="553" t="s">
        <v>6</v>
      </c>
      <c r="E4733" s="691" t="s">
        <v>427</v>
      </c>
      <c r="F4733" s="691"/>
      <c r="G4733" s="555" t="s">
        <v>7</v>
      </c>
      <c r="H4733" s="554" t="s">
        <v>8</v>
      </c>
      <c r="I4733" s="554" t="s">
        <v>9</v>
      </c>
      <c r="J4733" s="554" t="s">
        <v>11</v>
      </c>
    </row>
    <row r="4734" spans="1:10" s="89" customFormat="1" ht="25.5" customHeight="1" x14ac:dyDescent="0.3">
      <c r="A4734" s="607" t="s">
        <v>428</v>
      </c>
      <c r="B4734" s="608" t="s">
        <v>1936</v>
      </c>
      <c r="C4734" s="607" t="s">
        <v>19</v>
      </c>
      <c r="D4734" s="607" t="s">
        <v>3737</v>
      </c>
      <c r="E4734" s="690" t="s">
        <v>461</v>
      </c>
      <c r="F4734" s="690"/>
      <c r="G4734" s="609" t="s">
        <v>423</v>
      </c>
      <c r="H4734" s="610">
        <v>1</v>
      </c>
      <c r="I4734" s="611">
        <v>5.88</v>
      </c>
      <c r="J4734" s="611">
        <v>5.88</v>
      </c>
    </row>
    <row r="4735" spans="1:10" ht="14.25" customHeight="1" thickBot="1" x14ac:dyDescent="0.35">
      <c r="A4735" s="547" t="s">
        <v>433</v>
      </c>
      <c r="B4735" s="548" t="s">
        <v>1938</v>
      </c>
      <c r="C4735" s="547" t="s">
        <v>19</v>
      </c>
      <c r="D4735" s="547" t="s">
        <v>1939</v>
      </c>
      <c r="E4735" s="688" t="s">
        <v>438</v>
      </c>
      <c r="F4735" s="688"/>
      <c r="G4735" s="549" t="s">
        <v>81</v>
      </c>
      <c r="H4735" s="550">
        <v>4.0000000000000003E-5</v>
      </c>
      <c r="I4735" s="551">
        <v>147034.85999999999</v>
      </c>
      <c r="J4735" s="551">
        <v>5.88</v>
      </c>
    </row>
    <row r="4736" spans="1:10" ht="14.25" customHeight="1" thickTop="1" x14ac:dyDescent="0.3">
      <c r="A4736" s="562"/>
      <c r="B4736" s="562"/>
      <c r="C4736" s="562"/>
      <c r="D4736" s="562"/>
      <c r="E4736" s="562"/>
      <c r="F4736" s="562"/>
      <c r="G4736" s="562"/>
      <c r="H4736" s="562"/>
      <c r="I4736" s="562"/>
      <c r="J4736" s="562"/>
    </row>
    <row r="4737" spans="1:10" ht="14.25" customHeight="1" x14ac:dyDescent="0.3">
      <c r="A4737" s="553"/>
      <c r="B4737" s="554" t="s">
        <v>4</v>
      </c>
      <c r="C4737" s="553" t="s">
        <v>5</v>
      </c>
      <c r="D4737" s="553" t="s">
        <v>6</v>
      </c>
      <c r="E4737" s="691" t="s">
        <v>427</v>
      </c>
      <c r="F4737" s="691"/>
      <c r="G4737" s="555" t="s">
        <v>7</v>
      </c>
      <c r="H4737" s="554" t="s">
        <v>8</v>
      </c>
      <c r="I4737" s="554" t="s">
        <v>9</v>
      </c>
      <c r="J4737" s="554" t="s">
        <v>11</v>
      </c>
    </row>
    <row r="4738" spans="1:10" ht="14.25" customHeight="1" x14ac:dyDescent="0.3">
      <c r="A4738" s="607" t="s">
        <v>428</v>
      </c>
      <c r="B4738" s="608" t="s">
        <v>1937</v>
      </c>
      <c r="C4738" s="607" t="s">
        <v>19</v>
      </c>
      <c r="D4738" s="607" t="s">
        <v>3738</v>
      </c>
      <c r="E4738" s="690" t="s">
        <v>461</v>
      </c>
      <c r="F4738" s="690"/>
      <c r="G4738" s="609" t="s">
        <v>423</v>
      </c>
      <c r="H4738" s="610">
        <v>1</v>
      </c>
      <c r="I4738" s="611">
        <v>231.75</v>
      </c>
      <c r="J4738" s="611">
        <v>231.75</v>
      </c>
    </row>
    <row r="4739" spans="1:10" ht="14.25" customHeight="1" thickBot="1" x14ac:dyDescent="0.35">
      <c r="A4739" s="547" t="s">
        <v>433</v>
      </c>
      <c r="B4739" s="548" t="s">
        <v>3859</v>
      </c>
      <c r="C4739" s="547" t="s">
        <v>115</v>
      </c>
      <c r="D4739" s="547" t="s">
        <v>3860</v>
      </c>
      <c r="E4739" s="688" t="s">
        <v>438</v>
      </c>
      <c r="F4739" s="688"/>
      <c r="G4739" s="549" t="s">
        <v>835</v>
      </c>
      <c r="H4739" s="550">
        <v>42.862299999999998</v>
      </c>
      <c r="I4739" s="551">
        <v>5.4069000000000003</v>
      </c>
      <c r="J4739" s="551">
        <v>231.75</v>
      </c>
    </row>
    <row r="4740" spans="1:10" ht="14.25" customHeight="1" thickTop="1" x14ac:dyDescent="0.3">
      <c r="A4740" s="562"/>
      <c r="B4740" s="562"/>
      <c r="C4740" s="562"/>
      <c r="D4740" s="562"/>
      <c r="E4740" s="562"/>
      <c r="F4740" s="562"/>
      <c r="G4740" s="562"/>
      <c r="H4740" s="562"/>
      <c r="I4740" s="562"/>
      <c r="J4740" s="562"/>
    </row>
    <row r="4741" spans="1:10" ht="15" customHeight="1" x14ac:dyDescent="0.3">
      <c r="A4741" s="553"/>
      <c r="B4741" s="554" t="s">
        <v>4</v>
      </c>
      <c r="C4741" s="553" t="s">
        <v>5</v>
      </c>
      <c r="D4741" s="553" t="s">
        <v>6</v>
      </c>
      <c r="E4741" s="691" t="s">
        <v>427</v>
      </c>
      <c r="F4741" s="691"/>
      <c r="G4741" s="555" t="s">
        <v>7</v>
      </c>
      <c r="H4741" s="554" t="s">
        <v>8</v>
      </c>
      <c r="I4741" s="554" t="s">
        <v>9</v>
      </c>
      <c r="J4741" s="554" t="s">
        <v>11</v>
      </c>
    </row>
    <row r="4742" spans="1:10" ht="14.25" customHeight="1" x14ac:dyDescent="0.3">
      <c r="A4742" s="607" t="s">
        <v>428</v>
      </c>
      <c r="B4742" s="608" t="s">
        <v>1622</v>
      </c>
      <c r="C4742" s="607" t="s">
        <v>19</v>
      </c>
      <c r="D4742" s="607" t="s">
        <v>1623</v>
      </c>
      <c r="E4742" s="690" t="s">
        <v>461</v>
      </c>
      <c r="F4742" s="690"/>
      <c r="G4742" s="609" t="s">
        <v>423</v>
      </c>
      <c r="H4742" s="610">
        <v>1</v>
      </c>
      <c r="I4742" s="611">
        <v>0.01</v>
      </c>
      <c r="J4742" s="611">
        <v>0.01</v>
      </c>
    </row>
    <row r="4743" spans="1:10" ht="14.25" customHeight="1" thickBot="1" x14ac:dyDescent="0.35">
      <c r="A4743" s="547" t="s">
        <v>433</v>
      </c>
      <c r="B4743" s="548" t="s">
        <v>1301</v>
      </c>
      <c r="C4743" s="547" t="s">
        <v>19</v>
      </c>
      <c r="D4743" s="547" t="s">
        <v>1302</v>
      </c>
      <c r="E4743" s="688" t="s">
        <v>438</v>
      </c>
      <c r="F4743" s="688"/>
      <c r="G4743" s="549" t="s">
        <v>528</v>
      </c>
      <c r="H4743" s="550">
        <v>0.02</v>
      </c>
      <c r="I4743" s="551">
        <v>0.72</v>
      </c>
      <c r="J4743" s="551">
        <v>0.01</v>
      </c>
    </row>
    <row r="4744" spans="1:10" ht="15" customHeight="1" thickTop="1" x14ac:dyDescent="0.3">
      <c r="A4744" s="562"/>
      <c r="B4744" s="562"/>
      <c r="C4744" s="562"/>
      <c r="D4744" s="562"/>
      <c r="E4744" s="562"/>
      <c r="F4744" s="562"/>
      <c r="G4744" s="562"/>
      <c r="H4744" s="562"/>
      <c r="I4744" s="562"/>
      <c r="J4744" s="562"/>
    </row>
    <row r="4745" spans="1:10" x14ac:dyDescent="0.3">
      <c r="A4745" s="553"/>
      <c r="B4745" s="554" t="s">
        <v>4</v>
      </c>
      <c r="C4745" s="553" t="s">
        <v>5</v>
      </c>
      <c r="D4745" s="553" t="s">
        <v>6</v>
      </c>
      <c r="E4745" s="691" t="s">
        <v>427</v>
      </c>
      <c r="F4745" s="691"/>
      <c r="G4745" s="555" t="s">
        <v>7</v>
      </c>
      <c r="H4745" s="554" t="s">
        <v>8</v>
      </c>
      <c r="I4745" s="554" t="s">
        <v>9</v>
      </c>
      <c r="J4745" s="554" t="s">
        <v>11</v>
      </c>
    </row>
    <row r="4746" spans="1:10" ht="14.25" customHeight="1" x14ac:dyDescent="0.3">
      <c r="A4746" s="607" t="s">
        <v>428</v>
      </c>
      <c r="B4746" s="608" t="s">
        <v>1940</v>
      </c>
      <c r="C4746" s="607" t="s">
        <v>19</v>
      </c>
      <c r="D4746" s="607" t="s">
        <v>1941</v>
      </c>
      <c r="E4746" s="690" t="s">
        <v>429</v>
      </c>
      <c r="F4746" s="690"/>
      <c r="G4746" s="609" t="s">
        <v>423</v>
      </c>
      <c r="H4746" s="610">
        <v>1</v>
      </c>
      <c r="I4746" s="611">
        <v>30.44</v>
      </c>
      <c r="J4746" s="611">
        <v>30.44</v>
      </c>
    </row>
    <row r="4747" spans="1:10" ht="25" x14ac:dyDescent="0.3">
      <c r="A4747" s="547" t="s">
        <v>430</v>
      </c>
      <c r="B4747" s="548" t="s">
        <v>1534</v>
      </c>
      <c r="C4747" s="547" t="s">
        <v>19</v>
      </c>
      <c r="D4747" s="547" t="s">
        <v>1535</v>
      </c>
      <c r="E4747" s="688" t="s">
        <v>429</v>
      </c>
      <c r="F4747" s="688"/>
      <c r="G4747" s="549" t="s">
        <v>423</v>
      </c>
      <c r="H4747" s="550">
        <v>1</v>
      </c>
      <c r="I4747" s="551">
        <v>0.28000000000000003</v>
      </c>
      <c r="J4747" s="551">
        <v>0.28000000000000003</v>
      </c>
    </row>
    <row r="4748" spans="1:10" x14ac:dyDescent="0.3">
      <c r="A4748" s="547" t="s">
        <v>433</v>
      </c>
      <c r="B4748" s="548" t="s">
        <v>1536</v>
      </c>
      <c r="C4748" s="547" t="s">
        <v>19</v>
      </c>
      <c r="D4748" s="547" t="s">
        <v>1537</v>
      </c>
      <c r="E4748" s="688" t="s">
        <v>436</v>
      </c>
      <c r="F4748" s="688"/>
      <c r="G4748" s="549" t="s">
        <v>423</v>
      </c>
      <c r="H4748" s="550">
        <v>1</v>
      </c>
      <c r="I4748" s="551">
        <v>21.56</v>
      </c>
      <c r="J4748" s="551">
        <v>21.56</v>
      </c>
    </row>
    <row r="4749" spans="1:10" ht="15" customHeight="1" x14ac:dyDescent="0.3">
      <c r="A4749" s="547" t="s">
        <v>433</v>
      </c>
      <c r="B4749" s="548" t="s">
        <v>1213</v>
      </c>
      <c r="C4749" s="547" t="s">
        <v>19</v>
      </c>
      <c r="D4749" s="547" t="s">
        <v>3592</v>
      </c>
      <c r="E4749" s="688" t="s">
        <v>862</v>
      </c>
      <c r="F4749" s="688"/>
      <c r="G4749" s="549" t="s">
        <v>423</v>
      </c>
      <c r="H4749" s="550">
        <v>1</v>
      </c>
      <c r="I4749" s="551">
        <v>3.8</v>
      </c>
      <c r="J4749" s="551">
        <v>3.8</v>
      </c>
    </row>
    <row r="4750" spans="1:10" ht="15" customHeight="1" x14ac:dyDescent="0.3">
      <c r="A4750" s="547" t="s">
        <v>433</v>
      </c>
      <c r="B4750" s="548" t="s">
        <v>1214</v>
      </c>
      <c r="C4750" s="547" t="s">
        <v>19</v>
      </c>
      <c r="D4750" s="547" t="s">
        <v>3593</v>
      </c>
      <c r="E4750" s="688" t="s">
        <v>1215</v>
      </c>
      <c r="F4750" s="688"/>
      <c r="G4750" s="549" t="s">
        <v>423</v>
      </c>
      <c r="H4750" s="550">
        <v>1</v>
      </c>
      <c r="I4750" s="551">
        <v>1.5</v>
      </c>
      <c r="J4750" s="551">
        <v>1.5</v>
      </c>
    </row>
    <row r="4751" spans="1:10" ht="14.25" customHeight="1" x14ac:dyDescent="0.3">
      <c r="A4751" s="547" t="s">
        <v>433</v>
      </c>
      <c r="B4751" s="548" t="s">
        <v>1216</v>
      </c>
      <c r="C4751" s="547" t="s">
        <v>19</v>
      </c>
      <c r="D4751" s="547" t="s">
        <v>3594</v>
      </c>
      <c r="E4751" s="688" t="s">
        <v>862</v>
      </c>
      <c r="F4751" s="688"/>
      <c r="G4751" s="549" t="s">
        <v>423</v>
      </c>
      <c r="H4751" s="550">
        <v>1</v>
      </c>
      <c r="I4751" s="551">
        <v>1.34</v>
      </c>
      <c r="J4751" s="551">
        <v>1.34</v>
      </c>
    </row>
    <row r="4752" spans="1:10" ht="15" customHeight="1" x14ac:dyDescent="0.3">
      <c r="A4752" s="547" t="s">
        <v>433</v>
      </c>
      <c r="B4752" s="548" t="s">
        <v>1217</v>
      </c>
      <c r="C4752" s="547" t="s">
        <v>19</v>
      </c>
      <c r="D4752" s="547" t="s">
        <v>3595</v>
      </c>
      <c r="E4752" s="688" t="s">
        <v>531</v>
      </c>
      <c r="F4752" s="688"/>
      <c r="G4752" s="549" t="s">
        <v>423</v>
      </c>
      <c r="H4752" s="550">
        <v>1</v>
      </c>
      <c r="I4752" s="551">
        <v>0.04</v>
      </c>
      <c r="J4752" s="551">
        <v>0.04</v>
      </c>
    </row>
    <row r="4753" spans="1:10" ht="15" customHeight="1" x14ac:dyDescent="0.3">
      <c r="A4753" s="547" t="s">
        <v>433</v>
      </c>
      <c r="B4753" s="548" t="s">
        <v>1226</v>
      </c>
      <c r="C4753" s="547" t="s">
        <v>19</v>
      </c>
      <c r="D4753" s="547" t="s">
        <v>1227</v>
      </c>
      <c r="E4753" s="688" t="s">
        <v>442</v>
      </c>
      <c r="F4753" s="688"/>
      <c r="G4753" s="549" t="s">
        <v>423</v>
      </c>
      <c r="H4753" s="550">
        <v>1</v>
      </c>
      <c r="I4753" s="551">
        <v>0.49</v>
      </c>
      <c r="J4753" s="551">
        <v>0.49</v>
      </c>
    </row>
    <row r="4754" spans="1:10" ht="25.5" thickBot="1" x14ac:dyDescent="0.35">
      <c r="A4754" s="547" t="s">
        <v>433</v>
      </c>
      <c r="B4754" s="548" t="s">
        <v>1228</v>
      </c>
      <c r="C4754" s="547" t="s">
        <v>19</v>
      </c>
      <c r="D4754" s="547" t="s">
        <v>1229</v>
      </c>
      <c r="E4754" s="688" t="s">
        <v>442</v>
      </c>
      <c r="F4754" s="688"/>
      <c r="G4754" s="549" t="s">
        <v>423</v>
      </c>
      <c r="H4754" s="550">
        <v>1</v>
      </c>
      <c r="I4754" s="551">
        <v>1.43</v>
      </c>
      <c r="J4754" s="551">
        <v>1.43</v>
      </c>
    </row>
    <row r="4755" spans="1:10" ht="14.5" thickTop="1" x14ac:dyDescent="0.3">
      <c r="A4755" s="562"/>
      <c r="B4755" s="562"/>
      <c r="C4755" s="562"/>
      <c r="D4755" s="562"/>
      <c r="E4755" s="562"/>
      <c r="F4755" s="562"/>
      <c r="G4755" s="562"/>
      <c r="H4755" s="562"/>
      <c r="I4755" s="562"/>
      <c r="J4755" s="562"/>
    </row>
    <row r="4756" spans="1:10" ht="15" customHeight="1" x14ac:dyDescent="0.3">
      <c r="A4756" s="553"/>
      <c r="B4756" s="554" t="s">
        <v>4</v>
      </c>
      <c r="C4756" s="553" t="s">
        <v>5</v>
      </c>
      <c r="D4756" s="553" t="s">
        <v>6</v>
      </c>
      <c r="E4756" s="691" t="s">
        <v>427</v>
      </c>
      <c r="F4756" s="691"/>
      <c r="G4756" s="555" t="s">
        <v>7</v>
      </c>
      <c r="H4756" s="554" t="s">
        <v>8</v>
      </c>
      <c r="I4756" s="554" t="s">
        <v>9</v>
      </c>
      <c r="J4756" s="554" t="s">
        <v>11</v>
      </c>
    </row>
    <row r="4757" spans="1:10" ht="50" x14ac:dyDescent="0.3">
      <c r="A4757" s="607" t="s">
        <v>428</v>
      </c>
      <c r="B4757" s="608" t="s">
        <v>680</v>
      </c>
      <c r="C4757" s="607" t="s">
        <v>19</v>
      </c>
      <c r="D4757" s="607" t="s">
        <v>681</v>
      </c>
      <c r="E4757" s="690" t="s">
        <v>679</v>
      </c>
      <c r="F4757" s="690"/>
      <c r="G4757" s="609" t="s">
        <v>556</v>
      </c>
      <c r="H4757" s="610">
        <v>1</v>
      </c>
      <c r="I4757" s="611">
        <v>44.7</v>
      </c>
      <c r="J4757" s="611">
        <v>44.7</v>
      </c>
    </row>
    <row r="4758" spans="1:10" s="89" customFormat="1" x14ac:dyDescent="0.3">
      <c r="A4758" s="547" t="s">
        <v>430</v>
      </c>
      <c r="B4758" s="548" t="s">
        <v>559</v>
      </c>
      <c r="C4758" s="547" t="s">
        <v>19</v>
      </c>
      <c r="D4758" s="547" t="s">
        <v>560</v>
      </c>
      <c r="E4758" s="688" t="s">
        <v>429</v>
      </c>
      <c r="F4758" s="688"/>
      <c r="G4758" s="549" t="s">
        <v>423</v>
      </c>
      <c r="H4758" s="550">
        <v>0.16600000000000001</v>
      </c>
      <c r="I4758" s="551">
        <v>23.4</v>
      </c>
      <c r="J4758" s="551">
        <v>3.88</v>
      </c>
    </row>
    <row r="4759" spans="1:10" ht="25.5" customHeight="1" x14ac:dyDescent="0.3">
      <c r="A4759" s="547" t="s">
        <v>430</v>
      </c>
      <c r="B4759" s="548" t="s">
        <v>1940</v>
      </c>
      <c r="C4759" s="547" t="s">
        <v>19</v>
      </c>
      <c r="D4759" s="547" t="s">
        <v>1941</v>
      </c>
      <c r="E4759" s="688" t="s">
        <v>429</v>
      </c>
      <c r="F4759" s="688"/>
      <c r="G4759" s="549" t="s">
        <v>423</v>
      </c>
      <c r="H4759" s="550">
        <v>0.128</v>
      </c>
      <c r="I4759" s="551">
        <v>30.44</v>
      </c>
      <c r="J4759" s="551">
        <v>3.89</v>
      </c>
    </row>
    <row r="4760" spans="1:10" ht="25.5" customHeight="1" x14ac:dyDescent="0.3">
      <c r="A4760" s="547" t="s">
        <v>430</v>
      </c>
      <c r="B4760" s="548" t="s">
        <v>1666</v>
      </c>
      <c r="C4760" s="547" t="s">
        <v>19</v>
      </c>
      <c r="D4760" s="547" t="s">
        <v>1667</v>
      </c>
      <c r="E4760" s="688" t="s">
        <v>461</v>
      </c>
      <c r="F4760" s="688"/>
      <c r="G4760" s="549" t="s">
        <v>95</v>
      </c>
      <c r="H4760" s="550">
        <v>5.3E-3</v>
      </c>
      <c r="I4760" s="551">
        <v>27.04</v>
      </c>
      <c r="J4760" s="551">
        <v>0.14000000000000001</v>
      </c>
    </row>
    <row r="4761" spans="1:10" ht="25.5" customHeight="1" x14ac:dyDescent="0.3">
      <c r="A4761" s="547" t="s">
        <v>430</v>
      </c>
      <c r="B4761" s="548" t="s">
        <v>1658</v>
      </c>
      <c r="C4761" s="547" t="s">
        <v>19</v>
      </c>
      <c r="D4761" s="547" t="s">
        <v>1659</v>
      </c>
      <c r="E4761" s="688" t="s">
        <v>461</v>
      </c>
      <c r="F4761" s="688"/>
      <c r="G4761" s="549" t="s">
        <v>102</v>
      </c>
      <c r="H4761" s="550">
        <v>7.3000000000000001E-3</v>
      </c>
      <c r="I4761" s="551">
        <v>26.22</v>
      </c>
      <c r="J4761" s="551">
        <v>0.19</v>
      </c>
    </row>
    <row r="4762" spans="1:10" ht="26.25" customHeight="1" x14ac:dyDescent="0.3">
      <c r="A4762" s="547" t="s">
        <v>433</v>
      </c>
      <c r="B4762" s="548" t="s">
        <v>1942</v>
      </c>
      <c r="C4762" s="547" t="s">
        <v>19</v>
      </c>
      <c r="D4762" s="547" t="s">
        <v>1943</v>
      </c>
      <c r="E4762" s="688" t="s">
        <v>438</v>
      </c>
      <c r="F4762" s="688"/>
      <c r="G4762" s="549" t="s">
        <v>700</v>
      </c>
      <c r="H4762" s="550">
        <v>1.26</v>
      </c>
      <c r="I4762" s="551">
        <v>0.26</v>
      </c>
      <c r="J4762" s="551">
        <v>0.32</v>
      </c>
    </row>
    <row r="4763" spans="1:10" ht="26.25" customHeight="1" x14ac:dyDescent="0.3">
      <c r="A4763" s="547" t="s">
        <v>433</v>
      </c>
      <c r="B4763" s="548" t="s">
        <v>1944</v>
      </c>
      <c r="C4763" s="547" t="s">
        <v>19</v>
      </c>
      <c r="D4763" s="547" t="s">
        <v>1945</v>
      </c>
      <c r="E4763" s="688" t="s">
        <v>438</v>
      </c>
      <c r="F4763" s="688"/>
      <c r="G4763" s="549" t="s">
        <v>81</v>
      </c>
      <c r="H4763" s="550">
        <v>1.26</v>
      </c>
      <c r="I4763" s="551">
        <v>4.0199999999999996</v>
      </c>
      <c r="J4763" s="551">
        <v>5.0599999999999996</v>
      </c>
    </row>
    <row r="4764" spans="1:10" ht="25.5" thickBot="1" x14ac:dyDescent="0.35">
      <c r="A4764" s="547" t="s">
        <v>433</v>
      </c>
      <c r="B4764" s="548" t="s">
        <v>1946</v>
      </c>
      <c r="C4764" s="547" t="s">
        <v>19</v>
      </c>
      <c r="D4764" s="547" t="s">
        <v>1947</v>
      </c>
      <c r="E4764" s="688" t="s">
        <v>438</v>
      </c>
      <c r="F4764" s="688"/>
      <c r="G4764" s="549" t="s">
        <v>556</v>
      </c>
      <c r="H4764" s="550">
        <v>1.357</v>
      </c>
      <c r="I4764" s="551">
        <v>23.01</v>
      </c>
      <c r="J4764" s="551">
        <v>31.22</v>
      </c>
    </row>
    <row r="4765" spans="1:10" s="89" customFormat="1" ht="25.5" customHeight="1" thickTop="1" x14ac:dyDescent="0.3">
      <c r="A4765" s="562"/>
      <c r="B4765" s="562"/>
      <c r="C4765" s="562"/>
      <c r="D4765" s="562"/>
      <c r="E4765" s="562"/>
      <c r="F4765" s="562"/>
      <c r="G4765" s="562"/>
      <c r="H4765" s="562"/>
      <c r="I4765" s="562"/>
      <c r="J4765" s="562"/>
    </row>
    <row r="4766" spans="1:10" ht="25.5" customHeight="1" x14ac:dyDescent="0.3">
      <c r="A4766" s="553"/>
      <c r="B4766" s="554" t="s">
        <v>4</v>
      </c>
      <c r="C4766" s="553" t="s">
        <v>5</v>
      </c>
      <c r="D4766" s="553" t="s">
        <v>6</v>
      </c>
      <c r="E4766" s="691" t="s">
        <v>427</v>
      </c>
      <c r="F4766" s="691"/>
      <c r="G4766" s="555" t="s">
        <v>7</v>
      </c>
      <c r="H4766" s="554" t="s">
        <v>8</v>
      </c>
      <c r="I4766" s="554" t="s">
        <v>9</v>
      </c>
      <c r="J4766" s="554" t="s">
        <v>11</v>
      </c>
    </row>
    <row r="4767" spans="1:10" ht="25.5" customHeight="1" x14ac:dyDescent="0.3">
      <c r="A4767" s="607" t="s">
        <v>428</v>
      </c>
      <c r="B4767" s="608" t="s">
        <v>736</v>
      </c>
      <c r="C4767" s="607" t="s">
        <v>19</v>
      </c>
      <c r="D4767" s="607" t="s">
        <v>3535</v>
      </c>
      <c r="E4767" s="690" t="s">
        <v>664</v>
      </c>
      <c r="F4767" s="690"/>
      <c r="G4767" s="609" t="s">
        <v>81</v>
      </c>
      <c r="H4767" s="610">
        <v>1</v>
      </c>
      <c r="I4767" s="611">
        <v>36.01</v>
      </c>
      <c r="J4767" s="611">
        <v>36.01</v>
      </c>
    </row>
    <row r="4768" spans="1:10" ht="38.25" customHeight="1" x14ac:dyDescent="0.3">
      <c r="A4768" s="547" t="s">
        <v>430</v>
      </c>
      <c r="B4768" s="548" t="s">
        <v>1705</v>
      </c>
      <c r="C4768" s="547" t="s">
        <v>19</v>
      </c>
      <c r="D4768" s="547" t="s">
        <v>3713</v>
      </c>
      <c r="E4768" s="688" t="s">
        <v>664</v>
      </c>
      <c r="F4768" s="688"/>
      <c r="G4768" s="549" t="s">
        <v>81</v>
      </c>
      <c r="H4768" s="550">
        <v>1</v>
      </c>
      <c r="I4768" s="551">
        <v>12.69</v>
      </c>
      <c r="J4768" s="551">
        <v>12.69</v>
      </c>
    </row>
    <row r="4769" spans="1:10" s="89" customFormat="1" ht="25.5" customHeight="1" thickBot="1" x14ac:dyDescent="0.35">
      <c r="A4769" s="547" t="s">
        <v>430</v>
      </c>
      <c r="B4769" s="548" t="s">
        <v>1948</v>
      </c>
      <c r="C4769" s="547" t="s">
        <v>19</v>
      </c>
      <c r="D4769" s="547" t="s">
        <v>3739</v>
      </c>
      <c r="E4769" s="688" t="s">
        <v>664</v>
      </c>
      <c r="F4769" s="688"/>
      <c r="G4769" s="549" t="s">
        <v>81</v>
      </c>
      <c r="H4769" s="550">
        <v>1</v>
      </c>
      <c r="I4769" s="551">
        <v>23.32</v>
      </c>
      <c r="J4769" s="551">
        <v>23.32</v>
      </c>
    </row>
    <row r="4770" spans="1:10" ht="25.5" customHeight="1" thickTop="1" x14ac:dyDescent="0.3">
      <c r="A4770" s="562"/>
      <c r="B4770" s="562"/>
      <c r="C4770" s="562"/>
      <c r="D4770" s="562"/>
      <c r="E4770" s="562"/>
      <c r="F4770" s="562"/>
      <c r="G4770" s="562"/>
      <c r="H4770" s="562"/>
      <c r="I4770" s="562"/>
      <c r="J4770" s="562"/>
    </row>
    <row r="4771" spans="1:10" x14ac:dyDescent="0.3">
      <c r="A4771" s="553"/>
      <c r="B4771" s="554" t="s">
        <v>4</v>
      </c>
      <c r="C4771" s="553" t="s">
        <v>5</v>
      </c>
      <c r="D4771" s="553" t="s">
        <v>6</v>
      </c>
      <c r="E4771" s="691" t="s">
        <v>427</v>
      </c>
      <c r="F4771" s="691"/>
      <c r="G4771" s="555" t="s">
        <v>7</v>
      </c>
      <c r="H4771" s="554" t="s">
        <v>8</v>
      </c>
      <c r="I4771" s="554" t="s">
        <v>9</v>
      </c>
      <c r="J4771" s="554" t="s">
        <v>11</v>
      </c>
    </row>
    <row r="4772" spans="1:10" ht="25.5" customHeight="1" x14ac:dyDescent="0.3">
      <c r="A4772" s="607" t="s">
        <v>428</v>
      </c>
      <c r="B4772" s="608" t="s">
        <v>1948</v>
      </c>
      <c r="C4772" s="607" t="s">
        <v>19</v>
      </c>
      <c r="D4772" s="607" t="s">
        <v>3739</v>
      </c>
      <c r="E4772" s="690" t="s">
        <v>664</v>
      </c>
      <c r="F4772" s="690"/>
      <c r="G4772" s="609" t="s">
        <v>81</v>
      </c>
      <c r="H4772" s="610">
        <v>1</v>
      </c>
      <c r="I4772" s="611">
        <v>23.32</v>
      </c>
      <c r="J4772" s="611">
        <v>23.32</v>
      </c>
    </row>
    <row r="4773" spans="1:10" s="89" customFormat="1" x14ac:dyDescent="0.3">
      <c r="A4773" s="547" t="s">
        <v>430</v>
      </c>
      <c r="B4773" s="548" t="s">
        <v>863</v>
      </c>
      <c r="C4773" s="547" t="s">
        <v>19</v>
      </c>
      <c r="D4773" s="547" t="s">
        <v>864</v>
      </c>
      <c r="E4773" s="688" t="s">
        <v>429</v>
      </c>
      <c r="F4773" s="688"/>
      <c r="G4773" s="549" t="s">
        <v>423</v>
      </c>
      <c r="H4773" s="550">
        <v>0.24199999999999999</v>
      </c>
      <c r="I4773" s="551">
        <v>24.65</v>
      </c>
      <c r="J4773" s="551">
        <v>5.96</v>
      </c>
    </row>
    <row r="4774" spans="1:10" ht="25.5" customHeight="1" x14ac:dyDescent="0.3">
      <c r="A4774" s="547" t="s">
        <v>430</v>
      </c>
      <c r="B4774" s="548" t="s">
        <v>769</v>
      </c>
      <c r="C4774" s="547" t="s">
        <v>19</v>
      </c>
      <c r="D4774" s="547" t="s">
        <v>770</v>
      </c>
      <c r="E4774" s="688" t="s">
        <v>429</v>
      </c>
      <c r="F4774" s="688"/>
      <c r="G4774" s="549" t="s">
        <v>423</v>
      </c>
      <c r="H4774" s="550">
        <v>0.24199999999999999</v>
      </c>
      <c r="I4774" s="551">
        <v>31.49</v>
      </c>
      <c r="J4774" s="551">
        <v>7.62</v>
      </c>
    </row>
    <row r="4775" spans="1:10" ht="14.5" thickBot="1" x14ac:dyDescent="0.35">
      <c r="A4775" s="547" t="s">
        <v>433</v>
      </c>
      <c r="B4775" s="548" t="s">
        <v>1707</v>
      </c>
      <c r="C4775" s="547" t="s">
        <v>19</v>
      </c>
      <c r="D4775" s="547" t="s">
        <v>1708</v>
      </c>
      <c r="E4775" s="688" t="s">
        <v>438</v>
      </c>
      <c r="F4775" s="688"/>
      <c r="G4775" s="549" t="s">
        <v>81</v>
      </c>
      <c r="H4775" s="550">
        <v>1</v>
      </c>
      <c r="I4775" s="551">
        <v>9.74</v>
      </c>
      <c r="J4775" s="551">
        <v>9.74</v>
      </c>
    </row>
    <row r="4776" spans="1:10" ht="14.5" thickTop="1" x14ac:dyDescent="0.3">
      <c r="A4776" s="562"/>
      <c r="B4776" s="562"/>
      <c r="C4776" s="562"/>
      <c r="D4776" s="562"/>
      <c r="E4776" s="562"/>
      <c r="F4776" s="562"/>
      <c r="G4776" s="562"/>
      <c r="H4776" s="562"/>
      <c r="I4776" s="562"/>
      <c r="J4776" s="562"/>
    </row>
    <row r="4777" spans="1:10" s="89" customFormat="1" ht="25.5" customHeight="1" x14ac:dyDescent="0.3">
      <c r="A4777" s="553"/>
      <c r="B4777" s="554" t="s">
        <v>4</v>
      </c>
      <c r="C4777" s="553" t="s">
        <v>5</v>
      </c>
      <c r="D4777" s="553" t="s">
        <v>6</v>
      </c>
      <c r="E4777" s="691" t="s">
        <v>427</v>
      </c>
      <c r="F4777" s="691"/>
      <c r="G4777" s="555" t="s">
        <v>7</v>
      </c>
      <c r="H4777" s="554" t="s">
        <v>8</v>
      </c>
      <c r="I4777" s="554" t="s">
        <v>9</v>
      </c>
      <c r="J4777" s="554" t="s">
        <v>11</v>
      </c>
    </row>
    <row r="4778" spans="1:10" ht="25.5" customHeight="1" x14ac:dyDescent="0.3">
      <c r="A4778" s="607" t="s">
        <v>428</v>
      </c>
      <c r="B4778" s="608" t="s">
        <v>737</v>
      </c>
      <c r="C4778" s="607" t="s">
        <v>19</v>
      </c>
      <c r="D4778" s="607" t="s">
        <v>3536</v>
      </c>
      <c r="E4778" s="690" t="s">
        <v>664</v>
      </c>
      <c r="F4778" s="690"/>
      <c r="G4778" s="609" t="s">
        <v>81</v>
      </c>
      <c r="H4778" s="610">
        <v>1</v>
      </c>
      <c r="I4778" s="611">
        <v>38.729999999999997</v>
      </c>
      <c r="J4778" s="611">
        <v>38.729999999999997</v>
      </c>
    </row>
    <row r="4779" spans="1:10" ht="38.25" customHeight="1" x14ac:dyDescent="0.3">
      <c r="A4779" s="547" t="s">
        <v>430</v>
      </c>
      <c r="B4779" s="548" t="s">
        <v>1705</v>
      </c>
      <c r="C4779" s="547" t="s">
        <v>19</v>
      </c>
      <c r="D4779" s="547" t="s">
        <v>3713</v>
      </c>
      <c r="E4779" s="688" t="s">
        <v>664</v>
      </c>
      <c r="F4779" s="688"/>
      <c r="G4779" s="549" t="s">
        <v>81</v>
      </c>
      <c r="H4779" s="550">
        <v>1</v>
      </c>
      <c r="I4779" s="551">
        <v>12.69</v>
      </c>
      <c r="J4779" s="551">
        <v>12.69</v>
      </c>
    </row>
    <row r="4780" spans="1:10" ht="26.25" customHeight="1" thickBot="1" x14ac:dyDescent="0.35">
      <c r="A4780" s="547" t="s">
        <v>430</v>
      </c>
      <c r="B4780" s="548" t="s">
        <v>1949</v>
      </c>
      <c r="C4780" s="547" t="s">
        <v>19</v>
      </c>
      <c r="D4780" s="547" t="s">
        <v>3740</v>
      </c>
      <c r="E4780" s="688" t="s">
        <v>664</v>
      </c>
      <c r="F4780" s="688"/>
      <c r="G4780" s="549" t="s">
        <v>81</v>
      </c>
      <c r="H4780" s="550">
        <v>1</v>
      </c>
      <c r="I4780" s="551">
        <v>26.04</v>
      </c>
      <c r="J4780" s="551">
        <v>26.04</v>
      </c>
    </row>
    <row r="4781" spans="1:10" s="89" customFormat="1" ht="38.25" customHeight="1" thickTop="1" x14ac:dyDescent="0.3">
      <c r="A4781" s="562"/>
      <c r="B4781" s="562"/>
      <c r="C4781" s="562"/>
      <c r="D4781" s="562"/>
      <c r="E4781" s="562"/>
      <c r="F4781" s="562"/>
      <c r="G4781" s="562"/>
      <c r="H4781" s="562"/>
      <c r="I4781" s="562"/>
      <c r="J4781" s="562"/>
    </row>
    <row r="4782" spans="1:10" ht="38.25" customHeight="1" x14ac:dyDescent="0.3">
      <c r="A4782" s="553"/>
      <c r="B4782" s="554" t="s">
        <v>4</v>
      </c>
      <c r="C4782" s="553" t="s">
        <v>5</v>
      </c>
      <c r="D4782" s="553" t="s">
        <v>6</v>
      </c>
      <c r="E4782" s="691" t="s">
        <v>427</v>
      </c>
      <c r="F4782" s="691"/>
      <c r="G4782" s="555" t="s">
        <v>7</v>
      </c>
      <c r="H4782" s="554" t="s">
        <v>8</v>
      </c>
      <c r="I4782" s="554" t="s">
        <v>9</v>
      </c>
      <c r="J4782" s="554" t="s">
        <v>11</v>
      </c>
    </row>
    <row r="4783" spans="1:10" ht="25.5" customHeight="1" x14ac:dyDescent="0.3">
      <c r="A4783" s="607" t="s">
        <v>428</v>
      </c>
      <c r="B4783" s="608" t="s">
        <v>1949</v>
      </c>
      <c r="C4783" s="607" t="s">
        <v>19</v>
      </c>
      <c r="D4783" s="607" t="s">
        <v>3740</v>
      </c>
      <c r="E4783" s="690" t="s">
        <v>664</v>
      </c>
      <c r="F4783" s="690"/>
      <c r="G4783" s="609" t="s">
        <v>81</v>
      </c>
      <c r="H4783" s="610">
        <v>1</v>
      </c>
      <c r="I4783" s="611">
        <v>26.04</v>
      </c>
      <c r="J4783" s="611">
        <v>26.04</v>
      </c>
    </row>
    <row r="4784" spans="1:10" ht="14.25" customHeight="1" x14ac:dyDescent="0.3">
      <c r="A4784" s="547" t="s">
        <v>430</v>
      </c>
      <c r="B4784" s="548" t="s">
        <v>863</v>
      </c>
      <c r="C4784" s="547" t="s">
        <v>19</v>
      </c>
      <c r="D4784" s="547" t="s">
        <v>864</v>
      </c>
      <c r="E4784" s="688" t="s">
        <v>429</v>
      </c>
      <c r="F4784" s="688"/>
      <c r="G4784" s="549" t="s">
        <v>423</v>
      </c>
      <c r="H4784" s="550">
        <v>0.24199999999999999</v>
      </c>
      <c r="I4784" s="551">
        <v>24.65</v>
      </c>
      <c r="J4784" s="551">
        <v>5.96</v>
      </c>
    </row>
    <row r="4785" spans="1:10" s="89" customFormat="1" ht="15" customHeight="1" x14ac:dyDescent="0.3">
      <c r="A4785" s="547" t="s">
        <v>430</v>
      </c>
      <c r="B4785" s="548" t="s">
        <v>769</v>
      </c>
      <c r="C4785" s="547" t="s">
        <v>19</v>
      </c>
      <c r="D4785" s="547" t="s">
        <v>770</v>
      </c>
      <c r="E4785" s="688" t="s">
        <v>429</v>
      </c>
      <c r="F4785" s="688"/>
      <c r="G4785" s="549" t="s">
        <v>423</v>
      </c>
      <c r="H4785" s="550">
        <v>0.24199999999999999</v>
      </c>
      <c r="I4785" s="551">
        <v>31.49</v>
      </c>
      <c r="J4785" s="551">
        <v>7.62</v>
      </c>
    </row>
    <row r="4786" spans="1:10" ht="14.25" customHeight="1" thickBot="1" x14ac:dyDescent="0.35">
      <c r="A4786" s="547" t="s">
        <v>433</v>
      </c>
      <c r="B4786" s="548" t="s">
        <v>1950</v>
      </c>
      <c r="C4786" s="547" t="s">
        <v>19</v>
      </c>
      <c r="D4786" s="547" t="s">
        <v>1951</v>
      </c>
      <c r="E4786" s="688" t="s">
        <v>438</v>
      </c>
      <c r="F4786" s="688"/>
      <c r="G4786" s="549" t="s">
        <v>81</v>
      </c>
      <c r="H4786" s="550">
        <v>1</v>
      </c>
      <c r="I4786" s="551">
        <v>12.46</v>
      </c>
      <c r="J4786" s="551">
        <v>12.46</v>
      </c>
    </row>
    <row r="4787" spans="1:10" ht="14.5" thickTop="1" x14ac:dyDescent="0.3">
      <c r="A4787" s="562"/>
      <c r="B4787" s="562"/>
      <c r="C4787" s="562"/>
      <c r="D4787" s="562"/>
      <c r="E4787" s="562"/>
      <c r="F4787" s="562"/>
      <c r="G4787" s="562"/>
      <c r="H4787" s="562"/>
      <c r="I4787" s="562"/>
      <c r="J4787" s="562"/>
    </row>
    <row r="4788" spans="1:10" x14ac:dyDescent="0.3">
      <c r="A4788" s="553"/>
      <c r="B4788" s="554" t="s">
        <v>4</v>
      </c>
      <c r="C4788" s="553" t="s">
        <v>5</v>
      </c>
      <c r="D4788" s="553" t="s">
        <v>6</v>
      </c>
      <c r="E4788" s="691" t="s">
        <v>427</v>
      </c>
      <c r="F4788" s="691"/>
      <c r="G4788" s="555" t="s">
        <v>7</v>
      </c>
      <c r="H4788" s="554" t="s">
        <v>8</v>
      </c>
      <c r="I4788" s="554" t="s">
        <v>9</v>
      </c>
      <c r="J4788" s="554" t="s">
        <v>11</v>
      </c>
    </row>
    <row r="4789" spans="1:10" ht="25.5" customHeight="1" x14ac:dyDescent="0.3">
      <c r="A4789" s="607" t="s">
        <v>428</v>
      </c>
      <c r="B4789" s="608" t="s">
        <v>725</v>
      </c>
      <c r="C4789" s="607" t="s">
        <v>19</v>
      </c>
      <c r="D4789" s="607" t="s">
        <v>3532</v>
      </c>
      <c r="E4789" s="690" t="s">
        <v>664</v>
      </c>
      <c r="F4789" s="690"/>
      <c r="G4789" s="609" t="s">
        <v>81</v>
      </c>
      <c r="H4789" s="610">
        <v>1</v>
      </c>
      <c r="I4789" s="611">
        <v>55.79</v>
      </c>
      <c r="J4789" s="611">
        <v>55.79</v>
      </c>
    </row>
    <row r="4790" spans="1:10" ht="38.25" customHeight="1" x14ac:dyDescent="0.3">
      <c r="A4790" s="547" t="s">
        <v>430</v>
      </c>
      <c r="B4790" s="548" t="s">
        <v>1705</v>
      </c>
      <c r="C4790" s="547" t="s">
        <v>19</v>
      </c>
      <c r="D4790" s="547" t="s">
        <v>3713</v>
      </c>
      <c r="E4790" s="688" t="s">
        <v>664</v>
      </c>
      <c r="F4790" s="688"/>
      <c r="G4790" s="549" t="s">
        <v>81</v>
      </c>
      <c r="H4790" s="550">
        <v>1</v>
      </c>
      <c r="I4790" s="551">
        <v>12.69</v>
      </c>
      <c r="J4790" s="551">
        <v>12.69</v>
      </c>
    </row>
    <row r="4791" spans="1:10" ht="26.25" customHeight="1" thickBot="1" x14ac:dyDescent="0.35">
      <c r="A4791" s="547" t="s">
        <v>430</v>
      </c>
      <c r="B4791" s="548" t="s">
        <v>1952</v>
      </c>
      <c r="C4791" s="547" t="s">
        <v>19</v>
      </c>
      <c r="D4791" s="547" t="s">
        <v>3741</v>
      </c>
      <c r="E4791" s="688" t="s">
        <v>664</v>
      </c>
      <c r="F4791" s="688"/>
      <c r="G4791" s="549" t="s">
        <v>81</v>
      </c>
      <c r="H4791" s="550">
        <v>1</v>
      </c>
      <c r="I4791" s="551">
        <v>43.1</v>
      </c>
      <c r="J4791" s="551">
        <v>43.1</v>
      </c>
    </row>
    <row r="4792" spans="1:10" ht="14.5" thickTop="1" x14ac:dyDescent="0.3">
      <c r="A4792" s="562"/>
      <c r="B4792" s="562"/>
      <c r="C4792" s="562"/>
      <c r="D4792" s="562"/>
      <c r="E4792" s="562"/>
      <c r="F4792" s="562"/>
      <c r="G4792" s="562"/>
      <c r="H4792" s="562"/>
      <c r="I4792" s="562"/>
      <c r="J4792" s="562"/>
    </row>
    <row r="4793" spans="1:10" x14ac:dyDescent="0.3">
      <c r="A4793" s="553"/>
      <c r="B4793" s="554" t="s">
        <v>4</v>
      </c>
      <c r="C4793" s="553" t="s">
        <v>5</v>
      </c>
      <c r="D4793" s="553" t="s">
        <v>6</v>
      </c>
      <c r="E4793" s="691" t="s">
        <v>427</v>
      </c>
      <c r="F4793" s="691"/>
      <c r="G4793" s="555" t="s">
        <v>7</v>
      </c>
      <c r="H4793" s="554" t="s">
        <v>8</v>
      </c>
      <c r="I4793" s="554" t="s">
        <v>9</v>
      </c>
      <c r="J4793" s="554" t="s">
        <v>11</v>
      </c>
    </row>
    <row r="4794" spans="1:10" ht="25.5" customHeight="1" x14ac:dyDescent="0.3">
      <c r="A4794" s="607" t="s">
        <v>428</v>
      </c>
      <c r="B4794" s="608" t="s">
        <v>1952</v>
      </c>
      <c r="C4794" s="607" t="s">
        <v>19</v>
      </c>
      <c r="D4794" s="607" t="s">
        <v>3741</v>
      </c>
      <c r="E4794" s="690" t="s">
        <v>664</v>
      </c>
      <c r="F4794" s="690"/>
      <c r="G4794" s="609" t="s">
        <v>81</v>
      </c>
      <c r="H4794" s="610">
        <v>1</v>
      </c>
      <c r="I4794" s="611">
        <v>43.1</v>
      </c>
      <c r="J4794" s="611">
        <v>43.1</v>
      </c>
    </row>
    <row r="4795" spans="1:10" ht="14.25" customHeight="1" x14ac:dyDescent="0.3">
      <c r="A4795" s="547" t="s">
        <v>430</v>
      </c>
      <c r="B4795" s="548" t="s">
        <v>863</v>
      </c>
      <c r="C4795" s="547" t="s">
        <v>19</v>
      </c>
      <c r="D4795" s="547" t="s">
        <v>864</v>
      </c>
      <c r="E4795" s="688" t="s">
        <v>429</v>
      </c>
      <c r="F4795" s="688"/>
      <c r="G4795" s="549" t="s">
        <v>423</v>
      </c>
      <c r="H4795" s="550">
        <v>0.42099999999999999</v>
      </c>
      <c r="I4795" s="551">
        <v>24.65</v>
      </c>
      <c r="J4795" s="551">
        <v>10.37</v>
      </c>
    </row>
    <row r="4796" spans="1:10" s="89" customFormat="1" ht="15" customHeight="1" x14ac:dyDescent="0.3">
      <c r="A4796" s="547" t="s">
        <v>430</v>
      </c>
      <c r="B4796" s="548" t="s">
        <v>769</v>
      </c>
      <c r="C4796" s="547" t="s">
        <v>19</v>
      </c>
      <c r="D4796" s="547" t="s">
        <v>770</v>
      </c>
      <c r="E4796" s="688" t="s">
        <v>429</v>
      </c>
      <c r="F4796" s="688"/>
      <c r="G4796" s="549" t="s">
        <v>423</v>
      </c>
      <c r="H4796" s="550">
        <v>0.42099999999999999</v>
      </c>
      <c r="I4796" s="551">
        <v>31.49</v>
      </c>
      <c r="J4796" s="551">
        <v>13.25</v>
      </c>
    </row>
    <row r="4797" spans="1:10" ht="14.25" customHeight="1" thickBot="1" x14ac:dyDescent="0.35">
      <c r="A4797" s="547" t="s">
        <v>433</v>
      </c>
      <c r="B4797" s="548" t="s">
        <v>1707</v>
      </c>
      <c r="C4797" s="547" t="s">
        <v>19</v>
      </c>
      <c r="D4797" s="547" t="s">
        <v>1708</v>
      </c>
      <c r="E4797" s="688" t="s">
        <v>438</v>
      </c>
      <c r="F4797" s="688"/>
      <c r="G4797" s="549" t="s">
        <v>81</v>
      </c>
      <c r="H4797" s="550">
        <v>2</v>
      </c>
      <c r="I4797" s="551">
        <v>9.74</v>
      </c>
      <c r="J4797" s="551">
        <v>19.48</v>
      </c>
    </row>
    <row r="4798" spans="1:10" ht="14.25" customHeight="1" thickTop="1" x14ac:dyDescent="0.3">
      <c r="A4798" s="562"/>
      <c r="B4798" s="562"/>
      <c r="C4798" s="562"/>
      <c r="D4798" s="562"/>
      <c r="E4798" s="562"/>
      <c r="F4798" s="562"/>
      <c r="G4798" s="562"/>
      <c r="H4798" s="562"/>
      <c r="I4798" s="562"/>
      <c r="J4798" s="562"/>
    </row>
    <row r="4799" spans="1:10" ht="25.5" customHeight="1" x14ac:dyDescent="0.3">
      <c r="A4799" s="553"/>
      <c r="B4799" s="554" t="s">
        <v>4</v>
      </c>
      <c r="C4799" s="553" t="s">
        <v>5</v>
      </c>
      <c r="D4799" s="553" t="s">
        <v>6</v>
      </c>
      <c r="E4799" s="691" t="s">
        <v>427</v>
      </c>
      <c r="F4799" s="691"/>
      <c r="G4799" s="555" t="s">
        <v>7</v>
      </c>
      <c r="H4799" s="554" t="s">
        <v>8</v>
      </c>
      <c r="I4799" s="554" t="s">
        <v>9</v>
      </c>
      <c r="J4799" s="554" t="s">
        <v>11</v>
      </c>
    </row>
    <row r="4800" spans="1:10" ht="25.5" customHeight="1" x14ac:dyDescent="0.3">
      <c r="A4800" s="607" t="s">
        <v>428</v>
      </c>
      <c r="B4800" s="608" t="s">
        <v>687</v>
      </c>
      <c r="C4800" s="607" t="s">
        <v>19</v>
      </c>
      <c r="D4800" s="607" t="s">
        <v>688</v>
      </c>
      <c r="E4800" s="690" t="s">
        <v>689</v>
      </c>
      <c r="F4800" s="690"/>
      <c r="G4800" s="609" t="s">
        <v>81</v>
      </c>
      <c r="H4800" s="610">
        <v>1</v>
      </c>
      <c r="I4800" s="611">
        <v>36.81</v>
      </c>
      <c r="J4800" s="611">
        <v>36.81</v>
      </c>
    </row>
    <row r="4801" spans="1:10" ht="25.5" customHeight="1" x14ac:dyDescent="0.3">
      <c r="A4801" s="547" t="s">
        <v>430</v>
      </c>
      <c r="B4801" s="548" t="s">
        <v>863</v>
      </c>
      <c r="C4801" s="547" t="s">
        <v>19</v>
      </c>
      <c r="D4801" s="547" t="s">
        <v>864</v>
      </c>
      <c r="E4801" s="688" t="s">
        <v>429</v>
      </c>
      <c r="F4801" s="688"/>
      <c r="G4801" s="549" t="s">
        <v>423</v>
      </c>
      <c r="H4801" s="550">
        <v>0.20619999999999999</v>
      </c>
      <c r="I4801" s="551">
        <v>24.65</v>
      </c>
      <c r="J4801" s="551">
        <v>5.08</v>
      </c>
    </row>
    <row r="4802" spans="1:10" ht="14.25" customHeight="1" x14ac:dyDescent="0.3">
      <c r="A4802" s="547" t="s">
        <v>430</v>
      </c>
      <c r="B4802" s="548" t="s">
        <v>769</v>
      </c>
      <c r="C4802" s="547" t="s">
        <v>19</v>
      </c>
      <c r="D4802" s="547" t="s">
        <v>770</v>
      </c>
      <c r="E4802" s="688" t="s">
        <v>429</v>
      </c>
      <c r="F4802" s="688"/>
      <c r="G4802" s="549" t="s">
        <v>423</v>
      </c>
      <c r="H4802" s="550">
        <v>0.20619999999999999</v>
      </c>
      <c r="I4802" s="551">
        <v>31.49</v>
      </c>
      <c r="J4802" s="551">
        <v>6.49</v>
      </c>
    </row>
    <row r="4803" spans="1:10" ht="25.5" thickBot="1" x14ac:dyDescent="0.35">
      <c r="A4803" s="547" t="s">
        <v>433</v>
      </c>
      <c r="B4803" s="548" t="s">
        <v>1953</v>
      </c>
      <c r="C4803" s="547" t="s">
        <v>19</v>
      </c>
      <c r="D4803" s="547" t="s">
        <v>1954</v>
      </c>
      <c r="E4803" s="688" t="s">
        <v>438</v>
      </c>
      <c r="F4803" s="688"/>
      <c r="G4803" s="549" t="s">
        <v>81</v>
      </c>
      <c r="H4803" s="550">
        <v>1</v>
      </c>
      <c r="I4803" s="551">
        <v>25.24</v>
      </c>
      <c r="J4803" s="551">
        <v>25.24</v>
      </c>
    </row>
    <row r="4804" spans="1:10" ht="14.5" thickTop="1" x14ac:dyDescent="0.3">
      <c r="A4804" s="562"/>
      <c r="B4804" s="562"/>
      <c r="C4804" s="562"/>
      <c r="D4804" s="562"/>
      <c r="E4804" s="562"/>
      <c r="F4804" s="562"/>
      <c r="G4804" s="562"/>
      <c r="H4804" s="562"/>
      <c r="I4804" s="562"/>
      <c r="J4804" s="562"/>
    </row>
    <row r="4805" spans="1:10" x14ac:dyDescent="0.3">
      <c r="A4805" s="553"/>
      <c r="B4805" s="554" t="s">
        <v>4</v>
      </c>
      <c r="C4805" s="553" t="s">
        <v>5</v>
      </c>
      <c r="D4805" s="553" t="s">
        <v>6</v>
      </c>
      <c r="E4805" s="691" t="s">
        <v>427</v>
      </c>
      <c r="F4805" s="691"/>
      <c r="G4805" s="555" t="s">
        <v>7</v>
      </c>
      <c r="H4805" s="554" t="s">
        <v>8</v>
      </c>
      <c r="I4805" s="554" t="s">
        <v>9</v>
      </c>
      <c r="J4805" s="554" t="s">
        <v>11</v>
      </c>
    </row>
    <row r="4806" spans="1:10" s="89" customFormat="1" ht="25" x14ac:dyDescent="0.3">
      <c r="A4806" s="607" t="s">
        <v>428</v>
      </c>
      <c r="B4806" s="608" t="s">
        <v>748</v>
      </c>
      <c r="C4806" s="607" t="s">
        <v>19</v>
      </c>
      <c r="D4806" s="607" t="s">
        <v>749</v>
      </c>
      <c r="E4806" s="690" t="s">
        <v>670</v>
      </c>
      <c r="F4806" s="690"/>
      <c r="G4806" s="609" t="s">
        <v>81</v>
      </c>
      <c r="H4806" s="610">
        <v>1</v>
      </c>
      <c r="I4806" s="611">
        <v>67.61</v>
      </c>
      <c r="J4806" s="611">
        <v>67.61</v>
      </c>
    </row>
    <row r="4807" spans="1:10" ht="38.25" customHeight="1" x14ac:dyDescent="0.3">
      <c r="A4807" s="547" t="s">
        <v>430</v>
      </c>
      <c r="B4807" s="548" t="s">
        <v>1195</v>
      </c>
      <c r="C4807" s="547" t="s">
        <v>19</v>
      </c>
      <c r="D4807" s="547" t="s">
        <v>1196</v>
      </c>
      <c r="E4807" s="688" t="s">
        <v>429</v>
      </c>
      <c r="F4807" s="688"/>
      <c r="G4807" s="549" t="s">
        <v>423</v>
      </c>
      <c r="H4807" s="550">
        <v>0.19040000000000001</v>
      </c>
      <c r="I4807" s="551">
        <v>23.63</v>
      </c>
      <c r="J4807" s="551">
        <v>4.49</v>
      </c>
    </row>
    <row r="4808" spans="1:10" ht="26.25" customHeight="1" x14ac:dyDescent="0.3">
      <c r="A4808" s="547" t="s">
        <v>430</v>
      </c>
      <c r="B4808" s="548" t="s">
        <v>789</v>
      </c>
      <c r="C4808" s="547" t="s">
        <v>19</v>
      </c>
      <c r="D4808" s="547" t="s">
        <v>790</v>
      </c>
      <c r="E4808" s="688" t="s">
        <v>429</v>
      </c>
      <c r="F4808" s="688"/>
      <c r="G4808" s="549" t="s">
        <v>423</v>
      </c>
      <c r="H4808" s="550">
        <v>0.19040000000000001</v>
      </c>
      <c r="I4808" s="551">
        <v>30.33</v>
      </c>
      <c r="J4808" s="551">
        <v>5.77</v>
      </c>
    </row>
    <row r="4809" spans="1:10" ht="26.25" customHeight="1" x14ac:dyDescent="0.3">
      <c r="A4809" s="547" t="s">
        <v>433</v>
      </c>
      <c r="B4809" s="548" t="s">
        <v>1847</v>
      </c>
      <c r="C4809" s="547" t="s">
        <v>19</v>
      </c>
      <c r="D4809" s="547" t="s">
        <v>1848</v>
      </c>
      <c r="E4809" s="688" t="s">
        <v>438</v>
      </c>
      <c r="F4809" s="688"/>
      <c r="G4809" s="549" t="s">
        <v>81</v>
      </c>
      <c r="H4809" s="550">
        <v>5.3E-3</v>
      </c>
      <c r="I4809" s="551">
        <v>14.38</v>
      </c>
      <c r="J4809" s="551">
        <v>7.0000000000000007E-2</v>
      </c>
    </row>
    <row r="4810" spans="1:10" ht="25.5" thickBot="1" x14ac:dyDescent="0.35">
      <c r="A4810" s="547" t="s">
        <v>433</v>
      </c>
      <c r="B4810" s="548" t="s">
        <v>1955</v>
      </c>
      <c r="C4810" s="547" t="s">
        <v>19</v>
      </c>
      <c r="D4810" s="547" t="s">
        <v>1956</v>
      </c>
      <c r="E4810" s="688" t="s">
        <v>438</v>
      </c>
      <c r="F4810" s="688"/>
      <c r="G4810" s="549" t="s">
        <v>81</v>
      </c>
      <c r="H4810" s="550">
        <v>1</v>
      </c>
      <c r="I4810" s="551">
        <v>57.28</v>
      </c>
      <c r="J4810" s="551">
        <v>57.28</v>
      </c>
    </row>
    <row r="4811" spans="1:10" s="89" customFormat="1" ht="25.5" customHeight="1" thickTop="1" x14ac:dyDescent="0.3">
      <c r="A4811" s="562"/>
      <c r="B4811" s="562"/>
      <c r="C4811" s="562"/>
      <c r="D4811" s="562"/>
      <c r="E4811" s="562"/>
      <c r="F4811" s="562"/>
      <c r="G4811" s="562"/>
      <c r="H4811" s="562"/>
      <c r="I4811" s="562"/>
      <c r="J4811" s="562"/>
    </row>
    <row r="4812" spans="1:10" ht="14.25" customHeight="1" x14ac:dyDescent="0.3">
      <c r="A4812" s="553"/>
      <c r="B4812" s="554" t="s">
        <v>4</v>
      </c>
      <c r="C4812" s="553" t="s">
        <v>5</v>
      </c>
      <c r="D4812" s="553" t="s">
        <v>6</v>
      </c>
      <c r="E4812" s="691" t="s">
        <v>427</v>
      </c>
      <c r="F4812" s="691"/>
      <c r="G4812" s="555" t="s">
        <v>7</v>
      </c>
      <c r="H4812" s="554" t="s">
        <v>8</v>
      </c>
      <c r="I4812" s="554" t="s">
        <v>9</v>
      </c>
      <c r="J4812" s="554" t="s">
        <v>11</v>
      </c>
    </row>
    <row r="4813" spans="1:10" ht="14.25" customHeight="1" x14ac:dyDescent="0.3">
      <c r="A4813" s="607" t="s">
        <v>428</v>
      </c>
      <c r="B4813" s="608" t="s">
        <v>677</v>
      </c>
      <c r="C4813" s="607" t="s">
        <v>19</v>
      </c>
      <c r="D4813" s="607" t="s">
        <v>678</v>
      </c>
      <c r="E4813" s="690" t="s">
        <v>679</v>
      </c>
      <c r="F4813" s="690"/>
      <c r="G4813" s="609" t="s">
        <v>556</v>
      </c>
      <c r="H4813" s="610">
        <v>1</v>
      </c>
      <c r="I4813" s="611">
        <v>23.44</v>
      </c>
      <c r="J4813" s="611">
        <v>23.44</v>
      </c>
    </row>
    <row r="4814" spans="1:10" ht="14.25" customHeight="1" x14ac:dyDescent="0.3">
      <c r="A4814" s="547" t="s">
        <v>430</v>
      </c>
      <c r="B4814" s="548" t="s">
        <v>629</v>
      </c>
      <c r="C4814" s="547" t="s">
        <v>19</v>
      </c>
      <c r="D4814" s="547" t="s">
        <v>630</v>
      </c>
      <c r="E4814" s="688" t="s">
        <v>429</v>
      </c>
      <c r="F4814" s="688"/>
      <c r="G4814" s="549" t="s">
        <v>423</v>
      </c>
      <c r="H4814" s="550">
        <v>6.5000000000000002E-2</v>
      </c>
      <c r="I4814" s="551">
        <v>24.12</v>
      </c>
      <c r="J4814" s="551">
        <v>1.56</v>
      </c>
    </row>
    <row r="4815" spans="1:10" ht="14.25" customHeight="1" x14ac:dyDescent="0.3">
      <c r="A4815" s="547" t="s">
        <v>430</v>
      </c>
      <c r="B4815" s="548" t="s">
        <v>620</v>
      </c>
      <c r="C4815" s="547" t="s">
        <v>19</v>
      </c>
      <c r="D4815" s="547" t="s">
        <v>621</v>
      </c>
      <c r="E4815" s="688" t="s">
        <v>429</v>
      </c>
      <c r="F4815" s="688"/>
      <c r="G4815" s="549" t="s">
        <v>423</v>
      </c>
      <c r="H4815" s="550">
        <v>0.11799999999999999</v>
      </c>
      <c r="I4815" s="551">
        <v>30.71</v>
      </c>
      <c r="J4815" s="551">
        <v>3.62</v>
      </c>
    </row>
    <row r="4816" spans="1:10" ht="25.5" customHeight="1" x14ac:dyDescent="0.3">
      <c r="A4816" s="547" t="s">
        <v>430</v>
      </c>
      <c r="B4816" s="548" t="s">
        <v>1666</v>
      </c>
      <c r="C4816" s="547" t="s">
        <v>19</v>
      </c>
      <c r="D4816" s="547" t="s">
        <v>1667</v>
      </c>
      <c r="E4816" s="688" t="s">
        <v>461</v>
      </c>
      <c r="F4816" s="688"/>
      <c r="G4816" s="549" t="s">
        <v>95</v>
      </c>
      <c r="H4816" s="550">
        <v>4.5999999999999999E-3</v>
      </c>
      <c r="I4816" s="551">
        <v>27.04</v>
      </c>
      <c r="J4816" s="551">
        <v>0.12</v>
      </c>
    </row>
    <row r="4817" spans="1:10" s="89" customFormat="1" ht="25.5" customHeight="1" x14ac:dyDescent="0.3">
      <c r="A4817" s="547" t="s">
        <v>430</v>
      </c>
      <c r="B4817" s="548" t="s">
        <v>1658</v>
      </c>
      <c r="C4817" s="547" t="s">
        <v>19</v>
      </c>
      <c r="D4817" s="547" t="s">
        <v>1659</v>
      </c>
      <c r="E4817" s="688" t="s">
        <v>461</v>
      </c>
      <c r="F4817" s="688"/>
      <c r="G4817" s="549" t="s">
        <v>102</v>
      </c>
      <c r="H4817" s="550">
        <v>6.4000000000000003E-3</v>
      </c>
      <c r="I4817" s="551">
        <v>26.22</v>
      </c>
      <c r="J4817" s="551">
        <v>0.16</v>
      </c>
    </row>
    <row r="4818" spans="1:10" ht="25.5" customHeight="1" x14ac:dyDescent="0.3">
      <c r="A4818" s="547" t="s">
        <v>433</v>
      </c>
      <c r="B4818" s="548" t="s">
        <v>1957</v>
      </c>
      <c r="C4818" s="547" t="s">
        <v>19</v>
      </c>
      <c r="D4818" s="547" t="s">
        <v>3742</v>
      </c>
      <c r="E4818" s="688" t="s">
        <v>438</v>
      </c>
      <c r="F4818" s="688"/>
      <c r="G4818" s="549" t="s">
        <v>173</v>
      </c>
      <c r="H4818" s="550">
        <v>0.63400000000000001</v>
      </c>
      <c r="I4818" s="551">
        <v>27.43</v>
      </c>
      <c r="J4818" s="551">
        <v>17.39</v>
      </c>
    </row>
    <row r="4819" spans="1:10" ht="26.25" customHeight="1" thickBot="1" x14ac:dyDescent="0.35">
      <c r="A4819" s="547" t="s">
        <v>433</v>
      </c>
      <c r="B4819" s="548" t="s">
        <v>1958</v>
      </c>
      <c r="C4819" s="547" t="s">
        <v>19</v>
      </c>
      <c r="D4819" s="547" t="s">
        <v>1959</v>
      </c>
      <c r="E4819" s="688" t="s">
        <v>438</v>
      </c>
      <c r="F4819" s="688"/>
      <c r="G4819" s="549" t="s">
        <v>424</v>
      </c>
      <c r="H4819" s="550">
        <v>0.03</v>
      </c>
      <c r="I4819" s="551">
        <v>19.98</v>
      </c>
      <c r="J4819" s="551">
        <v>0.59</v>
      </c>
    </row>
    <row r="4820" spans="1:10" ht="26.25" customHeight="1" thickTop="1" x14ac:dyDescent="0.3">
      <c r="A4820" s="562"/>
      <c r="B4820" s="562"/>
      <c r="C4820" s="562"/>
      <c r="D4820" s="562"/>
      <c r="E4820" s="562"/>
      <c r="F4820" s="562"/>
      <c r="G4820" s="562"/>
      <c r="H4820" s="562"/>
      <c r="I4820" s="562"/>
      <c r="J4820" s="562"/>
    </row>
    <row r="4821" spans="1:10" x14ac:dyDescent="0.3">
      <c r="A4821" s="553"/>
      <c r="B4821" s="554" t="s">
        <v>4</v>
      </c>
      <c r="C4821" s="553" t="s">
        <v>5</v>
      </c>
      <c r="D4821" s="553" t="s">
        <v>6</v>
      </c>
      <c r="E4821" s="691" t="s">
        <v>427</v>
      </c>
      <c r="F4821" s="691"/>
      <c r="G4821" s="555" t="s">
        <v>7</v>
      </c>
      <c r="H4821" s="554" t="s">
        <v>8</v>
      </c>
      <c r="I4821" s="554" t="s">
        <v>9</v>
      </c>
      <c r="J4821" s="554" t="s">
        <v>11</v>
      </c>
    </row>
    <row r="4822" spans="1:10" s="89" customFormat="1" ht="25.5" customHeight="1" x14ac:dyDescent="0.3">
      <c r="A4822" s="607" t="s">
        <v>428</v>
      </c>
      <c r="B4822" s="608" t="s">
        <v>1084</v>
      </c>
      <c r="C4822" s="607" t="s">
        <v>19</v>
      </c>
      <c r="D4822" s="607" t="s">
        <v>1085</v>
      </c>
      <c r="E4822" s="690" t="s">
        <v>561</v>
      </c>
      <c r="F4822" s="690"/>
      <c r="G4822" s="609" t="s">
        <v>111</v>
      </c>
      <c r="H4822" s="610">
        <v>1</v>
      </c>
      <c r="I4822" s="611">
        <v>2.3199999999999998</v>
      </c>
      <c r="J4822" s="611">
        <v>2.3199999999999998</v>
      </c>
    </row>
    <row r="4823" spans="1:10" ht="14.25" customHeight="1" x14ac:dyDescent="0.3">
      <c r="A4823" s="547" t="s">
        <v>430</v>
      </c>
      <c r="B4823" s="548" t="s">
        <v>566</v>
      </c>
      <c r="C4823" s="547" t="s">
        <v>19</v>
      </c>
      <c r="D4823" s="547" t="s">
        <v>567</v>
      </c>
      <c r="E4823" s="688" t="s">
        <v>461</v>
      </c>
      <c r="F4823" s="688"/>
      <c r="G4823" s="549" t="s">
        <v>95</v>
      </c>
      <c r="H4823" s="550">
        <v>6.4999999999999997E-3</v>
      </c>
      <c r="I4823" s="551">
        <v>318.89</v>
      </c>
      <c r="J4823" s="551">
        <v>2.0699999999999998</v>
      </c>
    </row>
    <row r="4824" spans="1:10" ht="14.25" customHeight="1" thickBot="1" x14ac:dyDescent="0.35">
      <c r="A4824" s="547" t="s">
        <v>430</v>
      </c>
      <c r="B4824" s="548" t="s">
        <v>568</v>
      </c>
      <c r="C4824" s="547" t="s">
        <v>19</v>
      </c>
      <c r="D4824" s="547" t="s">
        <v>569</v>
      </c>
      <c r="E4824" s="688" t="s">
        <v>461</v>
      </c>
      <c r="F4824" s="688"/>
      <c r="G4824" s="549" t="s">
        <v>102</v>
      </c>
      <c r="H4824" s="550">
        <v>2.8E-3</v>
      </c>
      <c r="I4824" s="551">
        <v>90.58</v>
      </c>
      <c r="J4824" s="551">
        <v>0.25</v>
      </c>
    </row>
    <row r="4825" spans="1:10" ht="14.25" customHeight="1" thickTop="1" x14ac:dyDescent="0.3">
      <c r="A4825" s="562"/>
      <c r="B4825" s="562"/>
      <c r="C4825" s="562"/>
      <c r="D4825" s="562"/>
      <c r="E4825" s="562"/>
      <c r="F4825" s="562"/>
      <c r="G4825" s="562"/>
      <c r="H4825" s="562"/>
      <c r="I4825" s="562"/>
      <c r="J4825" s="562"/>
    </row>
    <row r="4826" spans="1:10" x14ac:dyDescent="0.3">
      <c r="A4826" s="553"/>
      <c r="B4826" s="554" t="s">
        <v>4</v>
      </c>
      <c r="C4826" s="553" t="s">
        <v>5</v>
      </c>
      <c r="D4826" s="553" t="s">
        <v>6</v>
      </c>
      <c r="E4826" s="691" t="s">
        <v>427</v>
      </c>
      <c r="F4826" s="691"/>
      <c r="G4826" s="555" t="s">
        <v>7</v>
      </c>
      <c r="H4826" s="554" t="s">
        <v>8</v>
      </c>
      <c r="I4826" s="554" t="s">
        <v>9</v>
      </c>
      <c r="J4826" s="554" t="s">
        <v>11</v>
      </c>
    </row>
    <row r="4827" spans="1:10" ht="25.5" customHeight="1" x14ac:dyDescent="0.3">
      <c r="A4827" s="607" t="s">
        <v>428</v>
      </c>
      <c r="B4827" s="608" t="s">
        <v>613</v>
      </c>
      <c r="C4827" s="607" t="s">
        <v>19</v>
      </c>
      <c r="D4827" s="607" t="s">
        <v>614</v>
      </c>
      <c r="E4827" s="690" t="s">
        <v>461</v>
      </c>
      <c r="F4827" s="690"/>
      <c r="G4827" s="609" t="s">
        <v>102</v>
      </c>
      <c r="H4827" s="610">
        <v>1</v>
      </c>
      <c r="I4827" s="611">
        <v>74.150000000000006</v>
      </c>
      <c r="J4827" s="611">
        <v>74.150000000000006</v>
      </c>
    </row>
    <row r="4828" spans="1:10" s="89" customFormat="1" x14ac:dyDescent="0.3">
      <c r="A4828" s="547" t="s">
        <v>430</v>
      </c>
      <c r="B4828" s="548" t="s">
        <v>1960</v>
      </c>
      <c r="C4828" s="547" t="s">
        <v>19</v>
      </c>
      <c r="D4828" s="547" t="s">
        <v>1961</v>
      </c>
      <c r="E4828" s="688" t="s">
        <v>429</v>
      </c>
      <c r="F4828" s="688"/>
      <c r="G4828" s="549" t="s">
        <v>423</v>
      </c>
      <c r="H4828" s="550">
        <v>1</v>
      </c>
      <c r="I4828" s="551">
        <v>25.78</v>
      </c>
      <c r="J4828" s="551">
        <v>25.78</v>
      </c>
    </row>
    <row r="4829" spans="1:10" ht="38.25" customHeight="1" x14ac:dyDescent="0.3">
      <c r="A4829" s="547" t="s">
        <v>430</v>
      </c>
      <c r="B4829" s="548" t="s">
        <v>1962</v>
      </c>
      <c r="C4829" s="547" t="s">
        <v>19</v>
      </c>
      <c r="D4829" s="547" t="s">
        <v>1963</v>
      </c>
      <c r="E4829" s="688" t="s">
        <v>461</v>
      </c>
      <c r="F4829" s="688"/>
      <c r="G4829" s="549" t="s">
        <v>423</v>
      </c>
      <c r="H4829" s="550">
        <v>1</v>
      </c>
      <c r="I4829" s="551">
        <v>33.58</v>
      </c>
      <c r="J4829" s="551">
        <v>33.58</v>
      </c>
    </row>
    <row r="4830" spans="1:10" ht="26.25" customHeight="1" thickBot="1" x14ac:dyDescent="0.35">
      <c r="A4830" s="547" t="s">
        <v>430</v>
      </c>
      <c r="B4830" s="548" t="s">
        <v>1964</v>
      </c>
      <c r="C4830" s="547" t="s">
        <v>19</v>
      </c>
      <c r="D4830" s="547" t="s">
        <v>1965</v>
      </c>
      <c r="E4830" s="688" t="s">
        <v>461</v>
      </c>
      <c r="F4830" s="688"/>
      <c r="G4830" s="549" t="s">
        <v>423</v>
      </c>
      <c r="H4830" s="550">
        <v>1</v>
      </c>
      <c r="I4830" s="551">
        <v>14.79</v>
      </c>
      <c r="J4830" s="551">
        <v>14.79</v>
      </c>
    </row>
    <row r="4831" spans="1:10" ht="26.25" customHeight="1" thickTop="1" x14ac:dyDescent="0.3">
      <c r="A4831" s="562"/>
      <c r="B4831" s="562"/>
      <c r="C4831" s="562"/>
      <c r="D4831" s="562"/>
      <c r="E4831" s="562"/>
      <c r="F4831" s="562"/>
      <c r="G4831" s="562"/>
      <c r="H4831" s="562"/>
      <c r="I4831" s="562"/>
      <c r="J4831" s="562"/>
    </row>
    <row r="4832" spans="1:10" x14ac:dyDescent="0.3">
      <c r="A4832" s="553"/>
      <c r="B4832" s="554" t="s">
        <v>4</v>
      </c>
      <c r="C4832" s="553" t="s">
        <v>5</v>
      </c>
      <c r="D4832" s="553" t="s">
        <v>6</v>
      </c>
      <c r="E4832" s="691" t="s">
        <v>427</v>
      </c>
      <c r="F4832" s="691"/>
      <c r="G4832" s="555" t="s">
        <v>7</v>
      </c>
      <c r="H4832" s="554" t="s">
        <v>8</v>
      </c>
      <c r="I4832" s="554" t="s">
        <v>9</v>
      </c>
      <c r="J4832" s="554" t="s">
        <v>11</v>
      </c>
    </row>
    <row r="4833" spans="1:10" s="89" customFormat="1" ht="25.5" customHeight="1" x14ac:dyDescent="0.3">
      <c r="A4833" s="607" t="s">
        <v>428</v>
      </c>
      <c r="B4833" s="608" t="s">
        <v>615</v>
      </c>
      <c r="C4833" s="607" t="s">
        <v>19</v>
      </c>
      <c r="D4833" s="607" t="s">
        <v>616</v>
      </c>
      <c r="E4833" s="690" t="s">
        <v>461</v>
      </c>
      <c r="F4833" s="690"/>
      <c r="G4833" s="609" t="s">
        <v>95</v>
      </c>
      <c r="H4833" s="610">
        <v>1</v>
      </c>
      <c r="I4833" s="611">
        <v>190.63</v>
      </c>
      <c r="J4833" s="611">
        <v>190.63</v>
      </c>
    </row>
    <row r="4834" spans="1:10" ht="14.25" customHeight="1" x14ac:dyDescent="0.3">
      <c r="A4834" s="547" t="s">
        <v>430</v>
      </c>
      <c r="B4834" s="548" t="s">
        <v>1966</v>
      </c>
      <c r="C4834" s="547" t="s">
        <v>19</v>
      </c>
      <c r="D4834" s="547" t="s">
        <v>1967</v>
      </c>
      <c r="E4834" s="688" t="s">
        <v>461</v>
      </c>
      <c r="F4834" s="688"/>
      <c r="G4834" s="549" t="s">
        <v>423</v>
      </c>
      <c r="H4834" s="550">
        <v>1</v>
      </c>
      <c r="I4834" s="551">
        <v>56.44</v>
      </c>
      <c r="J4834" s="551">
        <v>56.44</v>
      </c>
    </row>
    <row r="4835" spans="1:10" ht="14.25" customHeight="1" x14ac:dyDescent="0.3">
      <c r="A4835" s="547" t="s">
        <v>430</v>
      </c>
      <c r="B4835" s="548" t="s">
        <v>1968</v>
      </c>
      <c r="C4835" s="547" t="s">
        <v>19</v>
      </c>
      <c r="D4835" s="547" t="s">
        <v>1969</v>
      </c>
      <c r="E4835" s="688" t="s">
        <v>461</v>
      </c>
      <c r="F4835" s="688"/>
      <c r="G4835" s="549" t="s">
        <v>423</v>
      </c>
      <c r="H4835" s="550">
        <v>1</v>
      </c>
      <c r="I4835" s="551">
        <v>60.04</v>
      </c>
      <c r="J4835" s="551">
        <v>60.04</v>
      </c>
    </row>
    <row r="4836" spans="1:10" ht="14.25" customHeight="1" x14ac:dyDescent="0.3">
      <c r="A4836" s="547" t="s">
        <v>430</v>
      </c>
      <c r="B4836" s="548" t="s">
        <v>1960</v>
      </c>
      <c r="C4836" s="547" t="s">
        <v>19</v>
      </c>
      <c r="D4836" s="547" t="s">
        <v>1961</v>
      </c>
      <c r="E4836" s="688" t="s">
        <v>429</v>
      </c>
      <c r="F4836" s="688"/>
      <c r="G4836" s="549" t="s">
        <v>423</v>
      </c>
      <c r="H4836" s="550">
        <v>1</v>
      </c>
      <c r="I4836" s="551">
        <v>25.78</v>
      </c>
      <c r="J4836" s="551">
        <v>25.78</v>
      </c>
    </row>
    <row r="4837" spans="1:10" ht="25.5" customHeight="1" x14ac:dyDescent="0.3">
      <c r="A4837" s="547" t="s">
        <v>430</v>
      </c>
      <c r="B4837" s="548" t="s">
        <v>1962</v>
      </c>
      <c r="C4837" s="547" t="s">
        <v>19</v>
      </c>
      <c r="D4837" s="547" t="s">
        <v>1963</v>
      </c>
      <c r="E4837" s="688" t="s">
        <v>461</v>
      </c>
      <c r="F4837" s="688"/>
      <c r="G4837" s="549" t="s">
        <v>423</v>
      </c>
      <c r="H4837" s="550">
        <v>1</v>
      </c>
      <c r="I4837" s="551">
        <v>33.58</v>
      </c>
      <c r="J4837" s="551">
        <v>33.58</v>
      </c>
    </row>
    <row r="4838" spans="1:10" ht="26.25" customHeight="1" thickBot="1" x14ac:dyDescent="0.35">
      <c r="A4838" s="547" t="s">
        <v>430</v>
      </c>
      <c r="B4838" s="548" t="s">
        <v>1964</v>
      </c>
      <c r="C4838" s="547" t="s">
        <v>19</v>
      </c>
      <c r="D4838" s="547" t="s">
        <v>1965</v>
      </c>
      <c r="E4838" s="688" t="s">
        <v>461</v>
      </c>
      <c r="F4838" s="688"/>
      <c r="G4838" s="549" t="s">
        <v>423</v>
      </c>
      <c r="H4838" s="550">
        <v>1</v>
      </c>
      <c r="I4838" s="551">
        <v>14.79</v>
      </c>
      <c r="J4838" s="551">
        <v>14.79</v>
      </c>
    </row>
    <row r="4839" spans="1:10" s="89" customFormat="1" ht="14.5" thickTop="1" x14ac:dyDescent="0.3">
      <c r="A4839" s="562"/>
      <c r="B4839" s="562"/>
      <c r="C4839" s="562"/>
      <c r="D4839" s="562"/>
      <c r="E4839" s="562"/>
      <c r="F4839" s="562"/>
      <c r="G4839" s="562"/>
      <c r="H4839" s="562"/>
      <c r="I4839" s="562"/>
      <c r="J4839" s="562"/>
    </row>
    <row r="4840" spans="1:10" ht="14.25" customHeight="1" x14ac:dyDescent="0.3">
      <c r="A4840" s="553"/>
      <c r="B4840" s="554" t="s">
        <v>4</v>
      </c>
      <c r="C4840" s="553" t="s">
        <v>5</v>
      </c>
      <c r="D4840" s="553" t="s">
        <v>6</v>
      </c>
      <c r="E4840" s="691" t="s">
        <v>427</v>
      </c>
      <c r="F4840" s="691"/>
      <c r="G4840" s="555" t="s">
        <v>7</v>
      </c>
      <c r="H4840" s="554" t="s">
        <v>8</v>
      </c>
      <c r="I4840" s="554" t="s">
        <v>9</v>
      </c>
      <c r="J4840" s="554" t="s">
        <v>11</v>
      </c>
    </row>
    <row r="4841" spans="1:10" ht="14.25" customHeight="1" x14ac:dyDescent="0.3">
      <c r="A4841" s="607" t="s">
        <v>428</v>
      </c>
      <c r="B4841" s="608" t="s">
        <v>1962</v>
      </c>
      <c r="C4841" s="607" t="s">
        <v>19</v>
      </c>
      <c r="D4841" s="607" t="s">
        <v>1963</v>
      </c>
      <c r="E4841" s="690" t="s">
        <v>461</v>
      </c>
      <c r="F4841" s="690"/>
      <c r="G4841" s="609" t="s">
        <v>423</v>
      </c>
      <c r="H4841" s="610">
        <v>1</v>
      </c>
      <c r="I4841" s="611">
        <v>33.58</v>
      </c>
      <c r="J4841" s="611">
        <v>33.58</v>
      </c>
    </row>
    <row r="4842" spans="1:10" ht="14.25" customHeight="1" thickBot="1" x14ac:dyDescent="0.35">
      <c r="A4842" s="547" t="s">
        <v>433</v>
      </c>
      <c r="B4842" s="548" t="s">
        <v>1970</v>
      </c>
      <c r="C4842" s="547" t="s">
        <v>19</v>
      </c>
      <c r="D4842" s="547" t="s">
        <v>1971</v>
      </c>
      <c r="E4842" s="688" t="s">
        <v>442</v>
      </c>
      <c r="F4842" s="688"/>
      <c r="G4842" s="549" t="s">
        <v>81</v>
      </c>
      <c r="H4842" s="550">
        <v>3.1099999999999997E-5</v>
      </c>
      <c r="I4842" s="551">
        <v>1079918</v>
      </c>
      <c r="J4842" s="551">
        <v>33.58</v>
      </c>
    </row>
    <row r="4843" spans="1:10" ht="14.5" thickTop="1" x14ac:dyDescent="0.3">
      <c r="A4843" s="562"/>
      <c r="B4843" s="562"/>
      <c r="C4843" s="562"/>
      <c r="D4843" s="562"/>
      <c r="E4843" s="562"/>
      <c r="F4843" s="562"/>
      <c r="G4843" s="562"/>
      <c r="H4843" s="562"/>
      <c r="I4843" s="562"/>
      <c r="J4843" s="562"/>
    </row>
    <row r="4844" spans="1:10" x14ac:dyDescent="0.3">
      <c r="A4844" s="553"/>
      <c r="B4844" s="554" t="s">
        <v>4</v>
      </c>
      <c r="C4844" s="553" t="s">
        <v>5</v>
      </c>
      <c r="D4844" s="553" t="s">
        <v>6</v>
      </c>
      <c r="E4844" s="691" t="s">
        <v>427</v>
      </c>
      <c r="F4844" s="691"/>
      <c r="G4844" s="555" t="s">
        <v>7</v>
      </c>
      <c r="H4844" s="554" t="s">
        <v>8</v>
      </c>
      <c r="I4844" s="554" t="s">
        <v>9</v>
      </c>
      <c r="J4844" s="554" t="s">
        <v>11</v>
      </c>
    </row>
    <row r="4845" spans="1:10" s="89" customFormat="1" ht="25.5" customHeight="1" x14ac:dyDescent="0.3">
      <c r="A4845" s="607" t="s">
        <v>428</v>
      </c>
      <c r="B4845" s="608" t="s">
        <v>1964</v>
      </c>
      <c r="C4845" s="607" t="s">
        <v>19</v>
      </c>
      <c r="D4845" s="607" t="s">
        <v>1965</v>
      </c>
      <c r="E4845" s="690" t="s">
        <v>461</v>
      </c>
      <c r="F4845" s="690"/>
      <c r="G4845" s="609" t="s">
        <v>423</v>
      </c>
      <c r="H4845" s="610">
        <v>1</v>
      </c>
      <c r="I4845" s="611">
        <v>14.79</v>
      </c>
      <c r="J4845" s="611">
        <v>14.79</v>
      </c>
    </row>
    <row r="4846" spans="1:10" ht="25.5" thickBot="1" x14ac:dyDescent="0.35">
      <c r="A4846" s="547" t="s">
        <v>433</v>
      </c>
      <c r="B4846" s="548" t="s">
        <v>1970</v>
      </c>
      <c r="C4846" s="547" t="s">
        <v>19</v>
      </c>
      <c r="D4846" s="547" t="s">
        <v>1971</v>
      </c>
      <c r="E4846" s="688" t="s">
        <v>442</v>
      </c>
      <c r="F4846" s="688"/>
      <c r="G4846" s="549" t="s">
        <v>81</v>
      </c>
      <c r="H4846" s="550">
        <v>1.3699999999999999E-5</v>
      </c>
      <c r="I4846" s="551">
        <v>1079918</v>
      </c>
      <c r="J4846" s="551">
        <v>14.79</v>
      </c>
    </row>
    <row r="4847" spans="1:10" ht="14.5" thickTop="1" x14ac:dyDescent="0.3">
      <c r="A4847" s="562"/>
      <c r="B4847" s="562"/>
      <c r="C4847" s="562"/>
      <c r="D4847" s="562"/>
      <c r="E4847" s="562"/>
      <c r="F4847" s="562"/>
      <c r="G4847" s="562"/>
      <c r="H4847" s="562"/>
      <c r="I4847" s="562"/>
      <c r="J4847" s="562"/>
    </row>
    <row r="4848" spans="1:10" x14ac:dyDescent="0.3">
      <c r="A4848" s="553"/>
      <c r="B4848" s="554" t="s">
        <v>4</v>
      </c>
      <c r="C4848" s="553" t="s">
        <v>5</v>
      </c>
      <c r="D4848" s="553" t="s">
        <v>6</v>
      </c>
      <c r="E4848" s="691" t="s">
        <v>427</v>
      </c>
      <c r="F4848" s="691"/>
      <c r="G4848" s="555" t="s">
        <v>7</v>
      </c>
      <c r="H4848" s="554" t="s">
        <v>8</v>
      </c>
      <c r="I4848" s="554" t="s">
        <v>9</v>
      </c>
      <c r="J4848" s="554" t="s">
        <v>11</v>
      </c>
    </row>
    <row r="4849" spans="1:10" ht="25.5" customHeight="1" x14ac:dyDescent="0.3">
      <c r="A4849" s="607" t="s">
        <v>428</v>
      </c>
      <c r="B4849" s="608" t="s">
        <v>1968</v>
      </c>
      <c r="C4849" s="607" t="s">
        <v>19</v>
      </c>
      <c r="D4849" s="607" t="s">
        <v>1969</v>
      </c>
      <c r="E4849" s="690" t="s">
        <v>461</v>
      </c>
      <c r="F4849" s="690"/>
      <c r="G4849" s="609" t="s">
        <v>423</v>
      </c>
      <c r="H4849" s="610">
        <v>1</v>
      </c>
      <c r="I4849" s="611">
        <v>60.04</v>
      </c>
      <c r="J4849" s="611">
        <v>60.04</v>
      </c>
    </row>
    <row r="4850" spans="1:10" ht="25.5" thickBot="1" x14ac:dyDescent="0.35">
      <c r="A4850" s="547" t="s">
        <v>433</v>
      </c>
      <c r="B4850" s="548" t="s">
        <v>1970</v>
      </c>
      <c r="C4850" s="547" t="s">
        <v>19</v>
      </c>
      <c r="D4850" s="547" t="s">
        <v>1971</v>
      </c>
      <c r="E4850" s="688" t="s">
        <v>442</v>
      </c>
      <c r="F4850" s="688"/>
      <c r="G4850" s="549" t="s">
        <v>81</v>
      </c>
      <c r="H4850" s="550">
        <v>5.5600000000000003E-5</v>
      </c>
      <c r="I4850" s="551">
        <v>1079918</v>
      </c>
      <c r="J4850" s="551">
        <v>60.04</v>
      </c>
    </row>
    <row r="4851" spans="1:10" ht="14.5" thickTop="1" x14ac:dyDescent="0.3">
      <c r="A4851" s="562"/>
      <c r="B4851" s="562"/>
      <c r="C4851" s="562"/>
      <c r="D4851" s="562"/>
      <c r="E4851" s="562"/>
      <c r="F4851" s="562"/>
      <c r="G4851" s="562"/>
      <c r="H4851" s="562"/>
      <c r="I4851" s="562"/>
      <c r="J4851" s="562"/>
    </row>
    <row r="4852" spans="1:10" s="89" customFormat="1" x14ac:dyDescent="0.3">
      <c r="A4852" s="553"/>
      <c r="B4852" s="554" t="s">
        <v>4</v>
      </c>
      <c r="C4852" s="553" t="s">
        <v>5</v>
      </c>
      <c r="D4852" s="553" t="s">
        <v>6</v>
      </c>
      <c r="E4852" s="691" t="s">
        <v>427</v>
      </c>
      <c r="F4852" s="691"/>
      <c r="G4852" s="555" t="s">
        <v>7</v>
      </c>
      <c r="H4852" s="554" t="s">
        <v>8</v>
      </c>
      <c r="I4852" s="554" t="s">
        <v>9</v>
      </c>
      <c r="J4852" s="554" t="s">
        <v>11</v>
      </c>
    </row>
    <row r="4853" spans="1:10" ht="14.25" customHeight="1" x14ac:dyDescent="0.3">
      <c r="A4853" s="607" t="s">
        <v>428</v>
      </c>
      <c r="B4853" s="608" t="s">
        <v>1966</v>
      </c>
      <c r="C4853" s="607" t="s">
        <v>19</v>
      </c>
      <c r="D4853" s="607" t="s">
        <v>1967</v>
      </c>
      <c r="E4853" s="690" t="s">
        <v>461</v>
      </c>
      <c r="F4853" s="690"/>
      <c r="G4853" s="609" t="s">
        <v>423</v>
      </c>
      <c r="H4853" s="610">
        <v>1</v>
      </c>
      <c r="I4853" s="611">
        <v>56.44</v>
      </c>
      <c r="J4853" s="611">
        <v>56.44</v>
      </c>
    </row>
    <row r="4854" spans="1:10" ht="14.25" customHeight="1" thickBot="1" x14ac:dyDescent="0.35">
      <c r="A4854" s="547" t="s">
        <v>433</v>
      </c>
      <c r="B4854" s="548" t="s">
        <v>3859</v>
      </c>
      <c r="C4854" s="547" t="s">
        <v>115</v>
      </c>
      <c r="D4854" s="547" t="s">
        <v>3860</v>
      </c>
      <c r="E4854" s="688" t="s">
        <v>438</v>
      </c>
      <c r="F4854" s="688"/>
      <c r="G4854" s="549" t="s">
        <v>835</v>
      </c>
      <c r="H4854" s="550">
        <v>10.44</v>
      </c>
      <c r="I4854" s="551">
        <v>5.4069000000000003</v>
      </c>
      <c r="J4854" s="551">
        <v>56.44</v>
      </c>
    </row>
    <row r="4855" spans="1:10" ht="25.5" customHeight="1" thickTop="1" x14ac:dyDescent="0.3">
      <c r="A4855" s="562"/>
      <c r="B4855" s="562"/>
      <c r="C4855" s="562"/>
      <c r="D4855" s="562"/>
      <c r="E4855" s="562"/>
      <c r="F4855" s="562"/>
      <c r="G4855" s="562"/>
      <c r="H4855" s="562"/>
      <c r="I4855" s="562"/>
      <c r="J4855" s="562"/>
    </row>
    <row r="4856" spans="1:10" ht="25.5" customHeight="1" x14ac:dyDescent="0.3">
      <c r="A4856" s="553"/>
      <c r="B4856" s="554" t="s">
        <v>4</v>
      </c>
      <c r="C4856" s="553" t="s">
        <v>5</v>
      </c>
      <c r="D4856" s="553" t="s">
        <v>6</v>
      </c>
      <c r="E4856" s="691" t="s">
        <v>427</v>
      </c>
      <c r="F4856" s="691"/>
      <c r="G4856" s="555" t="s">
        <v>7</v>
      </c>
      <c r="H4856" s="554" t="s">
        <v>8</v>
      </c>
      <c r="I4856" s="554" t="s">
        <v>9</v>
      </c>
      <c r="J4856" s="554" t="s">
        <v>11</v>
      </c>
    </row>
    <row r="4857" spans="1:10" ht="25.5" customHeight="1" x14ac:dyDescent="0.3">
      <c r="A4857" s="607" t="s">
        <v>428</v>
      </c>
      <c r="B4857" s="608" t="s">
        <v>931</v>
      </c>
      <c r="C4857" s="607" t="s">
        <v>19</v>
      </c>
      <c r="D4857" s="607" t="s">
        <v>932</v>
      </c>
      <c r="E4857" s="690" t="s">
        <v>461</v>
      </c>
      <c r="F4857" s="690"/>
      <c r="G4857" s="609" t="s">
        <v>102</v>
      </c>
      <c r="H4857" s="610">
        <v>1</v>
      </c>
      <c r="I4857" s="611">
        <v>88.5</v>
      </c>
      <c r="J4857" s="611">
        <v>88.5</v>
      </c>
    </row>
    <row r="4858" spans="1:10" ht="14.25" customHeight="1" x14ac:dyDescent="0.3">
      <c r="A4858" s="547" t="s">
        <v>430</v>
      </c>
      <c r="B4858" s="548" t="s">
        <v>1960</v>
      </c>
      <c r="C4858" s="547" t="s">
        <v>19</v>
      </c>
      <c r="D4858" s="547" t="s">
        <v>1961</v>
      </c>
      <c r="E4858" s="688" t="s">
        <v>429</v>
      </c>
      <c r="F4858" s="688"/>
      <c r="G4858" s="549" t="s">
        <v>423</v>
      </c>
      <c r="H4858" s="550">
        <v>1</v>
      </c>
      <c r="I4858" s="551">
        <v>25.78</v>
      </c>
      <c r="J4858" s="551">
        <v>25.78</v>
      </c>
    </row>
    <row r="4859" spans="1:10" ht="38.25" customHeight="1" x14ac:dyDescent="0.3">
      <c r="A4859" s="547" t="s">
        <v>430</v>
      </c>
      <c r="B4859" s="548" t="s">
        <v>1972</v>
      </c>
      <c r="C4859" s="547" t="s">
        <v>19</v>
      </c>
      <c r="D4859" s="547" t="s">
        <v>1973</v>
      </c>
      <c r="E4859" s="688" t="s">
        <v>461</v>
      </c>
      <c r="F4859" s="688"/>
      <c r="G4859" s="549" t="s">
        <v>423</v>
      </c>
      <c r="H4859" s="550">
        <v>1</v>
      </c>
      <c r="I4859" s="551">
        <v>43.54</v>
      </c>
      <c r="J4859" s="551">
        <v>43.54</v>
      </c>
    </row>
    <row r="4860" spans="1:10" ht="26.25" customHeight="1" thickBot="1" x14ac:dyDescent="0.35">
      <c r="A4860" s="547" t="s">
        <v>430</v>
      </c>
      <c r="B4860" s="548" t="s">
        <v>1974</v>
      </c>
      <c r="C4860" s="547" t="s">
        <v>19</v>
      </c>
      <c r="D4860" s="547" t="s">
        <v>1975</v>
      </c>
      <c r="E4860" s="688" t="s">
        <v>461</v>
      </c>
      <c r="F4860" s="688"/>
      <c r="G4860" s="549" t="s">
        <v>423</v>
      </c>
      <c r="H4860" s="550">
        <v>1</v>
      </c>
      <c r="I4860" s="551">
        <v>19.18</v>
      </c>
      <c r="J4860" s="551">
        <v>19.18</v>
      </c>
    </row>
    <row r="4861" spans="1:10" s="89" customFormat="1" ht="25.5" customHeight="1" thickTop="1" x14ac:dyDescent="0.3">
      <c r="A4861" s="562"/>
      <c r="B4861" s="562"/>
      <c r="C4861" s="562"/>
      <c r="D4861" s="562"/>
      <c r="E4861" s="562"/>
      <c r="F4861" s="562"/>
      <c r="G4861" s="562"/>
      <c r="H4861" s="562"/>
      <c r="I4861" s="562"/>
      <c r="J4861" s="562"/>
    </row>
    <row r="4862" spans="1:10" ht="25.5" customHeight="1" x14ac:dyDescent="0.3">
      <c r="A4862" s="553"/>
      <c r="B4862" s="554" t="s">
        <v>4</v>
      </c>
      <c r="C4862" s="553" t="s">
        <v>5</v>
      </c>
      <c r="D4862" s="553" t="s">
        <v>6</v>
      </c>
      <c r="E4862" s="691" t="s">
        <v>427</v>
      </c>
      <c r="F4862" s="691"/>
      <c r="G4862" s="555" t="s">
        <v>7</v>
      </c>
      <c r="H4862" s="554" t="s">
        <v>8</v>
      </c>
      <c r="I4862" s="554" t="s">
        <v>9</v>
      </c>
      <c r="J4862" s="554" t="s">
        <v>11</v>
      </c>
    </row>
    <row r="4863" spans="1:10" ht="38.25" customHeight="1" x14ac:dyDescent="0.3">
      <c r="A4863" s="607" t="s">
        <v>428</v>
      </c>
      <c r="B4863" s="608" t="s">
        <v>929</v>
      </c>
      <c r="C4863" s="607" t="s">
        <v>19</v>
      </c>
      <c r="D4863" s="607" t="s">
        <v>930</v>
      </c>
      <c r="E4863" s="690" t="s">
        <v>461</v>
      </c>
      <c r="F4863" s="690"/>
      <c r="G4863" s="609" t="s">
        <v>95</v>
      </c>
      <c r="H4863" s="610">
        <v>1</v>
      </c>
      <c r="I4863" s="611">
        <v>251.06</v>
      </c>
      <c r="J4863" s="611">
        <v>251.06</v>
      </c>
    </row>
    <row r="4864" spans="1:10" ht="38.25" customHeight="1" x14ac:dyDescent="0.3">
      <c r="A4864" s="547" t="s">
        <v>430</v>
      </c>
      <c r="B4864" s="548" t="s">
        <v>1976</v>
      </c>
      <c r="C4864" s="547" t="s">
        <v>19</v>
      </c>
      <c r="D4864" s="547" t="s">
        <v>1977</v>
      </c>
      <c r="E4864" s="688" t="s">
        <v>461</v>
      </c>
      <c r="F4864" s="688"/>
      <c r="G4864" s="549" t="s">
        <v>423</v>
      </c>
      <c r="H4864" s="550">
        <v>1</v>
      </c>
      <c r="I4864" s="551">
        <v>77.84</v>
      </c>
      <c r="J4864" s="551">
        <v>77.84</v>
      </c>
    </row>
    <row r="4865" spans="1:10" ht="38.25" customHeight="1" x14ac:dyDescent="0.3">
      <c r="A4865" s="547" t="s">
        <v>430</v>
      </c>
      <c r="B4865" s="548" t="s">
        <v>1978</v>
      </c>
      <c r="C4865" s="547" t="s">
        <v>19</v>
      </c>
      <c r="D4865" s="547" t="s">
        <v>1979</v>
      </c>
      <c r="E4865" s="688" t="s">
        <v>461</v>
      </c>
      <c r="F4865" s="688"/>
      <c r="G4865" s="549" t="s">
        <v>423</v>
      </c>
      <c r="H4865" s="550">
        <v>1</v>
      </c>
      <c r="I4865" s="551">
        <v>84.72</v>
      </c>
      <c r="J4865" s="551">
        <v>84.72</v>
      </c>
    </row>
    <row r="4866" spans="1:10" s="89" customFormat="1" x14ac:dyDescent="0.3">
      <c r="A4866" s="547" t="s">
        <v>430</v>
      </c>
      <c r="B4866" s="548" t="s">
        <v>1960</v>
      </c>
      <c r="C4866" s="547" t="s">
        <v>19</v>
      </c>
      <c r="D4866" s="547" t="s">
        <v>1961</v>
      </c>
      <c r="E4866" s="688" t="s">
        <v>429</v>
      </c>
      <c r="F4866" s="688"/>
      <c r="G4866" s="549" t="s">
        <v>423</v>
      </c>
      <c r="H4866" s="550">
        <v>1</v>
      </c>
      <c r="I4866" s="551">
        <v>25.78</v>
      </c>
      <c r="J4866" s="551">
        <v>25.78</v>
      </c>
    </row>
    <row r="4867" spans="1:10" ht="14.25" customHeight="1" x14ac:dyDescent="0.3">
      <c r="A4867" s="547" t="s">
        <v>430</v>
      </c>
      <c r="B4867" s="548" t="s">
        <v>1972</v>
      </c>
      <c r="C4867" s="547" t="s">
        <v>19</v>
      </c>
      <c r="D4867" s="547" t="s">
        <v>1973</v>
      </c>
      <c r="E4867" s="688" t="s">
        <v>461</v>
      </c>
      <c r="F4867" s="688"/>
      <c r="G4867" s="549" t="s">
        <v>423</v>
      </c>
      <c r="H4867" s="550">
        <v>1</v>
      </c>
      <c r="I4867" s="551">
        <v>43.54</v>
      </c>
      <c r="J4867" s="551">
        <v>43.54</v>
      </c>
    </row>
    <row r="4868" spans="1:10" ht="25.5" customHeight="1" thickBot="1" x14ac:dyDescent="0.35">
      <c r="A4868" s="547" t="s">
        <v>430</v>
      </c>
      <c r="B4868" s="548" t="s">
        <v>1974</v>
      </c>
      <c r="C4868" s="547" t="s">
        <v>19</v>
      </c>
      <c r="D4868" s="547" t="s">
        <v>1975</v>
      </c>
      <c r="E4868" s="688" t="s">
        <v>461</v>
      </c>
      <c r="F4868" s="688"/>
      <c r="G4868" s="549" t="s">
        <v>423</v>
      </c>
      <c r="H4868" s="550">
        <v>1</v>
      </c>
      <c r="I4868" s="551">
        <v>19.18</v>
      </c>
      <c r="J4868" s="551">
        <v>19.18</v>
      </c>
    </row>
    <row r="4869" spans="1:10" ht="26.25" customHeight="1" thickTop="1" x14ac:dyDescent="0.3">
      <c r="A4869" s="562"/>
      <c r="B4869" s="562"/>
      <c r="C4869" s="562"/>
      <c r="D4869" s="562"/>
      <c r="E4869" s="562"/>
      <c r="F4869" s="562"/>
      <c r="G4869" s="562"/>
      <c r="H4869" s="562"/>
      <c r="I4869" s="562"/>
      <c r="J4869" s="562"/>
    </row>
    <row r="4870" spans="1:10" ht="26.25" customHeight="1" x14ac:dyDescent="0.3">
      <c r="A4870" s="553"/>
      <c r="B4870" s="554" t="s">
        <v>4</v>
      </c>
      <c r="C4870" s="553" t="s">
        <v>5</v>
      </c>
      <c r="D4870" s="553" t="s">
        <v>6</v>
      </c>
      <c r="E4870" s="691" t="s">
        <v>427</v>
      </c>
      <c r="F4870" s="691"/>
      <c r="G4870" s="555" t="s">
        <v>7</v>
      </c>
      <c r="H4870" s="554" t="s">
        <v>8</v>
      </c>
      <c r="I4870" s="554" t="s">
        <v>9</v>
      </c>
      <c r="J4870" s="554" t="s">
        <v>11</v>
      </c>
    </row>
    <row r="4871" spans="1:10" ht="38.25" customHeight="1" x14ac:dyDescent="0.3">
      <c r="A4871" s="607" t="s">
        <v>428</v>
      </c>
      <c r="B4871" s="608" t="s">
        <v>1972</v>
      </c>
      <c r="C4871" s="607" t="s">
        <v>19</v>
      </c>
      <c r="D4871" s="607" t="s">
        <v>1973</v>
      </c>
      <c r="E4871" s="690" t="s">
        <v>461</v>
      </c>
      <c r="F4871" s="690"/>
      <c r="G4871" s="609" t="s">
        <v>423</v>
      </c>
      <c r="H4871" s="610">
        <v>1</v>
      </c>
      <c r="I4871" s="611">
        <v>43.54</v>
      </c>
      <c r="J4871" s="611">
        <v>43.54</v>
      </c>
    </row>
    <row r="4872" spans="1:10" s="89" customFormat="1" ht="25.5" customHeight="1" thickBot="1" x14ac:dyDescent="0.35">
      <c r="A4872" s="547" t="s">
        <v>433</v>
      </c>
      <c r="B4872" s="548" t="s">
        <v>1980</v>
      </c>
      <c r="C4872" s="547" t="s">
        <v>19</v>
      </c>
      <c r="D4872" s="547" t="s">
        <v>1981</v>
      </c>
      <c r="E4872" s="688" t="s">
        <v>442</v>
      </c>
      <c r="F4872" s="688"/>
      <c r="G4872" s="549" t="s">
        <v>81</v>
      </c>
      <c r="H4872" s="550">
        <v>3.1099999999999997E-5</v>
      </c>
      <c r="I4872" s="551">
        <v>1400000</v>
      </c>
      <c r="J4872" s="551">
        <v>43.54</v>
      </c>
    </row>
    <row r="4873" spans="1:10" ht="25.5" customHeight="1" thickTop="1" x14ac:dyDescent="0.3">
      <c r="A4873" s="562"/>
      <c r="B4873" s="562"/>
      <c r="C4873" s="562"/>
      <c r="D4873" s="562"/>
      <c r="E4873" s="562"/>
      <c r="F4873" s="562"/>
      <c r="G4873" s="562"/>
      <c r="H4873" s="562"/>
      <c r="I4873" s="562"/>
      <c r="J4873" s="562"/>
    </row>
    <row r="4874" spans="1:10" ht="25.5" customHeight="1" x14ac:dyDescent="0.3">
      <c r="A4874" s="553"/>
      <c r="B4874" s="554" t="s">
        <v>4</v>
      </c>
      <c r="C4874" s="553" t="s">
        <v>5</v>
      </c>
      <c r="D4874" s="553" t="s">
        <v>6</v>
      </c>
      <c r="E4874" s="691" t="s">
        <v>427</v>
      </c>
      <c r="F4874" s="691"/>
      <c r="G4874" s="555" t="s">
        <v>7</v>
      </c>
      <c r="H4874" s="554" t="s">
        <v>8</v>
      </c>
      <c r="I4874" s="554" t="s">
        <v>9</v>
      </c>
      <c r="J4874" s="554" t="s">
        <v>11</v>
      </c>
    </row>
    <row r="4875" spans="1:10" ht="14.25" customHeight="1" x14ac:dyDescent="0.3">
      <c r="A4875" s="607" t="s">
        <v>428</v>
      </c>
      <c r="B4875" s="608" t="s">
        <v>1974</v>
      </c>
      <c r="C4875" s="607" t="s">
        <v>19</v>
      </c>
      <c r="D4875" s="607" t="s">
        <v>1975</v>
      </c>
      <c r="E4875" s="690" t="s">
        <v>461</v>
      </c>
      <c r="F4875" s="690"/>
      <c r="G4875" s="609" t="s">
        <v>423</v>
      </c>
      <c r="H4875" s="610">
        <v>1</v>
      </c>
      <c r="I4875" s="611">
        <v>19.18</v>
      </c>
      <c r="J4875" s="611">
        <v>19.18</v>
      </c>
    </row>
    <row r="4876" spans="1:10" ht="25.5" customHeight="1" thickBot="1" x14ac:dyDescent="0.35">
      <c r="A4876" s="547" t="s">
        <v>433</v>
      </c>
      <c r="B4876" s="548" t="s">
        <v>1980</v>
      </c>
      <c r="C4876" s="547" t="s">
        <v>19</v>
      </c>
      <c r="D4876" s="547" t="s">
        <v>1981</v>
      </c>
      <c r="E4876" s="688" t="s">
        <v>442</v>
      </c>
      <c r="F4876" s="688"/>
      <c r="G4876" s="549" t="s">
        <v>81</v>
      </c>
      <c r="H4876" s="550">
        <v>1.3699999999999999E-5</v>
      </c>
      <c r="I4876" s="551">
        <v>1400000</v>
      </c>
      <c r="J4876" s="551">
        <v>19.18</v>
      </c>
    </row>
    <row r="4877" spans="1:10" ht="26.25" customHeight="1" thickTop="1" x14ac:dyDescent="0.3">
      <c r="A4877" s="562"/>
      <c r="B4877" s="562"/>
      <c r="C4877" s="562"/>
      <c r="D4877" s="562"/>
      <c r="E4877" s="562"/>
      <c r="F4877" s="562"/>
      <c r="G4877" s="562"/>
      <c r="H4877" s="562"/>
      <c r="I4877" s="562"/>
      <c r="J4877" s="562"/>
    </row>
    <row r="4878" spans="1:10" ht="26.25" customHeight="1" x14ac:dyDescent="0.3">
      <c r="A4878" s="553"/>
      <c r="B4878" s="554" t="s">
        <v>4</v>
      </c>
      <c r="C4878" s="553" t="s">
        <v>5</v>
      </c>
      <c r="D4878" s="553" t="s">
        <v>6</v>
      </c>
      <c r="E4878" s="691" t="s">
        <v>427</v>
      </c>
      <c r="F4878" s="691"/>
      <c r="G4878" s="555" t="s">
        <v>7</v>
      </c>
      <c r="H4878" s="554" t="s">
        <v>8</v>
      </c>
      <c r="I4878" s="554" t="s">
        <v>9</v>
      </c>
      <c r="J4878" s="554" t="s">
        <v>11</v>
      </c>
    </row>
    <row r="4879" spans="1:10" ht="38.25" customHeight="1" x14ac:dyDescent="0.3">
      <c r="A4879" s="607" t="s">
        <v>428</v>
      </c>
      <c r="B4879" s="608" t="s">
        <v>1976</v>
      </c>
      <c r="C4879" s="607" t="s">
        <v>19</v>
      </c>
      <c r="D4879" s="607" t="s">
        <v>1977</v>
      </c>
      <c r="E4879" s="690" t="s">
        <v>461</v>
      </c>
      <c r="F4879" s="690"/>
      <c r="G4879" s="609" t="s">
        <v>423</v>
      </c>
      <c r="H4879" s="610">
        <v>1</v>
      </c>
      <c r="I4879" s="611">
        <v>77.84</v>
      </c>
      <c r="J4879" s="611">
        <v>77.84</v>
      </c>
    </row>
    <row r="4880" spans="1:10" s="89" customFormat="1" ht="25.5" customHeight="1" thickBot="1" x14ac:dyDescent="0.35">
      <c r="A4880" s="547" t="s">
        <v>433</v>
      </c>
      <c r="B4880" s="548" t="s">
        <v>1980</v>
      </c>
      <c r="C4880" s="547" t="s">
        <v>19</v>
      </c>
      <c r="D4880" s="547" t="s">
        <v>1981</v>
      </c>
      <c r="E4880" s="688" t="s">
        <v>442</v>
      </c>
      <c r="F4880" s="688"/>
      <c r="G4880" s="549" t="s">
        <v>81</v>
      </c>
      <c r="H4880" s="550">
        <v>5.5600000000000003E-5</v>
      </c>
      <c r="I4880" s="551">
        <v>1400000</v>
      </c>
      <c r="J4880" s="551">
        <v>77.84</v>
      </c>
    </row>
    <row r="4881" spans="1:10" ht="25.5" customHeight="1" thickTop="1" x14ac:dyDescent="0.3">
      <c r="A4881" s="562"/>
      <c r="B4881" s="562"/>
      <c r="C4881" s="562"/>
      <c r="D4881" s="562"/>
      <c r="E4881" s="562"/>
      <c r="F4881" s="562"/>
      <c r="G4881" s="562"/>
      <c r="H4881" s="562"/>
      <c r="I4881" s="562"/>
      <c r="J4881" s="562"/>
    </row>
    <row r="4882" spans="1:10" x14ac:dyDescent="0.3">
      <c r="A4882" s="553"/>
      <c r="B4882" s="554" t="s">
        <v>4</v>
      </c>
      <c r="C4882" s="553" t="s">
        <v>5</v>
      </c>
      <c r="D4882" s="553" t="s">
        <v>6</v>
      </c>
      <c r="E4882" s="691" t="s">
        <v>427</v>
      </c>
      <c r="F4882" s="691"/>
      <c r="G4882" s="555" t="s">
        <v>7</v>
      </c>
      <c r="H4882" s="554" t="s">
        <v>8</v>
      </c>
      <c r="I4882" s="554" t="s">
        <v>9</v>
      </c>
      <c r="J4882" s="554" t="s">
        <v>11</v>
      </c>
    </row>
    <row r="4883" spans="1:10" ht="38.25" customHeight="1" x14ac:dyDescent="0.3">
      <c r="A4883" s="607" t="s">
        <v>428</v>
      </c>
      <c r="B4883" s="608" t="s">
        <v>1978</v>
      </c>
      <c r="C4883" s="607" t="s">
        <v>19</v>
      </c>
      <c r="D4883" s="607" t="s">
        <v>1979</v>
      </c>
      <c r="E4883" s="690" t="s">
        <v>461</v>
      </c>
      <c r="F4883" s="690"/>
      <c r="G4883" s="609" t="s">
        <v>423</v>
      </c>
      <c r="H4883" s="610">
        <v>1</v>
      </c>
      <c r="I4883" s="611">
        <v>84.72</v>
      </c>
      <c r="J4883" s="611">
        <v>84.72</v>
      </c>
    </row>
    <row r="4884" spans="1:10" s="89" customFormat="1" ht="25.5" customHeight="1" thickBot="1" x14ac:dyDescent="0.35">
      <c r="A4884" s="547" t="s">
        <v>433</v>
      </c>
      <c r="B4884" s="548" t="s">
        <v>3859</v>
      </c>
      <c r="C4884" s="547" t="s">
        <v>115</v>
      </c>
      <c r="D4884" s="547" t="s">
        <v>3860</v>
      </c>
      <c r="E4884" s="688" t="s">
        <v>438</v>
      </c>
      <c r="F4884" s="688"/>
      <c r="G4884" s="549" t="s">
        <v>835</v>
      </c>
      <c r="H4884" s="550">
        <v>15.67</v>
      </c>
      <c r="I4884" s="551">
        <v>5.4069000000000003</v>
      </c>
      <c r="J4884" s="551">
        <v>84.72</v>
      </c>
    </row>
    <row r="4885" spans="1:10" ht="25.5" customHeight="1" thickTop="1" x14ac:dyDescent="0.3">
      <c r="A4885" s="562"/>
      <c r="B4885" s="562"/>
      <c r="C4885" s="562"/>
      <c r="D4885" s="562"/>
      <c r="E4885" s="562"/>
      <c r="F4885" s="562"/>
      <c r="G4885" s="562"/>
      <c r="H4885" s="562"/>
      <c r="I4885" s="562"/>
      <c r="J4885" s="562"/>
    </row>
    <row r="4886" spans="1:10" x14ac:dyDescent="0.3">
      <c r="A4886" s="553"/>
      <c r="B4886" s="554" t="s">
        <v>4</v>
      </c>
      <c r="C4886" s="553" t="s">
        <v>5</v>
      </c>
      <c r="D4886" s="553" t="s">
        <v>6</v>
      </c>
      <c r="E4886" s="691" t="s">
        <v>427</v>
      </c>
      <c r="F4886" s="691"/>
      <c r="G4886" s="555" t="s">
        <v>7</v>
      </c>
      <c r="H4886" s="554" t="s">
        <v>8</v>
      </c>
      <c r="I4886" s="554" t="s">
        <v>9</v>
      </c>
      <c r="J4886" s="554" t="s">
        <v>11</v>
      </c>
    </row>
    <row r="4887" spans="1:10" ht="25.5" customHeight="1" x14ac:dyDescent="0.3">
      <c r="A4887" s="607" t="s">
        <v>428</v>
      </c>
      <c r="B4887" s="608" t="s">
        <v>1082</v>
      </c>
      <c r="C4887" s="607" t="s">
        <v>19</v>
      </c>
      <c r="D4887" s="607" t="s">
        <v>1083</v>
      </c>
      <c r="E4887" s="690" t="s">
        <v>461</v>
      </c>
      <c r="F4887" s="690"/>
      <c r="G4887" s="609" t="s">
        <v>102</v>
      </c>
      <c r="H4887" s="610">
        <v>1</v>
      </c>
      <c r="I4887" s="611">
        <v>88.11</v>
      </c>
      <c r="J4887" s="611">
        <v>88.11</v>
      </c>
    </row>
    <row r="4888" spans="1:10" s="89" customFormat="1" x14ac:dyDescent="0.3">
      <c r="A4888" s="547" t="s">
        <v>430</v>
      </c>
      <c r="B4888" s="548" t="s">
        <v>1960</v>
      </c>
      <c r="C4888" s="547" t="s">
        <v>19</v>
      </c>
      <c r="D4888" s="547" t="s">
        <v>1961</v>
      </c>
      <c r="E4888" s="688" t="s">
        <v>429</v>
      </c>
      <c r="F4888" s="688"/>
      <c r="G4888" s="549" t="s">
        <v>423</v>
      </c>
      <c r="H4888" s="550">
        <v>1</v>
      </c>
      <c r="I4888" s="551">
        <v>25.78</v>
      </c>
      <c r="J4888" s="551">
        <v>25.78</v>
      </c>
    </row>
    <row r="4889" spans="1:10" ht="25.5" customHeight="1" x14ac:dyDescent="0.3">
      <c r="A4889" s="547" t="s">
        <v>430</v>
      </c>
      <c r="B4889" s="548" t="s">
        <v>1982</v>
      </c>
      <c r="C4889" s="547" t="s">
        <v>19</v>
      </c>
      <c r="D4889" s="547" t="s">
        <v>1983</v>
      </c>
      <c r="E4889" s="688" t="s">
        <v>461</v>
      </c>
      <c r="F4889" s="688"/>
      <c r="G4889" s="549" t="s">
        <v>423</v>
      </c>
      <c r="H4889" s="550">
        <v>1</v>
      </c>
      <c r="I4889" s="551">
        <v>43.27</v>
      </c>
      <c r="J4889" s="551">
        <v>43.27</v>
      </c>
    </row>
    <row r="4890" spans="1:10" ht="26.25" customHeight="1" thickBot="1" x14ac:dyDescent="0.35">
      <c r="A4890" s="547" t="s">
        <v>430</v>
      </c>
      <c r="B4890" s="548" t="s">
        <v>1984</v>
      </c>
      <c r="C4890" s="547" t="s">
        <v>19</v>
      </c>
      <c r="D4890" s="547" t="s">
        <v>1985</v>
      </c>
      <c r="E4890" s="688" t="s">
        <v>461</v>
      </c>
      <c r="F4890" s="688"/>
      <c r="G4890" s="549" t="s">
        <v>423</v>
      </c>
      <c r="H4890" s="550">
        <v>1</v>
      </c>
      <c r="I4890" s="551">
        <v>19.059999999999999</v>
      </c>
      <c r="J4890" s="551">
        <v>19.059999999999999</v>
      </c>
    </row>
    <row r="4891" spans="1:10" ht="14.5" thickTop="1" x14ac:dyDescent="0.3">
      <c r="A4891" s="562"/>
      <c r="B4891" s="562"/>
      <c r="C4891" s="562"/>
      <c r="D4891" s="562"/>
      <c r="E4891" s="562"/>
      <c r="F4891" s="562"/>
      <c r="G4891" s="562"/>
      <c r="H4891" s="562"/>
      <c r="I4891" s="562"/>
      <c r="J4891" s="562"/>
    </row>
    <row r="4892" spans="1:10" s="89" customFormat="1" ht="25.5" customHeight="1" x14ac:dyDescent="0.3">
      <c r="A4892" s="553"/>
      <c r="B4892" s="554" t="s">
        <v>4</v>
      </c>
      <c r="C4892" s="553" t="s">
        <v>5</v>
      </c>
      <c r="D4892" s="553" t="s">
        <v>6</v>
      </c>
      <c r="E4892" s="691" t="s">
        <v>427</v>
      </c>
      <c r="F4892" s="691"/>
      <c r="G4892" s="555" t="s">
        <v>7</v>
      </c>
      <c r="H4892" s="554" t="s">
        <v>8</v>
      </c>
      <c r="I4892" s="554" t="s">
        <v>9</v>
      </c>
      <c r="J4892" s="554" t="s">
        <v>11</v>
      </c>
    </row>
    <row r="4893" spans="1:10" ht="25.5" customHeight="1" x14ac:dyDescent="0.3">
      <c r="A4893" s="607" t="s">
        <v>428</v>
      </c>
      <c r="B4893" s="608" t="s">
        <v>1080</v>
      </c>
      <c r="C4893" s="607" t="s">
        <v>19</v>
      </c>
      <c r="D4893" s="607" t="s">
        <v>1081</v>
      </c>
      <c r="E4893" s="690" t="s">
        <v>461</v>
      </c>
      <c r="F4893" s="690"/>
      <c r="G4893" s="609" t="s">
        <v>95</v>
      </c>
      <c r="H4893" s="610">
        <v>1</v>
      </c>
      <c r="I4893" s="611">
        <v>261.49</v>
      </c>
      <c r="J4893" s="611">
        <v>261.49</v>
      </c>
    </row>
    <row r="4894" spans="1:10" ht="25.5" customHeight="1" x14ac:dyDescent="0.3">
      <c r="A4894" s="547" t="s">
        <v>430</v>
      </c>
      <c r="B4894" s="548" t="s">
        <v>1986</v>
      </c>
      <c r="C4894" s="547" t="s">
        <v>19</v>
      </c>
      <c r="D4894" s="547" t="s">
        <v>1987</v>
      </c>
      <c r="E4894" s="688" t="s">
        <v>461</v>
      </c>
      <c r="F4894" s="688"/>
      <c r="G4894" s="549" t="s">
        <v>423</v>
      </c>
      <c r="H4894" s="550">
        <v>1</v>
      </c>
      <c r="I4894" s="551">
        <v>77.36</v>
      </c>
      <c r="J4894" s="551">
        <v>77.36</v>
      </c>
    </row>
    <row r="4895" spans="1:10" ht="25.5" customHeight="1" x14ac:dyDescent="0.3">
      <c r="A4895" s="547" t="s">
        <v>430</v>
      </c>
      <c r="B4895" s="548" t="s">
        <v>1988</v>
      </c>
      <c r="C4895" s="547" t="s">
        <v>19</v>
      </c>
      <c r="D4895" s="547" t="s">
        <v>1989</v>
      </c>
      <c r="E4895" s="688" t="s">
        <v>461</v>
      </c>
      <c r="F4895" s="688"/>
      <c r="G4895" s="549" t="s">
        <v>423</v>
      </c>
      <c r="H4895" s="550">
        <v>1</v>
      </c>
      <c r="I4895" s="551">
        <v>96.02</v>
      </c>
      <c r="J4895" s="551">
        <v>96.02</v>
      </c>
    </row>
    <row r="4896" spans="1:10" s="89" customFormat="1" ht="38.25" customHeight="1" x14ac:dyDescent="0.3">
      <c r="A4896" s="547" t="s">
        <v>430</v>
      </c>
      <c r="B4896" s="548" t="s">
        <v>1960</v>
      </c>
      <c r="C4896" s="547" t="s">
        <v>19</v>
      </c>
      <c r="D4896" s="547" t="s">
        <v>1961</v>
      </c>
      <c r="E4896" s="688" t="s">
        <v>429</v>
      </c>
      <c r="F4896" s="688"/>
      <c r="G4896" s="549" t="s">
        <v>423</v>
      </c>
      <c r="H4896" s="550">
        <v>1</v>
      </c>
      <c r="I4896" s="551">
        <v>25.78</v>
      </c>
      <c r="J4896" s="551">
        <v>25.78</v>
      </c>
    </row>
    <row r="4897" spans="1:10" ht="14.25" customHeight="1" x14ac:dyDescent="0.3">
      <c r="A4897" s="547" t="s">
        <v>430</v>
      </c>
      <c r="B4897" s="548" t="s">
        <v>1982</v>
      </c>
      <c r="C4897" s="547" t="s">
        <v>19</v>
      </c>
      <c r="D4897" s="547" t="s">
        <v>1983</v>
      </c>
      <c r="E4897" s="688" t="s">
        <v>461</v>
      </c>
      <c r="F4897" s="688"/>
      <c r="G4897" s="549" t="s">
        <v>423</v>
      </c>
      <c r="H4897" s="550">
        <v>1</v>
      </c>
      <c r="I4897" s="551">
        <v>43.27</v>
      </c>
      <c r="J4897" s="551">
        <v>43.27</v>
      </c>
    </row>
    <row r="4898" spans="1:10" ht="38.25" customHeight="1" thickBot="1" x14ac:dyDescent="0.35">
      <c r="A4898" s="547" t="s">
        <v>430</v>
      </c>
      <c r="B4898" s="548" t="s">
        <v>1984</v>
      </c>
      <c r="C4898" s="547" t="s">
        <v>19</v>
      </c>
      <c r="D4898" s="547" t="s">
        <v>1985</v>
      </c>
      <c r="E4898" s="688" t="s">
        <v>461</v>
      </c>
      <c r="F4898" s="688"/>
      <c r="G4898" s="549" t="s">
        <v>423</v>
      </c>
      <c r="H4898" s="550">
        <v>1</v>
      </c>
      <c r="I4898" s="551">
        <v>19.059999999999999</v>
      </c>
      <c r="J4898" s="551">
        <v>19.059999999999999</v>
      </c>
    </row>
    <row r="4899" spans="1:10" ht="26.25" customHeight="1" thickTop="1" x14ac:dyDescent="0.3">
      <c r="A4899" s="562"/>
      <c r="B4899" s="562"/>
      <c r="C4899" s="562"/>
      <c r="D4899" s="562"/>
      <c r="E4899" s="562"/>
      <c r="F4899" s="562"/>
      <c r="G4899" s="562"/>
      <c r="H4899" s="562"/>
      <c r="I4899" s="562"/>
      <c r="J4899" s="562"/>
    </row>
    <row r="4900" spans="1:10" ht="26.25" customHeight="1" x14ac:dyDescent="0.3">
      <c r="A4900" s="553"/>
      <c r="B4900" s="554" t="s">
        <v>4</v>
      </c>
      <c r="C4900" s="553" t="s">
        <v>5</v>
      </c>
      <c r="D4900" s="553" t="s">
        <v>6</v>
      </c>
      <c r="E4900" s="691" t="s">
        <v>427</v>
      </c>
      <c r="F4900" s="691"/>
      <c r="G4900" s="555" t="s">
        <v>7</v>
      </c>
      <c r="H4900" s="554" t="s">
        <v>8</v>
      </c>
      <c r="I4900" s="554" t="s">
        <v>9</v>
      </c>
      <c r="J4900" s="554" t="s">
        <v>11</v>
      </c>
    </row>
    <row r="4901" spans="1:10" ht="25.5" customHeight="1" x14ac:dyDescent="0.3">
      <c r="A4901" s="607" t="s">
        <v>428</v>
      </c>
      <c r="B4901" s="608" t="s">
        <v>1982</v>
      </c>
      <c r="C4901" s="607" t="s">
        <v>19</v>
      </c>
      <c r="D4901" s="607" t="s">
        <v>1983</v>
      </c>
      <c r="E4901" s="690" t="s">
        <v>461</v>
      </c>
      <c r="F4901" s="690"/>
      <c r="G4901" s="609" t="s">
        <v>423</v>
      </c>
      <c r="H4901" s="610">
        <v>1</v>
      </c>
      <c r="I4901" s="611">
        <v>43.27</v>
      </c>
      <c r="J4901" s="611">
        <v>43.27</v>
      </c>
    </row>
    <row r="4902" spans="1:10" s="89" customFormat="1" ht="38.25" customHeight="1" thickBot="1" x14ac:dyDescent="0.35">
      <c r="A4902" s="547" t="s">
        <v>433</v>
      </c>
      <c r="B4902" s="548" t="s">
        <v>1990</v>
      </c>
      <c r="C4902" s="547" t="s">
        <v>19</v>
      </c>
      <c r="D4902" s="547" t="s">
        <v>1991</v>
      </c>
      <c r="E4902" s="688" t="s">
        <v>442</v>
      </c>
      <c r="F4902" s="688"/>
      <c r="G4902" s="549" t="s">
        <v>81</v>
      </c>
      <c r="H4902" s="550">
        <v>3.1099999999999997E-5</v>
      </c>
      <c r="I4902" s="551">
        <v>1391437.18</v>
      </c>
      <c r="J4902" s="551">
        <v>43.27</v>
      </c>
    </row>
    <row r="4903" spans="1:10" ht="38.25" customHeight="1" thickTop="1" x14ac:dyDescent="0.3">
      <c r="A4903" s="562"/>
      <c r="B4903" s="562"/>
      <c r="C4903" s="562"/>
      <c r="D4903" s="562"/>
      <c r="E4903" s="562"/>
      <c r="F4903" s="562"/>
      <c r="G4903" s="562"/>
      <c r="H4903" s="562"/>
      <c r="I4903" s="562"/>
      <c r="J4903" s="562"/>
    </row>
    <row r="4904" spans="1:10" ht="38.25" customHeight="1" x14ac:dyDescent="0.3">
      <c r="A4904" s="553"/>
      <c r="B4904" s="554" t="s">
        <v>4</v>
      </c>
      <c r="C4904" s="553" t="s">
        <v>5</v>
      </c>
      <c r="D4904" s="553" t="s">
        <v>6</v>
      </c>
      <c r="E4904" s="691" t="s">
        <v>427</v>
      </c>
      <c r="F4904" s="691"/>
      <c r="G4904" s="555" t="s">
        <v>7</v>
      </c>
      <c r="H4904" s="554" t="s">
        <v>8</v>
      </c>
      <c r="I4904" s="554" t="s">
        <v>9</v>
      </c>
      <c r="J4904" s="554" t="s">
        <v>11</v>
      </c>
    </row>
    <row r="4905" spans="1:10" ht="14.25" customHeight="1" x14ac:dyDescent="0.3">
      <c r="A4905" s="607" t="s">
        <v>428</v>
      </c>
      <c r="B4905" s="608" t="s">
        <v>1984</v>
      </c>
      <c r="C4905" s="607" t="s">
        <v>19</v>
      </c>
      <c r="D4905" s="607" t="s">
        <v>1985</v>
      </c>
      <c r="E4905" s="690" t="s">
        <v>461</v>
      </c>
      <c r="F4905" s="690"/>
      <c r="G4905" s="609" t="s">
        <v>423</v>
      </c>
      <c r="H4905" s="610">
        <v>1</v>
      </c>
      <c r="I4905" s="611">
        <v>19.059999999999999</v>
      </c>
      <c r="J4905" s="611">
        <v>19.059999999999999</v>
      </c>
    </row>
    <row r="4906" spans="1:10" ht="38.25" customHeight="1" thickBot="1" x14ac:dyDescent="0.35">
      <c r="A4906" s="547" t="s">
        <v>433</v>
      </c>
      <c r="B4906" s="548" t="s">
        <v>1990</v>
      </c>
      <c r="C4906" s="547" t="s">
        <v>19</v>
      </c>
      <c r="D4906" s="547" t="s">
        <v>1991</v>
      </c>
      <c r="E4906" s="688" t="s">
        <v>442</v>
      </c>
      <c r="F4906" s="688"/>
      <c r="G4906" s="549" t="s">
        <v>81</v>
      </c>
      <c r="H4906" s="550">
        <v>1.3699999999999999E-5</v>
      </c>
      <c r="I4906" s="551">
        <v>1391437.18</v>
      </c>
      <c r="J4906" s="551">
        <v>19.059999999999999</v>
      </c>
    </row>
    <row r="4907" spans="1:10" ht="26.25" customHeight="1" thickTop="1" x14ac:dyDescent="0.3">
      <c r="A4907" s="562"/>
      <c r="B4907" s="562"/>
      <c r="C4907" s="562"/>
      <c r="D4907" s="562"/>
      <c r="E4907" s="562"/>
      <c r="F4907" s="562"/>
      <c r="G4907" s="562"/>
      <c r="H4907" s="562"/>
      <c r="I4907" s="562"/>
      <c r="J4907" s="562"/>
    </row>
    <row r="4908" spans="1:10" ht="26.25" customHeight="1" x14ac:dyDescent="0.3">
      <c r="A4908" s="553"/>
      <c r="B4908" s="554" t="s">
        <v>4</v>
      </c>
      <c r="C4908" s="553" t="s">
        <v>5</v>
      </c>
      <c r="D4908" s="553" t="s">
        <v>6</v>
      </c>
      <c r="E4908" s="691" t="s">
        <v>427</v>
      </c>
      <c r="F4908" s="691"/>
      <c r="G4908" s="555" t="s">
        <v>7</v>
      </c>
      <c r="H4908" s="554" t="s">
        <v>8</v>
      </c>
      <c r="I4908" s="554" t="s">
        <v>9</v>
      </c>
      <c r="J4908" s="554" t="s">
        <v>11</v>
      </c>
    </row>
    <row r="4909" spans="1:10" ht="25.5" customHeight="1" x14ac:dyDescent="0.3">
      <c r="A4909" s="607" t="s">
        <v>428</v>
      </c>
      <c r="B4909" s="608" t="s">
        <v>1986</v>
      </c>
      <c r="C4909" s="607" t="s">
        <v>19</v>
      </c>
      <c r="D4909" s="607" t="s">
        <v>1987</v>
      </c>
      <c r="E4909" s="690" t="s">
        <v>461</v>
      </c>
      <c r="F4909" s="690"/>
      <c r="G4909" s="609" t="s">
        <v>423</v>
      </c>
      <c r="H4909" s="610">
        <v>1</v>
      </c>
      <c r="I4909" s="611">
        <v>77.36</v>
      </c>
      <c r="J4909" s="611">
        <v>77.36</v>
      </c>
    </row>
    <row r="4910" spans="1:10" s="89" customFormat="1" ht="38.25" customHeight="1" thickBot="1" x14ac:dyDescent="0.35">
      <c r="A4910" s="547" t="s">
        <v>433</v>
      </c>
      <c r="B4910" s="548" t="s">
        <v>1990</v>
      </c>
      <c r="C4910" s="547" t="s">
        <v>19</v>
      </c>
      <c r="D4910" s="547" t="s">
        <v>1991</v>
      </c>
      <c r="E4910" s="688" t="s">
        <v>442</v>
      </c>
      <c r="F4910" s="688"/>
      <c r="G4910" s="549" t="s">
        <v>81</v>
      </c>
      <c r="H4910" s="550">
        <v>5.5600000000000003E-5</v>
      </c>
      <c r="I4910" s="551">
        <v>1391437.18</v>
      </c>
      <c r="J4910" s="551">
        <v>77.36</v>
      </c>
    </row>
    <row r="4911" spans="1:10" ht="38.25" customHeight="1" thickTop="1" x14ac:dyDescent="0.3">
      <c r="A4911" s="562"/>
      <c r="B4911" s="562"/>
      <c r="C4911" s="562"/>
      <c r="D4911" s="562"/>
      <c r="E4911" s="562"/>
      <c r="F4911" s="562"/>
      <c r="G4911" s="562"/>
      <c r="H4911" s="562"/>
      <c r="I4911" s="562"/>
      <c r="J4911" s="562"/>
    </row>
    <row r="4912" spans="1:10" x14ac:dyDescent="0.3">
      <c r="A4912" s="553"/>
      <c r="B4912" s="554" t="s">
        <v>4</v>
      </c>
      <c r="C4912" s="553" t="s">
        <v>5</v>
      </c>
      <c r="D4912" s="553" t="s">
        <v>6</v>
      </c>
      <c r="E4912" s="691" t="s">
        <v>427</v>
      </c>
      <c r="F4912" s="691"/>
      <c r="G4912" s="555" t="s">
        <v>7</v>
      </c>
      <c r="H4912" s="554" t="s">
        <v>8</v>
      </c>
      <c r="I4912" s="554" t="s">
        <v>9</v>
      </c>
      <c r="J4912" s="554" t="s">
        <v>11</v>
      </c>
    </row>
    <row r="4913" spans="1:10" ht="25.5" customHeight="1" x14ac:dyDescent="0.3">
      <c r="A4913" s="607" t="s">
        <v>428</v>
      </c>
      <c r="B4913" s="608" t="s">
        <v>1988</v>
      </c>
      <c r="C4913" s="607" t="s">
        <v>19</v>
      </c>
      <c r="D4913" s="607" t="s">
        <v>1989</v>
      </c>
      <c r="E4913" s="690" t="s">
        <v>461</v>
      </c>
      <c r="F4913" s="690"/>
      <c r="G4913" s="609" t="s">
        <v>423</v>
      </c>
      <c r="H4913" s="610">
        <v>1</v>
      </c>
      <c r="I4913" s="611">
        <v>96.02</v>
      </c>
      <c r="J4913" s="611">
        <v>96.02</v>
      </c>
    </row>
    <row r="4914" spans="1:10" s="89" customFormat="1" ht="25.5" customHeight="1" thickBot="1" x14ac:dyDescent="0.35">
      <c r="A4914" s="547" t="s">
        <v>433</v>
      </c>
      <c r="B4914" s="548" t="s">
        <v>3859</v>
      </c>
      <c r="C4914" s="547" t="s">
        <v>115</v>
      </c>
      <c r="D4914" s="547" t="s">
        <v>3860</v>
      </c>
      <c r="E4914" s="688" t="s">
        <v>438</v>
      </c>
      <c r="F4914" s="688"/>
      <c r="G4914" s="549" t="s">
        <v>835</v>
      </c>
      <c r="H4914" s="550">
        <v>17.760000000000002</v>
      </c>
      <c r="I4914" s="551">
        <v>5.4069000000000003</v>
      </c>
      <c r="J4914" s="551">
        <v>96.02</v>
      </c>
    </row>
    <row r="4915" spans="1:10" ht="25.5" customHeight="1" thickTop="1" x14ac:dyDescent="0.3">
      <c r="A4915" s="562"/>
      <c r="B4915" s="562"/>
      <c r="C4915" s="562"/>
      <c r="D4915" s="562"/>
      <c r="E4915" s="562"/>
      <c r="F4915" s="562"/>
      <c r="G4915" s="562"/>
      <c r="H4915" s="562"/>
      <c r="I4915" s="562"/>
      <c r="J4915" s="562"/>
    </row>
    <row r="4916" spans="1:10" x14ac:dyDescent="0.3">
      <c r="A4916" s="553"/>
      <c r="B4916" s="554" t="s">
        <v>4</v>
      </c>
      <c r="C4916" s="553" t="s">
        <v>5</v>
      </c>
      <c r="D4916" s="553" t="s">
        <v>6</v>
      </c>
      <c r="E4916" s="691" t="s">
        <v>427</v>
      </c>
      <c r="F4916" s="691"/>
      <c r="G4916" s="555" t="s">
        <v>7</v>
      </c>
      <c r="H4916" s="554" t="s">
        <v>8</v>
      </c>
      <c r="I4916" s="554" t="s">
        <v>9</v>
      </c>
      <c r="J4916" s="554" t="s">
        <v>11</v>
      </c>
    </row>
    <row r="4917" spans="1:10" ht="25.5" customHeight="1" x14ac:dyDescent="0.3">
      <c r="A4917" s="607" t="s">
        <v>428</v>
      </c>
      <c r="B4917" s="608" t="s">
        <v>1613</v>
      </c>
      <c r="C4917" s="607" t="s">
        <v>19</v>
      </c>
      <c r="D4917" s="607" t="s">
        <v>1614</v>
      </c>
      <c r="E4917" s="690" t="s">
        <v>461</v>
      </c>
      <c r="F4917" s="690"/>
      <c r="G4917" s="609" t="s">
        <v>102</v>
      </c>
      <c r="H4917" s="610">
        <v>1</v>
      </c>
      <c r="I4917" s="611">
        <v>48.8</v>
      </c>
      <c r="J4917" s="611">
        <v>48.8</v>
      </c>
    </row>
    <row r="4918" spans="1:10" s="89" customFormat="1" ht="38.25" customHeight="1" x14ac:dyDescent="0.3">
      <c r="A4918" s="547" t="s">
        <v>430</v>
      </c>
      <c r="B4918" s="548" t="s">
        <v>1960</v>
      </c>
      <c r="C4918" s="547" t="s">
        <v>19</v>
      </c>
      <c r="D4918" s="547" t="s">
        <v>1961</v>
      </c>
      <c r="E4918" s="688" t="s">
        <v>429</v>
      </c>
      <c r="F4918" s="688"/>
      <c r="G4918" s="549" t="s">
        <v>423</v>
      </c>
      <c r="H4918" s="550">
        <v>1</v>
      </c>
      <c r="I4918" s="551">
        <v>25.78</v>
      </c>
      <c r="J4918" s="551">
        <v>25.78</v>
      </c>
    </row>
    <row r="4919" spans="1:10" ht="38.25" customHeight="1" x14ac:dyDescent="0.3">
      <c r="A4919" s="547" t="s">
        <v>430</v>
      </c>
      <c r="B4919" s="548" t="s">
        <v>1992</v>
      </c>
      <c r="C4919" s="547" t="s">
        <v>19</v>
      </c>
      <c r="D4919" s="547" t="s">
        <v>1993</v>
      </c>
      <c r="E4919" s="688" t="s">
        <v>461</v>
      </c>
      <c r="F4919" s="688"/>
      <c r="G4919" s="549" t="s">
        <v>423</v>
      </c>
      <c r="H4919" s="550">
        <v>1</v>
      </c>
      <c r="I4919" s="551">
        <v>18.16</v>
      </c>
      <c r="J4919" s="551">
        <v>18.16</v>
      </c>
    </row>
    <row r="4920" spans="1:10" ht="26.25" customHeight="1" thickBot="1" x14ac:dyDescent="0.35">
      <c r="A4920" s="547" t="s">
        <v>430</v>
      </c>
      <c r="B4920" s="548" t="s">
        <v>1994</v>
      </c>
      <c r="C4920" s="547" t="s">
        <v>19</v>
      </c>
      <c r="D4920" s="547" t="s">
        <v>1995</v>
      </c>
      <c r="E4920" s="688" t="s">
        <v>461</v>
      </c>
      <c r="F4920" s="688"/>
      <c r="G4920" s="549" t="s">
        <v>423</v>
      </c>
      <c r="H4920" s="550">
        <v>1</v>
      </c>
      <c r="I4920" s="551">
        <v>4.8600000000000003</v>
      </c>
      <c r="J4920" s="551">
        <v>4.8600000000000003</v>
      </c>
    </row>
    <row r="4921" spans="1:10" ht="14.5" thickTop="1" x14ac:dyDescent="0.3">
      <c r="A4921" s="562"/>
      <c r="B4921" s="562"/>
      <c r="C4921" s="562"/>
      <c r="D4921" s="562"/>
      <c r="E4921" s="562"/>
      <c r="F4921" s="562"/>
      <c r="G4921" s="562"/>
      <c r="H4921" s="562"/>
      <c r="I4921" s="562"/>
      <c r="J4921" s="562"/>
    </row>
    <row r="4922" spans="1:10" s="89" customFormat="1" ht="38.25" customHeight="1" x14ac:dyDescent="0.3">
      <c r="A4922" s="553"/>
      <c r="B4922" s="554" t="s">
        <v>4</v>
      </c>
      <c r="C4922" s="553" t="s">
        <v>5</v>
      </c>
      <c r="D4922" s="553" t="s">
        <v>6</v>
      </c>
      <c r="E4922" s="691" t="s">
        <v>427</v>
      </c>
      <c r="F4922" s="691"/>
      <c r="G4922" s="555" t="s">
        <v>7</v>
      </c>
      <c r="H4922" s="554" t="s">
        <v>8</v>
      </c>
      <c r="I4922" s="554" t="s">
        <v>9</v>
      </c>
      <c r="J4922" s="554" t="s">
        <v>11</v>
      </c>
    </row>
    <row r="4923" spans="1:10" ht="38.25" customHeight="1" x14ac:dyDescent="0.3">
      <c r="A4923" s="607" t="s">
        <v>428</v>
      </c>
      <c r="B4923" s="608" t="s">
        <v>1615</v>
      </c>
      <c r="C4923" s="607" t="s">
        <v>19</v>
      </c>
      <c r="D4923" s="607" t="s">
        <v>1616</v>
      </c>
      <c r="E4923" s="690" t="s">
        <v>461</v>
      </c>
      <c r="F4923" s="690"/>
      <c r="G4923" s="609" t="s">
        <v>95</v>
      </c>
      <c r="H4923" s="610">
        <v>1</v>
      </c>
      <c r="I4923" s="611">
        <v>129.55000000000001</v>
      </c>
      <c r="J4923" s="611">
        <v>129.55000000000001</v>
      </c>
    </row>
    <row r="4924" spans="1:10" ht="14.25" customHeight="1" x14ac:dyDescent="0.3">
      <c r="A4924" s="547" t="s">
        <v>430</v>
      </c>
      <c r="B4924" s="548" t="s">
        <v>1960</v>
      </c>
      <c r="C4924" s="547" t="s">
        <v>19</v>
      </c>
      <c r="D4924" s="547" t="s">
        <v>1961</v>
      </c>
      <c r="E4924" s="688" t="s">
        <v>429</v>
      </c>
      <c r="F4924" s="688"/>
      <c r="G4924" s="549" t="s">
        <v>423</v>
      </c>
      <c r="H4924" s="550">
        <v>1</v>
      </c>
      <c r="I4924" s="551">
        <v>25.78</v>
      </c>
      <c r="J4924" s="551">
        <v>25.78</v>
      </c>
    </row>
    <row r="4925" spans="1:10" ht="25.5" customHeight="1" x14ac:dyDescent="0.3">
      <c r="A4925" s="547" t="s">
        <v>430</v>
      </c>
      <c r="B4925" s="548" t="s">
        <v>1992</v>
      </c>
      <c r="C4925" s="547" t="s">
        <v>19</v>
      </c>
      <c r="D4925" s="547" t="s">
        <v>1993</v>
      </c>
      <c r="E4925" s="688" t="s">
        <v>461</v>
      </c>
      <c r="F4925" s="688"/>
      <c r="G4925" s="549" t="s">
        <v>423</v>
      </c>
      <c r="H4925" s="550">
        <v>1</v>
      </c>
      <c r="I4925" s="551">
        <v>18.16</v>
      </c>
      <c r="J4925" s="551">
        <v>18.16</v>
      </c>
    </row>
    <row r="4926" spans="1:10" s="89" customFormat="1" ht="25.5" customHeight="1" x14ac:dyDescent="0.3">
      <c r="A4926" s="547" t="s">
        <v>430</v>
      </c>
      <c r="B4926" s="548" t="s">
        <v>1994</v>
      </c>
      <c r="C4926" s="547" t="s">
        <v>19</v>
      </c>
      <c r="D4926" s="547" t="s">
        <v>1995</v>
      </c>
      <c r="E4926" s="688" t="s">
        <v>461</v>
      </c>
      <c r="F4926" s="688"/>
      <c r="G4926" s="549" t="s">
        <v>423</v>
      </c>
      <c r="H4926" s="550">
        <v>1</v>
      </c>
      <c r="I4926" s="551">
        <v>4.8600000000000003</v>
      </c>
      <c r="J4926" s="551">
        <v>4.8600000000000003</v>
      </c>
    </row>
    <row r="4927" spans="1:10" ht="14.25" customHeight="1" x14ac:dyDescent="0.3">
      <c r="A4927" s="547" t="s">
        <v>430</v>
      </c>
      <c r="B4927" s="548" t="s">
        <v>1996</v>
      </c>
      <c r="C4927" s="547" t="s">
        <v>19</v>
      </c>
      <c r="D4927" s="547" t="s">
        <v>1997</v>
      </c>
      <c r="E4927" s="688" t="s">
        <v>461</v>
      </c>
      <c r="F4927" s="688"/>
      <c r="G4927" s="549" t="s">
        <v>423</v>
      </c>
      <c r="H4927" s="550">
        <v>1</v>
      </c>
      <c r="I4927" s="551">
        <v>19.87</v>
      </c>
      <c r="J4927" s="551">
        <v>19.87</v>
      </c>
    </row>
    <row r="4928" spans="1:10" ht="25.5" customHeight="1" thickBot="1" x14ac:dyDescent="0.35">
      <c r="A4928" s="547" t="s">
        <v>430</v>
      </c>
      <c r="B4928" s="548" t="s">
        <v>1998</v>
      </c>
      <c r="C4928" s="547" t="s">
        <v>19</v>
      </c>
      <c r="D4928" s="547" t="s">
        <v>1999</v>
      </c>
      <c r="E4928" s="688" t="s">
        <v>461</v>
      </c>
      <c r="F4928" s="688"/>
      <c r="G4928" s="549" t="s">
        <v>423</v>
      </c>
      <c r="H4928" s="550">
        <v>1</v>
      </c>
      <c r="I4928" s="551">
        <v>60.88</v>
      </c>
      <c r="J4928" s="551">
        <v>60.88</v>
      </c>
    </row>
    <row r="4929" spans="1:10" ht="26.25" customHeight="1" thickTop="1" x14ac:dyDescent="0.3">
      <c r="A4929" s="562"/>
      <c r="B4929" s="562"/>
      <c r="C4929" s="562"/>
      <c r="D4929" s="562"/>
      <c r="E4929" s="562"/>
      <c r="F4929" s="562"/>
      <c r="G4929" s="562"/>
      <c r="H4929" s="562"/>
      <c r="I4929" s="562"/>
      <c r="J4929" s="562"/>
    </row>
    <row r="4930" spans="1:10" ht="26.25" customHeight="1" x14ac:dyDescent="0.3">
      <c r="A4930" s="553"/>
      <c r="B4930" s="554" t="s">
        <v>4</v>
      </c>
      <c r="C4930" s="553" t="s">
        <v>5</v>
      </c>
      <c r="D4930" s="553" t="s">
        <v>6</v>
      </c>
      <c r="E4930" s="691" t="s">
        <v>427</v>
      </c>
      <c r="F4930" s="691"/>
      <c r="G4930" s="555" t="s">
        <v>7</v>
      </c>
      <c r="H4930" s="554" t="s">
        <v>8</v>
      </c>
      <c r="I4930" s="554" t="s">
        <v>9</v>
      </c>
      <c r="J4930" s="554" t="s">
        <v>11</v>
      </c>
    </row>
    <row r="4931" spans="1:10" ht="25.5" customHeight="1" x14ac:dyDescent="0.3">
      <c r="A4931" s="607" t="s">
        <v>428</v>
      </c>
      <c r="B4931" s="608" t="s">
        <v>1992</v>
      </c>
      <c r="C4931" s="607" t="s">
        <v>19</v>
      </c>
      <c r="D4931" s="607" t="s">
        <v>1993</v>
      </c>
      <c r="E4931" s="690" t="s">
        <v>461</v>
      </c>
      <c r="F4931" s="690"/>
      <c r="G4931" s="609" t="s">
        <v>423</v>
      </c>
      <c r="H4931" s="610">
        <v>1</v>
      </c>
      <c r="I4931" s="611">
        <v>18.16</v>
      </c>
      <c r="J4931" s="611">
        <v>18.16</v>
      </c>
    </row>
    <row r="4932" spans="1:10" s="89" customFormat="1" ht="25" x14ac:dyDescent="0.3">
      <c r="A4932" s="547" t="s">
        <v>433</v>
      </c>
      <c r="B4932" s="548" t="s">
        <v>2000</v>
      </c>
      <c r="C4932" s="547" t="s">
        <v>19</v>
      </c>
      <c r="D4932" s="547" t="s">
        <v>2001</v>
      </c>
      <c r="E4932" s="688" t="s">
        <v>442</v>
      </c>
      <c r="F4932" s="688"/>
      <c r="G4932" s="549" t="s">
        <v>81</v>
      </c>
      <c r="H4932" s="550">
        <v>5.3300000000000001E-5</v>
      </c>
      <c r="I4932" s="551">
        <v>274500</v>
      </c>
      <c r="J4932" s="551">
        <v>14.63</v>
      </c>
    </row>
    <row r="4933" spans="1:10" ht="25.5" customHeight="1" thickBot="1" x14ac:dyDescent="0.35">
      <c r="A4933" s="547" t="s">
        <v>433</v>
      </c>
      <c r="B4933" s="548" t="s">
        <v>2002</v>
      </c>
      <c r="C4933" s="547" t="s">
        <v>19</v>
      </c>
      <c r="D4933" s="547" t="s">
        <v>2003</v>
      </c>
      <c r="E4933" s="688" t="s">
        <v>442</v>
      </c>
      <c r="F4933" s="688"/>
      <c r="G4933" s="549" t="s">
        <v>81</v>
      </c>
      <c r="H4933" s="550">
        <v>5.3300000000000001E-5</v>
      </c>
      <c r="I4933" s="551">
        <v>66385.2</v>
      </c>
      <c r="J4933" s="551">
        <v>3.53</v>
      </c>
    </row>
    <row r="4934" spans="1:10" ht="25.5" customHeight="1" thickTop="1" x14ac:dyDescent="0.3">
      <c r="A4934" s="562"/>
      <c r="B4934" s="562"/>
      <c r="C4934" s="562"/>
      <c r="D4934" s="562"/>
      <c r="E4934" s="562"/>
      <c r="F4934" s="562"/>
      <c r="G4934" s="562"/>
      <c r="H4934" s="562"/>
      <c r="I4934" s="562"/>
      <c r="J4934" s="562"/>
    </row>
    <row r="4935" spans="1:10" ht="14.25" customHeight="1" x14ac:dyDescent="0.3">
      <c r="A4935" s="553"/>
      <c r="B4935" s="554" t="s">
        <v>4</v>
      </c>
      <c r="C4935" s="553" t="s">
        <v>5</v>
      </c>
      <c r="D4935" s="553" t="s">
        <v>6</v>
      </c>
      <c r="E4935" s="691" t="s">
        <v>427</v>
      </c>
      <c r="F4935" s="691"/>
      <c r="G4935" s="555" t="s">
        <v>7</v>
      </c>
      <c r="H4935" s="554" t="s">
        <v>8</v>
      </c>
      <c r="I4935" s="554" t="s">
        <v>9</v>
      </c>
      <c r="J4935" s="554" t="s">
        <v>11</v>
      </c>
    </row>
    <row r="4936" spans="1:10" ht="25.5" customHeight="1" x14ac:dyDescent="0.3">
      <c r="A4936" s="607" t="s">
        <v>428</v>
      </c>
      <c r="B4936" s="608" t="s">
        <v>1994</v>
      </c>
      <c r="C4936" s="607" t="s">
        <v>19</v>
      </c>
      <c r="D4936" s="607" t="s">
        <v>1995</v>
      </c>
      <c r="E4936" s="690" t="s">
        <v>461</v>
      </c>
      <c r="F4936" s="690"/>
      <c r="G4936" s="609" t="s">
        <v>423</v>
      </c>
      <c r="H4936" s="610">
        <v>1</v>
      </c>
      <c r="I4936" s="611">
        <v>4.8600000000000003</v>
      </c>
      <c r="J4936" s="611">
        <v>4.8600000000000003</v>
      </c>
    </row>
    <row r="4937" spans="1:10" ht="26.25" customHeight="1" x14ac:dyDescent="0.3">
      <c r="A4937" s="547" t="s">
        <v>433</v>
      </c>
      <c r="B4937" s="548" t="s">
        <v>2000</v>
      </c>
      <c r="C4937" s="547" t="s">
        <v>19</v>
      </c>
      <c r="D4937" s="547" t="s">
        <v>2001</v>
      </c>
      <c r="E4937" s="688" t="s">
        <v>442</v>
      </c>
      <c r="F4937" s="688"/>
      <c r="G4937" s="549" t="s">
        <v>81</v>
      </c>
      <c r="H4937" s="550">
        <v>1.43E-5</v>
      </c>
      <c r="I4937" s="551">
        <v>274500</v>
      </c>
      <c r="J4937" s="551">
        <v>3.92</v>
      </c>
    </row>
    <row r="4938" spans="1:10" ht="26.25" customHeight="1" thickBot="1" x14ac:dyDescent="0.35">
      <c r="A4938" s="547" t="s">
        <v>433</v>
      </c>
      <c r="B4938" s="548" t="s">
        <v>2002</v>
      </c>
      <c r="C4938" s="547" t="s">
        <v>19</v>
      </c>
      <c r="D4938" s="547" t="s">
        <v>2003</v>
      </c>
      <c r="E4938" s="688" t="s">
        <v>442</v>
      </c>
      <c r="F4938" s="688"/>
      <c r="G4938" s="549" t="s">
        <v>81</v>
      </c>
      <c r="H4938" s="550">
        <v>1.43E-5</v>
      </c>
      <c r="I4938" s="551">
        <v>66385.2</v>
      </c>
      <c r="J4938" s="551">
        <v>0.94</v>
      </c>
    </row>
    <row r="4939" spans="1:10" ht="14.5" thickTop="1" x14ac:dyDescent="0.3">
      <c r="A4939" s="562"/>
      <c r="B4939" s="562"/>
      <c r="C4939" s="562"/>
      <c r="D4939" s="562"/>
      <c r="E4939" s="562"/>
      <c r="F4939" s="562"/>
      <c r="G4939" s="562"/>
      <c r="H4939" s="562"/>
      <c r="I4939" s="562"/>
      <c r="J4939" s="562"/>
    </row>
    <row r="4940" spans="1:10" s="89" customFormat="1" ht="25.5" customHeight="1" x14ac:dyDescent="0.3">
      <c r="A4940" s="553"/>
      <c r="B4940" s="554" t="s">
        <v>4</v>
      </c>
      <c r="C4940" s="553" t="s">
        <v>5</v>
      </c>
      <c r="D4940" s="553" t="s">
        <v>6</v>
      </c>
      <c r="E4940" s="691" t="s">
        <v>427</v>
      </c>
      <c r="F4940" s="691"/>
      <c r="G4940" s="555" t="s">
        <v>7</v>
      </c>
      <c r="H4940" s="554" t="s">
        <v>8</v>
      </c>
      <c r="I4940" s="554" t="s">
        <v>9</v>
      </c>
      <c r="J4940" s="554" t="s">
        <v>11</v>
      </c>
    </row>
    <row r="4941" spans="1:10" ht="25.5" customHeight="1" x14ac:dyDescent="0.3">
      <c r="A4941" s="607" t="s">
        <v>428</v>
      </c>
      <c r="B4941" s="608" t="s">
        <v>1996</v>
      </c>
      <c r="C4941" s="607" t="s">
        <v>19</v>
      </c>
      <c r="D4941" s="607" t="s">
        <v>1997</v>
      </c>
      <c r="E4941" s="690" t="s">
        <v>461</v>
      </c>
      <c r="F4941" s="690"/>
      <c r="G4941" s="609" t="s">
        <v>423</v>
      </c>
      <c r="H4941" s="610">
        <v>1</v>
      </c>
      <c r="I4941" s="611">
        <v>19.87</v>
      </c>
      <c r="J4941" s="611">
        <v>19.87</v>
      </c>
    </row>
    <row r="4942" spans="1:10" ht="25" x14ac:dyDescent="0.3">
      <c r="A4942" s="547" t="s">
        <v>433</v>
      </c>
      <c r="B4942" s="548" t="s">
        <v>2000</v>
      </c>
      <c r="C4942" s="547" t="s">
        <v>19</v>
      </c>
      <c r="D4942" s="547" t="s">
        <v>2001</v>
      </c>
      <c r="E4942" s="688" t="s">
        <v>442</v>
      </c>
      <c r="F4942" s="688"/>
      <c r="G4942" s="549" t="s">
        <v>81</v>
      </c>
      <c r="H4942" s="550">
        <v>5.8300000000000001E-5</v>
      </c>
      <c r="I4942" s="551">
        <v>274500</v>
      </c>
      <c r="J4942" s="551">
        <v>16</v>
      </c>
    </row>
    <row r="4943" spans="1:10" ht="25.5" thickBot="1" x14ac:dyDescent="0.35">
      <c r="A4943" s="547" t="s">
        <v>433</v>
      </c>
      <c r="B4943" s="548" t="s">
        <v>2002</v>
      </c>
      <c r="C4943" s="547" t="s">
        <v>19</v>
      </c>
      <c r="D4943" s="547" t="s">
        <v>2003</v>
      </c>
      <c r="E4943" s="688" t="s">
        <v>442</v>
      </c>
      <c r="F4943" s="688"/>
      <c r="G4943" s="549" t="s">
        <v>81</v>
      </c>
      <c r="H4943" s="550">
        <v>5.8300000000000001E-5</v>
      </c>
      <c r="I4943" s="551">
        <v>66385.2</v>
      </c>
      <c r="J4943" s="551">
        <v>3.87</v>
      </c>
    </row>
    <row r="4944" spans="1:10" s="89" customFormat="1" ht="25.5" customHeight="1" thickTop="1" x14ac:dyDescent="0.3">
      <c r="A4944" s="562"/>
      <c r="B4944" s="562"/>
      <c r="C4944" s="562"/>
      <c r="D4944" s="562"/>
      <c r="E4944" s="562"/>
      <c r="F4944" s="562"/>
      <c r="G4944" s="562"/>
      <c r="H4944" s="562"/>
      <c r="I4944" s="562"/>
      <c r="J4944" s="562"/>
    </row>
    <row r="4945" spans="1:10" ht="25.5" customHeight="1" x14ac:dyDescent="0.3">
      <c r="A4945" s="553"/>
      <c r="B4945" s="554" t="s">
        <v>4</v>
      </c>
      <c r="C4945" s="553" t="s">
        <v>5</v>
      </c>
      <c r="D4945" s="553" t="s">
        <v>6</v>
      </c>
      <c r="E4945" s="691" t="s">
        <v>427</v>
      </c>
      <c r="F4945" s="691"/>
      <c r="G4945" s="555" t="s">
        <v>7</v>
      </c>
      <c r="H4945" s="554" t="s">
        <v>8</v>
      </c>
      <c r="I4945" s="554" t="s">
        <v>9</v>
      </c>
      <c r="J4945" s="554" t="s">
        <v>11</v>
      </c>
    </row>
    <row r="4946" spans="1:10" ht="38.25" customHeight="1" x14ac:dyDescent="0.3">
      <c r="A4946" s="607" t="s">
        <v>428</v>
      </c>
      <c r="B4946" s="608" t="s">
        <v>1998</v>
      </c>
      <c r="C4946" s="607" t="s">
        <v>19</v>
      </c>
      <c r="D4946" s="607" t="s">
        <v>1999</v>
      </c>
      <c r="E4946" s="690" t="s">
        <v>461</v>
      </c>
      <c r="F4946" s="690"/>
      <c r="G4946" s="609" t="s">
        <v>423</v>
      </c>
      <c r="H4946" s="610">
        <v>1</v>
      </c>
      <c r="I4946" s="611">
        <v>60.88</v>
      </c>
      <c r="J4946" s="611">
        <v>60.88</v>
      </c>
    </row>
    <row r="4947" spans="1:10" ht="14.5" thickBot="1" x14ac:dyDescent="0.35">
      <c r="A4947" s="547" t="s">
        <v>433</v>
      </c>
      <c r="B4947" s="548" t="s">
        <v>3859</v>
      </c>
      <c r="C4947" s="547" t="s">
        <v>115</v>
      </c>
      <c r="D4947" s="547" t="s">
        <v>3860</v>
      </c>
      <c r="E4947" s="688" t="s">
        <v>438</v>
      </c>
      <c r="F4947" s="688"/>
      <c r="G4947" s="549" t="s">
        <v>835</v>
      </c>
      <c r="H4947" s="550">
        <v>11.26</v>
      </c>
      <c r="I4947" s="551">
        <v>5.4069000000000003</v>
      </c>
      <c r="J4947" s="551">
        <v>60.88</v>
      </c>
    </row>
    <row r="4948" spans="1:10" s="89" customFormat="1" ht="25.5" customHeight="1" thickTop="1" x14ac:dyDescent="0.3">
      <c r="A4948" s="562"/>
      <c r="B4948" s="562"/>
      <c r="C4948" s="562"/>
      <c r="D4948" s="562"/>
      <c r="E4948" s="562"/>
      <c r="F4948" s="562"/>
      <c r="G4948" s="562"/>
      <c r="H4948" s="562"/>
      <c r="I4948" s="562"/>
      <c r="J4948" s="562"/>
    </row>
    <row r="4949" spans="1:10" ht="25.5" customHeight="1" x14ac:dyDescent="0.3">
      <c r="A4949" s="553"/>
      <c r="B4949" s="554" t="s">
        <v>4</v>
      </c>
      <c r="C4949" s="553" t="s">
        <v>5</v>
      </c>
      <c r="D4949" s="553" t="s">
        <v>6</v>
      </c>
      <c r="E4949" s="691" t="s">
        <v>427</v>
      </c>
      <c r="F4949" s="691"/>
      <c r="G4949" s="555" t="s">
        <v>7</v>
      </c>
      <c r="H4949" s="554" t="s">
        <v>8</v>
      </c>
      <c r="I4949" s="554" t="s">
        <v>9</v>
      </c>
      <c r="J4949" s="554" t="s">
        <v>11</v>
      </c>
    </row>
    <row r="4950" spans="1:10" ht="25.5" customHeight="1" x14ac:dyDescent="0.3">
      <c r="A4950" s="607" t="s">
        <v>428</v>
      </c>
      <c r="B4950" s="608" t="s">
        <v>967</v>
      </c>
      <c r="C4950" s="607" t="s">
        <v>19</v>
      </c>
      <c r="D4950" s="607" t="s">
        <v>968</v>
      </c>
      <c r="E4950" s="690" t="s">
        <v>461</v>
      </c>
      <c r="F4950" s="690"/>
      <c r="G4950" s="609" t="s">
        <v>102</v>
      </c>
      <c r="H4950" s="610">
        <v>1</v>
      </c>
      <c r="I4950" s="611">
        <v>44.33</v>
      </c>
      <c r="J4950" s="611">
        <v>44.33</v>
      </c>
    </row>
    <row r="4951" spans="1:10" ht="14.25" customHeight="1" x14ac:dyDescent="0.3">
      <c r="A4951" s="547" t="s">
        <v>430</v>
      </c>
      <c r="B4951" s="548" t="s">
        <v>1960</v>
      </c>
      <c r="C4951" s="547" t="s">
        <v>19</v>
      </c>
      <c r="D4951" s="547" t="s">
        <v>1961</v>
      </c>
      <c r="E4951" s="688" t="s">
        <v>429</v>
      </c>
      <c r="F4951" s="688"/>
      <c r="G4951" s="549" t="s">
        <v>423</v>
      </c>
      <c r="H4951" s="550">
        <v>1</v>
      </c>
      <c r="I4951" s="551">
        <v>25.78</v>
      </c>
      <c r="J4951" s="551">
        <v>25.78</v>
      </c>
    </row>
    <row r="4952" spans="1:10" s="89" customFormat="1" ht="25.5" customHeight="1" x14ac:dyDescent="0.3">
      <c r="A4952" s="547" t="s">
        <v>430</v>
      </c>
      <c r="B4952" s="548" t="s">
        <v>2004</v>
      </c>
      <c r="C4952" s="547" t="s">
        <v>19</v>
      </c>
      <c r="D4952" s="547" t="s">
        <v>2005</v>
      </c>
      <c r="E4952" s="688" t="s">
        <v>461</v>
      </c>
      <c r="F4952" s="688"/>
      <c r="G4952" s="549" t="s">
        <v>423</v>
      </c>
      <c r="H4952" s="550">
        <v>1</v>
      </c>
      <c r="I4952" s="551">
        <v>14.63</v>
      </c>
      <c r="J4952" s="551">
        <v>14.63</v>
      </c>
    </row>
    <row r="4953" spans="1:10" ht="25.5" customHeight="1" thickBot="1" x14ac:dyDescent="0.35">
      <c r="A4953" s="547" t="s">
        <v>430</v>
      </c>
      <c r="B4953" s="548" t="s">
        <v>2006</v>
      </c>
      <c r="C4953" s="547" t="s">
        <v>19</v>
      </c>
      <c r="D4953" s="547" t="s">
        <v>2007</v>
      </c>
      <c r="E4953" s="688" t="s">
        <v>461</v>
      </c>
      <c r="F4953" s="688"/>
      <c r="G4953" s="549" t="s">
        <v>423</v>
      </c>
      <c r="H4953" s="550">
        <v>1</v>
      </c>
      <c r="I4953" s="551">
        <v>3.92</v>
      </c>
      <c r="J4953" s="551">
        <v>3.92</v>
      </c>
    </row>
    <row r="4954" spans="1:10" ht="14.5" thickTop="1" x14ac:dyDescent="0.3">
      <c r="A4954" s="562"/>
      <c r="B4954" s="562"/>
      <c r="C4954" s="562"/>
      <c r="D4954" s="562"/>
      <c r="E4954" s="562"/>
      <c r="F4954" s="562"/>
      <c r="G4954" s="562"/>
      <c r="H4954" s="562"/>
      <c r="I4954" s="562"/>
      <c r="J4954" s="562"/>
    </row>
    <row r="4955" spans="1:10" x14ac:dyDescent="0.3">
      <c r="A4955" s="553"/>
      <c r="B4955" s="554" t="s">
        <v>4</v>
      </c>
      <c r="C4955" s="553" t="s">
        <v>5</v>
      </c>
      <c r="D4955" s="553" t="s">
        <v>6</v>
      </c>
      <c r="E4955" s="691" t="s">
        <v>427</v>
      </c>
      <c r="F4955" s="691"/>
      <c r="G4955" s="555" t="s">
        <v>7</v>
      </c>
      <c r="H4955" s="554" t="s">
        <v>8</v>
      </c>
      <c r="I4955" s="554" t="s">
        <v>9</v>
      </c>
      <c r="J4955" s="554" t="s">
        <v>11</v>
      </c>
    </row>
    <row r="4956" spans="1:10" s="89" customFormat="1" ht="25.5" customHeight="1" x14ac:dyDescent="0.3">
      <c r="A4956" s="607" t="s">
        <v>428</v>
      </c>
      <c r="B4956" s="608" t="s">
        <v>965</v>
      </c>
      <c r="C4956" s="607" t="s">
        <v>19</v>
      </c>
      <c r="D4956" s="607" t="s">
        <v>966</v>
      </c>
      <c r="E4956" s="690" t="s">
        <v>461</v>
      </c>
      <c r="F4956" s="690"/>
      <c r="G4956" s="609" t="s">
        <v>95</v>
      </c>
      <c r="H4956" s="610">
        <v>1</v>
      </c>
      <c r="I4956" s="611">
        <v>121.21</v>
      </c>
      <c r="J4956" s="611">
        <v>121.21</v>
      </c>
    </row>
    <row r="4957" spans="1:10" ht="14.25" customHeight="1" x14ac:dyDescent="0.3">
      <c r="A4957" s="547" t="s">
        <v>430</v>
      </c>
      <c r="B4957" s="548" t="s">
        <v>2008</v>
      </c>
      <c r="C4957" s="547" t="s">
        <v>19</v>
      </c>
      <c r="D4957" s="547" t="s">
        <v>2009</v>
      </c>
      <c r="E4957" s="688" t="s">
        <v>461</v>
      </c>
      <c r="F4957" s="688"/>
      <c r="G4957" s="549" t="s">
        <v>423</v>
      </c>
      <c r="H4957" s="550">
        <v>1</v>
      </c>
      <c r="I4957" s="551">
        <v>16</v>
      </c>
      <c r="J4957" s="551">
        <v>16</v>
      </c>
    </row>
    <row r="4958" spans="1:10" ht="25.5" customHeight="1" x14ac:dyDescent="0.3">
      <c r="A4958" s="547" t="s">
        <v>430</v>
      </c>
      <c r="B4958" s="548" t="s">
        <v>2010</v>
      </c>
      <c r="C4958" s="547" t="s">
        <v>19</v>
      </c>
      <c r="D4958" s="547" t="s">
        <v>2011</v>
      </c>
      <c r="E4958" s="688" t="s">
        <v>461</v>
      </c>
      <c r="F4958" s="688"/>
      <c r="G4958" s="549" t="s">
        <v>423</v>
      </c>
      <c r="H4958" s="550">
        <v>1</v>
      </c>
      <c r="I4958" s="551">
        <v>60.88</v>
      </c>
      <c r="J4958" s="551">
        <v>60.88</v>
      </c>
    </row>
    <row r="4959" spans="1:10" ht="26.25" customHeight="1" x14ac:dyDescent="0.3">
      <c r="A4959" s="547" t="s">
        <v>430</v>
      </c>
      <c r="B4959" s="548" t="s">
        <v>1960</v>
      </c>
      <c r="C4959" s="547" t="s">
        <v>19</v>
      </c>
      <c r="D4959" s="547" t="s">
        <v>1961</v>
      </c>
      <c r="E4959" s="688" t="s">
        <v>429</v>
      </c>
      <c r="F4959" s="688"/>
      <c r="G4959" s="549" t="s">
        <v>423</v>
      </c>
      <c r="H4959" s="550">
        <v>1</v>
      </c>
      <c r="I4959" s="551">
        <v>25.78</v>
      </c>
      <c r="J4959" s="551">
        <v>25.78</v>
      </c>
    </row>
    <row r="4960" spans="1:10" ht="26.25" customHeight="1" x14ac:dyDescent="0.3">
      <c r="A4960" s="547" t="s">
        <v>430</v>
      </c>
      <c r="B4960" s="548" t="s">
        <v>2004</v>
      </c>
      <c r="C4960" s="547" t="s">
        <v>19</v>
      </c>
      <c r="D4960" s="547" t="s">
        <v>2005</v>
      </c>
      <c r="E4960" s="688" t="s">
        <v>461</v>
      </c>
      <c r="F4960" s="688"/>
      <c r="G4960" s="549" t="s">
        <v>423</v>
      </c>
      <c r="H4960" s="550">
        <v>1</v>
      </c>
      <c r="I4960" s="551">
        <v>14.63</v>
      </c>
      <c r="J4960" s="551">
        <v>14.63</v>
      </c>
    </row>
    <row r="4961" spans="1:10" ht="26.25" customHeight="1" thickBot="1" x14ac:dyDescent="0.35">
      <c r="A4961" s="547" t="s">
        <v>430</v>
      </c>
      <c r="B4961" s="548" t="s">
        <v>2006</v>
      </c>
      <c r="C4961" s="547" t="s">
        <v>19</v>
      </c>
      <c r="D4961" s="547" t="s">
        <v>2007</v>
      </c>
      <c r="E4961" s="688" t="s">
        <v>461</v>
      </c>
      <c r="F4961" s="688"/>
      <c r="G4961" s="549" t="s">
        <v>423</v>
      </c>
      <c r="H4961" s="550">
        <v>1</v>
      </c>
      <c r="I4961" s="551">
        <v>3.92</v>
      </c>
      <c r="J4961" s="551">
        <v>3.92</v>
      </c>
    </row>
    <row r="4962" spans="1:10" s="89" customFormat="1" ht="25.5" customHeight="1" thickTop="1" x14ac:dyDescent="0.3">
      <c r="A4962" s="562"/>
      <c r="B4962" s="562"/>
      <c r="C4962" s="562"/>
      <c r="D4962" s="562"/>
      <c r="E4962" s="562"/>
      <c r="F4962" s="562"/>
      <c r="G4962" s="562"/>
      <c r="H4962" s="562"/>
      <c r="I4962" s="562"/>
      <c r="J4962" s="562"/>
    </row>
    <row r="4963" spans="1:10" ht="14.25" customHeight="1" x14ac:dyDescent="0.3">
      <c r="A4963" s="553"/>
      <c r="B4963" s="554" t="s">
        <v>4</v>
      </c>
      <c r="C4963" s="553" t="s">
        <v>5</v>
      </c>
      <c r="D4963" s="553" t="s">
        <v>6</v>
      </c>
      <c r="E4963" s="691" t="s">
        <v>427</v>
      </c>
      <c r="F4963" s="691"/>
      <c r="G4963" s="555" t="s">
        <v>7</v>
      </c>
      <c r="H4963" s="554" t="s">
        <v>8</v>
      </c>
      <c r="I4963" s="554" t="s">
        <v>9</v>
      </c>
      <c r="J4963" s="554" t="s">
        <v>11</v>
      </c>
    </row>
    <row r="4964" spans="1:10" ht="25.5" customHeight="1" x14ac:dyDescent="0.3">
      <c r="A4964" s="607" t="s">
        <v>428</v>
      </c>
      <c r="B4964" s="608" t="s">
        <v>2004</v>
      </c>
      <c r="C4964" s="607" t="s">
        <v>19</v>
      </c>
      <c r="D4964" s="607" t="s">
        <v>2005</v>
      </c>
      <c r="E4964" s="690" t="s">
        <v>461</v>
      </c>
      <c r="F4964" s="690"/>
      <c r="G4964" s="609" t="s">
        <v>423</v>
      </c>
      <c r="H4964" s="610">
        <v>1</v>
      </c>
      <c r="I4964" s="611">
        <v>14.63</v>
      </c>
      <c r="J4964" s="611">
        <v>14.63</v>
      </c>
    </row>
    <row r="4965" spans="1:10" ht="25.5" customHeight="1" thickBot="1" x14ac:dyDescent="0.35">
      <c r="A4965" s="547" t="s">
        <v>433</v>
      </c>
      <c r="B4965" s="548" t="s">
        <v>2000</v>
      </c>
      <c r="C4965" s="547" t="s">
        <v>19</v>
      </c>
      <c r="D4965" s="547" t="s">
        <v>2001</v>
      </c>
      <c r="E4965" s="688" t="s">
        <v>442</v>
      </c>
      <c r="F4965" s="688"/>
      <c r="G4965" s="549" t="s">
        <v>81</v>
      </c>
      <c r="H4965" s="550">
        <v>5.3300000000000001E-5</v>
      </c>
      <c r="I4965" s="551">
        <v>274500</v>
      </c>
      <c r="J4965" s="551">
        <v>14.63</v>
      </c>
    </row>
    <row r="4966" spans="1:10" ht="25.5" customHeight="1" thickTop="1" x14ac:dyDescent="0.3">
      <c r="A4966" s="562"/>
      <c r="B4966" s="562"/>
      <c r="C4966" s="562"/>
      <c r="D4966" s="562"/>
      <c r="E4966" s="562"/>
      <c r="F4966" s="562"/>
      <c r="G4966" s="562"/>
      <c r="H4966" s="562"/>
      <c r="I4966" s="562"/>
      <c r="J4966" s="562"/>
    </row>
    <row r="4967" spans="1:10" ht="39" customHeight="1" x14ac:dyDescent="0.3">
      <c r="A4967" s="553"/>
      <c r="B4967" s="554" t="s">
        <v>4</v>
      </c>
      <c r="C4967" s="553" t="s">
        <v>5</v>
      </c>
      <c r="D4967" s="553" t="s">
        <v>6</v>
      </c>
      <c r="E4967" s="691" t="s">
        <v>427</v>
      </c>
      <c r="F4967" s="691"/>
      <c r="G4967" s="555" t="s">
        <v>7</v>
      </c>
      <c r="H4967" s="554" t="s">
        <v>8</v>
      </c>
      <c r="I4967" s="554" t="s">
        <v>9</v>
      </c>
      <c r="J4967" s="554" t="s">
        <v>11</v>
      </c>
    </row>
    <row r="4968" spans="1:10" ht="39" customHeight="1" x14ac:dyDescent="0.3">
      <c r="A4968" s="607" t="s">
        <v>428</v>
      </c>
      <c r="B4968" s="608" t="s">
        <v>2006</v>
      </c>
      <c r="C4968" s="607" t="s">
        <v>19</v>
      </c>
      <c r="D4968" s="607" t="s">
        <v>2007</v>
      </c>
      <c r="E4968" s="690" t="s">
        <v>461</v>
      </c>
      <c r="F4968" s="690"/>
      <c r="G4968" s="609" t="s">
        <v>423</v>
      </c>
      <c r="H4968" s="610">
        <v>1</v>
      </c>
      <c r="I4968" s="611">
        <v>3.92</v>
      </c>
      <c r="J4968" s="611">
        <v>3.92</v>
      </c>
    </row>
    <row r="4969" spans="1:10" ht="25.5" thickBot="1" x14ac:dyDescent="0.35">
      <c r="A4969" s="547" t="s">
        <v>433</v>
      </c>
      <c r="B4969" s="548" t="s">
        <v>2000</v>
      </c>
      <c r="C4969" s="547" t="s">
        <v>19</v>
      </c>
      <c r="D4969" s="547" t="s">
        <v>2001</v>
      </c>
      <c r="E4969" s="688" t="s">
        <v>442</v>
      </c>
      <c r="F4969" s="688"/>
      <c r="G4969" s="549" t="s">
        <v>81</v>
      </c>
      <c r="H4969" s="550">
        <v>1.43E-5</v>
      </c>
      <c r="I4969" s="551">
        <v>274500</v>
      </c>
      <c r="J4969" s="551">
        <v>3.92</v>
      </c>
    </row>
    <row r="4970" spans="1:10" s="89" customFormat="1" ht="25.5" customHeight="1" thickTop="1" x14ac:dyDescent="0.3">
      <c r="A4970" s="562"/>
      <c r="B4970" s="562"/>
      <c r="C4970" s="562"/>
      <c r="D4970" s="562"/>
      <c r="E4970" s="562"/>
      <c r="F4970" s="562"/>
      <c r="G4970" s="562"/>
      <c r="H4970" s="562"/>
      <c r="I4970" s="562"/>
      <c r="J4970" s="562"/>
    </row>
    <row r="4971" spans="1:10" ht="25.5" customHeight="1" x14ac:dyDescent="0.3">
      <c r="A4971" s="553"/>
      <c r="B4971" s="554" t="s">
        <v>4</v>
      </c>
      <c r="C4971" s="553" t="s">
        <v>5</v>
      </c>
      <c r="D4971" s="553" t="s">
        <v>6</v>
      </c>
      <c r="E4971" s="691" t="s">
        <v>427</v>
      </c>
      <c r="F4971" s="691"/>
      <c r="G4971" s="555" t="s">
        <v>7</v>
      </c>
      <c r="H4971" s="554" t="s">
        <v>8</v>
      </c>
      <c r="I4971" s="554" t="s">
        <v>9</v>
      </c>
      <c r="J4971" s="554" t="s">
        <v>11</v>
      </c>
    </row>
    <row r="4972" spans="1:10" ht="25.5" customHeight="1" x14ac:dyDescent="0.3">
      <c r="A4972" s="607" t="s">
        <v>428</v>
      </c>
      <c r="B4972" s="608" t="s">
        <v>2008</v>
      </c>
      <c r="C4972" s="607" t="s">
        <v>19</v>
      </c>
      <c r="D4972" s="607" t="s">
        <v>2009</v>
      </c>
      <c r="E4972" s="690" t="s">
        <v>461</v>
      </c>
      <c r="F4972" s="690"/>
      <c r="G4972" s="609" t="s">
        <v>423</v>
      </c>
      <c r="H4972" s="610">
        <v>1</v>
      </c>
      <c r="I4972" s="611">
        <v>16</v>
      </c>
      <c r="J4972" s="611">
        <v>16</v>
      </c>
    </row>
    <row r="4973" spans="1:10" ht="25.5" thickBot="1" x14ac:dyDescent="0.35">
      <c r="A4973" s="547" t="s">
        <v>433</v>
      </c>
      <c r="B4973" s="548" t="s">
        <v>2000</v>
      </c>
      <c r="C4973" s="547" t="s">
        <v>19</v>
      </c>
      <c r="D4973" s="547" t="s">
        <v>2001</v>
      </c>
      <c r="E4973" s="688" t="s">
        <v>442</v>
      </c>
      <c r="F4973" s="688"/>
      <c r="G4973" s="549" t="s">
        <v>81</v>
      </c>
      <c r="H4973" s="550">
        <v>5.8300000000000001E-5</v>
      </c>
      <c r="I4973" s="551">
        <v>274500</v>
      </c>
      <c r="J4973" s="551">
        <v>16</v>
      </c>
    </row>
    <row r="4974" spans="1:10" ht="14.5" thickTop="1" x14ac:dyDescent="0.3">
      <c r="A4974" s="562"/>
      <c r="B4974" s="562"/>
      <c r="C4974" s="562"/>
      <c r="D4974" s="562"/>
      <c r="E4974" s="562"/>
      <c r="F4974" s="562"/>
      <c r="G4974" s="562"/>
      <c r="H4974" s="562"/>
      <c r="I4974" s="562"/>
      <c r="J4974" s="562"/>
    </row>
    <row r="4975" spans="1:10" s="89" customFormat="1" ht="25.5" customHeight="1" x14ac:dyDescent="0.3">
      <c r="A4975" s="553"/>
      <c r="B4975" s="554" t="s">
        <v>4</v>
      </c>
      <c r="C4975" s="553" t="s">
        <v>5</v>
      </c>
      <c r="D4975" s="553" t="s">
        <v>6</v>
      </c>
      <c r="E4975" s="691" t="s">
        <v>427</v>
      </c>
      <c r="F4975" s="691"/>
      <c r="G4975" s="555" t="s">
        <v>7</v>
      </c>
      <c r="H4975" s="554" t="s">
        <v>8</v>
      </c>
      <c r="I4975" s="554" t="s">
        <v>9</v>
      </c>
      <c r="J4975" s="554" t="s">
        <v>11</v>
      </c>
    </row>
    <row r="4976" spans="1:10" ht="25.5" customHeight="1" x14ac:dyDescent="0.3">
      <c r="A4976" s="607" t="s">
        <v>428</v>
      </c>
      <c r="B4976" s="608" t="s">
        <v>2010</v>
      </c>
      <c r="C4976" s="607" t="s">
        <v>19</v>
      </c>
      <c r="D4976" s="607" t="s">
        <v>2011</v>
      </c>
      <c r="E4976" s="690" t="s">
        <v>461</v>
      </c>
      <c r="F4976" s="690"/>
      <c r="G4976" s="609" t="s">
        <v>423</v>
      </c>
      <c r="H4976" s="610">
        <v>1</v>
      </c>
      <c r="I4976" s="611">
        <v>60.88</v>
      </c>
      <c r="J4976" s="611">
        <v>60.88</v>
      </c>
    </row>
    <row r="4977" spans="1:10" ht="14.5" thickBot="1" x14ac:dyDescent="0.35">
      <c r="A4977" s="547" t="s">
        <v>433</v>
      </c>
      <c r="B4977" s="548" t="s">
        <v>3859</v>
      </c>
      <c r="C4977" s="547" t="s">
        <v>115</v>
      </c>
      <c r="D4977" s="547" t="s">
        <v>3860</v>
      </c>
      <c r="E4977" s="688" t="s">
        <v>438</v>
      </c>
      <c r="F4977" s="688"/>
      <c r="G4977" s="549" t="s">
        <v>835</v>
      </c>
      <c r="H4977" s="550">
        <v>11.26</v>
      </c>
      <c r="I4977" s="551">
        <v>5.4069000000000003</v>
      </c>
      <c r="J4977" s="551">
        <v>60.88</v>
      </c>
    </row>
    <row r="4978" spans="1:10" ht="14.5" thickTop="1" x14ac:dyDescent="0.3">
      <c r="A4978" s="562"/>
      <c r="B4978" s="562"/>
      <c r="C4978" s="562"/>
      <c r="D4978" s="562"/>
      <c r="E4978" s="562"/>
      <c r="F4978" s="562"/>
      <c r="G4978" s="562"/>
      <c r="H4978" s="562"/>
      <c r="I4978" s="562"/>
      <c r="J4978" s="562"/>
    </row>
    <row r="4979" spans="1:10" x14ac:dyDescent="0.3">
      <c r="A4979" s="553"/>
      <c r="B4979" s="554" t="s">
        <v>4</v>
      </c>
      <c r="C4979" s="553" t="s">
        <v>5</v>
      </c>
      <c r="D4979" s="553" t="s">
        <v>6</v>
      </c>
      <c r="E4979" s="691" t="s">
        <v>427</v>
      </c>
      <c r="F4979" s="691"/>
      <c r="G4979" s="555" t="s">
        <v>7</v>
      </c>
      <c r="H4979" s="554" t="s">
        <v>8</v>
      </c>
      <c r="I4979" s="554" t="s">
        <v>9</v>
      </c>
      <c r="J4979" s="554" t="s">
        <v>11</v>
      </c>
    </row>
    <row r="4980" spans="1:10" s="89" customFormat="1" x14ac:dyDescent="0.3">
      <c r="A4980" s="607" t="s">
        <v>428</v>
      </c>
      <c r="B4980" s="608" t="s">
        <v>1960</v>
      </c>
      <c r="C4980" s="607" t="s">
        <v>19</v>
      </c>
      <c r="D4980" s="607" t="s">
        <v>1961</v>
      </c>
      <c r="E4980" s="690" t="s">
        <v>429</v>
      </c>
      <c r="F4980" s="690"/>
      <c r="G4980" s="609" t="s">
        <v>423</v>
      </c>
      <c r="H4980" s="610">
        <v>1</v>
      </c>
      <c r="I4980" s="611">
        <v>25.78</v>
      </c>
      <c r="J4980" s="611">
        <v>25.78</v>
      </c>
    </row>
    <row r="4981" spans="1:10" ht="25.5" customHeight="1" x14ac:dyDescent="0.3">
      <c r="A4981" s="547" t="s">
        <v>430</v>
      </c>
      <c r="B4981" s="548" t="s">
        <v>1538</v>
      </c>
      <c r="C4981" s="547" t="s">
        <v>19</v>
      </c>
      <c r="D4981" s="547" t="s">
        <v>1539</v>
      </c>
      <c r="E4981" s="688" t="s">
        <v>429</v>
      </c>
      <c r="F4981" s="688"/>
      <c r="G4981" s="549" t="s">
        <v>423</v>
      </c>
      <c r="H4981" s="550">
        <v>1</v>
      </c>
      <c r="I4981" s="551">
        <v>0.23</v>
      </c>
      <c r="J4981" s="551">
        <v>0.23</v>
      </c>
    </row>
    <row r="4982" spans="1:10" ht="25" x14ac:dyDescent="0.3">
      <c r="A4982" s="547" t="s">
        <v>433</v>
      </c>
      <c r="B4982" s="548" t="s">
        <v>1490</v>
      </c>
      <c r="C4982" s="547" t="s">
        <v>19</v>
      </c>
      <c r="D4982" s="547" t="s">
        <v>3700</v>
      </c>
      <c r="E4982" s="688" t="s">
        <v>436</v>
      </c>
      <c r="F4982" s="688"/>
      <c r="G4982" s="549" t="s">
        <v>423</v>
      </c>
      <c r="H4982" s="550">
        <v>1</v>
      </c>
      <c r="I4982" s="551">
        <v>18</v>
      </c>
      <c r="J4982" s="551">
        <v>18</v>
      </c>
    </row>
    <row r="4983" spans="1:10" ht="25" x14ac:dyDescent="0.3">
      <c r="A4983" s="547" t="s">
        <v>433</v>
      </c>
      <c r="B4983" s="548" t="s">
        <v>1213</v>
      </c>
      <c r="C4983" s="547" t="s">
        <v>19</v>
      </c>
      <c r="D4983" s="547" t="s">
        <v>3592</v>
      </c>
      <c r="E4983" s="688" t="s">
        <v>862</v>
      </c>
      <c r="F4983" s="688"/>
      <c r="G4983" s="549" t="s">
        <v>423</v>
      </c>
      <c r="H4983" s="550">
        <v>1</v>
      </c>
      <c r="I4983" s="551">
        <v>3.8</v>
      </c>
      <c r="J4983" s="551">
        <v>3.8</v>
      </c>
    </row>
    <row r="4984" spans="1:10" ht="25" x14ac:dyDescent="0.3">
      <c r="A4984" s="547" t="s">
        <v>433</v>
      </c>
      <c r="B4984" s="548" t="s">
        <v>1214</v>
      </c>
      <c r="C4984" s="547" t="s">
        <v>19</v>
      </c>
      <c r="D4984" s="547" t="s">
        <v>3593</v>
      </c>
      <c r="E4984" s="688" t="s">
        <v>1215</v>
      </c>
      <c r="F4984" s="688"/>
      <c r="G4984" s="549" t="s">
        <v>423</v>
      </c>
      <c r="H4984" s="550">
        <v>1</v>
      </c>
      <c r="I4984" s="551">
        <v>1.5</v>
      </c>
      <c r="J4984" s="551">
        <v>1.5</v>
      </c>
    </row>
    <row r="4985" spans="1:10" s="89" customFormat="1" ht="38.25" customHeight="1" x14ac:dyDescent="0.3">
      <c r="A4985" s="547" t="s">
        <v>433</v>
      </c>
      <c r="B4985" s="548" t="s">
        <v>1216</v>
      </c>
      <c r="C4985" s="547" t="s">
        <v>19</v>
      </c>
      <c r="D4985" s="547" t="s">
        <v>3594</v>
      </c>
      <c r="E4985" s="688" t="s">
        <v>862</v>
      </c>
      <c r="F4985" s="688"/>
      <c r="G4985" s="549" t="s">
        <v>423</v>
      </c>
      <c r="H4985" s="550">
        <v>1</v>
      </c>
      <c r="I4985" s="551">
        <v>1.34</v>
      </c>
      <c r="J4985" s="551">
        <v>1.34</v>
      </c>
    </row>
    <row r="4986" spans="1:10" ht="38.25" customHeight="1" x14ac:dyDescent="0.3">
      <c r="A4986" s="547" t="s">
        <v>433</v>
      </c>
      <c r="B4986" s="548" t="s">
        <v>1217</v>
      </c>
      <c r="C4986" s="547" t="s">
        <v>19</v>
      </c>
      <c r="D4986" s="547" t="s">
        <v>3595</v>
      </c>
      <c r="E4986" s="688" t="s">
        <v>531</v>
      </c>
      <c r="F4986" s="688"/>
      <c r="G4986" s="549" t="s">
        <v>423</v>
      </c>
      <c r="H4986" s="550">
        <v>1</v>
      </c>
      <c r="I4986" s="551">
        <v>0.04</v>
      </c>
      <c r="J4986" s="551">
        <v>0.04</v>
      </c>
    </row>
    <row r="4987" spans="1:10" ht="25" x14ac:dyDescent="0.3">
      <c r="A4987" s="547" t="s">
        <v>433</v>
      </c>
      <c r="B4987" s="548" t="s">
        <v>1262</v>
      </c>
      <c r="C4987" s="547" t="s">
        <v>19</v>
      </c>
      <c r="D4987" s="547" t="s">
        <v>1263</v>
      </c>
      <c r="E4987" s="688" t="s">
        <v>442</v>
      </c>
      <c r="F4987" s="688"/>
      <c r="G4987" s="549" t="s">
        <v>423</v>
      </c>
      <c r="H4987" s="550">
        <v>1</v>
      </c>
      <c r="I4987" s="551">
        <v>0.01</v>
      </c>
      <c r="J4987" s="551">
        <v>0.01</v>
      </c>
    </row>
    <row r="4988" spans="1:10" ht="25.5" thickBot="1" x14ac:dyDescent="0.35">
      <c r="A4988" s="547" t="s">
        <v>433</v>
      </c>
      <c r="B4988" s="548" t="s">
        <v>1264</v>
      </c>
      <c r="C4988" s="547" t="s">
        <v>19</v>
      </c>
      <c r="D4988" s="547" t="s">
        <v>1265</v>
      </c>
      <c r="E4988" s="688" t="s">
        <v>442</v>
      </c>
      <c r="F4988" s="688"/>
      <c r="G4988" s="549" t="s">
        <v>423</v>
      </c>
      <c r="H4988" s="550">
        <v>1</v>
      </c>
      <c r="I4988" s="551">
        <v>0.86</v>
      </c>
      <c r="J4988" s="551">
        <v>0.86</v>
      </c>
    </row>
    <row r="4989" spans="1:10" s="89" customFormat="1" ht="25.5" customHeight="1" thickTop="1" x14ac:dyDescent="0.3">
      <c r="A4989" s="562"/>
      <c r="B4989" s="562"/>
      <c r="C4989" s="562"/>
      <c r="D4989" s="562"/>
      <c r="E4989" s="562"/>
      <c r="F4989" s="562"/>
      <c r="G4989" s="562"/>
      <c r="H4989" s="562"/>
      <c r="I4989" s="562"/>
      <c r="J4989" s="562"/>
    </row>
    <row r="4990" spans="1:10" ht="14.25" customHeight="1" x14ac:dyDescent="0.3">
      <c r="A4990" s="553"/>
      <c r="B4990" s="554" t="s">
        <v>4</v>
      </c>
      <c r="C4990" s="553" t="s">
        <v>5</v>
      </c>
      <c r="D4990" s="553" t="s">
        <v>6</v>
      </c>
      <c r="E4990" s="691" t="s">
        <v>427</v>
      </c>
      <c r="F4990" s="691"/>
      <c r="G4990" s="555" t="s">
        <v>7</v>
      </c>
      <c r="H4990" s="554" t="s">
        <v>8</v>
      </c>
      <c r="I4990" s="554" t="s">
        <v>9</v>
      </c>
      <c r="J4990" s="554" t="s">
        <v>11</v>
      </c>
    </row>
    <row r="4991" spans="1:10" ht="25.5" customHeight="1" x14ac:dyDescent="0.3">
      <c r="A4991" s="607" t="s">
        <v>428</v>
      </c>
      <c r="B4991" s="608" t="s">
        <v>742</v>
      </c>
      <c r="C4991" s="607" t="s">
        <v>19</v>
      </c>
      <c r="D4991" s="607" t="s">
        <v>743</v>
      </c>
      <c r="E4991" s="690" t="s">
        <v>670</v>
      </c>
      <c r="F4991" s="690"/>
      <c r="G4991" s="609" t="s">
        <v>173</v>
      </c>
      <c r="H4991" s="610">
        <v>1</v>
      </c>
      <c r="I4991" s="611">
        <v>7.04</v>
      </c>
      <c r="J4991" s="611">
        <v>7.04</v>
      </c>
    </row>
    <row r="4992" spans="1:10" ht="26.25" customHeight="1" x14ac:dyDescent="0.3">
      <c r="A4992" s="547" t="s">
        <v>430</v>
      </c>
      <c r="B4992" s="548" t="s">
        <v>1195</v>
      </c>
      <c r="C4992" s="547" t="s">
        <v>19</v>
      </c>
      <c r="D4992" s="547" t="s">
        <v>1196</v>
      </c>
      <c r="E4992" s="688" t="s">
        <v>429</v>
      </c>
      <c r="F4992" s="688"/>
      <c r="G4992" s="549" t="s">
        <v>423</v>
      </c>
      <c r="H4992" s="550">
        <v>4.6300000000000001E-2</v>
      </c>
      <c r="I4992" s="551">
        <v>23.63</v>
      </c>
      <c r="J4992" s="551">
        <v>1.0900000000000001</v>
      </c>
    </row>
    <row r="4993" spans="1:10" ht="26.25" customHeight="1" x14ac:dyDescent="0.3">
      <c r="A4993" s="547" t="s">
        <v>430</v>
      </c>
      <c r="B4993" s="548" t="s">
        <v>789</v>
      </c>
      <c r="C4993" s="547" t="s">
        <v>19</v>
      </c>
      <c r="D4993" s="547" t="s">
        <v>790</v>
      </c>
      <c r="E4993" s="688" t="s">
        <v>429</v>
      </c>
      <c r="F4993" s="688"/>
      <c r="G4993" s="549" t="s">
        <v>423</v>
      </c>
      <c r="H4993" s="550">
        <v>4.6300000000000001E-2</v>
      </c>
      <c r="I4993" s="551">
        <v>30.33</v>
      </c>
      <c r="J4993" s="551">
        <v>1.4</v>
      </c>
    </row>
    <row r="4994" spans="1:10" x14ac:dyDescent="0.3">
      <c r="A4994" s="547" t="s">
        <v>433</v>
      </c>
      <c r="B4994" s="548" t="s">
        <v>2012</v>
      </c>
      <c r="C4994" s="547" t="s">
        <v>19</v>
      </c>
      <c r="D4994" s="547" t="s">
        <v>3743</v>
      </c>
      <c r="E4994" s="688" t="s">
        <v>438</v>
      </c>
      <c r="F4994" s="688"/>
      <c r="G4994" s="549" t="s">
        <v>173</v>
      </c>
      <c r="H4994" s="550">
        <v>1.0492999999999999</v>
      </c>
      <c r="I4994" s="551">
        <v>4.33</v>
      </c>
      <c r="J4994" s="551">
        <v>4.54</v>
      </c>
    </row>
    <row r="4995" spans="1:10" s="89" customFormat="1" ht="25.5" customHeight="1" thickBot="1" x14ac:dyDescent="0.35">
      <c r="A4995" s="547" t="s">
        <v>433</v>
      </c>
      <c r="B4995" s="548" t="s">
        <v>1201</v>
      </c>
      <c r="C4995" s="547" t="s">
        <v>19</v>
      </c>
      <c r="D4995" s="547" t="s">
        <v>1202</v>
      </c>
      <c r="E4995" s="688" t="s">
        <v>438</v>
      </c>
      <c r="F4995" s="688"/>
      <c r="G4995" s="549" t="s">
        <v>81</v>
      </c>
      <c r="H4995" s="550">
        <v>5.1000000000000004E-3</v>
      </c>
      <c r="I4995" s="551">
        <v>2.38</v>
      </c>
      <c r="J4995" s="551">
        <v>0.01</v>
      </c>
    </row>
    <row r="4996" spans="1:10" ht="25.5" customHeight="1" thickTop="1" x14ac:dyDescent="0.3">
      <c r="A4996" s="562"/>
      <c r="B4996" s="562"/>
      <c r="C4996" s="562"/>
      <c r="D4996" s="562"/>
      <c r="E4996" s="562"/>
      <c r="F4996" s="562"/>
      <c r="G4996" s="562"/>
      <c r="H4996" s="562"/>
      <c r="I4996" s="562"/>
      <c r="J4996" s="562"/>
    </row>
    <row r="4997" spans="1:10" ht="25.5" customHeight="1" x14ac:dyDescent="0.3">
      <c r="A4997" s="553"/>
      <c r="B4997" s="554" t="s">
        <v>4</v>
      </c>
      <c r="C4997" s="553" t="s">
        <v>5</v>
      </c>
      <c r="D4997" s="553" t="s">
        <v>6</v>
      </c>
      <c r="E4997" s="691" t="s">
        <v>427</v>
      </c>
      <c r="F4997" s="691"/>
      <c r="G4997" s="555" t="s">
        <v>7</v>
      </c>
      <c r="H4997" s="554" t="s">
        <v>8</v>
      </c>
      <c r="I4997" s="554" t="s">
        <v>9</v>
      </c>
      <c r="J4997" s="554" t="s">
        <v>11</v>
      </c>
    </row>
    <row r="4998" spans="1:10" ht="25.5" customHeight="1" x14ac:dyDescent="0.3">
      <c r="A4998" s="607" t="s">
        <v>428</v>
      </c>
      <c r="B4998" s="608" t="s">
        <v>2013</v>
      </c>
      <c r="C4998" s="607" t="s">
        <v>115</v>
      </c>
      <c r="D4998" s="607" t="s">
        <v>2014</v>
      </c>
      <c r="E4998" s="690" t="s">
        <v>402</v>
      </c>
      <c r="F4998" s="690"/>
      <c r="G4998" s="609" t="s">
        <v>593</v>
      </c>
      <c r="H4998" s="610">
        <v>1</v>
      </c>
      <c r="I4998" s="611">
        <v>1.24</v>
      </c>
      <c r="J4998" s="611">
        <v>1.24</v>
      </c>
    </row>
    <row r="4999" spans="1:10" ht="25.5" customHeight="1" x14ac:dyDescent="0.3">
      <c r="A4999" s="691" t="s">
        <v>408</v>
      </c>
      <c r="B4999" s="692" t="s">
        <v>4</v>
      </c>
      <c r="C4999" s="691" t="s">
        <v>5</v>
      </c>
      <c r="D4999" s="691" t="s">
        <v>462</v>
      </c>
      <c r="E4999" s="692" t="s">
        <v>463</v>
      </c>
      <c r="F4999" s="694" t="s">
        <v>464</v>
      </c>
      <c r="G4999" s="692"/>
      <c r="H4999" s="694" t="s">
        <v>465</v>
      </c>
      <c r="I4999" s="692"/>
      <c r="J4999" s="692" t="s">
        <v>466</v>
      </c>
    </row>
    <row r="5000" spans="1:10" ht="26.25" customHeight="1" x14ac:dyDescent="0.3">
      <c r="A5000" s="692"/>
      <c r="B5000" s="692"/>
      <c r="C5000" s="692"/>
      <c r="D5000" s="692"/>
      <c r="E5000" s="692"/>
      <c r="F5000" s="554" t="s">
        <v>467</v>
      </c>
      <c r="G5000" s="554" t="s">
        <v>468</v>
      </c>
      <c r="H5000" s="554" t="s">
        <v>467</v>
      </c>
      <c r="I5000" s="554" t="s">
        <v>468</v>
      </c>
      <c r="J5000" s="692"/>
    </row>
    <row r="5001" spans="1:10" ht="26.25" customHeight="1" x14ac:dyDescent="0.3">
      <c r="A5001" s="547" t="s">
        <v>433</v>
      </c>
      <c r="B5001" s="548" t="s">
        <v>1172</v>
      </c>
      <c r="C5001" s="547" t="s">
        <v>115</v>
      </c>
      <c r="D5001" s="547" t="s">
        <v>1173</v>
      </c>
      <c r="E5001" s="550">
        <v>1</v>
      </c>
      <c r="F5001" s="551">
        <v>1</v>
      </c>
      <c r="G5001" s="551">
        <v>0</v>
      </c>
      <c r="H5001" s="563">
        <v>301.85669999999999</v>
      </c>
      <c r="I5001" s="563">
        <v>87.055000000000007</v>
      </c>
      <c r="J5001" s="563">
        <v>301.85669999999999</v>
      </c>
    </row>
    <row r="5002" spans="1:10" ht="14.25" customHeight="1" x14ac:dyDescent="0.3">
      <c r="A5002" s="689"/>
      <c r="B5002" s="689"/>
      <c r="C5002" s="689"/>
      <c r="D5002" s="689"/>
      <c r="E5002" s="689"/>
      <c r="F5002" s="689" t="s">
        <v>471</v>
      </c>
      <c r="G5002" s="689"/>
      <c r="H5002" s="689"/>
      <c r="I5002" s="689"/>
      <c r="J5002" s="564">
        <v>301.85669999999999</v>
      </c>
    </row>
    <row r="5003" spans="1:10" s="89" customFormat="1" x14ac:dyDescent="0.3">
      <c r="A5003" s="689"/>
      <c r="B5003" s="689"/>
      <c r="C5003" s="689"/>
      <c r="D5003" s="689"/>
      <c r="E5003" s="689"/>
      <c r="F5003" s="689" t="s">
        <v>472</v>
      </c>
      <c r="G5003" s="689"/>
      <c r="H5003" s="689"/>
      <c r="I5003" s="689"/>
      <c r="J5003" s="564">
        <v>301.85669999999999</v>
      </c>
    </row>
    <row r="5004" spans="1:10" ht="25.5" customHeight="1" x14ac:dyDescent="0.3">
      <c r="A5004" s="689"/>
      <c r="B5004" s="689"/>
      <c r="C5004" s="689"/>
      <c r="D5004" s="689"/>
      <c r="E5004" s="689"/>
      <c r="F5004" s="689" t="s">
        <v>473</v>
      </c>
      <c r="G5004" s="689"/>
      <c r="H5004" s="689"/>
      <c r="I5004" s="689"/>
      <c r="J5004" s="564">
        <v>2.24E-2</v>
      </c>
    </row>
    <row r="5005" spans="1:10" x14ac:dyDescent="0.3">
      <c r="A5005" s="689"/>
      <c r="B5005" s="689"/>
      <c r="C5005" s="689"/>
      <c r="D5005" s="689"/>
      <c r="E5005" s="689"/>
      <c r="F5005" s="689" t="s">
        <v>474</v>
      </c>
      <c r="G5005" s="689"/>
      <c r="H5005" s="689"/>
      <c r="I5005" s="689"/>
      <c r="J5005" s="564">
        <v>2.7199999999999998E-2</v>
      </c>
    </row>
    <row r="5006" spans="1:10" ht="14.25" customHeight="1" x14ac:dyDescent="0.3">
      <c r="A5006" s="689"/>
      <c r="B5006" s="689"/>
      <c r="C5006" s="689"/>
      <c r="D5006" s="689"/>
      <c r="E5006" s="689"/>
      <c r="F5006" s="689" t="s">
        <v>475</v>
      </c>
      <c r="G5006" s="689"/>
      <c r="H5006" s="689"/>
      <c r="I5006" s="689"/>
      <c r="J5006" s="564">
        <v>249</v>
      </c>
    </row>
    <row r="5007" spans="1:10" s="89" customFormat="1" ht="25.5" customHeight="1" thickBot="1" x14ac:dyDescent="0.35">
      <c r="A5007" s="689"/>
      <c r="B5007" s="689"/>
      <c r="C5007" s="689"/>
      <c r="D5007" s="689"/>
      <c r="E5007" s="689"/>
      <c r="F5007" s="689" t="s">
        <v>476</v>
      </c>
      <c r="G5007" s="689"/>
      <c r="H5007" s="689"/>
      <c r="I5007" s="689"/>
      <c r="J5007" s="564">
        <v>1.2122999999999999</v>
      </c>
    </row>
    <row r="5008" spans="1:10" ht="25.5" customHeight="1" thickTop="1" x14ac:dyDescent="0.3">
      <c r="A5008" s="562"/>
      <c r="B5008" s="562"/>
      <c r="C5008" s="562"/>
      <c r="D5008" s="562"/>
      <c r="E5008" s="562"/>
      <c r="F5008" s="562"/>
      <c r="G5008" s="562"/>
      <c r="H5008" s="562"/>
      <c r="I5008" s="562"/>
      <c r="J5008" s="562"/>
    </row>
    <row r="5009" spans="1:10" x14ac:dyDescent="0.3">
      <c r="A5009" s="553"/>
      <c r="B5009" s="554" t="s">
        <v>4</v>
      </c>
      <c r="C5009" s="553" t="s">
        <v>5</v>
      </c>
      <c r="D5009" s="553" t="s">
        <v>6</v>
      </c>
      <c r="E5009" s="691" t="s">
        <v>427</v>
      </c>
      <c r="F5009" s="691"/>
      <c r="G5009" s="555" t="s">
        <v>7</v>
      </c>
      <c r="H5009" s="554" t="s">
        <v>8</v>
      </c>
      <c r="I5009" s="554" t="s">
        <v>9</v>
      </c>
      <c r="J5009" s="554" t="s">
        <v>11</v>
      </c>
    </row>
    <row r="5010" spans="1:10" ht="25" x14ac:dyDescent="0.3">
      <c r="A5010" s="607" t="s">
        <v>428</v>
      </c>
      <c r="B5010" s="608" t="s">
        <v>2015</v>
      </c>
      <c r="C5010" s="607" t="s">
        <v>115</v>
      </c>
      <c r="D5010" s="607" t="s">
        <v>2016</v>
      </c>
      <c r="E5010" s="690" t="s">
        <v>402</v>
      </c>
      <c r="F5010" s="690"/>
      <c r="G5010" s="609" t="s">
        <v>593</v>
      </c>
      <c r="H5010" s="610">
        <v>1</v>
      </c>
      <c r="I5010" s="611">
        <v>0.99</v>
      </c>
      <c r="J5010" s="611">
        <v>0.99</v>
      </c>
    </row>
    <row r="5011" spans="1:10" s="89" customFormat="1" ht="25.5" customHeight="1" x14ac:dyDescent="0.3">
      <c r="A5011" s="691" t="s">
        <v>408</v>
      </c>
      <c r="B5011" s="692" t="s">
        <v>4</v>
      </c>
      <c r="C5011" s="691" t="s">
        <v>5</v>
      </c>
      <c r="D5011" s="691" t="s">
        <v>462</v>
      </c>
      <c r="E5011" s="692" t="s">
        <v>463</v>
      </c>
      <c r="F5011" s="694" t="s">
        <v>464</v>
      </c>
      <c r="G5011" s="692"/>
      <c r="H5011" s="694" t="s">
        <v>465</v>
      </c>
      <c r="I5011" s="692"/>
      <c r="J5011" s="692" t="s">
        <v>466</v>
      </c>
    </row>
    <row r="5012" spans="1:10" ht="25.5" customHeight="1" x14ac:dyDescent="0.3">
      <c r="A5012" s="692"/>
      <c r="B5012" s="692"/>
      <c r="C5012" s="692"/>
      <c r="D5012" s="692"/>
      <c r="E5012" s="692"/>
      <c r="F5012" s="554" t="s">
        <v>467</v>
      </c>
      <c r="G5012" s="554" t="s">
        <v>468</v>
      </c>
      <c r="H5012" s="554" t="s">
        <v>467</v>
      </c>
      <c r="I5012" s="554" t="s">
        <v>468</v>
      </c>
      <c r="J5012" s="692"/>
    </row>
    <row r="5013" spans="1:10" x14ac:dyDescent="0.3">
      <c r="A5013" s="547" t="s">
        <v>433</v>
      </c>
      <c r="B5013" s="548" t="s">
        <v>1172</v>
      </c>
      <c r="C5013" s="547" t="s">
        <v>115</v>
      </c>
      <c r="D5013" s="547" t="s">
        <v>1173</v>
      </c>
      <c r="E5013" s="550">
        <v>1</v>
      </c>
      <c r="F5013" s="551">
        <v>1</v>
      </c>
      <c r="G5013" s="551">
        <v>0</v>
      </c>
      <c r="H5013" s="563">
        <v>301.85669999999999</v>
      </c>
      <c r="I5013" s="563">
        <v>87.055000000000007</v>
      </c>
      <c r="J5013" s="563">
        <v>301.85669999999999</v>
      </c>
    </row>
    <row r="5014" spans="1:10" ht="14.25" customHeight="1" x14ac:dyDescent="0.3">
      <c r="A5014" s="689"/>
      <c r="B5014" s="689"/>
      <c r="C5014" s="689"/>
      <c r="D5014" s="689"/>
      <c r="E5014" s="689"/>
      <c r="F5014" s="689" t="s">
        <v>471</v>
      </c>
      <c r="G5014" s="689"/>
      <c r="H5014" s="689"/>
      <c r="I5014" s="689"/>
      <c r="J5014" s="564">
        <v>301.85669999999999</v>
      </c>
    </row>
    <row r="5015" spans="1:10" s="89" customFormat="1" x14ac:dyDescent="0.3">
      <c r="A5015" s="689"/>
      <c r="B5015" s="689"/>
      <c r="C5015" s="689"/>
      <c r="D5015" s="689"/>
      <c r="E5015" s="689"/>
      <c r="F5015" s="689" t="s">
        <v>472</v>
      </c>
      <c r="G5015" s="689"/>
      <c r="H5015" s="689"/>
      <c r="I5015" s="689"/>
      <c r="J5015" s="564">
        <v>301.85669999999999</v>
      </c>
    </row>
    <row r="5016" spans="1:10" ht="25.5" customHeight="1" x14ac:dyDescent="0.3">
      <c r="A5016" s="689"/>
      <c r="B5016" s="689"/>
      <c r="C5016" s="689"/>
      <c r="D5016" s="689"/>
      <c r="E5016" s="689"/>
      <c r="F5016" s="689" t="s">
        <v>473</v>
      </c>
      <c r="G5016" s="689"/>
      <c r="H5016" s="689"/>
      <c r="I5016" s="689"/>
      <c r="J5016" s="564">
        <v>2.24E-2</v>
      </c>
    </row>
    <row r="5017" spans="1:10" x14ac:dyDescent="0.3">
      <c r="A5017" s="689"/>
      <c r="B5017" s="689"/>
      <c r="C5017" s="689"/>
      <c r="D5017" s="689"/>
      <c r="E5017" s="689"/>
      <c r="F5017" s="689" t="s">
        <v>474</v>
      </c>
      <c r="G5017" s="689"/>
      <c r="H5017" s="689"/>
      <c r="I5017" s="689"/>
      <c r="J5017" s="564">
        <v>2.1700000000000001E-2</v>
      </c>
    </row>
    <row r="5018" spans="1:10" ht="14.25" customHeight="1" x14ac:dyDescent="0.3">
      <c r="A5018" s="689"/>
      <c r="B5018" s="689"/>
      <c r="C5018" s="689"/>
      <c r="D5018" s="689"/>
      <c r="E5018" s="689"/>
      <c r="F5018" s="689" t="s">
        <v>475</v>
      </c>
      <c r="G5018" s="689"/>
      <c r="H5018" s="689"/>
      <c r="I5018" s="689"/>
      <c r="J5018" s="564">
        <v>311.25</v>
      </c>
    </row>
    <row r="5019" spans="1:10" s="89" customFormat="1" ht="15" customHeight="1" thickBot="1" x14ac:dyDescent="0.35">
      <c r="A5019" s="689"/>
      <c r="B5019" s="689"/>
      <c r="C5019" s="689"/>
      <c r="D5019" s="689"/>
      <c r="E5019" s="689"/>
      <c r="F5019" s="689" t="s">
        <v>476</v>
      </c>
      <c r="G5019" s="689"/>
      <c r="H5019" s="689"/>
      <c r="I5019" s="689"/>
      <c r="J5019" s="564">
        <v>0.9698</v>
      </c>
    </row>
    <row r="5020" spans="1:10" ht="14.25" customHeight="1" thickTop="1" x14ac:dyDescent="0.3">
      <c r="A5020" s="562"/>
      <c r="B5020" s="562"/>
      <c r="C5020" s="562"/>
      <c r="D5020" s="562"/>
      <c r="E5020" s="562"/>
      <c r="F5020" s="562"/>
      <c r="G5020" s="562"/>
      <c r="H5020" s="562"/>
      <c r="I5020" s="562"/>
      <c r="J5020" s="562"/>
    </row>
    <row r="5021" spans="1:10" x14ac:dyDescent="0.3">
      <c r="A5021" s="553"/>
      <c r="B5021" s="554" t="s">
        <v>4</v>
      </c>
      <c r="C5021" s="553" t="s">
        <v>5</v>
      </c>
      <c r="D5021" s="553" t="s">
        <v>6</v>
      </c>
      <c r="E5021" s="691" t="s">
        <v>427</v>
      </c>
      <c r="F5021" s="691"/>
      <c r="G5021" s="555" t="s">
        <v>7</v>
      </c>
      <c r="H5021" s="554" t="s">
        <v>8</v>
      </c>
      <c r="I5021" s="554" t="s">
        <v>9</v>
      </c>
      <c r="J5021" s="554" t="s">
        <v>11</v>
      </c>
    </row>
    <row r="5022" spans="1:10" x14ac:dyDescent="0.3">
      <c r="A5022" s="607" t="s">
        <v>428</v>
      </c>
      <c r="B5022" s="608" t="s">
        <v>2017</v>
      </c>
      <c r="C5022" s="607" t="s">
        <v>115</v>
      </c>
      <c r="D5022" s="607" t="s">
        <v>2018</v>
      </c>
      <c r="E5022" s="690" t="s">
        <v>402</v>
      </c>
      <c r="F5022" s="690"/>
      <c r="G5022" s="609" t="s">
        <v>593</v>
      </c>
      <c r="H5022" s="610">
        <v>1</v>
      </c>
      <c r="I5022" s="611">
        <v>0.81</v>
      </c>
      <c r="J5022" s="611">
        <v>0.81</v>
      </c>
    </row>
    <row r="5023" spans="1:10" ht="15" customHeight="1" x14ac:dyDescent="0.3">
      <c r="A5023" s="691" t="s">
        <v>408</v>
      </c>
      <c r="B5023" s="692" t="s">
        <v>4</v>
      </c>
      <c r="C5023" s="691" t="s">
        <v>5</v>
      </c>
      <c r="D5023" s="691" t="s">
        <v>462</v>
      </c>
      <c r="E5023" s="692" t="s">
        <v>463</v>
      </c>
      <c r="F5023" s="694" t="s">
        <v>464</v>
      </c>
      <c r="G5023" s="692"/>
      <c r="H5023" s="694" t="s">
        <v>465</v>
      </c>
      <c r="I5023" s="692"/>
      <c r="J5023" s="692" t="s">
        <v>466</v>
      </c>
    </row>
    <row r="5024" spans="1:10" x14ac:dyDescent="0.3">
      <c r="A5024" s="692"/>
      <c r="B5024" s="692"/>
      <c r="C5024" s="692"/>
      <c r="D5024" s="692"/>
      <c r="E5024" s="692"/>
      <c r="F5024" s="554" t="s">
        <v>467</v>
      </c>
      <c r="G5024" s="554" t="s">
        <v>468</v>
      </c>
      <c r="H5024" s="554" t="s">
        <v>467</v>
      </c>
      <c r="I5024" s="554" t="s">
        <v>468</v>
      </c>
      <c r="J5024" s="692"/>
    </row>
    <row r="5025" spans="1:10" x14ac:dyDescent="0.3">
      <c r="A5025" s="547" t="s">
        <v>433</v>
      </c>
      <c r="B5025" s="548" t="s">
        <v>1172</v>
      </c>
      <c r="C5025" s="547" t="s">
        <v>115</v>
      </c>
      <c r="D5025" s="547" t="s">
        <v>1173</v>
      </c>
      <c r="E5025" s="550">
        <v>1</v>
      </c>
      <c r="F5025" s="551">
        <v>1</v>
      </c>
      <c r="G5025" s="551">
        <v>0</v>
      </c>
      <c r="H5025" s="563">
        <v>301.85669999999999</v>
      </c>
      <c r="I5025" s="563">
        <v>87.055000000000007</v>
      </c>
      <c r="J5025" s="563">
        <v>301.85669999999999</v>
      </c>
    </row>
    <row r="5026" spans="1:10" ht="14.25" customHeight="1" x14ac:dyDescent="0.3">
      <c r="A5026" s="689"/>
      <c r="B5026" s="689"/>
      <c r="C5026" s="689"/>
      <c r="D5026" s="689"/>
      <c r="E5026" s="689"/>
      <c r="F5026" s="689" t="s">
        <v>471</v>
      </c>
      <c r="G5026" s="689"/>
      <c r="H5026" s="689"/>
      <c r="I5026" s="689"/>
      <c r="J5026" s="564">
        <v>301.85669999999999</v>
      </c>
    </row>
    <row r="5027" spans="1:10" ht="14.25" customHeight="1" x14ac:dyDescent="0.3">
      <c r="A5027" s="689"/>
      <c r="B5027" s="689"/>
      <c r="C5027" s="689"/>
      <c r="D5027" s="689"/>
      <c r="E5027" s="689"/>
      <c r="F5027" s="689" t="s">
        <v>472</v>
      </c>
      <c r="G5027" s="689"/>
      <c r="H5027" s="689"/>
      <c r="I5027" s="689"/>
      <c r="J5027" s="564">
        <v>301.85669999999999</v>
      </c>
    </row>
    <row r="5028" spans="1:10" ht="14.25" customHeight="1" x14ac:dyDescent="0.3">
      <c r="A5028" s="689"/>
      <c r="B5028" s="689"/>
      <c r="C5028" s="689"/>
      <c r="D5028" s="689"/>
      <c r="E5028" s="689"/>
      <c r="F5028" s="689" t="s">
        <v>473</v>
      </c>
      <c r="G5028" s="689"/>
      <c r="H5028" s="689"/>
      <c r="I5028" s="689"/>
      <c r="J5028" s="564">
        <v>0</v>
      </c>
    </row>
    <row r="5029" spans="1:10" x14ac:dyDescent="0.3">
      <c r="A5029" s="689"/>
      <c r="B5029" s="689"/>
      <c r="C5029" s="689"/>
      <c r="D5029" s="689"/>
      <c r="E5029" s="689"/>
      <c r="F5029" s="689" t="s">
        <v>474</v>
      </c>
      <c r="G5029" s="689"/>
      <c r="H5029" s="689"/>
      <c r="I5029" s="689"/>
      <c r="J5029" s="564">
        <v>0</v>
      </c>
    </row>
    <row r="5030" spans="1:10" s="89" customFormat="1" ht="15" customHeight="1" x14ac:dyDescent="0.3">
      <c r="A5030" s="689"/>
      <c r="B5030" s="689"/>
      <c r="C5030" s="689"/>
      <c r="D5030" s="689"/>
      <c r="E5030" s="689"/>
      <c r="F5030" s="689" t="s">
        <v>475</v>
      </c>
      <c r="G5030" s="689"/>
      <c r="H5030" s="689"/>
      <c r="I5030" s="689"/>
      <c r="J5030" s="564">
        <v>373.5</v>
      </c>
    </row>
    <row r="5031" spans="1:10" ht="15" customHeight="1" thickBot="1" x14ac:dyDescent="0.35">
      <c r="A5031" s="689"/>
      <c r="B5031" s="689"/>
      <c r="C5031" s="689"/>
      <c r="D5031" s="689"/>
      <c r="E5031" s="689"/>
      <c r="F5031" s="689" t="s">
        <v>476</v>
      </c>
      <c r="G5031" s="689"/>
      <c r="H5031" s="689"/>
      <c r="I5031" s="689"/>
      <c r="J5031" s="564">
        <v>0.80820000000000003</v>
      </c>
    </row>
    <row r="5032" spans="1:10" ht="14.5" thickTop="1" x14ac:dyDescent="0.3">
      <c r="A5032" s="562"/>
      <c r="B5032" s="562"/>
      <c r="C5032" s="562"/>
      <c r="D5032" s="562"/>
      <c r="E5032" s="562"/>
      <c r="F5032" s="562"/>
      <c r="G5032" s="562"/>
      <c r="H5032" s="562"/>
      <c r="I5032" s="562"/>
      <c r="J5032" s="562"/>
    </row>
    <row r="5033" spans="1:10" x14ac:dyDescent="0.3">
      <c r="A5033" s="553"/>
      <c r="B5033" s="554" t="s">
        <v>4</v>
      </c>
      <c r="C5033" s="553" t="s">
        <v>5</v>
      </c>
      <c r="D5033" s="553" t="s">
        <v>6</v>
      </c>
      <c r="E5033" s="691" t="s">
        <v>427</v>
      </c>
      <c r="F5033" s="691"/>
      <c r="G5033" s="555" t="s">
        <v>7</v>
      </c>
      <c r="H5033" s="554" t="s">
        <v>8</v>
      </c>
      <c r="I5033" s="554" t="s">
        <v>9</v>
      </c>
      <c r="J5033" s="554" t="s">
        <v>11</v>
      </c>
    </row>
    <row r="5034" spans="1:10" x14ac:dyDescent="0.3">
      <c r="A5034" s="607" t="s">
        <v>428</v>
      </c>
      <c r="B5034" s="608" t="s">
        <v>2019</v>
      </c>
      <c r="C5034" s="607" t="s">
        <v>115</v>
      </c>
      <c r="D5034" s="607" t="s">
        <v>2020</v>
      </c>
      <c r="E5034" s="690" t="s">
        <v>402</v>
      </c>
      <c r="F5034" s="690"/>
      <c r="G5034" s="609" t="s">
        <v>593</v>
      </c>
      <c r="H5034" s="610">
        <v>1</v>
      </c>
      <c r="I5034" s="611">
        <v>1.17</v>
      </c>
      <c r="J5034" s="611">
        <v>1.17</v>
      </c>
    </row>
    <row r="5035" spans="1:10" ht="15" customHeight="1" x14ac:dyDescent="0.3">
      <c r="A5035" s="691" t="s">
        <v>408</v>
      </c>
      <c r="B5035" s="692" t="s">
        <v>4</v>
      </c>
      <c r="C5035" s="691" t="s">
        <v>5</v>
      </c>
      <c r="D5035" s="691" t="s">
        <v>462</v>
      </c>
      <c r="E5035" s="692" t="s">
        <v>463</v>
      </c>
      <c r="F5035" s="694" t="s">
        <v>464</v>
      </c>
      <c r="G5035" s="692"/>
      <c r="H5035" s="694" t="s">
        <v>465</v>
      </c>
      <c r="I5035" s="692"/>
      <c r="J5035" s="692" t="s">
        <v>466</v>
      </c>
    </row>
    <row r="5036" spans="1:10" x14ac:dyDescent="0.3">
      <c r="A5036" s="692"/>
      <c r="B5036" s="692"/>
      <c r="C5036" s="692"/>
      <c r="D5036" s="692"/>
      <c r="E5036" s="692"/>
      <c r="F5036" s="554" t="s">
        <v>467</v>
      </c>
      <c r="G5036" s="554" t="s">
        <v>468</v>
      </c>
      <c r="H5036" s="554" t="s">
        <v>467</v>
      </c>
      <c r="I5036" s="554" t="s">
        <v>468</v>
      </c>
      <c r="J5036" s="692"/>
    </row>
    <row r="5037" spans="1:10" s="89" customFormat="1" x14ac:dyDescent="0.3">
      <c r="A5037" s="547" t="s">
        <v>433</v>
      </c>
      <c r="B5037" s="548" t="s">
        <v>1175</v>
      </c>
      <c r="C5037" s="547" t="s">
        <v>115</v>
      </c>
      <c r="D5037" s="547" t="s">
        <v>1176</v>
      </c>
      <c r="E5037" s="550">
        <v>1</v>
      </c>
      <c r="F5037" s="551">
        <v>1</v>
      </c>
      <c r="G5037" s="551">
        <v>0</v>
      </c>
      <c r="H5037" s="563">
        <v>174.29050000000001</v>
      </c>
      <c r="I5037" s="563">
        <v>65.426199999999994</v>
      </c>
      <c r="J5037" s="563">
        <v>174.29050000000001</v>
      </c>
    </row>
    <row r="5038" spans="1:10" ht="14.25" customHeight="1" x14ac:dyDescent="0.3">
      <c r="A5038" s="689"/>
      <c r="B5038" s="689"/>
      <c r="C5038" s="689"/>
      <c r="D5038" s="689"/>
      <c r="E5038" s="689"/>
      <c r="F5038" s="689" t="s">
        <v>471</v>
      </c>
      <c r="G5038" s="689"/>
      <c r="H5038" s="689"/>
      <c r="I5038" s="689"/>
      <c r="J5038" s="564">
        <v>174.29050000000001</v>
      </c>
    </row>
    <row r="5039" spans="1:10" ht="15" customHeight="1" x14ac:dyDescent="0.3">
      <c r="A5039" s="689"/>
      <c r="B5039" s="689"/>
      <c r="C5039" s="689"/>
      <c r="D5039" s="689"/>
      <c r="E5039" s="689"/>
      <c r="F5039" s="689" t="s">
        <v>472</v>
      </c>
      <c r="G5039" s="689"/>
      <c r="H5039" s="689"/>
      <c r="I5039" s="689"/>
      <c r="J5039" s="564">
        <v>174.29050000000001</v>
      </c>
    </row>
    <row r="5040" spans="1:10" ht="14.25" customHeight="1" x14ac:dyDescent="0.3">
      <c r="A5040" s="689"/>
      <c r="B5040" s="689"/>
      <c r="C5040" s="689"/>
      <c r="D5040" s="689"/>
      <c r="E5040" s="689"/>
      <c r="F5040" s="689" t="s">
        <v>473</v>
      </c>
      <c r="G5040" s="689"/>
      <c r="H5040" s="689"/>
      <c r="I5040" s="689"/>
      <c r="J5040" s="564">
        <v>0</v>
      </c>
    </row>
    <row r="5041" spans="1:10" x14ac:dyDescent="0.3">
      <c r="A5041" s="689"/>
      <c r="B5041" s="689"/>
      <c r="C5041" s="689"/>
      <c r="D5041" s="689"/>
      <c r="E5041" s="689"/>
      <c r="F5041" s="689" t="s">
        <v>474</v>
      </c>
      <c r="G5041" s="689"/>
      <c r="H5041" s="689"/>
      <c r="I5041" s="689"/>
      <c r="J5041" s="564">
        <v>0</v>
      </c>
    </row>
    <row r="5042" spans="1:10" ht="14.25" customHeight="1" x14ac:dyDescent="0.3">
      <c r="A5042" s="689"/>
      <c r="B5042" s="689"/>
      <c r="C5042" s="689"/>
      <c r="D5042" s="689"/>
      <c r="E5042" s="689"/>
      <c r="F5042" s="689" t="s">
        <v>475</v>
      </c>
      <c r="G5042" s="689"/>
      <c r="H5042" s="689"/>
      <c r="I5042" s="689"/>
      <c r="J5042" s="564">
        <v>149.4</v>
      </c>
    </row>
    <row r="5043" spans="1:10" s="89" customFormat="1" ht="15" customHeight="1" thickBot="1" x14ac:dyDescent="0.35">
      <c r="A5043" s="689"/>
      <c r="B5043" s="689"/>
      <c r="C5043" s="689"/>
      <c r="D5043" s="689"/>
      <c r="E5043" s="689"/>
      <c r="F5043" s="689" t="s">
        <v>476</v>
      </c>
      <c r="G5043" s="689"/>
      <c r="H5043" s="689"/>
      <c r="I5043" s="689"/>
      <c r="J5043" s="564">
        <v>1.1666000000000001</v>
      </c>
    </row>
    <row r="5044" spans="1:10" ht="14.25" customHeight="1" thickTop="1" x14ac:dyDescent="0.3">
      <c r="A5044" s="562"/>
      <c r="B5044" s="562"/>
      <c r="C5044" s="562"/>
      <c r="D5044" s="562"/>
      <c r="E5044" s="562"/>
      <c r="F5044" s="562"/>
      <c r="G5044" s="562"/>
      <c r="H5044" s="562"/>
      <c r="I5044" s="562"/>
      <c r="J5044" s="562"/>
    </row>
    <row r="5045" spans="1:10" x14ac:dyDescent="0.3">
      <c r="A5045" s="553"/>
      <c r="B5045" s="554" t="s">
        <v>4</v>
      </c>
      <c r="C5045" s="553" t="s">
        <v>5</v>
      </c>
      <c r="D5045" s="553" t="s">
        <v>6</v>
      </c>
      <c r="E5045" s="691" t="s">
        <v>427</v>
      </c>
      <c r="F5045" s="691"/>
      <c r="G5045" s="555" t="s">
        <v>7</v>
      </c>
      <c r="H5045" s="554" t="s">
        <v>8</v>
      </c>
      <c r="I5045" s="554" t="s">
        <v>9</v>
      </c>
      <c r="J5045" s="554" t="s">
        <v>11</v>
      </c>
    </row>
    <row r="5046" spans="1:10" ht="14.25" customHeight="1" x14ac:dyDescent="0.3">
      <c r="A5046" s="607" t="s">
        <v>428</v>
      </c>
      <c r="B5046" s="608" t="s">
        <v>2021</v>
      </c>
      <c r="C5046" s="607" t="s">
        <v>115</v>
      </c>
      <c r="D5046" s="607" t="s">
        <v>2022</v>
      </c>
      <c r="E5046" s="690" t="s">
        <v>402</v>
      </c>
      <c r="F5046" s="690"/>
      <c r="G5046" s="609" t="s">
        <v>593</v>
      </c>
      <c r="H5046" s="610">
        <v>1</v>
      </c>
      <c r="I5046" s="611">
        <v>0.93</v>
      </c>
      <c r="J5046" s="611">
        <v>0.93</v>
      </c>
    </row>
    <row r="5047" spans="1:10" ht="14.25" customHeight="1" x14ac:dyDescent="0.3">
      <c r="A5047" s="691" t="s">
        <v>408</v>
      </c>
      <c r="B5047" s="692" t="s">
        <v>4</v>
      </c>
      <c r="C5047" s="691" t="s">
        <v>5</v>
      </c>
      <c r="D5047" s="691" t="s">
        <v>462</v>
      </c>
      <c r="E5047" s="692" t="s">
        <v>463</v>
      </c>
      <c r="F5047" s="694" t="s">
        <v>464</v>
      </c>
      <c r="G5047" s="692"/>
      <c r="H5047" s="694" t="s">
        <v>465</v>
      </c>
      <c r="I5047" s="692"/>
      <c r="J5047" s="692" t="s">
        <v>466</v>
      </c>
    </row>
    <row r="5048" spans="1:10" ht="14.25" customHeight="1" x14ac:dyDescent="0.3">
      <c r="A5048" s="692"/>
      <c r="B5048" s="692"/>
      <c r="C5048" s="692"/>
      <c r="D5048" s="692"/>
      <c r="E5048" s="692"/>
      <c r="F5048" s="554" t="s">
        <v>467</v>
      </c>
      <c r="G5048" s="554" t="s">
        <v>468</v>
      </c>
      <c r="H5048" s="554" t="s">
        <v>467</v>
      </c>
      <c r="I5048" s="554" t="s">
        <v>468</v>
      </c>
      <c r="J5048" s="692"/>
    </row>
    <row r="5049" spans="1:10" x14ac:dyDescent="0.3">
      <c r="A5049" s="547" t="s">
        <v>433</v>
      </c>
      <c r="B5049" s="548" t="s">
        <v>1175</v>
      </c>
      <c r="C5049" s="547" t="s">
        <v>115</v>
      </c>
      <c r="D5049" s="547" t="s">
        <v>1176</v>
      </c>
      <c r="E5049" s="550">
        <v>1</v>
      </c>
      <c r="F5049" s="551">
        <v>1</v>
      </c>
      <c r="G5049" s="551">
        <v>0</v>
      </c>
      <c r="H5049" s="563">
        <v>174.29050000000001</v>
      </c>
      <c r="I5049" s="563">
        <v>65.426199999999994</v>
      </c>
      <c r="J5049" s="563">
        <v>174.29050000000001</v>
      </c>
    </row>
    <row r="5050" spans="1:10" ht="14.25" customHeight="1" x14ac:dyDescent="0.3">
      <c r="A5050" s="689"/>
      <c r="B5050" s="689"/>
      <c r="C5050" s="689"/>
      <c r="D5050" s="689"/>
      <c r="E5050" s="689"/>
      <c r="F5050" s="689" t="s">
        <v>471</v>
      </c>
      <c r="G5050" s="689"/>
      <c r="H5050" s="689"/>
      <c r="I5050" s="689"/>
      <c r="J5050" s="564">
        <v>174.29050000000001</v>
      </c>
    </row>
    <row r="5051" spans="1:10" ht="14.25" customHeight="1" x14ac:dyDescent="0.3">
      <c r="A5051" s="689"/>
      <c r="B5051" s="689"/>
      <c r="C5051" s="689"/>
      <c r="D5051" s="689"/>
      <c r="E5051" s="689"/>
      <c r="F5051" s="689" t="s">
        <v>472</v>
      </c>
      <c r="G5051" s="689"/>
      <c r="H5051" s="689"/>
      <c r="I5051" s="689"/>
      <c r="J5051" s="564">
        <v>174.29050000000001</v>
      </c>
    </row>
    <row r="5052" spans="1:10" ht="15" customHeight="1" x14ac:dyDescent="0.3">
      <c r="A5052" s="689"/>
      <c r="B5052" s="689"/>
      <c r="C5052" s="689"/>
      <c r="D5052" s="689"/>
      <c r="E5052" s="689"/>
      <c r="F5052" s="689" t="s">
        <v>473</v>
      </c>
      <c r="G5052" s="689"/>
      <c r="H5052" s="689"/>
      <c r="I5052" s="689"/>
      <c r="J5052" s="564">
        <v>0</v>
      </c>
    </row>
    <row r="5053" spans="1:10" x14ac:dyDescent="0.3">
      <c r="A5053" s="689"/>
      <c r="B5053" s="689"/>
      <c r="C5053" s="689"/>
      <c r="D5053" s="689"/>
      <c r="E5053" s="689"/>
      <c r="F5053" s="689" t="s">
        <v>474</v>
      </c>
      <c r="G5053" s="689"/>
      <c r="H5053" s="689"/>
      <c r="I5053" s="689"/>
      <c r="J5053" s="564">
        <v>0</v>
      </c>
    </row>
    <row r="5054" spans="1:10" ht="14.25" customHeight="1" x14ac:dyDescent="0.3">
      <c r="A5054" s="689"/>
      <c r="B5054" s="689"/>
      <c r="C5054" s="689"/>
      <c r="D5054" s="689"/>
      <c r="E5054" s="689"/>
      <c r="F5054" s="689" t="s">
        <v>475</v>
      </c>
      <c r="G5054" s="689"/>
      <c r="H5054" s="689"/>
      <c r="I5054" s="689"/>
      <c r="J5054" s="564">
        <v>186.75</v>
      </c>
    </row>
    <row r="5055" spans="1:10" s="89" customFormat="1" ht="15" customHeight="1" thickBot="1" x14ac:dyDescent="0.35">
      <c r="A5055" s="689"/>
      <c r="B5055" s="689"/>
      <c r="C5055" s="689"/>
      <c r="D5055" s="689"/>
      <c r="E5055" s="689"/>
      <c r="F5055" s="689" t="s">
        <v>476</v>
      </c>
      <c r="G5055" s="689"/>
      <c r="H5055" s="689"/>
      <c r="I5055" s="689"/>
      <c r="J5055" s="564">
        <v>0.93330000000000002</v>
      </c>
    </row>
    <row r="5056" spans="1:10" ht="14.25" customHeight="1" thickTop="1" x14ac:dyDescent="0.3">
      <c r="A5056" s="562"/>
      <c r="B5056" s="562"/>
      <c r="C5056" s="562"/>
      <c r="D5056" s="562"/>
      <c r="E5056" s="562"/>
      <c r="F5056" s="562"/>
      <c r="G5056" s="562"/>
      <c r="H5056" s="562"/>
      <c r="I5056" s="562"/>
      <c r="J5056" s="562"/>
    </row>
    <row r="5057" spans="1:10" x14ac:dyDescent="0.3">
      <c r="A5057" s="553"/>
      <c r="B5057" s="554" t="s">
        <v>4</v>
      </c>
      <c r="C5057" s="553" t="s">
        <v>5</v>
      </c>
      <c r="D5057" s="553" t="s">
        <v>6</v>
      </c>
      <c r="E5057" s="691" t="s">
        <v>427</v>
      </c>
      <c r="F5057" s="691"/>
      <c r="G5057" s="555" t="s">
        <v>7</v>
      </c>
      <c r="H5057" s="554" t="s">
        <v>8</v>
      </c>
      <c r="I5057" s="554" t="s">
        <v>9</v>
      </c>
      <c r="J5057" s="554" t="s">
        <v>11</v>
      </c>
    </row>
    <row r="5058" spans="1:10" ht="14.25" customHeight="1" x14ac:dyDescent="0.3">
      <c r="A5058" s="607" t="s">
        <v>428</v>
      </c>
      <c r="B5058" s="608" t="s">
        <v>2023</v>
      </c>
      <c r="C5058" s="607" t="s">
        <v>115</v>
      </c>
      <c r="D5058" s="607" t="s">
        <v>2024</v>
      </c>
      <c r="E5058" s="690" t="s">
        <v>402</v>
      </c>
      <c r="F5058" s="690"/>
      <c r="G5058" s="609" t="s">
        <v>593</v>
      </c>
      <c r="H5058" s="610">
        <v>1</v>
      </c>
      <c r="I5058" s="611">
        <v>0.78</v>
      </c>
      <c r="J5058" s="611">
        <v>0.78</v>
      </c>
    </row>
    <row r="5059" spans="1:10" ht="14.25" customHeight="1" x14ac:dyDescent="0.3">
      <c r="A5059" s="691" t="s">
        <v>408</v>
      </c>
      <c r="B5059" s="692" t="s">
        <v>4</v>
      </c>
      <c r="C5059" s="691" t="s">
        <v>5</v>
      </c>
      <c r="D5059" s="691" t="s">
        <v>462</v>
      </c>
      <c r="E5059" s="692" t="s">
        <v>463</v>
      </c>
      <c r="F5059" s="694" t="s">
        <v>464</v>
      </c>
      <c r="G5059" s="692"/>
      <c r="H5059" s="694" t="s">
        <v>465</v>
      </c>
      <c r="I5059" s="692"/>
      <c r="J5059" s="692" t="s">
        <v>466</v>
      </c>
    </row>
    <row r="5060" spans="1:10" ht="14.25" customHeight="1" x14ac:dyDescent="0.3">
      <c r="A5060" s="692"/>
      <c r="B5060" s="692"/>
      <c r="C5060" s="692"/>
      <c r="D5060" s="692"/>
      <c r="E5060" s="692"/>
      <c r="F5060" s="554" t="s">
        <v>467</v>
      </c>
      <c r="G5060" s="554" t="s">
        <v>468</v>
      </c>
      <c r="H5060" s="554" t="s">
        <v>467</v>
      </c>
      <c r="I5060" s="554" t="s">
        <v>468</v>
      </c>
      <c r="J5060" s="692"/>
    </row>
    <row r="5061" spans="1:10" x14ac:dyDescent="0.3">
      <c r="A5061" s="547" t="s">
        <v>433</v>
      </c>
      <c r="B5061" s="548" t="s">
        <v>1175</v>
      </c>
      <c r="C5061" s="547" t="s">
        <v>115</v>
      </c>
      <c r="D5061" s="547" t="s">
        <v>1176</v>
      </c>
      <c r="E5061" s="550">
        <v>1</v>
      </c>
      <c r="F5061" s="551">
        <v>1</v>
      </c>
      <c r="G5061" s="551">
        <v>0</v>
      </c>
      <c r="H5061" s="563">
        <v>174.29050000000001</v>
      </c>
      <c r="I5061" s="563">
        <v>65.426199999999994</v>
      </c>
      <c r="J5061" s="563">
        <v>174.29050000000001</v>
      </c>
    </row>
    <row r="5062" spans="1:10" ht="14.25" customHeight="1" x14ac:dyDescent="0.3">
      <c r="A5062" s="689"/>
      <c r="B5062" s="689"/>
      <c r="C5062" s="689"/>
      <c r="D5062" s="689"/>
      <c r="E5062" s="689"/>
      <c r="F5062" s="689" t="s">
        <v>471</v>
      </c>
      <c r="G5062" s="689"/>
      <c r="H5062" s="689"/>
      <c r="I5062" s="689"/>
      <c r="J5062" s="564">
        <v>174.29050000000001</v>
      </c>
    </row>
    <row r="5063" spans="1:10" ht="14.25" customHeight="1" x14ac:dyDescent="0.3">
      <c r="A5063" s="689"/>
      <c r="B5063" s="689"/>
      <c r="C5063" s="689"/>
      <c r="D5063" s="689"/>
      <c r="E5063" s="689"/>
      <c r="F5063" s="689" t="s">
        <v>472</v>
      </c>
      <c r="G5063" s="689"/>
      <c r="H5063" s="689"/>
      <c r="I5063" s="689"/>
      <c r="J5063" s="564">
        <v>174.29050000000001</v>
      </c>
    </row>
    <row r="5064" spans="1:10" ht="15" customHeight="1" x14ac:dyDescent="0.3">
      <c r="A5064" s="689"/>
      <c r="B5064" s="689"/>
      <c r="C5064" s="689"/>
      <c r="D5064" s="689"/>
      <c r="E5064" s="689"/>
      <c r="F5064" s="689" t="s">
        <v>473</v>
      </c>
      <c r="G5064" s="689"/>
      <c r="H5064" s="689"/>
      <c r="I5064" s="689"/>
      <c r="J5064" s="564">
        <v>0</v>
      </c>
    </row>
    <row r="5065" spans="1:10" x14ac:dyDescent="0.3">
      <c r="A5065" s="689"/>
      <c r="B5065" s="689"/>
      <c r="C5065" s="689"/>
      <c r="D5065" s="689"/>
      <c r="E5065" s="689"/>
      <c r="F5065" s="689" t="s">
        <v>474</v>
      </c>
      <c r="G5065" s="689"/>
      <c r="H5065" s="689"/>
      <c r="I5065" s="689"/>
      <c r="J5065" s="564">
        <v>0</v>
      </c>
    </row>
    <row r="5066" spans="1:10" ht="14.25" customHeight="1" x14ac:dyDescent="0.3">
      <c r="A5066" s="689"/>
      <c r="B5066" s="689"/>
      <c r="C5066" s="689"/>
      <c r="D5066" s="689"/>
      <c r="E5066" s="689"/>
      <c r="F5066" s="689" t="s">
        <v>475</v>
      </c>
      <c r="G5066" s="689"/>
      <c r="H5066" s="689"/>
      <c r="I5066" s="689"/>
      <c r="J5066" s="564">
        <v>224.1</v>
      </c>
    </row>
    <row r="5067" spans="1:10" s="89" customFormat="1" ht="15" customHeight="1" thickBot="1" x14ac:dyDescent="0.35">
      <c r="A5067" s="689"/>
      <c r="B5067" s="689"/>
      <c r="C5067" s="689"/>
      <c r="D5067" s="689"/>
      <c r="E5067" s="689"/>
      <c r="F5067" s="689" t="s">
        <v>476</v>
      </c>
      <c r="G5067" s="689"/>
      <c r="H5067" s="689"/>
      <c r="I5067" s="689"/>
      <c r="J5067" s="564">
        <v>0.77769999999999995</v>
      </c>
    </row>
    <row r="5068" spans="1:10" ht="14.25" customHeight="1" thickTop="1" x14ac:dyDescent="0.3">
      <c r="A5068" s="562"/>
      <c r="B5068" s="562"/>
      <c r="C5068" s="562"/>
      <c r="D5068" s="562"/>
      <c r="E5068" s="562"/>
      <c r="F5068" s="562"/>
      <c r="G5068" s="562"/>
      <c r="H5068" s="562"/>
      <c r="I5068" s="562"/>
      <c r="J5068" s="562"/>
    </row>
    <row r="5069" spans="1:10" x14ac:dyDescent="0.3">
      <c r="A5069" s="553"/>
      <c r="B5069" s="554" t="s">
        <v>4</v>
      </c>
      <c r="C5069" s="553" t="s">
        <v>5</v>
      </c>
      <c r="D5069" s="553" t="s">
        <v>6</v>
      </c>
      <c r="E5069" s="691" t="s">
        <v>427</v>
      </c>
      <c r="F5069" s="691"/>
      <c r="G5069" s="555" t="s">
        <v>7</v>
      </c>
      <c r="H5069" s="554" t="s">
        <v>8</v>
      </c>
      <c r="I5069" s="554" t="s">
        <v>9</v>
      </c>
      <c r="J5069" s="554" t="s">
        <v>11</v>
      </c>
    </row>
    <row r="5070" spans="1:10" ht="14.25" customHeight="1" x14ac:dyDescent="0.3">
      <c r="A5070" s="607" t="s">
        <v>428</v>
      </c>
      <c r="B5070" s="608" t="s">
        <v>2025</v>
      </c>
      <c r="C5070" s="607" t="s">
        <v>115</v>
      </c>
      <c r="D5070" s="607" t="s">
        <v>2026</v>
      </c>
      <c r="E5070" s="690" t="s">
        <v>402</v>
      </c>
      <c r="F5070" s="690"/>
      <c r="G5070" s="609" t="s">
        <v>593</v>
      </c>
      <c r="H5070" s="610">
        <v>1</v>
      </c>
      <c r="I5070" s="611">
        <v>1.04</v>
      </c>
      <c r="J5070" s="611">
        <v>1.04</v>
      </c>
    </row>
    <row r="5071" spans="1:10" ht="14.25" customHeight="1" x14ac:dyDescent="0.3">
      <c r="A5071" s="691" t="s">
        <v>408</v>
      </c>
      <c r="B5071" s="692" t="s">
        <v>4</v>
      </c>
      <c r="C5071" s="691" t="s">
        <v>5</v>
      </c>
      <c r="D5071" s="691" t="s">
        <v>462</v>
      </c>
      <c r="E5071" s="692" t="s">
        <v>463</v>
      </c>
      <c r="F5071" s="694" t="s">
        <v>464</v>
      </c>
      <c r="G5071" s="692"/>
      <c r="H5071" s="694" t="s">
        <v>465</v>
      </c>
      <c r="I5071" s="692"/>
      <c r="J5071" s="692" t="s">
        <v>466</v>
      </c>
    </row>
    <row r="5072" spans="1:10" ht="14.25" customHeight="1" x14ac:dyDescent="0.3">
      <c r="A5072" s="692"/>
      <c r="B5072" s="692"/>
      <c r="C5072" s="692"/>
      <c r="D5072" s="692"/>
      <c r="E5072" s="692"/>
      <c r="F5072" s="554" t="s">
        <v>467</v>
      </c>
      <c r="G5072" s="554" t="s">
        <v>468</v>
      </c>
      <c r="H5072" s="554" t="s">
        <v>467</v>
      </c>
      <c r="I5072" s="554" t="s">
        <v>468</v>
      </c>
      <c r="J5072" s="692"/>
    </row>
    <row r="5073" spans="1:10" x14ac:dyDescent="0.3">
      <c r="A5073" s="547" t="s">
        <v>433</v>
      </c>
      <c r="B5073" s="548" t="s">
        <v>1181</v>
      </c>
      <c r="C5073" s="547" t="s">
        <v>115</v>
      </c>
      <c r="D5073" s="547" t="s">
        <v>1182</v>
      </c>
      <c r="E5073" s="550">
        <v>1</v>
      </c>
      <c r="F5073" s="551">
        <v>1</v>
      </c>
      <c r="G5073" s="551">
        <v>0</v>
      </c>
      <c r="H5073" s="563">
        <v>252.2268</v>
      </c>
      <c r="I5073" s="563">
        <v>70.313900000000004</v>
      </c>
      <c r="J5073" s="563">
        <v>252.2268</v>
      </c>
    </row>
    <row r="5074" spans="1:10" ht="14.25" customHeight="1" x14ac:dyDescent="0.3">
      <c r="A5074" s="689"/>
      <c r="B5074" s="689"/>
      <c r="C5074" s="689"/>
      <c r="D5074" s="689"/>
      <c r="E5074" s="689"/>
      <c r="F5074" s="689" t="s">
        <v>471</v>
      </c>
      <c r="G5074" s="689"/>
      <c r="H5074" s="689"/>
      <c r="I5074" s="689"/>
      <c r="J5074" s="564">
        <v>252.2268</v>
      </c>
    </row>
    <row r="5075" spans="1:10" ht="14.25" customHeight="1" x14ac:dyDescent="0.3">
      <c r="A5075" s="689"/>
      <c r="B5075" s="689"/>
      <c r="C5075" s="689"/>
      <c r="D5075" s="689"/>
      <c r="E5075" s="689"/>
      <c r="F5075" s="689" t="s">
        <v>472</v>
      </c>
      <c r="G5075" s="689"/>
      <c r="H5075" s="689"/>
      <c r="I5075" s="689"/>
      <c r="J5075" s="564">
        <v>252.2268</v>
      </c>
    </row>
    <row r="5076" spans="1:10" ht="15" customHeight="1" x14ac:dyDescent="0.3">
      <c r="A5076" s="689"/>
      <c r="B5076" s="689"/>
      <c r="C5076" s="689"/>
      <c r="D5076" s="689"/>
      <c r="E5076" s="689"/>
      <c r="F5076" s="689" t="s">
        <v>473</v>
      </c>
      <c r="G5076" s="689"/>
      <c r="H5076" s="689"/>
      <c r="I5076" s="689"/>
      <c r="J5076" s="564">
        <v>2.24E-2</v>
      </c>
    </row>
    <row r="5077" spans="1:10" x14ac:dyDescent="0.3">
      <c r="A5077" s="689"/>
      <c r="B5077" s="689"/>
      <c r="C5077" s="689"/>
      <c r="D5077" s="689"/>
      <c r="E5077" s="689"/>
      <c r="F5077" s="689" t="s">
        <v>474</v>
      </c>
      <c r="G5077" s="689"/>
      <c r="H5077" s="689"/>
      <c r="I5077" s="689"/>
      <c r="J5077" s="564">
        <v>2.2700000000000001E-2</v>
      </c>
    </row>
    <row r="5078" spans="1:10" ht="14.25" customHeight="1" x14ac:dyDescent="0.3">
      <c r="A5078" s="689"/>
      <c r="B5078" s="689"/>
      <c r="C5078" s="689"/>
      <c r="D5078" s="689"/>
      <c r="E5078" s="689"/>
      <c r="F5078" s="689" t="s">
        <v>475</v>
      </c>
      <c r="G5078" s="689"/>
      <c r="H5078" s="689"/>
      <c r="I5078" s="689"/>
      <c r="J5078" s="564">
        <v>248.59</v>
      </c>
    </row>
    <row r="5079" spans="1:10" s="89" customFormat="1" ht="15" customHeight="1" thickBot="1" x14ac:dyDescent="0.35">
      <c r="A5079" s="689"/>
      <c r="B5079" s="689"/>
      <c r="C5079" s="689"/>
      <c r="D5079" s="689"/>
      <c r="E5079" s="689"/>
      <c r="F5079" s="689" t="s">
        <v>476</v>
      </c>
      <c r="G5079" s="689"/>
      <c r="H5079" s="689"/>
      <c r="I5079" s="689"/>
      <c r="J5079" s="564">
        <v>1.0145999999999999</v>
      </c>
    </row>
    <row r="5080" spans="1:10" ht="14.25" customHeight="1" thickTop="1" x14ac:dyDescent="0.3">
      <c r="A5080" s="562"/>
      <c r="B5080" s="562"/>
      <c r="C5080" s="562"/>
      <c r="D5080" s="562"/>
      <c r="E5080" s="562"/>
      <c r="F5080" s="562"/>
      <c r="G5080" s="562"/>
      <c r="H5080" s="562"/>
      <c r="I5080" s="562"/>
      <c r="J5080" s="562"/>
    </row>
    <row r="5081" spans="1:10" x14ac:dyDescent="0.3">
      <c r="A5081" s="553"/>
      <c r="B5081" s="554" t="s">
        <v>4</v>
      </c>
      <c r="C5081" s="553" t="s">
        <v>5</v>
      </c>
      <c r="D5081" s="553" t="s">
        <v>6</v>
      </c>
      <c r="E5081" s="691" t="s">
        <v>427</v>
      </c>
      <c r="F5081" s="691"/>
      <c r="G5081" s="555" t="s">
        <v>7</v>
      </c>
      <c r="H5081" s="554" t="s">
        <v>8</v>
      </c>
      <c r="I5081" s="554" t="s">
        <v>9</v>
      </c>
      <c r="J5081" s="554" t="s">
        <v>11</v>
      </c>
    </row>
    <row r="5082" spans="1:10" ht="14.25" customHeight="1" x14ac:dyDescent="0.3">
      <c r="A5082" s="607" t="s">
        <v>428</v>
      </c>
      <c r="B5082" s="608" t="s">
        <v>2027</v>
      </c>
      <c r="C5082" s="607" t="s">
        <v>115</v>
      </c>
      <c r="D5082" s="607" t="s">
        <v>2028</v>
      </c>
      <c r="E5082" s="690" t="s">
        <v>402</v>
      </c>
      <c r="F5082" s="690"/>
      <c r="G5082" s="609" t="s">
        <v>593</v>
      </c>
      <c r="H5082" s="610">
        <v>1</v>
      </c>
      <c r="I5082" s="611">
        <v>0.83</v>
      </c>
      <c r="J5082" s="611">
        <v>0.83</v>
      </c>
    </row>
    <row r="5083" spans="1:10" ht="14.25" customHeight="1" x14ac:dyDescent="0.3">
      <c r="A5083" s="691" t="s">
        <v>408</v>
      </c>
      <c r="B5083" s="692" t="s">
        <v>4</v>
      </c>
      <c r="C5083" s="691" t="s">
        <v>5</v>
      </c>
      <c r="D5083" s="691" t="s">
        <v>462</v>
      </c>
      <c r="E5083" s="692" t="s">
        <v>463</v>
      </c>
      <c r="F5083" s="694" t="s">
        <v>464</v>
      </c>
      <c r="G5083" s="692"/>
      <c r="H5083" s="694" t="s">
        <v>465</v>
      </c>
      <c r="I5083" s="692"/>
      <c r="J5083" s="692" t="s">
        <v>466</v>
      </c>
    </row>
    <row r="5084" spans="1:10" ht="14.25" customHeight="1" x14ac:dyDescent="0.3">
      <c r="A5084" s="692"/>
      <c r="B5084" s="692"/>
      <c r="C5084" s="692"/>
      <c r="D5084" s="692"/>
      <c r="E5084" s="692"/>
      <c r="F5084" s="554" t="s">
        <v>467</v>
      </c>
      <c r="G5084" s="554" t="s">
        <v>468</v>
      </c>
      <c r="H5084" s="554" t="s">
        <v>467</v>
      </c>
      <c r="I5084" s="554" t="s">
        <v>468</v>
      </c>
      <c r="J5084" s="692"/>
    </row>
    <row r="5085" spans="1:10" x14ac:dyDescent="0.3">
      <c r="A5085" s="547" t="s">
        <v>433</v>
      </c>
      <c r="B5085" s="548" t="s">
        <v>1181</v>
      </c>
      <c r="C5085" s="547" t="s">
        <v>115</v>
      </c>
      <c r="D5085" s="547" t="s">
        <v>1182</v>
      </c>
      <c r="E5085" s="550">
        <v>1</v>
      </c>
      <c r="F5085" s="551">
        <v>1</v>
      </c>
      <c r="G5085" s="551">
        <v>0</v>
      </c>
      <c r="H5085" s="563">
        <v>252.2268</v>
      </c>
      <c r="I5085" s="563">
        <v>70.313900000000004</v>
      </c>
      <c r="J5085" s="563">
        <v>252.2268</v>
      </c>
    </row>
    <row r="5086" spans="1:10" ht="14.25" customHeight="1" x14ac:dyDescent="0.3">
      <c r="A5086" s="689"/>
      <c r="B5086" s="689"/>
      <c r="C5086" s="689"/>
      <c r="D5086" s="689"/>
      <c r="E5086" s="689"/>
      <c r="F5086" s="689" t="s">
        <v>471</v>
      </c>
      <c r="G5086" s="689"/>
      <c r="H5086" s="689"/>
      <c r="I5086" s="689"/>
      <c r="J5086" s="564">
        <v>252.2268</v>
      </c>
    </row>
    <row r="5087" spans="1:10" ht="14.25" customHeight="1" x14ac:dyDescent="0.3">
      <c r="A5087" s="689"/>
      <c r="B5087" s="689"/>
      <c r="C5087" s="689"/>
      <c r="D5087" s="689"/>
      <c r="E5087" s="689"/>
      <c r="F5087" s="689" t="s">
        <v>472</v>
      </c>
      <c r="G5087" s="689"/>
      <c r="H5087" s="689"/>
      <c r="I5087" s="689"/>
      <c r="J5087" s="564">
        <v>252.2268</v>
      </c>
    </row>
    <row r="5088" spans="1:10" ht="15" customHeight="1" x14ac:dyDescent="0.3">
      <c r="A5088" s="689"/>
      <c r="B5088" s="689"/>
      <c r="C5088" s="689"/>
      <c r="D5088" s="689"/>
      <c r="E5088" s="689"/>
      <c r="F5088" s="689" t="s">
        <v>473</v>
      </c>
      <c r="G5088" s="689"/>
      <c r="H5088" s="689"/>
      <c r="I5088" s="689"/>
      <c r="J5088" s="564">
        <v>2.24E-2</v>
      </c>
    </row>
    <row r="5089" spans="1:10" x14ac:dyDescent="0.3">
      <c r="A5089" s="689"/>
      <c r="B5089" s="689"/>
      <c r="C5089" s="689"/>
      <c r="D5089" s="689"/>
      <c r="E5089" s="689"/>
      <c r="F5089" s="689" t="s">
        <v>474</v>
      </c>
      <c r="G5089" s="689"/>
      <c r="H5089" s="689"/>
      <c r="I5089" s="689"/>
      <c r="J5089" s="564">
        <v>1.8200000000000001E-2</v>
      </c>
    </row>
    <row r="5090" spans="1:10" ht="14.25" customHeight="1" x14ac:dyDescent="0.3">
      <c r="A5090" s="689"/>
      <c r="B5090" s="689"/>
      <c r="C5090" s="689"/>
      <c r="D5090" s="689"/>
      <c r="E5090" s="689"/>
      <c r="F5090" s="689" t="s">
        <v>475</v>
      </c>
      <c r="G5090" s="689"/>
      <c r="H5090" s="689"/>
      <c r="I5090" s="689"/>
      <c r="J5090" s="564">
        <v>310.73</v>
      </c>
    </row>
    <row r="5091" spans="1:10" s="89" customFormat="1" ht="15" customHeight="1" thickBot="1" x14ac:dyDescent="0.35">
      <c r="A5091" s="689"/>
      <c r="B5091" s="689"/>
      <c r="C5091" s="689"/>
      <c r="D5091" s="689"/>
      <c r="E5091" s="689"/>
      <c r="F5091" s="689" t="s">
        <v>476</v>
      </c>
      <c r="G5091" s="689"/>
      <c r="H5091" s="689"/>
      <c r="I5091" s="689"/>
      <c r="J5091" s="564">
        <v>0.81169999999999998</v>
      </c>
    </row>
    <row r="5092" spans="1:10" ht="14.25" customHeight="1" thickTop="1" x14ac:dyDescent="0.3">
      <c r="A5092" s="562"/>
      <c r="B5092" s="562"/>
      <c r="C5092" s="562"/>
      <c r="D5092" s="562"/>
      <c r="E5092" s="562"/>
      <c r="F5092" s="562"/>
      <c r="G5092" s="562"/>
      <c r="H5092" s="562"/>
      <c r="I5092" s="562"/>
      <c r="J5092" s="562"/>
    </row>
    <row r="5093" spans="1:10" x14ac:dyDescent="0.3">
      <c r="A5093" s="553"/>
      <c r="B5093" s="554" t="s">
        <v>4</v>
      </c>
      <c r="C5093" s="553" t="s">
        <v>5</v>
      </c>
      <c r="D5093" s="553" t="s">
        <v>6</v>
      </c>
      <c r="E5093" s="691" t="s">
        <v>427</v>
      </c>
      <c r="F5093" s="691"/>
      <c r="G5093" s="555" t="s">
        <v>7</v>
      </c>
      <c r="H5093" s="554" t="s">
        <v>8</v>
      </c>
      <c r="I5093" s="554" t="s">
        <v>9</v>
      </c>
      <c r="J5093" s="554" t="s">
        <v>11</v>
      </c>
    </row>
    <row r="5094" spans="1:10" ht="14.25" customHeight="1" x14ac:dyDescent="0.3">
      <c r="A5094" s="607" t="s">
        <v>428</v>
      </c>
      <c r="B5094" s="608" t="s">
        <v>2029</v>
      </c>
      <c r="C5094" s="607" t="s">
        <v>115</v>
      </c>
      <c r="D5094" s="607" t="s">
        <v>2030</v>
      </c>
      <c r="E5094" s="690" t="s">
        <v>402</v>
      </c>
      <c r="F5094" s="690"/>
      <c r="G5094" s="609" t="s">
        <v>593</v>
      </c>
      <c r="H5094" s="610">
        <v>1</v>
      </c>
      <c r="I5094" s="611">
        <v>0.68</v>
      </c>
      <c r="J5094" s="611">
        <v>0.68</v>
      </c>
    </row>
    <row r="5095" spans="1:10" ht="14.25" customHeight="1" x14ac:dyDescent="0.3">
      <c r="A5095" s="691" t="s">
        <v>408</v>
      </c>
      <c r="B5095" s="692" t="s">
        <v>4</v>
      </c>
      <c r="C5095" s="691" t="s">
        <v>5</v>
      </c>
      <c r="D5095" s="691" t="s">
        <v>462</v>
      </c>
      <c r="E5095" s="692" t="s">
        <v>463</v>
      </c>
      <c r="F5095" s="694" t="s">
        <v>464</v>
      </c>
      <c r="G5095" s="692"/>
      <c r="H5095" s="694" t="s">
        <v>465</v>
      </c>
      <c r="I5095" s="692"/>
      <c r="J5095" s="692" t="s">
        <v>466</v>
      </c>
    </row>
    <row r="5096" spans="1:10" ht="14.25" customHeight="1" x14ac:dyDescent="0.3">
      <c r="A5096" s="692"/>
      <c r="B5096" s="692"/>
      <c r="C5096" s="692"/>
      <c r="D5096" s="692"/>
      <c r="E5096" s="692"/>
      <c r="F5096" s="554" t="s">
        <v>467</v>
      </c>
      <c r="G5096" s="554" t="s">
        <v>468</v>
      </c>
      <c r="H5096" s="554" t="s">
        <v>467</v>
      </c>
      <c r="I5096" s="554" t="s">
        <v>468</v>
      </c>
      <c r="J5096" s="692"/>
    </row>
    <row r="5097" spans="1:10" x14ac:dyDescent="0.3">
      <c r="A5097" s="547" t="s">
        <v>433</v>
      </c>
      <c r="B5097" s="548" t="s">
        <v>1181</v>
      </c>
      <c r="C5097" s="547" t="s">
        <v>115</v>
      </c>
      <c r="D5097" s="547" t="s">
        <v>1182</v>
      </c>
      <c r="E5097" s="550">
        <v>1</v>
      </c>
      <c r="F5097" s="551">
        <v>1</v>
      </c>
      <c r="G5097" s="551">
        <v>0</v>
      </c>
      <c r="H5097" s="563">
        <v>252.2268</v>
      </c>
      <c r="I5097" s="563">
        <v>70.313900000000004</v>
      </c>
      <c r="J5097" s="563">
        <v>252.2268</v>
      </c>
    </row>
    <row r="5098" spans="1:10" ht="14.25" customHeight="1" x14ac:dyDescent="0.3">
      <c r="A5098" s="689"/>
      <c r="B5098" s="689"/>
      <c r="C5098" s="689"/>
      <c r="D5098" s="689"/>
      <c r="E5098" s="689"/>
      <c r="F5098" s="689" t="s">
        <v>471</v>
      </c>
      <c r="G5098" s="689"/>
      <c r="H5098" s="689"/>
      <c r="I5098" s="689"/>
      <c r="J5098" s="564">
        <v>252.2268</v>
      </c>
    </row>
    <row r="5099" spans="1:10" ht="14.25" customHeight="1" x14ac:dyDescent="0.3">
      <c r="A5099" s="689"/>
      <c r="B5099" s="689"/>
      <c r="C5099" s="689"/>
      <c r="D5099" s="689"/>
      <c r="E5099" s="689"/>
      <c r="F5099" s="689" t="s">
        <v>472</v>
      </c>
      <c r="G5099" s="689"/>
      <c r="H5099" s="689"/>
      <c r="I5099" s="689"/>
      <c r="J5099" s="564">
        <v>252.2268</v>
      </c>
    </row>
    <row r="5100" spans="1:10" ht="15" customHeight="1" x14ac:dyDescent="0.3">
      <c r="A5100" s="689"/>
      <c r="B5100" s="689"/>
      <c r="C5100" s="689"/>
      <c r="D5100" s="689"/>
      <c r="E5100" s="689"/>
      <c r="F5100" s="689" t="s">
        <v>473</v>
      </c>
      <c r="G5100" s="689"/>
      <c r="H5100" s="689"/>
      <c r="I5100" s="689"/>
      <c r="J5100" s="564">
        <v>0</v>
      </c>
    </row>
    <row r="5101" spans="1:10" x14ac:dyDescent="0.3">
      <c r="A5101" s="689"/>
      <c r="B5101" s="689"/>
      <c r="C5101" s="689"/>
      <c r="D5101" s="689"/>
      <c r="E5101" s="689"/>
      <c r="F5101" s="689" t="s">
        <v>474</v>
      </c>
      <c r="G5101" s="689"/>
      <c r="H5101" s="689"/>
      <c r="I5101" s="689"/>
      <c r="J5101" s="564">
        <v>0</v>
      </c>
    </row>
    <row r="5102" spans="1:10" ht="14.25" customHeight="1" x14ac:dyDescent="0.3">
      <c r="A5102" s="689"/>
      <c r="B5102" s="689"/>
      <c r="C5102" s="689"/>
      <c r="D5102" s="689"/>
      <c r="E5102" s="689"/>
      <c r="F5102" s="689" t="s">
        <v>475</v>
      </c>
      <c r="G5102" s="689"/>
      <c r="H5102" s="689"/>
      <c r="I5102" s="689"/>
      <c r="J5102" s="564">
        <v>372.88</v>
      </c>
    </row>
    <row r="5103" spans="1:10" s="89" customFormat="1" ht="15" customHeight="1" thickBot="1" x14ac:dyDescent="0.35">
      <c r="A5103" s="689"/>
      <c r="B5103" s="689"/>
      <c r="C5103" s="689"/>
      <c r="D5103" s="689"/>
      <c r="E5103" s="689"/>
      <c r="F5103" s="689" t="s">
        <v>476</v>
      </c>
      <c r="G5103" s="689"/>
      <c r="H5103" s="689"/>
      <c r="I5103" s="689"/>
      <c r="J5103" s="564">
        <v>0.6764</v>
      </c>
    </row>
    <row r="5104" spans="1:10" ht="14.25" customHeight="1" thickTop="1" x14ac:dyDescent="0.3">
      <c r="A5104" s="562"/>
      <c r="B5104" s="562"/>
      <c r="C5104" s="562"/>
      <c r="D5104" s="562"/>
      <c r="E5104" s="562"/>
      <c r="F5104" s="562"/>
      <c r="G5104" s="562"/>
      <c r="H5104" s="562"/>
      <c r="I5104" s="562"/>
      <c r="J5104" s="562"/>
    </row>
    <row r="5105" spans="1:10" x14ac:dyDescent="0.3">
      <c r="A5105" s="553"/>
      <c r="B5105" s="554" t="s">
        <v>4</v>
      </c>
      <c r="C5105" s="553" t="s">
        <v>5</v>
      </c>
      <c r="D5105" s="553" t="s">
        <v>6</v>
      </c>
      <c r="E5105" s="691" t="s">
        <v>427</v>
      </c>
      <c r="F5105" s="691"/>
      <c r="G5105" s="555" t="s">
        <v>7</v>
      </c>
      <c r="H5105" s="554" t="s">
        <v>8</v>
      </c>
      <c r="I5105" s="554" t="s">
        <v>9</v>
      </c>
      <c r="J5105" s="554" t="s">
        <v>11</v>
      </c>
    </row>
    <row r="5106" spans="1:10" ht="14.25" customHeight="1" x14ac:dyDescent="0.3">
      <c r="A5106" s="607" t="s">
        <v>428</v>
      </c>
      <c r="B5106" s="608" t="s">
        <v>1407</v>
      </c>
      <c r="C5106" s="607" t="s">
        <v>19</v>
      </c>
      <c r="D5106" s="607" t="s">
        <v>1408</v>
      </c>
      <c r="E5106" s="690" t="s">
        <v>429</v>
      </c>
      <c r="F5106" s="690"/>
      <c r="G5106" s="609" t="s">
        <v>423</v>
      </c>
      <c r="H5106" s="610">
        <v>1</v>
      </c>
      <c r="I5106" s="611">
        <v>53.64</v>
      </c>
      <c r="J5106" s="611">
        <v>53.64</v>
      </c>
    </row>
    <row r="5107" spans="1:10" ht="14.25" customHeight="1" x14ac:dyDescent="0.3">
      <c r="A5107" s="547" t="s">
        <v>430</v>
      </c>
      <c r="B5107" s="548" t="s">
        <v>3897</v>
      </c>
      <c r="C5107" s="547" t="s">
        <v>19</v>
      </c>
      <c r="D5107" s="547" t="s">
        <v>3898</v>
      </c>
      <c r="E5107" s="688" t="s">
        <v>429</v>
      </c>
      <c r="F5107" s="688"/>
      <c r="G5107" s="549" t="s">
        <v>423</v>
      </c>
      <c r="H5107" s="550">
        <v>1</v>
      </c>
      <c r="I5107" s="551">
        <v>0.48</v>
      </c>
      <c r="J5107" s="551">
        <v>0.48</v>
      </c>
    </row>
    <row r="5108" spans="1:10" ht="25" x14ac:dyDescent="0.3">
      <c r="A5108" s="547" t="s">
        <v>433</v>
      </c>
      <c r="B5108" s="548" t="s">
        <v>3899</v>
      </c>
      <c r="C5108" s="547" t="s">
        <v>19</v>
      </c>
      <c r="D5108" s="547" t="s">
        <v>3900</v>
      </c>
      <c r="E5108" s="688" t="s">
        <v>436</v>
      </c>
      <c r="F5108" s="688"/>
      <c r="G5108" s="549" t="s">
        <v>423</v>
      </c>
      <c r="H5108" s="550">
        <v>1</v>
      </c>
      <c r="I5108" s="551">
        <v>50.93</v>
      </c>
      <c r="J5108" s="551">
        <v>50.93</v>
      </c>
    </row>
    <row r="5109" spans="1:10" ht="14.25" customHeight="1" x14ac:dyDescent="0.3">
      <c r="A5109" s="547" t="s">
        <v>433</v>
      </c>
      <c r="B5109" s="548" t="s">
        <v>1216</v>
      </c>
      <c r="C5109" s="547" t="s">
        <v>19</v>
      </c>
      <c r="D5109" s="547" t="s">
        <v>3594</v>
      </c>
      <c r="E5109" s="688" t="s">
        <v>862</v>
      </c>
      <c r="F5109" s="688"/>
      <c r="G5109" s="549" t="s">
        <v>423</v>
      </c>
      <c r="H5109" s="550">
        <v>1</v>
      </c>
      <c r="I5109" s="551">
        <v>1.34</v>
      </c>
      <c r="J5109" s="551">
        <v>1.34</v>
      </c>
    </row>
    <row r="5110" spans="1:10" ht="25" x14ac:dyDescent="0.3">
      <c r="A5110" s="547" t="s">
        <v>433</v>
      </c>
      <c r="B5110" s="548" t="s">
        <v>1217</v>
      </c>
      <c r="C5110" s="547" t="s">
        <v>19</v>
      </c>
      <c r="D5110" s="547" t="s">
        <v>3595</v>
      </c>
      <c r="E5110" s="688" t="s">
        <v>531</v>
      </c>
      <c r="F5110" s="688"/>
      <c r="G5110" s="549" t="s">
        <v>423</v>
      </c>
      <c r="H5110" s="550">
        <v>1</v>
      </c>
      <c r="I5110" s="551">
        <v>0.04</v>
      </c>
      <c r="J5110" s="551">
        <v>0.04</v>
      </c>
    </row>
    <row r="5111" spans="1:10" ht="14.25" customHeight="1" x14ac:dyDescent="0.3">
      <c r="A5111" s="547" t="s">
        <v>433</v>
      </c>
      <c r="B5111" s="548" t="s">
        <v>3941</v>
      </c>
      <c r="C5111" s="547" t="s">
        <v>19</v>
      </c>
      <c r="D5111" s="547" t="s">
        <v>3942</v>
      </c>
      <c r="E5111" s="688" t="s">
        <v>438</v>
      </c>
      <c r="F5111" s="688"/>
      <c r="G5111" s="549" t="s">
        <v>423</v>
      </c>
      <c r="H5111" s="550">
        <v>1</v>
      </c>
      <c r="I5111" s="551">
        <v>0.06</v>
      </c>
      <c r="J5111" s="551">
        <v>0.06</v>
      </c>
    </row>
    <row r="5112" spans="1:10" ht="15" customHeight="1" thickBot="1" x14ac:dyDescent="0.35">
      <c r="A5112" s="547" t="s">
        <v>433</v>
      </c>
      <c r="B5112" s="548" t="s">
        <v>3943</v>
      </c>
      <c r="C5112" s="547" t="s">
        <v>19</v>
      </c>
      <c r="D5112" s="547" t="s">
        <v>3944</v>
      </c>
      <c r="E5112" s="688" t="s">
        <v>438</v>
      </c>
      <c r="F5112" s="688"/>
      <c r="G5112" s="549" t="s">
        <v>423</v>
      </c>
      <c r="H5112" s="550">
        <v>1</v>
      </c>
      <c r="I5112" s="551">
        <v>0.79</v>
      </c>
      <c r="J5112" s="551">
        <v>0.79</v>
      </c>
    </row>
    <row r="5113" spans="1:10" ht="14.5" thickTop="1" x14ac:dyDescent="0.3">
      <c r="A5113" s="562"/>
      <c r="B5113" s="562"/>
      <c r="C5113" s="562"/>
      <c r="D5113" s="562"/>
      <c r="E5113" s="562"/>
      <c r="F5113" s="562"/>
      <c r="G5113" s="562"/>
      <c r="H5113" s="562"/>
      <c r="I5113" s="562"/>
      <c r="J5113" s="562"/>
    </row>
    <row r="5114" spans="1:10" ht="14.25" customHeight="1" x14ac:dyDescent="0.3">
      <c r="A5114" s="553"/>
      <c r="B5114" s="554" t="s">
        <v>4</v>
      </c>
      <c r="C5114" s="553" t="s">
        <v>5</v>
      </c>
      <c r="D5114" s="553" t="s">
        <v>6</v>
      </c>
      <c r="E5114" s="691" t="s">
        <v>427</v>
      </c>
      <c r="F5114" s="691"/>
      <c r="G5114" s="555" t="s">
        <v>7</v>
      </c>
      <c r="H5114" s="554" t="s">
        <v>8</v>
      </c>
      <c r="I5114" s="554" t="s">
        <v>9</v>
      </c>
      <c r="J5114" s="554" t="s">
        <v>11</v>
      </c>
    </row>
    <row r="5115" spans="1:10" s="89" customFormat="1" ht="15" customHeight="1" x14ac:dyDescent="0.3">
      <c r="A5115" s="607" t="s">
        <v>428</v>
      </c>
      <c r="B5115" s="608" t="s">
        <v>744</v>
      </c>
      <c r="C5115" s="607" t="s">
        <v>19</v>
      </c>
      <c r="D5115" s="607" t="s">
        <v>745</v>
      </c>
      <c r="E5115" s="690" t="s">
        <v>670</v>
      </c>
      <c r="F5115" s="690"/>
      <c r="G5115" s="609" t="s">
        <v>81</v>
      </c>
      <c r="H5115" s="610">
        <v>1</v>
      </c>
      <c r="I5115" s="611">
        <v>7.14</v>
      </c>
      <c r="J5115" s="611">
        <v>7.14</v>
      </c>
    </row>
    <row r="5116" spans="1:10" ht="15" customHeight="1" x14ac:dyDescent="0.3">
      <c r="A5116" s="547" t="s">
        <v>430</v>
      </c>
      <c r="B5116" s="548" t="s">
        <v>1195</v>
      </c>
      <c r="C5116" s="547" t="s">
        <v>19</v>
      </c>
      <c r="D5116" s="547" t="s">
        <v>1196</v>
      </c>
      <c r="E5116" s="688" t="s">
        <v>429</v>
      </c>
      <c r="F5116" s="688"/>
      <c r="G5116" s="549" t="s">
        <v>423</v>
      </c>
      <c r="H5116" s="550">
        <v>7.6700000000000004E-2</v>
      </c>
      <c r="I5116" s="551">
        <v>23.63</v>
      </c>
      <c r="J5116" s="551">
        <v>1.81</v>
      </c>
    </row>
    <row r="5117" spans="1:10" ht="25" x14ac:dyDescent="0.3">
      <c r="A5117" s="547" t="s">
        <v>430</v>
      </c>
      <c r="B5117" s="548" t="s">
        <v>789</v>
      </c>
      <c r="C5117" s="547" t="s">
        <v>19</v>
      </c>
      <c r="D5117" s="547" t="s">
        <v>790</v>
      </c>
      <c r="E5117" s="688" t="s">
        <v>429</v>
      </c>
      <c r="F5117" s="688"/>
      <c r="G5117" s="549" t="s">
        <v>423</v>
      </c>
      <c r="H5117" s="550">
        <v>7.6700000000000004E-2</v>
      </c>
      <c r="I5117" s="551">
        <v>30.33</v>
      </c>
      <c r="J5117" s="551">
        <v>2.3199999999999998</v>
      </c>
    </row>
    <row r="5118" spans="1:10" ht="14.25" customHeight="1" x14ac:dyDescent="0.3">
      <c r="A5118" s="547" t="s">
        <v>433</v>
      </c>
      <c r="B5118" s="548" t="s">
        <v>1207</v>
      </c>
      <c r="C5118" s="547" t="s">
        <v>19</v>
      </c>
      <c r="D5118" s="547" t="s">
        <v>1208</v>
      </c>
      <c r="E5118" s="688" t="s">
        <v>438</v>
      </c>
      <c r="F5118" s="688"/>
      <c r="G5118" s="549" t="s">
        <v>81</v>
      </c>
      <c r="H5118" s="550">
        <v>1.06E-2</v>
      </c>
      <c r="I5118" s="551">
        <v>72.09</v>
      </c>
      <c r="J5118" s="551">
        <v>0.76</v>
      </c>
    </row>
    <row r="5119" spans="1:10" ht="14.25" customHeight="1" x14ac:dyDescent="0.3">
      <c r="A5119" s="547" t="s">
        <v>433</v>
      </c>
      <c r="B5119" s="548" t="s">
        <v>2031</v>
      </c>
      <c r="C5119" s="547" t="s">
        <v>19</v>
      </c>
      <c r="D5119" s="547" t="s">
        <v>2032</v>
      </c>
      <c r="E5119" s="688" t="s">
        <v>438</v>
      </c>
      <c r="F5119" s="688"/>
      <c r="G5119" s="549" t="s">
        <v>81</v>
      </c>
      <c r="H5119" s="550">
        <v>1</v>
      </c>
      <c r="I5119" s="551">
        <v>1.25</v>
      </c>
      <c r="J5119" s="551">
        <v>1.25</v>
      </c>
    </row>
    <row r="5120" spans="1:10" ht="14.25" customHeight="1" x14ac:dyDescent="0.3">
      <c r="A5120" s="547" t="s">
        <v>433</v>
      </c>
      <c r="B5120" s="548" t="s">
        <v>1199</v>
      </c>
      <c r="C5120" s="547" t="s">
        <v>19</v>
      </c>
      <c r="D5120" s="547" t="s">
        <v>1200</v>
      </c>
      <c r="E5120" s="688" t="s">
        <v>438</v>
      </c>
      <c r="F5120" s="688"/>
      <c r="G5120" s="549" t="s">
        <v>81</v>
      </c>
      <c r="H5120" s="550">
        <v>1.2E-2</v>
      </c>
      <c r="I5120" s="551">
        <v>81.680000000000007</v>
      </c>
      <c r="J5120" s="551">
        <v>0.98</v>
      </c>
    </row>
    <row r="5121" spans="1:10" ht="14.25" customHeight="1" thickBot="1" x14ac:dyDescent="0.35">
      <c r="A5121" s="547" t="s">
        <v>433</v>
      </c>
      <c r="B5121" s="548" t="s">
        <v>1201</v>
      </c>
      <c r="C5121" s="547" t="s">
        <v>19</v>
      </c>
      <c r="D5121" s="547" t="s">
        <v>1202</v>
      </c>
      <c r="E5121" s="688" t="s">
        <v>438</v>
      </c>
      <c r="F5121" s="688"/>
      <c r="G5121" s="549" t="s">
        <v>81</v>
      </c>
      <c r="H5121" s="550">
        <v>9.5999999999999992E-3</v>
      </c>
      <c r="I5121" s="551">
        <v>2.38</v>
      </c>
      <c r="J5121" s="551">
        <v>0.02</v>
      </c>
    </row>
    <row r="5122" spans="1:10" ht="14.5" thickTop="1" x14ac:dyDescent="0.3">
      <c r="A5122" s="562"/>
      <c r="B5122" s="562"/>
      <c r="C5122" s="562"/>
      <c r="D5122" s="562"/>
      <c r="E5122" s="562"/>
      <c r="F5122" s="562"/>
      <c r="G5122" s="562"/>
      <c r="H5122" s="562"/>
      <c r="I5122" s="562"/>
      <c r="J5122" s="562"/>
    </row>
    <row r="5123" spans="1:10" ht="14.25" customHeight="1" x14ac:dyDescent="0.3">
      <c r="A5123" s="553"/>
      <c r="B5123" s="554" t="s">
        <v>4</v>
      </c>
      <c r="C5123" s="553" t="s">
        <v>5</v>
      </c>
      <c r="D5123" s="553" t="s">
        <v>6</v>
      </c>
      <c r="E5123" s="691" t="s">
        <v>427</v>
      </c>
      <c r="F5123" s="691"/>
      <c r="G5123" s="555" t="s">
        <v>7</v>
      </c>
      <c r="H5123" s="554" t="s">
        <v>8</v>
      </c>
      <c r="I5123" s="554" t="s">
        <v>9</v>
      </c>
      <c r="J5123" s="554" t="s">
        <v>11</v>
      </c>
    </row>
    <row r="5124" spans="1:10" ht="15" customHeight="1" x14ac:dyDescent="0.3">
      <c r="A5124" s="607" t="s">
        <v>428</v>
      </c>
      <c r="B5124" s="608" t="s">
        <v>1006</v>
      </c>
      <c r="C5124" s="607" t="s">
        <v>19</v>
      </c>
      <c r="D5124" s="607" t="s">
        <v>1007</v>
      </c>
      <c r="E5124" s="690" t="s">
        <v>461</v>
      </c>
      <c r="F5124" s="690"/>
      <c r="G5124" s="609" t="s">
        <v>102</v>
      </c>
      <c r="H5124" s="610">
        <v>1</v>
      </c>
      <c r="I5124" s="611">
        <v>292.55</v>
      </c>
      <c r="J5124" s="611">
        <v>292.55</v>
      </c>
    </row>
    <row r="5125" spans="1:10" ht="25.5" customHeight="1" x14ac:dyDescent="0.3">
      <c r="A5125" s="547" t="s">
        <v>430</v>
      </c>
      <c r="B5125" s="548" t="s">
        <v>2033</v>
      </c>
      <c r="C5125" s="547" t="s">
        <v>19</v>
      </c>
      <c r="D5125" s="547" t="s">
        <v>2034</v>
      </c>
      <c r="E5125" s="688" t="s">
        <v>461</v>
      </c>
      <c r="F5125" s="688"/>
      <c r="G5125" s="549" t="s">
        <v>423</v>
      </c>
      <c r="H5125" s="550">
        <v>1</v>
      </c>
      <c r="I5125" s="551">
        <v>193.24</v>
      </c>
      <c r="J5125" s="551">
        <v>193.24</v>
      </c>
    </row>
    <row r="5126" spans="1:10" ht="14.25" customHeight="1" x14ac:dyDescent="0.3">
      <c r="A5126" s="547" t="s">
        <v>430</v>
      </c>
      <c r="B5126" s="548" t="s">
        <v>2035</v>
      </c>
      <c r="C5126" s="547" t="s">
        <v>19</v>
      </c>
      <c r="D5126" s="547" t="s">
        <v>2036</v>
      </c>
      <c r="E5126" s="688" t="s">
        <v>461</v>
      </c>
      <c r="F5126" s="688"/>
      <c r="G5126" s="549" t="s">
        <v>423</v>
      </c>
      <c r="H5126" s="550">
        <v>1</v>
      </c>
      <c r="I5126" s="551">
        <v>59.4</v>
      </c>
      <c r="J5126" s="551">
        <v>59.4</v>
      </c>
    </row>
    <row r="5127" spans="1:10" s="89" customFormat="1" ht="15" customHeight="1" thickBot="1" x14ac:dyDescent="0.35">
      <c r="A5127" s="547" t="s">
        <v>430</v>
      </c>
      <c r="B5127" s="548" t="s">
        <v>1754</v>
      </c>
      <c r="C5127" s="547" t="s">
        <v>19</v>
      </c>
      <c r="D5127" s="547" t="s">
        <v>1755</v>
      </c>
      <c r="E5127" s="688" t="s">
        <v>429</v>
      </c>
      <c r="F5127" s="688"/>
      <c r="G5127" s="549" t="s">
        <v>423</v>
      </c>
      <c r="H5127" s="550">
        <v>1</v>
      </c>
      <c r="I5127" s="551">
        <v>39.909999999999997</v>
      </c>
      <c r="J5127" s="551">
        <v>39.909999999999997</v>
      </c>
    </row>
    <row r="5128" spans="1:10" ht="14.25" customHeight="1" thickTop="1" x14ac:dyDescent="0.3">
      <c r="A5128" s="562"/>
      <c r="B5128" s="562"/>
      <c r="C5128" s="562"/>
      <c r="D5128" s="562"/>
      <c r="E5128" s="562"/>
      <c r="F5128" s="562"/>
      <c r="G5128" s="562"/>
      <c r="H5128" s="562"/>
      <c r="I5128" s="562"/>
      <c r="J5128" s="562"/>
    </row>
    <row r="5129" spans="1:10" x14ac:dyDescent="0.3">
      <c r="A5129" s="553"/>
      <c r="B5129" s="554" t="s">
        <v>4</v>
      </c>
      <c r="C5129" s="553" t="s">
        <v>5</v>
      </c>
      <c r="D5129" s="553" t="s">
        <v>6</v>
      </c>
      <c r="E5129" s="691" t="s">
        <v>427</v>
      </c>
      <c r="F5129" s="691"/>
      <c r="G5129" s="555" t="s">
        <v>7</v>
      </c>
      <c r="H5129" s="554" t="s">
        <v>8</v>
      </c>
      <c r="I5129" s="554" t="s">
        <v>9</v>
      </c>
      <c r="J5129" s="554" t="s">
        <v>11</v>
      </c>
    </row>
    <row r="5130" spans="1:10" ht="14.25" customHeight="1" x14ac:dyDescent="0.3">
      <c r="A5130" s="607" t="s">
        <v>428</v>
      </c>
      <c r="B5130" s="608" t="s">
        <v>1004</v>
      </c>
      <c r="C5130" s="607" t="s">
        <v>19</v>
      </c>
      <c r="D5130" s="607" t="s">
        <v>1005</v>
      </c>
      <c r="E5130" s="690" t="s">
        <v>461</v>
      </c>
      <c r="F5130" s="690"/>
      <c r="G5130" s="609" t="s">
        <v>95</v>
      </c>
      <c r="H5130" s="610">
        <v>1</v>
      </c>
      <c r="I5130" s="611">
        <v>4427.25</v>
      </c>
      <c r="J5130" s="611">
        <v>4427.25</v>
      </c>
    </row>
    <row r="5131" spans="1:10" ht="14.25" customHeight="1" x14ac:dyDescent="0.3">
      <c r="A5131" s="547" t="s">
        <v>430</v>
      </c>
      <c r="B5131" s="548" t="s">
        <v>2033</v>
      </c>
      <c r="C5131" s="547" t="s">
        <v>19</v>
      </c>
      <c r="D5131" s="547" t="s">
        <v>2034</v>
      </c>
      <c r="E5131" s="688" t="s">
        <v>461</v>
      </c>
      <c r="F5131" s="688"/>
      <c r="G5131" s="549" t="s">
        <v>423</v>
      </c>
      <c r="H5131" s="550">
        <v>1</v>
      </c>
      <c r="I5131" s="551">
        <v>193.24</v>
      </c>
      <c r="J5131" s="551">
        <v>193.24</v>
      </c>
    </row>
    <row r="5132" spans="1:10" ht="14.25" customHeight="1" x14ac:dyDescent="0.3">
      <c r="A5132" s="547" t="s">
        <v>430</v>
      </c>
      <c r="B5132" s="548" t="s">
        <v>2035</v>
      </c>
      <c r="C5132" s="547" t="s">
        <v>19</v>
      </c>
      <c r="D5132" s="547" t="s">
        <v>2036</v>
      </c>
      <c r="E5132" s="688" t="s">
        <v>461</v>
      </c>
      <c r="F5132" s="688"/>
      <c r="G5132" s="549" t="s">
        <v>423</v>
      </c>
      <c r="H5132" s="550">
        <v>1</v>
      </c>
      <c r="I5132" s="551">
        <v>59.4</v>
      </c>
      <c r="J5132" s="551">
        <v>59.4</v>
      </c>
    </row>
    <row r="5133" spans="1:10" ht="14.25" customHeight="1" x14ac:dyDescent="0.3">
      <c r="A5133" s="547" t="s">
        <v>430</v>
      </c>
      <c r="B5133" s="548" t="s">
        <v>2037</v>
      </c>
      <c r="C5133" s="547" t="s">
        <v>19</v>
      </c>
      <c r="D5133" s="547" t="s">
        <v>2038</v>
      </c>
      <c r="E5133" s="688" t="s">
        <v>461</v>
      </c>
      <c r="F5133" s="688"/>
      <c r="G5133" s="549" t="s">
        <v>423</v>
      </c>
      <c r="H5133" s="550">
        <v>1</v>
      </c>
      <c r="I5133" s="551">
        <v>241.74</v>
      </c>
      <c r="J5133" s="551">
        <v>241.74</v>
      </c>
    </row>
    <row r="5134" spans="1:10" ht="25.5" customHeight="1" x14ac:dyDescent="0.3">
      <c r="A5134" s="547" t="s">
        <v>430</v>
      </c>
      <c r="B5134" s="548" t="s">
        <v>2039</v>
      </c>
      <c r="C5134" s="547" t="s">
        <v>19</v>
      </c>
      <c r="D5134" s="547" t="s">
        <v>2040</v>
      </c>
      <c r="E5134" s="688" t="s">
        <v>461</v>
      </c>
      <c r="F5134" s="688"/>
      <c r="G5134" s="549" t="s">
        <v>423</v>
      </c>
      <c r="H5134" s="550">
        <v>1</v>
      </c>
      <c r="I5134" s="551">
        <v>3892.96</v>
      </c>
      <c r="J5134" s="551">
        <v>3892.96</v>
      </c>
    </row>
    <row r="5135" spans="1:10" ht="14.25" customHeight="1" thickBot="1" x14ac:dyDescent="0.35">
      <c r="A5135" s="547" t="s">
        <v>430</v>
      </c>
      <c r="B5135" s="548" t="s">
        <v>1754</v>
      </c>
      <c r="C5135" s="547" t="s">
        <v>19</v>
      </c>
      <c r="D5135" s="547" t="s">
        <v>1755</v>
      </c>
      <c r="E5135" s="688" t="s">
        <v>429</v>
      </c>
      <c r="F5135" s="688"/>
      <c r="G5135" s="549" t="s">
        <v>423</v>
      </c>
      <c r="H5135" s="550">
        <v>1</v>
      </c>
      <c r="I5135" s="551">
        <v>39.909999999999997</v>
      </c>
      <c r="J5135" s="551">
        <v>39.909999999999997</v>
      </c>
    </row>
    <row r="5136" spans="1:10" ht="14.5" thickTop="1" x14ac:dyDescent="0.3">
      <c r="A5136" s="562"/>
      <c r="B5136" s="562"/>
      <c r="C5136" s="562"/>
      <c r="D5136" s="562"/>
      <c r="E5136" s="562"/>
      <c r="F5136" s="562"/>
      <c r="G5136" s="562"/>
      <c r="H5136" s="562"/>
      <c r="I5136" s="562"/>
      <c r="J5136" s="562"/>
    </row>
    <row r="5137" spans="1:10" x14ac:dyDescent="0.3">
      <c r="A5137" s="553"/>
      <c r="B5137" s="554" t="s">
        <v>4</v>
      </c>
      <c r="C5137" s="553" t="s">
        <v>5</v>
      </c>
      <c r="D5137" s="553" t="s">
        <v>6</v>
      </c>
      <c r="E5137" s="691" t="s">
        <v>427</v>
      </c>
      <c r="F5137" s="691"/>
      <c r="G5137" s="555" t="s">
        <v>7</v>
      </c>
      <c r="H5137" s="554" t="s">
        <v>8</v>
      </c>
      <c r="I5137" s="554" t="s">
        <v>9</v>
      </c>
      <c r="J5137" s="554" t="s">
        <v>11</v>
      </c>
    </row>
    <row r="5138" spans="1:10" ht="14.25" customHeight="1" x14ac:dyDescent="0.3">
      <c r="A5138" s="607" t="s">
        <v>428</v>
      </c>
      <c r="B5138" s="608" t="s">
        <v>2033</v>
      </c>
      <c r="C5138" s="607" t="s">
        <v>19</v>
      </c>
      <c r="D5138" s="607" t="s">
        <v>2034</v>
      </c>
      <c r="E5138" s="690" t="s">
        <v>461</v>
      </c>
      <c r="F5138" s="690"/>
      <c r="G5138" s="609" t="s">
        <v>423</v>
      </c>
      <c r="H5138" s="610">
        <v>1</v>
      </c>
      <c r="I5138" s="611">
        <v>193.24</v>
      </c>
      <c r="J5138" s="611">
        <v>193.24</v>
      </c>
    </row>
    <row r="5139" spans="1:10" s="89" customFormat="1" ht="15" customHeight="1" thickBot="1" x14ac:dyDescent="0.35">
      <c r="A5139" s="547" t="s">
        <v>433</v>
      </c>
      <c r="B5139" s="548" t="s">
        <v>2041</v>
      </c>
      <c r="C5139" s="547" t="s">
        <v>19</v>
      </c>
      <c r="D5139" s="547" t="s">
        <v>2042</v>
      </c>
      <c r="E5139" s="688" t="s">
        <v>438</v>
      </c>
      <c r="F5139" s="688"/>
      <c r="G5139" s="549" t="s">
        <v>81</v>
      </c>
      <c r="H5139" s="550">
        <v>5.1400000000000003E-5</v>
      </c>
      <c r="I5139" s="551">
        <v>3759679.2</v>
      </c>
      <c r="J5139" s="551">
        <v>193.24</v>
      </c>
    </row>
    <row r="5140" spans="1:10" ht="14.25" customHeight="1" thickTop="1" x14ac:dyDescent="0.3">
      <c r="A5140" s="562"/>
      <c r="B5140" s="562"/>
      <c r="C5140" s="562"/>
      <c r="D5140" s="562"/>
      <c r="E5140" s="562"/>
      <c r="F5140" s="562"/>
      <c r="G5140" s="562"/>
      <c r="H5140" s="562"/>
      <c r="I5140" s="562"/>
      <c r="J5140" s="562"/>
    </row>
    <row r="5141" spans="1:10" x14ac:dyDescent="0.3">
      <c r="A5141" s="553"/>
      <c r="B5141" s="554" t="s">
        <v>4</v>
      </c>
      <c r="C5141" s="553" t="s">
        <v>5</v>
      </c>
      <c r="D5141" s="553" t="s">
        <v>6</v>
      </c>
      <c r="E5141" s="691" t="s">
        <v>427</v>
      </c>
      <c r="F5141" s="691"/>
      <c r="G5141" s="555" t="s">
        <v>7</v>
      </c>
      <c r="H5141" s="554" t="s">
        <v>8</v>
      </c>
      <c r="I5141" s="554" t="s">
        <v>9</v>
      </c>
      <c r="J5141" s="554" t="s">
        <v>11</v>
      </c>
    </row>
    <row r="5142" spans="1:10" ht="14.25" customHeight="1" x14ac:dyDescent="0.3">
      <c r="A5142" s="607" t="s">
        <v>428</v>
      </c>
      <c r="B5142" s="608" t="s">
        <v>2035</v>
      </c>
      <c r="C5142" s="607" t="s">
        <v>19</v>
      </c>
      <c r="D5142" s="607" t="s">
        <v>2036</v>
      </c>
      <c r="E5142" s="690" t="s">
        <v>461</v>
      </c>
      <c r="F5142" s="690"/>
      <c r="G5142" s="609" t="s">
        <v>423</v>
      </c>
      <c r="H5142" s="610">
        <v>1</v>
      </c>
      <c r="I5142" s="611">
        <v>59.4</v>
      </c>
      <c r="J5142" s="611">
        <v>59.4</v>
      </c>
    </row>
    <row r="5143" spans="1:10" ht="14.25" customHeight="1" thickBot="1" x14ac:dyDescent="0.35">
      <c r="A5143" s="547" t="s">
        <v>433</v>
      </c>
      <c r="B5143" s="548" t="s">
        <v>2041</v>
      </c>
      <c r="C5143" s="547" t="s">
        <v>19</v>
      </c>
      <c r="D5143" s="547" t="s">
        <v>2042</v>
      </c>
      <c r="E5143" s="688" t="s">
        <v>438</v>
      </c>
      <c r="F5143" s="688"/>
      <c r="G5143" s="549" t="s">
        <v>81</v>
      </c>
      <c r="H5143" s="550">
        <v>1.5800000000000001E-5</v>
      </c>
      <c r="I5143" s="551">
        <v>3759679.2</v>
      </c>
      <c r="J5143" s="551">
        <v>59.4</v>
      </c>
    </row>
    <row r="5144" spans="1:10" ht="14.25" customHeight="1" thickTop="1" x14ac:dyDescent="0.3">
      <c r="A5144" s="562"/>
      <c r="B5144" s="562"/>
      <c r="C5144" s="562"/>
      <c r="D5144" s="562"/>
      <c r="E5144" s="562"/>
      <c r="F5144" s="562"/>
      <c r="G5144" s="562"/>
      <c r="H5144" s="562"/>
      <c r="I5144" s="562"/>
      <c r="J5144" s="562"/>
    </row>
    <row r="5145" spans="1:10" ht="14.25" customHeight="1" x14ac:dyDescent="0.3">
      <c r="A5145" s="553"/>
      <c r="B5145" s="554" t="s">
        <v>4</v>
      </c>
      <c r="C5145" s="553" t="s">
        <v>5</v>
      </c>
      <c r="D5145" s="553" t="s">
        <v>6</v>
      </c>
      <c r="E5145" s="691" t="s">
        <v>427</v>
      </c>
      <c r="F5145" s="691"/>
      <c r="G5145" s="555" t="s">
        <v>7</v>
      </c>
      <c r="H5145" s="554" t="s">
        <v>8</v>
      </c>
      <c r="I5145" s="554" t="s">
        <v>9</v>
      </c>
      <c r="J5145" s="554" t="s">
        <v>11</v>
      </c>
    </row>
    <row r="5146" spans="1:10" ht="14.25" customHeight="1" x14ac:dyDescent="0.3">
      <c r="A5146" s="607" t="s">
        <v>428</v>
      </c>
      <c r="B5146" s="608" t="s">
        <v>2037</v>
      </c>
      <c r="C5146" s="607" t="s">
        <v>19</v>
      </c>
      <c r="D5146" s="607" t="s">
        <v>2038</v>
      </c>
      <c r="E5146" s="690" t="s">
        <v>461</v>
      </c>
      <c r="F5146" s="690"/>
      <c r="G5146" s="609" t="s">
        <v>423</v>
      </c>
      <c r="H5146" s="610">
        <v>1</v>
      </c>
      <c r="I5146" s="611">
        <v>241.74</v>
      </c>
      <c r="J5146" s="611">
        <v>241.74</v>
      </c>
    </row>
    <row r="5147" spans="1:10" ht="14.25" customHeight="1" thickBot="1" x14ac:dyDescent="0.35">
      <c r="A5147" s="547" t="s">
        <v>433</v>
      </c>
      <c r="B5147" s="548" t="s">
        <v>2041</v>
      </c>
      <c r="C5147" s="547" t="s">
        <v>19</v>
      </c>
      <c r="D5147" s="547" t="s">
        <v>2042</v>
      </c>
      <c r="E5147" s="688" t="s">
        <v>438</v>
      </c>
      <c r="F5147" s="688"/>
      <c r="G5147" s="549" t="s">
        <v>81</v>
      </c>
      <c r="H5147" s="550">
        <v>6.4300000000000004E-5</v>
      </c>
      <c r="I5147" s="551">
        <v>3759679.2</v>
      </c>
      <c r="J5147" s="551">
        <v>241.74</v>
      </c>
    </row>
    <row r="5148" spans="1:10" ht="14.5" thickTop="1" x14ac:dyDescent="0.3">
      <c r="A5148" s="562"/>
      <c r="B5148" s="562"/>
      <c r="C5148" s="562"/>
      <c r="D5148" s="562"/>
      <c r="E5148" s="562"/>
      <c r="F5148" s="562"/>
      <c r="G5148" s="562"/>
      <c r="H5148" s="562"/>
      <c r="I5148" s="562"/>
      <c r="J5148" s="562"/>
    </row>
    <row r="5149" spans="1:10" x14ac:dyDescent="0.3">
      <c r="A5149" s="553"/>
      <c r="B5149" s="554" t="s">
        <v>4</v>
      </c>
      <c r="C5149" s="553" t="s">
        <v>5</v>
      </c>
      <c r="D5149" s="553" t="s">
        <v>6</v>
      </c>
      <c r="E5149" s="691" t="s">
        <v>427</v>
      </c>
      <c r="F5149" s="691"/>
      <c r="G5149" s="555" t="s">
        <v>7</v>
      </c>
      <c r="H5149" s="554" t="s">
        <v>8</v>
      </c>
      <c r="I5149" s="554" t="s">
        <v>9</v>
      </c>
      <c r="J5149" s="554" t="s">
        <v>11</v>
      </c>
    </row>
    <row r="5150" spans="1:10" ht="25.5" customHeight="1" x14ac:dyDescent="0.3">
      <c r="A5150" s="607" t="s">
        <v>428</v>
      </c>
      <c r="B5150" s="608" t="s">
        <v>2039</v>
      </c>
      <c r="C5150" s="607" t="s">
        <v>19</v>
      </c>
      <c r="D5150" s="607" t="s">
        <v>2040</v>
      </c>
      <c r="E5150" s="690" t="s">
        <v>461</v>
      </c>
      <c r="F5150" s="690"/>
      <c r="G5150" s="609" t="s">
        <v>423</v>
      </c>
      <c r="H5150" s="610">
        <v>1</v>
      </c>
      <c r="I5150" s="611">
        <v>3892.96</v>
      </c>
      <c r="J5150" s="611">
        <v>3892.96</v>
      </c>
    </row>
    <row r="5151" spans="1:10" s="89" customFormat="1" ht="14.5" thickBot="1" x14ac:dyDescent="0.35">
      <c r="A5151" s="547" t="s">
        <v>433</v>
      </c>
      <c r="B5151" s="548" t="s">
        <v>3859</v>
      </c>
      <c r="C5151" s="547" t="s">
        <v>115</v>
      </c>
      <c r="D5151" s="547" t="s">
        <v>3860</v>
      </c>
      <c r="E5151" s="688" t="s">
        <v>438</v>
      </c>
      <c r="F5151" s="688"/>
      <c r="G5151" s="549" t="s">
        <v>835</v>
      </c>
      <c r="H5151" s="550">
        <v>720</v>
      </c>
      <c r="I5151" s="551">
        <v>5.4069000000000003</v>
      </c>
      <c r="J5151" s="551">
        <v>3892.96</v>
      </c>
    </row>
    <row r="5152" spans="1:10" ht="14.5" thickTop="1" x14ac:dyDescent="0.3">
      <c r="A5152" s="562"/>
      <c r="B5152" s="562"/>
      <c r="C5152" s="562"/>
      <c r="D5152" s="562"/>
      <c r="E5152" s="562"/>
      <c r="F5152" s="562"/>
      <c r="G5152" s="562"/>
      <c r="H5152" s="562"/>
      <c r="I5152" s="562"/>
      <c r="J5152" s="562"/>
    </row>
    <row r="5153" spans="1:10" x14ac:dyDescent="0.3">
      <c r="A5153" s="553"/>
      <c r="B5153" s="554" t="s">
        <v>4</v>
      </c>
      <c r="C5153" s="553" t="s">
        <v>5</v>
      </c>
      <c r="D5153" s="553" t="s">
        <v>6</v>
      </c>
      <c r="E5153" s="691" t="s">
        <v>427</v>
      </c>
      <c r="F5153" s="691"/>
      <c r="G5153" s="555" t="s">
        <v>7</v>
      </c>
      <c r="H5153" s="554" t="s">
        <v>8</v>
      </c>
      <c r="I5153" s="554" t="s">
        <v>9</v>
      </c>
      <c r="J5153" s="554" t="s">
        <v>11</v>
      </c>
    </row>
    <row r="5154" spans="1:10" x14ac:dyDescent="0.3">
      <c r="A5154" s="607" t="s">
        <v>428</v>
      </c>
      <c r="B5154" s="608" t="s">
        <v>2043</v>
      </c>
      <c r="C5154" s="607" t="s">
        <v>115</v>
      </c>
      <c r="D5154" s="607" t="s">
        <v>982</v>
      </c>
      <c r="E5154" s="690" t="s">
        <v>402</v>
      </c>
      <c r="F5154" s="690"/>
      <c r="G5154" s="609" t="s">
        <v>532</v>
      </c>
      <c r="H5154" s="610">
        <v>1</v>
      </c>
      <c r="I5154" s="611">
        <v>193.22</v>
      </c>
      <c r="J5154" s="611">
        <v>193.22</v>
      </c>
    </row>
    <row r="5155" spans="1:10" ht="14.25" customHeight="1" x14ac:dyDescent="0.3">
      <c r="A5155" s="691" t="s">
        <v>408</v>
      </c>
      <c r="B5155" s="692" t="s">
        <v>4</v>
      </c>
      <c r="C5155" s="691" t="s">
        <v>5</v>
      </c>
      <c r="D5155" s="691" t="s">
        <v>462</v>
      </c>
      <c r="E5155" s="692" t="s">
        <v>463</v>
      </c>
      <c r="F5155" s="694" t="s">
        <v>464</v>
      </c>
      <c r="G5155" s="692"/>
      <c r="H5155" s="694" t="s">
        <v>465</v>
      </c>
      <c r="I5155" s="692"/>
      <c r="J5155" s="692" t="s">
        <v>466</v>
      </c>
    </row>
    <row r="5156" spans="1:10" ht="14.25" customHeight="1" x14ac:dyDescent="0.3">
      <c r="A5156" s="692"/>
      <c r="B5156" s="692"/>
      <c r="C5156" s="692"/>
      <c r="D5156" s="692"/>
      <c r="E5156" s="692"/>
      <c r="F5156" s="554" t="s">
        <v>467</v>
      </c>
      <c r="G5156" s="554" t="s">
        <v>468</v>
      </c>
      <c r="H5156" s="554" t="s">
        <v>467</v>
      </c>
      <c r="I5156" s="554" t="s">
        <v>468</v>
      </c>
      <c r="J5156" s="692"/>
    </row>
    <row r="5157" spans="1:10" x14ac:dyDescent="0.3">
      <c r="A5157" s="547" t="s">
        <v>433</v>
      </c>
      <c r="B5157" s="548" t="s">
        <v>2044</v>
      </c>
      <c r="C5157" s="547" t="s">
        <v>115</v>
      </c>
      <c r="D5157" s="547" t="s">
        <v>2045</v>
      </c>
      <c r="E5157" s="550">
        <v>2</v>
      </c>
      <c r="F5157" s="551">
        <v>0.56999999999999995</v>
      </c>
      <c r="G5157" s="551">
        <v>0.43</v>
      </c>
      <c r="H5157" s="563">
        <v>437.92329999999998</v>
      </c>
      <c r="I5157" s="563">
        <v>211.322</v>
      </c>
      <c r="J5157" s="563">
        <v>680.96950000000004</v>
      </c>
    </row>
    <row r="5158" spans="1:10" x14ac:dyDescent="0.3">
      <c r="A5158" s="547" t="s">
        <v>433</v>
      </c>
      <c r="B5158" s="548" t="s">
        <v>2046</v>
      </c>
      <c r="C5158" s="547" t="s">
        <v>115</v>
      </c>
      <c r="D5158" s="547" t="s">
        <v>2047</v>
      </c>
      <c r="E5158" s="550">
        <v>1</v>
      </c>
      <c r="F5158" s="551">
        <v>1</v>
      </c>
      <c r="G5158" s="551">
        <v>0</v>
      </c>
      <c r="H5158" s="563">
        <v>105.0414</v>
      </c>
      <c r="I5158" s="563">
        <v>8.2347000000000001</v>
      </c>
      <c r="J5158" s="563">
        <v>105.0414</v>
      </c>
    </row>
    <row r="5159" spans="1:10" x14ac:dyDescent="0.3">
      <c r="A5159" s="547" t="s">
        <v>433</v>
      </c>
      <c r="B5159" s="548" t="s">
        <v>2048</v>
      </c>
      <c r="C5159" s="547" t="s">
        <v>115</v>
      </c>
      <c r="D5159" s="547" t="s">
        <v>2049</v>
      </c>
      <c r="E5159" s="550">
        <v>1</v>
      </c>
      <c r="F5159" s="551">
        <v>1</v>
      </c>
      <c r="G5159" s="551">
        <v>0</v>
      </c>
      <c r="H5159" s="563">
        <v>216.9229</v>
      </c>
      <c r="I5159" s="563">
        <v>142.59880000000001</v>
      </c>
      <c r="J5159" s="563">
        <v>216.9229</v>
      </c>
    </row>
    <row r="5160" spans="1:10" ht="15" customHeight="1" x14ac:dyDescent="0.3">
      <c r="A5160" s="689"/>
      <c r="B5160" s="689"/>
      <c r="C5160" s="689"/>
      <c r="D5160" s="689"/>
      <c r="E5160" s="689"/>
      <c r="F5160" s="689" t="s">
        <v>471</v>
      </c>
      <c r="G5160" s="689"/>
      <c r="H5160" s="689"/>
      <c r="I5160" s="689"/>
      <c r="J5160" s="564">
        <v>1002.9338</v>
      </c>
    </row>
    <row r="5161" spans="1:10" ht="14.25" customHeight="1" x14ac:dyDescent="0.3">
      <c r="A5161" s="689"/>
      <c r="B5161" s="689"/>
      <c r="C5161" s="689"/>
      <c r="D5161" s="689"/>
      <c r="E5161" s="689"/>
      <c r="F5161" s="689" t="s">
        <v>472</v>
      </c>
      <c r="G5161" s="689"/>
      <c r="H5161" s="689"/>
      <c r="I5161" s="689"/>
      <c r="J5161" s="564">
        <v>1002.9338</v>
      </c>
    </row>
    <row r="5162" spans="1:10" ht="14.25" customHeight="1" x14ac:dyDescent="0.3">
      <c r="A5162" s="689"/>
      <c r="B5162" s="689"/>
      <c r="C5162" s="689"/>
      <c r="D5162" s="689"/>
      <c r="E5162" s="689"/>
      <c r="F5162" s="689" t="s">
        <v>473</v>
      </c>
      <c r="G5162" s="689"/>
      <c r="H5162" s="689"/>
      <c r="I5162" s="689"/>
      <c r="J5162" s="564">
        <v>0</v>
      </c>
    </row>
    <row r="5163" spans="1:10" s="89" customFormat="1" x14ac:dyDescent="0.3">
      <c r="A5163" s="689"/>
      <c r="B5163" s="689"/>
      <c r="C5163" s="689"/>
      <c r="D5163" s="689"/>
      <c r="E5163" s="689"/>
      <c r="F5163" s="689" t="s">
        <v>474</v>
      </c>
      <c r="G5163" s="689"/>
      <c r="H5163" s="689"/>
      <c r="I5163" s="689"/>
      <c r="J5163" s="564">
        <v>0</v>
      </c>
    </row>
    <row r="5164" spans="1:10" ht="15" customHeight="1" x14ac:dyDescent="0.3">
      <c r="A5164" s="689"/>
      <c r="B5164" s="689"/>
      <c r="C5164" s="689"/>
      <c r="D5164" s="689"/>
      <c r="E5164" s="689"/>
      <c r="F5164" s="689" t="s">
        <v>475</v>
      </c>
      <c r="G5164" s="689"/>
      <c r="H5164" s="689"/>
      <c r="I5164" s="689"/>
      <c r="J5164" s="564">
        <v>113.18</v>
      </c>
    </row>
    <row r="5165" spans="1:10" ht="25.5" customHeight="1" x14ac:dyDescent="0.3">
      <c r="A5165" s="689"/>
      <c r="B5165" s="689"/>
      <c r="C5165" s="689"/>
      <c r="D5165" s="689"/>
      <c r="E5165" s="689"/>
      <c r="F5165" s="689" t="s">
        <v>476</v>
      </c>
      <c r="G5165" s="689"/>
      <c r="H5165" s="689"/>
      <c r="I5165" s="689"/>
      <c r="J5165" s="564">
        <v>8.8613999999999997</v>
      </c>
    </row>
    <row r="5166" spans="1:10" ht="25.5" customHeight="1" x14ac:dyDescent="0.3">
      <c r="A5166" s="553" t="s">
        <v>410</v>
      </c>
      <c r="B5166" s="554" t="s">
        <v>5</v>
      </c>
      <c r="C5166" s="553" t="s">
        <v>4</v>
      </c>
      <c r="D5166" s="553" t="s">
        <v>438</v>
      </c>
      <c r="E5166" s="554" t="s">
        <v>463</v>
      </c>
      <c r="F5166" s="554" t="s">
        <v>575</v>
      </c>
      <c r="G5166" s="692" t="s">
        <v>576</v>
      </c>
      <c r="H5166" s="692"/>
      <c r="I5166" s="692"/>
      <c r="J5166" s="554" t="s">
        <v>466</v>
      </c>
    </row>
    <row r="5167" spans="1:10" x14ac:dyDescent="0.3">
      <c r="A5167" s="547" t="s">
        <v>433</v>
      </c>
      <c r="B5167" s="548" t="s">
        <v>115</v>
      </c>
      <c r="C5167" s="547" t="s">
        <v>2050</v>
      </c>
      <c r="D5167" s="547" t="s">
        <v>948</v>
      </c>
      <c r="E5167" s="550">
        <v>0.53076000000000001</v>
      </c>
      <c r="F5167" s="549" t="s">
        <v>532</v>
      </c>
      <c r="G5167" s="693">
        <v>135.64580000000001</v>
      </c>
      <c r="H5167" s="693"/>
      <c r="I5167" s="688"/>
      <c r="J5167" s="563">
        <v>71.995400000000004</v>
      </c>
    </row>
    <row r="5168" spans="1:10" x14ac:dyDescent="0.3">
      <c r="A5168" s="547" t="s">
        <v>433</v>
      </c>
      <c r="B5168" s="548" t="s">
        <v>115</v>
      </c>
      <c r="C5168" s="547" t="s">
        <v>1563</v>
      </c>
      <c r="D5168" s="547" t="s">
        <v>823</v>
      </c>
      <c r="E5168" s="550">
        <v>0.14699999999999999</v>
      </c>
      <c r="F5168" s="549" t="s">
        <v>532</v>
      </c>
      <c r="G5168" s="693">
        <v>120.4661</v>
      </c>
      <c r="H5168" s="693"/>
      <c r="I5168" s="688"/>
      <c r="J5168" s="563">
        <v>17.708500000000001</v>
      </c>
    </row>
    <row r="5169" spans="1:10" x14ac:dyDescent="0.3">
      <c r="A5169" s="547" t="s">
        <v>433</v>
      </c>
      <c r="B5169" s="548" t="s">
        <v>115</v>
      </c>
      <c r="C5169" s="547" t="s">
        <v>811</v>
      </c>
      <c r="D5169" s="547" t="s">
        <v>812</v>
      </c>
      <c r="E5169" s="550">
        <v>0.2606</v>
      </c>
      <c r="F5169" s="549" t="s">
        <v>532</v>
      </c>
      <c r="G5169" s="693">
        <v>120.2563</v>
      </c>
      <c r="H5169" s="693"/>
      <c r="I5169" s="688"/>
      <c r="J5169" s="563">
        <v>31.338799999999999</v>
      </c>
    </row>
    <row r="5170" spans="1:10" ht="25.5" customHeight="1" x14ac:dyDescent="0.3">
      <c r="A5170" s="547" t="s">
        <v>433</v>
      </c>
      <c r="B5170" s="548" t="s">
        <v>115</v>
      </c>
      <c r="C5170" s="547" t="s">
        <v>2051</v>
      </c>
      <c r="D5170" s="547" t="s">
        <v>2052</v>
      </c>
      <c r="E5170" s="550">
        <v>0.52829000000000004</v>
      </c>
      <c r="F5170" s="549" t="s">
        <v>532</v>
      </c>
      <c r="G5170" s="693">
        <v>111.2563</v>
      </c>
      <c r="H5170" s="693"/>
      <c r="I5170" s="688"/>
      <c r="J5170" s="563">
        <v>58.775599999999997</v>
      </c>
    </row>
    <row r="5171" spans="1:10" ht="14.25" customHeight="1" x14ac:dyDescent="0.3">
      <c r="A5171" s="689"/>
      <c r="B5171" s="689"/>
      <c r="C5171" s="689"/>
      <c r="D5171" s="689"/>
      <c r="E5171" s="689"/>
      <c r="F5171" s="689" t="s">
        <v>813</v>
      </c>
      <c r="G5171" s="689"/>
      <c r="H5171" s="689"/>
      <c r="I5171" s="689"/>
      <c r="J5171" s="564">
        <v>179.81829999999999</v>
      </c>
    </row>
    <row r="5172" spans="1:10" ht="15" customHeight="1" x14ac:dyDescent="0.3">
      <c r="A5172" s="553" t="s">
        <v>573</v>
      </c>
      <c r="B5172" s="554" t="s">
        <v>5</v>
      </c>
      <c r="C5172" s="553" t="s">
        <v>4</v>
      </c>
      <c r="D5172" s="553" t="s">
        <v>574</v>
      </c>
      <c r="E5172" s="554" t="s">
        <v>463</v>
      </c>
      <c r="F5172" s="554" t="s">
        <v>575</v>
      </c>
      <c r="G5172" s="692" t="s">
        <v>576</v>
      </c>
      <c r="H5172" s="692"/>
      <c r="I5172" s="692"/>
      <c r="J5172" s="554" t="s">
        <v>466</v>
      </c>
    </row>
    <row r="5173" spans="1:10" ht="25.5" customHeight="1" x14ac:dyDescent="0.3">
      <c r="A5173" s="547" t="s">
        <v>577</v>
      </c>
      <c r="B5173" s="548" t="s">
        <v>19</v>
      </c>
      <c r="C5173" s="547">
        <v>88316</v>
      </c>
      <c r="D5173" s="547" t="s">
        <v>560</v>
      </c>
      <c r="E5173" s="550">
        <v>2.6506399999999999E-2</v>
      </c>
      <c r="F5173" s="549" t="s">
        <v>423</v>
      </c>
      <c r="G5173" s="693">
        <v>23.4</v>
      </c>
      <c r="H5173" s="693"/>
      <c r="I5173" s="688"/>
      <c r="J5173" s="563">
        <v>0.62019999999999997</v>
      </c>
    </row>
    <row r="5174" spans="1:10" ht="25.5" customHeight="1" x14ac:dyDescent="0.3">
      <c r="A5174" s="689"/>
      <c r="B5174" s="689"/>
      <c r="C5174" s="689"/>
      <c r="D5174" s="689"/>
      <c r="E5174" s="689"/>
      <c r="F5174" s="689" t="s">
        <v>578</v>
      </c>
      <c r="G5174" s="689"/>
      <c r="H5174" s="689"/>
      <c r="I5174" s="689"/>
      <c r="J5174" s="564">
        <v>0.62019999999999997</v>
      </c>
    </row>
    <row r="5175" spans="1:10" s="89" customFormat="1" ht="15" customHeight="1" x14ac:dyDescent="0.3">
      <c r="A5175" s="553" t="s">
        <v>579</v>
      </c>
      <c r="B5175" s="554" t="s">
        <v>5</v>
      </c>
      <c r="C5175" s="553" t="s">
        <v>433</v>
      </c>
      <c r="D5175" s="553" t="s">
        <v>580</v>
      </c>
      <c r="E5175" s="554" t="s">
        <v>4</v>
      </c>
      <c r="F5175" s="554" t="s">
        <v>463</v>
      </c>
      <c r="G5175" s="555" t="s">
        <v>575</v>
      </c>
      <c r="H5175" s="692" t="s">
        <v>576</v>
      </c>
      <c r="I5175" s="692"/>
      <c r="J5175" s="554" t="s">
        <v>466</v>
      </c>
    </row>
    <row r="5176" spans="1:10" ht="15" customHeight="1" x14ac:dyDescent="0.3">
      <c r="A5176" s="547" t="s">
        <v>581</v>
      </c>
      <c r="B5176" s="548" t="s">
        <v>115</v>
      </c>
      <c r="C5176" s="547" t="s">
        <v>2050</v>
      </c>
      <c r="D5176" s="547" t="s">
        <v>3901</v>
      </c>
      <c r="E5176" s="548">
        <v>5914647</v>
      </c>
      <c r="F5176" s="550">
        <v>0.79613999999999996</v>
      </c>
      <c r="G5176" s="549" t="s">
        <v>584</v>
      </c>
      <c r="H5176" s="693">
        <v>1.78</v>
      </c>
      <c r="I5176" s="688"/>
      <c r="J5176" s="563">
        <v>1.4171</v>
      </c>
    </row>
    <row r="5177" spans="1:10" ht="25" x14ac:dyDescent="0.3">
      <c r="A5177" s="547" t="s">
        <v>581</v>
      </c>
      <c r="B5177" s="548" t="s">
        <v>115</v>
      </c>
      <c r="C5177" s="547" t="s">
        <v>1563</v>
      </c>
      <c r="D5177" s="547" t="s">
        <v>3901</v>
      </c>
      <c r="E5177" s="548">
        <v>5914647</v>
      </c>
      <c r="F5177" s="550">
        <v>0.2205</v>
      </c>
      <c r="G5177" s="549" t="s">
        <v>584</v>
      </c>
      <c r="H5177" s="693">
        <v>1.78</v>
      </c>
      <c r="I5177" s="688"/>
      <c r="J5177" s="563">
        <v>0.39250000000000002</v>
      </c>
    </row>
    <row r="5178" spans="1:10" ht="25.5" customHeight="1" x14ac:dyDescent="0.3">
      <c r="A5178" s="547" t="s">
        <v>581</v>
      </c>
      <c r="B5178" s="548" t="s">
        <v>115</v>
      </c>
      <c r="C5178" s="547" t="s">
        <v>811</v>
      </c>
      <c r="D5178" s="547" t="s">
        <v>3901</v>
      </c>
      <c r="E5178" s="548">
        <v>5914647</v>
      </c>
      <c r="F5178" s="550">
        <v>0.39090000000000003</v>
      </c>
      <c r="G5178" s="549" t="s">
        <v>584</v>
      </c>
      <c r="H5178" s="693">
        <v>1.78</v>
      </c>
      <c r="I5178" s="688"/>
      <c r="J5178" s="563">
        <v>0.69579999999999997</v>
      </c>
    </row>
    <row r="5179" spans="1:10" ht="14.25" customHeight="1" x14ac:dyDescent="0.3">
      <c r="A5179" s="547" t="s">
        <v>581</v>
      </c>
      <c r="B5179" s="548" t="s">
        <v>115</v>
      </c>
      <c r="C5179" s="547" t="s">
        <v>2051</v>
      </c>
      <c r="D5179" s="547" t="s">
        <v>3901</v>
      </c>
      <c r="E5179" s="548">
        <v>5914647</v>
      </c>
      <c r="F5179" s="550">
        <v>0.79244000000000003</v>
      </c>
      <c r="G5179" s="549" t="s">
        <v>584</v>
      </c>
      <c r="H5179" s="693">
        <v>1.78</v>
      </c>
      <c r="I5179" s="688"/>
      <c r="J5179" s="563">
        <v>1.4105000000000001</v>
      </c>
    </row>
    <row r="5180" spans="1:10" ht="14.25" customHeight="1" x14ac:dyDescent="0.3">
      <c r="A5180" s="689"/>
      <c r="B5180" s="689"/>
      <c r="C5180" s="689"/>
      <c r="D5180" s="689"/>
      <c r="E5180" s="689"/>
      <c r="F5180" s="689" t="s">
        <v>585</v>
      </c>
      <c r="G5180" s="689"/>
      <c r="H5180" s="689"/>
      <c r="I5180" s="689"/>
      <c r="J5180" s="564">
        <v>3.9159000000000002</v>
      </c>
    </row>
    <row r="5181" spans="1:10" ht="14.25" customHeight="1" x14ac:dyDescent="0.3">
      <c r="A5181" s="553" t="s">
        <v>586</v>
      </c>
      <c r="B5181" s="554" t="s">
        <v>5</v>
      </c>
      <c r="C5181" s="553" t="s">
        <v>433</v>
      </c>
      <c r="D5181" s="553" t="s">
        <v>587</v>
      </c>
      <c r="E5181" s="554" t="s">
        <v>463</v>
      </c>
      <c r="F5181" s="554" t="s">
        <v>575</v>
      </c>
      <c r="G5181" s="694" t="s">
        <v>588</v>
      </c>
      <c r="H5181" s="692"/>
      <c r="I5181" s="692"/>
      <c r="J5181" s="554" t="s">
        <v>466</v>
      </c>
    </row>
    <row r="5182" spans="1:10" ht="25.5" customHeight="1" x14ac:dyDescent="0.3">
      <c r="A5182" s="555"/>
      <c r="B5182" s="555"/>
      <c r="C5182" s="555"/>
      <c r="D5182" s="555"/>
      <c r="E5182" s="555"/>
      <c r="F5182" s="555"/>
      <c r="G5182" s="555" t="s">
        <v>589</v>
      </c>
      <c r="H5182" s="555" t="s">
        <v>590</v>
      </c>
      <c r="I5182" s="555" t="s">
        <v>591</v>
      </c>
      <c r="J5182" s="555"/>
    </row>
    <row r="5183" spans="1:10" ht="14.25" customHeight="1" x14ac:dyDescent="0.3">
      <c r="A5183" s="547" t="s">
        <v>587</v>
      </c>
      <c r="B5183" s="548" t="s">
        <v>115</v>
      </c>
      <c r="C5183" s="547" t="s">
        <v>2050</v>
      </c>
      <c r="D5183" s="547" t="s">
        <v>2053</v>
      </c>
      <c r="E5183" s="550">
        <v>0.79613999999999996</v>
      </c>
      <c r="F5183" s="549" t="s">
        <v>593</v>
      </c>
      <c r="G5183" s="548" t="s">
        <v>3841</v>
      </c>
      <c r="H5183" s="548" t="s">
        <v>3842</v>
      </c>
      <c r="I5183" s="548" t="s">
        <v>3843</v>
      </c>
      <c r="J5183" s="563">
        <v>0</v>
      </c>
    </row>
    <row r="5184" spans="1:10" ht="15" customHeight="1" x14ac:dyDescent="0.3">
      <c r="A5184" s="547" t="s">
        <v>587</v>
      </c>
      <c r="B5184" s="548" t="s">
        <v>115</v>
      </c>
      <c r="C5184" s="547" t="s">
        <v>1563</v>
      </c>
      <c r="D5184" s="547" t="s">
        <v>1565</v>
      </c>
      <c r="E5184" s="550">
        <v>0.2205</v>
      </c>
      <c r="F5184" s="549" t="s">
        <v>593</v>
      </c>
      <c r="G5184" s="548" t="s">
        <v>3841</v>
      </c>
      <c r="H5184" s="548" t="s">
        <v>3842</v>
      </c>
      <c r="I5184" s="548" t="s">
        <v>3843</v>
      </c>
      <c r="J5184" s="563">
        <v>0</v>
      </c>
    </row>
    <row r="5185" spans="1:10" ht="37.5" x14ac:dyDescent="0.3">
      <c r="A5185" s="547" t="s">
        <v>587</v>
      </c>
      <c r="B5185" s="548" t="s">
        <v>115</v>
      </c>
      <c r="C5185" s="547" t="s">
        <v>811</v>
      </c>
      <c r="D5185" s="547" t="s">
        <v>815</v>
      </c>
      <c r="E5185" s="550">
        <v>0.39090000000000003</v>
      </c>
      <c r="F5185" s="549" t="s">
        <v>593</v>
      </c>
      <c r="G5185" s="548" t="s">
        <v>3841</v>
      </c>
      <c r="H5185" s="548" t="s">
        <v>3842</v>
      </c>
      <c r="I5185" s="548" t="s">
        <v>3843</v>
      </c>
      <c r="J5185" s="563">
        <v>0</v>
      </c>
    </row>
    <row r="5186" spans="1:10" ht="25.5" customHeight="1" x14ac:dyDescent="0.3">
      <c r="A5186" s="547" t="s">
        <v>587</v>
      </c>
      <c r="B5186" s="548" t="s">
        <v>115</v>
      </c>
      <c r="C5186" s="547" t="s">
        <v>2051</v>
      </c>
      <c r="D5186" s="547" t="s">
        <v>2054</v>
      </c>
      <c r="E5186" s="550">
        <v>0.79244000000000003</v>
      </c>
      <c r="F5186" s="549" t="s">
        <v>593</v>
      </c>
      <c r="G5186" s="548" t="s">
        <v>3841</v>
      </c>
      <c r="H5186" s="548" t="s">
        <v>3842</v>
      </c>
      <c r="I5186" s="548" t="s">
        <v>3843</v>
      </c>
      <c r="J5186" s="563">
        <v>0</v>
      </c>
    </row>
    <row r="5187" spans="1:10" s="89" customFormat="1" ht="15.75" customHeight="1" thickBot="1" x14ac:dyDescent="0.35">
      <c r="A5187" s="689"/>
      <c r="B5187" s="689"/>
      <c r="C5187" s="689"/>
      <c r="D5187" s="689"/>
      <c r="E5187" s="689"/>
      <c r="F5187" s="689" t="s">
        <v>594</v>
      </c>
      <c r="G5187" s="689"/>
      <c r="H5187" s="689"/>
      <c r="I5187" s="689"/>
      <c r="J5187" s="564">
        <v>0</v>
      </c>
    </row>
    <row r="5188" spans="1:10" ht="14.5" thickTop="1" x14ac:dyDescent="0.3">
      <c r="A5188" s="562"/>
      <c r="B5188" s="562"/>
      <c r="C5188" s="562"/>
      <c r="D5188" s="562"/>
      <c r="E5188" s="562"/>
      <c r="F5188" s="562"/>
      <c r="G5188" s="562"/>
      <c r="H5188" s="562"/>
      <c r="I5188" s="562"/>
      <c r="J5188" s="562"/>
    </row>
    <row r="5189" spans="1:10" x14ac:dyDescent="0.3">
      <c r="A5189" s="553"/>
      <c r="B5189" s="554" t="s">
        <v>4</v>
      </c>
      <c r="C5189" s="553" t="s">
        <v>5</v>
      </c>
      <c r="D5189" s="553" t="s">
        <v>6</v>
      </c>
      <c r="E5189" s="691" t="s">
        <v>427</v>
      </c>
      <c r="F5189" s="691"/>
      <c r="G5189" s="555" t="s">
        <v>7</v>
      </c>
      <c r="H5189" s="554" t="s">
        <v>8</v>
      </c>
      <c r="I5189" s="554" t="s">
        <v>9</v>
      </c>
      <c r="J5189" s="554" t="s">
        <v>11</v>
      </c>
    </row>
    <row r="5190" spans="1:10" ht="25.5" customHeight="1" x14ac:dyDescent="0.3">
      <c r="A5190" s="607" t="s">
        <v>428</v>
      </c>
      <c r="B5190" s="608" t="s">
        <v>3892</v>
      </c>
      <c r="C5190" s="607" t="s">
        <v>199</v>
      </c>
      <c r="D5190" s="607" t="s">
        <v>1406</v>
      </c>
      <c r="E5190" s="690">
        <v>55</v>
      </c>
      <c r="F5190" s="690"/>
      <c r="G5190" s="609" t="s">
        <v>81</v>
      </c>
      <c r="H5190" s="610">
        <v>1</v>
      </c>
      <c r="I5190" s="611">
        <v>1167.0999999999999</v>
      </c>
      <c r="J5190" s="611">
        <v>1167.0999999999999</v>
      </c>
    </row>
    <row r="5191" spans="1:10" ht="25" x14ac:dyDescent="0.3">
      <c r="A5191" s="547" t="s">
        <v>430</v>
      </c>
      <c r="B5191" s="548" t="s">
        <v>3934</v>
      </c>
      <c r="C5191" s="547" t="s">
        <v>199</v>
      </c>
      <c r="D5191" s="547" t="s">
        <v>3935</v>
      </c>
      <c r="E5191" s="688">
        <v>55</v>
      </c>
      <c r="F5191" s="688"/>
      <c r="G5191" s="549" t="s">
        <v>424</v>
      </c>
      <c r="H5191" s="550">
        <v>6</v>
      </c>
      <c r="I5191" s="551">
        <v>5.72</v>
      </c>
      <c r="J5191" s="551">
        <v>34.32</v>
      </c>
    </row>
    <row r="5192" spans="1:10" ht="25" x14ac:dyDescent="0.3">
      <c r="A5192" s="547" t="s">
        <v>430</v>
      </c>
      <c r="B5192" s="548" t="s">
        <v>3936</v>
      </c>
      <c r="C5192" s="547" t="s">
        <v>199</v>
      </c>
      <c r="D5192" s="547" t="s">
        <v>3937</v>
      </c>
      <c r="E5192" s="688">
        <v>55</v>
      </c>
      <c r="F5192" s="688"/>
      <c r="G5192" s="549" t="s">
        <v>424</v>
      </c>
      <c r="H5192" s="550">
        <v>13.28</v>
      </c>
      <c r="I5192" s="551">
        <v>5.57</v>
      </c>
      <c r="J5192" s="551">
        <v>73.959999999999994</v>
      </c>
    </row>
    <row r="5193" spans="1:10" ht="37.5" x14ac:dyDescent="0.3">
      <c r="A5193" s="547" t="s">
        <v>430</v>
      </c>
      <c r="B5193" s="548" t="s">
        <v>3889</v>
      </c>
      <c r="C5193" s="547" t="s">
        <v>199</v>
      </c>
      <c r="D5193" s="547" t="s">
        <v>1293</v>
      </c>
      <c r="E5193" s="688">
        <v>55</v>
      </c>
      <c r="F5193" s="688"/>
      <c r="G5193" s="549" t="s">
        <v>424</v>
      </c>
      <c r="H5193" s="550">
        <v>6</v>
      </c>
      <c r="I5193" s="551">
        <v>5.16</v>
      </c>
      <c r="J5193" s="551">
        <v>30.96</v>
      </c>
    </row>
    <row r="5194" spans="1:10" x14ac:dyDescent="0.3">
      <c r="A5194" s="547" t="s">
        <v>433</v>
      </c>
      <c r="B5194" s="548" t="s">
        <v>3945</v>
      </c>
      <c r="C5194" s="547" t="s">
        <v>115</v>
      </c>
      <c r="D5194" s="547" t="s">
        <v>3946</v>
      </c>
      <c r="E5194" s="688" t="s">
        <v>438</v>
      </c>
      <c r="F5194" s="688"/>
      <c r="G5194" s="549" t="s">
        <v>655</v>
      </c>
      <c r="H5194" s="550">
        <v>10.130000000000001</v>
      </c>
      <c r="I5194" s="551">
        <v>6.6867999999999999</v>
      </c>
      <c r="J5194" s="551">
        <v>67.73</v>
      </c>
    </row>
    <row r="5195" spans="1:10" ht="15" customHeight="1" x14ac:dyDescent="0.3">
      <c r="A5195" s="547" t="s">
        <v>433</v>
      </c>
      <c r="B5195" s="548" t="s">
        <v>3945</v>
      </c>
      <c r="C5195" s="547" t="s">
        <v>115</v>
      </c>
      <c r="D5195" s="547" t="s">
        <v>3946</v>
      </c>
      <c r="E5195" s="688" t="s">
        <v>438</v>
      </c>
      <c r="F5195" s="688"/>
      <c r="G5195" s="549" t="s">
        <v>655</v>
      </c>
      <c r="H5195" s="550">
        <v>10.130000000000001</v>
      </c>
      <c r="I5195" s="551">
        <v>6.6867999999999999</v>
      </c>
      <c r="J5195" s="551">
        <v>67.73</v>
      </c>
    </row>
    <row r="5196" spans="1:10" s="89" customFormat="1" ht="25.5" customHeight="1" x14ac:dyDescent="0.3">
      <c r="A5196" s="547" t="s">
        <v>433</v>
      </c>
      <c r="B5196" s="548" t="s">
        <v>3945</v>
      </c>
      <c r="C5196" s="547" t="s">
        <v>115</v>
      </c>
      <c r="D5196" s="547" t="s">
        <v>3946</v>
      </c>
      <c r="E5196" s="688" t="s">
        <v>438</v>
      </c>
      <c r="F5196" s="688"/>
      <c r="G5196" s="549" t="s">
        <v>655</v>
      </c>
      <c r="H5196" s="550">
        <v>10.130000000000001</v>
      </c>
      <c r="I5196" s="551">
        <v>6.6867999999999999</v>
      </c>
      <c r="J5196" s="551">
        <v>67.73</v>
      </c>
    </row>
    <row r="5197" spans="1:10" ht="25.5" customHeight="1" x14ac:dyDescent="0.3">
      <c r="A5197" s="547" t="s">
        <v>433</v>
      </c>
      <c r="B5197" s="548" t="s">
        <v>2055</v>
      </c>
      <c r="C5197" s="547" t="s">
        <v>199</v>
      </c>
      <c r="D5197" s="547" t="s">
        <v>3947</v>
      </c>
      <c r="E5197" s="688" t="s">
        <v>438</v>
      </c>
      <c r="F5197" s="688"/>
      <c r="G5197" s="549" t="s">
        <v>424</v>
      </c>
      <c r="H5197" s="550">
        <v>15.3</v>
      </c>
      <c r="I5197" s="551">
        <v>8</v>
      </c>
      <c r="J5197" s="551">
        <v>122.4</v>
      </c>
    </row>
    <row r="5198" spans="1:10" ht="25.5" customHeight="1" x14ac:dyDescent="0.3">
      <c r="A5198" s="547" t="s">
        <v>433</v>
      </c>
      <c r="B5198" s="548" t="s">
        <v>2056</v>
      </c>
      <c r="C5198" s="547" t="s">
        <v>199</v>
      </c>
      <c r="D5198" s="547" t="s">
        <v>2057</v>
      </c>
      <c r="E5198" s="688" t="s">
        <v>438</v>
      </c>
      <c r="F5198" s="688"/>
      <c r="G5198" s="549" t="s">
        <v>424</v>
      </c>
      <c r="H5198" s="550">
        <v>0.77</v>
      </c>
      <c r="I5198" s="551">
        <v>32.630000000000003</v>
      </c>
      <c r="J5198" s="551">
        <v>25.12</v>
      </c>
    </row>
    <row r="5199" spans="1:10" x14ac:dyDescent="0.3">
      <c r="A5199" s="547" t="s">
        <v>433</v>
      </c>
      <c r="B5199" s="548" t="s">
        <v>2058</v>
      </c>
      <c r="C5199" s="547" t="s">
        <v>199</v>
      </c>
      <c r="D5199" s="547" t="s">
        <v>2059</v>
      </c>
      <c r="E5199" s="688" t="s">
        <v>438</v>
      </c>
      <c r="F5199" s="688"/>
      <c r="G5199" s="549" t="s">
        <v>424</v>
      </c>
      <c r="H5199" s="550">
        <v>0.7</v>
      </c>
      <c r="I5199" s="551">
        <v>137.41</v>
      </c>
      <c r="J5199" s="551">
        <v>96.18</v>
      </c>
    </row>
    <row r="5200" spans="1:10" ht="14.25" customHeight="1" x14ac:dyDescent="0.3">
      <c r="A5200" s="547" t="s">
        <v>433</v>
      </c>
      <c r="B5200" s="548" t="s">
        <v>2060</v>
      </c>
      <c r="C5200" s="547" t="s">
        <v>199</v>
      </c>
      <c r="D5200" s="547" t="s">
        <v>2061</v>
      </c>
      <c r="E5200" s="688" t="s">
        <v>438</v>
      </c>
      <c r="F5200" s="688"/>
      <c r="G5200" s="549" t="s">
        <v>424</v>
      </c>
      <c r="H5200" s="550">
        <v>0.7</v>
      </c>
      <c r="I5200" s="551">
        <v>137.41</v>
      </c>
      <c r="J5200" s="551">
        <v>96.18</v>
      </c>
    </row>
    <row r="5201" spans="1:10" ht="14.25" customHeight="1" x14ac:dyDescent="0.3">
      <c r="A5201" s="547" t="s">
        <v>433</v>
      </c>
      <c r="B5201" s="548" t="s">
        <v>2062</v>
      </c>
      <c r="C5201" s="547" t="s">
        <v>199</v>
      </c>
      <c r="D5201" s="547" t="s">
        <v>3948</v>
      </c>
      <c r="E5201" s="688" t="s">
        <v>438</v>
      </c>
      <c r="F5201" s="688"/>
      <c r="G5201" s="549" t="s">
        <v>424</v>
      </c>
      <c r="H5201" s="550">
        <v>23.68</v>
      </c>
      <c r="I5201" s="551">
        <v>3.41</v>
      </c>
      <c r="J5201" s="551">
        <v>80.739999999999995</v>
      </c>
    </row>
    <row r="5202" spans="1:10" s="89" customFormat="1" ht="25.5" customHeight="1" x14ac:dyDescent="0.3">
      <c r="A5202" s="547" t="s">
        <v>433</v>
      </c>
      <c r="B5202" s="548" t="s">
        <v>2063</v>
      </c>
      <c r="C5202" s="547" t="s">
        <v>199</v>
      </c>
      <c r="D5202" s="547" t="s">
        <v>2064</v>
      </c>
      <c r="E5202" s="688" t="s">
        <v>438</v>
      </c>
      <c r="F5202" s="688"/>
      <c r="G5202" s="549" t="s">
        <v>424</v>
      </c>
      <c r="H5202" s="550">
        <v>0.5</v>
      </c>
      <c r="I5202" s="551">
        <v>296.38</v>
      </c>
      <c r="J5202" s="551">
        <v>148.19</v>
      </c>
    </row>
    <row r="5203" spans="1:10" ht="25.5" customHeight="1" x14ac:dyDescent="0.3">
      <c r="A5203" s="547" t="s">
        <v>433</v>
      </c>
      <c r="B5203" s="548" t="s">
        <v>2065</v>
      </c>
      <c r="C5203" s="547" t="s">
        <v>199</v>
      </c>
      <c r="D5203" s="547" t="s">
        <v>3949</v>
      </c>
      <c r="E5203" s="688" t="s">
        <v>438</v>
      </c>
      <c r="F5203" s="688"/>
      <c r="G5203" s="549" t="s">
        <v>424</v>
      </c>
      <c r="H5203" s="550">
        <v>0.5</v>
      </c>
      <c r="I5203" s="551">
        <v>88.22</v>
      </c>
      <c r="J5203" s="551">
        <v>44.11</v>
      </c>
    </row>
    <row r="5204" spans="1:10" ht="25.5" customHeight="1" thickBot="1" x14ac:dyDescent="0.35">
      <c r="A5204" s="547" t="s">
        <v>433</v>
      </c>
      <c r="B5204" s="548" t="s">
        <v>2066</v>
      </c>
      <c r="C5204" s="547" t="s">
        <v>199</v>
      </c>
      <c r="D5204" s="547" t="s">
        <v>3950</v>
      </c>
      <c r="E5204" s="688" t="s">
        <v>438</v>
      </c>
      <c r="F5204" s="688"/>
      <c r="G5204" s="549" t="s">
        <v>424</v>
      </c>
      <c r="H5204" s="550">
        <v>2.75</v>
      </c>
      <c r="I5204" s="551">
        <v>77</v>
      </c>
      <c r="J5204" s="551">
        <v>211.75</v>
      </c>
    </row>
    <row r="5205" spans="1:10" ht="25.5" customHeight="1" thickTop="1" x14ac:dyDescent="0.3">
      <c r="A5205" s="562"/>
      <c r="B5205" s="562"/>
      <c r="C5205" s="562"/>
      <c r="D5205" s="562"/>
      <c r="E5205" s="562"/>
      <c r="F5205" s="562"/>
      <c r="G5205" s="562"/>
      <c r="H5205" s="562"/>
      <c r="I5205" s="562"/>
      <c r="J5205" s="562"/>
    </row>
    <row r="5206" spans="1:10" ht="25.5" customHeight="1" x14ac:dyDescent="0.3">
      <c r="A5206" s="553"/>
      <c r="B5206" s="554" t="s">
        <v>4</v>
      </c>
      <c r="C5206" s="553" t="s">
        <v>5</v>
      </c>
      <c r="D5206" s="553" t="s">
        <v>6</v>
      </c>
      <c r="E5206" s="691" t="s">
        <v>427</v>
      </c>
      <c r="F5206" s="691"/>
      <c r="G5206" s="555" t="s">
        <v>7</v>
      </c>
      <c r="H5206" s="554" t="s">
        <v>8</v>
      </c>
      <c r="I5206" s="554" t="s">
        <v>9</v>
      </c>
      <c r="J5206" s="554" t="s">
        <v>11</v>
      </c>
    </row>
    <row r="5207" spans="1:10" ht="25.5" customHeight="1" x14ac:dyDescent="0.3">
      <c r="A5207" s="607" t="s">
        <v>428</v>
      </c>
      <c r="B5207" s="608" t="s">
        <v>854</v>
      </c>
      <c r="C5207" s="607" t="s">
        <v>19</v>
      </c>
      <c r="D5207" s="607" t="s">
        <v>855</v>
      </c>
      <c r="E5207" s="690" t="s">
        <v>461</v>
      </c>
      <c r="F5207" s="690"/>
      <c r="G5207" s="609" t="s">
        <v>102</v>
      </c>
      <c r="H5207" s="610">
        <v>1</v>
      </c>
      <c r="I5207" s="611">
        <v>0.53</v>
      </c>
      <c r="J5207" s="611">
        <v>0.53</v>
      </c>
    </row>
    <row r="5208" spans="1:10" ht="25.5" customHeight="1" x14ac:dyDescent="0.3">
      <c r="A5208" s="547" t="s">
        <v>430</v>
      </c>
      <c r="B5208" s="548" t="s">
        <v>2067</v>
      </c>
      <c r="C5208" s="547" t="s">
        <v>19</v>
      </c>
      <c r="D5208" s="547" t="s">
        <v>2068</v>
      </c>
      <c r="E5208" s="688" t="s">
        <v>461</v>
      </c>
      <c r="F5208" s="688"/>
      <c r="G5208" s="549" t="s">
        <v>423</v>
      </c>
      <c r="H5208" s="550">
        <v>1</v>
      </c>
      <c r="I5208" s="551">
        <v>0.43</v>
      </c>
      <c r="J5208" s="551">
        <v>0.43</v>
      </c>
    </row>
    <row r="5209" spans="1:10" ht="26.25" customHeight="1" thickBot="1" x14ac:dyDescent="0.35">
      <c r="A5209" s="547" t="s">
        <v>430</v>
      </c>
      <c r="B5209" s="548" t="s">
        <v>2069</v>
      </c>
      <c r="C5209" s="547" t="s">
        <v>19</v>
      </c>
      <c r="D5209" s="547" t="s">
        <v>2070</v>
      </c>
      <c r="E5209" s="688" t="s">
        <v>461</v>
      </c>
      <c r="F5209" s="688"/>
      <c r="G5209" s="549" t="s">
        <v>423</v>
      </c>
      <c r="H5209" s="550">
        <v>1</v>
      </c>
      <c r="I5209" s="551">
        <v>0.1</v>
      </c>
      <c r="J5209" s="551">
        <v>0.1</v>
      </c>
    </row>
    <row r="5210" spans="1:10" s="89" customFormat="1" ht="25.5" customHeight="1" thickTop="1" x14ac:dyDescent="0.3">
      <c r="A5210" s="562"/>
      <c r="B5210" s="562"/>
      <c r="C5210" s="562"/>
      <c r="D5210" s="562"/>
      <c r="E5210" s="562"/>
      <c r="F5210" s="562"/>
      <c r="G5210" s="562"/>
      <c r="H5210" s="562"/>
      <c r="I5210" s="562"/>
      <c r="J5210" s="562"/>
    </row>
    <row r="5211" spans="1:10" ht="14.25" customHeight="1" x14ac:dyDescent="0.3">
      <c r="A5211" s="553"/>
      <c r="B5211" s="554" t="s">
        <v>4</v>
      </c>
      <c r="C5211" s="553" t="s">
        <v>5</v>
      </c>
      <c r="D5211" s="553" t="s">
        <v>6</v>
      </c>
      <c r="E5211" s="691" t="s">
        <v>427</v>
      </c>
      <c r="F5211" s="691"/>
      <c r="G5211" s="555" t="s">
        <v>7</v>
      </c>
      <c r="H5211" s="554" t="s">
        <v>8</v>
      </c>
      <c r="I5211" s="554" t="s">
        <v>9</v>
      </c>
      <c r="J5211" s="554" t="s">
        <v>11</v>
      </c>
    </row>
    <row r="5212" spans="1:10" ht="15" customHeight="1" x14ac:dyDescent="0.3">
      <c r="A5212" s="607" t="s">
        <v>428</v>
      </c>
      <c r="B5212" s="608" t="s">
        <v>852</v>
      </c>
      <c r="C5212" s="607" t="s">
        <v>19</v>
      </c>
      <c r="D5212" s="607" t="s">
        <v>853</v>
      </c>
      <c r="E5212" s="690" t="s">
        <v>461</v>
      </c>
      <c r="F5212" s="690"/>
      <c r="G5212" s="609" t="s">
        <v>95</v>
      </c>
      <c r="H5212" s="610">
        <v>1</v>
      </c>
      <c r="I5212" s="611">
        <v>1.23</v>
      </c>
      <c r="J5212" s="611">
        <v>1.23</v>
      </c>
    </row>
    <row r="5213" spans="1:10" ht="25.5" customHeight="1" x14ac:dyDescent="0.3">
      <c r="A5213" s="547" t="s">
        <v>430</v>
      </c>
      <c r="B5213" s="548" t="s">
        <v>2067</v>
      </c>
      <c r="C5213" s="547" t="s">
        <v>19</v>
      </c>
      <c r="D5213" s="547" t="s">
        <v>2068</v>
      </c>
      <c r="E5213" s="688" t="s">
        <v>461</v>
      </c>
      <c r="F5213" s="688"/>
      <c r="G5213" s="549" t="s">
        <v>423</v>
      </c>
      <c r="H5213" s="550">
        <v>1</v>
      </c>
      <c r="I5213" s="551">
        <v>0.43</v>
      </c>
      <c r="J5213" s="551">
        <v>0.43</v>
      </c>
    </row>
    <row r="5214" spans="1:10" s="89" customFormat="1" ht="25.5" customHeight="1" x14ac:dyDescent="0.3">
      <c r="A5214" s="547" t="s">
        <v>430</v>
      </c>
      <c r="B5214" s="548" t="s">
        <v>2069</v>
      </c>
      <c r="C5214" s="547" t="s">
        <v>19</v>
      </c>
      <c r="D5214" s="547" t="s">
        <v>2070</v>
      </c>
      <c r="E5214" s="688" t="s">
        <v>461</v>
      </c>
      <c r="F5214" s="688"/>
      <c r="G5214" s="549" t="s">
        <v>423</v>
      </c>
      <c r="H5214" s="550">
        <v>1</v>
      </c>
      <c r="I5214" s="551">
        <v>0.1</v>
      </c>
      <c r="J5214" s="551">
        <v>0.1</v>
      </c>
    </row>
    <row r="5215" spans="1:10" ht="15" customHeight="1" x14ac:dyDescent="0.3">
      <c r="A5215" s="547" t="s">
        <v>430</v>
      </c>
      <c r="B5215" s="548" t="s">
        <v>2071</v>
      </c>
      <c r="C5215" s="547" t="s">
        <v>19</v>
      </c>
      <c r="D5215" s="547" t="s">
        <v>2072</v>
      </c>
      <c r="E5215" s="688" t="s">
        <v>461</v>
      </c>
      <c r="F5215" s="688"/>
      <c r="G5215" s="549" t="s">
        <v>423</v>
      </c>
      <c r="H5215" s="550">
        <v>1</v>
      </c>
      <c r="I5215" s="551">
        <v>0.33</v>
      </c>
      <c r="J5215" s="551">
        <v>0.33</v>
      </c>
    </row>
    <row r="5216" spans="1:10" ht="39" customHeight="1" thickBot="1" x14ac:dyDescent="0.35">
      <c r="A5216" s="547" t="s">
        <v>430</v>
      </c>
      <c r="B5216" s="548" t="s">
        <v>2073</v>
      </c>
      <c r="C5216" s="547" t="s">
        <v>19</v>
      </c>
      <c r="D5216" s="547" t="s">
        <v>2074</v>
      </c>
      <c r="E5216" s="688" t="s">
        <v>461</v>
      </c>
      <c r="F5216" s="688"/>
      <c r="G5216" s="549" t="s">
        <v>423</v>
      </c>
      <c r="H5216" s="550">
        <v>1</v>
      </c>
      <c r="I5216" s="551">
        <v>0.37</v>
      </c>
      <c r="J5216" s="551">
        <v>0.37</v>
      </c>
    </row>
    <row r="5217" spans="1:10" ht="14.5" thickTop="1" x14ac:dyDescent="0.3">
      <c r="A5217" s="562"/>
      <c r="B5217" s="562"/>
      <c r="C5217" s="562"/>
      <c r="D5217" s="562"/>
      <c r="E5217" s="562"/>
      <c r="F5217" s="562"/>
      <c r="G5217" s="562"/>
      <c r="H5217" s="562"/>
      <c r="I5217" s="562"/>
      <c r="J5217" s="562"/>
    </row>
    <row r="5218" spans="1:10" s="89" customFormat="1" ht="25.5" customHeight="1" x14ac:dyDescent="0.3">
      <c r="A5218" s="553"/>
      <c r="B5218" s="554" t="s">
        <v>4</v>
      </c>
      <c r="C5218" s="553" t="s">
        <v>5</v>
      </c>
      <c r="D5218" s="553" t="s">
        <v>6</v>
      </c>
      <c r="E5218" s="691" t="s">
        <v>427</v>
      </c>
      <c r="F5218" s="691"/>
      <c r="G5218" s="555" t="s">
        <v>7</v>
      </c>
      <c r="H5218" s="554" t="s">
        <v>8</v>
      </c>
      <c r="I5218" s="554" t="s">
        <v>9</v>
      </c>
      <c r="J5218" s="554" t="s">
        <v>11</v>
      </c>
    </row>
    <row r="5219" spans="1:10" ht="25.5" customHeight="1" x14ac:dyDescent="0.3">
      <c r="A5219" s="607" t="s">
        <v>428</v>
      </c>
      <c r="B5219" s="608" t="s">
        <v>2067</v>
      </c>
      <c r="C5219" s="607" t="s">
        <v>19</v>
      </c>
      <c r="D5219" s="607" t="s">
        <v>2068</v>
      </c>
      <c r="E5219" s="690" t="s">
        <v>461</v>
      </c>
      <c r="F5219" s="690"/>
      <c r="G5219" s="609" t="s">
        <v>423</v>
      </c>
      <c r="H5219" s="610">
        <v>1</v>
      </c>
      <c r="I5219" s="611">
        <v>0.43</v>
      </c>
      <c r="J5219" s="611">
        <v>0.43</v>
      </c>
    </row>
    <row r="5220" spans="1:10" ht="14.25" customHeight="1" thickBot="1" x14ac:dyDescent="0.35">
      <c r="A5220" s="547" t="s">
        <v>433</v>
      </c>
      <c r="B5220" s="548" t="s">
        <v>2075</v>
      </c>
      <c r="C5220" s="547" t="s">
        <v>19</v>
      </c>
      <c r="D5220" s="547" t="s">
        <v>2076</v>
      </c>
      <c r="E5220" s="688" t="s">
        <v>442</v>
      </c>
      <c r="F5220" s="688"/>
      <c r="G5220" s="549" t="s">
        <v>81</v>
      </c>
      <c r="H5220" s="550">
        <v>1.2799999999999999E-4</v>
      </c>
      <c r="I5220" s="551">
        <v>3390.99</v>
      </c>
      <c r="J5220" s="551">
        <v>0.43</v>
      </c>
    </row>
    <row r="5221" spans="1:10" ht="15" customHeight="1" thickTop="1" x14ac:dyDescent="0.3">
      <c r="A5221" s="562"/>
      <c r="B5221" s="562"/>
      <c r="C5221" s="562"/>
      <c r="D5221" s="562"/>
      <c r="E5221" s="562"/>
      <c r="F5221" s="562"/>
      <c r="G5221" s="562"/>
      <c r="H5221" s="562"/>
      <c r="I5221" s="562"/>
      <c r="J5221" s="562"/>
    </row>
    <row r="5222" spans="1:10" s="89" customFormat="1" ht="25.5" customHeight="1" x14ac:dyDescent="0.3">
      <c r="A5222" s="553"/>
      <c r="B5222" s="554" t="s">
        <v>4</v>
      </c>
      <c r="C5222" s="553" t="s">
        <v>5</v>
      </c>
      <c r="D5222" s="553" t="s">
        <v>6</v>
      </c>
      <c r="E5222" s="691" t="s">
        <v>427</v>
      </c>
      <c r="F5222" s="691"/>
      <c r="G5222" s="555" t="s">
        <v>7</v>
      </c>
      <c r="H5222" s="554" t="s">
        <v>8</v>
      </c>
      <c r="I5222" s="554" t="s">
        <v>9</v>
      </c>
      <c r="J5222" s="554" t="s">
        <v>11</v>
      </c>
    </row>
    <row r="5223" spans="1:10" ht="25.5" customHeight="1" x14ac:dyDescent="0.3">
      <c r="A5223" s="607" t="s">
        <v>428</v>
      </c>
      <c r="B5223" s="608" t="s">
        <v>2069</v>
      </c>
      <c r="C5223" s="607" t="s">
        <v>19</v>
      </c>
      <c r="D5223" s="607" t="s">
        <v>2070</v>
      </c>
      <c r="E5223" s="690" t="s">
        <v>461</v>
      </c>
      <c r="F5223" s="690"/>
      <c r="G5223" s="609" t="s">
        <v>423</v>
      </c>
      <c r="H5223" s="610">
        <v>1</v>
      </c>
      <c r="I5223" s="611">
        <v>0.1</v>
      </c>
      <c r="J5223" s="611">
        <v>0.1</v>
      </c>
    </row>
    <row r="5224" spans="1:10" ht="25.5" thickBot="1" x14ac:dyDescent="0.35">
      <c r="A5224" s="547" t="s">
        <v>433</v>
      </c>
      <c r="B5224" s="548" t="s">
        <v>2075</v>
      </c>
      <c r="C5224" s="547" t="s">
        <v>19</v>
      </c>
      <c r="D5224" s="547" t="s">
        <v>2076</v>
      </c>
      <c r="E5224" s="688" t="s">
        <v>442</v>
      </c>
      <c r="F5224" s="688"/>
      <c r="G5224" s="549" t="s">
        <v>81</v>
      </c>
      <c r="H5224" s="550">
        <v>2.9600000000000001E-5</v>
      </c>
      <c r="I5224" s="551">
        <v>3390.99</v>
      </c>
      <c r="J5224" s="551">
        <v>0.1</v>
      </c>
    </row>
    <row r="5225" spans="1:10" ht="14.5" thickTop="1" x14ac:dyDescent="0.3">
      <c r="A5225" s="562"/>
      <c r="B5225" s="562"/>
      <c r="C5225" s="562"/>
      <c r="D5225" s="562"/>
      <c r="E5225" s="562"/>
      <c r="F5225" s="562"/>
      <c r="G5225" s="562"/>
      <c r="H5225" s="562"/>
      <c r="I5225" s="562"/>
      <c r="J5225" s="562"/>
    </row>
    <row r="5226" spans="1:10" s="89" customFormat="1" x14ac:dyDescent="0.3">
      <c r="A5226" s="553"/>
      <c r="B5226" s="554" t="s">
        <v>4</v>
      </c>
      <c r="C5226" s="553" t="s">
        <v>5</v>
      </c>
      <c r="D5226" s="553" t="s">
        <v>6</v>
      </c>
      <c r="E5226" s="691" t="s">
        <v>427</v>
      </c>
      <c r="F5226" s="691"/>
      <c r="G5226" s="555" t="s">
        <v>7</v>
      </c>
      <c r="H5226" s="554" t="s">
        <v>8</v>
      </c>
      <c r="I5226" s="554" t="s">
        <v>9</v>
      </c>
      <c r="J5226" s="554" t="s">
        <v>11</v>
      </c>
    </row>
    <row r="5227" spans="1:10" ht="15" customHeight="1" x14ac:dyDescent="0.3">
      <c r="A5227" s="607" t="s">
        <v>428</v>
      </c>
      <c r="B5227" s="608" t="s">
        <v>2071</v>
      </c>
      <c r="C5227" s="607" t="s">
        <v>19</v>
      </c>
      <c r="D5227" s="607" t="s">
        <v>2072</v>
      </c>
      <c r="E5227" s="690" t="s">
        <v>461</v>
      </c>
      <c r="F5227" s="690"/>
      <c r="G5227" s="609" t="s">
        <v>423</v>
      </c>
      <c r="H5227" s="610">
        <v>1</v>
      </c>
      <c r="I5227" s="611">
        <v>0.33</v>
      </c>
      <c r="J5227" s="611">
        <v>0.33</v>
      </c>
    </row>
    <row r="5228" spans="1:10" ht="25.5" thickBot="1" x14ac:dyDescent="0.35">
      <c r="A5228" s="547" t="s">
        <v>433</v>
      </c>
      <c r="B5228" s="548" t="s">
        <v>2075</v>
      </c>
      <c r="C5228" s="547" t="s">
        <v>19</v>
      </c>
      <c r="D5228" s="547" t="s">
        <v>2076</v>
      </c>
      <c r="E5228" s="688" t="s">
        <v>442</v>
      </c>
      <c r="F5228" s="688"/>
      <c r="G5228" s="549" t="s">
        <v>81</v>
      </c>
      <c r="H5228" s="550">
        <v>1E-4</v>
      </c>
      <c r="I5228" s="551">
        <v>3390.99</v>
      </c>
      <c r="J5228" s="551">
        <v>0.33</v>
      </c>
    </row>
    <row r="5229" spans="1:10" ht="14.5" thickTop="1" x14ac:dyDescent="0.3">
      <c r="A5229" s="562"/>
      <c r="B5229" s="562"/>
      <c r="C5229" s="562"/>
      <c r="D5229" s="562"/>
      <c r="E5229" s="562"/>
      <c r="F5229" s="562"/>
      <c r="G5229" s="562"/>
      <c r="H5229" s="562"/>
      <c r="I5229" s="562"/>
      <c r="J5229" s="562"/>
    </row>
    <row r="5230" spans="1:10" x14ac:dyDescent="0.3">
      <c r="A5230" s="553"/>
      <c r="B5230" s="554" t="s">
        <v>4</v>
      </c>
      <c r="C5230" s="553" t="s">
        <v>5</v>
      </c>
      <c r="D5230" s="553" t="s">
        <v>6</v>
      </c>
      <c r="E5230" s="691" t="s">
        <v>427</v>
      </c>
      <c r="F5230" s="691"/>
      <c r="G5230" s="555" t="s">
        <v>7</v>
      </c>
      <c r="H5230" s="554" t="s">
        <v>8</v>
      </c>
      <c r="I5230" s="554" t="s">
        <v>9</v>
      </c>
      <c r="J5230" s="554" t="s">
        <v>11</v>
      </c>
    </row>
    <row r="5231" spans="1:10" ht="38.25" customHeight="1" x14ac:dyDescent="0.3">
      <c r="A5231" s="607" t="s">
        <v>428</v>
      </c>
      <c r="B5231" s="608" t="s">
        <v>2073</v>
      </c>
      <c r="C5231" s="607" t="s">
        <v>19</v>
      </c>
      <c r="D5231" s="607" t="s">
        <v>2074</v>
      </c>
      <c r="E5231" s="690" t="s">
        <v>461</v>
      </c>
      <c r="F5231" s="690"/>
      <c r="G5231" s="609" t="s">
        <v>423</v>
      </c>
      <c r="H5231" s="610">
        <v>1</v>
      </c>
      <c r="I5231" s="611">
        <v>0.37</v>
      </c>
      <c r="J5231" s="611">
        <v>0.37</v>
      </c>
    </row>
    <row r="5232" spans="1:10" ht="14.25" customHeight="1" thickBot="1" x14ac:dyDescent="0.35">
      <c r="A5232" s="547" t="s">
        <v>433</v>
      </c>
      <c r="B5232" s="548" t="s">
        <v>1301</v>
      </c>
      <c r="C5232" s="547" t="s">
        <v>19</v>
      </c>
      <c r="D5232" s="547" t="s">
        <v>1302</v>
      </c>
      <c r="E5232" s="688" t="s">
        <v>438</v>
      </c>
      <c r="F5232" s="688"/>
      <c r="G5232" s="549" t="s">
        <v>528</v>
      </c>
      <c r="H5232" s="550">
        <v>0.52</v>
      </c>
      <c r="I5232" s="551">
        <v>0.72</v>
      </c>
      <c r="J5232" s="551">
        <v>0.37</v>
      </c>
    </row>
    <row r="5233" spans="1:10" ht="14.25" customHeight="1" thickTop="1" x14ac:dyDescent="0.3">
      <c r="A5233" s="562"/>
      <c r="B5233" s="562"/>
      <c r="C5233" s="562"/>
      <c r="D5233" s="562"/>
      <c r="E5233" s="562"/>
      <c r="F5233" s="562"/>
      <c r="G5233" s="562"/>
      <c r="H5233" s="562"/>
      <c r="I5233" s="562"/>
      <c r="J5233" s="562"/>
    </row>
    <row r="5234" spans="1:10" ht="14.25" customHeight="1" x14ac:dyDescent="0.3">
      <c r="A5234" s="553"/>
      <c r="B5234" s="554" t="s">
        <v>4</v>
      </c>
      <c r="C5234" s="553" t="s">
        <v>5</v>
      </c>
      <c r="D5234" s="553" t="s">
        <v>6</v>
      </c>
      <c r="E5234" s="691" t="s">
        <v>427</v>
      </c>
      <c r="F5234" s="691"/>
      <c r="G5234" s="555" t="s">
        <v>7</v>
      </c>
      <c r="H5234" s="554" t="s">
        <v>8</v>
      </c>
      <c r="I5234" s="554" t="s">
        <v>9</v>
      </c>
      <c r="J5234" s="554" t="s">
        <v>11</v>
      </c>
    </row>
    <row r="5235" spans="1:10" ht="38.25" customHeight="1" x14ac:dyDescent="0.3">
      <c r="A5235" s="607" t="s">
        <v>428</v>
      </c>
      <c r="B5235" s="608" t="s">
        <v>1605</v>
      </c>
      <c r="C5235" s="607" t="s">
        <v>19</v>
      </c>
      <c r="D5235" s="607" t="s">
        <v>1606</v>
      </c>
      <c r="E5235" s="690" t="s">
        <v>461</v>
      </c>
      <c r="F5235" s="690"/>
      <c r="G5235" s="609" t="s">
        <v>102</v>
      </c>
      <c r="H5235" s="610">
        <v>1</v>
      </c>
      <c r="I5235" s="611">
        <v>142.18</v>
      </c>
      <c r="J5235" s="611">
        <v>142.18</v>
      </c>
    </row>
    <row r="5236" spans="1:10" ht="14.25" customHeight="1" x14ac:dyDescent="0.3">
      <c r="A5236" s="547" t="s">
        <v>430</v>
      </c>
      <c r="B5236" s="548" t="s">
        <v>1748</v>
      </c>
      <c r="C5236" s="547" t="s">
        <v>19</v>
      </c>
      <c r="D5236" s="547" t="s">
        <v>1749</v>
      </c>
      <c r="E5236" s="688" t="s">
        <v>429</v>
      </c>
      <c r="F5236" s="688"/>
      <c r="G5236" s="549" t="s">
        <v>423</v>
      </c>
      <c r="H5236" s="550">
        <v>1</v>
      </c>
      <c r="I5236" s="551">
        <v>25.72</v>
      </c>
      <c r="J5236" s="551">
        <v>25.72</v>
      </c>
    </row>
    <row r="5237" spans="1:10" ht="14.25" customHeight="1" x14ac:dyDescent="0.3">
      <c r="A5237" s="547" t="s">
        <v>430</v>
      </c>
      <c r="B5237" s="548" t="s">
        <v>2077</v>
      </c>
      <c r="C5237" s="547" t="s">
        <v>19</v>
      </c>
      <c r="D5237" s="547" t="s">
        <v>2078</v>
      </c>
      <c r="E5237" s="688" t="s">
        <v>461</v>
      </c>
      <c r="F5237" s="688"/>
      <c r="G5237" s="549" t="s">
        <v>423</v>
      </c>
      <c r="H5237" s="550">
        <v>1</v>
      </c>
      <c r="I5237" s="551">
        <v>86.11</v>
      </c>
      <c r="J5237" s="551">
        <v>86.11</v>
      </c>
    </row>
    <row r="5238" spans="1:10" ht="15" customHeight="1" thickBot="1" x14ac:dyDescent="0.35">
      <c r="A5238" s="547" t="s">
        <v>430</v>
      </c>
      <c r="B5238" s="548" t="s">
        <v>2079</v>
      </c>
      <c r="C5238" s="547" t="s">
        <v>19</v>
      </c>
      <c r="D5238" s="547" t="s">
        <v>2080</v>
      </c>
      <c r="E5238" s="688" t="s">
        <v>461</v>
      </c>
      <c r="F5238" s="688"/>
      <c r="G5238" s="549" t="s">
        <v>423</v>
      </c>
      <c r="H5238" s="550">
        <v>1</v>
      </c>
      <c r="I5238" s="551">
        <v>30.35</v>
      </c>
      <c r="J5238" s="551">
        <v>30.35</v>
      </c>
    </row>
    <row r="5239" spans="1:10" ht="14.5" thickTop="1" x14ac:dyDescent="0.3">
      <c r="A5239" s="562"/>
      <c r="B5239" s="562"/>
      <c r="C5239" s="562"/>
      <c r="D5239" s="562"/>
      <c r="E5239" s="562"/>
      <c r="F5239" s="562"/>
      <c r="G5239" s="562"/>
      <c r="H5239" s="562"/>
      <c r="I5239" s="562"/>
      <c r="J5239" s="562"/>
    </row>
    <row r="5240" spans="1:10" x14ac:dyDescent="0.3">
      <c r="A5240" s="553"/>
      <c r="B5240" s="554" t="s">
        <v>4</v>
      </c>
      <c r="C5240" s="553" t="s">
        <v>5</v>
      </c>
      <c r="D5240" s="553" t="s">
        <v>6</v>
      </c>
      <c r="E5240" s="691" t="s">
        <v>427</v>
      </c>
      <c r="F5240" s="691"/>
      <c r="G5240" s="555" t="s">
        <v>7</v>
      </c>
      <c r="H5240" s="554" t="s">
        <v>8</v>
      </c>
      <c r="I5240" s="554" t="s">
        <v>9</v>
      </c>
      <c r="J5240" s="554" t="s">
        <v>11</v>
      </c>
    </row>
    <row r="5241" spans="1:10" ht="38.25" customHeight="1" x14ac:dyDescent="0.3">
      <c r="A5241" s="607" t="s">
        <v>428</v>
      </c>
      <c r="B5241" s="608" t="s">
        <v>1603</v>
      </c>
      <c r="C5241" s="607" t="s">
        <v>19</v>
      </c>
      <c r="D5241" s="607" t="s">
        <v>1604</v>
      </c>
      <c r="E5241" s="690" t="s">
        <v>461</v>
      </c>
      <c r="F5241" s="690"/>
      <c r="G5241" s="609" t="s">
        <v>95</v>
      </c>
      <c r="H5241" s="610">
        <v>1</v>
      </c>
      <c r="I5241" s="611">
        <v>361.05</v>
      </c>
      <c r="J5241" s="611">
        <v>361.05</v>
      </c>
    </row>
    <row r="5242" spans="1:10" ht="38.25" customHeight="1" x14ac:dyDescent="0.3">
      <c r="A5242" s="547" t="s">
        <v>430</v>
      </c>
      <c r="B5242" s="548" t="s">
        <v>2081</v>
      </c>
      <c r="C5242" s="547" t="s">
        <v>19</v>
      </c>
      <c r="D5242" s="547" t="s">
        <v>2082</v>
      </c>
      <c r="E5242" s="688" t="s">
        <v>461</v>
      </c>
      <c r="F5242" s="688"/>
      <c r="G5242" s="549" t="s">
        <v>423</v>
      </c>
      <c r="H5242" s="550">
        <v>1</v>
      </c>
      <c r="I5242" s="551">
        <v>138.41999999999999</v>
      </c>
      <c r="J5242" s="551">
        <v>138.41999999999999</v>
      </c>
    </row>
    <row r="5243" spans="1:10" ht="14.25" customHeight="1" x14ac:dyDescent="0.3">
      <c r="A5243" s="547" t="s">
        <v>430</v>
      </c>
      <c r="B5243" s="548" t="s">
        <v>2083</v>
      </c>
      <c r="C5243" s="547" t="s">
        <v>19</v>
      </c>
      <c r="D5243" s="547" t="s">
        <v>2084</v>
      </c>
      <c r="E5243" s="688" t="s">
        <v>461</v>
      </c>
      <c r="F5243" s="688"/>
      <c r="G5243" s="549" t="s">
        <v>423</v>
      </c>
      <c r="H5243" s="550">
        <v>1</v>
      </c>
      <c r="I5243" s="551">
        <v>80.45</v>
      </c>
      <c r="J5243" s="551">
        <v>80.45</v>
      </c>
    </row>
    <row r="5244" spans="1:10" ht="15" customHeight="1" x14ac:dyDescent="0.3">
      <c r="A5244" s="547" t="s">
        <v>430</v>
      </c>
      <c r="B5244" s="548" t="s">
        <v>1748</v>
      </c>
      <c r="C5244" s="547" t="s">
        <v>19</v>
      </c>
      <c r="D5244" s="547" t="s">
        <v>1749</v>
      </c>
      <c r="E5244" s="688" t="s">
        <v>429</v>
      </c>
      <c r="F5244" s="688"/>
      <c r="G5244" s="549" t="s">
        <v>423</v>
      </c>
      <c r="H5244" s="550">
        <v>1</v>
      </c>
      <c r="I5244" s="551">
        <v>25.72</v>
      </c>
      <c r="J5244" s="551">
        <v>25.72</v>
      </c>
    </row>
    <row r="5245" spans="1:10" ht="38.25" customHeight="1" x14ac:dyDescent="0.3">
      <c r="A5245" s="547" t="s">
        <v>430</v>
      </c>
      <c r="B5245" s="548" t="s">
        <v>2077</v>
      </c>
      <c r="C5245" s="547" t="s">
        <v>19</v>
      </c>
      <c r="D5245" s="547" t="s">
        <v>2078</v>
      </c>
      <c r="E5245" s="688" t="s">
        <v>461</v>
      </c>
      <c r="F5245" s="688"/>
      <c r="G5245" s="549" t="s">
        <v>423</v>
      </c>
      <c r="H5245" s="550">
        <v>1</v>
      </c>
      <c r="I5245" s="551">
        <v>86.11</v>
      </c>
      <c r="J5245" s="551">
        <v>86.11</v>
      </c>
    </row>
    <row r="5246" spans="1:10" ht="14.25" customHeight="1" thickBot="1" x14ac:dyDescent="0.35">
      <c r="A5246" s="547" t="s">
        <v>430</v>
      </c>
      <c r="B5246" s="548" t="s">
        <v>2079</v>
      </c>
      <c r="C5246" s="547" t="s">
        <v>19</v>
      </c>
      <c r="D5246" s="547" t="s">
        <v>2080</v>
      </c>
      <c r="E5246" s="688" t="s">
        <v>461</v>
      </c>
      <c r="F5246" s="688"/>
      <c r="G5246" s="549" t="s">
        <v>423</v>
      </c>
      <c r="H5246" s="550">
        <v>1</v>
      </c>
      <c r="I5246" s="551">
        <v>30.35</v>
      </c>
      <c r="J5246" s="551">
        <v>30.35</v>
      </c>
    </row>
    <row r="5247" spans="1:10" ht="25.5" customHeight="1" thickTop="1" x14ac:dyDescent="0.3">
      <c r="A5247" s="562"/>
      <c r="B5247" s="562"/>
      <c r="C5247" s="562"/>
      <c r="D5247" s="562"/>
      <c r="E5247" s="562"/>
      <c r="F5247" s="562"/>
      <c r="G5247" s="562"/>
      <c r="H5247" s="562"/>
      <c r="I5247" s="562"/>
      <c r="J5247" s="562"/>
    </row>
    <row r="5248" spans="1:10" ht="25.5" customHeight="1" x14ac:dyDescent="0.3">
      <c r="A5248" s="553"/>
      <c r="B5248" s="554" t="s">
        <v>4</v>
      </c>
      <c r="C5248" s="553" t="s">
        <v>5</v>
      </c>
      <c r="D5248" s="553" t="s">
        <v>6</v>
      </c>
      <c r="E5248" s="691" t="s">
        <v>427</v>
      </c>
      <c r="F5248" s="691"/>
      <c r="G5248" s="555" t="s">
        <v>7</v>
      </c>
      <c r="H5248" s="554" t="s">
        <v>8</v>
      </c>
      <c r="I5248" s="554" t="s">
        <v>9</v>
      </c>
      <c r="J5248" s="554" t="s">
        <v>11</v>
      </c>
    </row>
    <row r="5249" spans="1:10" ht="26.25" customHeight="1" x14ac:dyDescent="0.3">
      <c r="A5249" s="607" t="s">
        <v>428</v>
      </c>
      <c r="B5249" s="608" t="s">
        <v>2077</v>
      </c>
      <c r="C5249" s="607" t="s">
        <v>19</v>
      </c>
      <c r="D5249" s="607" t="s">
        <v>2078</v>
      </c>
      <c r="E5249" s="690" t="s">
        <v>461</v>
      </c>
      <c r="F5249" s="690"/>
      <c r="G5249" s="609" t="s">
        <v>423</v>
      </c>
      <c r="H5249" s="610">
        <v>1</v>
      </c>
      <c r="I5249" s="611">
        <v>86.11</v>
      </c>
      <c r="J5249" s="611">
        <v>86.11</v>
      </c>
    </row>
    <row r="5250" spans="1:10" ht="25.5" thickBot="1" x14ac:dyDescent="0.35">
      <c r="A5250" s="547" t="s">
        <v>433</v>
      </c>
      <c r="B5250" s="548" t="s">
        <v>2085</v>
      </c>
      <c r="C5250" s="547" t="s">
        <v>19</v>
      </c>
      <c r="D5250" s="547" t="s">
        <v>2086</v>
      </c>
      <c r="E5250" s="688" t="s">
        <v>442</v>
      </c>
      <c r="F5250" s="688"/>
      <c r="G5250" s="549" t="s">
        <v>81</v>
      </c>
      <c r="H5250" s="550">
        <v>4.0000000000000003E-5</v>
      </c>
      <c r="I5250" s="551">
        <v>2152752</v>
      </c>
      <c r="J5250" s="551">
        <v>86.11</v>
      </c>
    </row>
    <row r="5251" spans="1:10" ht="14.5" thickTop="1" x14ac:dyDescent="0.3">
      <c r="A5251" s="562"/>
      <c r="B5251" s="562"/>
      <c r="C5251" s="562"/>
      <c r="D5251" s="562"/>
      <c r="E5251" s="562"/>
      <c r="F5251" s="562"/>
      <c r="G5251" s="562"/>
      <c r="H5251" s="562"/>
      <c r="I5251" s="562"/>
      <c r="J5251" s="562"/>
    </row>
    <row r="5252" spans="1:10" ht="14.25" customHeight="1" x14ac:dyDescent="0.3">
      <c r="A5252" s="553"/>
      <c r="B5252" s="554" t="s">
        <v>4</v>
      </c>
      <c r="C5252" s="553" t="s">
        <v>5</v>
      </c>
      <c r="D5252" s="553" t="s">
        <v>6</v>
      </c>
      <c r="E5252" s="691" t="s">
        <v>427</v>
      </c>
      <c r="F5252" s="691"/>
      <c r="G5252" s="555" t="s">
        <v>7</v>
      </c>
      <c r="H5252" s="554" t="s">
        <v>8</v>
      </c>
      <c r="I5252" s="554" t="s">
        <v>9</v>
      </c>
      <c r="J5252" s="554" t="s">
        <v>11</v>
      </c>
    </row>
    <row r="5253" spans="1:10" ht="15" customHeight="1" x14ac:dyDescent="0.3">
      <c r="A5253" s="607" t="s">
        <v>428</v>
      </c>
      <c r="B5253" s="608" t="s">
        <v>2079</v>
      </c>
      <c r="C5253" s="607" t="s">
        <v>19</v>
      </c>
      <c r="D5253" s="607" t="s">
        <v>2080</v>
      </c>
      <c r="E5253" s="690" t="s">
        <v>461</v>
      </c>
      <c r="F5253" s="690"/>
      <c r="G5253" s="609" t="s">
        <v>423</v>
      </c>
      <c r="H5253" s="610">
        <v>1</v>
      </c>
      <c r="I5253" s="611">
        <v>30.35</v>
      </c>
      <c r="J5253" s="611">
        <v>30.35</v>
      </c>
    </row>
    <row r="5254" spans="1:10" ht="25.5" customHeight="1" thickBot="1" x14ac:dyDescent="0.35">
      <c r="A5254" s="547" t="s">
        <v>433</v>
      </c>
      <c r="B5254" s="548" t="s">
        <v>2085</v>
      </c>
      <c r="C5254" s="547" t="s">
        <v>19</v>
      </c>
      <c r="D5254" s="547" t="s">
        <v>2086</v>
      </c>
      <c r="E5254" s="688" t="s">
        <v>442</v>
      </c>
      <c r="F5254" s="688"/>
      <c r="G5254" s="549" t="s">
        <v>81</v>
      </c>
      <c r="H5254" s="550">
        <v>1.4100000000000001E-5</v>
      </c>
      <c r="I5254" s="551">
        <v>2152752</v>
      </c>
      <c r="J5254" s="551">
        <v>30.35</v>
      </c>
    </row>
    <row r="5255" spans="1:10" ht="25.5" customHeight="1" thickTop="1" x14ac:dyDescent="0.3">
      <c r="A5255" s="562"/>
      <c r="B5255" s="562"/>
      <c r="C5255" s="562"/>
      <c r="D5255" s="562"/>
      <c r="E5255" s="562"/>
      <c r="F5255" s="562"/>
      <c r="G5255" s="562"/>
      <c r="H5255" s="562"/>
      <c r="I5255" s="562"/>
      <c r="J5255" s="562"/>
    </row>
    <row r="5256" spans="1:10" ht="39" customHeight="1" x14ac:dyDescent="0.3">
      <c r="A5256" s="553"/>
      <c r="B5256" s="554" t="s">
        <v>4</v>
      </c>
      <c r="C5256" s="553" t="s">
        <v>5</v>
      </c>
      <c r="D5256" s="553" t="s">
        <v>6</v>
      </c>
      <c r="E5256" s="691" t="s">
        <v>427</v>
      </c>
      <c r="F5256" s="691"/>
      <c r="G5256" s="555" t="s">
        <v>7</v>
      </c>
      <c r="H5256" s="554" t="s">
        <v>8</v>
      </c>
      <c r="I5256" s="554" t="s">
        <v>9</v>
      </c>
      <c r="J5256" s="554" t="s">
        <v>11</v>
      </c>
    </row>
    <row r="5257" spans="1:10" ht="38.25" customHeight="1" x14ac:dyDescent="0.3">
      <c r="A5257" s="607" t="s">
        <v>428</v>
      </c>
      <c r="B5257" s="608" t="s">
        <v>2081</v>
      </c>
      <c r="C5257" s="607" t="s">
        <v>19</v>
      </c>
      <c r="D5257" s="607" t="s">
        <v>2082</v>
      </c>
      <c r="E5257" s="690" t="s">
        <v>461</v>
      </c>
      <c r="F5257" s="690"/>
      <c r="G5257" s="609" t="s">
        <v>423</v>
      </c>
      <c r="H5257" s="610">
        <v>1</v>
      </c>
      <c r="I5257" s="611">
        <v>138.41999999999999</v>
      </c>
      <c r="J5257" s="611">
        <v>138.41999999999999</v>
      </c>
    </row>
    <row r="5258" spans="1:10" ht="25.5" thickBot="1" x14ac:dyDescent="0.35">
      <c r="A5258" s="547" t="s">
        <v>433</v>
      </c>
      <c r="B5258" s="548" t="s">
        <v>2085</v>
      </c>
      <c r="C5258" s="547" t="s">
        <v>19</v>
      </c>
      <c r="D5258" s="547" t="s">
        <v>2086</v>
      </c>
      <c r="E5258" s="688" t="s">
        <v>442</v>
      </c>
      <c r="F5258" s="688"/>
      <c r="G5258" s="549" t="s">
        <v>81</v>
      </c>
      <c r="H5258" s="550">
        <v>6.4300000000000004E-5</v>
      </c>
      <c r="I5258" s="551">
        <v>2152752</v>
      </c>
      <c r="J5258" s="551">
        <v>138.41999999999999</v>
      </c>
    </row>
    <row r="5259" spans="1:10" ht="25.5" customHeight="1" thickTop="1" x14ac:dyDescent="0.3">
      <c r="A5259" s="562"/>
      <c r="B5259" s="562"/>
      <c r="C5259" s="562"/>
      <c r="D5259" s="562"/>
      <c r="E5259" s="562"/>
      <c r="F5259" s="562"/>
      <c r="G5259" s="562"/>
      <c r="H5259" s="562"/>
      <c r="I5259" s="562"/>
      <c r="J5259" s="562"/>
    </row>
    <row r="5260" spans="1:10" x14ac:dyDescent="0.3">
      <c r="A5260" s="553"/>
      <c r="B5260" s="554" t="s">
        <v>4</v>
      </c>
      <c r="C5260" s="553" t="s">
        <v>5</v>
      </c>
      <c r="D5260" s="553" t="s">
        <v>6</v>
      </c>
      <c r="E5260" s="691" t="s">
        <v>427</v>
      </c>
      <c r="F5260" s="691"/>
      <c r="G5260" s="555" t="s">
        <v>7</v>
      </c>
      <c r="H5260" s="554" t="s">
        <v>8</v>
      </c>
      <c r="I5260" s="554" t="s">
        <v>9</v>
      </c>
      <c r="J5260" s="554" t="s">
        <v>11</v>
      </c>
    </row>
    <row r="5261" spans="1:10" ht="38.25" customHeight="1" x14ac:dyDescent="0.3">
      <c r="A5261" s="607" t="s">
        <v>428</v>
      </c>
      <c r="B5261" s="608" t="s">
        <v>2083</v>
      </c>
      <c r="C5261" s="607" t="s">
        <v>19</v>
      </c>
      <c r="D5261" s="607" t="s">
        <v>2084</v>
      </c>
      <c r="E5261" s="690" t="s">
        <v>461</v>
      </c>
      <c r="F5261" s="690"/>
      <c r="G5261" s="609" t="s">
        <v>423</v>
      </c>
      <c r="H5261" s="610">
        <v>1</v>
      </c>
      <c r="I5261" s="611">
        <v>80.45</v>
      </c>
      <c r="J5261" s="611">
        <v>80.45</v>
      </c>
    </row>
    <row r="5262" spans="1:10" s="89" customFormat="1" ht="25.5" customHeight="1" thickBot="1" x14ac:dyDescent="0.35">
      <c r="A5262" s="547" t="s">
        <v>433</v>
      </c>
      <c r="B5262" s="548" t="s">
        <v>3859</v>
      </c>
      <c r="C5262" s="547" t="s">
        <v>115</v>
      </c>
      <c r="D5262" s="547" t="s">
        <v>3860</v>
      </c>
      <c r="E5262" s="688" t="s">
        <v>438</v>
      </c>
      <c r="F5262" s="688"/>
      <c r="G5262" s="549" t="s">
        <v>835</v>
      </c>
      <c r="H5262" s="550">
        <v>14.88</v>
      </c>
      <c r="I5262" s="551">
        <v>5.4069000000000003</v>
      </c>
      <c r="J5262" s="551">
        <v>80.45</v>
      </c>
    </row>
    <row r="5263" spans="1:10" ht="25.5" customHeight="1" thickTop="1" x14ac:dyDescent="0.3">
      <c r="A5263" s="562"/>
      <c r="B5263" s="562"/>
      <c r="C5263" s="562"/>
      <c r="D5263" s="562"/>
      <c r="E5263" s="562"/>
      <c r="F5263" s="562"/>
      <c r="G5263" s="562"/>
      <c r="H5263" s="562"/>
      <c r="I5263" s="562"/>
      <c r="J5263" s="562"/>
    </row>
    <row r="5264" spans="1:10" ht="26.25" customHeight="1" x14ac:dyDescent="0.3">
      <c r="A5264" s="553"/>
      <c r="B5264" s="554" t="s">
        <v>4</v>
      </c>
      <c r="C5264" s="553" t="s">
        <v>5</v>
      </c>
      <c r="D5264" s="553" t="s">
        <v>6</v>
      </c>
      <c r="E5264" s="691" t="s">
        <v>427</v>
      </c>
      <c r="F5264" s="691"/>
      <c r="G5264" s="555" t="s">
        <v>7</v>
      </c>
      <c r="H5264" s="554" t="s">
        <v>8</v>
      </c>
      <c r="I5264" s="554" t="s">
        <v>9</v>
      </c>
      <c r="J5264" s="554" t="s">
        <v>11</v>
      </c>
    </row>
    <row r="5265" spans="1:10" x14ac:dyDescent="0.3">
      <c r="A5265" s="607" t="s">
        <v>428</v>
      </c>
      <c r="B5265" s="608" t="s">
        <v>3575</v>
      </c>
      <c r="C5265" s="607" t="s">
        <v>115</v>
      </c>
      <c r="D5265" s="607" t="s">
        <v>3576</v>
      </c>
      <c r="E5265" s="690" t="s">
        <v>402</v>
      </c>
      <c r="F5265" s="690"/>
      <c r="G5265" s="609" t="s">
        <v>830</v>
      </c>
      <c r="H5265" s="610">
        <v>1</v>
      </c>
      <c r="I5265" s="611">
        <v>56.21</v>
      </c>
      <c r="J5265" s="611">
        <v>56.21</v>
      </c>
    </row>
    <row r="5266" spans="1:10" ht="14.25" customHeight="1" x14ac:dyDescent="0.3">
      <c r="A5266" s="689"/>
      <c r="B5266" s="689"/>
      <c r="C5266" s="689"/>
      <c r="D5266" s="689"/>
      <c r="E5266" s="689"/>
      <c r="F5266" s="689" t="s">
        <v>472</v>
      </c>
      <c r="G5266" s="689"/>
      <c r="H5266" s="689"/>
      <c r="I5266" s="689"/>
      <c r="J5266" s="564">
        <v>0</v>
      </c>
    </row>
    <row r="5267" spans="1:10" s="89" customFormat="1" ht="25.5" customHeight="1" x14ac:dyDescent="0.3">
      <c r="A5267" s="689"/>
      <c r="B5267" s="689"/>
      <c r="C5267" s="689"/>
      <c r="D5267" s="689"/>
      <c r="E5267" s="689"/>
      <c r="F5267" s="689" t="s">
        <v>473</v>
      </c>
      <c r="G5267" s="689"/>
      <c r="H5267" s="689"/>
      <c r="I5267" s="689"/>
      <c r="J5267" s="564">
        <v>0</v>
      </c>
    </row>
    <row r="5268" spans="1:10" ht="25.5" customHeight="1" x14ac:dyDescent="0.3">
      <c r="A5268" s="689"/>
      <c r="B5268" s="689"/>
      <c r="C5268" s="689"/>
      <c r="D5268" s="689"/>
      <c r="E5268" s="689"/>
      <c r="F5268" s="689" t="s">
        <v>474</v>
      </c>
      <c r="G5268" s="689"/>
      <c r="H5268" s="689"/>
      <c r="I5268" s="689"/>
      <c r="J5268" s="564">
        <v>0</v>
      </c>
    </row>
    <row r="5269" spans="1:10" x14ac:dyDescent="0.3">
      <c r="A5269" s="689"/>
      <c r="B5269" s="689"/>
      <c r="C5269" s="689"/>
      <c r="D5269" s="689"/>
      <c r="E5269" s="689"/>
      <c r="F5269" s="689" t="s">
        <v>475</v>
      </c>
      <c r="G5269" s="689"/>
      <c r="H5269" s="689"/>
      <c r="I5269" s="689"/>
      <c r="J5269" s="564">
        <v>10</v>
      </c>
    </row>
    <row r="5270" spans="1:10" x14ac:dyDescent="0.3">
      <c r="A5270" s="689"/>
      <c r="B5270" s="689"/>
      <c r="C5270" s="689"/>
      <c r="D5270" s="689"/>
      <c r="E5270" s="689"/>
      <c r="F5270" s="689" t="s">
        <v>476</v>
      </c>
      <c r="G5270" s="689"/>
      <c r="H5270" s="689"/>
      <c r="I5270" s="689"/>
      <c r="J5270" s="564">
        <v>0</v>
      </c>
    </row>
    <row r="5271" spans="1:10" ht="39" customHeight="1" x14ac:dyDescent="0.3">
      <c r="A5271" s="553" t="s">
        <v>410</v>
      </c>
      <c r="B5271" s="554" t="s">
        <v>5</v>
      </c>
      <c r="C5271" s="553" t="s">
        <v>4</v>
      </c>
      <c r="D5271" s="553" t="s">
        <v>438</v>
      </c>
      <c r="E5271" s="554" t="s">
        <v>463</v>
      </c>
      <c r="F5271" s="554" t="s">
        <v>575</v>
      </c>
      <c r="G5271" s="692" t="s">
        <v>576</v>
      </c>
      <c r="H5271" s="692"/>
      <c r="I5271" s="692"/>
      <c r="J5271" s="554" t="s">
        <v>466</v>
      </c>
    </row>
    <row r="5272" spans="1:10" ht="25" x14ac:dyDescent="0.3">
      <c r="A5272" s="547" t="s">
        <v>433</v>
      </c>
      <c r="B5272" s="548" t="s">
        <v>115</v>
      </c>
      <c r="C5272" s="547" t="s">
        <v>3744</v>
      </c>
      <c r="D5272" s="547" t="s">
        <v>3745</v>
      </c>
      <c r="E5272" s="550">
        <v>1.1000000000000001</v>
      </c>
      <c r="F5272" s="549" t="s">
        <v>830</v>
      </c>
      <c r="G5272" s="693">
        <v>28.6267</v>
      </c>
      <c r="H5272" s="693"/>
      <c r="I5272" s="688"/>
      <c r="J5272" s="563">
        <v>31.4894</v>
      </c>
    </row>
    <row r="5273" spans="1:10" ht="25" x14ac:dyDescent="0.3">
      <c r="A5273" s="547" t="s">
        <v>433</v>
      </c>
      <c r="B5273" s="548" t="s">
        <v>115</v>
      </c>
      <c r="C5273" s="547" t="s">
        <v>3746</v>
      </c>
      <c r="D5273" s="547" t="s">
        <v>3747</v>
      </c>
      <c r="E5273" s="550">
        <v>1</v>
      </c>
      <c r="F5273" s="549" t="s">
        <v>830</v>
      </c>
      <c r="G5273" s="693">
        <v>21.57</v>
      </c>
      <c r="H5273" s="693"/>
      <c r="I5273" s="688"/>
      <c r="J5273" s="563">
        <v>21.57</v>
      </c>
    </row>
    <row r="5274" spans="1:10" s="89" customFormat="1" x14ac:dyDescent="0.3">
      <c r="A5274" s="689"/>
      <c r="B5274" s="689"/>
      <c r="C5274" s="689"/>
      <c r="D5274" s="689"/>
      <c r="E5274" s="689"/>
      <c r="F5274" s="689" t="s">
        <v>813</v>
      </c>
      <c r="G5274" s="689"/>
      <c r="H5274" s="689"/>
      <c r="I5274" s="689"/>
      <c r="J5274" s="564">
        <v>53.059399999999997</v>
      </c>
    </row>
    <row r="5275" spans="1:10" ht="38.25" customHeight="1" x14ac:dyDescent="0.3">
      <c r="A5275" s="553" t="s">
        <v>573</v>
      </c>
      <c r="B5275" s="554" t="s">
        <v>5</v>
      </c>
      <c r="C5275" s="553" t="s">
        <v>4</v>
      </c>
      <c r="D5275" s="553" t="s">
        <v>574</v>
      </c>
      <c r="E5275" s="554" t="s">
        <v>463</v>
      </c>
      <c r="F5275" s="554" t="s">
        <v>575</v>
      </c>
      <c r="G5275" s="692" t="s">
        <v>576</v>
      </c>
      <c r="H5275" s="692"/>
      <c r="I5275" s="692"/>
      <c r="J5275" s="554" t="s">
        <v>466</v>
      </c>
    </row>
    <row r="5276" spans="1:10" ht="14.25" customHeight="1" x14ac:dyDescent="0.3">
      <c r="A5276" s="547" t="s">
        <v>577</v>
      </c>
      <c r="B5276" s="548" t="s">
        <v>19</v>
      </c>
      <c r="C5276" s="547">
        <v>88264</v>
      </c>
      <c r="D5276" s="547" t="s">
        <v>770</v>
      </c>
      <c r="E5276" s="550">
        <v>0.1</v>
      </c>
      <c r="F5276" s="549" t="s">
        <v>423</v>
      </c>
      <c r="G5276" s="693">
        <v>31.49</v>
      </c>
      <c r="H5276" s="693"/>
      <c r="I5276" s="688"/>
      <c r="J5276" s="563">
        <v>3.149</v>
      </c>
    </row>
    <row r="5277" spans="1:10" ht="38.25" customHeight="1" thickBot="1" x14ac:dyDescent="0.35">
      <c r="A5277" s="689"/>
      <c r="B5277" s="689"/>
      <c r="C5277" s="689"/>
      <c r="D5277" s="689"/>
      <c r="E5277" s="689"/>
      <c r="F5277" s="689" t="s">
        <v>578</v>
      </c>
      <c r="G5277" s="689"/>
      <c r="H5277" s="689"/>
      <c r="I5277" s="689"/>
      <c r="J5277" s="564">
        <v>3.149</v>
      </c>
    </row>
    <row r="5278" spans="1:10" s="89" customFormat="1" ht="25.5" customHeight="1" thickTop="1" x14ac:dyDescent="0.3">
      <c r="A5278" s="562"/>
      <c r="B5278" s="562"/>
      <c r="C5278" s="562"/>
      <c r="D5278" s="562"/>
      <c r="E5278" s="562"/>
      <c r="F5278" s="562"/>
      <c r="G5278" s="562"/>
      <c r="H5278" s="562"/>
      <c r="I5278" s="562"/>
      <c r="J5278" s="562"/>
    </row>
    <row r="5279" spans="1:10" ht="70" customHeight="1" x14ac:dyDescent="0.3">
      <c r="A5279" s="648"/>
      <c r="B5279" s="648"/>
      <c r="C5279" s="648"/>
      <c r="D5279" s="648"/>
      <c r="E5279" s="648"/>
      <c r="F5279" s="648"/>
      <c r="G5279" s="648"/>
      <c r="H5279" s="648"/>
      <c r="I5279" s="648"/>
      <c r="J5279"/>
    </row>
  </sheetData>
  <mergeCells count="5242">
    <mergeCell ref="G5273:I5273"/>
    <mergeCell ref="A5274:E5274"/>
    <mergeCell ref="F5274:I5274"/>
    <mergeCell ref="G5275:I5275"/>
    <mergeCell ref="G5276:I5276"/>
    <mergeCell ref="A5277:E5277"/>
    <mergeCell ref="F5277:I5277"/>
    <mergeCell ref="E5214:F5214"/>
    <mergeCell ref="E5215:F5215"/>
    <mergeCell ref="E5216:F5216"/>
    <mergeCell ref="E5218:F5218"/>
    <mergeCell ref="E5219:F5219"/>
    <mergeCell ref="E5220:F5220"/>
    <mergeCell ref="E5222:F5222"/>
    <mergeCell ref="E5223:F5223"/>
    <mergeCell ref="E5224:F5224"/>
    <mergeCell ref="E5226:F5226"/>
    <mergeCell ref="E5227:F5227"/>
    <mergeCell ref="E5228:F5228"/>
    <mergeCell ref="E5245:F5245"/>
    <mergeCell ref="E5250:F5250"/>
    <mergeCell ref="E5257:F5257"/>
    <mergeCell ref="E5261:F5261"/>
    <mergeCell ref="E5265:F5265"/>
    <mergeCell ref="E5258:F5258"/>
    <mergeCell ref="E5260:F5260"/>
    <mergeCell ref="E5241:F5241"/>
    <mergeCell ref="E5242:F5242"/>
    <mergeCell ref="E5243:F5243"/>
    <mergeCell ref="E5244:F5244"/>
    <mergeCell ref="E5246:F5246"/>
    <mergeCell ref="E5248:F5248"/>
    <mergeCell ref="G5170:I5170"/>
    <mergeCell ref="A5171:E5171"/>
    <mergeCell ref="F5171:I5171"/>
    <mergeCell ref="G5172:I5172"/>
    <mergeCell ref="G5173:I5173"/>
    <mergeCell ref="A5174:E5174"/>
    <mergeCell ref="F5174:I5174"/>
    <mergeCell ref="H5175:I5175"/>
    <mergeCell ref="H5176:I5176"/>
    <mergeCell ref="H5177:I5177"/>
    <mergeCell ref="H5178:I5178"/>
    <mergeCell ref="H5179:I5179"/>
    <mergeCell ref="A5180:E5180"/>
    <mergeCell ref="F5180:I5180"/>
    <mergeCell ref="G5181:I5181"/>
    <mergeCell ref="A5187:E5187"/>
    <mergeCell ref="F5187:I5187"/>
    <mergeCell ref="J5155:J5156"/>
    <mergeCell ref="A5160:E5160"/>
    <mergeCell ref="F5160:I5160"/>
    <mergeCell ref="A5161:E5161"/>
    <mergeCell ref="F5161:I5161"/>
    <mergeCell ref="A5162:E5162"/>
    <mergeCell ref="F5162:I5162"/>
    <mergeCell ref="A5163:E5163"/>
    <mergeCell ref="F5163:I5163"/>
    <mergeCell ref="A5164:E5164"/>
    <mergeCell ref="F5164:I5164"/>
    <mergeCell ref="A5165:E5165"/>
    <mergeCell ref="F5165:I5165"/>
    <mergeCell ref="G5166:I5166"/>
    <mergeCell ref="G5167:I5167"/>
    <mergeCell ref="G5168:I5168"/>
    <mergeCell ref="G5169:I5169"/>
    <mergeCell ref="A5155:A5156"/>
    <mergeCell ref="B5155:B5156"/>
    <mergeCell ref="C5155:C5156"/>
    <mergeCell ref="D5155:D5156"/>
    <mergeCell ref="E5105:F5105"/>
    <mergeCell ref="E5106:F5106"/>
    <mergeCell ref="E5107:F5107"/>
    <mergeCell ref="E5108:F5108"/>
    <mergeCell ref="E5111:F5111"/>
    <mergeCell ref="E5112:F5112"/>
    <mergeCell ref="E5114:F5114"/>
    <mergeCell ref="E5115:F5115"/>
    <mergeCell ref="E5116:F5116"/>
    <mergeCell ref="E5117:F5117"/>
    <mergeCell ref="E5118:F5118"/>
    <mergeCell ref="E5119:F5119"/>
    <mergeCell ref="E5120:F5120"/>
    <mergeCell ref="E5123:F5123"/>
    <mergeCell ref="E5124:F5124"/>
    <mergeCell ref="E5125:F5125"/>
    <mergeCell ref="E5126:F5126"/>
    <mergeCell ref="E5109:F5109"/>
    <mergeCell ref="E5110:F5110"/>
    <mergeCell ref="E5121:F5121"/>
    <mergeCell ref="E5094:F5094"/>
    <mergeCell ref="A5095:A5096"/>
    <mergeCell ref="B5095:B5096"/>
    <mergeCell ref="C5095:C5096"/>
    <mergeCell ref="D5095:D5096"/>
    <mergeCell ref="E5095:E5096"/>
    <mergeCell ref="F5095:G5095"/>
    <mergeCell ref="H5095:I5095"/>
    <mergeCell ref="J5095:J5096"/>
    <mergeCell ref="A5098:E5098"/>
    <mergeCell ref="F5098:I5098"/>
    <mergeCell ref="A5099:E5099"/>
    <mergeCell ref="F5099:I5099"/>
    <mergeCell ref="A5100:E5100"/>
    <mergeCell ref="F5100:I5100"/>
    <mergeCell ref="A5101:E5101"/>
    <mergeCell ref="F5101:I5101"/>
    <mergeCell ref="E5081:F5081"/>
    <mergeCell ref="E5082:F5082"/>
    <mergeCell ref="A5083:A5084"/>
    <mergeCell ref="B5083:B5084"/>
    <mergeCell ref="C5083:C5084"/>
    <mergeCell ref="D5083:D5084"/>
    <mergeCell ref="E5083:E5084"/>
    <mergeCell ref="F5083:G5083"/>
    <mergeCell ref="H5083:I5083"/>
    <mergeCell ref="J5083:J5084"/>
    <mergeCell ref="A5086:E5086"/>
    <mergeCell ref="F5086:I5086"/>
    <mergeCell ref="A5087:E5087"/>
    <mergeCell ref="F5087:I5087"/>
    <mergeCell ref="A5088:E5088"/>
    <mergeCell ref="F5088:I5088"/>
    <mergeCell ref="A5089:E5089"/>
    <mergeCell ref="F5089:I5089"/>
    <mergeCell ref="E5069:F5069"/>
    <mergeCell ref="E5070:F5070"/>
    <mergeCell ref="A5071:A5072"/>
    <mergeCell ref="B5071:B5072"/>
    <mergeCell ref="C5071:C5072"/>
    <mergeCell ref="D5071:D5072"/>
    <mergeCell ref="E5071:E5072"/>
    <mergeCell ref="F5071:G5071"/>
    <mergeCell ref="H5071:I5071"/>
    <mergeCell ref="J5071:J5072"/>
    <mergeCell ref="A5074:E5074"/>
    <mergeCell ref="F5074:I5074"/>
    <mergeCell ref="A5075:E5075"/>
    <mergeCell ref="F5075:I5075"/>
    <mergeCell ref="A5076:E5076"/>
    <mergeCell ref="F5076:I5076"/>
    <mergeCell ref="A5077:E5077"/>
    <mergeCell ref="F5077:I5077"/>
    <mergeCell ref="J5047:J5048"/>
    <mergeCell ref="A5059:A5060"/>
    <mergeCell ref="B5059:B5060"/>
    <mergeCell ref="C5059:C5060"/>
    <mergeCell ref="D5059:D5060"/>
    <mergeCell ref="E5059:E5060"/>
    <mergeCell ref="F5059:G5059"/>
    <mergeCell ref="H5059:I5059"/>
    <mergeCell ref="J5059:J5060"/>
    <mergeCell ref="A5062:E5062"/>
    <mergeCell ref="F5062:I5062"/>
    <mergeCell ref="A5063:E5063"/>
    <mergeCell ref="F5063:I5063"/>
    <mergeCell ref="A5064:E5064"/>
    <mergeCell ref="F5064:I5064"/>
    <mergeCell ref="A5065:E5065"/>
    <mergeCell ref="F5065:I5065"/>
    <mergeCell ref="A5050:E5050"/>
    <mergeCell ref="F5050:I5050"/>
    <mergeCell ref="A5051:E5051"/>
    <mergeCell ref="F5051:I5051"/>
    <mergeCell ref="A5052:E5052"/>
    <mergeCell ref="F5052:I5052"/>
    <mergeCell ref="A5053:E5053"/>
    <mergeCell ref="F5053:I5053"/>
    <mergeCell ref="F5026:I5026"/>
    <mergeCell ref="A5027:E5027"/>
    <mergeCell ref="F5027:I5027"/>
    <mergeCell ref="A5028:E5028"/>
    <mergeCell ref="F5028:I5028"/>
    <mergeCell ref="A5029:E5029"/>
    <mergeCell ref="F5029:I5029"/>
    <mergeCell ref="A5030:E5030"/>
    <mergeCell ref="F5030:I5030"/>
    <mergeCell ref="A5031:E5031"/>
    <mergeCell ref="F5031:I5031"/>
    <mergeCell ref="A5023:A5024"/>
    <mergeCell ref="B5023:B5024"/>
    <mergeCell ref="C5023:C5024"/>
    <mergeCell ref="J5035:J5036"/>
    <mergeCell ref="A5038:E5038"/>
    <mergeCell ref="F5038:I5038"/>
    <mergeCell ref="J5011:J5012"/>
    <mergeCell ref="D5023:D5024"/>
    <mergeCell ref="E5023:E5024"/>
    <mergeCell ref="F5023:G5023"/>
    <mergeCell ref="H5023:I5023"/>
    <mergeCell ref="J5023:J5024"/>
    <mergeCell ref="E5021:F5021"/>
    <mergeCell ref="E5022:F5022"/>
    <mergeCell ref="E5009:F5009"/>
    <mergeCell ref="A5014:E5014"/>
    <mergeCell ref="F5014:I5014"/>
    <mergeCell ref="A5015:E5015"/>
    <mergeCell ref="F5015:I5015"/>
    <mergeCell ref="A5016:E5016"/>
    <mergeCell ref="F5016:I5016"/>
    <mergeCell ref="A5017:E5017"/>
    <mergeCell ref="F5017:I5017"/>
    <mergeCell ref="A5018:E5018"/>
    <mergeCell ref="F5018:I5018"/>
    <mergeCell ref="A5019:E5019"/>
    <mergeCell ref="F5019:I5019"/>
    <mergeCell ref="E4959:F4959"/>
    <mergeCell ref="E4963:F4963"/>
    <mergeCell ref="E4964:F4964"/>
    <mergeCell ref="E4946:F4946"/>
    <mergeCell ref="E4950:F4950"/>
    <mergeCell ref="E4960:F4960"/>
    <mergeCell ref="E4965:F4965"/>
    <mergeCell ref="E4967:F4967"/>
    <mergeCell ref="J4999:J5000"/>
    <mergeCell ref="A5002:E5002"/>
    <mergeCell ref="F5002:I5002"/>
    <mergeCell ref="E4980:F4980"/>
    <mergeCell ref="E4981:F4981"/>
    <mergeCell ref="E4982:F4982"/>
    <mergeCell ref="E4985:F4985"/>
    <mergeCell ref="E4983:F4983"/>
    <mergeCell ref="E4986:F4986"/>
    <mergeCell ref="E4990:F4990"/>
    <mergeCell ref="E4991:F4991"/>
    <mergeCell ref="E4992:F4992"/>
    <mergeCell ref="E4995:F4995"/>
    <mergeCell ref="E4997:F4997"/>
    <mergeCell ref="E4998:F4998"/>
    <mergeCell ref="E4987:F4987"/>
    <mergeCell ref="E4993:F4993"/>
    <mergeCell ref="E4979:F4979"/>
    <mergeCell ref="E4984:F4984"/>
    <mergeCell ref="E4988:F4988"/>
    <mergeCell ref="E4994:F4994"/>
    <mergeCell ref="A4999:A5000"/>
    <mergeCell ref="B4999:B5000"/>
    <mergeCell ref="C4999:C5000"/>
    <mergeCell ref="E4845:F4845"/>
    <mergeCell ref="E4846:F4846"/>
    <mergeCell ref="E4848:F4848"/>
    <mergeCell ref="E4849:F4849"/>
    <mergeCell ref="E4826:F4826"/>
    <mergeCell ref="E4837:F4837"/>
    <mergeCell ref="E4852:F4852"/>
    <mergeCell ref="E4853:F4853"/>
    <mergeCell ref="E4835:F4835"/>
    <mergeCell ref="E4836:F4836"/>
    <mergeCell ref="E4823:F4823"/>
    <mergeCell ref="E4824:F4824"/>
    <mergeCell ref="E4815:F4815"/>
    <mergeCell ref="E4828:F4828"/>
    <mergeCell ref="E4829:F4829"/>
    <mergeCell ref="E4806:F4806"/>
    <mergeCell ref="E4807:F4807"/>
    <mergeCell ref="E4808:F4808"/>
    <mergeCell ref="E4812:F4812"/>
    <mergeCell ref="E4813:F4813"/>
    <mergeCell ref="E4814:F4814"/>
    <mergeCell ref="E4817:F4817"/>
    <mergeCell ref="E4818:F4818"/>
    <mergeCell ref="E4819:F4819"/>
    <mergeCell ref="E4822:F4822"/>
    <mergeCell ref="E4805:F4805"/>
    <mergeCell ref="E4762:F4762"/>
    <mergeCell ref="E4766:F4766"/>
    <mergeCell ref="E4769:F4769"/>
    <mergeCell ref="E4773:F4773"/>
    <mergeCell ref="E4774:F4774"/>
    <mergeCell ref="E4777:F4777"/>
    <mergeCell ref="E4778:F4778"/>
    <mergeCell ref="E4763:F4763"/>
    <mergeCell ref="E4767:F4767"/>
    <mergeCell ref="E4771:F4771"/>
    <mergeCell ref="E4775:F4775"/>
    <mergeCell ref="E4800:F4800"/>
    <mergeCell ref="E4801:F4801"/>
    <mergeCell ref="E4802:F4802"/>
    <mergeCell ref="E4803:F4803"/>
    <mergeCell ref="E4779:F4779"/>
    <mergeCell ref="E4783:F4783"/>
    <mergeCell ref="E4794:F4794"/>
    <mergeCell ref="E4782:F4782"/>
    <mergeCell ref="E4731:F4731"/>
    <mergeCell ref="E4733:F4733"/>
    <mergeCell ref="E4737:F4737"/>
    <mergeCell ref="E4738:F4738"/>
    <mergeCell ref="E4739:F4739"/>
    <mergeCell ref="E4741:F4741"/>
    <mergeCell ref="E4735:F4735"/>
    <mergeCell ref="E4742:F4742"/>
    <mergeCell ref="E4743:F4743"/>
    <mergeCell ref="E4745:F4745"/>
    <mergeCell ref="E4734:F4734"/>
    <mergeCell ref="E4764:F4764"/>
    <mergeCell ref="E4768:F4768"/>
    <mergeCell ref="E4772:F4772"/>
    <mergeCell ref="E4780:F4780"/>
    <mergeCell ref="E4784:F4784"/>
    <mergeCell ref="E4795:F4795"/>
    <mergeCell ref="E4746:F4746"/>
    <mergeCell ref="E4747:F4747"/>
    <mergeCell ref="F4688:I4688"/>
    <mergeCell ref="G4689:I4689"/>
    <mergeCell ref="A4692:E4692"/>
    <mergeCell ref="F4692:I4692"/>
    <mergeCell ref="A4696:E4696"/>
    <mergeCell ref="F4696:I4696"/>
    <mergeCell ref="A4697:E4697"/>
    <mergeCell ref="F4697:I4697"/>
    <mergeCell ref="A4698:E4698"/>
    <mergeCell ref="F4698:I4698"/>
    <mergeCell ref="E4695:F4695"/>
    <mergeCell ref="H4711:I4711"/>
    <mergeCell ref="A4712:E4712"/>
    <mergeCell ref="F4712:I4712"/>
    <mergeCell ref="G4713:I4713"/>
    <mergeCell ref="E4718:F4718"/>
    <mergeCell ref="E4719:F4719"/>
    <mergeCell ref="A4699:E4699"/>
    <mergeCell ref="F4699:I4699"/>
    <mergeCell ref="A4700:E4700"/>
    <mergeCell ref="F4700:I4700"/>
    <mergeCell ref="G4701:I4701"/>
    <mergeCell ref="G4702:I4702"/>
    <mergeCell ref="A4716:E4716"/>
    <mergeCell ref="F4716:I4716"/>
    <mergeCell ref="J4669:J4670"/>
    <mergeCell ref="A4673:E4673"/>
    <mergeCell ref="F4673:I4673"/>
    <mergeCell ref="E4605:F4605"/>
    <mergeCell ref="E4609:F4609"/>
    <mergeCell ref="E4613:F4613"/>
    <mergeCell ref="E4619:F4619"/>
    <mergeCell ref="E4627:F4627"/>
    <mergeCell ref="E4631:F4631"/>
    <mergeCell ref="E4635:F4635"/>
    <mergeCell ref="E4639:F4639"/>
    <mergeCell ref="E4643:F4643"/>
    <mergeCell ref="E4654:F4654"/>
    <mergeCell ref="E4658:F4658"/>
    <mergeCell ref="A4669:A4670"/>
    <mergeCell ref="B4669:B4670"/>
    <mergeCell ref="C4669:C4670"/>
    <mergeCell ref="D4669:D4670"/>
    <mergeCell ref="E4644:F4644"/>
    <mergeCell ref="E4647:F4647"/>
    <mergeCell ref="E4642:F4642"/>
    <mergeCell ref="E4646:F4646"/>
    <mergeCell ref="E4649:F4649"/>
    <mergeCell ref="E4650:F4650"/>
    <mergeCell ref="E4651:F4651"/>
    <mergeCell ref="E4652:F4652"/>
    <mergeCell ref="E4653:F4653"/>
    <mergeCell ref="E4655:F4655"/>
    <mergeCell ref="E4656:F4656"/>
    <mergeCell ref="E4660:F4660"/>
    <mergeCell ref="E4661:F4661"/>
    <mergeCell ref="E4662:F4662"/>
    <mergeCell ref="E4523:F4523"/>
    <mergeCell ref="E4527:F4527"/>
    <mergeCell ref="E4535:F4535"/>
    <mergeCell ref="E4541:F4541"/>
    <mergeCell ref="E4548:F4548"/>
    <mergeCell ref="E4604:F4604"/>
    <mergeCell ref="E4606:F4606"/>
    <mergeCell ref="E4607:F4607"/>
    <mergeCell ref="E4610:F4610"/>
    <mergeCell ref="E4611:F4611"/>
    <mergeCell ref="E4615:F4615"/>
    <mergeCell ref="E4617:F4617"/>
    <mergeCell ref="E4620:F4620"/>
    <mergeCell ref="E4621:F4621"/>
    <mergeCell ref="E4623:F4623"/>
    <mergeCell ref="E4624:F4624"/>
    <mergeCell ref="E4625:F4625"/>
    <mergeCell ref="E4550:F4550"/>
    <mergeCell ref="E4526:F4526"/>
    <mergeCell ref="E4530:F4530"/>
    <mergeCell ref="E4534:F4534"/>
    <mergeCell ref="E4538:F4538"/>
    <mergeCell ref="E4544:F4544"/>
    <mergeCell ref="E4554:F4554"/>
    <mergeCell ref="E4558:F4558"/>
    <mergeCell ref="E4559:F4559"/>
    <mergeCell ref="E4562:F4562"/>
    <mergeCell ref="E4556:F4556"/>
    <mergeCell ref="E4560:F4560"/>
    <mergeCell ref="E4552:F4552"/>
    <mergeCell ref="E4549:F4549"/>
    <mergeCell ref="E4553:F4553"/>
    <mergeCell ref="E4511:F4511"/>
    <mergeCell ref="E4519:F4519"/>
    <mergeCell ref="E4473:F4473"/>
    <mergeCell ref="E4476:F4476"/>
    <mergeCell ref="E4477:F4477"/>
    <mergeCell ref="E4480:F4480"/>
    <mergeCell ref="E4482:F4482"/>
    <mergeCell ref="E4485:F4485"/>
    <mergeCell ref="E4486:F4486"/>
    <mergeCell ref="E4488:F4488"/>
    <mergeCell ref="E4490:F4490"/>
    <mergeCell ref="E4494:F4494"/>
    <mergeCell ref="E4498:F4498"/>
    <mergeCell ref="E4499:F4499"/>
    <mergeCell ref="E4502:F4502"/>
    <mergeCell ref="E4503:F4503"/>
    <mergeCell ref="E4506:F4506"/>
    <mergeCell ref="E4354:F4354"/>
    <mergeCell ref="E4355:F4355"/>
    <mergeCell ref="E4409:F4409"/>
    <mergeCell ref="E4413:F4413"/>
    <mergeCell ref="E4420:F4420"/>
    <mergeCell ref="E4438:F4438"/>
    <mergeCell ref="E4445:F4445"/>
    <mergeCell ref="E4451:F4451"/>
    <mergeCell ref="E4459:F4459"/>
    <mergeCell ref="E4463:F4463"/>
    <mergeCell ref="E4467:F4467"/>
    <mergeCell ref="E4475:F4475"/>
    <mergeCell ref="E4481:F4481"/>
    <mergeCell ref="E4489:F4489"/>
    <mergeCell ref="E4493:F4493"/>
    <mergeCell ref="E4497:F4497"/>
    <mergeCell ref="E4505:F4505"/>
    <mergeCell ref="E4364:F4364"/>
    <mergeCell ref="E4381:F4381"/>
    <mergeCell ref="E4382:F4382"/>
    <mergeCell ref="E4383:F4383"/>
    <mergeCell ref="E4386:F4386"/>
    <mergeCell ref="E4387:F4387"/>
    <mergeCell ref="E4384:F4384"/>
    <mergeCell ref="E4366:F4366"/>
    <mergeCell ref="E4367:F4367"/>
    <mergeCell ref="E4368:F4368"/>
    <mergeCell ref="E4370:F4370"/>
    <mergeCell ref="E4371:F4371"/>
    <mergeCell ref="E4372:F4372"/>
    <mergeCell ref="E4374:F4374"/>
    <mergeCell ref="E4375:F4375"/>
    <mergeCell ref="J4303:J4304"/>
    <mergeCell ref="A4310:E4310"/>
    <mergeCell ref="F4310:I4310"/>
    <mergeCell ref="A4311:E4311"/>
    <mergeCell ref="F4311:I4311"/>
    <mergeCell ref="A4312:E4312"/>
    <mergeCell ref="F4312:I4312"/>
    <mergeCell ref="A4313:E4313"/>
    <mergeCell ref="F4313:I4313"/>
    <mergeCell ref="G4316:I4316"/>
    <mergeCell ref="G4317:I4317"/>
    <mergeCell ref="G4318:I4318"/>
    <mergeCell ref="G4319:I4319"/>
    <mergeCell ref="A4320:E4320"/>
    <mergeCell ref="F4320:I4320"/>
    <mergeCell ref="G4323:I4323"/>
    <mergeCell ref="A4327:E4327"/>
    <mergeCell ref="F4327:I4327"/>
    <mergeCell ref="G4289:I4289"/>
    <mergeCell ref="A4290:E4290"/>
    <mergeCell ref="F4290:I4290"/>
    <mergeCell ref="H4291:I4291"/>
    <mergeCell ref="H4292:I4292"/>
    <mergeCell ref="H4293:I4293"/>
    <mergeCell ref="A4294:E4294"/>
    <mergeCell ref="F4294:I4294"/>
    <mergeCell ref="E4301:F4301"/>
    <mergeCell ref="E4302:F4302"/>
    <mergeCell ref="A4303:A4304"/>
    <mergeCell ref="B4303:B4304"/>
    <mergeCell ref="C4303:C4304"/>
    <mergeCell ref="D4303:D4304"/>
    <mergeCell ref="E4303:E4304"/>
    <mergeCell ref="F4303:G4303"/>
    <mergeCell ref="H4303:I4303"/>
    <mergeCell ref="J4267:J4268"/>
    <mergeCell ref="A4274:E4274"/>
    <mergeCell ref="F4274:I4274"/>
    <mergeCell ref="A4275:E4275"/>
    <mergeCell ref="F4275:I4275"/>
    <mergeCell ref="A4277:E4277"/>
    <mergeCell ref="F4277:I4277"/>
    <mergeCell ref="A4278:E4278"/>
    <mergeCell ref="F4278:I4278"/>
    <mergeCell ref="A4279:E4279"/>
    <mergeCell ref="F4279:I4279"/>
    <mergeCell ref="G4280:I4280"/>
    <mergeCell ref="G4281:I4281"/>
    <mergeCell ref="G4282:I4282"/>
    <mergeCell ref="F4283:I4283"/>
    <mergeCell ref="G4284:I4284"/>
    <mergeCell ref="G4285:I4285"/>
    <mergeCell ref="C4267:C4268"/>
    <mergeCell ref="D4267:D4268"/>
    <mergeCell ref="A4244:E4244"/>
    <mergeCell ref="F4244:I4244"/>
    <mergeCell ref="A4245:E4245"/>
    <mergeCell ref="F4245:I4245"/>
    <mergeCell ref="A4247:E4247"/>
    <mergeCell ref="F4247:I4247"/>
    <mergeCell ref="A4248:E4248"/>
    <mergeCell ref="F4248:I4248"/>
    <mergeCell ref="A4249:E4249"/>
    <mergeCell ref="F4249:I4249"/>
    <mergeCell ref="G4250:I4250"/>
    <mergeCell ref="G4251:I4251"/>
    <mergeCell ref="A4252:E4252"/>
    <mergeCell ref="F4252:I4252"/>
    <mergeCell ref="G4253:I4253"/>
    <mergeCell ref="G4254:I4254"/>
    <mergeCell ref="G4255:I4255"/>
    <mergeCell ref="G4226:I4226"/>
    <mergeCell ref="H4228:I4228"/>
    <mergeCell ref="H4229:I4229"/>
    <mergeCell ref="H4230:I4230"/>
    <mergeCell ref="A4231:E4231"/>
    <mergeCell ref="F4231:I4231"/>
    <mergeCell ref="A4236:E4236"/>
    <mergeCell ref="F4236:I4236"/>
    <mergeCell ref="E4238:F4238"/>
    <mergeCell ref="E4239:F4239"/>
    <mergeCell ref="A4240:A4241"/>
    <mergeCell ref="B4240:B4241"/>
    <mergeCell ref="C4240:C4241"/>
    <mergeCell ref="D4240:D4241"/>
    <mergeCell ref="E4240:E4241"/>
    <mergeCell ref="F4240:G4240"/>
    <mergeCell ref="J4240:J4241"/>
    <mergeCell ref="A4215:E4215"/>
    <mergeCell ref="F4215:I4215"/>
    <mergeCell ref="A4216:E4216"/>
    <mergeCell ref="F4216:I4216"/>
    <mergeCell ref="A4217:E4217"/>
    <mergeCell ref="F4217:I4217"/>
    <mergeCell ref="A4218:E4218"/>
    <mergeCell ref="F4218:I4218"/>
    <mergeCell ref="A4219:E4219"/>
    <mergeCell ref="F4219:I4219"/>
    <mergeCell ref="G4220:I4220"/>
    <mergeCell ref="G4221:I4221"/>
    <mergeCell ref="G4222:I4222"/>
    <mergeCell ref="A4223:E4223"/>
    <mergeCell ref="F4223:I4223"/>
    <mergeCell ref="G4224:I4224"/>
    <mergeCell ref="G4225:I4225"/>
    <mergeCell ref="F4193:I4193"/>
    <mergeCell ref="G4194:I4194"/>
    <mergeCell ref="G4195:I4195"/>
    <mergeCell ref="G4196:I4196"/>
    <mergeCell ref="A4197:E4197"/>
    <mergeCell ref="F4197:I4197"/>
    <mergeCell ref="H4198:I4198"/>
    <mergeCell ref="H4199:I4199"/>
    <mergeCell ref="H4200:I4200"/>
    <mergeCell ref="A4201:E4201"/>
    <mergeCell ref="F4201:I4201"/>
    <mergeCell ref="G4202:I4202"/>
    <mergeCell ref="A4206:E4206"/>
    <mergeCell ref="F4206:I4206"/>
    <mergeCell ref="E4209:F4209"/>
    <mergeCell ref="A4210:A4211"/>
    <mergeCell ref="B4210:B4211"/>
    <mergeCell ref="C4210:C4211"/>
    <mergeCell ref="D4210:D4211"/>
    <mergeCell ref="E4210:E4211"/>
    <mergeCell ref="F4210:G4210"/>
    <mergeCell ref="H4210:I4210"/>
    <mergeCell ref="A4193:E4193"/>
    <mergeCell ref="E4208:F4208"/>
    <mergeCell ref="J4180:J4181"/>
    <mergeCell ref="A4184:E4184"/>
    <mergeCell ref="F4184:I4184"/>
    <mergeCell ref="E4101:F4101"/>
    <mergeCell ref="E4102:F4102"/>
    <mergeCell ref="E4103:F4103"/>
    <mergeCell ref="E4104:F4104"/>
    <mergeCell ref="E4105:F4105"/>
    <mergeCell ref="E4106:F4106"/>
    <mergeCell ref="E4107:F4107"/>
    <mergeCell ref="E4108:F4108"/>
    <mergeCell ref="E4109:F4109"/>
    <mergeCell ref="E4110:F4110"/>
    <mergeCell ref="E4111:F4111"/>
    <mergeCell ref="E4113:F4113"/>
    <mergeCell ref="E4114:F4114"/>
    <mergeCell ref="E4115:F4115"/>
    <mergeCell ref="E4116:F4116"/>
    <mergeCell ref="E4119:F4119"/>
    <mergeCell ref="E4120:F4120"/>
    <mergeCell ref="E4121:F4121"/>
    <mergeCell ref="E4171:F4171"/>
    <mergeCell ref="E4122:F4122"/>
    <mergeCell ref="E4124:F4124"/>
    <mergeCell ref="E4125:F4125"/>
    <mergeCell ref="E4126:F4126"/>
    <mergeCell ref="E4127:F4127"/>
    <mergeCell ref="E4153:F4153"/>
    <mergeCell ref="E4154:F4154"/>
    <mergeCell ref="E4155:F4155"/>
    <mergeCell ref="E4156:F4156"/>
    <mergeCell ref="E4157:F4157"/>
    <mergeCell ref="E4051:F4051"/>
    <mergeCell ref="E4063:F4063"/>
    <mergeCell ref="E4019:F4019"/>
    <mergeCell ref="E4020:F4020"/>
    <mergeCell ref="E4021:F4021"/>
    <mergeCell ref="E4022:F4022"/>
    <mergeCell ref="E4024:F4024"/>
    <mergeCell ref="E4025:F4025"/>
    <mergeCell ref="E4026:F4026"/>
    <mergeCell ref="E4050:F4050"/>
    <mergeCell ref="E4062:F4062"/>
    <mergeCell ref="E4048:F4048"/>
    <mergeCell ref="E4052:F4052"/>
    <mergeCell ref="E4054:F4054"/>
    <mergeCell ref="E4055:F4055"/>
    <mergeCell ref="E4056:F4056"/>
    <mergeCell ref="E4058:F4058"/>
    <mergeCell ref="E4046:F4046"/>
    <mergeCell ref="E4047:F4047"/>
    <mergeCell ref="E4028:F4028"/>
    <mergeCell ref="E4029:F4029"/>
    <mergeCell ref="E4030:F4030"/>
    <mergeCell ref="E4040:F4040"/>
    <mergeCell ref="E4041:F4041"/>
    <mergeCell ref="E4042:F4042"/>
    <mergeCell ref="E4043:F4043"/>
    <mergeCell ref="E4044:F4044"/>
    <mergeCell ref="E3981:F3981"/>
    <mergeCell ref="E3982:F3982"/>
    <mergeCell ref="E3983:F3983"/>
    <mergeCell ref="E3984:F3984"/>
    <mergeCell ref="E3985:F3985"/>
    <mergeCell ref="E3986:F3986"/>
    <mergeCell ref="E3988:F3988"/>
    <mergeCell ref="E3990:F3990"/>
    <mergeCell ref="E3991:F3991"/>
    <mergeCell ref="E3992:F3992"/>
    <mergeCell ref="E3993:F3993"/>
    <mergeCell ref="E3994:F3994"/>
    <mergeCell ref="E3995:F3995"/>
    <mergeCell ref="E3996:F3996"/>
    <mergeCell ref="E3997:F3997"/>
    <mergeCell ref="E3998:F3998"/>
    <mergeCell ref="E4001:F4001"/>
    <mergeCell ref="E3659:F3659"/>
    <mergeCell ref="E3660:F3660"/>
    <mergeCell ref="E3846:F3846"/>
    <mergeCell ref="E3857:F3857"/>
    <mergeCell ref="E3868:F3868"/>
    <mergeCell ref="E3879:F3879"/>
    <mergeCell ref="E3729:F3729"/>
    <mergeCell ref="E3730:F3730"/>
    <mergeCell ref="E3734:F3734"/>
    <mergeCell ref="E3735:F3735"/>
    <mergeCell ref="E3703:F3703"/>
    <mergeCell ref="E3704:F3704"/>
    <mergeCell ref="E3705:F3705"/>
    <mergeCell ref="E3707:F3707"/>
    <mergeCell ref="E3709:F3709"/>
    <mergeCell ref="H3963:I3963"/>
    <mergeCell ref="J3963:J3964"/>
    <mergeCell ref="E3956:F3956"/>
    <mergeCell ref="E3858:F3858"/>
    <mergeCell ref="E3859:F3859"/>
    <mergeCell ref="E3762:F3762"/>
    <mergeCell ref="E3764:F3764"/>
    <mergeCell ref="E3766:F3766"/>
    <mergeCell ref="E3675:F3675"/>
    <mergeCell ref="E3669:F3669"/>
    <mergeCell ref="E3728:F3728"/>
    <mergeCell ref="E3873:F3873"/>
    <mergeCell ref="E3874:F3874"/>
    <mergeCell ref="E3875:F3875"/>
    <mergeCell ref="E3876:F3876"/>
    <mergeCell ref="E3877:F3877"/>
    <mergeCell ref="E3878:F3878"/>
    <mergeCell ref="E3508:F3508"/>
    <mergeCell ref="F3625:I3625"/>
    <mergeCell ref="E3628:F3628"/>
    <mergeCell ref="E3640:F3640"/>
    <mergeCell ref="E3645:F3645"/>
    <mergeCell ref="E3651:F3651"/>
    <mergeCell ref="E3654:F3654"/>
    <mergeCell ref="E3627:F3627"/>
    <mergeCell ref="E3629:F3629"/>
    <mergeCell ref="E3631:F3631"/>
    <mergeCell ref="E3635:F3635"/>
    <mergeCell ref="E3637:F3637"/>
    <mergeCell ref="E3638:F3638"/>
    <mergeCell ref="E3641:F3641"/>
    <mergeCell ref="E3652:F3652"/>
    <mergeCell ref="E3643:F3643"/>
    <mergeCell ref="E3644:F3644"/>
    <mergeCell ref="E3646:F3646"/>
    <mergeCell ref="E3647:F3647"/>
    <mergeCell ref="E3648:F3648"/>
    <mergeCell ref="E3649:F3649"/>
    <mergeCell ref="E3650:F3650"/>
    <mergeCell ref="E3596:F3596"/>
    <mergeCell ref="E3601:F3601"/>
    <mergeCell ref="E3606:F3606"/>
    <mergeCell ref="E3610:F3610"/>
    <mergeCell ref="A3614:E3614"/>
    <mergeCell ref="F3614:I3614"/>
    <mergeCell ref="A3615:E3615"/>
    <mergeCell ref="F3615:I3615"/>
    <mergeCell ref="E3531:F3531"/>
    <mergeCell ref="E3532:F3532"/>
    <mergeCell ref="E3534:F3534"/>
    <mergeCell ref="E3536:F3536"/>
    <mergeCell ref="E3538:F3538"/>
    <mergeCell ref="E3563:F3563"/>
    <mergeCell ref="E3564:F3564"/>
    <mergeCell ref="E3565:F3565"/>
    <mergeCell ref="E3567:F3567"/>
    <mergeCell ref="E3568:F3568"/>
    <mergeCell ref="E3569:F3569"/>
    <mergeCell ref="E3572:F3572"/>
    <mergeCell ref="E3540:F3540"/>
    <mergeCell ref="E3542:F3542"/>
    <mergeCell ref="E3607:F3607"/>
    <mergeCell ref="E3608:F3608"/>
    <mergeCell ref="E3580:F3580"/>
    <mergeCell ref="E3582:F3582"/>
    <mergeCell ref="E3583:F3583"/>
    <mergeCell ref="E3584:F3584"/>
    <mergeCell ref="E3475:F3475"/>
    <mergeCell ref="E3479:F3479"/>
    <mergeCell ref="E3483:F3483"/>
    <mergeCell ref="E3487:F3487"/>
    <mergeCell ref="E3491:F3491"/>
    <mergeCell ref="E3444:F3444"/>
    <mergeCell ref="E3448:F3448"/>
    <mergeCell ref="E3453:F3453"/>
    <mergeCell ref="E3460:F3460"/>
    <mergeCell ref="E3464:F3464"/>
    <mergeCell ref="E3472:F3472"/>
    <mergeCell ref="E3476:F3476"/>
    <mergeCell ref="E3480:F3480"/>
    <mergeCell ref="E3441:F3441"/>
    <mergeCell ref="E3442:F3442"/>
    <mergeCell ref="E3446:F3446"/>
    <mergeCell ref="E3449:F3449"/>
    <mergeCell ref="E3450:F3450"/>
    <mergeCell ref="E3452:F3452"/>
    <mergeCell ref="E3469:F3469"/>
    <mergeCell ref="E3470:F3470"/>
    <mergeCell ref="E3473:F3473"/>
    <mergeCell ref="E3474:F3474"/>
    <mergeCell ref="E3478:F3478"/>
    <mergeCell ref="E3481:F3481"/>
    <mergeCell ref="E3482:F3482"/>
    <mergeCell ref="E3486:F3486"/>
    <mergeCell ref="E3490:F3490"/>
    <mergeCell ref="E3425:F3425"/>
    <mergeCell ref="E3426:F3426"/>
    <mergeCell ref="E3427:F3427"/>
    <mergeCell ref="E3429:F3429"/>
    <mergeCell ref="E3430:F3430"/>
    <mergeCell ref="E3431:F3431"/>
    <mergeCell ref="E3432:F3432"/>
    <mergeCell ref="E3433:F3433"/>
    <mergeCell ref="E3434:F3434"/>
    <mergeCell ref="E3436:F3436"/>
    <mergeCell ref="E3437:F3437"/>
    <mergeCell ref="E3438:F3438"/>
    <mergeCell ref="E3440:F3440"/>
    <mergeCell ref="E3445:F3445"/>
    <mergeCell ref="E3468:F3468"/>
    <mergeCell ref="E3465:F3465"/>
    <mergeCell ref="E3466:F3466"/>
    <mergeCell ref="E3403:F3403"/>
    <mergeCell ref="E3404:F3404"/>
    <mergeCell ref="E3406:F3406"/>
    <mergeCell ref="E3407:F3407"/>
    <mergeCell ref="E3408:F3408"/>
    <mergeCell ref="E3409:F3409"/>
    <mergeCell ref="E3410:F3410"/>
    <mergeCell ref="E3412:F3412"/>
    <mergeCell ref="E3413:F3413"/>
    <mergeCell ref="E3414:F3414"/>
    <mergeCell ref="E3416:F3416"/>
    <mergeCell ref="E3417:F3417"/>
    <mergeCell ref="E3418:F3418"/>
    <mergeCell ref="E3420:F3420"/>
    <mergeCell ref="E3421:F3421"/>
    <mergeCell ref="E3422:F3422"/>
    <mergeCell ref="E3424:F3424"/>
    <mergeCell ref="G3379:I3379"/>
    <mergeCell ref="G3380:I3380"/>
    <mergeCell ref="G3381:I3381"/>
    <mergeCell ref="A3382:E3382"/>
    <mergeCell ref="F3382:I3382"/>
    <mergeCell ref="A3369:E3369"/>
    <mergeCell ref="H3383:I3383"/>
    <mergeCell ref="H3384:I3384"/>
    <mergeCell ref="H3385:I3385"/>
    <mergeCell ref="H3386:I3386"/>
    <mergeCell ref="H3387:I3387"/>
    <mergeCell ref="H3388:I3388"/>
    <mergeCell ref="H3389:I3389"/>
    <mergeCell ref="A3390:E3390"/>
    <mergeCell ref="F3390:I3390"/>
    <mergeCell ref="G3391:I3391"/>
    <mergeCell ref="A3399:E3399"/>
    <mergeCell ref="F3399:I3399"/>
    <mergeCell ref="A3378:E3378"/>
    <mergeCell ref="F3378:I3378"/>
    <mergeCell ref="F3369:I3369"/>
    <mergeCell ref="A3370:E3370"/>
    <mergeCell ref="F3370:I3370"/>
    <mergeCell ref="G3371:I3371"/>
    <mergeCell ref="G3372:I3372"/>
    <mergeCell ref="G3373:I3373"/>
    <mergeCell ref="G3374:I3374"/>
    <mergeCell ref="G3375:I3375"/>
    <mergeCell ref="G3376:I3376"/>
    <mergeCell ref="G3377:I3377"/>
    <mergeCell ref="C3361:C3362"/>
    <mergeCell ref="D3361:D3362"/>
    <mergeCell ref="E3361:E3362"/>
    <mergeCell ref="F3361:G3361"/>
    <mergeCell ref="H3361:I3361"/>
    <mergeCell ref="E3343:F3343"/>
    <mergeCell ref="E3344:F3344"/>
    <mergeCell ref="E3345:F3345"/>
    <mergeCell ref="E3346:F3346"/>
    <mergeCell ref="E3347:F3347"/>
    <mergeCell ref="E3349:F3349"/>
    <mergeCell ref="E3350:F3350"/>
    <mergeCell ref="E3299:F3299"/>
    <mergeCell ref="E3322:F3322"/>
    <mergeCell ref="E3341:F3341"/>
    <mergeCell ref="E3351:F3351"/>
    <mergeCell ref="E3357:F3357"/>
    <mergeCell ref="E3359:F3359"/>
    <mergeCell ref="E3360:F3360"/>
    <mergeCell ref="E3339:F3339"/>
    <mergeCell ref="J3361:J3362"/>
    <mergeCell ref="A3365:E3365"/>
    <mergeCell ref="F3365:I3365"/>
    <mergeCell ref="A3366:E3366"/>
    <mergeCell ref="F3366:I3366"/>
    <mergeCell ref="A3367:E3367"/>
    <mergeCell ref="F3367:I3367"/>
    <mergeCell ref="A3368:E3368"/>
    <mergeCell ref="F3368:I3368"/>
    <mergeCell ref="E3269:F3269"/>
    <mergeCell ref="E3270:F3270"/>
    <mergeCell ref="E3271:F3271"/>
    <mergeCell ref="E3275:F3275"/>
    <mergeCell ref="E3276:F3276"/>
    <mergeCell ref="E3277:F3277"/>
    <mergeCell ref="E3278:F3278"/>
    <mergeCell ref="E3279:F3279"/>
    <mergeCell ref="E3280:F3280"/>
    <mergeCell ref="E3281:F3281"/>
    <mergeCell ref="E3282:F3282"/>
    <mergeCell ref="E3283:F3283"/>
    <mergeCell ref="E3284:F3284"/>
    <mergeCell ref="E3285:F3285"/>
    <mergeCell ref="E3287:F3287"/>
    <mergeCell ref="E3290:F3290"/>
    <mergeCell ref="E3291:F3291"/>
    <mergeCell ref="E3288:F3288"/>
    <mergeCell ref="E3273:F3273"/>
    <mergeCell ref="E3274:F3274"/>
    <mergeCell ref="E3340:F3340"/>
    <mergeCell ref="A3361:A3362"/>
    <mergeCell ref="B3361:B3362"/>
    <mergeCell ref="A3227:E3227"/>
    <mergeCell ref="F3227:I3227"/>
    <mergeCell ref="A3228:E3228"/>
    <mergeCell ref="F3228:I3228"/>
    <mergeCell ref="G3229:I3229"/>
    <mergeCell ref="G3230:I3230"/>
    <mergeCell ref="A3231:E3231"/>
    <mergeCell ref="F3231:I3231"/>
    <mergeCell ref="A3235:A3236"/>
    <mergeCell ref="B3235:B3236"/>
    <mergeCell ref="C3235:C3236"/>
    <mergeCell ref="D3235:D3236"/>
    <mergeCell ref="E3235:E3236"/>
    <mergeCell ref="F3235:G3235"/>
    <mergeCell ref="H3235:I3235"/>
    <mergeCell ref="J3235:J3236"/>
    <mergeCell ref="A3238:E3238"/>
    <mergeCell ref="F3238:I3238"/>
    <mergeCell ref="E3218:F3218"/>
    <mergeCell ref="A3220:A3221"/>
    <mergeCell ref="B3220:B3221"/>
    <mergeCell ref="C3220:C3221"/>
    <mergeCell ref="D3220:D3221"/>
    <mergeCell ref="E3220:E3221"/>
    <mergeCell ref="F3220:G3220"/>
    <mergeCell ref="H3220:I3220"/>
    <mergeCell ref="J3220:J3221"/>
    <mergeCell ref="A3223:E3223"/>
    <mergeCell ref="F3223:I3223"/>
    <mergeCell ref="A3224:E3224"/>
    <mergeCell ref="F3224:I3224"/>
    <mergeCell ref="A3225:E3225"/>
    <mergeCell ref="F3225:I3225"/>
    <mergeCell ref="A3226:E3226"/>
    <mergeCell ref="F3226:I3226"/>
    <mergeCell ref="E3219:F3219"/>
    <mergeCell ref="E3146:F3146"/>
    <mergeCell ref="E3150:F3150"/>
    <mergeCell ref="E3158:F3158"/>
    <mergeCell ref="E3164:F3164"/>
    <mergeCell ref="E3172:F3172"/>
    <mergeCell ref="E3176:F3176"/>
    <mergeCell ref="E3180:F3180"/>
    <mergeCell ref="E3076:F3076"/>
    <mergeCell ref="E3152:F3152"/>
    <mergeCell ref="E3153:F3153"/>
    <mergeCell ref="E3155:F3155"/>
    <mergeCell ref="E3156:F3156"/>
    <mergeCell ref="E3157:F3157"/>
    <mergeCell ref="E3159:F3159"/>
    <mergeCell ref="E3160:F3160"/>
    <mergeCell ref="E3161:F3161"/>
    <mergeCell ref="E3163:F3163"/>
    <mergeCell ref="E3139:F3139"/>
    <mergeCell ref="E3141:F3141"/>
    <mergeCell ref="E3142:F3142"/>
    <mergeCell ref="E3098:F3098"/>
    <mergeCell ref="E3143:F3143"/>
    <mergeCell ref="G2967:I2967"/>
    <mergeCell ref="E2974:F2974"/>
    <mergeCell ref="E2975:F2975"/>
    <mergeCell ref="A2976:A2977"/>
    <mergeCell ref="B2976:B2977"/>
    <mergeCell ref="C2976:C2977"/>
    <mergeCell ref="D2976:D2977"/>
    <mergeCell ref="E2976:E2977"/>
    <mergeCell ref="F2976:G2976"/>
    <mergeCell ref="H2976:I2976"/>
    <mergeCell ref="J2976:J2977"/>
    <mergeCell ref="A2982:E2982"/>
    <mergeCell ref="F2982:I2982"/>
    <mergeCell ref="A2983:E2983"/>
    <mergeCell ref="F2983:I2983"/>
    <mergeCell ref="J3017:J3018"/>
    <mergeCell ref="A3021:E3021"/>
    <mergeCell ref="F3021:I3021"/>
    <mergeCell ref="G2988:I2988"/>
    <mergeCell ref="A2998:E2998"/>
    <mergeCell ref="F2998:I2998"/>
    <mergeCell ref="H2999:I2999"/>
    <mergeCell ref="E3015:F3015"/>
    <mergeCell ref="A2972:E2972"/>
    <mergeCell ref="F2972:I2972"/>
    <mergeCell ref="A2986:E2986"/>
    <mergeCell ref="F2986:I2986"/>
    <mergeCell ref="G2992:I2992"/>
    <mergeCell ref="A2984:E2984"/>
    <mergeCell ref="F2984:I2984"/>
    <mergeCell ref="A2985:E2985"/>
    <mergeCell ref="F2985:I2985"/>
    <mergeCell ref="E2942:F2942"/>
    <mergeCell ref="E2943:F2943"/>
    <mergeCell ref="A2948:E2948"/>
    <mergeCell ref="F2948:I2948"/>
    <mergeCell ref="G2950:I2950"/>
    <mergeCell ref="G2951:I2951"/>
    <mergeCell ref="G2952:I2952"/>
    <mergeCell ref="G2953:I2953"/>
    <mergeCell ref="A2954:E2954"/>
    <mergeCell ref="F2954:I2954"/>
    <mergeCell ref="G2955:I2955"/>
    <mergeCell ref="A2944:E2944"/>
    <mergeCell ref="F2944:I2944"/>
    <mergeCell ref="A2945:E2945"/>
    <mergeCell ref="F2945:I2945"/>
    <mergeCell ref="A2966:E2966"/>
    <mergeCell ref="F2966:I2966"/>
    <mergeCell ref="A2961:E2961"/>
    <mergeCell ref="F2961:I2961"/>
    <mergeCell ref="G2956:I2956"/>
    <mergeCell ref="G2957:I2957"/>
    <mergeCell ref="G2958:I2958"/>
    <mergeCell ref="G2959:I2959"/>
    <mergeCell ref="G2960:I2960"/>
    <mergeCell ref="H2962:I2962"/>
    <mergeCell ref="H2963:I2963"/>
    <mergeCell ref="H2964:I2964"/>
    <mergeCell ref="H2965:I2965"/>
    <mergeCell ref="J2929:J2930"/>
    <mergeCell ref="A2933:E2933"/>
    <mergeCell ref="F2933:I2933"/>
    <mergeCell ref="A2934:E2934"/>
    <mergeCell ref="F2934:I2934"/>
    <mergeCell ref="A2936:E2936"/>
    <mergeCell ref="F2936:I2936"/>
    <mergeCell ref="A2935:E2935"/>
    <mergeCell ref="F2935:I2935"/>
    <mergeCell ref="A2932:E2932"/>
    <mergeCell ref="F2932:I2932"/>
    <mergeCell ref="A2937:E2937"/>
    <mergeCell ref="F2937:I2937"/>
    <mergeCell ref="G2938:I2938"/>
    <mergeCell ref="G2939:I2939"/>
    <mergeCell ref="A2940:E2940"/>
    <mergeCell ref="F2940:I2940"/>
    <mergeCell ref="G2924:I2924"/>
    <mergeCell ref="A2917:E2917"/>
    <mergeCell ref="F2917:I2917"/>
    <mergeCell ref="A2918:E2918"/>
    <mergeCell ref="F2918:I2918"/>
    <mergeCell ref="A2919:E2919"/>
    <mergeCell ref="F2919:I2919"/>
    <mergeCell ref="A2925:E2925"/>
    <mergeCell ref="F2925:I2925"/>
    <mergeCell ref="E2927:F2927"/>
    <mergeCell ref="E2928:F2928"/>
    <mergeCell ref="A2929:A2930"/>
    <mergeCell ref="B2929:B2930"/>
    <mergeCell ref="C2929:C2930"/>
    <mergeCell ref="D2929:D2930"/>
    <mergeCell ref="E2929:E2930"/>
    <mergeCell ref="F2929:G2929"/>
    <mergeCell ref="H2929:I2929"/>
    <mergeCell ref="E2913:F2913"/>
    <mergeCell ref="A2914:A2915"/>
    <mergeCell ref="B2914:B2915"/>
    <mergeCell ref="C2914:C2915"/>
    <mergeCell ref="D2914:D2915"/>
    <mergeCell ref="E2914:E2915"/>
    <mergeCell ref="F2914:G2914"/>
    <mergeCell ref="H2914:I2914"/>
    <mergeCell ref="J2914:J2915"/>
    <mergeCell ref="A2920:E2920"/>
    <mergeCell ref="F2920:I2920"/>
    <mergeCell ref="A2921:E2921"/>
    <mergeCell ref="F2921:I2921"/>
    <mergeCell ref="E2912:F2912"/>
    <mergeCell ref="A2922:E2922"/>
    <mergeCell ref="F2922:I2922"/>
    <mergeCell ref="G2923:I2923"/>
    <mergeCell ref="A2889:E2889"/>
    <mergeCell ref="F2889:I2889"/>
    <mergeCell ref="A2890:E2890"/>
    <mergeCell ref="F2890:I2890"/>
    <mergeCell ref="A2891:E2891"/>
    <mergeCell ref="F2891:I2891"/>
    <mergeCell ref="A2892:E2892"/>
    <mergeCell ref="F2892:I2892"/>
    <mergeCell ref="G2893:I2893"/>
    <mergeCell ref="G2894:I2894"/>
    <mergeCell ref="A2895:E2895"/>
    <mergeCell ref="F2895:I2895"/>
    <mergeCell ref="G2908:I2908"/>
    <mergeCell ref="G2909:I2909"/>
    <mergeCell ref="A2910:E2910"/>
    <mergeCell ref="F2910:I2910"/>
    <mergeCell ref="H2899:I2899"/>
    <mergeCell ref="F2877:I2877"/>
    <mergeCell ref="A2878:E2878"/>
    <mergeCell ref="F2878:I2878"/>
    <mergeCell ref="A2879:E2879"/>
    <mergeCell ref="F2879:I2879"/>
    <mergeCell ref="A2883:A2884"/>
    <mergeCell ref="B2883:B2884"/>
    <mergeCell ref="C2883:C2884"/>
    <mergeCell ref="D2883:D2884"/>
    <mergeCell ref="E2883:E2884"/>
    <mergeCell ref="F2883:G2883"/>
    <mergeCell ref="H2883:I2883"/>
    <mergeCell ref="J2883:J2884"/>
    <mergeCell ref="A2887:E2887"/>
    <mergeCell ref="F2887:I2887"/>
    <mergeCell ref="E2882:F2882"/>
    <mergeCell ref="A2888:E2888"/>
    <mergeCell ref="F2888:I2888"/>
    <mergeCell ref="E2693:F2693"/>
    <mergeCell ref="E2697:F2697"/>
    <mergeCell ref="E2701:F2701"/>
    <mergeCell ref="E2705:F2705"/>
    <mergeCell ref="E2709:F2709"/>
    <mergeCell ref="E2713:F2713"/>
    <mergeCell ref="E2717:F2717"/>
    <mergeCell ref="E2721:F2721"/>
    <mergeCell ref="E2725:F2725"/>
    <mergeCell ref="E2729:F2729"/>
    <mergeCell ref="E2733:F2733"/>
    <mergeCell ref="E2737:F2737"/>
    <mergeCell ref="E2741:F2741"/>
    <mergeCell ref="E2433:F2433"/>
    <mergeCell ref="E2437:F2437"/>
    <mergeCell ref="E2441:F2441"/>
    <mergeCell ref="E2448:F2448"/>
    <mergeCell ref="E2459:F2459"/>
    <mergeCell ref="E2604:F2604"/>
    <mergeCell ref="E2611:F2611"/>
    <mergeCell ref="E2621:F2621"/>
    <mergeCell ref="E2638:F2638"/>
    <mergeCell ref="E2643:F2643"/>
    <mergeCell ref="E2650:F2650"/>
    <mergeCell ref="E2655:F2655"/>
    <mergeCell ref="E2659:F2659"/>
    <mergeCell ref="E2674:F2674"/>
    <mergeCell ref="E2436:F2436"/>
    <mergeCell ref="E2447:F2447"/>
    <mergeCell ref="E2458:F2458"/>
    <mergeCell ref="E2480:F2480"/>
    <mergeCell ref="E2484:F2484"/>
    <mergeCell ref="E2488:F2488"/>
    <mergeCell ref="E2498:F2498"/>
    <mergeCell ref="E2513:F2513"/>
    <mergeCell ref="E2517:F2517"/>
    <mergeCell ref="E2526:F2526"/>
    <mergeCell ref="E2541:F2541"/>
    <mergeCell ref="E2545:F2545"/>
    <mergeCell ref="E2549:F2549"/>
    <mergeCell ref="E2539:F2539"/>
    <mergeCell ref="E2546:F2546"/>
    <mergeCell ref="E2540:F2540"/>
    <mergeCell ref="E2542:F2542"/>
    <mergeCell ref="E2543:F2543"/>
    <mergeCell ref="E2547:F2547"/>
    <mergeCell ref="E2548:F2548"/>
    <mergeCell ref="E2535:F2535"/>
    <mergeCell ref="E2536:F2536"/>
    <mergeCell ref="E2538:F2538"/>
    <mergeCell ref="E2506:F2506"/>
    <mergeCell ref="E2508:F2508"/>
    <mergeCell ref="E2510:F2510"/>
    <mergeCell ref="E2512:F2512"/>
    <mergeCell ref="E2515:F2515"/>
    <mergeCell ref="E2516:F2516"/>
    <mergeCell ref="E2519:F2519"/>
    <mergeCell ref="E2520:F2520"/>
    <mergeCell ref="E2523:F2523"/>
    <mergeCell ref="E2524:F2524"/>
    <mergeCell ref="E2527:F2527"/>
    <mergeCell ref="E2528:F2528"/>
    <mergeCell ref="E2531:F2531"/>
    <mergeCell ref="E2532:F2532"/>
    <mergeCell ref="E2363:F2363"/>
    <mergeCell ref="E2366:F2366"/>
    <mergeCell ref="E2367:F2367"/>
    <mergeCell ref="E2369:F2369"/>
    <mergeCell ref="E2405:F2405"/>
    <mergeCell ref="E2407:F2407"/>
    <mergeCell ref="E2408:F2408"/>
    <mergeCell ref="E2371:F2371"/>
    <mergeCell ref="E2372:F2372"/>
    <mergeCell ref="E2374:F2374"/>
    <mergeCell ref="E2376:F2376"/>
    <mergeCell ref="E2378:F2378"/>
    <mergeCell ref="E2379:F2379"/>
    <mergeCell ref="E2416:F2416"/>
    <mergeCell ref="E2421:F2421"/>
    <mergeCell ref="E2425:F2425"/>
    <mergeCell ref="E2429:F2429"/>
    <mergeCell ref="E2418:F2418"/>
    <mergeCell ref="E2423:F2423"/>
    <mergeCell ref="E2428:F2428"/>
    <mergeCell ref="E2368:F2368"/>
    <mergeCell ref="E2377:F2377"/>
    <mergeCell ref="E2382:F2382"/>
    <mergeCell ref="E2387:F2387"/>
    <mergeCell ref="E2392:F2392"/>
    <mergeCell ref="E2397:F2397"/>
    <mergeCell ref="E2401:F2401"/>
    <mergeCell ref="E2406:F2406"/>
    <mergeCell ref="E2411:F2411"/>
    <mergeCell ref="E2383:F2383"/>
    <mergeCell ref="E2384:F2384"/>
    <mergeCell ref="E2386:F2386"/>
    <mergeCell ref="E2388:F2388"/>
    <mergeCell ref="E2390:F2390"/>
    <mergeCell ref="E2391:F2391"/>
    <mergeCell ref="E2393:F2393"/>
    <mergeCell ref="E2373:F2373"/>
    <mergeCell ref="E2185:F2185"/>
    <mergeCell ref="E2187:F2187"/>
    <mergeCell ref="E2188:F2188"/>
    <mergeCell ref="E2189:F2189"/>
    <mergeCell ref="E2190:F2190"/>
    <mergeCell ref="E2191:F2191"/>
    <mergeCell ref="E2198:F2198"/>
    <mergeCell ref="E2205:F2205"/>
    <mergeCell ref="E2212:F2212"/>
    <mergeCell ref="E2222:F2222"/>
    <mergeCell ref="E2231:F2231"/>
    <mergeCell ref="E2236:F2236"/>
    <mergeCell ref="E2241:F2241"/>
    <mergeCell ref="E2246:F2246"/>
    <mergeCell ref="E2251:F2251"/>
    <mergeCell ref="E2255:F2255"/>
    <mergeCell ref="E2262:F2262"/>
    <mergeCell ref="E2252:F2252"/>
    <mergeCell ref="E2192:F2192"/>
    <mergeCell ref="E2204:F2204"/>
    <mergeCell ref="E2206:F2206"/>
    <mergeCell ref="E2207:F2207"/>
    <mergeCell ref="E2208:F2208"/>
    <mergeCell ref="E2209:F2209"/>
    <mergeCell ref="E2211:F2211"/>
    <mergeCell ref="E2213:F2213"/>
    <mergeCell ref="E2214:F2214"/>
    <mergeCell ref="E2215:F2215"/>
    <mergeCell ref="E2216:F2216"/>
    <mergeCell ref="E2218:F2218"/>
    <mergeCell ref="E2194:F2194"/>
    <mergeCell ref="E2195:F2195"/>
    <mergeCell ref="H2160:I2160"/>
    <mergeCell ref="H2161:I2161"/>
    <mergeCell ref="H2162:I2162"/>
    <mergeCell ref="H2163:I2163"/>
    <mergeCell ref="H2164:I2164"/>
    <mergeCell ref="H2165:I2165"/>
    <mergeCell ref="H2166:I2166"/>
    <mergeCell ref="H2167:I2167"/>
    <mergeCell ref="A2168:E2168"/>
    <mergeCell ref="F2168:I2168"/>
    <mergeCell ref="A2178:E2178"/>
    <mergeCell ref="F2178:I2178"/>
    <mergeCell ref="E2180:F2180"/>
    <mergeCell ref="E2181:F2181"/>
    <mergeCell ref="E2182:F2182"/>
    <mergeCell ref="E2183:F2183"/>
    <mergeCell ref="E2184:F2184"/>
    <mergeCell ref="G2169:I2169"/>
    <mergeCell ref="E2196:F2196"/>
    <mergeCell ref="E2197:F2197"/>
    <mergeCell ref="E2199:F2199"/>
    <mergeCell ref="E2201:F2201"/>
    <mergeCell ref="E2202:F2202"/>
    <mergeCell ref="E2203:F2203"/>
    <mergeCell ref="E2217:F2217"/>
    <mergeCell ref="F2142:I2142"/>
    <mergeCell ref="A2143:E2143"/>
    <mergeCell ref="F2143:I2143"/>
    <mergeCell ref="A2144:E2144"/>
    <mergeCell ref="F2144:I2144"/>
    <mergeCell ref="G2145:I2145"/>
    <mergeCell ref="G2146:I2146"/>
    <mergeCell ref="G2147:I2147"/>
    <mergeCell ref="G2148:I2148"/>
    <mergeCell ref="G2149:I2149"/>
    <mergeCell ref="G2150:I2150"/>
    <mergeCell ref="G2151:I2151"/>
    <mergeCell ref="G2152:I2152"/>
    <mergeCell ref="G2154:I2154"/>
    <mergeCell ref="G2155:I2155"/>
    <mergeCell ref="G2156:I2156"/>
    <mergeCell ref="A2159:E2159"/>
    <mergeCell ref="F2159:I2159"/>
    <mergeCell ref="B2135:B2136"/>
    <mergeCell ref="C2135:C2136"/>
    <mergeCell ref="D2135:D2136"/>
    <mergeCell ref="E2135:E2136"/>
    <mergeCell ref="F2135:G2135"/>
    <mergeCell ref="H2135:I2135"/>
    <mergeCell ref="J2135:J2136"/>
    <mergeCell ref="A2139:E2139"/>
    <mergeCell ref="F2139:I2139"/>
    <mergeCell ref="A2140:E2140"/>
    <mergeCell ref="F2140:I2140"/>
    <mergeCell ref="E2115:F2115"/>
    <mergeCell ref="E2118:F2118"/>
    <mergeCell ref="E2119:F2119"/>
    <mergeCell ref="E2122:F2122"/>
    <mergeCell ref="E2123:F2123"/>
    <mergeCell ref="E2126:F2126"/>
    <mergeCell ref="E2127:F2127"/>
    <mergeCell ref="E2130:F2130"/>
    <mergeCell ref="E2131:F2131"/>
    <mergeCell ref="E2134:F2134"/>
    <mergeCell ref="E2057:F2057"/>
    <mergeCell ref="E2061:F2061"/>
    <mergeCell ref="E1999:F1999"/>
    <mergeCell ref="E2000:F2000"/>
    <mergeCell ref="E2001:F2001"/>
    <mergeCell ref="E2003:F2003"/>
    <mergeCell ref="E2004:F2004"/>
    <mergeCell ref="E2006:F2006"/>
    <mergeCell ref="E2007:F2007"/>
    <mergeCell ref="E2034:F2034"/>
    <mergeCell ref="E2035:F2035"/>
    <mergeCell ref="E2036:F2036"/>
    <mergeCell ref="E2052:F2052"/>
    <mergeCell ref="E2055:F2055"/>
    <mergeCell ref="E2056:F2056"/>
    <mergeCell ref="E2059:F2059"/>
    <mergeCell ref="E2060:F2060"/>
    <mergeCell ref="E2022:F2022"/>
    <mergeCell ref="E2023:F2023"/>
    <mergeCell ref="E2024:F2024"/>
    <mergeCell ref="E2027:F2027"/>
    <mergeCell ref="E2028:F2028"/>
    <mergeCell ref="A1985:E1985"/>
    <mergeCell ref="F1985:I1985"/>
    <mergeCell ref="A1976:E1976"/>
    <mergeCell ref="F1976:I1976"/>
    <mergeCell ref="A1980:E1980"/>
    <mergeCell ref="F1980:I1980"/>
    <mergeCell ref="E1987:F1987"/>
    <mergeCell ref="E1988:F1988"/>
    <mergeCell ref="E1989:F1989"/>
    <mergeCell ref="E1990:F1990"/>
    <mergeCell ref="E1991:F1991"/>
    <mergeCell ref="E1992:F1992"/>
    <mergeCell ref="E1994:F1994"/>
    <mergeCell ref="E1995:F1995"/>
    <mergeCell ref="E1996:F1996"/>
    <mergeCell ref="E1998:F1998"/>
    <mergeCell ref="E2005:F2005"/>
    <mergeCell ref="A1972:E1972"/>
    <mergeCell ref="F1972:I1972"/>
    <mergeCell ref="G1973:I1973"/>
    <mergeCell ref="E1955:F1955"/>
    <mergeCell ref="A1959:A1960"/>
    <mergeCell ref="B1959:B1960"/>
    <mergeCell ref="C1959:C1960"/>
    <mergeCell ref="D1959:D1960"/>
    <mergeCell ref="E1959:E1960"/>
    <mergeCell ref="F1959:G1959"/>
    <mergeCell ref="H1959:I1959"/>
    <mergeCell ref="G1974:I1974"/>
    <mergeCell ref="G1975:I1975"/>
    <mergeCell ref="H1977:I1977"/>
    <mergeCell ref="H1978:I1978"/>
    <mergeCell ref="H1979:I1979"/>
    <mergeCell ref="G1981:I1981"/>
    <mergeCell ref="E1778:F1778"/>
    <mergeCell ref="E1823:F1823"/>
    <mergeCell ref="E1826:F1826"/>
    <mergeCell ref="E1948:F1948"/>
    <mergeCell ref="E1951:F1951"/>
    <mergeCell ref="E1952:F1952"/>
    <mergeCell ref="E1953:F1953"/>
    <mergeCell ref="E1954:F1954"/>
    <mergeCell ref="E1957:F1957"/>
    <mergeCell ref="E1958:F1958"/>
    <mergeCell ref="E1949:F1949"/>
    <mergeCell ref="A1968:E1968"/>
    <mergeCell ref="F1968:I1968"/>
    <mergeCell ref="A1969:E1969"/>
    <mergeCell ref="F1969:I1969"/>
    <mergeCell ref="G1970:I1970"/>
    <mergeCell ref="G1971:I1971"/>
    <mergeCell ref="F1742:I1742"/>
    <mergeCell ref="A1743:E1743"/>
    <mergeCell ref="F1743:I1743"/>
    <mergeCell ref="J1959:J1960"/>
    <mergeCell ref="A1964:E1964"/>
    <mergeCell ref="F1964:I1964"/>
    <mergeCell ref="A1965:E1965"/>
    <mergeCell ref="F1965:I1965"/>
    <mergeCell ref="A1966:E1966"/>
    <mergeCell ref="F1966:I1966"/>
    <mergeCell ref="A1967:E1967"/>
    <mergeCell ref="F1967:I1967"/>
    <mergeCell ref="E1770:F1770"/>
    <mergeCell ref="E1771:F1771"/>
    <mergeCell ref="E1773:F1773"/>
    <mergeCell ref="E1774:F1774"/>
    <mergeCell ref="E1775:F1775"/>
    <mergeCell ref="E1776:F1776"/>
    <mergeCell ref="E1784:F1784"/>
    <mergeCell ref="E1793:F1793"/>
    <mergeCell ref="E1797:F1797"/>
    <mergeCell ref="E1808:F1808"/>
    <mergeCell ref="E1819:F1819"/>
    <mergeCell ref="E1830:F1830"/>
    <mergeCell ref="E1809:F1809"/>
    <mergeCell ref="E1813:F1813"/>
    <mergeCell ref="E1824:F1824"/>
    <mergeCell ref="E1786:F1786"/>
    <mergeCell ref="E1788:F1788"/>
    <mergeCell ref="E1780:F1780"/>
    <mergeCell ref="E1782:F1782"/>
    <mergeCell ref="E1777:F1777"/>
    <mergeCell ref="J1726:J1727"/>
    <mergeCell ref="J1683:J1684"/>
    <mergeCell ref="A1687:E1687"/>
    <mergeCell ref="J1751:J1752"/>
    <mergeCell ref="A1760:E1760"/>
    <mergeCell ref="F1760:I1760"/>
    <mergeCell ref="A1756:E1756"/>
    <mergeCell ref="F1756:I1756"/>
    <mergeCell ref="A1757:E1757"/>
    <mergeCell ref="F1757:I1757"/>
    <mergeCell ref="A1758:E1758"/>
    <mergeCell ref="F1758:I1758"/>
    <mergeCell ref="A1759:E1759"/>
    <mergeCell ref="F1759:I1759"/>
    <mergeCell ref="F1734:I1734"/>
    <mergeCell ref="A1746:E1746"/>
    <mergeCell ref="F1746:I1746"/>
    <mergeCell ref="E1736:F1736"/>
    <mergeCell ref="E1737:F1737"/>
    <mergeCell ref="A1738:A1739"/>
    <mergeCell ref="A1747:E1747"/>
    <mergeCell ref="F1747:I1747"/>
    <mergeCell ref="E1750:F1750"/>
    <mergeCell ref="A1751:A1752"/>
    <mergeCell ref="B1751:B1752"/>
    <mergeCell ref="C1751:C1752"/>
    <mergeCell ref="D1751:D1752"/>
    <mergeCell ref="E1751:E1752"/>
    <mergeCell ref="F1751:G1751"/>
    <mergeCell ref="H1751:I1751"/>
    <mergeCell ref="J1738:J1739"/>
    <mergeCell ref="A1742:E1742"/>
    <mergeCell ref="A1718:E1718"/>
    <mergeCell ref="F1718:I1718"/>
    <mergeCell ref="A1719:E1719"/>
    <mergeCell ref="H1672:I1672"/>
    <mergeCell ref="H1673:I1673"/>
    <mergeCell ref="A1674:E1674"/>
    <mergeCell ref="F1674:I1674"/>
    <mergeCell ref="A1679:E1679"/>
    <mergeCell ref="F1679:I1679"/>
    <mergeCell ref="E1681:F1681"/>
    <mergeCell ref="A1670:E1670"/>
    <mergeCell ref="F1670:I1670"/>
    <mergeCell ref="G1675:I1675"/>
    <mergeCell ref="F1690:I1690"/>
    <mergeCell ref="E1682:F1682"/>
    <mergeCell ref="G1692:I1692"/>
    <mergeCell ref="G1693:I1693"/>
    <mergeCell ref="G1694:I1694"/>
    <mergeCell ref="G1695:I1695"/>
    <mergeCell ref="F1719:I1719"/>
    <mergeCell ref="G1705:I1705"/>
    <mergeCell ref="A1711:J1711"/>
    <mergeCell ref="E1712:F1712"/>
    <mergeCell ref="J1635:J1636"/>
    <mergeCell ref="A1638:E1638"/>
    <mergeCell ref="F1638:I1638"/>
    <mergeCell ref="A1639:E1639"/>
    <mergeCell ref="F1639:I1639"/>
    <mergeCell ref="A1640:E1640"/>
    <mergeCell ref="F1640:I1640"/>
    <mergeCell ref="A1641:E1641"/>
    <mergeCell ref="F1641:I1641"/>
    <mergeCell ref="A1652:A1653"/>
    <mergeCell ref="B1652:B1653"/>
    <mergeCell ref="C1652:C1653"/>
    <mergeCell ref="D1652:D1653"/>
    <mergeCell ref="E1652:E1653"/>
    <mergeCell ref="F1652:G1652"/>
    <mergeCell ref="H1652:I1652"/>
    <mergeCell ref="J1652:J1653"/>
    <mergeCell ref="E1651:F1651"/>
    <mergeCell ref="A1642:E1642"/>
    <mergeCell ref="F1642:I1642"/>
    <mergeCell ref="A1643:E1643"/>
    <mergeCell ref="F1643:I1643"/>
    <mergeCell ref="G1644:I1644"/>
    <mergeCell ref="G1645:I1645"/>
    <mergeCell ref="G1646:I1646"/>
    <mergeCell ref="G1647:I1647"/>
    <mergeCell ref="A1648:E1648"/>
    <mergeCell ref="F1648:I1648"/>
    <mergeCell ref="E1650:F1650"/>
    <mergeCell ref="G1598:I1598"/>
    <mergeCell ref="G1601:I1601"/>
    <mergeCell ref="G1602:I1602"/>
    <mergeCell ref="G1603:I1603"/>
    <mergeCell ref="A1604:E1604"/>
    <mergeCell ref="F1604:I1604"/>
    <mergeCell ref="G1605:I1605"/>
    <mergeCell ref="G1606:I1606"/>
    <mergeCell ref="G1607:I1607"/>
    <mergeCell ref="H1609:I1609"/>
    <mergeCell ref="H1610:I1610"/>
    <mergeCell ref="H1611:I1611"/>
    <mergeCell ref="H1612:I1612"/>
    <mergeCell ref="H1613:I1613"/>
    <mergeCell ref="A1608:E1608"/>
    <mergeCell ref="F1608:I1608"/>
    <mergeCell ref="A1595:E1595"/>
    <mergeCell ref="F1595:I1595"/>
    <mergeCell ref="A1597:E1597"/>
    <mergeCell ref="F1597:I1597"/>
    <mergeCell ref="G1599:I1599"/>
    <mergeCell ref="G1600:I1600"/>
    <mergeCell ref="A1596:E1596"/>
    <mergeCell ref="F1596:I1596"/>
    <mergeCell ref="E1540:F1540"/>
    <mergeCell ref="E1554:F1554"/>
    <mergeCell ref="E1558:F1558"/>
    <mergeCell ref="E1564:F1564"/>
    <mergeCell ref="E1572:F1572"/>
    <mergeCell ref="A1573:A1574"/>
    <mergeCell ref="B1573:B1574"/>
    <mergeCell ref="C1573:C1574"/>
    <mergeCell ref="D1573:D1574"/>
    <mergeCell ref="E1573:E1574"/>
    <mergeCell ref="F1573:G1573"/>
    <mergeCell ref="H1573:I1573"/>
    <mergeCell ref="J1573:J1574"/>
    <mergeCell ref="E1536:F1536"/>
    <mergeCell ref="E1537:F1537"/>
    <mergeCell ref="E1541:F1541"/>
    <mergeCell ref="E1543:F1543"/>
    <mergeCell ref="E1544:F1544"/>
    <mergeCell ref="E1545:F1545"/>
    <mergeCell ref="E1555:F1555"/>
    <mergeCell ref="E1556:F1556"/>
    <mergeCell ref="E1557:F1557"/>
    <mergeCell ref="E1561:F1561"/>
    <mergeCell ref="E1562:F1562"/>
    <mergeCell ref="E1563:F1563"/>
    <mergeCell ref="E1568:F1568"/>
    <mergeCell ref="E1569:F1569"/>
    <mergeCell ref="E1571:F1571"/>
    <mergeCell ref="E1553:F1553"/>
    <mergeCell ref="E1559:F1559"/>
    <mergeCell ref="E1567:F1567"/>
    <mergeCell ref="E1549:F1549"/>
    <mergeCell ref="E1472:F1472"/>
    <mergeCell ref="E1473:F1473"/>
    <mergeCell ref="E1474:F1474"/>
    <mergeCell ref="E1475:F1475"/>
    <mergeCell ref="A1481:J1481"/>
    <mergeCell ref="A1482:J1482"/>
    <mergeCell ref="E1488:F1488"/>
    <mergeCell ref="E1493:F1493"/>
    <mergeCell ref="E1494:F1494"/>
    <mergeCell ref="E1495:F1495"/>
    <mergeCell ref="E1502:F1502"/>
    <mergeCell ref="E1516:F1516"/>
    <mergeCell ref="E1522:F1522"/>
    <mergeCell ref="A1526:J1526"/>
    <mergeCell ref="A1527:J1527"/>
    <mergeCell ref="E1538:F1538"/>
    <mergeCell ref="E1539:F1539"/>
    <mergeCell ref="E1487:F1487"/>
    <mergeCell ref="E1489:F1489"/>
    <mergeCell ref="E1496:F1496"/>
    <mergeCell ref="E1477:F1477"/>
    <mergeCell ref="E1478:F1478"/>
    <mergeCell ref="E1479:F1479"/>
    <mergeCell ref="E1480:F1480"/>
    <mergeCell ref="E1484:F1484"/>
    <mergeCell ref="E1485:F1485"/>
    <mergeCell ref="E1486:F1486"/>
    <mergeCell ref="E1448:E1449"/>
    <mergeCell ref="F1448:G1448"/>
    <mergeCell ref="H1448:I1448"/>
    <mergeCell ref="J1448:J1449"/>
    <mergeCell ref="A1455:E1455"/>
    <mergeCell ref="F1455:I1455"/>
    <mergeCell ref="A1456:E1456"/>
    <mergeCell ref="F1456:I1456"/>
    <mergeCell ref="A1457:E1457"/>
    <mergeCell ref="F1457:I1457"/>
    <mergeCell ref="F1463:I1463"/>
    <mergeCell ref="E1465:F1465"/>
    <mergeCell ref="E1466:F1466"/>
    <mergeCell ref="E1467:F1467"/>
    <mergeCell ref="E1468:F1468"/>
    <mergeCell ref="E1469:F1469"/>
    <mergeCell ref="E1471:F1471"/>
    <mergeCell ref="A1460:E1460"/>
    <mergeCell ref="F1460:I1460"/>
    <mergeCell ref="G1461:I1461"/>
    <mergeCell ref="G1462:I1462"/>
    <mergeCell ref="A1458:E1458"/>
    <mergeCell ref="F1458:I1458"/>
    <mergeCell ref="A1459:E1459"/>
    <mergeCell ref="F1459:I1459"/>
    <mergeCell ref="A1463:E1463"/>
    <mergeCell ref="G1390:I1390"/>
    <mergeCell ref="G1391:I1391"/>
    <mergeCell ref="A1392:E1392"/>
    <mergeCell ref="F1392:I1392"/>
    <mergeCell ref="G1393:I1393"/>
    <mergeCell ref="G1394:I1394"/>
    <mergeCell ref="G1395:I1395"/>
    <mergeCell ref="H1397:I1397"/>
    <mergeCell ref="H1398:I1398"/>
    <mergeCell ref="H1399:I1399"/>
    <mergeCell ref="H1400:I1400"/>
    <mergeCell ref="H1401:I1401"/>
    <mergeCell ref="A1402:E1402"/>
    <mergeCell ref="F1402:I1402"/>
    <mergeCell ref="A1409:E1409"/>
    <mergeCell ref="F1409:I1409"/>
    <mergeCell ref="E1411:F1411"/>
    <mergeCell ref="A1396:E1396"/>
    <mergeCell ref="F1396:I1396"/>
    <mergeCell ref="G1403:I1403"/>
    <mergeCell ref="H1377:I1377"/>
    <mergeCell ref="J1377:J1378"/>
    <mergeCell ref="A1381:E1381"/>
    <mergeCell ref="F1381:I1381"/>
    <mergeCell ref="A1382:E1382"/>
    <mergeCell ref="F1382:I1382"/>
    <mergeCell ref="A1383:E1383"/>
    <mergeCell ref="F1383:I1383"/>
    <mergeCell ref="A1384:E1384"/>
    <mergeCell ref="F1384:I1384"/>
    <mergeCell ref="A1385:E1385"/>
    <mergeCell ref="F1385:I1385"/>
    <mergeCell ref="A1386:E1386"/>
    <mergeCell ref="F1386:I1386"/>
    <mergeCell ref="G1387:I1387"/>
    <mergeCell ref="G1388:I1388"/>
    <mergeCell ref="G1389:I1389"/>
    <mergeCell ref="A1310:E1310"/>
    <mergeCell ref="F1310:I1310"/>
    <mergeCell ref="H1311:I1311"/>
    <mergeCell ref="H1312:I1312"/>
    <mergeCell ref="H1313:I1313"/>
    <mergeCell ref="H1314:I1314"/>
    <mergeCell ref="H1315:I1315"/>
    <mergeCell ref="H1316:I1316"/>
    <mergeCell ref="H1317:I1317"/>
    <mergeCell ref="H1318:I1318"/>
    <mergeCell ref="A1319:E1319"/>
    <mergeCell ref="F1319:I1319"/>
    <mergeCell ref="A1329:E1329"/>
    <mergeCell ref="F1329:I1329"/>
    <mergeCell ref="E1331:F1331"/>
    <mergeCell ref="E1332:F1332"/>
    <mergeCell ref="E1333:F1333"/>
    <mergeCell ref="G1320:I1320"/>
    <mergeCell ref="J1288:J1289"/>
    <mergeCell ref="A1292:E1292"/>
    <mergeCell ref="F1292:I1292"/>
    <mergeCell ref="A1293:E1293"/>
    <mergeCell ref="F1293:I1293"/>
    <mergeCell ref="A1294:E1294"/>
    <mergeCell ref="F1294:I1294"/>
    <mergeCell ref="A1295:E1295"/>
    <mergeCell ref="F1295:I1295"/>
    <mergeCell ref="A1296:E1296"/>
    <mergeCell ref="F1296:I1296"/>
    <mergeCell ref="A1297:E1297"/>
    <mergeCell ref="F1297:I1297"/>
    <mergeCell ref="G1298:I1298"/>
    <mergeCell ref="G1299:I1299"/>
    <mergeCell ref="G1300:I1300"/>
    <mergeCell ref="G1301:I1301"/>
    <mergeCell ref="A1288:A1289"/>
    <mergeCell ref="B1288:B1289"/>
    <mergeCell ref="C1288:C1289"/>
    <mergeCell ref="D1288:D1289"/>
    <mergeCell ref="E1288:E1289"/>
    <mergeCell ref="F1288:G1288"/>
    <mergeCell ref="H1288:I1288"/>
    <mergeCell ref="E1253:F1253"/>
    <mergeCell ref="E1245:F1245"/>
    <mergeCell ref="E1283:F1283"/>
    <mergeCell ref="E1284:F1284"/>
    <mergeCell ref="E1286:F1286"/>
    <mergeCell ref="E1287:F1287"/>
    <mergeCell ref="E1241:F1241"/>
    <mergeCell ref="E1247:F1247"/>
    <mergeCell ref="A1254:E1254"/>
    <mergeCell ref="F1254:I1254"/>
    <mergeCell ref="A1255:E1255"/>
    <mergeCell ref="F1255:I1255"/>
    <mergeCell ref="A1256:E1256"/>
    <mergeCell ref="F1256:I1256"/>
    <mergeCell ref="A1257:E1257"/>
    <mergeCell ref="F1257:I1257"/>
    <mergeCell ref="A1258:E1258"/>
    <mergeCell ref="F1258:I1258"/>
    <mergeCell ref="G1259:I1259"/>
    <mergeCell ref="G1260:I1260"/>
    <mergeCell ref="G1261:I1261"/>
    <mergeCell ref="E1240:F1240"/>
    <mergeCell ref="E1238:F1238"/>
    <mergeCell ref="E1243:F1243"/>
    <mergeCell ref="E1244:F1244"/>
    <mergeCell ref="E1210:F1210"/>
    <mergeCell ref="E1212:F1212"/>
    <mergeCell ref="E1213:F1213"/>
    <mergeCell ref="E1215:F1215"/>
    <mergeCell ref="E1216:F1216"/>
    <mergeCell ref="E1218:F1218"/>
    <mergeCell ref="E1219:F1219"/>
    <mergeCell ref="E1221:F1221"/>
    <mergeCell ref="E1222:F1222"/>
    <mergeCell ref="E1224:F1224"/>
    <mergeCell ref="E1225:F1225"/>
    <mergeCell ref="E1227:F1227"/>
    <mergeCell ref="E1228:F1228"/>
    <mergeCell ref="E1230:F1230"/>
    <mergeCell ref="E1231:F1231"/>
    <mergeCell ref="A1103:E1103"/>
    <mergeCell ref="F1103:I1103"/>
    <mergeCell ref="A1105:E1105"/>
    <mergeCell ref="F1105:I1105"/>
    <mergeCell ref="G1106:I1106"/>
    <mergeCell ref="G1107:I1107"/>
    <mergeCell ref="A1108:E1108"/>
    <mergeCell ref="F1108:I1108"/>
    <mergeCell ref="E1110:F1110"/>
    <mergeCell ref="E1111:F1111"/>
    <mergeCell ref="E1112:F1112"/>
    <mergeCell ref="E1113:F1113"/>
    <mergeCell ref="E1115:F1115"/>
    <mergeCell ref="E1116:F1116"/>
    <mergeCell ref="E1117:F1117"/>
    <mergeCell ref="E1118:F1118"/>
    <mergeCell ref="E1206:F1206"/>
    <mergeCell ref="E1127:F1127"/>
    <mergeCell ref="E1128:F1128"/>
    <mergeCell ref="E1129:F1129"/>
    <mergeCell ref="E1131:F1131"/>
    <mergeCell ref="E1132:F1132"/>
    <mergeCell ref="E1135:F1135"/>
    <mergeCell ref="E1136:F1136"/>
    <mergeCell ref="E1138:F1138"/>
    <mergeCell ref="E1140:F1140"/>
    <mergeCell ref="E1141:F1141"/>
    <mergeCell ref="E1198:F1198"/>
    <mergeCell ref="E1201:F1201"/>
    <mergeCell ref="E1203:F1203"/>
    <mergeCell ref="E1204:F1204"/>
    <mergeCell ref="E1205:F1205"/>
    <mergeCell ref="C1080:C1081"/>
    <mergeCell ref="D1080:D1081"/>
    <mergeCell ref="E1080:E1081"/>
    <mergeCell ref="F1080:G1080"/>
    <mergeCell ref="H1080:I1080"/>
    <mergeCell ref="J1080:J1081"/>
    <mergeCell ref="A1085:E1085"/>
    <mergeCell ref="F1085:I1085"/>
    <mergeCell ref="A1086:E1086"/>
    <mergeCell ref="F1086:I1086"/>
    <mergeCell ref="A1087:E1087"/>
    <mergeCell ref="F1087:I1087"/>
    <mergeCell ref="A1089:E1089"/>
    <mergeCell ref="F1089:I1089"/>
    <mergeCell ref="F1102:I1102"/>
    <mergeCell ref="A1084:E1084"/>
    <mergeCell ref="F1084:I1084"/>
    <mergeCell ref="G1090:I1090"/>
    <mergeCell ref="G1091:I1091"/>
    <mergeCell ref="A1092:E1092"/>
    <mergeCell ref="F1092:I1092"/>
    <mergeCell ref="E1094:F1094"/>
    <mergeCell ref="E1095:F1095"/>
    <mergeCell ref="A1096:A1097"/>
    <mergeCell ref="B1096:B1097"/>
    <mergeCell ref="C1096:C1097"/>
    <mergeCell ref="D1096:D1097"/>
    <mergeCell ref="E1096:E1097"/>
    <mergeCell ref="F1096:G1096"/>
    <mergeCell ref="H1096:I1096"/>
    <mergeCell ref="A951:E951"/>
    <mergeCell ref="F951:I951"/>
    <mergeCell ref="E953:F953"/>
    <mergeCell ref="E954:F954"/>
    <mergeCell ref="E955:F955"/>
    <mergeCell ref="E956:F956"/>
    <mergeCell ref="E957:F957"/>
    <mergeCell ref="E958:F958"/>
    <mergeCell ref="E960:F960"/>
    <mergeCell ref="E961:F961"/>
    <mergeCell ref="E962:F962"/>
    <mergeCell ref="E1027:F1027"/>
    <mergeCell ref="E1037:F1037"/>
    <mergeCell ref="E1047:F1047"/>
    <mergeCell ref="A1054:A1055"/>
    <mergeCell ref="B1054:B1055"/>
    <mergeCell ref="C1054:C1055"/>
    <mergeCell ref="D1054:D1055"/>
    <mergeCell ref="E1054:E1055"/>
    <mergeCell ref="F1054:G1054"/>
    <mergeCell ref="H1054:I1054"/>
    <mergeCell ref="E1044:F1044"/>
    <mergeCell ref="E1045:F1045"/>
    <mergeCell ref="E1028:F1028"/>
    <mergeCell ref="E1038:F1038"/>
    <mergeCell ref="E965:F965"/>
    <mergeCell ref="E991:F991"/>
    <mergeCell ref="E993:F993"/>
    <mergeCell ref="E1032:F1032"/>
    <mergeCell ref="E1033:F1033"/>
    <mergeCell ref="E1034:F1034"/>
    <mergeCell ref="E1036:F1036"/>
    <mergeCell ref="H938:I938"/>
    <mergeCell ref="J938:J939"/>
    <mergeCell ref="A942:E942"/>
    <mergeCell ref="F942:I942"/>
    <mergeCell ref="A943:E943"/>
    <mergeCell ref="F943:I943"/>
    <mergeCell ref="A944:E944"/>
    <mergeCell ref="F944:I944"/>
    <mergeCell ref="E937:F937"/>
    <mergeCell ref="E930:F930"/>
    <mergeCell ref="E936:F936"/>
    <mergeCell ref="F946:I946"/>
    <mergeCell ref="A947:E947"/>
    <mergeCell ref="F947:I947"/>
    <mergeCell ref="G948:I948"/>
    <mergeCell ref="G949:I949"/>
    <mergeCell ref="G950:I950"/>
    <mergeCell ref="E931:F931"/>
    <mergeCell ref="E866:F866"/>
    <mergeCell ref="E867:F867"/>
    <mergeCell ref="E870:F870"/>
    <mergeCell ref="E871:F871"/>
    <mergeCell ref="E872:F872"/>
    <mergeCell ref="E873:F873"/>
    <mergeCell ref="E876:F876"/>
    <mergeCell ref="E877:F877"/>
    <mergeCell ref="E880:F880"/>
    <mergeCell ref="E879:F879"/>
    <mergeCell ref="E927:F927"/>
    <mergeCell ref="E932:F932"/>
    <mergeCell ref="E933:F933"/>
    <mergeCell ref="E934:F934"/>
    <mergeCell ref="A938:A939"/>
    <mergeCell ref="B938:B939"/>
    <mergeCell ref="C938:C939"/>
    <mergeCell ref="D938:D939"/>
    <mergeCell ref="E938:E939"/>
    <mergeCell ref="F938:G938"/>
    <mergeCell ref="E926:F926"/>
    <mergeCell ref="E900:F900"/>
    <mergeCell ref="E901:F901"/>
    <mergeCell ref="E903:F903"/>
    <mergeCell ref="E904:F904"/>
    <mergeCell ref="E906:F906"/>
    <mergeCell ref="E907:F907"/>
    <mergeCell ref="E909:F909"/>
    <mergeCell ref="E910:F910"/>
    <mergeCell ref="E912:F912"/>
    <mergeCell ref="E913:F913"/>
    <mergeCell ref="E915:F915"/>
    <mergeCell ref="J798:J799"/>
    <mergeCell ref="A801:E801"/>
    <mergeCell ref="F801:I801"/>
    <mergeCell ref="A802:E802"/>
    <mergeCell ref="F802:I802"/>
    <mergeCell ref="A803:E803"/>
    <mergeCell ref="F803:I803"/>
    <mergeCell ref="A804:E804"/>
    <mergeCell ref="F804:I804"/>
    <mergeCell ref="A805:E805"/>
    <mergeCell ref="F805:I805"/>
    <mergeCell ref="A806:E806"/>
    <mergeCell ref="F806:I806"/>
    <mergeCell ref="G807:I807"/>
    <mergeCell ref="G808:I808"/>
    <mergeCell ref="A809:E809"/>
    <mergeCell ref="F809:I809"/>
    <mergeCell ref="A798:A799"/>
    <mergeCell ref="B798:B799"/>
    <mergeCell ref="F5079:I5079"/>
    <mergeCell ref="A5054:E5054"/>
    <mergeCell ref="F5054:I5054"/>
    <mergeCell ref="A5055:E5055"/>
    <mergeCell ref="F5055:I5055"/>
    <mergeCell ref="E5057:F5057"/>
    <mergeCell ref="E5058:F5058"/>
    <mergeCell ref="E5093:F5093"/>
    <mergeCell ref="E5142:F5142"/>
    <mergeCell ref="E5143:F5143"/>
    <mergeCell ref="E5153:F5153"/>
    <mergeCell ref="E5155:E5156"/>
    <mergeCell ref="E5133:F5133"/>
    <mergeCell ref="E5134:F5134"/>
    <mergeCell ref="C798:C799"/>
    <mergeCell ref="D798:D799"/>
    <mergeCell ref="E798:E799"/>
    <mergeCell ref="F798:G798"/>
    <mergeCell ref="H798:I798"/>
    <mergeCell ref="H810:I810"/>
    <mergeCell ref="H811:I811"/>
    <mergeCell ref="G813:I813"/>
    <mergeCell ref="A816:E816"/>
    <mergeCell ref="F816:I816"/>
    <mergeCell ref="E818:F818"/>
    <mergeCell ref="E819:F819"/>
    <mergeCell ref="E820:F820"/>
    <mergeCell ref="E821:F821"/>
    <mergeCell ref="E822:F822"/>
    <mergeCell ref="E823:F823"/>
    <mergeCell ref="E824:F824"/>
    <mergeCell ref="E825:F825"/>
    <mergeCell ref="A5042:E5042"/>
    <mergeCell ref="F5042:I5042"/>
    <mergeCell ref="A5043:E5043"/>
    <mergeCell ref="F5043:I5043"/>
    <mergeCell ref="E4267:E4268"/>
    <mergeCell ref="F4267:G4267"/>
    <mergeCell ref="H4267:I4267"/>
    <mergeCell ref="G4286:I4286"/>
    <mergeCell ref="G4287:I4287"/>
    <mergeCell ref="G4288:I4288"/>
    <mergeCell ref="E4064:F4064"/>
    <mergeCell ref="E4088:F4088"/>
    <mergeCell ref="E4090:F4090"/>
    <mergeCell ref="E4091:F4091"/>
    <mergeCell ref="E4092:F4092"/>
    <mergeCell ref="E4094:F4094"/>
    <mergeCell ref="E4117:F4117"/>
    <mergeCell ref="E4134:F4134"/>
    <mergeCell ref="E4151:F4151"/>
    <mergeCell ref="E4162:F4162"/>
    <mergeCell ref="E4168:F4168"/>
    <mergeCell ref="E4175:F4175"/>
    <mergeCell ref="E4179:F4179"/>
    <mergeCell ref="E4130:F4130"/>
    <mergeCell ref="E4131:F4131"/>
    <mergeCell ref="E4132:F4132"/>
    <mergeCell ref="E4161:F4161"/>
    <mergeCell ref="E4164:F4164"/>
    <mergeCell ref="E4165:F4165"/>
    <mergeCell ref="E4166:F4166"/>
    <mergeCell ref="E4167:F4167"/>
    <mergeCell ref="E4170:F4170"/>
    <mergeCell ref="E4065:F4065"/>
    <mergeCell ref="E4066:F4066"/>
    <mergeCell ref="E4068:F4068"/>
    <mergeCell ref="E4069:F4069"/>
    <mergeCell ref="E4070:F4070"/>
    <mergeCell ref="E4118:F4118"/>
    <mergeCell ref="E4135:F4135"/>
    <mergeCell ref="E4163:F4163"/>
    <mergeCell ref="E4059:F4059"/>
    <mergeCell ref="E4060:F4060"/>
    <mergeCell ref="E4061:F4061"/>
    <mergeCell ref="E3678:F3678"/>
    <mergeCell ref="E3687:F3687"/>
    <mergeCell ref="E3691:F3691"/>
    <mergeCell ref="E3696:F3696"/>
    <mergeCell ref="E3708:F3708"/>
    <mergeCell ref="E3720:F3720"/>
    <mergeCell ref="E3733:F3733"/>
    <mergeCell ref="E3740:F3740"/>
    <mergeCell ref="E3827:F3827"/>
    <mergeCell ref="E3833:F3833"/>
    <mergeCell ref="E3841:F3841"/>
    <mergeCell ref="E3845:F3845"/>
    <mergeCell ref="E3849:F3849"/>
    <mergeCell ref="E3853:F3853"/>
    <mergeCell ref="E3682:F3682"/>
    <mergeCell ref="E3693:F3693"/>
    <mergeCell ref="E3702:F3702"/>
    <mergeCell ref="E3711:F3711"/>
    <mergeCell ref="E3717:F3717"/>
    <mergeCell ref="E3726:F3726"/>
    <mergeCell ref="A3974:E3974"/>
    <mergeCell ref="E3668:F3668"/>
    <mergeCell ref="E3661:F3661"/>
    <mergeCell ref="E3663:F3663"/>
    <mergeCell ref="E3533:F3533"/>
    <mergeCell ref="E3541:F3541"/>
    <mergeCell ref="E3550:F3550"/>
    <mergeCell ref="E3554:F3554"/>
    <mergeCell ref="E3558:F3558"/>
    <mergeCell ref="E3562:F3562"/>
    <mergeCell ref="E3577:F3577"/>
    <mergeCell ref="E3586:F3586"/>
    <mergeCell ref="E3543:F3543"/>
    <mergeCell ref="E3547:F3547"/>
    <mergeCell ref="E3555:F3555"/>
    <mergeCell ref="E3571:F3571"/>
    <mergeCell ref="A3616:E3616"/>
    <mergeCell ref="F3616:I3616"/>
    <mergeCell ref="A3617:E3617"/>
    <mergeCell ref="E3664:F3664"/>
    <mergeCell ref="E3665:F3665"/>
    <mergeCell ref="E3553:F3553"/>
    <mergeCell ref="F3617:I3617"/>
    <mergeCell ref="A3618:E3618"/>
    <mergeCell ref="F3618:I3618"/>
    <mergeCell ref="G3619:I3619"/>
    <mergeCell ref="G3620:I3620"/>
    <mergeCell ref="G3621:I3621"/>
    <mergeCell ref="A3622:E3622"/>
    <mergeCell ref="F3622:I3622"/>
    <mergeCell ref="G3623:I3623"/>
    <mergeCell ref="G3624:I3624"/>
    <mergeCell ref="A3625:E3625"/>
    <mergeCell ref="E3294:F3294"/>
    <mergeCell ref="E3295:F3295"/>
    <mergeCell ref="E3296:F3296"/>
    <mergeCell ref="E3297:F3297"/>
    <mergeCell ref="E3298:F3298"/>
    <mergeCell ref="E3312:F3312"/>
    <mergeCell ref="E3655:F3655"/>
    <mergeCell ref="E3656:F3656"/>
    <mergeCell ref="E3657:F3657"/>
    <mergeCell ref="E3658:F3658"/>
    <mergeCell ref="E3352:F3352"/>
    <mergeCell ref="E3353:F3353"/>
    <mergeCell ref="E3355:F3355"/>
    <mergeCell ref="E3356:F3356"/>
    <mergeCell ref="E3323:F3323"/>
    <mergeCell ref="E3324:F3324"/>
    <mergeCell ref="E3325:F3325"/>
    <mergeCell ref="E3327:F3327"/>
    <mergeCell ref="E3329:F3329"/>
    <mergeCell ref="E3330:F3330"/>
    <mergeCell ref="E3331:F3331"/>
    <mergeCell ref="E3332:F3332"/>
    <mergeCell ref="E3333:F3333"/>
    <mergeCell ref="E3334:F3334"/>
    <mergeCell ref="E3336:F3336"/>
    <mergeCell ref="E3337:F3337"/>
    <mergeCell ref="E3488:F3488"/>
    <mergeCell ref="E3492:F3492"/>
    <mergeCell ref="E3496:F3496"/>
    <mergeCell ref="E3505:F3505"/>
    <mergeCell ref="E3401:F3401"/>
    <mergeCell ref="E3402:F3402"/>
    <mergeCell ref="E3303:F3303"/>
    <mergeCell ref="E3319:F3319"/>
    <mergeCell ref="E3306:F3306"/>
    <mergeCell ref="E3307:F3307"/>
    <mergeCell ref="E3308:F3308"/>
    <mergeCell ref="E3309:F3309"/>
    <mergeCell ref="E3310:F3310"/>
    <mergeCell ref="E3311:F3311"/>
    <mergeCell ref="E3313:F3313"/>
    <mergeCell ref="E3315:F3315"/>
    <mergeCell ref="E3316:F3316"/>
    <mergeCell ref="E3317:F3317"/>
    <mergeCell ref="E3318:F3318"/>
    <mergeCell ref="E3320:F3320"/>
    <mergeCell ref="E3321:F3321"/>
    <mergeCell ref="A3250:E3250"/>
    <mergeCell ref="F3250:I3250"/>
    <mergeCell ref="A3251:E3251"/>
    <mergeCell ref="F3251:I3251"/>
    <mergeCell ref="A3252:E3252"/>
    <mergeCell ref="F3252:I3252"/>
    <mergeCell ref="A3253:E3253"/>
    <mergeCell ref="F3253:I3253"/>
    <mergeCell ref="A3254:E3254"/>
    <mergeCell ref="F3254:I3254"/>
    <mergeCell ref="G3255:I3255"/>
    <mergeCell ref="G3256:I3256"/>
    <mergeCell ref="A3257:E3257"/>
    <mergeCell ref="F3257:I3257"/>
    <mergeCell ref="E3260:F3260"/>
    <mergeCell ref="E3292:F3292"/>
    <mergeCell ref="E3293:F3293"/>
    <mergeCell ref="E3263:F3263"/>
    <mergeCell ref="E3264:F3264"/>
    <mergeCell ref="E3265:F3265"/>
    <mergeCell ref="E3266:F3266"/>
    <mergeCell ref="E3267:F3267"/>
    <mergeCell ref="E3268:F3268"/>
    <mergeCell ref="E3233:F3233"/>
    <mergeCell ref="E3234:F3234"/>
    <mergeCell ref="E3248:F3248"/>
    <mergeCell ref="E3249:F3249"/>
    <mergeCell ref="A3239:E3239"/>
    <mergeCell ref="F3239:I3239"/>
    <mergeCell ref="A3240:E3240"/>
    <mergeCell ref="F3240:I3240"/>
    <mergeCell ref="A3241:E3241"/>
    <mergeCell ref="F3241:I3241"/>
    <mergeCell ref="A3242:E3242"/>
    <mergeCell ref="F3242:I3242"/>
    <mergeCell ref="A3243:E3243"/>
    <mergeCell ref="F3243:I3243"/>
    <mergeCell ref="G3244:I3244"/>
    <mergeCell ref="G3245:I3245"/>
    <mergeCell ref="A3246:E3246"/>
    <mergeCell ref="F3246:I3246"/>
    <mergeCell ref="E3261:F3261"/>
    <mergeCell ref="E3262:F3262"/>
    <mergeCell ref="E3259:F3259"/>
    <mergeCell ref="E3103:F3103"/>
    <mergeCell ref="E3104:F3104"/>
    <mergeCell ref="E3133:F3133"/>
    <mergeCell ref="E3134:F3134"/>
    <mergeCell ref="E3135:F3135"/>
    <mergeCell ref="E3138:F3138"/>
    <mergeCell ref="E3091:F3091"/>
    <mergeCell ref="E3092:F3092"/>
    <mergeCell ref="E3093:F3093"/>
    <mergeCell ref="E3095:F3095"/>
    <mergeCell ref="E3096:F3096"/>
    <mergeCell ref="E3107:F3107"/>
    <mergeCell ref="E3108:F3108"/>
    <mergeCell ref="E3109:F3109"/>
    <mergeCell ref="E3112:F3112"/>
    <mergeCell ref="E3113:F3113"/>
    <mergeCell ref="E3082:F3082"/>
    <mergeCell ref="E3094:F3094"/>
    <mergeCell ref="E3123:F3123"/>
    <mergeCell ref="E3125:F3125"/>
    <mergeCell ref="E3126:F3126"/>
    <mergeCell ref="E3127:F3127"/>
    <mergeCell ref="E3129:F3129"/>
    <mergeCell ref="E3131:F3131"/>
    <mergeCell ref="E3130:F3130"/>
    <mergeCell ref="E3114:F3114"/>
    <mergeCell ref="E3105:F3105"/>
    <mergeCell ref="E3111:F3111"/>
    <mergeCell ref="E3117:F3117"/>
    <mergeCell ref="E3128:F3128"/>
    <mergeCell ref="E3137:F3137"/>
    <mergeCell ref="E3055:F3055"/>
    <mergeCell ref="E3056:F3056"/>
    <mergeCell ref="E3046:F3046"/>
    <mergeCell ref="E3047:F3047"/>
    <mergeCell ref="E3049:F3049"/>
    <mergeCell ref="E3050:F3050"/>
    <mergeCell ref="E3051:F3051"/>
    <mergeCell ref="E3052:F3052"/>
    <mergeCell ref="E3053:F3053"/>
    <mergeCell ref="E3054:F3054"/>
    <mergeCell ref="G3027:I3027"/>
    <mergeCell ref="A3029:E3029"/>
    <mergeCell ref="F3029:I3029"/>
    <mergeCell ref="A3032:E3032"/>
    <mergeCell ref="F3032:I3032"/>
    <mergeCell ref="E3034:F3034"/>
    <mergeCell ref="E3035:F3035"/>
    <mergeCell ref="E3036:F3036"/>
    <mergeCell ref="E3037:F3037"/>
    <mergeCell ref="E3038:F3038"/>
    <mergeCell ref="E3039:F3039"/>
    <mergeCell ref="E3041:F3041"/>
    <mergeCell ref="E3042:F3042"/>
    <mergeCell ref="F3017:G3017"/>
    <mergeCell ref="H3003:I3003"/>
    <mergeCell ref="H3004:I3004"/>
    <mergeCell ref="H3017:I3017"/>
    <mergeCell ref="H3002:I3002"/>
    <mergeCell ref="A3024:E3024"/>
    <mergeCell ref="F3024:I3024"/>
    <mergeCell ref="G3030:I3030"/>
    <mergeCell ref="G3031:I3031"/>
    <mergeCell ref="A3025:E3025"/>
    <mergeCell ref="F3025:I3025"/>
    <mergeCell ref="A3026:E3026"/>
    <mergeCell ref="F3026:I3026"/>
    <mergeCell ref="G3028:I3028"/>
    <mergeCell ref="E3043:F3043"/>
    <mergeCell ref="E3044:F3044"/>
    <mergeCell ref="E3045:F3045"/>
    <mergeCell ref="A3023:E3023"/>
    <mergeCell ref="F3023:I3023"/>
    <mergeCell ref="E2881:F2881"/>
    <mergeCell ref="E2897:F2897"/>
    <mergeCell ref="A2899:A2900"/>
    <mergeCell ref="B2899:B2900"/>
    <mergeCell ref="C2899:C2900"/>
    <mergeCell ref="D2899:D2900"/>
    <mergeCell ref="E2899:E2900"/>
    <mergeCell ref="F2899:G2899"/>
    <mergeCell ref="E2850:F2850"/>
    <mergeCell ref="E2851:F2851"/>
    <mergeCell ref="E2854:F2854"/>
    <mergeCell ref="E2855:F2855"/>
    <mergeCell ref="A2874:E2874"/>
    <mergeCell ref="F2874:I2874"/>
    <mergeCell ref="A2862:E2862"/>
    <mergeCell ref="F2862:I2862"/>
    <mergeCell ref="A2863:E2863"/>
    <mergeCell ref="F2863:I2863"/>
    <mergeCell ref="A2864:E2864"/>
    <mergeCell ref="F2864:I2864"/>
    <mergeCell ref="A2865:E2865"/>
    <mergeCell ref="F2865:I2865"/>
    <mergeCell ref="A2866:E2866"/>
    <mergeCell ref="F2866:I2866"/>
    <mergeCell ref="A2867:E2867"/>
    <mergeCell ref="F2867:I2867"/>
    <mergeCell ref="A2871:A2872"/>
    <mergeCell ref="D2859:D2860"/>
    <mergeCell ref="E2859:E2860"/>
    <mergeCell ref="F2859:G2859"/>
    <mergeCell ref="F2876:I2876"/>
    <mergeCell ref="A2877:E2877"/>
    <mergeCell ref="E2783:F2783"/>
    <mergeCell ref="J2899:J2900"/>
    <mergeCell ref="A2902:E2902"/>
    <mergeCell ref="F2902:I2902"/>
    <mergeCell ref="A2903:E2903"/>
    <mergeCell ref="F2903:I2903"/>
    <mergeCell ref="A2904:E2904"/>
    <mergeCell ref="F2904:I2904"/>
    <mergeCell ref="A2905:E2905"/>
    <mergeCell ref="F2905:I2905"/>
    <mergeCell ref="A2906:E2906"/>
    <mergeCell ref="F2906:I2906"/>
    <mergeCell ref="A2907:E2907"/>
    <mergeCell ref="F2907:I2907"/>
    <mergeCell ref="E2786:F2786"/>
    <mergeCell ref="E2787:F2787"/>
    <mergeCell ref="E2790:F2790"/>
    <mergeCell ref="J2859:J2860"/>
    <mergeCell ref="B2871:B2872"/>
    <mergeCell ref="C2871:C2872"/>
    <mergeCell ref="D2871:D2872"/>
    <mergeCell ref="E2871:E2872"/>
    <mergeCell ref="F2871:G2871"/>
    <mergeCell ref="H2871:I2871"/>
    <mergeCell ref="J2871:J2872"/>
    <mergeCell ref="H2859:I2859"/>
    <mergeCell ref="A2859:A2860"/>
    <mergeCell ref="B2859:B2860"/>
    <mergeCell ref="C2859:C2860"/>
    <mergeCell ref="E2849:F2849"/>
    <mergeCell ref="E2853:F2853"/>
    <mergeCell ref="E2857:F2857"/>
    <mergeCell ref="E2719:F2719"/>
    <mergeCell ref="E2722:F2722"/>
    <mergeCell ref="E2723:F2723"/>
    <mergeCell ref="E2726:F2726"/>
    <mergeCell ref="E2727:F2727"/>
    <mergeCell ref="E2730:F2730"/>
    <mergeCell ref="A2875:E2875"/>
    <mergeCell ref="F2875:I2875"/>
    <mergeCell ref="A2876:E2876"/>
    <mergeCell ref="E2777:F2777"/>
    <mergeCell ref="E2781:F2781"/>
    <mergeCell ref="E2785:F2785"/>
    <mergeCell ref="E2789:F2789"/>
    <mergeCell ref="E2793:F2793"/>
    <mergeCell ref="E2797:F2797"/>
    <mergeCell ref="E2801:F2801"/>
    <mergeCell ref="E2805:F2805"/>
    <mergeCell ref="E2809:F2809"/>
    <mergeCell ref="E2813:F2813"/>
    <mergeCell ref="E2817:F2817"/>
    <mergeCell ref="E2821:F2821"/>
    <mergeCell ref="E2825:F2825"/>
    <mergeCell ref="E2829:F2829"/>
    <mergeCell ref="E2833:F2833"/>
    <mergeCell ref="E2837:F2837"/>
    <mergeCell ref="E2841:F2841"/>
    <mergeCell ref="E2798:F2798"/>
    <mergeCell ref="E2799:F2799"/>
    <mergeCell ref="E2802:F2802"/>
    <mergeCell ref="E2778:F2778"/>
    <mergeCell ref="E2779:F2779"/>
    <mergeCell ref="E2782:F2782"/>
    <mergeCell ref="E2555:F2555"/>
    <mergeCell ref="E2599:F2599"/>
    <mergeCell ref="E2600:F2600"/>
    <mergeCell ref="E2601:F2601"/>
    <mergeCell ref="E2602:F2602"/>
    <mergeCell ref="E2605:F2605"/>
    <mergeCell ref="E2606:F2606"/>
    <mergeCell ref="E2575:F2575"/>
    <mergeCell ref="E2745:F2745"/>
    <mergeCell ref="E2749:F2749"/>
    <mergeCell ref="E2753:F2753"/>
    <mergeCell ref="E2757:F2757"/>
    <mergeCell ref="E2694:F2694"/>
    <mergeCell ref="E2695:F2695"/>
    <mergeCell ref="E2698:F2698"/>
    <mergeCell ref="E2699:F2699"/>
    <mergeCell ref="E2702:F2702"/>
    <mergeCell ref="E2703:F2703"/>
    <mergeCell ref="E2706:F2706"/>
    <mergeCell ref="E2707:F2707"/>
    <mergeCell ref="E2731:F2731"/>
    <mergeCell ref="E2734:F2734"/>
    <mergeCell ref="E2735:F2735"/>
    <mergeCell ref="E2738:F2738"/>
    <mergeCell ref="E2739:F2739"/>
    <mergeCell ref="E2742:F2742"/>
    <mergeCell ref="E2743:F2743"/>
    <mergeCell ref="E2710:F2710"/>
    <mergeCell ref="E2711:F2711"/>
    <mergeCell ref="E2714:F2714"/>
    <mergeCell ref="E2715:F2715"/>
    <mergeCell ref="E2718:F2718"/>
    <mergeCell ref="E2102:F2102"/>
    <mergeCell ref="E2103:F2103"/>
    <mergeCell ref="E2062:F2062"/>
    <mergeCell ref="E2063:F2063"/>
    <mergeCell ref="E2064:F2064"/>
    <mergeCell ref="E2066:F2066"/>
    <mergeCell ref="E2067:F2067"/>
    <mergeCell ref="E2470:F2470"/>
    <mergeCell ref="E2487:F2487"/>
    <mergeCell ref="E2495:F2495"/>
    <mergeCell ref="E2402:F2402"/>
    <mergeCell ref="E2403:F2403"/>
    <mergeCell ref="E2395:F2395"/>
    <mergeCell ref="E2396:F2396"/>
    <mergeCell ref="E2398:F2398"/>
    <mergeCell ref="E2400:F2400"/>
    <mergeCell ref="E2449:F2449"/>
    <mergeCell ref="E2450:F2450"/>
    <mergeCell ref="E2451:F2451"/>
    <mergeCell ref="E2453:F2453"/>
    <mergeCell ref="E2454:F2454"/>
    <mergeCell ref="E2422:F2422"/>
    <mergeCell ref="E2426:F2426"/>
    <mergeCell ref="E2267:F2267"/>
    <mergeCell ref="E2288:F2288"/>
    <mergeCell ref="E2293:F2293"/>
    <mergeCell ref="E2298:F2298"/>
    <mergeCell ref="E2303:F2303"/>
    <mergeCell ref="E2321:F2321"/>
    <mergeCell ref="E2326:F2326"/>
    <mergeCell ref="E2331:F2331"/>
    <mergeCell ref="E2336:F2336"/>
    <mergeCell ref="E2075:F2075"/>
    <mergeCell ref="E2076:F2076"/>
    <mergeCell ref="E2078:F2078"/>
    <mergeCell ref="E2079:F2079"/>
    <mergeCell ref="E2080:F2080"/>
    <mergeCell ref="E2083:F2083"/>
    <mergeCell ref="E2084:F2084"/>
    <mergeCell ref="E2087:F2087"/>
    <mergeCell ref="E2088:F2088"/>
    <mergeCell ref="E2090:F2090"/>
    <mergeCell ref="E2091:F2091"/>
    <mergeCell ref="E2092:F2092"/>
    <mergeCell ref="E2094:F2094"/>
    <mergeCell ref="E2095:F2095"/>
    <mergeCell ref="E2096:F2096"/>
    <mergeCell ref="E2099:F2099"/>
    <mergeCell ref="E2100:F2100"/>
    <mergeCell ref="E2038:F2038"/>
    <mergeCell ref="E2008:F2008"/>
    <mergeCell ref="E2010:F2010"/>
    <mergeCell ref="E2011:F2011"/>
    <mergeCell ref="E2012:F2012"/>
    <mergeCell ref="E2026:F2026"/>
    <mergeCell ref="E2039:F2039"/>
    <mergeCell ref="E2040:F2040"/>
    <mergeCell ref="E2043:F2043"/>
    <mergeCell ref="E2044:F2044"/>
    <mergeCell ref="E2046:F2046"/>
    <mergeCell ref="E2047:F2047"/>
    <mergeCell ref="E2048:F2048"/>
    <mergeCell ref="E2050:F2050"/>
    <mergeCell ref="E2015:F2015"/>
    <mergeCell ref="E2016:F2016"/>
    <mergeCell ref="E2051:F2051"/>
    <mergeCell ref="E2018:F2018"/>
    <mergeCell ref="E2019:F2019"/>
    <mergeCell ref="E2020:F2020"/>
    <mergeCell ref="E2031:F2031"/>
    <mergeCell ref="E2032:F2032"/>
    <mergeCell ref="E2014:F2014"/>
    <mergeCell ref="E2029:F2029"/>
    <mergeCell ref="E2033:F2033"/>
    <mergeCell ref="E2042:F2042"/>
    <mergeCell ref="E1835:F1835"/>
    <mergeCell ref="E1846:F1846"/>
    <mergeCell ref="E1860:F1860"/>
    <mergeCell ref="E1869:F1869"/>
    <mergeCell ref="E1878:F1878"/>
    <mergeCell ref="E1892:F1892"/>
    <mergeCell ref="E1900:F1900"/>
    <mergeCell ref="E1812:F1812"/>
    <mergeCell ref="E1814:F1814"/>
    <mergeCell ref="E1815:F1815"/>
    <mergeCell ref="E1816:F1816"/>
    <mergeCell ref="E1817:F1817"/>
    <mergeCell ref="E1820:F1820"/>
    <mergeCell ref="E1821:F1821"/>
    <mergeCell ref="E1822:F1822"/>
    <mergeCell ref="E1810:F1810"/>
    <mergeCell ref="E1879:F1879"/>
    <mergeCell ref="E1845:F1845"/>
    <mergeCell ref="E1847:F1847"/>
    <mergeCell ref="E1848:F1848"/>
    <mergeCell ref="E1849:F1849"/>
    <mergeCell ref="E1851:F1851"/>
    <mergeCell ref="E1852:F1852"/>
    <mergeCell ref="E1854:F1854"/>
    <mergeCell ref="E1827:F1827"/>
    <mergeCell ref="E1828:F1828"/>
    <mergeCell ref="E1829:F1829"/>
    <mergeCell ref="E1831:F1831"/>
    <mergeCell ref="E1833:F1833"/>
    <mergeCell ref="E1834:F1834"/>
    <mergeCell ref="E1836:F1836"/>
    <mergeCell ref="E1838:F1838"/>
    <mergeCell ref="A1744:E1744"/>
    <mergeCell ref="F1744:I1744"/>
    <mergeCell ref="A1745:E1745"/>
    <mergeCell ref="F1745:I1745"/>
    <mergeCell ref="E1749:F1749"/>
    <mergeCell ref="H1714:I1714"/>
    <mergeCell ref="A1721:E1721"/>
    <mergeCell ref="F1721:I1721"/>
    <mergeCell ref="E1724:F1724"/>
    <mergeCell ref="E1725:F1725"/>
    <mergeCell ref="A1726:A1727"/>
    <mergeCell ref="B1726:B1727"/>
    <mergeCell ref="C1726:C1727"/>
    <mergeCell ref="D1726:D1727"/>
    <mergeCell ref="E1726:E1727"/>
    <mergeCell ref="F1726:G1726"/>
    <mergeCell ref="H1726:I1726"/>
    <mergeCell ref="A1732:E1732"/>
    <mergeCell ref="F1732:I1732"/>
    <mergeCell ref="A1733:E1733"/>
    <mergeCell ref="F1733:I1733"/>
    <mergeCell ref="A1734:E1734"/>
    <mergeCell ref="A1720:E1720"/>
    <mergeCell ref="F1720:I1720"/>
    <mergeCell ref="A1722:E1722"/>
    <mergeCell ref="F1722:I1722"/>
    <mergeCell ref="A1730:E1730"/>
    <mergeCell ref="F1730:I1730"/>
    <mergeCell ref="A1731:E1731"/>
    <mergeCell ref="F1731:I1731"/>
    <mergeCell ref="A1729:E1729"/>
    <mergeCell ref="F1729:I1729"/>
    <mergeCell ref="F1687:I1687"/>
    <mergeCell ref="A1688:E1688"/>
    <mergeCell ref="F1688:I1688"/>
    <mergeCell ref="A1689:E1689"/>
    <mergeCell ref="F1689:I1689"/>
    <mergeCell ref="A1690:E1690"/>
    <mergeCell ref="E1713:F1713"/>
    <mergeCell ref="A1714:A1715"/>
    <mergeCell ref="B1714:B1715"/>
    <mergeCell ref="C1714:C1715"/>
    <mergeCell ref="D1714:D1715"/>
    <mergeCell ref="E1714:E1715"/>
    <mergeCell ref="F1714:G1714"/>
    <mergeCell ref="J1714:J1715"/>
    <mergeCell ref="A1717:E1717"/>
    <mergeCell ref="F1717:I1717"/>
    <mergeCell ref="A1696:E1696"/>
    <mergeCell ref="F1696:I1696"/>
    <mergeCell ref="G1697:I1697"/>
    <mergeCell ref="G1698:I1698"/>
    <mergeCell ref="G1699:I1699"/>
    <mergeCell ref="H1701:I1701"/>
    <mergeCell ref="H1702:I1702"/>
    <mergeCell ref="H1703:I1703"/>
    <mergeCell ref="A1704:E1704"/>
    <mergeCell ref="F1704:I1704"/>
    <mergeCell ref="A1709:E1709"/>
    <mergeCell ref="F1709:I1709"/>
    <mergeCell ref="A1700:E1700"/>
    <mergeCell ref="F1700:I1700"/>
    <mergeCell ref="G1616:I1616"/>
    <mergeCell ref="A1623:E1623"/>
    <mergeCell ref="F1623:I1623"/>
    <mergeCell ref="E1625:F1625"/>
    <mergeCell ref="E1626:F1626"/>
    <mergeCell ref="E1627:F1627"/>
    <mergeCell ref="E1628:F1628"/>
    <mergeCell ref="E1629:F1629"/>
    <mergeCell ref="E1630:F1630"/>
    <mergeCell ref="E1631:F1631"/>
    <mergeCell ref="H1683:I1683"/>
    <mergeCell ref="A1691:E1691"/>
    <mergeCell ref="F1691:I1691"/>
    <mergeCell ref="A1683:A1684"/>
    <mergeCell ref="B1683:B1684"/>
    <mergeCell ref="C1683:C1684"/>
    <mergeCell ref="D1683:D1684"/>
    <mergeCell ref="E1683:E1684"/>
    <mergeCell ref="F1683:G1683"/>
    <mergeCell ref="A1655:E1655"/>
    <mergeCell ref="F1655:I1655"/>
    <mergeCell ref="F1686:I1686"/>
    <mergeCell ref="A1686:E1686"/>
    <mergeCell ref="A1660:E1660"/>
    <mergeCell ref="F1660:I1660"/>
    <mergeCell ref="F1635:G1635"/>
    <mergeCell ref="H1635:I1635"/>
    <mergeCell ref="A1656:E1656"/>
    <mergeCell ref="F1656:I1656"/>
    <mergeCell ref="A1657:E1657"/>
    <mergeCell ref="F1657:I1657"/>
    <mergeCell ref="A1658:E1658"/>
    <mergeCell ref="H1614:I1614"/>
    <mergeCell ref="A1615:E1615"/>
    <mergeCell ref="F1615:I1615"/>
    <mergeCell ref="E1633:F1633"/>
    <mergeCell ref="E1634:F1634"/>
    <mergeCell ref="A1635:A1636"/>
    <mergeCell ref="B1635:B1636"/>
    <mergeCell ref="C1635:C1636"/>
    <mergeCell ref="D1635:D1636"/>
    <mergeCell ref="E1635:E1636"/>
    <mergeCell ref="E1501:F1501"/>
    <mergeCell ref="E1503:F1503"/>
    <mergeCell ref="E1505:F1505"/>
    <mergeCell ref="E1506:F1506"/>
    <mergeCell ref="E1507:F1507"/>
    <mergeCell ref="E1508:F1508"/>
    <mergeCell ref="E1509:F1509"/>
    <mergeCell ref="E1511:F1511"/>
    <mergeCell ref="E1512:F1512"/>
    <mergeCell ref="E1535:F1535"/>
    <mergeCell ref="E1529:F1529"/>
    <mergeCell ref="E1530:F1530"/>
    <mergeCell ref="E1531:F1531"/>
    <mergeCell ref="E1532:F1532"/>
    <mergeCell ref="E1533:F1533"/>
    <mergeCell ref="E1534:F1534"/>
    <mergeCell ref="E1524:F1524"/>
    <mergeCell ref="E1525:F1525"/>
    <mergeCell ref="E1547:F1547"/>
    <mergeCell ref="E1548:F1548"/>
    <mergeCell ref="E1565:F1565"/>
    <mergeCell ref="E1566:F1566"/>
    <mergeCell ref="E1428:F1428"/>
    <mergeCell ref="E1432:F1432"/>
    <mergeCell ref="E1423:F1423"/>
    <mergeCell ref="E1424:F1424"/>
    <mergeCell ref="E1426:F1426"/>
    <mergeCell ref="E1427:F1427"/>
    <mergeCell ref="E1430:F1430"/>
    <mergeCell ref="E1436:F1436"/>
    <mergeCell ref="E1440:F1440"/>
    <mergeCell ref="E1412:F1412"/>
    <mergeCell ref="E1413:F1413"/>
    <mergeCell ref="E1414:F1414"/>
    <mergeCell ref="E1415:F1415"/>
    <mergeCell ref="E1416:F1416"/>
    <mergeCell ref="E1417:F1417"/>
    <mergeCell ref="E1418:F1418"/>
    <mergeCell ref="E1420:F1420"/>
    <mergeCell ref="E1421:F1421"/>
    <mergeCell ref="E1434:F1434"/>
    <mergeCell ref="E1435:F1435"/>
    <mergeCell ref="E1422:F1422"/>
    <mergeCell ref="E1431:F1431"/>
    <mergeCell ref="E1441:F1441"/>
    <mergeCell ref="A1448:A1449"/>
    <mergeCell ref="B1448:B1449"/>
    <mergeCell ref="C1448:C1449"/>
    <mergeCell ref="D1448:D1449"/>
    <mergeCell ref="G1263:I1263"/>
    <mergeCell ref="G1264:I1264"/>
    <mergeCell ref="G1265:I1265"/>
    <mergeCell ref="H1267:I1267"/>
    <mergeCell ref="H1268:I1268"/>
    <mergeCell ref="H1269:I1269"/>
    <mergeCell ref="A1275:E1275"/>
    <mergeCell ref="F1275:I1275"/>
    <mergeCell ref="E1277:F1277"/>
    <mergeCell ref="E1278:F1278"/>
    <mergeCell ref="E1279:F1279"/>
    <mergeCell ref="E1280:F1280"/>
    <mergeCell ref="E1281:F1281"/>
    <mergeCell ref="E1282:F1282"/>
    <mergeCell ref="A1266:E1266"/>
    <mergeCell ref="F1266:I1266"/>
    <mergeCell ref="A1270:E1270"/>
    <mergeCell ref="F1270:I1270"/>
    <mergeCell ref="G1271:I1271"/>
    <mergeCell ref="A1306:E1306"/>
    <mergeCell ref="F1306:I1306"/>
    <mergeCell ref="E1344:F1344"/>
    <mergeCell ref="E1345:F1345"/>
    <mergeCell ref="E1346:F1346"/>
    <mergeCell ref="E1347:F1347"/>
    <mergeCell ref="E1349:F1349"/>
    <mergeCell ref="E1352:F1352"/>
    <mergeCell ref="E1191:F1191"/>
    <mergeCell ref="E1214:F1214"/>
    <mergeCell ref="E1220:F1220"/>
    <mergeCell ref="E1226:F1226"/>
    <mergeCell ref="E1137:F1137"/>
    <mergeCell ref="E1143:F1143"/>
    <mergeCell ref="E1144:F1144"/>
    <mergeCell ref="E1119:F1119"/>
    <mergeCell ref="E1120:F1120"/>
    <mergeCell ref="E1121:F1121"/>
    <mergeCell ref="E1126:F1126"/>
    <mergeCell ref="E1142:F1142"/>
    <mergeCell ref="E1146:F1146"/>
    <mergeCell ref="E1151:F1151"/>
    <mergeCell ref="E1159:F1159"/>
    <mergeCell ref="E1167:F1167"/>
    <mergeCell ref="E1175:F1175"/>
    <mergeCell ref="E1183:F1183"/>
    <mergeCell ref="E1200:F1200"/>
    <mergeCell ref="E1145:F1145"/>
    <mergeCell ref="E1148:F1148"/>
    <mergeCell ref="E1149:F1149"/>
    <mergeCell ref="E1152:F1152"/>
    <mergeCell ref="E1153:F1153"/>
    <mergeCell ref="E1154:F1154"/>
    <mergeCell ref="E1156:F1156"/>
    <mergeCell ref="E1157:F1157"/>
    <mergeCell ref="E1160:F1160"/>
    <mergeCell ref="E1161:F1161"/>
    <mergeCell ref="E1150:F1150"/>
    <mergeCell ref="J1096:J1097"/>
    <mergeCell ref="A1102:E1102"/>
    <mergeCell ref="E1019:F1019"/>
    <mergeCell ref="E1021:F1021"/>
    <mergeCell ref="E1022:F1022"/>
    <mergeCell ref="A1076:E1076"/>
    <mergeCell ref="F1076:I1076"/>
    <mergeCell ref="A1062:E1062"/>
    <mergeCell ref="F1062:I1062"/>
    <mergeCell ref="A1063:E1063"/>
    <mergeCell ref="F1063:I1063"/>
    <mergeCell ref="A1064:E1064"/>
    <mergeCell ref="F1064:I1064"/>
    <mergeCell ref="A1065:E1065"/>
    <mergeCell ref="F1065:I1065"/>
    <mergeCell ref="G1066:I1066"/>
    <mergeCell ref="G1067:I1067"/>
    <mergeCell ref="G1068:I1068"/>
    <mergeCell ref="A1088:E1088"/>
    <mergeCell ref="F1088:I1088"/>
    <mergeCell ref="A1100:E1100"/>
    <mergeCell ref="J1054:J1055"/>
    <mergeCell ref="A1060:E1060"/>
    <mergeCell ref="F1060:I1060"/>
    <mergeCell ref="A1061:E1061"/>
    <mergeCell ref="F1061:I1061"/>
    <mergeCell ref="E1078:F1078"/>
    <mergeCell ref="E1079:F1079"/>
    <mergeCell ref="A1069:E1069"/>
    <mergeCell ref="F1069:I1069"/>
    <mergeCell ref="H1070:I1070"/>
    <mergeCell ref="H1071:I1071"/>
    <mergeCell ref="E995:F995"/>
    <mergeCell ref="E996:F996"/>
    <mergeCell ref="E998:F998"/>
    <mergeCell ref="E1000:F1000"/>
    <mergeCell ref="E1002:F1002"/>
    <mergeCell ref="E1003:F1003"/>
    <mergeCell ref="E1005:F1005"/>
    <mergeCell ref="E1006:F1006"/>
    <mergeCell ref="E1013:F1013"/>
    <mergeCell ref="E1043:F1043"/>
    <mergeCell ref="E1158:F1158"/>
    <mergeCell ref="E1162:F1162"/>
    <mergeCell ref="E1184:F1184"/>
    <mergeCell ref="E1186:F1186"/>
    <mergeCell ref="E1124:F1124"/>
    <mergeCell ref="E1125:F1125"/>
    <mergeCell ref="A1104:E1104"/>
    <mergeCell ref="F1104:I1104"/>
    <mergeCell ref="E1122:F1122"/>
    <mergeCell ref="E1123:F1123"/>
    <mergeCell ref="E1133:F1133"/>
    <mergeCell ref="E1179:F1179"/>
    <mergeCell ref="E1185:F1185"/>
    <mergeCell ref="A1072:E1072"/>
    <mergeCell ref="F1072:I1072"/>
    <mergeCell ref="G1073:I1073"/>
    <mergeCell ref="E1039:F1039"/>
    <mergeCell ref="E1040:F1040"/>
    <mergeCell ref="E1041:F1041"/>
    <mergeCell ref="E1042:F1042"/>
    <mergeCell ref="A1080:A1081"/>
    <mergeCell ref="B1080:B1081"/>
    <mergeCell ref="E832:F832"/>
    <mergeCell ref="E833:F833"/>
    <mergeCell ref="E834:F834"/>
    <mergeCell ref="E836:F836"/>
    <mergeCell ref="E837:F837"/>
    <mergeCell ref="E919:F919"/>
    <mergeCell ref="E921:F921"/>
    <mergeCell ref="E882:F882"/>
    <mergeCell ref="E883:F883"/>
    <mergeCell ref="E885:F885"/>
    <mergeCell ref="E886:F886"/>
    <mergeCell ref="E888:F888"/>
    <mergeCell ref="E889:F889"/>
    <mergeCell ref="E891:F891"/>
    <mergeCell ref="E892:F892"/>
    <mergeCell ref="E894:F894"/>
    <mergeCell ref="E895:F895"/>
    <mergeCell ref="E864:F864"/>
    <mergeCell ref="E844:F844"/>
    <mergeCell ref="E855:F855"/>
    <mergeCell ref="E859:F859"/>
    <mergeCell ref="E874:F874"/>
    <mergeCell ref="E878:F878"/>
    <mergeCell ref="E884:F884"/>
    <mergeCell ref="E890:F890"/>
    <mergeCell ref="E896:F896"/>
    <mergeCell ref="E856:F856"/>
    <mergeCell ref="E857:F857"/>
    <mergeCell ref="E858:F858"/>
    <mergeCell ref="E861:F861"/>
    <mergeCell ref="E897:F897"/>
    <mergeCell ref="E898:F898"/>
    <mergeCell ref="A757:E757"/>
    <mergeCell ref="F757:I757"/>
    <mergeCell ref="G760:I760"/>
    <mergeCell ref="A732:E732"/>
    <mergeCell ref="F732:I732"/>
    <mergeCell ref="E735:F735"/>
    <mergeCell ref="A736:E736"/>
    <mergeCell ref="F736:I736"/>
    <mergeCell ref="A738:E738"/>
    <mergeCell ref="F738:I738"/>
    <mergeCell ref="A737:E737"/>
    <mergeCell ref="F737:I737"/>
    <mergeCell ref="A740:E740"/>
    <mergeCell ref="F740:I740"/>
    <mergeCell ref="G741:I741"/>
    <mergeCell ref="E790:F790"/>
    <mergeCell ref="A761:E761"/>
    <mergeCell ref="F761:I761"/>
    <mergeCell ref="H762:I762"/>
    <mergeCell ref="H763:I763"/>
    <mergeCell ref="A764:E764"/>
    <mergeCell ref="F764:I764"/>
    <mergeCell ref="G765:I765"/>
    <mergeCell ref="E770:F770"/>
    <mergeCell ref="E771:F771"/>
    <mergeCell ref="A772:E772"/>
    <mergeCell ref="F772:I772"/>
    <mergeCell ref="A774:E774"/>
    <mergeCell ref="A743:E743"/>
    <mergeCell ref="F743:I743"/>
    <mergeCell ref="H744:I744"/>
    <mergeCell ref="A756:E756"/>
    <mergeCell ref="H724:I724"/>
    <mergeCell ref="H725:I725"/>
    <mergeCell ref="G727:I727"/>
    <mergeCell ref="E734:F734"/>
    <mergeCell ref="H745:I745"/>
    <mergeCell ref="A746:E746"/>
    <mergeCell ref="F746:I746"/>
    <mergeCell ref="G747:I747"/>
    <mergeCell ref="E752:F752"/>
    <mergeCell ref="E753:F753"/>
    <mergeCell ref="A754:E754"/>
    <mergeCell ref="F754:I754"/>
    <mergeCell ref="A726:E726"/>
    <mergeCell ref="F726:I726"/>
    <mergeCell ref="A713:E713"/>
    <mergeCell ref="F713:I713"/>
    <mergeCell ref="A714:E714"/>
    <mergeCell ref="F714:I714"/>
    <mergeCell ref="G715:I715"/>
    <mergeCell ref="G716:I716"/>
    <mergeCell ref="A717:E717"/>
    <mergeCell ref="F717:I717"/>
    <mergeCell ref="G718:I718"/>
    <mergeCell ref="G719:I719"/>
    <mergeCell ref="G720:I720"/>
    <mergeCell ref="A721:E721"/>
    <mergeCell ref="F721:I721"/>
    <mergeCell ref="H722:I722"/>
    <mergeCell ref="H723:I723"/>
    <mergeCell ref="A739:E739"/>
    <mergeCell ref="F739:I739"/>
    <mergeCell ref="G742:I742"/>
    <mergeCell ref="E670:F670"/>
    <mergeCell ref="E671:F671"/>
    <mergeCell ref="E672:F672"/>
    <mergeCell ref="E673:F673"/>
    <mergeCell ref="E674:F674"/>
    <mergeCell ref="E676:F676"/>
    <mergeCell ref="E677:F677"/>
    <mergeCell ref="A686:E686"/>
    <mergeCell ref="F686:I686"/>
    <mergeCell ref="A687:E687"/>
    <mergeCell ref="F687:I687"/>
    <mergeCell ref="A688:E688"/>
    <mergeCell ref="F688:I688"/>
    <mergeCell ref="G689:I689"/>
    <mergeCell ref="G690:I690"/>
    <mergeCell ref="A691:E691"/>
    <mergeCell ref="F691:I691"/>
    <mergeCell ref="E571:F571"/>
    <mergeCell ref="E572:F572"/>
    <mergeCell ref="E582:F582"/>
    <mergeCell ref="E592:F592"/>
    <mergeCell ref="A593:A594"/>
    <mergeCell ref="B593:B594"/>
    <mergeCell ref="C593:C594"/>
    <mergeCell ref="D593:D594"/>
    <mergeCell ref="E593:E594"/>
    <mergeCell ref="F593:G593"/>
    <mergeCell ref="H593:I593"/>
    <mergeCell ref="J593:J594"/>
    <mergeCell ref="A597:E597"/>
    <mergeCell ref="F597:I597"/>
    <mergeCell ref="A598:E598"/>
    <mergeCell ref="F598:I598"/>
    <mergeCell ref="G603:I603"/>
    <mergeCell ref="E573:F573"/>
    <mergeCell ref="E574:F574"/>
    <mergeCell ref="E575:F575"/>
    <mergeCell ref="E576:F576"/>
    <mergeCell ref="E577:F577"/>
    <mergeCell ref="E578:F578"/>
    <mergeCell ref="A551:E551"/>
    <mergeCell ref="F551:I551"/>
    <mergeCell ref="A552:E552"/>
    <mergeCell ref="F552:I552"/>
    <mergeCell ref="G557:I557"/>
    <mergeCell ref="G558:I558"/>
    <mergeCell ref="A559:E559"/>
    <mergeCell ref="F559:I559"/>
    <mergeCell ref="G561:I561"/>
    <mergeCell ref="A562:E562"/>
    <mergeCell ref="F562:I562"/>
    <mergeCell ref="H563:I563"/>
    <mergeCell ref="H564:I564"/>
    <mergeCell ref="A565:E565"/>
    <mergeCell ref="F565:I565"/>
    <mergeCell ref="G566:I566"/>
    <mergeCell ref="A569:E569"/>
    <mergeCell ref="F569:I569"/>
    <mergeCell ref="A553:E553"/>
    <mergeCell ref="F553:I553"/>
    <mergeCell ref="A554:E554"/>
    <mergeCell ref="F554:I554"/>
    <mergeCell ref="A555:E555"/>
    <mergeCell ref="F555:I555"/>
    <mergeCell ref="A556:E556"/>
    <mergeCell ref="F556:I556"/>
    <mergeCell ref="G560:I560"/>
    <mergeCell ref="E497:F497"/>
    <mergeCell ref="E509:F509"/>
    <mergeCell ref="A522:J522"/>
    <mergeCell ref="A523:J523"/>
    <mergeCell ref="E525:F525"/>
    <mergeCell ref="E526:F526"/>
    <mergeCell ref="A543:J543"/>
    <mergeCell ref="A544:J544"/>
    <mergeCell ref="E546:F546"/>
    <mergeCell ref="E547:F547"/>
    <mergeCell ref="A548:A549"/>
    <mergeCell ref="B548:B549"/>
    <mergeCell ref="C548:C549"/>
    <mergeCell ref="D548:D549"/>
    <mergeCell ref="E548:E549"/>
    <mergeCell ref="F548:G548"/>
    <mergeCell ref="H548:I548"/>
    <mergeCell ref="J548:J549"/>
    <mergeCell ref="E505:F505"/>
    <mergeCell ref="E534:F534"/>
    <mergeCell ref="E535:F535"/>
    <mergeCell ref="E536:F536"/>
    <mergeCell ref="E537:F537"/>
    <mergeCell ref="E538:F538"/>
    <mergeCell ref="E539:F539"/>
    <mergeCell ref="E528:F528"/>
    <mergeCell ref="E540:F540"/>
    <mergeCell ref="E541:F541"/>
    <mergeCell ref="E542:F542"/>
    <mergeCell ref="E500:F500"/>
    <mergeCell ref="E501:F501"/>
    <mergeCell ref="E502:F502"/>
    <mergeCell ref="E362:F362"/>
    <mergeCell ref="E389:F389"/>
    <mergeCell ref="E418:F418"/>
    <mergeCell ref="E447:F447"/>
    <mergeCell ref="E458:F458"/>
    <mergeCell ref="E469:F469"/>
    <mergeCell ref="E483:F483"/>
    <mergeCell ref="E302:F302"/>
    <mergeCell ref="E303:F303"/>
    <mergeCell ref="E304:F304"/>
    <mergeCell ref="E305:F305"/>
    <mergeCell ref="E306:F306"/>
    <mergeCell ref="E307:F307"/>
    <mergeCell ref="E309:F309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65:F365"/>
    <mergeCell ref="E338:F338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J244:J245"/>
    <mergeCell ref="A247:E247"/>
    <mergeCell ref="F247:I247"/>
    <mergeCell ref="G253:I253"/>
    <mergeCell ref="A255:E255"/>
    <mergeCell ref="F255:I255"/>
    <mergeCell ref="E257:F257"/>
    <mergeCell ref="E262:F262"/>
    <mergeCell ref="E269:F269"/>
    <mergeCell ref="A248:E248"/>
    <mergeCell ref="F248:I248"/>
    <mergeCell ref="A249:E249"/>
    <mergeCell ref="F249:I249"/>
    <mergeCell ref="A250:E250"/>
    <mergeCell ref="F250:I250"/>
    <mergeCell ref="A251:E251"/>
    <mergeCell ref="F251:I251"/>
    <mergeCell ref="A252:E252"/>
    <mergeCell ref="F252:I252"/>
    <mergeCell ref="E263:F263"/>
    <mergeCell ref="E264:F264"/>
    <mergeCell ref="E265:F265"/>
    <mergeCell ref="E266:F266"/>
    <mergeCell ref="E267:F267"/>
    <mergeCell ref="E167:F167"/>
    <mergeCell ref="E189:F189"/>
    <mergeCell ref="E192:F192"/>
    <mergeCell ref="E193:F193"/>
    <mergeCell ref="E194:F194"/>
    <mergeCell ref="E178:F178"/>
    <mergeCell ref="E181:F181"/>
    <mergeCell ref="E197:F197"/>
    <mergeCell ref="E198:F198"/>
    <mergeCell ref="E199:F199"/>
    <mergeCell ref="E242:F242"/>
    <mergeCell ref="A244:A245"/>
    <mergeCell ref="B244:B245"/>
    <mergeCell ref="C244:C245"/>
    <mergeCell ref="D244:D245"/>
    <mergeCell ref="E244:E245"/>
    <mergeCell ref="F244:G244"/>
    <mergeCell ref="A168:J168"/>
    <mergeCell ref="E171:F171"/>
    <mergeCell ref="E180:F180"/>
    <mergeCell ref="E186:F186"/>
    <mergeCell ref="E191:F191"/>
    <mergeCell ref="E196:F196"/>
    <mergeCell ref="E203:F203"/>
    <mergeCell ref="E208:F208"/>
    <mergeCell ref="E213:F213"/>
    <mergeCell ref="A215:A216"/>
    <mergeCell ref="B215:B216"/>
    <mergeCell ref="C215:C216"/>
    <mergeCell ref="D215:D216"/>
    <mergeCell ref="E215:E216"/>
    <mergeCell ref="F215:G215"/>
    <mergeCell ref="H215:I215"/>
    <mergeCell ref="J215:J216"/>
    <mergeCell ref="E56:F56"/>
    <mergeCell ref="E65:F65"/>
    <mergeCell ref="E71:F71"/>
    <mergeCell ref="E82:F82"/>
    <mergeCell ref="E91:F91"/>
    <mergeCell ref="E100:F100"/>
    <mergeCell ref="E109:F109"/>
    <mergeCell ref="E118:F118"/>
    <mergeCell ref="E127:F127"/>
    <mergeCell ref="E136:F136"/>
    <mergeCell ref="A138:A139"/>
    <mergeCell ref="B138:B139"/>
    <mergeCell ref="C138:C139"/>
    <mergeCell ref="D138:D139"/>
    <mergeCell ref="E138:E139"/>
    <mergeCell ref="F138:G138"/>
    <mergeCell ref="H138:I138"/>
    <mergeCell ref="E57:F57"/>
    <mergeCell ref="E78:F78"/>
    <mergeCell ref="E79:F79"/>
    <mergeCell ref="E80:F80"/>
    <mergeCell ref="E83:F83"/>
    <mergeCell ref="E84:F84"/>
    <mergeCell ref="E85:F85"/>
    <mergeCell ref="E86:F86"/>
    <mergeCell ref="E87:F87"/>
    <mergeCell ref="E88:F88"/>
    <mergeCell ref="E89:F89"/>
    <mergeCell ref="E58:F58"/>
    <mergeCell ref="E59:F59"/>
    <mergeCell ref="G1:H1"/>
    <mergeCell ref="G2:H2"/>
    <mergeCell ref="E15:F15"/>
    <mergeCell ref="E16:F16"/>
    <mergeCell ref="E17:F17"/>
    <mergeCell ref="E18:F18"/>
    <mergeCell ref="E19:F19"/>
    <mergeCell ref="E20:F20"/>
    <mergeCell ref="E21:F21"/>
    <mergeCell ref="E24:F24"/>
    <mergeCell ref="E25:F25"/>
    <mergeCell ref="E26:F26"/>
    <mergeCell ref="E27:F27"/>
    <mergeCell ref="E28:F28"/>
    <mergeCell ref="E29:F29"/>
    <mergeCell ref="E5:F5"/>
    <mergeCell ref="E6:F6"/>
    <mergeCell ref="E7:F7"/>
    <mergeCell ref="E8:F8"/>
    <mergeCell ref="E9:F9"/>
    <mergeCell ref="E10:F10"/>
    <mergeCell ref="E11:F11"/>
    <mergeCell ref="A3:J3"/>
    <mergeCell ref="E33:F33"/>
    <mergeCell ref="E34:F34"/>
    <mergeCell ref="E35:F35"/>
    <mergeCell ref="E36:F36"/>
    <mergeCell ref="E37:F37"/>
    <mergeCell ref="E38:F38"/>
    <mergeCell ref="E39:F39"/>
    <mergeCell ref="E40:F40"/>
    <mergeCell ref="E43:F43"/>
    <mergeCell ref="E14:F14"/>
    <mergeCell ref="E23:F23"/>
    <mergeCell ref="E32:F32"/>
    <mergeCell ref="E42:F42"/>
    <mergeCell ref="E44:E45"/>
    <mergeCell ref="F44:G44"/>
    <mergeCell ref="A48:E48"/>
    <mergeCell ref="F48:I48"/>
    <mergeCell ref="A49:E49"/>
    <mergeCell ref="F49:I49"/>
    <mergeCell ref="A50:E50"/>
    <mergeCell ref="F50:I50"/>
    <mergeCell ref="A51:E51"/>
    <mergeCell ref="F51:I51"/>
    <mergeCell ref="A52:E52"/>
    <mergeCell ref="F52:I52"/>
    <mergeCell ref="A44:A45"/>
    <mergeCell ref="B44:B45"/>
    <mergeCell ref="C44:C45"/>
    <mergeCell ref="D44:D45"/>
    <mergeCell ref="H44:I44"/>
    <mergeCell ref="J44:J45"/>
    <mergeCell ref="A47:E47"/>
    <mergeCell ref="F47:I47"/>
    <mergeCell ref="A54:J54"/>
    <mergeCell ref="A53:J53"/>
    <mergeCell ref="E60:F60"/>
    <mergeCell ref="E61:F61"/>
    <mergeCell ref="E62:F62"/>
    <mergeCell ref="E63:F63"/>
    <mergeCell ref="E66:F66"/>
    <mergeCell ref="E67:F67"/>
    <mergeCell ref="E68:F68"/>
    <mergeCell ref="E69:F69"/>
    <mergeCell ref="E72:F72"/>
    <mergeCell ref="E73:F73"/>
    <mergeCell ref="E74:F74"/>
    <mergeCell ref="E92:F92"/>
    <mergeCell ref="E93:F93"/>
    <mergeCell ref="E94:F94"/>
    <mergeCell ref="E95:F95"/>
    <mergeCell ref="E96:F96"/>
    <mergeCell ref="E97:F97"/>
    <mergeCell ref="E98:F98"/>
    <mergeCell ref="E101:F101"/>
    <mergeCell ref="E102:F102"/>
    <mergeCell ref="E103:F103"/>
    <mergeCell ref="E104:F104"/>
    <mergeCell ref="E105:F105"/>
    <mergeCell ref="E106:F106"/>
    <mergeCell ref="E107:F107"/>
    <mergeCell ref="E110:F110"/>
    <mergeCell ref="E111:F111"/>
    <mergeCell ref="E112:F112"/>
    <mergeCell ref="E113:F113"/>
    <mergeCell ref="E114:F114"/>
    <mergeCell ref="E115:F115"/>
    <mergeCell ref="E116:F116"/>
    <mergeCell ref="E119:F119"/>
    <mergeCell ref="E120:F120"/>
    <mergeCell ref="E121:F121"/>
    <mergeCell ref="E122:F122"/>
    <mergeCell ref="E123:F123"/>
    <mergeCell ref="E124:F124"/>
    <mergeCell ref="E125:F125"/>
    <mergeCell ref="E128:F128"/>
    <mergeCell ref="E129:F129"/>
    <mergeCell ref="E152:F152"/>
    <mergeCell ref="E153:F153"/>
    <mergeCell ref="E154:F154"/>
    <mergeCell ref="E155:F155"/>
    <mergeCell ref="E156:F156"/>
    <mergeCell ref="E157:F157"/>
    <mergeCell ref="E160:F160"/>
    <mergeCell ref="E161:F161"/>
    <mergeCell ref="A163:J163"/>
    <mergeCell ref="E166:F166"/>
    <mergeCell ref="E130:F130"/>
    <mergeCell ref="E131:F131"/>
    <mergeCell ref="E132:F132"/>
    <mergeCell ref="E133:F133"/>
    <mergeCell ref="E134:F134"/>
    <mergeCell ref="E137:F137"/>
    <mergeCell ref="A141:E141"/>
    <mergeCell ref="F141:I141"/>
    <mergeCell ref="J138:J139"/>
    <mergeCell ref="A147:J147"/>
    <mergeCell ref="E150:F150"/>
    <mergeCell ref="E159:F159"/>
    <mergeCell ref="A162:J162"/>
    <mergeCell ref="E165:F165"/>
    <mergeCell ref="A219:E219"/>
    <mergeCell ref="F219:I219"/>
    <mergeCell ref="A220:E220"/>
    <mergeCell ref="F220:I220"/>
    <mergeCell ref="A221:E221"/>
    <mergeCell ref="F221:I221"/>
    <mergeCell ref="A222:E222"/>
    <mergeCell ref="F222:I222"/>
    <mergeCell ref="A223:E223"/>
    <mergeCell ref="F223:I223"/>
    <mergeCell ref="G225:I225"/>
    <mergeCell ref="A218:E218"/>
    <mergeCell ref="F218:I218"/>
    <mergeCell ref="G224:I224"/>
    <mergeCell ref="A226:E226"/>
    <mergeCell ref="F226:I226"/>
    <mergeCell ref="H227:I227"/>
    <mergeCell ref="H228:I228"/>
    <mergeCell ref="E236:F236"/>
    <mergeCell ref="E237:F237"/>
    <mergeCell ref="E238:F238"/>
    <mergeCell ref="E239:F239"/>
    <mergeCell ref="E240:F240"/>
    <mergeCell ref="E243:F243"/>
    <mergeCell ref="A229:E229"/>
    <mergeCell ref="F229:I229"/>
    <mergeCell ref="G230:I230"/>
    <mergeCell ref="A233:E233"/>
    <mergeCell ref="F233:I233"/>
    <mergeCell ref="E235:F235"/>
    <mergeCell ref="G254:I254"/>
    <mergeCell ref="E258:F258"/>
    <mergeCell ref="E259:F259"/>
    <mergeCell ref="E260:F260"/>
    <mergeCell ref="H244:I244"/>
    <mergeCell ref="E270:F270"/>
    <mergeCell ref="E271:F271"/>
    <mergeCell ref="E272:F272"/>
    <mergeCell ref="E273:F273"/>
    <mergeCell ref="E276:F276"/>
    <mergeCell ref="E277:F277"/>
    <mergeCell ref="E278:F278"/>
    <mergeCell ref="E279:F279"/>
    <mergeCell ref="E282:F282"/>
    <mergeCell ref="E283:F283"/>
    <mergeCell ref="E284:F284"/>
    <mergeCell ref="E285:F285"/>
    <mergeCell ref="E287:F287"/>
    <mergeCell ref="E275:F275"/>
    <mergeCell ref="E281:F281"/>
    <mergeCell ref="E288:F288"/>
    <mergeCell ref="E298:F298"/>
    <mergeCell ref="E347:F347"/>
    <mergeCell ref="E348:F348"/>
    <mergeCell ref="E349:F349"/>
    <mergeCell ref="E350:F350"/>
    <mergeCell ref="E351:F351"/>
    <mergeCell ref="E352:F352"/>
    <mergeCell ref="E289:F289"/>
    <mergeCell ref="E290:F290"/>
    <mergeCell ref="E291:F291"/>
    <mergeCell ref="E292:F292"/>
    <mergeCell ref="E293:F293"/>
    <mergeCell ref="E294:F294"/>
    <mergeCell ref="E295:F295"/>
    <mergeCell ref="E297:F297"/>
    <mergeCell ref="E299:F299"/>
    <mergeCell ref="E300:F300"/>
    <mergeCell ref="E301:F301"/>
    <mergeCell ref="E310:F310"/>
    <mergeCell ref="A319:J319"/>
    <mergeCell ref="A320:J320"/>
    <mergeCell ref="E322:F322"/>
    <mergeCell ref="E323:F323"/>
    <mergeCell ref="A333:J333"/>
    <mergeCell ref="A334:J334"/>
    <mergeCell ref="E336:F336"/>
    <mergeCell ref="E337:F337"/>
    <mergeCell ref="E390:F390"/>
    <mergeCell ref="E391:F391"/>
    <mergeCell ref="E392:F392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E386:F386"/>
    <mergeCell ref="E404:F404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17:F417"/>
    <mergeCell ref="E419:F419"/>
    <mergeCell ref="E420:F420"/>
    <mergeCell ref="E421:F421"/>
    <mergeCell ref="E463:F463"/>
    <mergeCell ref="E442:F442"/>
    <mergeCell ref="E443:F443"/>
    <mergeCell ref="E444:F444"/>
    <mergeCell ref="E446:F446"/>
    <mergeCell ref="E448:F448"/>
    <mergeCell ref="E449:F449"/>
    <mergeCell ref="E450:F450"/>
    <mergeCell ref="E451:F451"/>
    <mergeCell ref="E452:F452"/>
    <mergeCell ref="E453:F453"/>
    <mergeCell ref="E454:F454"/>
    <mergeCell ref="E464:F464"/>
    <mergeCell ref="E465:F465"/>
    <mergeCell ref="E466:F466"/>
    <mergeCell ref="E468:F468"/>
    <mergeCell ref="E470:F470"/>
    <mergeCell ref="E471:F471"/>
    <mergeCell ref="E422:F422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55:F455"/>
    <mergeCell ref="E457:F457"/>
    <mergeCell ref="E459:F459"/>
    <mergeCell ref="E460:F460"/>
    <mergeCell ref="E461:F461"/>
    <mergeCell ref="E462:F462"/>
    <mergeCell ref="E439:F439"/>
    <mergeCell ref="E440:F440"/>
    <mergeCell ref="E441:F441"/>
    <mergeCell ref="E472:F472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E482:F482"/>
    <mergeCell ref="E484:F484"/>
    <mergeCell ref="E485:F485"/>
    <mergeCell ref="E486:F486"/>
    <mergeCell ref="E487:F487"/>
    <mergeCell ref="E488:F488"/>
    <mergeCell ref="E489:F489"/>
    <mergeCell ref="E490:F490"/>
    <mergeCell ref="E503:F503"/>
    <mergeCell ref="E504:F504"/>
    <mergeCell ref="E529:F529"/>
    <mergeCell ref="E530:F530"/>
    <mergeCell ref="E531:F531"/>
    <mergeCell ref="E532:F532"/>
    <mergeCell ref="E533:F533"/>
    <mergeCell ref="E506:F506"/>
    <mergeCell ref="E508:F508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E521:F521"/>
    <mergeCell ref="E527:F527"/>
    <mergeCell ref="E665:F665"/>
    <mergeCell ref="E666:F666"/>
    <mergeCell ref="E667:F667"/>
    <mergeCell ref="E668:F668"/>
    <mergeCell ref="E649:F649"/>
    <mergeCell ref="E656:F656"/>
    <mergeCell ref="E678:F678"/>
    <mergeCell ref="E679:F679"/>
    <mergeCell ref="A685:E685"/>
    <mergeCell ref="F685:I685"/>
    <mergeCell ref="E680:F680"/>
    <mergeCell ref="E682:F682"/>
    <mergeCell ref="E683:F683"/>
    <mergeCell ref="A684:E684"/>
    <mergeCell ref="F684:I684"/>
    <mergeCell ref="G608:I608"/>
    <mergeCell ref="E579:F579"/>
    <mergeCell ref="E581:F581"/>
    <mergeCell ref="E583:F583"/>
    <mergeCell ref="E584:F584"/>
    <mergeCell ref="E585:F585"/>
    <mergeCell ref="E586:F586"/>
    <mergeCell ref="E587:F587"/>
    <mergeCell ref="E588:F588"/>
    <mergeCell ref="E589:F589"/>
    <mergeCell ref="E591:F591"/>
    <mergeCell ref="A599:E599"/>
    <mergeCell ref="F599:I599"/>
    <mergeCell ref="A600:E600"/>
    <mergeCell ref="F600:I600"/>
    <mergeCell ref="A601:E601"/>
    <mergeCell ref="F601:I601"/>
    <mergeCell ref="G692:I692"/>
    <mergeCell ref="G693:I693"/>
    <mergeCell ref="G694:I694"/>
    <mergeCell ref="A695:E695"/>
    <mergeCell ref="F695:I695"/>
    <mergeCell ref="H696:I696"/>
    <mergeCell ref="H697:I697"/>
    <mergeCell ref="H698:I698"/>
    <mergeCell ref="H699:I699"/>
    <mergeCell ref="G701:I701"/>
    <mergeCell ref="E708:F708"/>
    <mergeCell ref="E709:F709"/>
    <mergeCell ref="A710:E710"/>
    <mergeCell ref="F710:I710"/>
    <mergeCell ref="A712:E712"/>
    <mergeCell ref="F712:I712"/>
    <mergeCell ref="A711:E711"/>
    <mergeCell ref="F711:I711"/>
    <mergeCell ref="A700:E700"/>
    <mergeCell ref="F700:I700"/>
    <mergeCell ref="A706:E706"/>
    <mergeCell ref="F706:I706"/>
    <mergeCell ref="E827:F827"/>
    <mergeCell ref="E828:F828"/>
    <mergeCell ref="A758:E758"/>
    <mergeCell ref="F758:I758"/>
    <mergeCell ref="G759:I759"/>
    <mergeCell ref="F774:I774"/>
    <mergeCell ref="A775:E775"/>
    <mergeCell ref="F775:I775"/>
    <mergeCell ref="G778:I778"/>
    <mergeCell ref="A779:E779"/>
    <mergeCell ref="F779:I779"/>
    <mergeCell ref="H780:I780"/>
    <mergeCell ref="H781:I781"/>
    <mergeCell ref="A782:E782"/>
    <mergeCell ref="F782:I782"/>
    <mergeCell ref="A768:E768"/>
    <mergeCell ref="F768:I768"/>
    <mergeCell ref="A773:E773"/>
    <mergeCell ref="F773:I773"/>
    <mergeCell ref="E788:F788"/>
    <mergeCell ref="E789:F789"/>
    <mergeCell ref="G783:I783"/>
    <mergeCell ref="A786:E786"/>
    <mergeCell ref="F786:I786"/>
    <mergeCell ref="F756:I756"/>
    <mergeCell ref="E986:F986"/>
    <mergeCell ref="E989:F989"/>
    <mergeCell ref="E988:F988"/>
    <mergeCell ref="E791:F791"/>
    <mergeCell ref="E792:F792"/>
    <mergeCell ref="E793:F793"/>
    <mergeCell ref="E794:F794"/>
    <mergeCell ref="E796:F796"/>
    <mergeCell ref="A945:E945"/>
    <mergeCell ref="F945:I945"/>
    <mergeCell ref="A946:E946"/>
    <mergeCell ref="E829:F829"/>
    <mergeCell ref="E863:F863"/>
    <mergeCell ref="E830:F830"/>
    <mergeCell ref="E831:F831"/>
    <mergeCell ref="E838:F838"/>
    <mergeCell ref="E839:F839"/>
    <mergeCell ref="E840:F840"/>
    <mergeCell ref="E841:F841"/>
    <mergeCell ref="E842:F842"/>
    <mergeCell ref="E843:F843"/>
    <mergeCell ref="E845:F845"/>
    <mergeCell ref="E862:F862"/>
    <mergeCell ref="E902:F902"/>
    <mergeCell ref="E908:F908"/>
    <mergeCell ref="E914:F914"/>
    <mergeCell ref="A916:J916"/>
    <mergeCell ref="A917:J917"/>
    <mergeCell ref="E920:F920"/>
    <mergeCell ref="A923:J923"/>
    <mergeCell ref="A924:J924"/>
    <mergeCell ref="E922:F922"/>
    <mergeCell ref="E928:F928"/>
    <mergeCell ref="E972:F972"/>
    <mergeCell ref="E974:F974"/>
    <mergeCell ref="E975:F975"/>
    <mergeCell ref="E977:F977"/>
    <mergeCell ref="E979:F979"/>
    <mergeCell ref="E981:F981"/>
    <mergeCell ref="E982:F982"/>
    <mergeCell ref="E984:F984"/>
    <mergeCell ref="E1164:F1164"/>
    <mergeCell ref="E1165:F1165"/>
    <mergeCell ref="E1168:F1168"/>
    <mergeCell ref="E1169:F1169"/>
    <mergeCell ref="E1170:F1170"/>
    <mergeCell ref="E1172:F1172"/>
    <mergeCell ref="E1173:F1173"/>
    <mergeCell ref="F1100:I1100"/>
    <mergeCell ref="A1101:E1101"/>
    <mergeCell ref="F1101:I1101"/>
    <mergeCell ref="E1020:F1020"/>
    <mergeCell ref="E969:F969"/>
    <mergeCell ref="E976:F976"/>
    <mergeCell ref="E983:F983"/>
    <mergeCell ref="E990:F990"/>
    <mergeCell ref="E997:F997"/>
    <mergeCell ref="E1004:F1004"/>
    <mergeCell ref="E1011:F1011"/>
    <mergeCell ref="E1018:F1018"/>
    <mergeCell ref="E967:F967"/>
    <mergeCell ref="E968:F968"/>
    <mergeCell ref="E970:F970"/>
    <mergeCell ref="E1177:F1177"/>
    <mergeCell ref="E1178:F1178"/>
    <mergeCell ref="E1180:F1180"/>
    <mergeCell ref="E1181:F1181"/>
    <mergeCell ref="E1166:F1166"/>
    <mergeCell ref="E1174:F1174"/>
    <mergeCell ref="E963:F963"/>
    <mergeCell ref="E964:F964"/>
    <mergeCell ref="E971:F971"/>
    <mergeCell ref="E978:F978"/>
    <mergeCell ref="E985:F985"/>
    <mergeCell ref="E992:F992"/>
    <mergeCell ref="E999:F999"/>
    <mergeCell ref="E1046:F1046"/>
    <mergeCell ref="E1048:F1048"/>
    <mergeCell ref="E1049:F1049"/>
    <mergeCell ref="E1050:F1050"/>
    <mergeCell ref="E1052:F1052"/>
    <mergeCell ref="E1053:F1053"/>
    <mergeCell ref="E1023:F1023"/>
    <mergeCell ref="E1024:F1024"/>
    <mergeCell ref="E1026:F1026"/>
    <mergeCell ref="E1029:F1029"/>
    <mergeCell ref="E1030:F1030"/>
    <mergeCell ref="E1031:F1031"/>
    <mergeCell ref="E1007:F1007"/>
    <mergeCell ref="E1009:F1009"/>
    <mergeCell ref="E1010:F1010"/>
    <mergeCell ref="E1012:F1012"/>
    <mergeCell ref="E1014:F1014"/>
    <mergeCell ref="E1016:F1016"/>
    <mergeCell ref="E1017:F1017"/>
    <mergeCell ref="G1302:I1302"/>
    <mergeCell ref="G1303:I1303"/>
    <mergeCell ref="G1304:I1304"/>
    <mergeCell ref="G1305:I1305"/>
    <mergeCell ref="G1307:I1307"/>
    <mergeCell ref="G1308:I1308"/>
    <mergeCell ref="G1309:I1309"/>
    <mergeCell ref="E1187:F1187"/>
    <mergeCell ref="E1189:F1189"/>
    <mergeCell ref="E1190:F1190"/>
    <mergeCell ref="E1192:F1192"/>
    <mergeCell ref="E1193:F1193"/>
    <mergeCell ref="E1195:F1195"/>
    <mergeCell ref="E1196:F1196"/>
    <mergeCell ref="E1197:F1197"/>
    <mergeCell ref="E1202:F1202"/>
    <mergeCell ref="E1246:F1246"/>
    <mergeCell ref="E1248:F1248"/>
    <mergeCell ref="E1250:F1250"/>
    <mergeCell ref="E1252:F1252"/>
    <mergeCell ref="E1249:F1249"/>
    <mergeCell ref="A1262:E1262"/>
    <mergeCell ref="F1262:I1262"/>
    <mergeCell ref="E1232:F1232"/>
    <mergeCell ref="E1207:F1207"/>
    <mergeCell ref="E1208:F1208"/>
    <mergeCell ref="E1209:F1209"/>
    <mergeCell ref="E1233:F1233"/>
    <mergeCell ref="E1234:F1234"/>
    <mergeCell ref="E1236:F1236"/>
    <mergeCell ref="E1237:F1237"/>
    <mergeCell ref="E1239:F1239"/>
    <mergeCell ref="E1357:F1357"/>
    <mergeCell ref="E1358:F1358"/>
    <mergeCell ref="E1359:F1359"/>
    <mergeCell ref="E1343:F1343"/>
    <mergeCell ref="E1351:F1351"/>
    <mergeCell ref="E1361:F1361"/>
    <mergeCell ref="E1362:F1362"/>
    <mergeCell ref="E1363:F1363"/>
    <mergeCell ref="E1365:F1365"/>
    <mergeCell ref="E1366:F1366"/>
    <mergeCell ref="E1368:F1368"/>
    <mergeCell ref="E1369:F1369"/>
    <mergeCell ref="E1370:F1370"/>
    <mergeCell ref="E1371:F1371"/>
    <mergeCell ref="E1334:F1334"/>
    <mergeCell ref="E1335:F1335"/>
    <mergeCell ref="E1336:F1336"/>
    <mergeCell ref="E1337:F1337"/>
    <mergeCell ref="E1339:F1339"/>
    <mergeCell ref="E1340:F1340"/>
    <mergeCell ref="E1341:F1341"/>
    <mergeCell ref="E1342:F1342"/>
    <mergeCell ref="E1350:F1350"/>
    <mergeCell ref="E1360:F1360"/>
    <mergeCell ref="E1353:F1353"/>
    <mergeCell ref="E1354:F1354"/>
    <mergeCell ref="E1355:F1355"/>
    <mergeCell ref="E1356:F1356"/>
    <mergeCell ref="E1372:F1372"/>
    <mergeCell ref="E1373:F1373"/>
    <mergeCell ref="E1375:F1375"/>
    <mergeCell ref="E1367:F1367"/>
    <mergeCell ref="E1376:F1376"/>
    <mergeCell ref="A1377:A1378"/>
    <mergeCell ref="B1377:B1378"/>
    <mergeCell ref="C1377:C1378"/>
    <mergeCell ref="D1377:D1378"/>
    <mergeCell ref="E1377:E1378"/>
    <mergeCell ref="F1377:G1377"/>
    <mergeCell ref="E1513:F1513"/>
    <mergeCell ref="E1514:F1514"/>
    <mergeCell ref="E1515:F1515"/>
    <mergeCell ref="E1517:F1517"/>
    <mergeCell ref="E1521:F1521"/>
    <mergeCell ref="E1523:F1523"/>
    <mergeCell ref="E1438:F1438"/>
    <mergeCell ref="E1439:F1439"/>
    <mergeCell ref="E1442:F1442"/>
    <mergeCell ref="E1443:F1443"/>
    <mergeCell ref="E1444:F1444"/>
    <mergeCell ref="E1446:F1446"/>
    <mergeCell ref="E1447:F1447"/>
    <mergeCell ref="E1518:F1518"/>
    <mergeCell ref="E1519:F1519"/>
    <mergeCell ref="E1520:F1520"/>
    <mergeCell ref="E1491:F1491"/>
    <mergeCell ref="E1492:F1492"/>
    <mergeCell ref="E1497:F1497"/>
    <mergeCell ref="E1499:F1499"/>
    <mergeCell ref="E1500:F1500"/>
    <mergeCell ref="E1550:F1550"/>
    <mergeCell ref="E1551:F1551"/>
    <mergeCell ref="A1594:E1594"/>
    <mergeCell ref="F1594:I1594"/>
    <mergeCell ref="A1593:E1593"/>
    <mergeCell ref="F1593:I1593"/>
    <mergeCell ref="A1581:E1581"/>
    <mergeCell ref="F1581:I1581"/>
    <mergeCell ref="A1582:E1582"/>
    <mergeCell ref="F1582:I1582"/>
    <mergeCell ref="A1583:E1583"/>
    <mergeCell ref="F1583:I1583"/>
    <mergeCell ref="A1584:E1584"/>
    <mergeCell ref="F1584:I1584"/>
    <mergeCell ref="A1585:E1585"/>
    <mergeCell ref="F1585:I1585"/>
    <mergeCell ref="A1586:E1586"/>
    <mergeCell ref="F1586:I1586"/>
    <mergeCell ref="G1587:I1587"/>
    <mergeCell ref="G1588:I1588"/>
    <mergeCell ref="A1589:E1589"/>
    <mergeCell ref="F1589:I1589"/>
    <mergeCell ref="E1591:F1591"/>
    <mergeCell ref="E1592:F1592"/>
    <mergeCell ref="F1658:I1658"/>
    <mergeCell ref="A1659:E1659"/>
    <mergeCell ref="F1659:I1659"/>
    <mergeCell ref="G1661:I1661"/>
    <mergeCell ref="G1662:I1662"/>
    <mergeCell ref="G1663:I1663"/>
    <mergeCell ref="A1664:E1664"/>
    <mergeCell ref="F1664:I1664"/>
    <mergeCell ref="B1738:B1739"/>
    <mergeCell ref="C1738:C1739"/>
    <mergeCell ref="D1738:D1739"/>
    <mergeCell ref="E1738:E1739"/>
    <mergeCell ref="F1738:G1738"/>
    <mergeCell ref="H1738:I1738"/>
    <mergeCell ref="A1755:E1755"/>
    <mergeCell ref="F1755:I1755"/>
    <mergeCell ref="E1779:F1779"/>
    <mergeCell ref="E1765:F1765"/>
    <mergeCell ref="E1766:F1766"/>
    <mergeCell ref="E1767:F1767"/>
    <mergeCell ref="E1768:F1768"/>
    <mergeCell ref="E1769:F1769"/>
    <mergeCell ref="G1761:I1761"/>
    <mergeCell ref="G1762:I1762"/>
    <mergeCell ref="A1763:E1763"/>
    <mergeCell ref="F1763:I1763"/>
    <mergeCell ref="G1665:I1665"/>
    <mergeCell ref="G1666:I1666"/>
    <mergeCell ref="G1667:I1667"/>
    <mergeCell ref="G1668:I1668"/>
    <mergeCell ref="G1669:I1669"/>
    <mergeCell ref="H1671:I1671"/>
    <mergeCell ref="E1783:F1783"/>
    <mergeCell ref="E1787:F1787"/>
    <mergeCell ref="E1811:F1811"/>
    <mergeCell ref="E1789:F1789"/>
    <mergeCell ref="E1790:F1790"/>
    <mergeCell ref="E1792:F1792"/>
    <mergeCell ref="E1794:F1794"/>
    <mergeCell ref="E1795:F1795"/>
    <mergeCell ref="E1798:F1798"/>
    <mergeCell ref="E1799:F1799"/>
    <mergeCell ref="E1801:F1801"/>
    <mergeCell ref="E1802:F1802"/>
    <mergeCell ref="E1803:F1803"/>
    <mergeCell ref="E1804:F1804"/>
    <mergeCell ref="E1805:F1805"/>
    <mergeCell ref="E1806:F1806"/>
    <mergeCell ref="E1791:F1791"/>
    <mergeCell ref="E1800:F1800"/>
    <mergeCell ref="E1839:F1839"/>
    <mergeCell ref="E1840:F1840"/>
    <mergeCell ref="E1842:F1842"/>
    <mergeCell ref="E1843:F1843"/>
    <mergeCell ref="E1837:F1837"/>
    <mergeCell ref="E1844:F1844"/>
    <mergeCell ref="E1853:F1853"/>
    <mergeCell ref="E1880:F1880"/>
    <mergeCell ref="E1881:F1881"/>
    <mergeCell ref="E1882:F1882"/>
    <mergeCell ref="E1885:F1885"/>
    <mergeCell ref="E1886:F1886"/>
    <mergeCell ref="E1887:F1887"/>
    <mergeCell ref="E1888:F1888"/>
    <mergeCell ref="E1855:F1855"/>
    <mergeCell ref="E1889:F1889"/>
    <mergeCell ref="E1890:F1890"/>
    <mergeCell ref="E1857:F1857"/>
    <mergeCell ref="E1858:F1858"/>
    <mergeCell ref="E1859:F1859"/>
    <mergeCell ref="E1861:F1861"/>
    <mergeCell ref="E1863:F1863"/>
    <mergeCell ref="E1865:F1865"/>
    <mergeCell ref="E1866:F1866"/>
    <mergeCell ref="E1867:F1867"/>
    <mergeCell ref="E1870:F1870"/>
    <mergeCell ref="E1871:F1871"/>
    <mergeCell ref="E1873:F1873"/>
    <mergeCell ref="E1874:F1874"/>
    <mergeCell ref="E1875:F1875"/>
    <mergeCell ref="E1877:F1877"/>
    <mergeCell ref="E1862:F1862"/>
    <mergeCell ref="E1868:F1868"/>
    <mergeCell ref="E1876:F1876"/>
    <mergeCell ref="E1884:F1884"/>
    <mergeCell ref="E1912:F1912"/>
    <mergeCell ref="E1913:F1913"/>
    <mergeCell ref="E1914:F1914"/>
    <mergeCell ref="E1915:F1915"/>
    <mergeCell ref="E1916:F1916"/>
    <mergeCell ref="E1917:F1917"/>
    <mergeCell ref="E1918:F1918"/>
    <mergeCell ref="E1920:F1920"/>
    <mergeCell ref="E1923:F1923"/>
    <mergeCell ref="E1924:F1924"/>
    <mergeCell ref="E1893:F1893"/>
    <mergeCell ref="E1894:F1894"/>
    <mergeCell ref="E1896:F1896"/>
    <mergeCell ref="E1897:F1897"/>
    <mergeCell ref="E1898:F1898"/>
    <mergeCell ref="E1901:F1901"/>
    <mergeCell ref="E1902:F1902"/>
    <mergeCell ref="E1904:F1904"/>
    <mergeCell ref="E1905:F1905"/>
    <mergeCell ref="E1906:F1906"/>
    <mergeCell ref="E1907:F1907"/>
    <mergeCell ref="E1908:F1908"/>
    <mergeCell ref="E1909:F1909"/>
    <mergeCell ref="E1919:F1919"/>
    <mergeCell ref="E1895:F1895"/>
    <mergeCell ref="E1903:F1903"/>
    <mergeCell ref="E1911:F1911"/>
    <mergeCell ref="E1922:F1922"/>
    <mergeCell ref="E1925:F1925"/>
    <mergeCell ref="E1926:F1926"/>
    <mergeCell ref="E1928:F1928"/>
    <mergeCell ref="E1929:F1929"/>
    <mergeCell ref="E1930:F1930"/>
    <mergeCell ref="E1931:F1931"/>
    <mergeCell ref="E1934:F1934"/>
    <mergeCell ref="E1935:F1935"/>
    <mergeCell ref="E1936:F1936"/>
    <mergeCell ref="E1937:F1937"/>
    <mergeCell ref="E1939:F1939"/>
    <mergeCell ref="E1940:F1940"/>
    <mergeCell ref="E1941:F1941"/>
    <mergeCell ref="E1942:F1942"/>
    <mergeCell ref="E1945:F1945"/>
    <mergeCell ref="E1946:F1946"/>
    <mergeCell ref="E1947:F1947"/>
    <mergeCell ref="E1927:F1927"/>
    <mergeCell ref="E1938:F1938"/>
    <mergeCell ref="E1933:F1933"/>
    <mergeCell ref="E1944:F1944"/>
    <mergeCell ref="E2068:F2068"/>
    <mergeCell ref="E2071:F2071"/>
    <mergeCell ref="E2072:F2072"/>
    <mergeCell ref="E2054:F2054"/>
    <mergeCell ref="E2074:F2074"/>
    <mergeCell ref="E2070:F2070"/>
    <mergeCell ref="E2085:F2085"/>
    <mergeCell ref="G2157:I2157"/>
    <mergeCell ref="G2158:I2158"/>
    <mergeCell ref="A2153:E2153"/>
    <mergeCell ref="F2153:I2153"/>
    <mergeCell ref="A2141:E2141"/>
    <mergeCell ref="F2141:I2141"/>
    <mergeCell ref="A2142:E2142"/>
    <mergeCell ref="E2104:F2104"/>
    <mergeCell ref="E2106:F2106"/>
    <mergeCell ref="E2107:F2107"/>
    <mergeCell ref="E2108:F2108"/>
    <mergeCell ref="E2111:F2111"/>
    <mergeCell ref="E2112:F2112"/>
    <mergeCell ref="E2114:F2114"/>
    <mergeCell ref="E2089:F2089"/>
    <mergeCell ref="E2098:F2098"/>
    <mergeCell ref="E2113:F2113"/>
    <mergeCell ref="E2117:F2117"/>
    <mergeCell ref="E2121:F2121"/>
    <mergeCell ref="A2135:A2136"/>
    <mergeCell ref="E2082:F2082"/>
    <mergeCell ref="E2110:F2110"/>
    <mergeCell ref="E2125:F2125"/>
    <mergeCell ref="E2129:F2129"/>
    <mergeCell ref="E2133:F2133"/>
    <mergeCell ref="E2258:F2258"/>
    <mergeCell ref="E2263:F2263"/>
    <mergeCell ref="E2220:F2220"/>
    <mergeCell ref="E2221:F2221"/>
    <mergeCell ref="E2223:F2223"/>
    <mergeCell ref="E2225:F2225"/>
    <mergeCell ref="E2226:F2226"/>
    <mergeCell ref="E2227:F2227"/>
    <mergeCell ref="E2228:F2228"/>
    <mergeCell ref="E2230:F2230"/>
    <mergeCell ref="E2232:F2232"/>
    <mergeCell ref="E2233:F2233"/>
    <mergeCell ref="E2254:F2254"/>
    <mergeCell ref="E2256:F2256"/>
    <mergeCell ref="E2257:F2257"/>
    <mergeCell ref="E2248:F2248"/>
    <mergeCell ref="E2253:F2253"/>
    <mergeCell ref="E2235:F2235"/>
    <mergeCell ref="E2237:F2237"/>
    <mergeCell ref="E2238:F2238"/>
    <mergeCell ref="E2240:F2240"/>
    <mergeCell ref="E2242:F2242"/>
    <mergeCell ref="E2244:F2244"/>
    <mergeCell ref="E2245:F2245"/>
    <mergeCell ref="E2247:F2247"/>
    <mergeCell ref="E2249:F2249"/>
    <mergeCell ref="E2305:F2305"/>
    <mergeCell ref="E2306:F2306"/>
    <mergeCell ref="E2308:F2308"/>
    <mergeCell ref="E2310:F2310"/>
    <mergeCell ref="E2311:F2311"/>
    <mergeCell ref="E2313:F2313"/>
    <mergeCell ref="E2315:F2315"/>
    <mergeCell ref="E2317:F2317"/>
    <mergeCell ref="E2318:F2318"/>
    <mergeCell ref="E2260:F2260"/>
    <mergeCell ref="E2261:F2261"/>
    <mergeCell ref="E2265:F2265"/>
    <mergeCell ref="E2266:F2266"/>
    <mergeCell ref="E2271:F2271"/>
    <mergeCell ref="E2276:F2276"/>
    <mergeCell ref="E2281:F2281"/>
    <mergeCell ref="E2286:F2286"/>
    <mergeCell ref="E2291:F2291"/>
    <mergeCell ref="E2295:F2295"/>
    <mergeCell ref="E2304:F2304"/>
    <mergeCell ref="E2309:F2309"/>
    <mergeCell ref="E2314:F2314"/>
    <mergeCell ref="E2301:F2301"/>
    <mergeCell ref="E2268:F2268"/>
    <mergeCell ref="E2270:F2270"/>
    <mergeCell ref="E2272:F2272"/>
    <mergeCell ref="E2273:F2273"/>
    <mergeCell ref="E2275:F2275"/>
    <mergeCell ref="E2289:F2289"/>
    <mergeCell ref="E2290:F2290"/>
    <mergeCell ref="E2294:F2294"/>
    <mergeCell ref="E2364:F2364"/>
    <mergeCell ref="E2354:F2354"/>
    <mergeCell ref="E2277:F2277"/>
    <mergeCell ref="E2278:F2278"/>
    <mergeCell ref="E2280:F2280"/>
    <mergeCell ref="E2282:F2282"/>
    <mergeCell ref="E2284:F2284"/>
    <mergeCell ref="E2285:F2285"/>
    <mergeCell ref="E2287:F2287"/>
    <mergeCell ref="E2322:F2322"/>
    <mergeCell ref="E2323:F2323"/>
    <mergeCell ref="E2327:F2327"/>
    <mergeCell ref="E2329:F2329"/>
    <mergeCell ref="E2333:F2333"/>
    <mergeCell ref="E2334:F2334"/>
    <mergeCell ref="E2355:F2355"/>
    <mergeCell ref="E2357:F2357"/>
    <mergeCell ref="E2358:F2358"/>
    <mergeCell ref="E2360:F2360"/>
    <mergeCell ref="E2362:F2362"/>
    <mergeCell ref="E2324:F2324"/>
    <mergeCell ref="E2328:F2328"/>
    <mergeCell ref="E2332:F2332"/>
    <mergeCell ref="E2337:F2337"/>
    <mergeCell ref="E2342:F2342"/>
    <mergeCell ref="E2347:F2347"/>
    <mergeCell ref="E2344:F2344"/>
    <mergeCell ref="E2296:F2296"/>
    <mergeCell ref="E2299:F2299"/>
    <mergeCell ref="E2300:F2300"/>
    <mergeCell ref="E2352:F2352"/>
    <mergeCell ref="E2361:F2361"/>
    <mergeCell ref="E2443:F2443"/>
    <mergeCell ref="E2444:F2444"/>
    <mergeCell ref="E2445:F2445"/>
    <mergeCell ref="E2496:F2496"/>
    <mergeCell ref="E2500:F2500"/>
    <mergeCell ref="E2502:F2502"/>
    <mergeCell ref="E2504:F2504"/>
    <mergeCell ref="E2473:F2473"/>
    <mergeCell ref="E2474:F2474"/>
    <mergeCell ref="E2475:F2475"/>
    <mergeCell ref="E2477:F2477"/>
    <mergeCell ref="E2478:F2478"/>
    <mergeCell ref="E2479:F2479"/>
    <mergeCell ref="E2482:F2482"/>
    <mergeCell ref="E2483:F2483"/>
    <mergeCell ref="E2485:F2485"/>
    <mergeCell ref="E2491:F2491"/>
    <mergeCell ref="E2492:F2492"/>
    <mergeCell ref="E2494:F2494"/>
    <mergeCell ref="E2499:F2499"/>
    <mergeCell ref="E2503:F2503"/>
    <mergeCell ref="E2489:F2489"/>
    <mergeCell ref="E2455:F2455"/>
    <mergeCell ref="E2456:F2456"/>
    <mergeCell ref="E2457:F2457"/>
    <mergeCell ref="E2461:F2461"/>
    <mergeCell ref="E2462:F2462"/>
    <mergeCell ref="E2463:F2463"/>
    <mergeCell ref="E2465:F2465"/>
    <mergeCell ref="E2466:F2466"/>
    <mergeCell ref="E2467:F2467"/>
    <mergeCell ref="E2469:F2469"/>
    <mergeCell ref="E2507:F2507"/>
    <mergeCell ref="E2511:F2511"/>
    <mergeCell ref="E2518:F2518"/>
    <mergeCell ref="E2522:F2522"/>
    <mergeCell ref="E2530:F2530"/>
    <mergeCell ref="E2534:F2534"/>
    <mergeCell ref="E2576:F2576"/>
    <mergeCell ref="E2579:F2579"/>
    <mergeCell ref="E2580:F2580"/>
    <mergeCell ref="E2583:F2583"/>
    <mergeCell ref="E2585:F2585"/>
    <mergeCell ref="E2587:F2587"/>
    <mergeCell ref="E2589:F2589"/>
    <mergeCell ref="E2591:F2591"/>
    <mergeCell ref="E2550:F2550"/>
    <mergeCell ref="E2558:F2558"/>
    <mergeCell ref="E2562:F2562"/>
    <mergeCell ref="E2567:F2567"/>
    <mergeCell ref="E2574:F2574"/>
    <mergeCell ref="E2578:F2578"/>
    <mergeCell ref="E2582:F2582"/>
    <mergeCell ref="E2586:F2586"/>
    <mergeCell ref="E2590:F2590"/>
    <mergeCell ref="E2559:F2559"/>
    <mergeCell ref="E2560:F2560"/>
    <mergeCell ref="E2563:F2563"/>
    <mergeCell ref="E2566:F2566"/>
    <mergeCell ref="E2568:F2568"/>
    <mergeCell ref="E2570:F2570"/>
    <mergeCell ref="E2551:F2551"/>
    <mergeCell ref="E2552:F2552"/>
    <mergeCell ref="E2553:F2553"/>
    <mergeCell ref="E2592:F2592"/>
    <mergeCell ref="E2593:F2593"/>
    <mergeCell ref="E2595:F2595"/>
    <mergeCell ref="E2596:F2596"/>
    <mergeCell ref="E2561:F2561"/>
    <mergeCell ref="E2565:F2565"/>
    <mergeCell ref="E2569:F2569"/>
    <mergeCell ref="E2573:F2573"/>
    <mergeCell ref="E2577:F2577"/>
    <mergeCell ref="E2584:F2584"/>
    <mergeCell ref="E2608:F2608"/>
    <mergeCell ref="E2609:F2609"/>
    <mergeCell ref="E2612:F2612"/>
    <mergeCell ref="E2613:F2613"/>
    <mergeCell ref="E2614:F2614"/>
    <mergeCell ref="E2616:F2616"/>
    <mergeCell ref="E2618:F2618"/>
    <mergeCell ref="E2597:F2597"/>
    <mergeCell ref="E2607:F2607"/>
    <mergeCell ref="E2617:F2617"/>
    <mergeCell ref="E2572:F2572"/>
    <mergeCell ref="E2620:F2620"/>
    <mergeCell ref="E2622:F2622"/>
    <mergeCell ref="E2623:F2623"/>
    <mergeCell ref="E2625:F2625"/>
    <mergeCell ref="E2626:F2626"/>
    <mergeCell ref="E2627:F2627"/>
    <mergeCell ref="E2629:F2629"/>
    <mergeCell ref="E2630:F2630"/>
    <mergeCell ref="E2631:F2631"/>
    <mergeCell ref="E2632:F2632"/>
    <mergeCell ref="E2633:F2633"/>
    <mergeCell ref="E2635:F2635"/>
    <mergeCell ref="E2636:F2636"/>
    <mergeCell ref="E2637:F2637"/>
    <mergeCell ref="E2639:F2639"/>
    <mergeCell ref="E2675:F2675"/>
    <mergeCell ref="E2642:F2642"/>
    <mergeCell ref="E2645:F2645"/>
    <mergeCell ref="E2646:F2646"/>
    <mergeCell ref="E2649:F2649"/>
    <mergeCell ref="E2653:F2653"/>
    <mergeCell ref="E2654:F2654"/>
    <mergeCell ref="E2657:F2657"/>
    <mergeCell ref="E2658:F2658"/>
    <mergeCell ref="E2651:F2651"/>
    <mergeCell ref="E2663:F2663"/>
    <mergeCell ref="E2641:F2641"/>
    <mergeCell ref="E2647:F2647"/>
    <mergeCell ref="E2678:F2678"/>
    <mergeCell ref="E2679:F2679"/>
    <mergeCell ref="E2682:F2682"/>
    <mergeCell ref="E2683:F2683"/>
    <mergeCell ref="E2685:F2685"/>
    <mergeCell ref="E2686:F2686"/>
    <mergeCell ref="E2689:F2689"/>
    <mergeCell ref="E2690:F2690"/>
    <mergeCell ref="E2691:F2691"/>
    <mergeCell ref="E2661:F2661"/>
    <mergeCell ref="E2662:F2662"/>
    <mergeCell ref="E2665:F2665"/>
    <mergeCell ref="E2666:F2666"/>
    <mergeCell ref="E2667:F2667"/>
    <mergeCell ref="E2669:F2669"/>
    <mergeCell ref="E2670:F2670"/>
    <mergeCell ref="E2671:F2671"/>
    <mergeCell ref="E2673:F2673"/>
    <mergeCell ref="E2677:F2677"/>
    <mergeCell ref="E2681:F2681"/>
    <mergeCell ref="E2687:F2687"/>
    <mergeCell ref="E2767:F2767"/>
    <mergeCell ref="E2770:F2770"/>
    <mergeCell ref="E2771:F2771"/>
    <mergeCell ref="E2774:F2774"/>
    <mergeCell ref="E2775:F2775"/>
    <mergeCell ref="E2746:F2746"/>
    <mergeCell ref="E2747:F2747"/>
    <mergeCell ref="E2750:F2750"/>
    <mergeCell ref="E2751:F2751"/>
    <mergeCell ref="E2754:F2754"/>
    <mergeCell ref="E2755:F2755"/>
    <mergeCell ref="E2758:F2758"/>
    <mergeCell ref="E2759:F2759"/>
    <mergeCell ref="E2762:F2762"/>
    <mergeCell ref="E2763:F2763"/>
    <mergeCell ref="E2766:F2766"/>
    <mergeCell ref="E2761:F2761"/>
    <mergeCell ref="E2765:F2765"/>
    <mergeCell ref="E2769:F2769"/>
    <mergeCell ref="E2773:F2773"/>
    <mergeCell ref="E2791:F2791"/>
    <mergeCell ref="E2794:F2794"/>
    <mergeCell ref="E2795:F2795"/>
    <mergeCell ref="E2834:F2834"/>
    <mergeCell ref="E2835:F2835"/>
    <mergeCell ref="E2846:F2846"/>
    <mergeCell ref="E2847:F2847"/>
    <mergeCell ref="E2814:F2814"/>
    <mergeCell ref="E2815:F2815"/>
    <mergeCell ref="E2818:F2818"/>
    <mergeCell ref="E2819:F2819"/>
    <mergeCell ref="E2822:F2822"/>
    <mergeCell ref="E2823:F2823"/>
    <mergeCell ref="E2826:F2826"/>
    <mergeCell ref="E2827:F2827"/>
    <mergeCell ref="E2845:F2845"/>
    <mergeCell ref="E2870:F2870"/>
    <mergeCell ref="E2858:F2858"/>
    <mergeCell ref="E2803:F2803"/>
    <mergeCell ref="E2806:F2806"/>
    <mergeCell ref="E2807:F2807"/>
    <mergeCell ref="E2810:F2810"/>
    <mergeCell ref="E2811:F2811"/>
    <mergeCell ref="E2869:F2869"/>
    <mergeCell ref="A2987:E2987"/>
    <mergeCell ref="F2987:I2987"/>
    <mergeCell ref="G2989:I2989"/>
    <mergeCell ref="G2990:I2990"/>
    <mergeCell ref="G2991:I2991"/>
    <mergeCell ref="G2993:I2993"/>
    <mergeCell ref="A2994:E2994"/>
    <mergeCell ref="F2994:I2994"/>
    <mergeCell ref="G2995:I2995"/>
    <mergeCell ref="G2996:I2996"/>
    <mergeCell ref="G2997:I2997"/>
    <mergeCell ref="E3057:F3057"/>
    <mergeCell ref="E3058:F3058"/>
    <mergeCell ref="E3060:F3060"/>
    <mergeCell ref="E3061:F3061"/>
    <mergeCell ref="E3062:F3062"/>
    <mergeCell ref="E3063:F3063"/>
    <mergeCell ref="A3022:E3022"/>
    <mergeCell ref="F3022:I3022"/>
    <mergeCell ref="H3000:I3000"/>
    <mergeCell ref="H3001:I3001"/>
    <mergeCell ref="A3005:E3005"/>
    <mergeCell ref="F3005:I3005"/>
    <mergeCell ref="G3006:I3006"/>
    <mergeCell ref="A3013:E3013"/>
    <mergeCell ref="F3013:I3013"/>
    <mergeCell ref="E3016:F3016"/>
    <mergeCell ref="A3017:A3018"/>
    <mergeCell ref="B3017:B3018"/>
    <mergeCell ref="C3017:C3018"/>
    <mergeCell ref="D3017:D3018"/>
    <mergeCell ref="E3017:E3018"/>
    <mergeCell ref="E3064:F3064"/>
    <mergeCell ref="E3066:F3066"/>
    <mergeCell ref="E3067:F3067"/>
    <mergeCell ref="E3068:F3068"/>
    <mergeCell ref="E3069:F3069"/>
    <mergeCell ref="E3070:F3070"/>
    <mergeCell ref="E3072:F3072"/>
    <mergeCell ref="E3073:F3073"/>
    <mergeCell ref="E3080:F3080"/>
    <mergeCell ref="E3099:F3099"/>
    <mergeCell ref="E3185:F3185"/>
    <mergeCell ref="E3149:F3149"/>
    <mergeCell ref="E3151:F3151"/>
    <mergeCell ref="E3145:F3145"/>
    <mergeCell ref="E3147:F3147"/>
    <mergeCell ref="E3115:F3115"/>
    <mergeCell ref="E3116:F3116"/>
    <mergeCell ref="E3119:F3119"/>
    <mergeCell ref="E3120:F3120"/>
    <mergeCell ref="E3121:F3121"/>
    <mergeCell ref="E3122:F3122"/>
    <mergeCell ref="E3081:F3081"/>
    <mergeCell ref="E3083:F3083"/>
    <mergeCell ref="E3084:F3084"/>
    <mergeCell ref="E3085:F3085"/>
    <mergeCell ref="E3086:F3086"/>
    <mergeCell ref="E3087:F3087"/>
    <mergeCell ref="E3089:F3089"/>
    <mergeCell ref="E3090:F3090"/>
    <mergeCell ref="E3100:F3100"/>
    <mergeCell ref="E3101:F3101"/>
    <mergeCell ref="E3102:F3102"/>
    <mergeCell ref="E3186:F3186"/>
    <mergeCell ref="E3187:F3187"/>
    <mergeCell ref="E3189:F3189"/>
    <mergeCell ref="E3168:F3168"/>
    <mergeCell ref="E3190:F3190"/>
    <mergeCell ref="E3184:F3184"/>
    <mergeCell ref="E3188:F3188"/>
    <mergeCell ref="E3191:F3191"/>
    <mergeCell ref="E3193:F3193"/>
    <mergeCell ref="E3195:F3195"/>
    <mergeCell ref="E3197:F3197"/>
    <mergeCell ref="E3198:F3198"/>
    <mergeCell ref="E3165:F3165"/>
    <mergeCell ref="E3167:F3167"/>
    <mergeCell ref="E3169:F3169"/>
    <mergeCell ref="E3171:F3171"/>
    <mergeCell ref="E3173:F3173"/>
    <mergeCell ref="E3175:F3175"/>
    <mergeCell ref="E3177:F3177"/>
    <mergeCell ref="E3179:F3179"/>
    <mergeCell ref="E3181:F3181"/>
    <mergeCell ref="E3183:F3183"/>
    <mergeCell ref="E3192:F3192"/>
    <mergeCell ref="E3194:F3194"/>
    <mergeCell ref="E3199:F3199"/>
    <mergeCell ref="E3200:F3200"/>
    <mergeCell ref="E3201:F3201"/>
    <mergeCell ref="E3203:F3203"/>
    <mergeCell ref="E3204:F3204"/>
    <mergeCell ref="E3205:F3205"/>
    <mergeCell ref="E3207:F3207"/>
    <mergeCell ref="E3208:F3208"/>
    <mergeCell ref="E3209:F3209"/>
    <mergeCell ref="E3211:F3211"/>
    <mergeCell ref="E3212:F3212"/>
    <mergeCell ref="E3213:F3213"/>
    <mergeCell ref="E3215:F3215"/>
    <mergeCell ref="E3216:F3216"/>
    <mergeCell ref="E3202:F3202"/>
    <mergeCell ref="E3206:F3206"/>
    <mergeCell ref="E3210:F3210"/>
    <mergeCell ref="E3214:F3214"/>
    <mergeCell ref="E3509:F3509"/>
    <mergeCell ref="E3595:F3595"/>
    <mergeCell ref="E3495:F3495"/>
    <mergeCell ref="E3499:F3499"/>
    <mergeCell ref="E3544:F3544"/>
    <mergeCell ref="E3516:F3516"/>
    <mergeCell ref="E3519:F3519"/>
    <mergeCell ref="E3520:F3520"/>
    <mergeCell ref="E3521:F3521"/>
    <mergeCell ref="E3523:F3523"/>
    <mergeCell ref="E3524:F3524"/>
    <mergeCell ref="E3517:F3517"/>
    <mergeCell ref="E3525:F3525"/>
    <mergeCell ref="E3529:F3529"/>
    <mergeCell ref="E3591:F3591"/>
    <mergeCell ref="E3535:F3535"/>
    <mergeCell ref="E3589:F3589"/>
    <mergeCell ref="E3590:F3590"/>
    <mergeCell ref="E3592:F3592"/>
    <mergeCell ref="E3594:F3594"/>
    <mergeCell ref="E3515:F3515"/>
    <mergeCell ref="E3502:F3502"/>
    <mergeCell ref="E3573:F3573"/>
    <mergeCell ref="E3574:F3574"/>
    <mergeCell ref="E3575:F3575"/>
    <mergeCell ref="E3578:F3578"/>
    <mergeCell ref="E3579:F3579"/>
    <mergeCell ref="E3527:F3527"/>
    <mergeCell ref="E3528:F3528"/>
    <mergeCell ref="E3500:F3500"/>
    <mergeCell ref="E3504:F3504"/>
    <mergeCell ref="E3506:F3506"/>
    <mergeCell ref="E3597:F3597"/>
    <mergeCell ref="E3632:F3632"/>
    <mergeCell ref="E3634:F3634"/>
    <mergeCell ref="E3613:F3613"/>
    <mergeCell ref="E3630:F3630"/>
    <mergeCell ref="E3636:F3636"/>
    <mergeCell ref="E3639:F3639"/>
    <mergeCell ref="E3539:F3539"/>
    <mergeCell ref="E3603:F3603"/>
    <mergeCell ref="E3604:F3604"/>
    <mergeCell ref="E3609:F3609"/>
    <mergeCell ref="E3710:F3710"/>
    <mergeCell ref="E3713:F3713"/>
    <mergeCell ref="E3714:F3714"/>
    <mergeCell ref="E3715:F3715"/>
    <mergeCell ref="E3716:F3716"/>
    <mergeCell ref="E3676:F3676"/>
    <mergeCell ref="E3679:F3679"/>
    <mergeCell ref="E3680:F3680"/>
    <mergeCell ref="E3681:F3681"/>
    <mergeCell ref="E3673:F3673"/>
    <mergeCell ref="E3585:F3585"/>
    <mergeCell ref="E3587:F3587"/>
    <mergeCell ref="E3598:F3598"/>
    <mergeCell ref="E3599:F3599"/>
    <mergeCell ref="E3602:F3602"/>
    <mergeCell ref="E3697:F3697"/>
    <mergeCell ref="E3698:F3698"/>
    <mergeCell ref="E3700:F3700"/>
    <mergeCell ref="E3701:F3701"/>
    <mergeCell ref="E3612:F3612"/>
    <mergeCell ref="E3667:F3667"/>
    <mergeCell ref="E3674:F3674"/>
    <mergeCell ref="E3721:F3721"/>
    <mergeCell ref="E3722:F3722"/>
    <mergeCell ref="E3724:F3724"/>
    <mergeCell ref="E3768:F3768"/>
    <mergeCell ref="E3769:F3769"/>
    <mergeCell ref="E3736:F3736"/>
    <mergeCell ref="E3737:F3737"/>
    <mergeCell ref="E3741:F3741"/>
    <mergeCell ref="E3743:F3743"/>
    <mergeCell ref="E3744:F3744"/>
    <mergeCell ref="E3745:F3745"/>
    <mergeCell ref="E3747:F3747"/>
    <mergeCell ref="E3748:F3748"/>
    <mergeCell ref="E3749:F3749"/>
    <mergeCell ref="E3751:F3751"/>
    <mergeCell ref="E3758:F3758"/>
    <mergeCell ref="E3739:F3739"/>
    <mergeCell ref="E3752:F3752"/>
    <mergeCell ref="E3759:F3759"/>
    <mergeCell ref="E3763:F3763"/>
    <mergeCell ref="E3767:F3767"/>
    <mergeCell ref="E3757:F3757"/>
    <mergeCell ref="E3760:F3760"/>
    <mergeCell ref="E3761:F3761"/>
    <mergeCell ref="E3770:F3770"/>
    <mergeCell ref="E3772:F3772"/>
    <mergeCell ref="E3773:F3773"/>
    <mergeCell ref="E3774:F3774"/>
    <mergeCell ref="E3775:F3775"/>
    <mergeCell ref="E3777:F3777"/>
    <mergeCell ref="E3779:F3779"/>
    <mergeCell ref="E3780:F3780"/>
    <mergeCell ref="E3781:F3781"/>
    <mergeCell ref="E3783:F3783"/>
    <mergeCell ref="E3784:F3784"/>
    <mergeCell ref="E3785:F3785"/>
    <mergeCell ref="E3787:F3787"/>
    <mergeCell ref="E3788:F3788"/>
    <mergeCell ref="E3789:F3789"/>
    <mergeCell ref="E3791:F3791"/>
    <mergeCell ref="E3771:F3771"/>
    <mergeCell ref="E3778:F3778"/>
    <mergeCell ref="E3786:F3786"/>
    <mergeCell ref="E3792:F3792"/>
    <mergeCell ref="E3793:F3793"/>
    <mergeCell ref="E3795:F3795"/>
    <mergeCell ref="E3796:F3796"/>
    <mergeCell ref="E3797:F3797"/>
    <mergeCell ref="E3799:F3799"/>
    <mergeCell ref="E3800:F3800"/>
    <mergeCell ref="E3801:F3801"/>
    <mergeCell ref="E3803:F3803"/>
    <mergeCell ref="E3829:F3829"/>
    <mergeCell ref="E3831:F3831"/>
    <mergeCell ref="E3832:F3832"/>
    <mergeCell ref="E3826:F3826"/>
    <mergeCell ref="E3805:F3805"/>
    <mergeCell ref="E3816:F3816"/>
    <mergeCell ref="E3822:F3822"/>
    <mergeCell ref="E3830:F3830"/>
    <mergeCell ref="E3834:F3834"/>
    <mergeCell ref="E3838:F3838"/>
    <mergeCell ref="E3840:F3840"/>
    <mergeCell ref="E3843:F3843"/>
    <mergeCell ref="E3844:F3844"/>
    <mergeCell ref="E3847:F3847"/>
    <mergeCell ref="E3848:F3848"/>
    <mergeCell ref="E3851:F3851"/>
    <mergeCell ref="E3852:F3852"/>
    <mergeCell ref="E3854:F3854"/>
    <mergeCell ref="E3835:F3835"/>
    <mergeCell ref="E3836:F3836"/>
    <mergeCell ref="E3837:F3837"/>
    <mergeCell ref="E3804:F3804"/>
    <mergeCell ref="E3807:F3807"/>
    <mergeCell ref="E3808:F3808"/>
    <mergeCell ref="E3809:F3809"/>
    <mergeCell ref="E3810:F3810"/>
    <mergeCell ref="E3811:F3811"/>
    <mergeCell ref="E3812:F3812"/>
    <mergeCell ref="E3813:F3813"/>
    <mergeCell ref="E3814:F3814"/>
    <mergeCell ref="E3815:F3815"/>
    <mergeCell ref="E3818:F3818"/>
    <mergeCell ref="E3819:F3819"/>
    <mergeCell ref="E3820:F3820"/>
    <mergeCell ref="E3825:F3825"/>
    <mergeCell ref="E3821:F3821"/>
    <mergeCell ref="E3823:F3823"/>
    <mergeCell ref="E3824:F3824"/>
    <mergeCell ref="E3842:F3842"/>
    <mergeCell ref="E3860:F3860"/>
    <mergeCell ref="E3862:F3862"/>
    <mergeCell ref="E3863:F3863"/>
    <mergeCell ref="E3864:F3864"/>
    <mergeCell ref="E3865:F3865"/>
    <mergeCell ref="E3866:F3866"/>
    <mergeCell ref="E3867:F3867"/>
    <mergeCell ref="E3869:F3869"/>
    <mergeCell ref="E3870:F3870"/>
    <mergeCell ref="E3871:F3871"/>
    <mergeCell ref="E3910:F3910"/>
    <mergeCell ref="E3911:F3911"/>
    <mergeCell ref="E3913:F3913"/>
    <mergeCell ref="E3914:F3914"/>
    <mergeCell ref="E3915:F3915"/>
    <mergeCell ref="E3917:F3917"/>
    <mergeCell ref="E3918:F3918"/>
    <mergeCell ref="E3880:F3880"/>
    <mergeCell ref="E3881:F3881"/>
    <mergeCell ref="E3882:F3882"/>
    <mergeCell ref="E3884:F3884"/>
    <mergeCell ref="E3885:F3885"/>
    <mergeCell ref="E3886:F3886"/>
    <mergeCell ref="E3887:F3887"/>
    <mergeCell ref="E3890:F3890"/>
    <mergeCell ref="E3901:F3901"/>
    <mergeCell ref="E3912:F3912"/>
    <mergeCell ref="E3919:F3919"/>
    <mergeCell ref="E3920:F3920"/>
    <mergeCell ref="E3921:F3921"/>
    <mergeCell ref="E3922:F3922"/>
    <mergeCell ref="E3946:F3946"/>
    <mergeCell ref="E3891:F3891"/>
    <mergeCell ref="E3892:F3892"/>
    <mergeCell ref="E3893:F3893"/>
    <mergeCell ref="E3895:F3895"/>
    <mergeCell ref="E3896:F3896"/>
    <mergeCell ref="E3897:F3897"/>
    <mergeCell ref="E3898:F3898"/>
    <mergeCell ref="E3899:F3899"/>
    <mergeCell ref="E3900:F3900"/>
    <mergeCell ref="E3902:F3902"/>
    <mergeCell ref="E3903:F3903"/>
    <mergeCell ref="E3904:F3904"/>
    <mergeCell ref="E3906:F3906"/>
    <mergeCell ref="E3907:F3907"/>
    <mergeCell ref="E3908:F3908"/>
    <mergeCell ref="E3909:F3909"/>
    <mergeCell ref="E3923:F3923"/>
    <mergeCell ref="E3934:F3934"/>
    <mergeCell ref="E3945:F3945"/>
    <mergeCell ref="E3947:F3947"/>
    <mergeCell ref="E3948:F3948"/>
    <mergeCell ref="E3950:F3950"/>
    <mergeCell ref="E3951:F3951"/>
    <mergeCell ref="E3952:F3952"/>
    <mergeCell ref="E3953:F3953"/>
    <mergeCell ref="E3954:F3954"/>
    <mergeCell ref="E3955:F3955"/>
    <mergeCell ref="E3924:F3924"/>
    <mergeCell ref="E3925:F3925"/>
    <mergeCell ref="E3926:F3926"/>
    <mergeCell ref="E3928:F3928"/>
    <mergeCell ref="E3929:F3929"/>
    <mergeCell ref="E3930:F3930"/>
    <mergeCell ref="E3931:F3931"/>
    <mergeCell ref="E3932:F3932"/>
    <mergeCell ref="E3933:F3933"/>
    <mergeCell ref="E3935:F3935"/>
    <mergeCell ref="E3936:F3936"/>
    <mergeCell ref="E3937:F3937"/>
    <mergeCell ref="E3939:F3939"/>
    <mergeCell ref="E3942:F3942"/>
    <mergeCell ref="E3943:F3943"/>
    <mergeCell ref="E3944:F3944"/>
    <mergeCell ref="E3941:F3941"/>
    <mergeCell ref="E3940:F3940"/>
    <mergeCell ref="E3957:F3957"/>
    <mergeCell ref="E3958:F3958"/>
    <mergeCell ref="E3959:F3959"/>
    <mergeCell ref="E3961:F3961"/>
    <mergeCell ref="E3962:F3962"/>
    <mergeCell ref="E3976:F3976"/>
    <mergeCell ref="E3977:F3977"/>
    <mergeCell ref="E3978:F3978"/>
    <mergeCell ref="E3989:F3989"/>
    <mergeCell ref="A3966:E3966"/>
    <mergeCell ref="F3966:I3966"/>
    <mergeCell ref="A3967:E3967"/>
    <mergeCell ref="F3967:I3967"/>
    <mergeCell ref="A3968:E3968"/>
    <mergeCell ref="F3968:I3968"/>
    <mergeCell ref="A3969:E3969"/>
    <mergeCell ref="F3969:I3969"/>
    <mergeCell ref="A3970:E3970"/>
    <mergeCell ref="F3970:I3970"/>
    <mergeCell ref="A3971:E3971"/>
    <mergeCell ref="F3971:I3971"/>
    <mergeCell ref="G3972:I3972"/>
    <mergeCell ref="G3973:I3973"/>
    <mergeCell ref="F3974:I3974"/>
    <mergeCell ref="A3963:A3964"/>
    <mergeCell ref="B3963:B3964"/>
    <mergeCell ref="C3963:C3964"/>
    <mergeCell ref="D3963:D3964"/>
    <mergeCell ref="E3963:E3964"/>
    <mergeCell ref="F3963:G3963"/>
    <mergeCell ref="E3979:F3979"/>
    <mergeCell ref="E3980:F3980"/>
    <mergeCell ref="E4045:F4045"/>
    <mergeCell ref="E4036:F4036"/>
    <mergeCell ref="E4037:F4037"/>
    <mergeCell ref="E4035:F4035"/>
    <mergeCell ref="E4031:F4031"/>
    <mergeCell ref="E4032:F4032"/>
    <mergeCell ref="E4033:F4033"/>
    <mergeCell ref="E4034:F4034"/>
    <mergeCell ref="E4016:F4016"/>
    <mergeCell ref="E4017:F4017"/>
    <mergeCell ref="E4018:F4018"/>
    <mergeCell ref="E4000:F4000"/>
    <mergeCell ref="E4003:F4003"/>
    <mergeCell ref="E4004:F4004"/>
    <mergeCell ref="E4005:F4005"/>
    <mergeCell ref="E4006:F4006"/>
    <mergeCell ref="E4007:F4007"/>
    <mergeCell ref="E4008:F4008"/>
    <mergeCell ref="E4009:F4009"/>
    <mergeCell ref="E4010:F4010"/>
    <mergeCell ref="E4002:F4002"/>
    <mergeCell ref="E4012:F4012"/>
    <mergeCell ref="E4013:F4013"/>
    <mergeCell ref="E4014:F4014"/>
    <mergeCell ref="E4015:F4015"/>
    <mergeCell ref="E4039:F4039"/>
    <mergeCell ref="E4075:F4075"/>
    <mergeCell ref="E4076:F4076"/>
    <mergeCell ref="E4077:F4077"/>
    <mergeCell ref="E4079:F4079"/>
    <mergeCell ref="E4080:F4080"/>
    <mergeCell ref="E4081:F4081"/>
    <mergeCell ref="E4084:F4084"/>
    <mergeCell ref="E4086:F4086"/>
    <mergeCell ref="E4087:F4087"/>
    <mergeCell ref="E4082:F4082"/>
    <mergeCell ref="E4083:F4083"/>
    <mergeCell ref="E4074:F4074"/>
    <mergeCell ref="E4085:F4085"/>
    <mergeCell ref="E4067:F4067"/>
    <mergeCell ref="E4096:F4096"/>
    <mergeCell ref="E4099:F4099"/>
    <mergeCell ref="E4100:F4100"/>
    <mergeCell ref="E4089:F4089"/>
    <mergeCell ref="E4093:F4093"/>
    <mergeCell ref="E4097:F4097"/>
    <mergeCell ref="E4071:F4071"/>
    <mergeCell ref="E4072:F4072"/>
    <mergeCell ref="E4073:F4073"/>
    <mergeCell ref="E4098:F4098"/>
    <mergeCell ref="E4158:F4158"/>
    <mergeCell ref="E4159:F4159"/>
    <mergeCell ref="E4133:F4133"/>
    <mergeCell ref="E4137:F4137"/>
    <mergeCell ref="E4138:F4138"/>
    <mergeCell ref="E4139:F4139"/>
    <mergeCell ref="E4141:F4141"/>
    <mergeCell ref="E4142:F4142"/>
    <mergeCell ref="E4143:F4143"/>
    <mergeCell ref="E4145:F4145"/>
    <mergeCell ref="E4146:F4146"/>
    <mergeCell ref="E4147:F4147"/>
    <mergeCell ref="E4149:F4149"/>
    <mergeCell ref="E4172:F4172"/>
    <mergeCell ref="E4173:F4173"/>
    <mergeCell ref="E4174:F4174"/>
    <mergeCell ref="E4178:F4178"/>
    <mergeCell ref="A4185:E4185"/>
    <mergeCell ref="F4185:I4185"/>
    <mergeCell ref="A4186:E4186"/>
    <mergeCell ref="F4186:I4186"/>
    <mergeCell ref="A4187:E4187"/>
    <mergeCell ref="F4187:I4187"/>
    <mergeCell ref="A4188:E4188"/>
    <mergeCell ref="F4188:I4188"/>
    <mergeCell ref="A4189:E4189"/>
    <mergeCell ref="F4189:I4189"/>
    <mergeCell ref="G4190:I4190"/>
    <mergeCell ref="G4191:I4191"/>
    <mergeCell ref="G4192:I4192"/>
    <mergeCell ref="E4176:F4176"/>
    <mergeCell ref="A4180:A4181"/>
    <mergeCell ref="B4180:B4181"/>
    <mergeCell ref="C4180:C4181"/>
    <mergeCell ref="D4180:D4181"/>
    <mergeCell ref="E4180:E4181"/>
    <mergeCell ref="F4180:G4180"/>
    <mergeCell ref="H4180:I4180"/>
    <mergeCell ref="J4210:J4211"/>
    <mergeCell ref="A4214:E4214"/>
    <mergeCell ref="F4214:I4214"/>
    <mergeCell ref="A4227:E4227"/>
    <mergeCell ref="F4227:I4227"/>
    <mergeCell ref="G4232:I4232"/>
    <mergeCell ref="H4240:I4240"/>
    <mergeCell ref="A4246:E4246"/>
    <mergeCell ref="F4246:I4246"/>
    <mergeCell ref="G4295:I4295"/>
    <mergeCell ref="A4299:E4299"/>
    <mergeCell ref="F4299:I4299"/>
    <mergeCell ref="A4283:E4283"/>
    <mergeCell ref="G4322:I4322"/>
    <mergeCell ref="G4324:I4324"/>
    <mergeCell ref="G4325:I4325"/>
    <mergeCell ref="G4326:I4326"/>
    <mergeCell ref="A4256:E4256"/>
    <mergeCell ref="F4256:I4256"/>
    <mergeCell ref="A4259:E4259"/>
    <mergeCell ref="F4259:I4259"/>
    <mergeCell ref="A4263:E4263"/>
    <mergeCell ref="F4263:I4263"/>
    <mergeCell ref="A4276:E4276"/>
    <mergeCell ref="F4276:I4276"/>
    <mergeCell ref="G4260:I4260"/>
    <mergeCell ref="H4257:I4257"/>
    <mergeCell ref="H4258:I4258"/>
    <mergeCell ref="E4265:F4265"/>
    <mergeCell ref="E4266:F4266"/>
    <mergeCell ref="A4267:A4268"/>
    <mergeCell ref="B4267:B4268"/>
    <mergeCell ref="H4331:I4331"/>
    <mergeCell ref="A4314:E4314"/>
    <mergeCell ref="F4314:I4314"/>
    <mergeCell ref="A4315:E4315"/>
    <mergeCell ref="F4315:I4315"/>
    <mergeCell ref="G4321:I4321"/>
    <mergeCell ref="H4328:I4328"/>
    <mergeCell ref="H4329:I4329"/>
    <mergeCell ref="H4330:I4330"/>
    <mergeCell ref="E4341:F4341"/>
    <mergeCell ref="E4342:F4342"/>
    <mergeCell ref="E4356:F4356"/>
    <mergeCell ref="E4358:F4358"/>
    <mergeCell ref="E4359:F4359"/>
    <mergeCell ref="E4360:F4360"/>
    <mergeCell ref="E4362:F4362"/>
    <mergeCell ref="E4363:F4363"/>
    <mergeCell ref="A4332:E4332"/>
    <mergeCell ref="F4332:I4332"/>
    <mergeCell ref="G4333:I4333"/>
    <mergeCell ref="A4338:E4338"/>
    <mergeCell ref="F4338:I4338"/>
    <mergeCell ref="E4340:F4340"/>
    <mergeCell ref="E4343:F4343"/>
    <mergeCell ref="E4344:F4344"/>
    <mergeCell ref="E4346:F4346"/>
    <mergeCell ref="E4347:F4347"/>
    <mergeCell ref="E4348:F4348"/>
    <mergeCell ref="E4349:F4349"/>
    <mergeCell ref="E4350:F4350"/>
    <mergeCell ref="E4351:F4351"/>
    <mergeCell ref="E4352:F4352"/>
    <mergeCell ref="E4376:F4376"/>
    <mergeCell ref="E4377:F4377"/>
    <mergeCell ref="E4378:F4378"/>
    <mergeCell ref="E4379:F4379"/>
    <mergeCell ref="E4385:F4385"/>
    <mergeCell ref="E4388:F4388"/>
    <mergeCell ref="E4389:F4389"/>
    <mergeCell ref="E4390:F4390"/>
    <mergeCell ref="E4394:F4394"/>
    <mergeCell ref="E4395:F4395"/>
    <mergeCell ref="E4399:F4399"/>
    <mergeCell ref="E4402:F4402"/>
    <mergeCell ref="E4403:F4403"/>
    <mergeCell ref="E4406:F4406"/>
    <mergeCell ref="E4407:F4407"/>
    <mergeCell ref="E4392:F4392"/>
    <mergeCell ref="E4396:F4396"/>
    <mergeCell ref="E4400:F4400"/>
    <mergeCell ref="E4404:F4404"/>
    <mergeCell ref="E4408:F4408"/>
    <mergeCell ref="E4393:F4393"/>
    <mergeCell ref="E4397:F4397"/>
    <mergeCell ref="E4401:F4401"/>
    <mergeCell ref="E4410:F4410"/>
    <mergeCell ref="E4414:F4414"/>
    <mergeCell ref="E4415:F4415"/>
    <mergeCell ref="E4416:F4416"/>
    <mergeCell ref="E4417:F4417"/>
    <mergeCell ref="E4418:F4418"/>
    <mergeCell ref="E4421:F4421"/>
    <mergeCell ref="E4422:F4422"/>
    <mergeCell ref="E4424:F4424"/>
    <mergeCell ref="E4425:F4425"/>
    <mergeCell ref="E4426:F4426"/>
    <mergeCell ref="E4428:F4428"/>
    <mergeCell ref="E4412:F4412"/>
    <mergeCell ref="E4429:F4429"/>
    <mergeCell ref="E4432:F4432"/>
    <mergeCell ref="E4433:F4433"/>
    <mergeCell ref="E4436:F4436"/>
    <mergeCell ref="E4437:F4437"/>
    <mergeCell ref="E4439:F4439"/>
    <mergeCell ref="E4440:F4440"/>
    <mergeCell ref="E4442:F4442"/>
    <mergeCell ref="E4443:F4443"/>
    <mergeCell ref="E4444:F4444"/>
    <mergeCell ref="E4446:F4446"/>
    <mergeCell ref="E4447:F4447"/>
    <mergeCell ref="E4430:F4430"/>
    <mergeCell ref="E4434:F4434"/>
    <mergeCell ref="E4448:F4448"/>
    <mergeCell ref="E4450:F4450"/>
    <mergeCell ref="E4452:F4452"/>
    <mergeCell ref="E4455:F4455"/>
    <mergeCell ref="E4456:F4456"/>
    <mergeCell ref="E4458:F4458"/>
    <mergeCell ref="E4460:F4460"/>
    <mergeCell ref="E4464:F4464"/>
    <mergeCell ref="E4468:F4468"/>
    <mergeCell ref="E4469:F4469"/>
    <mergeCell ref="E4454:F4454"/>
    <mergeCell ref="E4462:F4462"/>
    <mergeCell ref="E4466:F4466"/>
    <mergeCell ref="E4472:F4472"/>
    <mergeCell ref="E4524:F4524"/>
    <mergeCell ref="E4508:F4508"/>
    <mergeCell ref="E4514:F4514"/>
    <mergeCell ref="E4522:F4522"/>
    <mergeCell ref="E4528:F4528"/>
    <mergeCell ref="E4529:F4529"/>
    <mergeCell ref="E4507:F4507"/>
    <mergeCell ref="E4510:F4510"/>
    <mergeCell ref="E4512:F4512"/>
    <mergeCell ref="E4515:F4515"/>
    <mergeCell ref="E4516:F4516"/>
    <mergeCell ref="E4518:F4518"/>
    <mergeCell ref="E4520:F4520"/>
    <mergeCell ref="E4470:F4470"/>
    <mergeCell ref="E4474:F4474"/>
    <mergeCell ref="E4478:F4478"/>
    <mergeCell ref="E4484:F4484"/>
    <mergeCell ref="E4492:F4492"/>
    <mergeCell ref="E4496:F4496"/>
    <mergeCell ref="E4500:F4500"/>
    <mergeCell ref="E4504:F4504"/>
    <mergeCell ref="E4557:F4557"/>
    <mergeCell ref="E4563:F4563"/>
    <mergeCell ref="E4532:F4532"/>
    <mergeCell ref="E4533:F4533"/>
    <mergeCell ref="E4536:F4536"/>
    <mergeCell ref="E4537:F4537"/>
    <mergeCell ref="E4540:F4540"/>
    <mergeCell ref="E4542:F4542"/>
    <mergeCell ref="E4545:F4545"/>
    <mergeCell ref="E4546:F4546"/>
    <mergeCell ref="E4566:F4566"/>
    <mergeCell ref="E4567:F4567"/>
    <mergeCell ref="E4570:F4570"/>
    <mergeCell ref="E4572:F4572"/>
    <mergeCell ref="E4575:F4575"/>
    <mergeCell ref="E4576:F4576"/>
    <mergeCell ref="E4577:F4577"/>
    <mergeCell ref="E4578:F4578"/>
    <mergeCell ref="E4580:F4580"/>
    <mergeCell ref="E4581:F4581"/>
    <mergeCell ref="E4564:F4564"/>
    <mergeCell ref="E4568:F4568"/>
    <mergeCell ref="E4574:F4574"/>
    <mergeCell ref="E4582:F4582"/>
    <mergeCell ref="E4571:F4571"/>
    <mergeCell ref="E4584:F4584"/>
    <mergeCell ref="E4585:F4585"/>
    <mergeCell ref="E4588:F4588"/>
    <mergeCell ref="E4589:F4589"/>
    <mergeCell ref="E4592:F4592"/>
    <mergeCell ref="E4593:F4593"/>
    <mergeCell ref="E4596:F4596"/>
    <mergeCell ref="E4597:F4597"/>
    <mergeCell ref="E4600:F4600"/>
    <mergeCell ref="E4602:F4602"/>
    <mergeCell ref="E4586:F4586"/>
    <mergeCell ref="E4590:F4590"/>
    <mergeCell ref="E4594:F4594"/>
    <mergeCell ref="E4598:F4598"/>
    <mergeCell ref="E4583:F4583"/>
    <mergeCell ref="E4601:F4601"/>
    <mergeCell ref="E4608:F4608"/>
    <mergeCell ref="E4612:F4612"/>
    <mergeCell ref="E4616:F4616"/>
    <mergeCell ref="E4622:F4622"/>
    <mergeCell ref="E4628:F4628"/>
    <mergeCell ref="E4632:F4632"/>
    <mergeCell ref="E4633:F4633"/>
    <mergeCell ref="E4636:F4636"/>
    <mergeCell ref="E4637:F4637"/>
    <mergeCell ref="E4641:F4641"/>
    <mergeCell ref="E4630:F4630"/>
    <mergeCell ref="E4634:F4634"/>
    <mergeCell ref="E4638:F4638"/>
    <mergeCell ref="E4626:F4626"/>
    <mergeCell ref="E4663:F4663"/>
    <mergeCell ref="E4664:F4664"/>
    <mergeCell ref="E4665:F4665"/>
    <mergeCell ref="E4657:F4657"/>
    <mergeCell ref="E4667:F4667"/>
    <mergeCell ref="E4668:F4668"/>
    <mergeCell ref="E4694:F4694"/>
    <mergeCell ref="A4674:E4674"/>
    <mergeCell ref="F4674:I4674"/>
    <mergeCell ref="A4675:E4675"/>
    <mergeCell ref="F4675:I4675"/>
    <mergeCell ref="A4676:E4676"/>
    <mergeCell ref="F4676:I4676"/>
    <mergeCell ref="A4677:E4677"/>
    <mergeCell ref="F4677:I4677"/>
    <mergeCell ref="A4678:E4678"/>
    <mergeCell ref="F4678:I4678"/>
    <mergeCell ref="G4679:I4679"/>
    <mergeCell ref="G4680:I4680"/>
    <mergeCell ref="A4681:E4681"/>
    <mergeCell ref="F4681:I4681"/>
    <mergeCell ref="G4682:I4682"/>
    <mergeCell ref="E4669:E4670"/>
    <mergeCell ref="F4669:G4669"/>
    <mergeCell ref="H4669:I4669"/>
    <mergeCell ref="G4683:I4683"/>
    <mergeCell ref="G4684:I4684"/>
    <mergeCell ref="A4685:E4685"/>
    <mergeCell ref="F4685:I4685"/>
    <mergeCell ref="H4686:I4686"/>
    <mergeCell ref="H4687:I4687"/>
    <mergeCell ref="A4688:E4688"/>
    <mergeCell ref="E4758:F4758"/>
    <mergeCell ref="E4759:F4759"/>
    <mergeCell ref="E4760:F4760"/>
    <mergeCell ref="E4761:F4761"/>
    <mergeCell ref="E4748:F4748"/>
    <mergeCell ref="E4749:F4749"/>
    <mergeCell ref="E4750:F4750"/>
    <mergeCell ref="E4751:F4751"/>
    <mergeCell ref="E4752:F4752"/>
    <mergeCell ref="E4753:F4753"/>
    <mergeCell ref="E4754:F4754"/>
    <mergeCell ref="E4756:F4756"/>
    <mergeCell ref="E4757:F4757"/>
    <mergeCell ref="A4703:E4703"/>
    <mergeCell ref="F4703:I4703"/>
    <mergeCell ref="G4704:I4704"/>
    <mergeCell ref="G4705:I4705"/>
    <mergeCell ref="G4706:I4706"/>
    <mergeCell ref="G4707:I4707"/>
    <mergeCell ref="G4708:I4708"/>
    <mergeCell ref="A4709:E4709"/>
    <mergeCell ref="F4709:I4709"/>
    <mergeCell ref="H4710:I4710"/>
    <mergeCell ref="E4720:F4720"/>
    <mergeCell ref="E4721:F4721"/>
    <mergeCell ref="E4722:F4722"/>
    <mergeCell ref="E4723:F4723"/>
    <mergeCell ref="E4725:F4725"/>
    <mergeCell ref="E4726:F4726"/>
    <mergeCell ref="E4727:F4727"/>
    <mergeCell ref="E4729:F4729"/>
    <mergeCell ref="E4730:F4730"/>
    <mergeCell ref="E4785:F4785"/>
    <mergeCell ref="E4786:F4786"/>
    <mergeCell ref="E4788:F4788"/>
    <mergeCell ref="E4789:F4789"/>
    <mergeCell ref="E4790:F4790"/>
    <mergeCell ref="E4791:F4791"/>
    <mergeCell ref="E4793:F4793"/>
    <mergeCell ref="E4796:F4796"/>
    <mergeCell ref="E4797:F4797"/>
    <mergeCell ref="E4799:F4799"/>
    <mergeCell ref="E4854:F4854"/>
    <mergeCell ref="E4856:F4856"/>
    <mergeCell ref="E4857:F4857"/>
    <mergeCell ref="E4858:F4858"/>
    <mergeCell ref="E4862:F4862"/>
    <mergeCell ref="E4850:F4850"/>
    <mergeCell ref="E4859:F4859"/>
    <mergeCell ref="E4830:F4830"/>
    <mergeCell ref="E4833:F4833"/>
    <mergeCell ref="E4834:F4834"/>
    <mergeCell ref="E4810:F4810"/>
    <mergeCell ref="E4816:F4816"/>
    <mergeCell ref="E4821:F4821"/>
    <mergeCell ref="E4827:F4827"/>
    <mergeCell ref="E4832:F4832"/>
    <mergeCell ref="E4838:F4838"/>
    <mergeCell ref="E4844:F4844"/>
    <mergeCell ref="E4860:F4860"/>
    <mergeCell ref="E4840:F4840"/>
    <mergeCell ref="E4809:F4809"/>
    <mergeCell ref="E4841:F4841"/>
    <mergeCell ref="E4842:F4842"/>
    <mergeCell ref="E4863:F4863"/>
    <mergeCell ref="E4866:F4866"/>
    <mergeCell ref="E4867:F4867"/>
    <mergeCell ref="E4868:F4868"/>
    <mergeCell ref="E4872:F4872"/>
    <mergeCell ref="E4874:F4874"/>
    <mergeCell ref="E4875:F4875"/>
    <mergeCell ref="E4876:F4876"/>
    <mergeCell ref="E4880:F4880"/>
    <mergeCell ref="E4879:F4879"/>
    <mergeCell ref="E4884:F4884"/>
    <mergeCell ref="E4888:F4888"/>
    <mergeCell ref="E4889:F4889"/>
    <mergeCell ref="E4864:F4864"/>
    <mergeCell ref="E4870:F4870"/>
    <mergeCell ref="E4878:F4878"/>
    <mergeCell ref="E4882:F4882"/>
    <mergeCell ref="E4865:F4865"/>
    <mergeCell ref="E4871:F4871"/>
    <mergeCell ref="E4892:F4892"/>
    <mergeCell ref="E4893:F4893"/>
    <mergeCell ref="E4896:F4896"/>
    <mergeCell ref="E4897:F4897"/>
    <mergeCell ref="E4898:F4898"/>
    <mergeCell ref="E4886:F4886"/>
    <mergeCell ref="E4890:F4890"/>
    <mergeCell ref="E4894:F4894"/>
    <mergeCell ref="E4883:F4883"/>
    <mergeCell ref="E4887:F4887"/>
    <mergeCell ref="E4895:F4895"/>
    <mergeCell ref="E4900:F4900"/>
    <mergeCell ref="E4902:F4902"/>
    <mergeCell ref="E4904:F4904"/>
    <mergeCell ref="E4905:F4905"/>
    <mergeCell ref="E4906:F4906"/>
    <mergeCell ref="E4910:F4910"/>
    <mergeCell ref="E4914:F4914"/>
    <mergeCell ref="E4918:F4918"/>
    <mergeCell ref="E4919:F4919"/>
    <mergeCell ref="E4922:F4922"/>
    <mergeCell ref="E4908:F4908"/>
    <mergeCell ref="E4912:F4912"/>
    <mergeCell ref="E4916:F4916"/>
    <mergeCell ref="E4920:F4920"/>
    <mergeCell ref="E4901:F4901"/>
    <mergeCell ref="E4909:F4909"/>
    <mergeCell ref="E4913:F4913"/>
    <mergeCell ref="E4917:F4917"/>
    <mergeCell ref="E4923:F4923"/>
    <mergeCell ref="E4926:F4926"/>
    <mergeCell ref="E4927:F4927"/>
    <mergeCell ref="E4928:F4928"/>
    <mergeCell ref="E4932:F4932"/>
    <mergeCell ref="E4933:F4933"/>
    <mergeCell ref="E4935:F4935"/>
    <mergeCell ref="E4936:F4936"/>
    <mergeCell ref="E4937:F4937"/>
    <mergeCell ref="E4940:F4940"/>
    <mergeCell ref="E4941:F4941"/>
    <mergeCell ref="E4924:F4924"/>
    <mergeCell ref="E4930:F4930"/>
    <mergeCell ref="E4938:F4938"/>
    <mergeCell ref="E4942:F4942"/>
    <mergeCell ref="E4925:F4925"/>
    <mergeCell ref="E4931:F4931"/>
    <mergeCell ref="E4971:F4971"/>
    <mergeCell ref="E4972:F4972"/>
    <mergeCell ref="E4975:F4975"/>
    <mergeCell ref="E4976:F4976"/>
    <mergeCell ref="E4977:F4977"/>
    <mergeCell ref="E4968:F4968"/>
    <mergeCell ref="E4973:F4973"/>
    <mergeCell ref="E4943:F4943"/>
    <mergeCell ref="E4947:F4947"/>
    <mergeCell ref="E4951:F4951"/>
    <mergeCell ref="E4955:F4955"/>
    <mergeCell ref="E4961:F4961"/>
    <mergeCell ref="E4969:F4969"/>
    <mergeCell ref="E4945:F4945"/>
    <mergeCell ref="E4949:F4949"/>
    <mergeCell ref="E4952:F4952"/>
    <mergeCell ref="E4953:F4953"/>
    <mergeCell ref="E4956:F4956"/>
    <mergeCell ref="E4957:F4957"/>
    <mergeCell ref="E4958:F4958"/>
    <mergeCell ref="D4999:D5000"/>
    <mergeCell ref="E4999:E5000"/>
    <mergeCell ref="F4999:G4999"/>
    <mergeCell ref="H4999:I4999"/>
    <mergeCell ref="A5003:E5003"/>
    <mergeCell ref="F5003:I5003"/>
    <mergeCell ref="A5004:E5004"/>
    <mergeCell ref="F5004:I5004"/>
    <mergeCell ref="A5005:E5005"/>
    <mergeCell ref="F5005:I5005"/>
    <mergeCell ref="E5033:F5033"/>
    <mergeCell ref="E5034:F5034"/>
    <mergeCell ref="A5035:A5036"/>
    <mergeCell ref="B5035:B5036"/>
    <mergeCell ref="C5035:C5036"/>
    <mergeCell ref="D5035:D5036"/>
    <mergeCell ref="E5035:E5036"/>
    <mergeCell ref="F5035:G5035"/>
    <mergeCell ref="H5035:I5035"/>
    <mergeCell ref="A5006:E5006"/>
    <mergeCell ref="F5006:I5006"/>
    <mergeCell ref="A5007:E5007"/>
    <mergeCell ref="F5007:I5007"/>
    <mergeCell ref="E5010:F5010"/>
    <mergeCell ref="A5011:A5012"/>
    <mergeCell ref="B5011:B5012"/>
    <mergeCell ref="C5011:C5012"/>
    <mergeCell ref="D5011:D5012"/>
    <mergeCell ref="E5011:E5012"/>
    <mergeCell ref="F5011:G5011"/>
    <mergeCell ref="H5011:I5011"/>
    <mergeCell ref="A5026:E5026"/>
    <mergeCell ref="E5127:F5127"/>
    <mergeCell ref="E5129:F5129"/>
    <mergeCell ref="A5039:E5039"/>
    <mergeCell ref="F5039:I5039"/>
    <mergeCell ref="A5040:E5040"/>
    <mergeCell ref="F5040:I5040"/>
    <mergeCell ref="A5041:E5041"/>
    <mergeCell ref="F5041:I5041"/>
    <mergeCell ref="E5045:F5045"/>
    <mergeCell ref="E5046:F5046"/>
    <mergeCell ref="A5047:A5048"/>
    <mergeCell ref="B5047:B5048"/>
    <mergeCell ref="C5047:C5048"/>
    <mergeCell ref="D5047:D5048"/>
    <mergeCell ref="E5047:E5048"/>
    <mergeCell ref="F5047:G5047"/>
    <mergeCell ref="H5047:I5047"/>
    <mergeCell ref="A5102:E5102"/>
    <mergeCell ref="F5102:I5102"/>
    <mergeCell ref="A5103:E5103"/>
    <mergeCell ref="F5103:I5103"/>
    <mergeCell ref="A5090:E5090"/>
    <mergeCell ref="F5090:I5090"/>
    <mergeCell ref="A5091:E5091"/>
    <mergeCell ref="F5091:I5091"/>
    <mergeCell ref="A5066:E5066"/>
    <mergeCell ref="F5066:I5066"/>
    <mergeCell ref="A5067:E5067"/>
    <mergeCell ref="F5067:I5067"/>
    <mergeCell ref="A5078:E5078"/>
    <mergeCell ref="F5078:I5078"/>
    <mergeCell ref="A5079:E5079"/>
    <mergeCell ref="E5130:F5130"/>
    <mergeCell ref="E5150:F5150"/>
    <mergeCell ref="E5151:F5151"/>
    <mergeCell ref="E5145:F5145"/>
    <mergeCell ref="E5146:F5146"/>
    <mergeCell ref="E5147:F5147"/>
    <mergeCell ref="E5149:F5149"/>
    <mergeCell ref="E5154:F5154"/>
    <mergeCell ref="F5155:G5155"/>
    <mergeCell ref="H5155:I5155"/>
    <mergeCell ref="E5197:F5197"/>
    <mergeCell ref="E5198:F5198"/>
    <mergeCell ref="E5199:F5199"/>
    <mergeCell ref="E5200:F5200"/>
    <mergeCell ref="E5201:F5201"/>
    <mergeCell ref="E5202:F5202"/>
    <mergeCell ref="E5203:F5203"/>
    <mergeCell ref="E5194:F5194"/>
    <mergeCell ref="E5191:F5191"/>
    <mergeCell ref="E5193:F5193"/>
    <mergeCell ref="E5189:F5189"/>
    <mergeCell ref="E5190:F5190"/>
    <mergeCell ref="E5192:F5192"/>
    <mergeCell ref="E5195:F5195"/>
    <mergeCell ref="E5196:F5196"/>
    <mergeCell ref="E5131:F5131"/>
    <mergeCell ref="E5132:F5132"/>
    <mergeCell ref="E5135:F5135"/>
    <mergeCell ref="E5137:F5137"/>
    <mergeCell ref="E5138:F5138"/>
    <mergeCell ref="E5139:F5139"/>
    <mergeCell ref="E5141:F5141"/>
    <mergeCell ref="E5204:F5204"/>
    <mergeCell ref="E5206:F5206"/>
    <mergeCell ref="E5207:F5207"/>
    <mergeCell ref="E5208:F5208"/>
    <mergeCell ref="E5209:F5209"/>
    <mergeCell ref="E5211:F5211"/>
    <mergeCell ref="E5212:F5212"/>
    <mergeCell ref="E5213:F5213"/>
    <mergeCell ref="E5230:F5230"/>
    <mergeCell ref="E5231:F5231"/>
    <mergeCell ref="E5232:F5232"/>
    <mergeCell ref="E5234:F5234"/>
    <mergeCell ref="E5235:F5235"/>
    <mergeCell ref="E5236:F5236"/>
    <mergeCell ref="E5237:F5237"/>
    <mergeCell ref="E5238:F5238"/>
    <mergeCell ref="E5240:F5240"/>
    <mergeCell ref="E5249:F5249"/>
    <mergeCell ref="E5252:F5252"/>
    <mergeCell ref="E5253:F5253"/>
    <mergeCell ref="E5254:F5254"/>
    <mergeCell ref="E5256:F5256"/>
    <mergeCell ref="E5262:F5262"/>
    <mergeCell ref="E5264:F5264"/>
    <mergeCell ref="A5266:E5266"/>
    <mergeCell ref="F5266:I5266"/>
    <mergeCell ref="A5267:E5267"/>
    <mergeCell ref="F5267:I5267"/>
    <mergeCell ref="A5268:E5268"/>
    <mergeCell ref="F5268:I5268"/>
    <mergeCell ref="A5269:E5269"/>
    <mergeCell ref="F5269:I5269"/>
    <mergeCell ref="A5270:E5270"/>
    <mergeCell ref="F5270:I5270"/>
    <mergeCell ref="G5271:I5271"/>
    <mergeCell ref="G5272:I5272"/>
    <mergeCell ref="E12:F12"/>
    <mergeCell ref="E30:F30"/>
    <mergeCell ref="E75:F75"/>
    <mergeCell ref="E76:F76"/>
    <mergeCell ref="E77:F77"/>
    <mergeCell ref="A142:E142"/>
    <mergeCell ref="F142:I142"/>
    <mergeCell ref="A143:E143"/>
    <mergeCell ref="F143:I143"/>
    <mergeCell ref="A144:E144"/>
    <mergeCell ref="F144:I144"/>
    <mergeCell ref="A145:E145"/>
    <mergeCell ref="F145:I145"/>
    <mergeCell ref="A146:E146"/>
    <mergeCell ref="F146:I146"/>
    <mergeCell ref="A148:J148"/>
    <mergeCell ref="E151:F151"/>
    <mergeCell ref="A169:J169"/>
    <mergeCell ref="E172:F172"/>
    <mergeCell ref="E173:F173"/>
    <mergeCell ref="E174:F174"/>
    <mergeCell ref="E175:F175"/>
    <mergeCell ref="E176:F176"/>
    <mergeCell ref="E177:F177"/>
    <mergeCell ref="E187:F187"/>
    <mergeCell ref="E188:F188"/>
    <mergeCell ref="E200:F200"/>
    <mergeCell ref="E201:F201"/>
    <mergeCell ref="E204:F204"/>
    <mergeCell ref="E205:F205"/>
    <mergeCell ref="E206:F206"/>
    <mergeCell ref="E209:F209"/>
    <mergeCell ref="E210:F210"/>
    <mergeCell ref="E211:F211"/>
    <mergeCell ref="E214:F214"/>
    <mergeCell ref="E184:F184"/>
    <mergeCell ref="E182:F182"/>
    <mergeCell ref="E183:F183"/>
    <mergeCell ref="E388:F388"/>
    <mergeCell ref="E353:F353"/>
    <mergeCell ref="E354:F354"/>
    <mergeCell ref="E355:F355"/>
    <mergeCell ref="E356:F356"/>
    <mergeCell ref="E357:F357"/>
    <mergeCell ref="E358:F358"/>
    <mergeCell ref="E359:F359"/>
    <mergeCell ref="E361:F361"/>
    <mergeCell ref="E324:F324"/>
    <mergeCell ref="E325:F325"/>
    <mergeCell ref="E326:F326"/>
    <mergeCell ref="E327:F327"/>
    <mergeCell ref="E328:F328"/>
    <mergeCell ref="E329:F329"/>
    <mergeCell ref="E330:F330"/>
    <mergeCell ref="E331:F331"/>
    <mergeCell ref="E332:F332"/>
    <mergeCell ref="E363:F363"/>
    <mergeCell ref="E364:F364"/>
    <mergeCell ref="E366:F366"/>
    <mergeCell ref="E367:F367"/>
    <mergeCell ref="E368:F368"/>
    <mergeCell ref="E369:F369"/>
    <mergeCell ref="G609:I609"/>
    <mergeCell ref="E638:F638"/>
    <mergeCell ref="E639:F639"/>
    <mergeCell ref="E640:F640"/>
    <mergeCell ref="E641:F641"/>
    <mergeCell ref="E642:F642"/>
    <mergeCell ref="E644:F644"/>
    <mergeCell ref="H623:I623"/>
    <mergeCell ref="G610:I610"/>
    <mergeCell ref="G612:I612"/>
    <mergeCell ref="G614:I614"/>
    <mergeCell ref="H618:I618"/>
    <mergeCell ref="H619:I619"/>
    <mergeCell ref="H620:I620"/>
    <mergeCell ref="H621:I621"/>
    <mergeCell ref="A602:E602"/>
    <mergeCell ref="F602:I602"/>
    <mergeCell ref="G605:I605"/>
    <mergeCell ref="G606:I606"/>
    <mergeCell ref="G607:I607"/>
    <mergeCell ref="G604:I604"/>
    <mergeCell ref="E491:F491"/>
    <mergeCell ref="E492:F492"/>
    <mergeCell ref="E493:F493"/>
    <mergeCell ref="E494:F494"/>
    <mergeCell ref="E496:F496"/>
    <mergeCell ref="E498:F498"/>
    <mergeCell ref="E499:F499"/>
    <mergeCell ref="E646:F646"/>
    <mergeCell ref="E664:F664"/>
    <mergeCell ref="A611:E611"/>
    <mergeCell ref="F611:I611"/>
    <mergeCell ref="G613:I613"/>
    <mergeCell ref="A615:E615"/>
    <mergeCell ref="F615:I615"/>
    <mergeCell ref="H616:I616"/>
    <mergeCell ref="H617:I617"/>
    <mergeCell ref="A624:E624"/>
    <mergeCell ref="F624:I624"/>
    <mergeCell ref="G625:I625"/>
    <mergeCell ref="A634:E634"/>
    <mergeCell ref="F634:I634"/>
    <mergeCell ref="E636:F636"/>
    <mergeCell ref="E637:F637"/>
    <mergeCell ref="E645:F645"/>
    <mergeCell ref="E658:F658"/>
    <mergeCell ref="E659:F659"/>
    <mergeCell ref="E660:F660"/>
    <mergeCell ref="E661:F661"/>
    <mergeCell ref="E663:F663"/>
    <mergeCell ref="H622:I622"/>
    <mergeCell ref="E647:F647"/>
    <mergeCell ref="E648:F648"/>
    <mergeCell ref="E2381:F2381"/>
    <mergeCell ref="E650:F650"/>
    <mergeCell ref="E651:F651"/>
    <mergeCell ref="E652:F652"/>
    <mergeCell ref="E653:F653"/>
    <mergeCell ref="E654:F654"/>
    <mergeCell ref="E657:F657"/>
    <mergeCell ref="E797:F797"/>
    <mergeCell ref="A776:E776"/>
    <mergeCell ref="F776:I776"/>
    <mergeCell ref="G777:I777"/>
    <mergeCell ref="E847:F847"/>
    <mergeCell ref="E848:F848"/>
    <mergeCell ref="E849:F849"/>
    <mergeCell ref="E851:F851"/>
    <mergeCell ref="E852:F852"/>
    <mergeCell ref="E853:F853"/>
    <mergeCell ref="E854:F854"/>
    <mergeCell ref="A812:E812"/>
    <mergeCell ref="F812:I812"/>
    <mergeCell ref="E2319:F2319"/>
    <mergeCell ref="E2338:F2338"/>
    <mergeCell ref="E2339:F2339"/>
    <mergeCell ref="E2341:F2341"/>
    <mergeCell ref="E2343:F2343"/>
    <mergeCell ref="E2345:F2345"/>
    <mergeCell ref="E2346:F2346"/>
    <mergeCell ref="E2348:F2348"/>
    <mergeCell ref="E2350:F2350"/>
    <mergeCell ref="E2351:F2351"/>
    <mergeCell ref="E2353:F2353"/>
    <mergeCell ref="E2359:F2359"/>
    <mergeCell ref="E2410:F2410"/>
    <mergeCell ref="E2412:F2412"/>
    <mergeCell ref="E2414:F2414"/>
    <mergeCell ref="E2415:F2415"/>
    <mergeCell ref="E2419:F2419"/>
    <mergeCell ref="E2420:F2420"/>
    <mergeCell ref="E2438:F2438"/>
    <mergeCell ref="E2439:F2439"/>
    <mergeCell ref="E2440:F2440"/>
    <mergeCell ref="E2442:F2442"/>
    <mergeCell ref="E2427:F2427"/>
    <mergeCell ref="E2430:F2430"/>
    <mergeCell ref="E2431:F2431"/>
    <mergeCell ref="E2432:F2432"/>
    <mergeCell ref="E2434:F2434"/>
    <mergeCell ref="E3512:F3512"/>
    <mergeCell ref="E3513:F3513"/>
    <mergeCell ref="E3457:F3457"/>
    <mergeCell ref="E3458:F3458"/>
    <mergeCell ref="E3462:F3462"/>
    <mergeCell ref="E3289:F3289"/>
    <mergeCell ref="E3461:F3461"/>
    <mergeCell ref="E3503:F3503"/>
    <mergeCell ref="E3507:F3507"/>
    <mergeCell ref="E3511:F3511"/>
    <mergeCell ref="E3301:F3301"/>
    <mergeCell ref="E3302:F3302"/>
    <mergeCell ref="E3304:F3304"/>
    <mergeCell ref="E3305:F3305"/>
    <mergeCell ref="E3338:F3338"/>
    <mergeCell ref="E3335:F3335"/>
    <mergeCell ref="E3326:F3326"/>
    <mergeCell ref="E3494:F3494"/>
    <mergeCell ref="E3498:F3498"/>
    <mergeCell ref="E3484:F3484"/>
    <mergeCell ref="E3685:F3685"/>
    <mergeCell ref="E3718:F3718"/>
    <mergeCell ref="E3753:F3753"/>
    <mergeCell ref="E3755:F3755"/>
    <mergeCell ref="E2471:F2471"/>
    <mergeCell ref="E3756:F3756"/>
    <mergeCell ref="E2490:F2490"/>
    <mergeCell ref="E2838:F2838"/>
    <mergeCell ref="E2839:F2839"/>
    <mergeCell ref="E2842:F2842"/>
    <mergeCell ref="E2843:F2843"/>
    <mergeCell ref="E3074:F3074"/>
    <mergeCell ref="E3075:F3075"/>
    <mergeCell ref="E3078:F3078"/>
    <mergeCell ref="E3079:F3079"/>
    <mergeCell ref="E2898:F2898"/>
    <mergeCell ref="A2946:E2946"/>
    <mergeCell ref="F2946:I2946"/>
    <mergeCell ref="A2947:E2947"/>
    <mergeCell ref="E3725:F3725"/>
    <mergeCell ref="E3684:F3684"/>
    <mergeCell ref="E3732:F3732"/>
    <mergeCell ref="E3688:F3688"/>
    <mergeCell ref="E3689:F3689"/>
    <mergeCell ref="E3690:F3690"/>
    <mergeCell ref="E3694:F3694"/>
    <mergeCell ref="E3695:F3695"/>
    <mergeCell ref="E3670:F3670"/>
    <mergeCell ref="E3672:F3672"/>
    <mergeCell ref="A5279:I5279"/>
    <mergeCell ref="C1:D1"/>
    <mergeCell ref="E1:F1"/>
    <mergeCell ref="C2:D2"/>
    <mergeCell ref="E2:F2"/>
    <mergeCell ref="I2:J2"/>
    <mergeCell ref="E868:F868"/>
    <mergeCell ref="A750:E750"/>
    <mergeCell ref="F750:I750"/>
    <mergeCell ref="A755:E755"/>
    <mergeCell ref="F755:I755"/>
    <mergeCell ref="E4128:F4128"/>
    <mergeCell ref="E4150:F4150"/>
    <mergeCell ref="E2557:F2557"/>
    <mergeCell ref="E2556:F2556"/>
    <mergeCell ref="E3557:F3557"/>
    <mergeCell ref="E3559:F3559"/>
    <mergeCell ref="E3560:F3560"/>
    <mergeCell ref="F2947:I2947"/>
    <mergeCell ref="G2949:I2949"/>
    <mergeCell ref="E2830:F2830"/>
    <mergeCell ref="E2831:F2831"/>
    <mergeCell ref="E3545:F3545"/>
    <mergeCell ref="E3548:F3548"/>
    <mergeCell ref="E3549:F3549"/>
    <mergeCell ref="E3552:F3552"/>
    <mergeCell ref="E3855:F3855"/>
    <mergeCell ref="E3856:F3856"/>
    <mergeCell ref="E3889:F3889"/>
    <mergeCell ref="E3888:F3888"/>
    <mergeCell ref="E3454:F3454"/>
    <mergeCell ref="E3456:F3456"/>
  </mergeCells>
  <printOptions horizontalCentered="1"/>
  <pageMargins left="0.51181102362204722" right="0.51181102362204722" top="0.78740157480314965" bottom="0.70866141732283472" header="0.51181102362204722" footer="0.31496062992125984"/>
  <pageSetup paperSize="9" scale="68" firstPageNumber="51" fitToHeight="0" orientation="landscape" useFirstPageNumber="1" r:id="rId1"/>
  <headerFooter>
    <oddHeader>&amp;L &amp;CSECRETARIA DE ESTADO DE OBRAS E INFRAESTRUTURA DO DISTRITO FEDERAL - SODF
CNPJ: 00.394.742/0001-49 &amp;R</oddHeader>
    <oddFooter>&amp;CSetor de Áreas Públicas Bloco A-15 - Zona Industrial (Guará) - Brasília / DF
 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B5469-E00F-4F7C-843C-3B28632BE6AA}">
  <sheetPr codeName="Planilha3"/>
  <dimension ref="A1:N27"/>
  <sheetViews>
    <sheetView showGridLines="0" view="pageBreakPreview" zoomScaleNormal="85" zoomScaleSheetLayoutView="100" workbookViewId="0">
      <selection sqref="A1:XFD1048576"/>
    </sheetView>
  </sheetViews>
  <sheetFormatPr defaultRowHeight="14" x14ac:dyDescent="0.3"/>
  <cols>
    <col min="1" max="1" width="20" bestFit="1" customWidth="1"/>
    <col min="2" max="2" width="60" bestFit="1" customWidth="1"/>
    <col min="3" max="3" width="40.58203125" customWidth="1"/>
    <col min="4" max="6" width="12" bestFit="1" customWidth="1"/>
    <col min="7" max="8" width="12.4140625" bestFit="1" customWidth="1"/>
    <col min="9" max="11" width="12.4140625" customWidth="1"/>
    <col min="12" max="12" width="12.4140625" bestFit="1" customWidth="1"/>
    <col min="13" max="26" width="12" bestFit="1" customWidth="1"/>
  </cols>
  <sheetData>
    <row r="1" spans="1:13" ht="15" customHeight="1" x14ac:dyDescent="0.3">
      <c r="A1" s="7"/>
      <c r="B1" s="7" t="s">
        <v>0</v>
      </c>
      <c r="C1" s="7" t="s">
        <v>1</v>
      </c>
      <c r="D1" s="14" t="s">
        <v>3748</v>
      </c>
      <c r="F1" s="559" t="s">
        <v>2</v>
      </c>
      <c r="G1" s="698"/>
      <c r="H1" s="698"/>
      <c r="I1" s="636"/>
      <c r="J1" s="636"/>
      <c r="K1" s="636"/>
    </row>
    <row r="2" spans="1:13" ht="127.5" customHeight="1" x14ac:dyDescent="0.3">
      <c r="A2" s="8"/>
      <c r="B2" s="8" t="s">
        <v>3957</v>
      </c>
      <c r="C2" s="8" t="s">
        <v>3823</v>
      </c>
      <c r="D2" s="645" t="s">
        <v>3749</v>
      </c>
      <c r="E2" s="645"/>
      <c r="F2" s="700" t="s">
        <v>3956</v>
      </c>
      <c r="G2" s="700"/>
      <c r="H2" s="700"/>
      <c r="I2" s="637"/>
      <c r="J2" s="637"/>
      <c r="K2" s="637"/>
    </row>
    <row r="3" spans="1:13" ht="15" customHeight="1" x14ac:dyDescent="0.3">
      <c r="A3" s="81" t="s">
        <v>394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3" ht="24.5" customHeight="1" x14ac:dyDescent="0.3">
      <c r="A4" s="23" t="s">
        <v>3</v>
      </c>
      <c r="B4" s="24" t="s">
        <v>6</v>
      </c>
      <c r="C4" s="25" t="s">
        <v>395</v>
      </c>
      <c r="D4" s="26" t="s">
        <v>396</v>
      </c>
      <c r="E4" s="26" t="s">
        <v>397</v>
      </c>
      <c r="F4" s="26" t="s">
        <v>398</v>
      </c>
      <c r="G4" s="26" t="s">
        <v>399</v>
      </c>
      <c r="H4" s="26" t="s">
        <v>400</v>
      </c>
      <c r="I4" s="27" t="s">
        <v>401</v>
      </c>
      <c r="J4" s="638" t="s">
        <v>4001</v>
      </c>
      <c r="K4" s="638" t="s">
        <v>4002</v>
      </c>
      <c r="L4" s="27" t="s">
        <v>4003</v>
      </c>
    </row>
    <row r="5" spans="1:13" ht="24" customHeight="1" x14ac:dyDescent="0.3">
      <c r="A5" s="112"/>
      <c r="B5" s="20"/>
      <c r="C5" s="21">
        <v>1</v>
      </c>
      <c r="D5" s="641">
        <v>2.1100000000000001E-2</v>
      </c>
      <c r="E5" s="641">
        <v>4.1799999999999997E-2</v>
      </c>
      <c r="F5" s="641">
        <v>6.2700000000000006E-2</v>
      </c>
      <c r="G5" s="641">
        <v>6.2700000000000006E-2</v>
      </c>
      <c r="H5" s="641">
        <v>0.20110000000000006</v>
      </c>
      <c r="I5" s="641">
        <v>0.18970000000000001</v>
      </c>
      <c r="J5" s="641">
        <v>0.18970000000000001</v>
      </c>
      <c r="K5" s="641">
        <v>0.15179999999999999</v>
      </c>
      <c r="L5" s="641">
        <v>7.9399999999999998E-2</v>
      </c>
      <c r="M5" s="642"/>
    </row>
    <row r="6" spans="1:13" ht="24" customHeight="1" x14ac:dyDescent="0.3">
      <c r="A6" s="113">
        <v>1</v>
      </c>
      <c r="B6" s="110" t="s">
        <v>12</v>
      </c>
      <c r="C6" s="22">
        <v>1454666.71</v>
      </c>
      <c r="D6" s="639">
        <v>30693.467581000001</v>
      </c>
      <c r="E6" s="639">
        <v>60805.068477999994</v>
      </c>
      <c r="F6" s="639">
        <v>91207.602717000002</v>
      </c>
      <c r="G6" s="639">
        <v>91207.602717000002</v>
      </c>
      <c r="H6" s="639">
        <v>292533.47538100008</v>
      </c>
      <c r="I6" s="639">
        <v>275950.27488699998</v>
      </c>
      <c r="J6" s="639">
        <v>275950.27488699998</v>
      </c>
      <c r="K6" s="639">
        <v>220818.40657799999</v>
      </c>
      <c r="L6" s="639">
        <v>115500.53677399999</v>
      </c>
    </row>
    <row r="7" spans="1:13" ht="24" customHeight="1" x14ac:dyDescent="0.3">
      <c r="A7" s="114"/>
      <c r="C7" s="21">
        <v>1</v>
      </c>
      <c r="D7" s="643">
        <v>0.5</v>
      </c>
      <c r="E7" s="640" t="s">
        <v>402</v>
      </c>
      <c r="F7" s="640" t="s">
        <v>402</v>
      </c>
      <c r="G7" s="640" t="s">
        <v>402</v>
      </c>
      <c r="H7" s="640" t="s">
        <v>402</v>
      </c>
      <c r="I7" s="640"/>
      <c r="J7" s="640"/>
      <c r="K7" s="640"/>
      <c r="L7" s="643">
        <v>0.5</v>
      </c>
    </row>
    <row r="8" spans="1:13" ht="24" customHeight="1" x14ac:dyDescent="0.3">
      <c r="A8" s="115">
        <v>2</v>
      </c>
      <c r="B8" s="111" t="s">
        <v>123</v>
      </c>
      <c r="C8" s="22">
        <v>36998.720000000001</v>
      </c>
      <c r="D8" s="639">
        <v>18499.36</v>
      </c>
      <c r="E8" s="639"/>
      <c r="F8" s="639"/>
      <c r="G8" s="639"/>
      <c r="H8" s="639"/>
      <c r="I8" s="639"/>
      <c r="J8" s="639"/>
      <c r="K8" s="639"/>
      <c r="L8" s="639">
        <v>18499.36</v>
      </c>
    </row>
    <row r="9" spans="1:13" ht="24" customHeight="1" x14ac:dyDescent="0.3">
      <c r="A9" s="112"/>
      <c r="B9" s="20"/>
      <c r="C9" s="21">
        <v>1</v>
      </c>
      <c r="D9" s="643">
        <v>0.9</v>
      </c>
      <c r="E9" s="640" t="s">
        <v>402</v>
      </c>
      <c r="F9" s="640" t="s">
        <v>402</v>
      </c>
      <c r="G9" s="640" t="s">
        <v>402</v>
      </c>
      <c r="H9" s="640" t="s">
        <v>402</v>
      </c>
      <c r="I9" s="640"/>
      <c r="J9" s="640"/>
      <c r="K9" s="640"/>
      <c r="L9" s="643">
        <v>0.1</v>
      </c>
    </row>
    <row r="10" spans="1:13" ht="24" customHeight="1" x14ac:dyDescent="0.3">
      <c r="A10" s="113">
        <v>3</v>
      </c>
      <c r="B10" s="110" t="s">
        <v>128</v>
      </c>
      <c r="C10" s="22">
        <v>296160.41999999993</v>
      </c>
      <c r="D10" s="639">
        <v>266544.37799999997</v>
      </c>
      <c r="E10" s="639"/>
      <c r="F10" s="639"/>
      <c r="G10" s="639"/>
      <c r="H10" s="639"/>
      <c r="I10" s="639"/>
      <c r="J10" s="639"/>
      <c r="K10" s="639"/>
      <c r="L10" s="639">
        <v>29616.041999999994</v>
      </c>
    </row>
    <row r="11" spans="1:13" ht="24" customHeight="1" x14ac:dyDescent="0.3">
      <c r="A11" s="114"/>
      <c r="C11" s="21">
        <v>1</v>
      </c>
      <c r="D11" s="640" t="s">
        <v>402</v>
      </c>
      <c r="E11" s="643">
        <v>0.2</v>
      </c>
      <c r="F11" s="643">
        <v>0.3</v>
      </c>
      <c r="G11" s="643">
        <v>0.3</v>
      </c>
      <c r="H11" s="643">
        <v>0.2</v>
      </c>
      <c r="I11" s="640"/>
      <c r="J11" s="640"/>
      <c r="K11" s="640"/>
      <c r="L11" s="640" t="s">
        <v>402</v>
      </c>
    </row>
    <row r="12" spans="1:13" ht="24" customHeight="1" x14ac:dyDescent="0.3">
      <c r="A12" s="115">
        <v>4</v>
      </c>
      <c r="B12" s="111" t="s">
        <v>2087</v>
      </c>
      <c r="C12" s="22">
        <v>2824568.4799999995</v>
      </c>
      <c r="D12" s="639"/>
      <c r="E12" s="639">
        <v>564913.69599999988</v>
      </c>
      <c r="F12" s="639">
        <v>847370.54399999988</v>
      </c>
      <c r="G12" s="639">
        <v>847370.54399999988</v>
      </c>
      <c r="H12" s="639">
        <v>564913.69599999988</v>
      </c>
      <c r="I12" s="639"/>
      <c r="J12" s="639"/>
      <c r="K12" s="639"/>
      <c r="L12" s="639"/>
    </row>
    <row r="13" spans="1:13" ht="24" customHeight="1" x14ac:dyDescent="0.3">
      <c r="A13" s="112"/>
      <c r="B13" s="20"/>
      <c r="C13" s="21">
        <v>0.99999999999999989</v>
      </c>
      <c r="D13" s="640" t="s">
        <v>402</v>
      </c>
      <c r="E13" s="640" t="s">
        <v>402</v>
      </c>
      <c r="F13" s="640"/>
      <c r="G13" s="640"/>
      <c r="H13" s="643">
        <v>0.2</v>
      </c>
      <c r="I13" s="643">
        <v>0.25</v>
      </c>
      <c r="J13" s="643">
        <v>0.25</v>
      </c>
      <c r="K13" s="643">
        <v>0.2</v>
      </c>
      <c r="L13" s="643">
        <v>0.1</v>
      </c>
    </row>
    <row r="14" spans="1:13" ht="24" customHeight="1" x14ac:dyDescent="0.3">
      <c r="A14" s="113">
        <v>5</v>
      </c>
      <c r="B14" s="110" t="s">
        <v>2088</v>
      </c>
      <c r="C14" s="22">
        <v>10259177.830000002</v>
      </c>
      <c r="D14" s="639"/>
      <c r="E14" s="639"/>
      <c r="F14" s="639">
        <v>0</v>
      </c>
      <c r="G14" s="639">
        <v>0</v>
      </c>
      <c r="H14" s="639">
        <v>2051835.5660000006</v>
      </c>
      <c r="I14" s="639">
        <v>2564794.4575000005</v>
      </c>
      <c r="J14" s="639">
        <v>2564794.4575000005</v>
      </c>
      <c r="K14" s="639">
        <v>2051835.5660000006</v>
      </c>
      <c r="L14" s="639">
        <v>1025917.7830000003</v>
      </c>
    </row>
    <row r="15" spans="1:13" x14ac:dyDescent="0.3">
      <c r="A15" s="72"/>
      <c r="B15" s="73"/>
      <c r="C15" s="74"/>
      <c r="D15" s="75"/>
      <c r="E15" s="75"/>
      <c r="F15" s="75"/>
      <c r="G15" s="75"/>
      <c r="H15" s="75"/>
      <c r="I15" s="75"/>
      <c r="J15" s="75"/>
      <c r="K15" s="75"/>
      <c r="L15" s="76"/>
    </row>
    <row r="16" spans="1:13" x14ac:dyDescent="0.3">
      <c r="A16" s="645" t="s">
        <v>403</v>
      </c>
      <c r="B16" s="699"/>
      <c r="C16" s="19"/>
      <c r="D16" s="15">
        <v>2.123092314545175E-2</v>
      </c>
      <c r="E16" s="15">
        <v>4.207482287319915E-2</v>
      </c>
      <c r="F16" s="15">
        <v>6.3112234309798732E-2</v>
      </c>
      <c r="G16" s="15">
        <v>6.3112234309798732E-2</v>
      </c>
      <c r="H16" s="15">
        <v>0.19562711366899624</v>
      </c>
      <c r="I16" s="15">
        <v>0.19101845466128578</v>
      </c>
      <c r="J16" s="15">
        <v>0.19101845466128578</v>
      </c>
      <c r="K16" s="15">
        <v>0.15281867633946242</v>
      </c>
      <c r="L16" s="15">
        <v>7.9987086030721313E-2</v>
      </c>
    </row>
    <row r="17" spans="1:14" x14ac:dyDescent="0.3">
      <c r="A17" s="645" t="s">
        <v>404</v>
      </c>
      <c r="B17" s="645"/>
      <c r="C17" s="8"/>
      <c r="D17" s="16">
        <v>315737.20558099996</v>
      </c>
      <c r="E17" s="16">
        <v>625718.76447799988</v>
      </c>
      <c r="F17" s="16">
        <v>938578.14671699982</v>
      </c>
      <c r="G17" s="16">
        <v>938578.14671699982</v>
      </c>
      <c r="H17" s="16">
        <v>2909282.7373810005</v>
      </c>
      <c r="I17" s="16">
        <v>2840744.7323870007</v>
      </c>
      <c r="J17" s="16">
        <v>2840744.7323870007</v>
      </c>
      <c r="K17" s="16">
        <v>2272653.9725780007</v>
      </c>
      <c r="L17" s="16">
        <v>1189533.7217740002</v>
      </c>
    </row>
    <row r="18" spans="1:14" x14ac:dyDescent="0.3">
      <c r="A18" s="645" t="s">
        <v>405</v>
      </c>
      <c r="B18" s="645"/>
      <c r="C18" s="8"/>
      <c r="D18" s="17">
        <v>2.123092314545175E-2</v>
      </c>
      <c r="E18" s="17">
        <v>6.3305746018650896E-2</v>
      </c>
      <c r="F18" s="17">
        <v>0.12641798032844964</v>
      </c>
      <c r="G18" s="17">
        <v>0.18953021463824837</v>
      </c>
      <c r="H18" s="17">
        <v>0.38515732830724458</v>
      </c>
      <c r="I18" s="17">
        <v>0.57617578296853034</v>
      </c>
      <c r="J18" s="17">
        <v>0.76719423762981609</v>
      </c>
      <c r="K18" s="17">
        <v>0.92001291396927853</v>
      </c>
      <c r="L18" s="17">
        <v>0.99999999999999989</v>
      </c>
    </row>
    <row r="19" spans="1:14" x14ac:dyDescent="0.3">
      <c r="A19" s="645" t="s">
        <v>406</v>
      </c>
      <c r="B19" s="645"/>
      <c r="C19" s="8"/>
      <c r="D19" s="18">
        <v>315737.20558099996</v>
      </c>
      <c r="E19" s="18">
        <v>941455.97005899984</v>
      </c>
      <c r="F19" s="18">
        <v>1880034.1167759998</v>
      </c>
      <c r="G19" s="18">
        <v>2818612.2634929996</v>
      </c>
      <c r="H19" s="18">
        <v>5727895.0008739997</v>
      </c>
      <c r="I19" s="18">
        <v>8568639.7332610004</v>
      </c>
      <c r="J19" s="18">
        <v>11409384.465648001</v>
      </c>
      <c r="K19" s="18">
        <v>13682038.438226001</v>
      </c>
      <c r="L19" s="18">
        <v>14871572.160000002</v>
      </c>
    </row>
    <row r="20" spans="1:14" x14ac:dyDescent="0.3">
      <c r="A20" s="10"/>
      <c r="B20" s="10"/>
      <c r="C20" s="10"/>
      <c r="D20" s="10"/>
      <c r="E20" s="10"/>
      <c r="F20" s="10"/>
      <c r="G20" s="10"/>
    </row>
    <row r="21" spans="1:14" ht="70" customHeight="1" x14ac:dyDescent="0.3">
      <c r="A21" s="648"/>
      <c r="B21" s="648"/>
      <c r="C21" s="648"/>
      <c r="D21" s="648"/>
      <c r="E21" s="648"/>
      <c r="F21" s="648"/>
      <c r="G21" s="648"/>
      <c r="H21" s="648"/>
      <c r="I21" s="648"/>
      <c r="J21" s="648"/>
      <c r="K21" s="648"/>
      <c r="L21" s="648"/>
    </row>
    <row r="25" spans="1:14" x14ac:dyDescent="0.3">
      <c r="C25" s="417"/>
      <c r="D25" s="417"/>
      <c r="E25" s="417"/>
      <c r="F25" s="417"/>
      <c r="G25" s="417"/>
      <c r="H25" s="417"/>
      <c r="I25" s="417"/>
      <c r="J25" s="417"/>
      <c r="K25" s="417"/>
      <c r="L25" s="417"/>
      <c r="M25" s="417"/>
      <c r="N25" s="417"/>
    </row>
    <row r="26" spans="1:14" x14ac:dyDescent="0.3">
      <c r="C26" s="417"/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7"/>
    </row>
    <row r="27" spans="1:14" x14ac:dyDescent="0.3"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</row>
  </sheetData>
  <mergeCells count="8">
    <mergeCell ref="A21:L21"/>
    <mergeCell ref="A19:B19"/>
    <mergeCell ref="G1:H1"/>
    <mergeCell ref="A16:B16"/>
    <mergeCell ref="A17:B17"/>
    <mergeCell ref="A18:B18"/>
    <mergeCell ref="D2:E2"/>
    <mergeCell ref="F2:H2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51" firstPageNumber="267" orientation="landscape" useFirstPageNumber="1" r:id="rId1"/>
  <headerFooter>
    <oddHeader>&amp;L &amp;CSECRETARIA DE ESTADO DE OBRAS E INFRAESTRUTURA DO DISTRITO FEDERAL - SODF
CNPJ: 00.394.742/0001-49 &amp;R</oddHeader>
    <oddFooter>&amp;L &amp;CSetor de Áreas Públicas Bloco A-15 - Zona Industrial (Guará) - Brasília / DF
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507EE-C47A-4925-9A09-ED6316B2574C}">
  <sheetPr codeName="Planilha4">
    <tabColor rgb="FFFFFF00"/>
  </sheetPr>
  <dimension ref="B1:P407"/>
  <sheetViews>
    <sheetView showGridLines="0" topLeftCell="A392" workbookViewId="0">
      <selection activeCell="B2" sqref="B2:B407"/>
    </sheetView>
  </sheetViews>
  <sheetFormatPr defaultColWidth="9" defaultRowHeight="14.5" x14ac:dyDescent="0.35"/>
  <cols>
    <col min="1" max="1" width="9" style="29"/>
    <col min="2" max="2" width="7.58203125" style="30" customWidth="1"/>
    <col min="3" max="3" width="13.08203125" style="30" customWidth="1"/>
    <col min="4" max="4" width="10.58203125" style="30" customWidth="1"/>
    <col min="5" max="5" width="10.5" style="30" customWidth="1"/>
    <col min="6" max="6" width="59.75" style="31" customWidth="1"/>
    <col min="7" max="10" width="9" style="30"/>
    <col min="11" max="11" width="12.5" style="30" customWidth="1"/>
    <col min="12" max="12" width="20.58203125" style="50" customWidth="1"/>
    <col min="13" max="16384" width="9" style="29"/>
  </cols>
  <sheetData>
    <row r="1" spans="2:16" ht="43.5" x14ac:dyDescent="0.35">
      <c r="B1" s="47">
        <v>1</v>
      </c>
      <c r="C1" s="47" t="str">
        <f>ORÇAMENTO!A241</f>
        <v>4.1.2.6.43</v>
      </c>
      <c r="D1" s="47" t="str">
        <f>ORÇAMENTO!B241</f>
        <v xml:space="preserve"> 103320 </v>
      </c>
      <c r="E1" s="47" t="str">
        <f>ORÇAMENTO!C241</f>
        <v>SINAPI</v>
      </c>
      <c r="F1" s="48" t="str">
        <f>ORÇAMENTO!D241</f>
        <v>ALVENARIA DE VEDAÇÃO DE BLOCOS VAZADOS DE CONCRETO DE 19X19X39 CM (ESPESSURA 19 CM) E ARGAMASSA DE ASSENTAMENTO COM PREPARO EM BETONEIRA. AF_12/2021</v>
      </c>
      <c r="G1" s="47" t="str">
        <f>ORÇAMENTO!E241</f>
        <v>M²</v>
      </c>
      <c r="H1" s="47">
        <f>ORÇAMENTO!F241</f>
        <v>547.41</v>
      </c>
      <c r="I1" s="47">
        <f>ORÇAMENTO!G241</f>
        <v>133.38</v>
      </c>
      <c r="J1" s="47">
        <f>ORÇAMENTO!H241</f>
        <v>0.2122</v>
      </c>
      <c r="K1" s="47">
        <f>ORÇAMENTO!I241</f>
        <v>161.68</v>
      </c>
      <c r="L1" s="49">
        <f>ORÇAMENTO!J241</f>
        <v>88505.24</v>
      </c>
    </row>
    <row r="2" spans="2:16" ht="43.5" x14ac:dyDescent="0.35">
      <c r="B2" s="47">
        <f>IF(EXACT(F1,F2),B1,B1+1)</f>
        <v>1</v>
      </c>
      <c r="C2" s="47" t="str">
        <f>ORÇAMENTO!A251</f>
        <v>4.1.2.7.3</v>
      </c>
      <c r="D2" s="47" t="str">
        <f>ORÇAMENTO!B251</f>
        <v xml:space="preserve"> 103320 </v>
      </c>
      <c r="E2" s="47" t="str">
        <f>ORÇAMENTO!C251</f>
        <v>SINAPI</v>
      </c>
      <c r="F2" s="48" t="str">
        <f>ORÇAMENTO!D251</f>
        <v>ALVENARIA DE VEDAÇÃO DE BLOCOS VAZADOS DE CONCRETO DE 19X19X39 CM (ESPESSURA 19 CM) E ARGAMASSA DE ASSENTAMENTO COM PREPARO EM BETONEIRA. AF_12/2021</v>
      </c>
      <c r="G2" s="47" t="str">
        <f>ORÇAMENTO!E251</f>
        <v>M²</v>
      </c>
      <c r="H2" s="47">
        <f>ORÇAMENTO!F251</f>
        <v>38.81</v>
      </c>
      <c r="I2" s="47">
        <f>ORÇAMENTO!G251</f>
        <v>133.38</v>
      </c>
      <c r="J2" s="47">
        <f>ORÇAMENTO!H251</f>
        <v>0.2122</v>
      </c>
      <c r="K2" s="47">
        <f>ORÇAMENTO!I251</f>
        <v>161.68</v>
      </c>
      <c r="L2" s="49">
        <f>ORÇAMENTO!J251</f>
        <v>6274.8</v>
      </c>
      <c r="N2" s="29" t="str">
        <f t="shared" ref="N2:N33" si="0">IF(F2=F1,IF(G2=G1,"OK!","ERRADO"),"DIFERENTE")</f>
        <v>OK!</v>
      </c>
      <c r="O2" s="29" t="str">
        <f t="shared" ref="O2:O33" si="1">IF(F2=F1,IF(I2=I1,"OK!","ERRADO"),"DIFERENTE")</f>
        <v>OK!</v>
      </c>
      <c r="P2" s="29" t="str">
        <f t="shared" ref="P2:P33" si="2">IF(F2=F1,IF(D2=D1,"OK!","ERRADO"),"DIFERENTE")</f>
        <v>OK!</v>
      </c>
    </row>
    <row r="3" spans="2:16" ht="43.5" x14ac:dyDescent="0.35">
      <c r="B3" s="47">
        <f>IF(EXACT(F2,F3),B2,B2+1)</f>
        <v>1</v>
      </c>
      <c r="C3" s="47" t="str">
        <f>ORÇAMENTO!A451</f>
        <v>5.1.2.7.43</v>
      </c>
      <c r="D3" s="47" t="str">
        <f>ORÇAMENTO!B451</f>
        <v xml:space="preserve"> 103320 </v>
      </c>
      <c r="E3" s="47" t="str">
        <f>ORÇAMENTO!C451</f>
        <v>SINAPI</v>
      </c>
      <c r="F3" s="48" t="str">
        <f>ORÇAMENTO!D451</f>
        <v>ALVENARIA DE VEDAÇÃO DE BLOCOS VAZADOS DE CONCRETO DE 19X19X39 CM (ESPESSURA 19 CM) E ARGAMASSA DE ASSENTAMENTO COM PREPARO EM BETONEIRA. AF_12/2021</v>
      </c>
      <c r="G3" s="47" t="str">
        <f>ORÇAMENTO!E451</f>
        <v>M²</v>
      </c>
      <c r="H3" s="47">
        <f>ORÇAMENTO!F451</f>
        <v>1318.39</v>
      </c>
      <c r="I3" s="47">
        <f>ORÇAMENTO!G451</f>
        <v>133.38</v>
      </c>
      <c r="J3" s="47">
        <f>ORÇAMENTO!H451</f>
        <v>0.2122</v>
      </c>
      <c r="K3" s="47">
        <f>ORÇAMENTO!I451</f>
        <v>161.68</v>
      </c>
      <c r="L3" s="49">
        <f>ORÇAMENTO!J451</f>
        <v>213157.29</v>
      </c>
      <c r="N3" s="29" t="str">
        <f t="shared" si="0"/>
        <v>OK!</v>
      </c>
      <c r="O3" s="29" t="str">
        <f t="shared" si="1"/>
        <v>OK!</v>
      </c>
      <c r="P3" s="29" t="str">
        <f t="shared" si="2"/>
        <v>OK!</v>
      </c>
    </row>
    <row r="4" spans="2:16" ht="43.5" x14ac:dyDescent="0.35">
      <c r="B4" s="47">
        <f t="shared" ref="B4:B67" si="3">IF(EXACT(F3,F4),B3,B3+1)</f>
        <v>1</v>
      </c>
      <c r="C4" s="47" t="str">
        <f>ORÇAMENTO!A461</f>
        <v>5.1.2.8.3</v>
      </c>
      <c r="D4" s="47" t="str">
        <f>ORÇAMENTO!B461</f>
        <v xml:space="preserve"> 103320 </v>
      </c>
      <c r="E4" s="47" t="str">
        <f>ORÇAMENTO!C461</f>
        <v>SINAPI</v>
      </c>
      <c r="F4" s="48" t="str">
        <f>ORÇAMENTO!D461</f>
        <v>ALVENARIA DE VEDAÇÃO DE BLOCOS VAZADOS DE CONCRETO DE 19X19X39 CM (ESPESSURA 19 CM) E ARGAMASSA DE ASSENTAMENTO COM PREPARO EM BETONEIRA. AF_12/2021</v>
      </c>
      <c r="G4" s="47" t="str">
        <f>ORÇAMENTO!E461</f>
        <v>M²</v>
      </c>
      <c r="H4" s="47">
        <f>ORÇAMENTO!F461</f>
        <v>133.78</v>
      </c>
      <c r="I4" s="47">
        <f>ORÇAMENTO!G461</f>
        <v>133.38</v>
      </c>
      <c r="J4" s="47">
        <f>ORÇAMENTO!H461</f>
        <v>0.2122</v>
      </c>
      <c r="K4" s="47">
        <f>ORÇAMENTO!I461</f>
        <v>161.68</v>
      </c>
      <c r="L4" s="49">
        <f>ORÇAMENTO!J461</f>
        <v>21629.55</v>
      </c>
      <c r="N4" s="29" t="str">
        <f t="shared" si="0"/>
        <v>OK!</v>
      </c>
      <c r="O4" s="29" t="str">
        <f t="shared" si="1"/>
        <v>OK!</v>
      </c>
      <c r="P4" s="29" t="str">
        <f t="shared" si="2"/>
        <v>OK!</v>
      </c>
    </row>
    <row r="5" spans="2:16" x14ac:dyDescent="0.35">
      <c r="B5" s="47">
        <f t="shared" si="3"/>
        <v>2</v>
      </c>
      <c r="C5" s="47" t="str">
        <f>ORÇAMENTO!A240</f>
        <v>4.1.2.6.42</v>
      </c>
      <c r="D5" s="47" t="str">
        <f>ORÇAMENTO!B240</f>
        <v xml:space="preserve"> 0407819 </v>
      </c>
      <c r="E5" s="47" t="str">
        <f>ORÇAMENTO!C240</f>
        <v>SICRO3</v>
      </c>
      <c r="F5" s="48" t="str">
        <f>ORÇAMENTO!D240</f>
        <v>ARMAÇÃO EM AÇO CA-50 - FORNECIMENTO, PREPARO E COLOCAÇÃO</v>
      </c>
      <c r="G5" s="47" t="str">
        <f>ORÇAMENTO!E240</f>
        <v>KG</v>
      </c>
      <c r="H5" s="47">
        <f>ORÇAMENTO!F240</f>
        <v>1632</v>
      </c>
      <c r="I5" s="47">
        <f>ORÇAMENTO!G240</f>
        <v>12.15</v>
      </c>
      <c r="J5" s="47">
        <f>ORÇAMENTO!H240</f>
        <v>0.2122</v>
      </c>
      <c r="K5" s="47">
        <f>ORÇAMENTO!I240</f>
        <v>14.73</v>
      </c>
      <c r="L5" s="49">
        <f>ORÇAMENTO!J240</f>
        <v>24039.360000000001</v>
      </c>
      <c r="N5" s="29" t="str">
        <f t="shared" si="0"/>
        <v>DIFERENTE</v>
      </c>
      <c r="O5" s="29" t="str">
        <f t="shared" si="1"/>
        <v>DIFERENTE</v>
      </c>
      <c r="P5" s="29" t="str">
        <f t="shared" si="2"/>
        <v>DIFERENTE</v>
      </c>
    </row>
    <row r="6" spans="2:16" x14ac:dyDescent="0.35">
      <c r="B6" s="47">
        <f t="shared" si="3"/>
        <v>2</v>
      </c>
      <c r="C6" s="47" t="str">
        <f>ORÇAMENTO!A256</f>
        <v>4.1.2.7.8</v>
      </c>
      <c r="D6" s="47" t="str">
        <f>ORÇAMENTO!B256</f>
        <v xml:space="preserve"> 0407819 </v>
      </c>
      <c r="E6" s="47" t="str">
        <f>ORÇAMENTO!C256</f>
        <v>SICRO3</v>
      </c>
      <c r="F6" s="48" t="str">
        <f>ORÇAMENTO!D256</f>
        <v>ARMAÇÃO EM AÇO CA-50 - FORNECIMENTO, PREPARO E COLOCAÇÃO</v>
      </c>
      <c r="G6" s="47" t="str">
        <f>ORÇAMENTO!E256</f>
        <v>KG</v>
      </c>
      <c r="H6" s="47">
        <f>ORÇAMENTO!F256</f>
        <v>2742.83</v>
      </c>
      <c r="I6" s="47">
        <f>ORÇAMENTO!G256</f>
        <v>12.15</v>
      </c>
      <c r="J6" s="47">
        <f>ORÇAMENTO!H256</f>
        <v>0.2122</v>
      </c>
      <c r="K6" s="47">
        <f>ORÇAMENTO!I256</f>
        <v>14.73</v>
      </c>
      <c r="L6" s="49">
        <f>ORÇAMENTO!J256</f>
        <v>40401.879999999997</v>
      </c>
      <c r="N6" s="29" t="str">
        <f t="shared" si="0"/>
        <v>OK!</v>
      </c>
      <c r="O6" s="29" t="str">
        <f t="shared" si="1"/>
        <v>OK!</v>
      </c>
      <c r="P6" s="29" t="str">
        <f t="shared" si="2"/>
        <v>OK!</v>
      </c>
    </row>
    <row r="7" spans="2:16" x14ac:dyDescent="0.35">
      <c r="B7" s="47">
        <f t="shared" si="3"/>
        <v>2</v>
      </c>
      <c r="C7" s="47" t="str">
        <f>ORÇAMENTO!A450</f>
        <v>5.1.2.7.42</v>
      </c>
      <c r="D7" s="47" t="str">
        <f>ORÇAMENTO!B450</f>
        <v xml:space="preserve"> 0407819 </v>
      </c>
      <c r="E7" s="47" t="str">
        <f>ORÇAMENTO!C450</f>
        <v>SICRO3</v>
      </c>
      <c r="F7" s="48" t="str">
        <f>ORÇAMENTO!D450</f>
        <v>ARMAÇÃO EM AÇO CA-50 - FORNECIMENTO, PREPARO E COLOCAÇÃO</v>
      </c>
      <c r="G7" s="47" t="str">
        <f>ORÇAMENTO!E450</f>
        <v>KG</v>
      </c>
      <c r="H7" s="47">
        <f>ORÇAMENTO!F450</f>
        <v>3200</v>
      </c>
      <c r="I7" s="47">
        <f>ORÇAMENTO!G450</f>
        <v>12.15</v>
      </c>
      <c r="J7" s="47">
        <f>ORÇAMENTO!H450</f>
        <v>0.2122</v>
      </c>
      <c r="K7" s="47">
        <f>ORÇAMENTO!I450</f>
        <v>14.73</v>
      </c>
      <c r="L7" s="49">
        <f>ORÇAMENTO!J450</f>
        <v>47136</v>
      </c>
      <c r="N7" s="29" t="str">
        <f t="shared" si="0"/>
        <v>OK!</v>
      </c>
      <c r="O7" s="29" t="str">
        <f t="shared" si="1"/>
        <v>OK!</v>
      </c>
      <c r="P7" s="29" t="str">
        <f t="shared" si="2"/>
        <v>OK!</v>
      </c>
    </row>
    <row r="8" spans="2:16" x14ac:dyDescent="0.35">
      <c r="B8" s="47">
        <f t="shared" si="3"/>
        <v>2</v>
      </c>
      <c r="C8" s="47" t="str">
        <f>ORÇAMENTO!A466</f>
        <v>5.1.2.8.8</v>
      </c>
      <c r="D8" s="47" t="str">
        <f>ORÇAMENTO!B466</f>
        <v xml:space="preserve"> 0407819 </v>
      </c>
      <c r="E8" s="47" t="str">
        <f>ORÇAMENTO!C466</f>
        <v>SICRO3</v>
      </c>
      <c r="F8" s="48" t="str">
        <f>ORÇAMENTO!D466</f>
        <v>ARMAÇÃO EM AÇO CA-50 - FORNECIMENTO, PREPARO E COLOCAÇÃO</v>
      </c>
      <c r="G8" s="47" t="str">
        <f>ORÇAMENTO!E466</f>
        <v>KG</v>
      </c>
      <c r="H8" s="47">
        <f>ORÇAMENTO!F466</f>
        <v>3687.01</v>
      </c>
      <c r="I8" s="47">
        <f>ORÇAMENTO!G466</f>
        <v>12.15</v>
      </c>
      <c r="J8" s="47">
        <f>ORÇAMENTO!H466</f>
        <v>0.2122</v>
      </c>
      <c r="K8" s="47">
        <f>ORÇAMENTO!I466</f>
        <v>14.73</v>
      </c>
      <c r="L8" s="49">
        <f>ORÇAMENTO!J466</f>
        <v>54309.65</v>
      </c>
      <c r="N8" s="29" t="str">
        <f t="shared" si="0"/>
        <v>OK!</v>
      </c>
      <c r="O8" s="29" t="str">
        <f t="shared" si="1"/>
        <v>OK!</v>
      </c>
      <c r="P8" s="29" t="str">
        <f t="shared" si="2"/>
        <v>OK!</v>
      </c>
    </row>
    <row r="9" spans="2:16" x14ac:dyDescent="0.35">
      <c r="B9" s="47">
        <f t="shared" si="3"/>
        <v>2</v>
      </c>
      <c r="C9" s="47" t="str">
        <f>ORÇAMENTO!A473</f>
        <v>5.1.2.9.5</v>
      </c>
      <c r="D9" s="47" t="str">
        <f>ORÇAMENTO!B473</f>
        <v xml:space="preserve"> 0407819 </v>
      </c>
      <c r="E9" s="47" t="str">
        <f>ORÇAMENTO!C473</f>
        <v>SICRO3</v>
      </c>
      <c r="F9" s="48" t="str">
        <f>ORÇAMENTO!D473</f>
        <v>ARMAÇÃO EM AÇO CA-50 - FORNECIMENTO, PREPARO E COLOCAÇÃO</v>
      </c>
      <c r="G9" s="47" t="str">
        <f>ORÇAMENTO!E473</f>
        <v>KG</v>
      </c>
      <c r="H9" s="47">
        <f>ORÇAMENTO!F473</f>
        <v>14935</v>
      </c>
      <c r="I9" s="47">
        <f>ORÇAMENTO!G473</f>
        <v>12.15</v>
      </c>
      <c r="J9" s="47">
        <f>ORÇAMENTO!H473</f>
        <v>0.2122</v>
      </c>
      <c r="K9" s="47">
        <f>ORÇAMENTO!I473</f>
        <v>14.73</v>
      </c>
      <c r="L9" s="49">
        <f>ORÇAMENTO!J473</f>
        <v>219992.55</v>
      </c>
      <c r="N9" s="29" t="str">
        <f t="shared" si="0"/>
        <v>OK!</v>
      </c>
      <c r="O9" s="29" t="str">
        <f t="shared" si="1"/>
        <v>OK!</v>
      </c>
      <c r="P9" s="29" t="str">
        <f t="shared" si="2"/>
        <v>OK!</v>
      </c>
    </row>
    <row r="10" spans="2:16" x14ac:dyDescent="0.35">
      <c r="B10" s="47">
        <f t="shared" si="3"/>
        <v>2</v>
      </c>
      <c r="C10" s="47" t="str">
        <f>ORÇAMENTO!A482</f>
        <v>5.1.2.10.7</v>
      </c>
      <c r="D10" s="47" t="str">
        <f>ORÇAMENTO!B482</f>
        <v xml:space="preserve"> 0407819 </v>
      </c>
      <c r="E10" s="47" t="str">
        <f>ORÇAMENTO!C482</f>
        <v>SICRO3</v>
      </c>
      <c r="F10" s="48" t="str">
        <f>ORÇAMENTO!D482</f>
        <v>ARMAÇÃO EM AÇO CA-50 - FORNECIMENTO, PREPARO E COLOCAÇÃO</v>
      </c>
      <c r="G10" s="47" t="str">
        <f>ORÇAMENTO!E482</f>
        <v>KG</v>
      </c>
      <c r="H10" s="47">
        <f>ORÇAMENTO!F482</f>
        <v>2515.39</v>
      </c>
      <c r="I10" s="47">
        <f>ORÇAMENTO!G482</f>
        <v>12.15</v>
      </c>
      <c r="J10" s="47">
        <f>ORÇAMENTO!H482</f>
        <v>0.2122</v>
      </c>
      <c r="K10" s="47">
        <f>ORÇAMENTO!I482</f>
        <v>14.73</v>
      </c>
      <c r="L10" s="49">
        <f>ORÇAMENTO!J482</f>
        <v>37051.69</v>
      </c>
      <c r="N10" s="29" t="str">
        <f t="shared" si="0"/>
        <v>OK!</v>
      </c>
      <c r="O10" s="29" t="str">
        <f t="shared" si="1"/>
        <v>OK!</v>
      </c>
      <c r="P10" s="29" t="str">
        <f t="shared" si="2"/>
        <v>OK!</v>
      </c>
    </row>
    <row r="11" spans="2:16" ht="43.5" x14ac:dyDescent="0.35">
      <c r="B11" s="47">
        <f t="shared" si="3"/>
        <v>3</v>
      </c>
      <c r="C11" s="47" t="str">
        <f>ORÇAMENTO!A522</f>
        <v>5.4.4.14</v>
      </c>
      <c r="D11" s="47" t="str">
        <f>ORÇAMENTO!B522</f>
        <v xml:space="preserve"> 94273 </v>
      </c>
      <c r="E11" s="47" t="str">
        <f>ORÇAMENTO!C522</f>
        <v>SINAPI</v>
      </c>
      <c r="F11" s="48" t="str">
        <f>ORÇAMENTO!D522</f>
        <v>ASSENTAMENTO DE GUIA (MEIO-FIO) EM TRECHO RETO, CONFECCIONADA EM CONCRETO PRÉ-FABRICADO, DIMENSÕES 100X15X13X30 CM (COMPRIMENTO X BASE INFERIOR X BASE SUPERIOR X ALTURA). AF_01/2024</v>
      </c>
      <c r="G11" s="47" t="str">
        <f>ORÇAMENTO!E522</f>
        <v>M</v>
      </c>
      <c r="H11" s="47">
        <f>ORÇAMENTO!F522</f>
        <v>2607.6000000000004</v>
      </c>
      <c r="I11" s="47">
        <f>ORÇAMENTO!G522</f>
        <v>48.36</v>
      </c>
      <c r="J11" s="47">
        <f>ORÇAMENTO!H522</f>
        <v>0.2122</v>
      </c>
      <c r="K11" s="47">
        <f>ORÇAMENTO!I522</f>
        <v>58.62</v>
      </c>
      <c r="L11" s="107">
        <f>ORÇAMENTO!J522</f>
        <v>152857.51</v>
      </c>
      <c r="N11" s="29" t="str">
        <f t="shared" si="0"/>
        <v>DIFERENTE</v>
      </c>
      <c r="O11" s="29" t="str">
        <f t="shared" si="1"/>
        <v>DIFERENTE</v>
      </c>
      <c r="P11" s="29" t="str">
        <f t="shared" si="2"/>
        <v>DIFERENTE</v>
      </c>
    </row>
    <row r="12" spans="2:16" ht="58" x14ac:dyDescent="0.35">
      <c r="B12" s="47">
        <f t="shared" si="3"/>
        <v>4</v>
      </c>
      <c r="C12" s="47" t="str">
        <f>ORÇAMENTO!A184</f>
        <v>4.1.2.4.18</v>
      </c>
      <c r="D12" s="47" t="str">
        <f>ORÇAMENTO!B184</f>
        <v xml:space="preserve"> 92828 </v>
      </c>
      <c r="E12" s="47" t="str">
        <f>ORÇAMENTO!C184</f>
        <v>SINAPI</v>
      </c>
      <c r="F12" s="48" t="str">
        <f>ORÇAMENTO!D184</f>
        <v>ASSENTAMENTO DE TUBO DE CONCRETO PARA REDES COLETORAS DE ÁGUAS PLUVIAIS, DIÂMETRO DE 1000 MM, JUNTA RÍGIDA, INSTALADO EM LOCAL COM ALTO NÍVEL DE INTERFERÊNCIAS (NÃO INCLUI FORNECIMENTO). AF_03/2024</v>
      </c>
      <c r="G12" s="47" t="str">
        <f>ORÇAMENTO!E184</f>
        <v>M</v>
      </c>
      <c r="H12" s="47">
        <f>ORÇAMENTO!F184</f>
        <v>73.617146766307656</v>
      </c>
      <c r="I12" s="47">
        <f>ORÇAMENTO!G184</f>
        <v>108</v>
      </c>
      <c r="J12" s="47">
        <f>ORÇAMENTO!H184</f>
        <v>0.2122</v>
      </c>
      <c r="K12" s="47">
        <f>ORÇAMENTO!I184</f>
        <v>130.91999999999999</v>
      </c>
      <c r="L12" s="49">
        <f>ORÇAMENTO!J184</f>
        <v>9637.9500000000007</v>
      </c>
      <c r="N12" s="29" t="str">
        <f t="shared" si="0"/>
        <v>DIFERENTE</v>
      </c>
      <c r="O12" s="29" t="str">
        <f t="shared" si="1"/>
        <v>DIFERENTE</v>
      </c>
      <c r="P12" s="29" t="str">
        <f t="shared" si="2"/>
        <v>DIFERENTE</v>
      </c>
    </row>
    <row r="13" spans="2:16" ht="58" x14ac:dyDescent="0.35">
      <c r="B13" s="47">
        <f t="shared" si="3"/>
        <v>4</v>
      </c>
      <c r="C13" s="47" t="str">
        <f>ORÇAMENTO!A385</f>
        <v>5.1.2.4.20</v>
      </c>
      <c r="D13" s="47" t="str">
        <f>ORÇAMENTO!B385</f>
        <v xml:space="preserve"> 92828 </v>
      </c>
      <c r="E13" s="47" t="str">
        <f>ORÇAMENTO!C385</f>
        <v>SINAPI</v>
      </c>
      <c r="F13" s="48" t="str">
        <f>ORÇAMENTO!D385</f>
        <v>ASSENTAMENTO DE TUBO DE CONCRETO PARA REDES COLETORAS DE ÁGUAS PLUVIAIS, DIÂMETRO DE 1000 MM, JUNTA RÍGIDA, INSTALADO EM LOCAL COM ALTO NÍVEL DE INTERFERÊNCIAS (NÃO INCLUI FORNECIMENTO). AF_03/2024</v>
      </c>
      <c r="G13" s="47" t="str">
        <f>ORÇAMENTO!E385</f>
        <v>M</v>
      </c>
      <c r="H13" s="47">
        <f>ORÇAMENTO!F385</f>
        <v>382.63</v>
      </c>
      <c r="I13" s="47">
        <f>ORÇAMENTO!G385</f>
        <v>108</v>
      </c>
      <c r="J13" s="47">
        <f>ORÇAMENTO!H385</f>
        <v>0.2122</v>
      </c>
      <c r="K13" s="47">
        <f>ORÇAMENTO!I385</f>
        <v>130.91999999999999</v>
      </c>
      <c r="L13" s="49">
        <f>ORÇAMENTO!J385</f>
        <v>50093.91</v>
      </c>
      <c r="N13" s="29" t="str">
        <f t="shared" si="0"/>
        <v>OK!</v>
      </c>
      <c r="O13" s="29" t="str">
        <f t="shared" si="1"/>
        <v>OK!</v>
      </c>
      <c r="P13" s="29" t="str">
        <f t="shared" si="2"/>
        <v>OK!</v>
      </c>
    </row>
    <row r="14" spans="2:16" ht="58" x14ac:dyDescent="0.35">
      <c r="B14" s="47">
        <f t="shared" si="3"/>
        <v>5</v>
      </c>
      <c r="C14" s="47" t="str">
        <f>ORÇAMENTO!A185</f>
        <v>4.1.2.4.19</v>
      </c>
      <c r="D14" s="47" t="str">
        <f>ORÇAMENTO!B185</f>
        <v xml:space="preserve"> 92830 </v>
      </c>
      <c r="E14" s="47" t="str">
        <f>ORÇAMENTO!C185</f>
        <v>SINAPI</v>
      </c>
      <c r="F14" s="48" t="str">
        <f>ORÇAMENTO!D185</f>
        <v>ASSENTAMENTO DE TUBO DE CONCRETO PARA REDES COLETORAS DE ÁGUAS PLUVIAIS, DIÂMETRO DE 1200 MM, JUNTA RÍGIDA, INSTALADO EM LOCAL COM ALTO NÍVEL DE INTERFERÊNCIAS (NÃO INCLUI FORNECIMENTO). AF_03/2024</v>
      </c>
      <c r="G14" s="47" t="str">
        <f>ORÇAMENTO!E185</f>
        <v>M</v>
      </c>
      <c r="H14" s="47">
        <f>ORÇAMENTO!F185</f>
        <v>144.87</v>
      </c>
      <c r="I14" s="47">
        <f>ORÇAMENTO!G185</f>
        <v>133.19</v>
      </c>
      <c r="J14" s="47">
        <f>ORÇAMENTO!H185</f>
        <v>0.2122</v>
      </c>
      <c r="K14" s="47">
        <f>ORÇAMENTO!I185</f>
        <v>161.44999999999999</v>
      </c>
      <c r="L14" s="49">
        <f>ORÇAMENTO!J185</f>
        <v>23389.26</v>
      </c>
      <c r="N14" s="29" t="str">
        <f t="shared" si="0"/>
        <v>DIFERENTE</v>
      </c>
      <c r="O14" s="29" t="str">
        <f t="shared" si="1"/>
        <v>DIFERENTE</v>
      </c>
      <c r="P14" s="29" t="str">
        <f t="shared" si="2"/>
        <v>DIFERENTE</v>
      </c>
    </row>
    <row r="15" spans="2:16" ht="58" x14ac:dyDescent="0.35">
      <c r="B15" s="47">
        <f t="shared" si="3"/>
        <v>5</v>
      </c>
      <c r="C15" s="47" t="str">
        <f>ORÇAMENTO!A386</f>
        <v>5.1.2.4.21</v>
      </c>
      <c r="D15" s="47" t="str">
        <f>ORÇAMENTO!B386</f>
        <v xml:space="preserve"> 92830 </v>
      </c>
      <c r="E15" s="47" t="str">
        <f>ORÇAMENTO!C386</f>
        <v>SINAPI</v>
      </c>
      <c r="F15" s="48" t="str">
        <f>ORÇAMENTO!D386</f>
        <v>ASSENTAMENTO DE TUBO DE CONCRETO PARA REDES COLETORAS DE ÁGUAS PLUVIAIS, DIÂMETRO DE 1200 MM, JUNTA RÍGIDA, INSTALADO EM LOCAL COM ALTO NÍVEL DE INTERFERÊNCIAS (NÃO INCLUI FORNECIMENTO). AF_03/2024</v>
      </c>
      <c r="G15" s="47" t="str">
        <f>ORÇAMENTO!E386</f>
        <v>M</v>
      </c>
      <c r="H15" s="47">
        <f>ORÇAMENTO!F386</f>
        <v>312.52</v>
      </c>
      <c r="I15" s="47">
        <f>ORÇAMENTO!G386</f>
        <v>133.19</v>
      </c>
      <c r="J15" s="47">
        <f>ORÇAMENTO!H386</f>
        <v>0.2122</v>
      </c>
      <c r="K15" s="47">
        <f>ORÇAMENTO!I386</f>
        <v>161.44999999999999</v>
      </c>
      <c r="L15" s="49">
        <f>ORÇAMENTO!J386</f>
        <v>50456.35</v>
      </c>
      <c r="N15" s="29" t="str">
        <f t="shared" si="0"/>
        <v>OK!</v>
      </c>
      <c r="O15" s="29" t="str">
        <f t="shared" si="1"/>
        <v>OK!</v>
      </c>
      <c r="P15" s="29" t="str">
        <f t="shared" si="2"/>
        <v>OK!</v>
      </c>
    </row>
    <row r="16" spans="2:16" ht="58" x14ac:dyDescent="0.35">
      <c r="B16" s="47">
        <f t="shared" si="3"/>
        <v>6</v>
      </c>
      <c r="C16" s="47" t="str">
        <f>ORÇAMENTO!A186</f>
        <v>4.1.2.4.20</v>
      </c>
      <c r="D16" s="47" t="str">
        <f>ORÇAMENTO!B186</f>
        <v xml:space="preserve"> 92832 </v>
      </c>
      <c r="E16" s="47" t="str">
        <f>ORÇAMENTO!C186</f>
        <v>SINAPI</v>
      </c>
      <c r="F16" s="48" t="str">
        <f>ORÇAMENTO!D186</f>
        <v>ASSENTAMENTO DE TUBO DE CONCRETO PARA REDES COLETORAS DE ÁGUAS PLUVIAIS, DIÂMETRO DE 1500 MM, JUNTA RÍGIDA, INSTALADO EM LOCAL COM ALTO NÍVEL DE INTERFERÊNCIAS (NÃO INCLUI FORNECIMENTO). AF_03/2024</v>
      </c>
      <c r="G16" s="47" t="str">
        <f>ORÇAMENTO!E186</f>
        <v>M</v>
      </c>
      <c r="H16" s="47">
        <f>ORÇAMENTO!F186</f>
        <v>287.67999999999995</v>
      </c>
      <c r="I16" s="47">
        <f>ORÇAMENTO!G186</f>
        <v>172.74</v>
      </c>
      <c r="J16" s="47">
        <f>ORÇAMENTO!H186</f>
        <v>0.2122</v>
      </c>
      <c r="K16" s="47">
        <f>ORÇAMENTO!I186</f>
        <v>209.4</v>
      </c>
      <c r="L16" s="49">
        <f>ORÇAMENTO!J186</f>
        <v>60240.19</v>
      </c>
      <c r="N16" s="29" t="str">
        <f t="shared" si="0"/>
        <v>DIFERENTE</v>
      </c>
      <c r="O16" s="29" t="str">
        <f t="shared" si="1"/>
        <v>DIFERENTE</v>
      </c>
      <c r="P16" s="29" t="str">
        <f t="shared" si="2"/>
        <v>DIFERENTE</v>
      </c>
    </row>
    <row r="17" spans="2:16" ht="58" x14ac:dyDescent="0.35">
      <c r="B17" s="47">
        <f t="shared" si="3"/>
        <v>6</v>
      </c>
      <c r="C17" s="47" t="str">
        <f>ORÇAMENTO!A387</f>
        <v>5.1.2.4.22</v>
      </c>
      <c r="D17" s="47" t="str">
        <f>ORÇAMENTO!B387</f>
        <v xml:space="preserve"> 92832 </v>
      </c>
      <c r="E17" s="47" t="str">
        <f>ORÇAMENTO!C387</f>
        <v>SINAPI</v>
      </c>
      <c r="F17" s="48" t="str">
        <f>ORÇAMENTO!D387</f>
        <v>ASSENTAMENTO DE TUBO DE CONCRETO PARA REDES COLETORAS DE ÁGUAS PLUVIAIS, DIÂMETRO DE 1500 MM, JUNTA RÍGIDA, INSTALADO EM LOCAL COM ALTO NÍVEL DE INTERFERÊNCIAS (NÃO INCLUI FORNECIMENTO). AF_03/2024</v>
      </c>
      <c r="G17" s="47" t="str">
        <f>ORÇAMENTO!E387</f>
        <v>M</v>
      </c>
      <c r="H17" s="47">
        <f>ORÇAMENTO!F387</f>
        <v>218.81</v>
      </c>
      <c r="I17" s="47">
        <f>ORÇAMENTO!G387</f>
        <v>172.74</v>
      </c>
      <c r="J17" s="47">
        <f>ORÇAMENTO!H387</f>
        <v>0.2122</v>
      </c>
      <c r="K17" s="47">
        <f>ORÇAMENTO!I387</f>
        <v>209.4</v>
      </c>
      <c r="L17" s="49">
        <f>ORÇAMENTO!J387</f>
        <v>45818.81</v>
      </c>
      <c r="N17" s="29" t="str">
        <f t="shared" si="0"/>
        <v>OK!</v>
      </c>
      <c r="O17" s="29" t="str">
        <f t="shared" si="1"/>
        <v>OK!</v>
      </c>
      <c r="P17" s="29" t="str">
        <f t="shared" si="2"/>
        <v>OK!</v>
      </c>
    </row>
    <row r="18" spans="2:16" ht="58" x14ac:dyDescent="0.35">
      <c r="B18" s="47">
        <f t="shared" si="3"/>
        <v>7</v>
      </c>
      <c r="C18" s="47" t="str">
        <f>ORÇAMENTO!A247</f>
        <v>4.1.2.6.49</v>
      </c>
      <c r="D18" s="47" t="str">
        <f>ORÇAMENTO!B247</f>
        <v xml:space="preserve"> 92821 </v>
      </c>
      <c r="E18" s="47" t="str">
        <f>ORÇAMENTO!C247</f>
        <v>SINAPI</v>
      </c>
      <c r="F18" s="48" t="str">
        <f>ORÇAMENTO!D247</f>
        <v>ASSENTAMENTO DE TUBO DE CONCRETO PARA REDES COLETORAS DE ÁGUAS PLUVIAIS, DIÂMETRO DE 400 MM, JUNTA RÍGIDA, INSTALADO EM LOCAL COM ALTO NÍVEL DE INTERFERÊNCIAS (NÃO INCLUI FORNECIMENTO). AF_03/2024</v>
      </c>
      <c r="G18" s="47" t="str">
        <f>ORÇAMENTO!E247</f>
        <v>M</v>
      </c>
      <c r="H18" s="47">
        <f>ORÇAMENTO!F247</f>
        <v>343.46</v>
      </c>
      <c r="I18" s="47">
        <f>ORÇAMENTO!G247</f>
        <v>38.11</v>
      </c>
      <c r="J18" s="47">
        <f>ORÇAMENTO!H247</f>
        <v>0.2122</v>
      </c>
      <c r="K18" s="47">
        <f>ORÇAMENTO!I247</f>
        <v>46.2</v>
      </c>
      <c r="L18" s="49">
        <f>ORÇAMENTO!J247</f>
        <v>15867.85</v>
      </c>
      <c r="N18" s="29" t="str">
        <f t="shared" si="0"/>
        <v>DIFERENTE</v>
      </c>
      <c r="O18" s="29" t="str">
        <f t="shared" si="1"/>
        <v>DIFERENTE</v>
      </c>
      <c r="P18" s="29" t="str">
        <f t="shared" si="2"/>
        <v>DIFERENTE</v>
      </c>
    </row>
    <row r="19" spans="2:16" ht="58" x14ac:dyDescent="0.35">
      <c r="B19" s="47">
        <f t="shared" si="3"/>
        <v>7</v>
      </c>
      <c r="C19" s="47" t="str">
        <f>ORÇAMENTO!A382</f>
        <v>5.1.2.4.17</v>
      </c>
      <c r="D19" s="47" t="str">
        <f>ORÇAMENTO!B382</f>
        <v xml:space="preserve"> 92821 </v>
      </c>
      <c r="E19" s="47" t="str">
        <f>ORÇAMENTO!C382</f>
        <v>SINAPI</v>
      </c>
      <c r="F19" s="48" t="str">
        <f>ORÇAMENTO!D382</f>
        <v>ASSENTAMENTO DE TUBO DE CONCRETO PARA REDES COLETORAS DE ÁGUAS PLUVIAIS, DIÂMETRO DE 400 MM, JUNTA RÍGIDA, INSTALADO EM LOCAL COM ALTO NÍVEL DE INTERFERÊNCIAS (NÃO INCLUI FORNECIMENTO). AF_03/2024</v>
      </c>
      <c r="G19" s="47" t="str">
        <f>ORÇAMENTO!E382</f>
        <v>M</v>
      </c>
      <c r="H19" s="47">
        <f>ORÇAMENTO!F382</f>
        <v>410.77</v>
      </c>
      <c r="I19" s="47">
        <f>ORÇAMENTO!G382</f>
        <v>38.11</v>
      </c>
      <c r="J19" s="47">
        <f>ORÇAMENTO!H382</f>
        <v>0.2122</v>
      </c>
      <c r="K19" s="47">
        <f>ORÇAMENTO!I382</f>
        <v>46.2</v>
      </c>
      <c r="L19" s="49">
        <f>ORÇAMENTO!J382</f>
        <v>18977.57</v>
      </c>
      <c r="N19" s="29" t="str">
        <f t="shared" si="0"/>
        <v>OK!</v>
      </c>
      <c r="O19" s="29" t="str">
        <f t="shared" si="1"/>
        <v>OK!</v>
      </c>
      <c r="P19" s="29" t="str">
        <f t="shared" si="2"/>
        <v>OK!</v>
      </c>
    </row>
    <row r="20" spans="2:16" ht="58" x14ac:dyDescent="0.35">
      <c r="B20" s="47">
        <f t="shared" si="3"/>
        <v>7</v>
      </c>
      <c r="C20" s="47" t="str">
        <f>ORÇAMENTO!A457</f>
        <v>5.1.2.7.49</v>
      </c>
      <c r="D20" s="47" t="str">
        <f>ORÇAMENTO!B457</f>
        <v xml:space="preserve"> 92821 </v>
      </c>
      <c r="E20" s="47" t="str">
        <f>ORÇAMENTO!C457</f>
        <v>SINAPI</v>
      </c>
      <c r="F20" s="48" t="str">
        <f>ORÇAMENTO!D457</f>
        <v>ASSENTAMENTO DE TUBO DE CONCRETO PARA REDES COLETORAS DE ÁGUAS PLUVIAIS, DIÂMETRO DE 400 MM, JUNTA RÍGIDA, INSTALADO EM LOCAL COM ALTO NÍVEL DE INTERFERÊNCIAS (NÃO INCLUI FORNECIMENTO). AF_03/2024</v>
      </c>
      <c r="G20" s="47" t="str">
        <f>ORÇAMENTO!E457</f>
        <v>M</v>
      </c>
      <c r="H20" s="47">
        <f>ORÇAMENTO!F457</f>
        <v>659.74</v>
      </c>
      <c r="I20" s="47">
        <f>ORÇAMENTO!G457</f>
        <v>38.11</v>
      </c>
      <c r="J20" s="47">
        <f>ORÇAMENTO!H457</f>
        <v>0.2122</v>
      </c>
      <c r="K20" s="47">
        <f>ORÇAMENTO!I457</f>
        <v>46.2</v>
      </c>
      <c r="L20" s="49">
        <f>ORÇAMENTO!J457</f>
        <v>30479.98</v>
      </c>
      <c r="N20" s="29" t="str">
        <f t="shared" si="0"/>
        <v>OK!</v>
      </c>
      <c r="O20" s="29" t="str">
        <f t="shared" si="1"/>
        <v>OK!</v>
      </c>
      <c r="P20" s="29" t="str">
        <f t="shared" si="2"/>
        <v>OK!</v>
      </c>
    </row>
    <row r="21" spans="2:16" ht="58" x14ac:dyDescent="0.35">
      <c r="B21" s="47">
        <f t="shared" si="3"/>
        <v>8</v>
      </c>
      <c r="C21" s="47" t="str">
        <f>ORÇAMENTO!A183</f>
        <v>4.1.2.4.17</v>
      </c>
      <c r="D21" s="47" t="str">
        <f>ORÇAMENTO!B183</f>
        <v xml:space="preserve"> 92824 </v>
      </c>
      <c r="E21" s="47" t="str">
        <f>ORÇAMENTO!C183</f>
        <v>SINAPI</v>
      </c>
      <c r="F21" s="48" t="str">
        <f>ORÇAMENTO!D183</f>
        <v>ASSENTAMENTO DE TUBO DE CONCRETO PARA REDES COLETORAS DE ÁGUAS PLUVIAIS, DIÂMETRO DE 600 MM, JUNTA RÍGIDA, INSTALADO EM LOCAL COM ALTO NÍVEL DE INTERFERÊNCIAS (NÃO INCLUI FORNECIMENTO). AF_03/2024</v>
      </c>
      <c r="G21" s="47" t="str">
        <f>ORÇAMENTO!E183</f>
        <v>M</v>
      </c>
      <c r="H21" s="47">
        <f>ORÇAMENTO!F183</f>
        <v>245.99640838546759</v>
      </c>
      <c r="I21" s="47">
        <f>ORÇAMENTO!G183</f>
        <v>60.45</v>
      </c>
      <c r="J21" s="47">
        <f>ORÇAMENTO!H183</f>
        <v>0.2122</v>
      </c>
      <c r="K21" s="47">
        <f>ORÇAMENTO!I183</f>
        <v>73.28</v>
      </c>
      <c r="L21" s="49">
        <f>ORÇAMENTO!J183</f>
        <v>18026.61</v>
      </c>
      <c r="N21" s="29" t="str">
        <f t="shared" si="0"/>
        <v>DIFERENTE</v>
      </c>
      <c r="O21" s="29" t="str">
        <f t="shared" si="1"/>
        <v>DIFERENTE</v>
      </c>
      <c r="P21" s="29" t="str">
        <f t="shared" si="2"/>
        <v>DIFERENTE</v>
      </c>
    </row>
    <row r="22" spans="2:16" ht="58" x14ac:dyDescent="0.35">
      <c r="B22" s="47">
        <f t="shared" si="3"/>
        <v>8</v>
      </c>
      <c r="C22" s="47" t="str">
        <f>ORÇAMENTO!A383</f>
        <v>5.1.2.4.18</v>
      </c>
      <c r="D22" s="47" t="str">
        <f>ORÇAMENTO!B383</f>
        <v xml:space="preserve"> 92824 </v>
      </c>
      <c r="E22" s="47" t="str">
        <f>ORÇAMENTO!C383</f>
        <v>SINAPI</v>
      </c>
      <c r="F22" s="48" t="str">
        <f>ORÇAMENTO!D383</f>
        <v>ASSENTAMENTO DE TUBO DE CONCRETO PARA REDES COLETORAS DE ÁGUAS PLUVIAIS, DIÂMETRO DE 600 MM, JUNTA RÍGIDA, INSTALADO EM LOCAL COM ALTO NÍVEL DE INTERFERÊNCIAS (NÃO INCLUI FORNECIMENTO). AF_03/2024</v>
      </c>
      <c r="G22" s="47" t="str">
        <f>ORÇAMENTO!E383</f>
        <v>M</v>
      </c>
      <c r="H22" s="47">
        <f>ORÇAMENTO!F383</f>
        <v>557.31000000000006</v>
      </c>
      <c r="I22" s="47">
        <f>ORÇAMENTO!G383</f>
        <v>60.45</v>
      </c>
      <c r="J22" s="47">
        <f>ORÇAMENTO!H383</f>
        <v>0.2122</v>
      </c>
      <c r="K22" s="47">
        <f>ORÇAMENTO!I383</f>
        <v>73.28</v>
      </c>
      <c r="L22" s="49">
        <f>ORÇAMENTO!J383</f>
        <v>40839.67</v>
      </c>
      <c r="N22" s="29" t="str">
        <f t="shared" si="0"/>
        <v>OK!</v>
      </c>
      <c r="O22" s="29" t="str">
        <f t="shared" si="1"/>
        <v>OK!</v>
      </c>
      <c r="P22" s="29" t="str">
        <f t="shared" si="2"/>
        <v>OK!</v>
      </c>
    </row>
    <row r="23" spans="2:16" ht="58" x14ac:dyDescent="0.35">
      <c r="B23" s="47">
        <f t="shared" si="3"/>
        <v>9</v>
      </c>
      <c r="C23" s="47" t="str">
        <f>ORÇAMENTO!A384</f>
        <v>5.1.2.4.19</v>
      </c>
      <c r="D23" s="47" t="str">
        <f>ORÇAMENTO!B384</f>
        <v xml:space="preserve"> 92826 </v>
      </c>
      <c r="E23" s="47" t="str">
        <f>ORÇAMENTO!C384</f>
        <v>SINAPI</v>
      </c>
      <c r="F23" s="48" t="str">
        <f>ORÇAMENTO!D384</f>
        <v>ASSENTAMENTO DE TUBO DE CONCRETO PARA REDES COLETORAS DE ÁGUAS PLUVIAIS, DIÂMETRO DE 800 MM, JUNTA RÍGIDA, INSTALADO EM LOCAL COM ALTO NÍVEL DE INTERFERÊNCIAS (NÃO INCLUI FORNECIMENTO). AF_03/2024</v>
      </c>
      <c r="G23" s="47" t="str">
        <f>ORÇAMENTO!E384</f>
        <v>M</v>
      </c>
      <c r="H23" s="47">
        <f>ORÇAMENTO!F384</f>
        <v>495.52999999999992</v>
      </c>
      <c r="I23" s="47">
        <f>ORÇAMENTO!G384</f>
        <v>83.73</v>
      </c>
      <c r="J23" s="47">
        <f>ORÇAMENTO!H384</f>
        <v>0.2122</v>
      </c>
      <c r="K23" s="47">
        <f>ORÇAMENTO!I384</f>
        <v>101.5</v>
      </c>
      <c r="L23" s="49">
        <f>ORÇAMENTO!J384</f>
        <v>50296.29</v>
      </c>
      <c r="N23" s="29" t="str">
        <f t="shared" si="0"/>
        <v>DIFERENTE</v>
      </c>
      <c r="O23" s="29" t="str">
        <f t="shared" si="1"/>
        <v>DIFERENTE</v>
      </c>
      <c r="P23" s="29" t="str">
        <f t="shared" si="2"/>
        <v>DIFERENTE</v>
      </c>
    </row>
    <row r="24" spans="2:16" ht="43.5" x14ac:dyDescent="0.35">
      <c r="B24" s="47">
        <f t="shared" si="3"/>
        <v>10</v>
      </c>
      <c r="C24" s="47" t="str">
        <f>ORÇAMENTO!A100</f>
        <v>4.1.1.1.11</v>
      </c>
      <c r="D24" s="47" t="str">
        <f>ORÇAMENTO!B100</f>
        <v xml:space="preserve"> 5213836 </v>
      </c>
      <c r="E24" s="47" t="str">
        <f>ORÇAMENTO!C100</f>
        <v>SICRO3</v>
      </c>
      <c r="F24" s="48" t="str">
        <f>ORÇAMENTO!D100</f>
        <v>BALIZADOR CÔNICO REFLETIVO EM POLIETILENO SEMIFLEXÍVEL DE 114 X 11 X 40 CM - UTILIZAÇÃO DE 150 CICLOS - FORNECIMENTO, 01 IMPLANTAÇÃO E 01 RETIRADA DIÁRIA</v>
      </c>
      <c r="G24" s="47" t="str">
        <f>ORÇAMENTO!E100</f>
        <v>UN.DIA</v>
      </c>
      <c r="H24" s="47">
        <f>ORÇAMENTO!F100</f>
        <v>837</v>
      </c>
      <c r="I24" s="47">
        <f>ORÇAMENTO!G100</f>
        <v>1.25</v>
      </c>
      <c r="J24" s="47">
        <f>ORÇAMENTO!H100</f>
        <v>0.2122</v>
      </c>
      <c r="K24" s="47">
        <f>ORÇAMENTO!I100</f>
        <v>1.52</v>
      </c>
      <c r="L24" s="49">
        <f>ORÇAMENTO!J100</f>
        <v>1272.24</v>
      </c>
      <c r="N24" s="29" t="str">
        <f t="shared" si="0"/>
        <v>DIFERENTE</v>
      </c>
      <c r="O24" s="29" t="str">
        <f t="shared" si="1"/>
        <v>DIFERENTE</v>
      </c>
      <c r="P24" s="29" t="str">
        <f t="shared" si="2"/>
        <v>DIFERENTE</v>
      </c>
    </row>
    <row r="25" spans="2:16" ht="43.5" x14ac:dyDescent="0.35">
      <c r="B25" s="47">
        <f t="shared" si="3"/>
        <v>10</v>
      </c>
      <c r="C25" s="47" t="str">
        <f>ORÇAMENTO!A302</f>
        <v>5.1.1.1.11</v>
      </c>
      <c r="D25" s="47" t="str">
        <f>ORÇAMENTO!B302</f>
        <v xml:space="preserve"> 5213836 </v>
      </c>
      <c r="E25" s="47" t="str">
        <f>ORÇAMENTO!C302</f>
        <v>SICRO3</v>
      </c>
      <c r="F25" s="48" t="str">
        <f>ORÇAMENTO!D302</f>
        <v>BALIZADOR CÔNICO REFLETIVO EM POLIETILENO SEMIFLEXÍVEL DE 114 X 11 X 40 CM - UTILIZAÇÃO DE 150 CICLOS - FORNECIMENTO, 01 IMPLANTAÇÃO E 01 RETIRADA DIÁRIA</v>
      </c>
      <c r="G25" s="47" t="str">
        <f>ORÇAMENTO!E302</f>
        <v>UN.DIA</v>
      </c>
      <c r="H25" s="47">
        <f>ORÇAMENTO!F302</f>
        <v>3078</v>
      </c>
      <c r="I25" s="47">
        <f>ORÇAMENTO!G302</f>
        <v>1.25</v>
      </c>
      <c r="J25" s="47">
        <f>ORÇAMENTO!H302</f>
        <v>0.2122</v>
      </c>
      <c r="K25" s="47">
        <f>ORÇAMENTO!I302</f>
        <v>1.52</v>
      </c>
      <c r="L25" s="49">
        <f>ORÇAMENTO!J302</f>
        <v>4678.5600000000004</v>
      </c>
      <c r="N25" s="29" t="str">
        <f t="shared" si="0"/>
        <v>OK!</v>
      </c>
      <c r="O25" s="29" t="str">
        <f t="shared" si="1"/>
        <v>OK!</v>
      </c>
      <c r="P25" s="29" t="str">
        <f t="shared" si="2"/>
        <v>OK!</v>
      </c>
    </row>
    <row r="26" spans="2:16" ht="43.5" x14ac:dyDescent="0.35">
      <c r="B26" s="47">
        <f t="shared" si="3"/>
        <v>11</v>
      </c>
      <c r="C26" s="47" t="str">
        <f>ORÇAMENTO!A98</f>
        <v>4.1.1.1.9</v>
      </c>
      <c r="D26" s="47" t="str">
        <f>ORÇAMENTO!B98</f>
        <v xml:space="preserve"> 5213346 </v>
      </c>
      <c r="E26" s="47" t="str">
        <f>ORÇAMENTO!C98</f>
        <v>SICRO3</v>
      </c>
      <c r="F26" s="48" t="str">
        <f>ORÇAMENTO!D98</f>
        <v>BARREIRA DE SINALIZAÇÃO TIPO III DE DIRECIONAMENTO OU BLOQUEIO - UTILIZAÇÃO DE 150 CICLOS - FORNECIMENTO, 01 IMPLANTAÇÃO E 01 RETIRADA DIÁRIA</v>
      </c>
      <c r="G26" s="47" t="str">
        <f>ORÇAMENTO!E98</f>
        <v>UN.DIA</v>
      </c>
      <c r="H26" s="47">
        <f>ORÇAMENTO!F98</f>
        <v>167</v>
      </c>
      <c r="I26" s="47">
        <f>ORÇAMENTO!G98</f>
        <v>8.06</v>
      </c>
      <c r="J26" s="47">
        <f>ORÇAMENTO!H98</f>
        <v>0.2122</v>
      </c>
      <c r="K26" s="47">
        <f>ORÇAMENTO!I98</f>
        <v>9.77</v>
      </c>
      <c r="L26" s="49">
        <f>ORÇAMENTO!J98</f>
        <v>1631.59</v>
      </c>
      <c r="N26" s="29" t="str">
        <f t="shared" si="0"/>
        <v>DIFERENTE</v>
      </c>
      <c r="O26" s="29" t="str">
        <f t="shared" si="1"/>
        <v>DIFERENTE</v>
      </c>
      <c r="P26" s="29" t="str">
        <f t="shared" si="2"/>
        <v>DIFERENTE</v>
      </c>
    </row>
    <row r="27" spans="2:16" ht="43.5" x14ac:dyDescent="0.35">
      <c r="B27" s="47">
        <f t="shared" si="3"/>
        <v>11</v>
      </c>
      <c r="C27" s="47" t="str">
        <f>ORÇAMENTO!A300</f>
        <v>5.1.1.1.9</v>
      </c>
      <c r="D27" s="47" t="str">
        <f>ORÇAMENTO!B300</f>
        <v xml:space="preserve"> 5213346 </v>
      </c>
      <c r="E27" s="47" t="str">
        <f>ORÇAMENTO!C300</f>
        <v>SICRO3</v>
      </c>
      <c r="F27" s="48" t="str">
        <f>ORÇAMENTO!D300</f>
        <v>BARREIRA DE SINALIZAÇÃO TIPO III DE DIRECIONAMENTO OU BLOQUEIO - UTILIZAÇÃO DE 150 CICLOS - FORNECIMENTO, 01 IMPLANTAÇÃO E 01 RETIRADA DIÁRIA</v>
      </c>
      <c r="G27" s="47" t="str">
        <f>ORÇAMENTO!E300</f>
        <v>UN.DIA</v>
      </c>
      <c r="H27" s="47">
        <f>ORÇAMENTO!F300</f>
        <v>616</v>
      </c>
      <c r="I27" s="47">
        <f>ORÇAMENTO!G300</f>
        <v>8.06</v>
      </c>
      <c r="J27" s="47">
        <f>ORÇAMENTO!H300</f>
        <v>0.2122</v>
      </c>
      <c r="K27" s="47">
        <f>ORÇAMENTO!I300</f>
        <v>9.77</v>
      </c>
      <c r="L27" s="49">
        <f>ORÇAMENTO!J300</f>
        <v>6018.32</v>
      </c>
      <c r="N27" s="29" t="str">
        <f t="shared" si="0"/>
        <v>OK!</v>
      </c>
      <c r="O27" s="29" t="str">
        <f t="shared" si="1"/>
        <v>OK!</v>
      </c>
      <c r="P27" s="29" t="str">
        <f t="shared" si="2"/>
        <v>OK!</v>
      </c>
    </row>
    <row r="28" spans="2:16" x14ac:dyDescent="0.35">
      <c r="B28" s="47">
        <f t="shared" si="3"/>
        <v>12</v>
      </c>
      <c r="C28" s="47" t="str">
        <f>ORÇAMENTO!A170</f>
        <v>4.1.2.4.4</v>
      </c>
      <c r="D28" s="47" t="str">
        <f>ORÇAMENTO!B170</f>
        <v xml:space="preserve"> 4011276 </v>
      </c>
      <c r="E28" s="47" t="str">
        <f>ORÇAMENTO!C170</f>
        <v>SICRO3</v>
      </c>
      <c r="F28" s="48" t="str">
        <f>ORÇAMENTO!D170</f>
        <v>BASE OU SUB-BASE DE BRITA GRADUADA COM BRITA COMERCIAL</v>
      </c>
      <c r="G28" s="47" t="str">
        <f>ORÇAMENTO!E170</f>
        <v>M³</v>
      </c>
      <c r="H28" s="47">
        <f>ORÇAMENTO!F170</f>
        <v>233.74668979084049</v>
      </c>
      <c r="I28" s="47">
        <f>ORÇAMENTO!G170</f>
        <v>208.42</v>
      </c>
      <c r="J28" s="47">
        <f>ORÇAMENTO!H170</f>
        <v>0.2122</v>
      </c>
      <c r="K28" s="47">
        <f>ORÇAMENTO!I170</f>
        <v>252.65</v>
      </c>
      <c r="L28" s="49">
        <f>ORÇAMENTO!J170</f>
        <v>59056.1</v>
      </c>
      <c r="N28" s="29" t="str">
        <f t="shared" si="0"/>
        <v>DIFERENTE</v>
      </c>
      <c r="O28" s="29" t="str">
        <f t="shared" si="1"/>
        <v>DIFERENTE</v>
      </c>
      <c r="P28" s="29" t="str">
        <f t="shared" si="2"/>
        <v>DIFERENTE</v>
      </c>
    </row>
    <row r="29" spans="2:16" x14ac:dyDescent="0.35">
      <c r="B29" s="47">
        <f t="shared" si="3"/>
        <v>12</v>
      </c>
      <c r="C29" s="47" t="str">
        <f>ORÇAMENTO!A230</f>
        <v>4.1.2.6.32</v>
      </c>
      <c r="D29" s="47" t="str">
        <f>ORÇAMENTO!B230</f>
        <v xml:space="preserve"> 4011276 </v>
      </c>
      <c r="E29" s="47" t="str">
        <f>ORÇAMENTO!C230</f>
        <v>SICRO3</v>
      </c>
      <c r="F29" s="48" t="str">
        <f>ORÇAMENTO!D230</f>
        <v>BASE OU SUB-BASE DE BRITA GRADUADA COM BRITA COMERCIAL</v>
      </c>
      <c r="G29" s="47" t="str">
        <f>ORÇAMENTO!E230</f>
        <v>M³</v>
      </c>
      <c r="H29" s="47">
        <f>ORÇAMENTO!F230</f>
        <v>64.790000000000006</v>
      </c>
      <c r="I29" s="47">
        <f>ORÇAMENTO!G230</f>
        <v>208.42</v>
      </c>
      <c r="J29" s="47">
        <f>ORÇAMENTO!H230</f>
        <v>0.2122</v>
      </c>
      <c r="K29" s="47">
        <f>ORÇAMENTO!I230</f>
        <v>252.65</v>
      </c>
      <c r="L29" s="107">
        <f>ORÇAMENTO!J230</f>
        <v>16369.19</v>
      </c>
      <c r="N29" s="29" t="str">
        <f t="shared" si="0"/>
        <v>OK!</v>
      </c>
      <c r="O29" s="29" t="str">
        <f t="shared" si="1"/>
        <v>OK!</v>
      </c>
      <c r="P29" s="29" t="str">
        <f t="shared" si="2"/>
        <v>OK!</v>
      </c>
    </row>
    <row r="30" spans="2:16" x14ac:dyDescent="0.35">
      <c r="B30" s="47">
        <f t="shared" si="3"/>
        <v>12</v>
      </c>
      <c r="C30" s="47" t="str">
        <f>ORÇAMENTO!A275</f>
        <v>4.3.9</v>
      </c>
      <c r="D30" s="47" t="str">
        <f>ORÇAMENTO!B275</f>
        <v xml:space="preserve"> 4011276 </v>
      </c>
      <c r="E30" s="47" t="str">
        <f>ORÇAMENTO!C275</f>
        <v>SICRO3</v>
      </c>
      <c r="F30" s="48" t="str">
        <f>ORÇAMENTO!D275</f>
        <v>BASE OU SUB-BASE DE BRITA GRADUADA COM BRITA COMERCIAL</v>
      </c>
      <c r="G30" s="47" t="str">
        <f>ORÇAMENTO!E275</f>
        <v>M³</v>
      </c>
      <c r="H30" s="47">
        <f>ORÇAMENTO!F275</f>
        <v>15.377734638119973</v>
      </c>
      <c r="I30" s="47">
        <f>ORÇAMENTO!G275</f>
        <v>208.42</v>
      </c>
      <c r="J30" s="47">
        <f>ORÇAMENTO!H275</f>
        <v>0.2122</v>
      </c>
      <c r="K30" s="47">
        <f>ORÇAMENTO!I275</f>
        <v>252.65</v>
      </c>
      <c r="L30" s="49">
        <f>ORÇAMENTO!J275</f>
        <v>3885.18</v>
      </c>
      <c r="N30" s="29" t="str">
        <f t="shared" si="0"/>
        <v>OK!</v>
      </c>
      <c r="O30" s="29" t="str">
        <f t="shared" si="1"/>
        <v>OK!</v>
      </c>
      <c r="P30" s="29" t="str">
        <f t="shared" si="2"/>
        <v>OK!</v>
      </c>
    </row>
    <row r="31" spans="2:16" x14ac:dyDescent="0.35">
      <c r="B31" s="47">
        <f t="shared" si="3"/>
        <v>12</v>
      </c>
      <c r="C31" s="47" t="str">
        <f>ORÇAMENTO!A369</f>
        <v>5.1.2.4.4</v>
      </c>
      <c r="D31" s="47" t="str">
        <f>ORÇAMENTO!B369</f>
        <v xml:space="preserve"> 4011276 </v>
      </c>
      <c r="E31" s="47" t="str">
        <f>ORÇAMENTO!C369</f>
        <v>SICRO3</v>
      </c>
      <c r="F31" s="48" t="str">
        <f>ORÇAMENTO!D369</f>
        <v>BASE OU SUB-BASE DE BRITA GRADUADA COM BRITA COMERCIAL</v>
      </c>
      <c r="G31" s="47" t="str">
        <f>ORÇAMENTO!E369</f>
        <v>M³</v>
      </c>
      <c r="H31" s="47">
        <f>ORÇAMENTO!F369</f>
        <v>376.51920000000001</v>
      </c>
      <c r="I31" s="47">
        <f>ORÇAMENTO!G369</f>
        <v>208.42</v>
      </c>
      <c r="J31" s="47">
        <f>ORÇAMENTO!H369</f>
        <v>0.2122</v>
      </c>
      <c r="K31" s="47">
        <f>ORÇAMENTO!I369</f>
        <v>252.65</v>
      </c>
      <c r="L31" s="49">
        <f>ORÇAMENTO!J369</f>
        <v>95127.57</v>
      </c>
      <c r="N31" s="29" t="str">
        <f t="shared" si="0"/>
        <v>OK!</v>
      </c>
      <c r="O31" s="29" t="str">
        <f t="shared" si="1"/>
        <v>OK!</v>
      </c>
      <c r="P31" s="29" t="str">
        <f t="shared" si="2"/>
        <v>OK!</v>
      </c>
    </row>
    <row r="32" spans="2:16" x14ac:dyDescent="0.35">
      <c r="B32" s="47">
        <f t="shared" si="3"/>
        <v>12</v>
      </c>
      <c r="C32" s="47" t="str">
        <f>ORÇAMENTO!A440</f>
        <v>5.1.2.7.32</v>
      </c>
      <c r="D32" s="47" t="str">
        <f>ORÇAMENTO!B440</f>
        <v xml:space="preserve"> 4011276 </v>
      </c>
      <c r="E32" s="47" t="str">
        <f>ORÇAMENTO!C440</f>
        <v>SICRO3</v>
      </c>
      <c r="F32" s="48" t="str">
        <f>ORÇAMENTO!D440</f>
        <v>BASE OU SUB-BASE DE BRITA GRADUADA COM BRITA COMERCIAL</v>
      </c>
      <c r="G32" s="47" t="str">
        <f>ORÇAMENTO!E440</f>
        <v>M³</v>
      </c>
      <c r="H32" s="47">
        <f>ORÇAMENTO!F440</f>
        <v>124.67</v>
      </c>
      <c r="I32" s="47">
        <f>ORÇAMENTO!G440</f>
        <v>208.42</v>
      </c>
      <c r="J32" s="47">
        <f>ORÇAMENTO!H440</f>
        <v>0.2122</v>
      </c>
      <c r="K32" s="47">
        <f>ORÇAMENTO!I440</f>
        <v>252.65</v>
      </c>
      <c r="L32" s="49">
        <f>ORÇAMENTO!J440</f>
        <v>31497.87</v>
      </c>
      <c r="N32" s="29" t="str">
        <f t="shared" si="0"/>
        <v>OK!</v>
      </c>
      <c r="O32" s="29" t="str">
        <f t="shared" si="1"/>
        <v>OK!</v>
      </c>
      <c r="P32" s="29" t="str">
        <f t="shared" si="2"/>
        <v>OK!</v>
      </c>
    </row>
    <row r="33" spans="2:16" x14ac:dyDescent="0.35">
      <c r="B33" s="47">
        <f t="shared" si="3"/>
        <v>12</v>
      </c>
      <c r="C33" s="47" t="str">
        <f>ORÇAMENTO!A512</f>
        <v>5.4.4.4</v>
      </c>
      <c r="D33" s="47" t="str">
        <f>ORÇAMENTO!B512</f>
        <v xml:space="preserve"> 4011276 </v>
      </c>
      <c r="E33" s="47" t="str">
        <f>ORÇAMENTO!C512</f>
        <v>SICRO3</v>
      </c>
      <c r="F33" s="48" t="str">
        <f>ORÇAMENTO!D512</f>
        <v>BASE OU SUB-BASE DE BRITA GRADUADA COM BRITA COMERCIAL</v>
      </c>
      <c r="G33" s="47" t="str">
        <f>ORÇAMENTO!E512</f>
        <v>M³</v>
      </c>
      <c r="H33" s="47">
        <f>ORÇAMENTO!F512</f>
        <v>1382.69</v>
      </c>
      <c r="I33" s="47">
        <f>ORÇAMENTO!G512</f>
        <v>208.42</v>
      </c>
      <c r="J33" s="47">
        <f>ORÇAMENTO!H512</f>
        <v>0.2122</v>
      </c>
      <c r="K33" s="47">
        <f>ORÇAMENTO!I512</f>
        <v>252.65</v>
      </c>
      <c r="L33" s="49">
        <f>ORÇAMENTO!J512</f>
        <v>349336.62</v>
      </c>
      <c r="N33" s="29" t="str">
        <f t="shared" si="0"/>
        <v>OK!</v>
      </c>
      <c r="O33" s="29" t="str">
        <f t="shared" si="1"/>
        <v>OK!</v>
      </c>
      <c r="P33" s="29" t="str">
        <f t="shared" si="2"/>
        <v>OK!</v>
      </c>
    </row>
    <row r="34" spans="2:16" x14ac:dyDescent="0.35">
      <c r="B34" s="47">
        <f t="shared" si="3"/>
        <v>12</v>
      </c>
      <c r="C34" s="47" t="str">
        <f>ORÇAMENTO!A537</f>
        <v>5.5.10</v>
      </c>
      <c r="D34" s="47" t="str">
        <f>ORÇAMENTO!B537</f>
        <v xml:space="preserve"> 4011276 </v>
      </c>
      <c r="E34" s="47" t="str">
        <f>ORÇAMENTO!C537</f>
        <v>SICRO3</v>
      </c>
      <c r="F34" s="48" t="str">
        <f>ORÇAMENTO!D537</f>
        <v>BASE OU SUB-BASE DE BRITA GRADUADA COM BRITA COMERCIAL</v>
      </c>
      <c r="G34" s="47" t="str">
        <f>ORÇAMENTO!E537</f>
        <v>M³</v>
      </c>
      <c r="H34" s="47">
        <f>ORÇAMENTO!F537</f>
        <v>25.595056402486247</v>
      </c>
      <c r="I34" s="47">
        <f>ORÇAMENTO!G537</f>
        <v>208.42</v>
      </c>
      <c r="J34" s="47">
        <f>ORÇAMENTO!H537</f>
        <v>0.2122</v>
      </c>
      <c r="K34" s="47">
        <f>ORÇAMENTO!I537</f>
        <v>252.65</v>
      </c>
      <c r="L34" s="49">
        <f>ORÇAMENTO!J537</f>
        <v>6466.59</v>
      </c>
      <c r="N34" s="29" t="str">
        <f t="shared" ref="N34:N65" si="4">IF(F34=F33,IF(G34=G33,"OK!","ERRADO"),"DIFERENTE")</f>
        <v>OK!</v>
      </c>
      <c r="O34" s="29" t="str">
        <f t="shared" ref="O34:O65" si="5">IF(F34=F33,IF(I34=I33,"OK!","ERRADO"),"DIFERENTE")</f>
        <v>OK!</v>
      </c>
      <c r="P34" s="29" t="str">
        <f t="shared" ref="P34:P65" si="6">IF(F34=F33,IF(D34=D33,"OK!","ERRADO"),"DIFERENTE")</f>
        <v>OK!</v>
      </c>
    </row>
    <row r="35" spans="2:16" x14ac:dyDescent="0.35">
      <c r="B35" s="47">
        <f t="shared" si="3"/>
        <v>13</v>
      </c>
      <c r="C35" s="47" t="str">
        <f>ORÇAMENTO!A264</f>
        <v>4.2.2.1</v>
      </c>
      <c r="D35" s="47" t="str">
        <f>ORÇAMENTO!B264</f>
        <v xml:space="preserve"> 25.14.01 </v>
      </c>
      <c r="E35" s="47" t="str">
        <f>ORÇAMENTO!C264</f>
        <v>EMBASA</v>
      </c>
      <c r="F35" s="48" t="str">
        <f>ORÇAMENTO!D264</f>
        <v>BOMBEAMENTO DE POCO DE VISITA</v>
      </c>
      <c r="G35" s="47" t="str">
        <f>ORÇAMENTO!E264</f>
        <v>UN</v>
      </c>
      <c r="H35" s="47">
        <f>ORÇAMENTO!F264</f>
        <v>54</v>
      </c>
      <c r="I35" s="47">
        <f>ORÇAMENTO!G264</f>
        <v>165.13</v>
      </c>
      <c r="J35" s="47">
        <f>ORÇAMENTO!H264</f>
        <v>0.2122</v>
      </c>
      <c r="K35" s="47">
        <f>ORÇAMENTO!I264</f>
        <v>200.17</v>
      </c>
      <c r="L35" s="49">
        <f>ORÇAMENTO!J264</f>
        <v>10809.18</v>
      </c>
      <c r="N35" s="29" t="str">
        <f t="shared" si="4"/>
        <v>DIFERENTE</v>
      </c>
      <c r="O35" s="29" t="str">
        <f t="shared" si="5"/>
        <v>DIFERENTE</v>
      </c>
      <c r="P35" s="29" t="str">
        <f t="shared" si="6"/>
        <v>DIFERENTE</v>
      </c>
    </row>
    <row r="36" spans="2:16" x14ac:dyDescent="0.35">
      <c r="B36" s="47">
        <f t="shared" si="3"/>
        <v>13</v>
      </c>
      <c r="C36" s="47" t="str">
        <f>ORÇAMENTO!A492</f>
        <v>5.3.2.1</v>
      </c>
      <c r="D36" s="47" t="str">
        <f>ORÇAMENTO!B492</f>
        <v xml:space="preserve"> 25.14.01 </v>
      </c>
      <c r="E36" s="47" t="str">
        <f>ORÇAMENTO!C492</f>
        <v>EMBASA</v>
      </c>
      <c r="F36" s="48" t="str">
        <f>ORÇAMENTO!D492</f>
        <v>BOMBEAMENTO DE POCO DE VISITA</v>
      </c>
      <c r="G36" s="47" t="str">
        <f>ORÇAMENTO!E492</f>
        <v>UN</v>
      </c>
      <c r="H36" s="47">
        <f>ORÇAMENTO!F492</f>
        <v>75</v>
      </c>
      <c r="I36" s="47">
        <f>ORÇAMENTO!G492</f>
        <v>165.13</v>
      </c>
      <c r="J36" s="47">
        <f>ORÇAMENTO!H492</f>
        <v>0.2122</v>
      </c>
      <c r="K36" s="47">
        <f>ORÇAMENTO!I492</f>
        <v>200.17</v>
      </c>
      <c r="L36" s="49">
        <f>ORÇAMENTO!J492</f>
        <v>15012.75</v>
      </c>
      <c r="N36" s="29" t="str">
        <f t="shared" si="4"/>
        <v>OK!</v>
      </c>
      <c r="O36" s="29" t="str">
        <f t="shared" si="5"/>
        <v>OK!</v>
      </c>
      <c r="P36" s="29" t="str">
        <f t="shared" si="6"/>
        <v>OK!</v>
      </c>
    </row>
    <row r="37" spans="2:16" ht="58" x14ac:dyDescent="0.35">
      <c r="B37" s="47">
        <f t="shared" si="3"/>
        <v>14</v>
      </c>
      <c r="C37" s="47" t="str">
        <f>ORÇAMENTO!A407</f>
        <v>5.1.2.6.1</v>
      </c>
      <c r="D37" s="47" t="str">
        <f>ORÇAMENTO!B407</f>
        <v xml:space="preserve"> 0605507-M </v>
      </c>
      <c r="E37" s="47" t="str">
        <f>ORÇAMENTO!C407</f>
        <v>PRÓPRIO</v>
      </c>
      <c r="F37" s="48" t="str">
        <f>ORÇAMENTO!D407</f>
        <v>BUEIRO METÁLICO SEM INTERRUPÇÃO DE TRÁFEGO COM D = 1,80 M - CHAPA GALVANIZADA - ESCAVADO EM MATERIAL DE 1ª CATEGORIA - ATERRO RODOVIÁRIO MÁXIMO = 6 M, COM REVESTIMENTO INTERNO DE 360º COM COCNRETO, ESP. 10 CM - DIÂMETRO ACABADO = 1,60 M.</v>
      </c>
      <c r="G37" s="47" t="str">
        <f>ORÇAMENTO!E407</f>
        <v>M</v>
      </c>
      <c r="H37" s="47">
        <f>ORÇAMENTO!F407</f>
        <v>20.79</v>
      </c>
      <c r="I37" s="47">
        <f>ORÇAMENTO!G407</f>
        <v>11292.61</v>
      </c>
      <c r="J37" s="47">
        <f>ORÇAMENTO!H407</f>
        <v>0.2122</v>
      </c>
      <c r="K37" s="47">
        <f>ORÇAMENTO!I407</f>
        <v>13688.9</v>
      </c>
      <c r="L37" s="49">
        <f>ORÇAMENTO!J407</f>
        <v>284592.23</v>
      </c>
      <c r="N37" s="29" t="str">
        <f t="shared" si="4"/>
        <v>DIFERENTE</v>
      </c>
      <c r="O37" s="29" t="str">
        <f t="shared" si="5"/>
        <v>DIFERENTE</v>
      </c>
      <c r="P37" s="29" t="str">
        <f t="shared" si="6"/>
        <v>DIFERENTE</v>
      </c>
    </row>
    <row r="38" spans="2:16" x14ac:dyDescent="0.35">
      <c r="B38" s="47">
        <f t="shared" si="3"/>
        <v>15</v>
      </c>
      <c r="C38" s="47" t="str">
        <f>ORÇAMENTO!A175</f>
        <v>4.1.2.4.9</v>
      </c>
      <c r="D38" s="47" t="str">
        <f>ORÇAMENTO!B175</f>
        <v xml:space="preserve"> M0344 </v>
      </c>
      <c r="E38" s="47" t="str">
        <f>ORÇAMENTO!C175</f>
        <v>SICRO3</v>
      </c>
      <c r="F38" s="48" t="str">
        <f>ORÇAMENTO!D175</f>
        <v>CAL HIDRATADA - A GRANEL</v>
      </c>
      <c r="G38" s="47" t="str">
        <f>ORÇAMENTO!E175</f>
        <v>KG</v>
      </c>
      <c r="H38" s="47">
        <f>ORÇAMENTO!F175</f>
        <v>30656.566068722681</v>
      </c>
      <c r="I38" s="47">
        <f>ORÇAMENTO!G175</f>
        <v>0.54</v>
      </c>
      <c r="J38" s="47">
        <f>ORÇAMENTO!H175</f>
        <v>0.111</v>
      </c>
      <c r="K38" s="47">
        <f>ORÇAMENTO!I175</f>
        <v>0.6</v>
      </c>
      <c r="L38" s="49">
        <f>ORÇAMENTO!J175</f>
        <v>18393.93</v>
      </c>
      <c r="N38" s="29" t="str">
        <f t="shared" si="4"/>
        <v>DIFERENTE</v>
      </c>
      <c r="O38" s="29" t="str">
        <f t="shared" si="5"/>
        <v>DIFERENTE</v>
      </c>
      <c r="P38" s="29" t="str">
        <f t="shared" si="6"/>
        <v>DIFERENTE</v>
      </c>
    </row>
    <row r="39" spans="2:16" x14ac:dyDescent="0.35">
      <c r="B39" s="47">
        <f t="shared" si="3"/>
        <v>15</v>
      </c>
      <c r="C39" s="47" t="str">
        <f>ORÇAMENTO!A231</f>
        <v>4.1.2.6.33</v>
      </c>
      <c r="D39" s="47" t="str">
        <f>ORÇAMENTO!B231</f>
        <v xml:space="preserve"> M0344 </v>
      </c>
      <c r="E39" s="47" t="str">
        <f>ORÇAMENTO!C231</f>
        <v>SICRO3</v>
      </c>
      <c r="F39" s="48" t="str">
        <f>ORÇAMENTO!D231</f>
        <v>CAL HIDRATADA - A GRANEL</v>
      </c>
      <c r="G39" s="47" t="str">
        <f>ORÇAMENTO!E231</f>
        <v>KG</v>
      </c>
      <c r="H39" s="47">
        <f>ORÇAMENTO!F231</f>
        <v>11060.35</v>
      </c>
      <c r="I39" s="47">
        <f>ORÇAMENTO!G231</f>
        <v>0.54</v>
      </c>
      <c r="J39" s="47">
        <f>ORÇAMENTO!H231</f>
        <v>0.111</v>
      </c>
      <c r="K39" s="47">
        <f>ORÇAMENTO!I231</f>
        <v>0.6</v>
      </c>
      <c r="L39" s="49">
        <f>ORÇAMENTO!J231</f>
        <v>6636.21</v>
      </c>
      <c r="N39" s="29" t="str">
        <f t="shared" si="4"/>
        <v>OK!</v>
      </c>
      <c r="O39" s="29" t="str">
        <f t="shared" si="5"/>
        <v>OK!</v>
      </c>
      <c r="P39" s="29" t="str">
        <f t="shared" si="6"/>
        <v>OK!</v>
      </c>
    </row>
    <row r="40" spans="2:16" x14ac:dyDescent="0.35">
      <c r="B40" s="47">
        <f t="shared" si="3"/>
        <v>15</v>
      </c>
      <c r="C40" s="47" t="str">
        <f>ORÇAMENTO!A287</f>
        <v>4.3.21</v>
      </c>
      <c r="D40" s="47" t="str">
        <f>ORÇAMENTO!B287</f>
        <v xml:space="preserve"> M0344 </v>
      </c>
      <c r="E40" s="47" t="str">
        <f>ORÇAMENTO!C287</f>
        <v>SICRO3</v>
      </c>
      <c r="F40" s="48" t="str">
        <f>ORÇAMENTO!D287</f>
        <v>CAL HIDRATADA - A GRANEL</v>
      </c>
      <c r="G40" s="47" t="str">
        <f>ORÇAMENTO!E287</f>
        <v>KG</v>
      </c>
      <c r="H40" s="47">
        <f>ORÇAMENTO!F287</f>
        <v>4.119458529019445</v>
      </c>
      <c r="I40" s="47">
        <f>ORÇAMENTO!G287</f>
        <v>0.54</v>
      </c>
      <c r="J40" s="47">
        <f>ORÇAMENTO!H287</f>
        <v>0.111</v>
      </c>
      <c r="K40" s="47">
        <f>ORÇAMENTO!I287</f>
        <v>0.6</v>
      </c>
      <c r="L40" s="49">
        <f>ORÇAMENTO!J287</f>
        <v>2.4700000000000002</v>
      </c>
      <c r="N40" s="29" t="str">
        <f t="shared" si="4"/>
        <v>OK!</v>
      </c>
      <c r="O40" s="29" t="str">
        <f t="shared" si="5"/>
        <v>OK!</v>
      </c>
      <c r="P40" s="29" t="str">
        <f t="shared" si="6"/>
        <v>OK!</v>
      </c>
    </row>
    <row r="41" spans="2:16" x14ac:dyDescent="0.35">
      <c r="B41" s="47">
        <f t="shared" si="3"/>
        <v>15</v>
      </c>
      <c r="C41" s="47" t="str">
        <f>ORÇAMENTO!A374</f>
        <v>5.1.2.4.9</v>
      </c>
      <c r="D41" s="47" t="str">
        <f>ORÇAMENTO!B374</f>
        <v xml:space="preserve"> M0344 </v>
      </c>
      <c r="E41" s="47" t="str">
        <f>ORÇAMENTO!C374</f>
        <v>SICRO3</v>
      </c>
      <c r="F41" s="48" t="str">
        <f>ORÇAMENTO!D374</f>
        <v>CAL HIDRATADA - A GRANEL</v>
      </c>
      <c r="G41" s="47" t="str">
        <f>ORÇAMENTO!E374</f>
        <v>KG</v>
      </c>
      <c r="H41" s="47">
        <f>ORÇAMENTO!F374</f>
        <v>79767.429871999979</v>
      </c>
      <c r="I41" s="47">
        <f>ORÇAMENTO!G374</f>
        <v>0.54</v>
      </c>
      <c r="J41" s="47">
        <f>ORÇAMENTO!H374</f>
        <v>0.111</v>
      </c>
      <c r="K41" s="47">
        <f>ORÇAMENTO!I374</f>
        <v>0.6</v>
      </c>
      <c r="L41" s="49">
        <f>ORÇAMENTO!J374</f>
        <v>47860.45</v>
      </c>
      <c r="N41" s="29" t="str">
        <f t="shared" si="4"/>
        <v>OK!</v>
      </c>
      <c r="O41" s="29" t="str">
        <f t="shared" si="5"/>
        <v>OK!</v>
      </c>
      <c r="P41" s="29" t="str">
        <f t="shared" si="6"/>
        <v>OK!</v>
      </c>
    </row>
    <row r="42" spans="2:16" x14ac:dyDescent="0.35">
      <c r="B42" s="47">
        <f t="shared" si="3"/>
        <v>15</v>
      </c>
      <c r="C42" s="47" t="str">
        <f>ORÇAMENTO!A441</f>
        <v>5.1.2.7.33</v>
      </c>
      <c r="D42" s="47" t="str">
        <f>ORÇAMENTO!B441</f>
        <v xml:space="preserve"> M0344 </v>
      </c>
      <c r="E42" s="47" t="str">
        <f>ORÇAMENTO!C441</f>
        <v>SICRO3</v>
      </c>
      <c r="F42" s="48" t="str">
        <f>ORÇAMENTO!D441</f>
        <v>CAL HIDRATADA - A GRANEL</v>
      </c>
      <c r="G42" s="47" t="str">
        <f>ORÇAMENTO!E441</f>
        <v>KG</v>
      </c>
      <c r="H42" s="47">
        <f>ORÇAMENTO!F441</f>
        <v>32278.76</v>
      </c>
      <c r="I42" s="47">
        <f>ORÇAMENTO!G441</f>
        <v>0.54</v>
      </c>
      <c r="J42" s="47">
        <f>ORÇAMENTO!H441</f>
        <v>0.111</v>
      </c>
      <c r="K42" s="47">
        <f>ORÇAMENTO!I441</f>
        <v>0.6</v>
      </c>
      <c r="L42" s="49">
        <f>ORÇAMENTO!J441</f>
        <v>19367.25</v>
      </c>
      <c r="N42" s="29" t="str">
        <f t="shared" si="4"/>
        <v>OK!</v>
      </c>
      <c r="O42" s="29" t="str">
        <f t="shared" si="5"/>
        <v>OK!</v>
      </c>
      <c r="P42" s="29" t="str">
        <f t="shared" si="6"/>
        <v>OK!</v>
      </c>
    </row>
    <row r="43" spans="2:16" x14ac:dyDescent="0.35">
      <c r="B43" s="47">
        <f t="shared" si="3"/>
        <v>15</v>
      </c>
      <c r="C43" s="47" t="str">
        <f>ORÇAMENTO!A521</f>
        <v>5.4.4.13</v>
      </c>
      <c r="D43" s="47" t="str">
        <f>ORÇAMENTO!B521</f>
        <v xml:space="preserve"> M0344 </v>
      </c>
      <c r="E43" s="47" t="str">
        <f>ORÇAMENTO!C521</f>
        <v>SICRO3</v>
      </c>
      <c r="F43" s="48" t="str">
        <f>ORÇAMENTO!D521</f>
        <v>CAL HIDRATADA - A GRANEL</v>
      </c>
      <c r="G43" s="47" t="str">
        <f>ORÇAMENTO!E521</f>
        <v>KG</v>
      </c>
      <c r="H43" s="47">
        <f>ORÇAMENTO!F521</f>
        <v>999.36199999999997</v>
      </c>
      <c r="I43" s="47">
        <f>ORÇAMENTO!G521</f>
        <v>0.54</v>
      </c>
      <c r="J43" s="47">
        <f>ORÇAMENTO!H521</f>
        <v>0.111</v>
      </c>
      <c r="K43" s="47">
        <f>ORÇAMENTO!I521</f>
        <v>0.6</v>
      </c>
      <c r="L43" s="49">
        <f>ORÇAMENTO!J521</f>
        <v>599.61</v>
      </c>
      <c r="N43" s="29" t="str">
        <f t="shared" si="4"/>
        <v>OK!</v>
      </c>
      <c r="O43" s="29" t="str">
        <f t="shared" si="5"/>
        <v>OK!</v>
      </c>
      <c r="P43" s="29" t="str">
        <f t="shared" si="6"/>
        <v>OK!</v>
      </c>
    </row>
    <row r="44" spans="2:16" x14ac:dyDescent="0.35">
      <c r="B44" s="47">
        <f t="shared" si="3"/>
        <v>15</v>
      </c>
      <c r="C44" s="47" t="str">
        <f>ORÇAMENTO!A549</f>
        <v>5.5.22</v>
      </c>
      <c r="D44" s="47" t="str">
        <f>ORÇAMENTO!B549</f>
        <v xml:space="preserve"> M0344 </v>
      </c>
      <c r="E44" s="47" t="str">
        <f>ORÇAMENTO!C549</f>
        <v>SICRO3</v>
      </c>
      <c r="F44" s="48" t="str">
        <f>ORÇAMENTO!D549</f>
        <v>CAL HIDRATADA - A GRANEL</v>
      </c>
      <c r="G44" s="47" t="str">
        <f>ORÇAMENTO!E549</f>
        <v>KG</v>
      </c>
      <c r="H44" s="47">
        <f>ORÇAMENTO!F549</f>
        <v>5.5726544523219212</v>
      </c>
      <c r="I44" s="47">
        <f>ORÇAMENTO!G549</f>
        <v>0.54</v>
      </c>
      <c r="J44" s="47">
        <f>ORÇAMENTO!H549</f>
        <v>0.111</v>
      </c>
      <c r="K44" s="47">
        <f>ORÇAMENTO!I549</f>
        <v>0.6</v>
      </c>
      <c r="L44" s="49">
        <f>ORÇAMENTO!J549</f>
        <v>3.34</v>
      </c>
      <c r="N44" s="29" t="str">
        <f t="shared" si="4"/>
        <v>OK!</v>
      </c>
      <c r="O44" s="29" t="str">
        <f t="shared" si="5"/>
        <v>OK!</v>
      </c>
      <c r="P44" s="29" t="str">
        <f t="shared" si="6"/>
        <v>OK!</v>
      </c>
    </row>
    <row r="45" spans="2:16" ht="43.5" x14ac:dyDescent="0.35">
      <c r="B45" s="47">
        <f t="shared" si="3"/>
        <v>16</v>
      </c>
      <c r="C45" s="47" t="str">
        <f>ORÇAMENTO!A103</f>
        <v>4.1.1.2.2</v>
      </c>
      <c r="D45" s="47" t="str">
        <f>ORÇAMENTO!B103</f>
        <v xml:space="preserve"> 100983 </v>
      </c>
      <c r="E45" s="47" t="str">
        <f>ORÇAMENTO!C103</f>
        <v>SINAPI</v>
      </c>
      <c r="F45" s="48" t="str">
        <f>ORÇAMENTO!D103</f>
        <v>CARGA, MANOBRA E DESCARGA DE ENTULHO EM CAMINHÃO BASCULANTE 14 M³ - CARGA COM ESCAVADEIRA HIDRÁULICA  (CAÇAMBA DE 0,80 M³ / 111 HP) E DESCARGA LIVRE (UNIDADE: M3). AF_07/2020</v>
      </c>
      <c r="G45" s="47" t="str">
        <f>ORÇAMENTO!E103</f>
        <v>M³</v>
      </c>
      <c r="H45" s="47">
        <f>ORÇAMENTO!F103</f>
        <v>62.616787958168075</v>
      </c>
      <c r="I45" s="47">
        <f>ORÇAMENTO!G103</f>
        <v>8.81</v>
      </c>
      <c r="J45" s="47">
        <f>ORÇAMENTO!H103</f>
        <v>0.2122</v>
      </c>
      <c r="K45" s="47">
        <f>ORÇAMENTO!I103</f>
        <v>10.68</v>
      </c>
      <c r="L45" s="107">
        <f>ORÇAMENTO!J103</f>
        <v>668.74</v>
      </c>
      <c r="N45" s="29" t="str">
        <f t="shared" si="4"/>
        <v>DIFERENTE</v>
      </c>
      <c r="O45" s="29" t="str">
        <f t="shared" si="5"/>
        <v>DIFERENTE</v>
      </c>
      <c r="P45" s="29" t="str">
        <f t="shared" si="6"/>
        <v>DIFERENTE</v>
      </c>
    </row>
    <row r="46" spans="2:16" ht="43.5" x14ac:dyDescent="0.35">
      <c r="B46" s="47">
        <f t="shared" si="3"/>
        <v>16</v>
      </c>
      <c r="C46" s="47" t="str">
        <f>ORÇAMENTO!A108</f>
        <v>4.1.1.3.2</v>
      </c>
      <c r="D46" s="47" t="str">
        <f>ORÇAMENTO!B108</f>
        <v xml:space="preserve"> 100983 </v>
      </c>
      <c r="E46" s="47" t="str">
        <f>ORÇAMENTO!C108</f>
        <v>SINAPI</v>
      </c>
      <c r="F46" s="48" t="str">
        <f>ORÇAMENTO!D108</f>
        <v>CARGA, MANOBRA E DESCARGA DE ENTULHO EM CAMINHÃO BASCULANTE 14 M³ - CARGA COM ESCAVADEIRA HIDRÁULICA  (CAÇAMBA DE 0,80 M³ / 111 HP) E DESCARGA LIVRE (UNIDADE: M3). AF_07/2020</v>
      </c>
      <c r="G46" s="47" t="str">
        <f>ORÇAMENTO!E108</f>
        <v>M³</v>
      </c>
      <c r="H46" s="47">
        <f>ORÇAMENTO!F108</f>
        <v>31.395091843104815</v>
      </c>
      <c r="I46" s="47">
        <f>ORÇAMENTO!G108</f>
        <v>8.81</v>
      </c>
      <c r="J46" s="47">
        <f>ORÇAMENTO!H108</f>
        <v>0.2122</v>
      </c>
      <c r="K46" s="47">
        <f>ORÇAMENTO!I108</f>
        <v>10.68</v>
      </c>
      <c r="L46" s="49">
        <f>ORÇAMENTO!J108</f>
        <v>335.29</v>
      </c>
      <c r="N46" s="29" t="str">
        <f t="shared" si="4"/>
        <v>OK!</v>
      </c>
      <c r="O46" s="29" t="str">
        <f t="shared" si="5"/>
        <v>OK!</v>
      </c>
      <c r="P46" s="29" t="str">
        <f t="shared" si="6"/>
        <v>OK!</v>
      </c>
    </row>
    <row r="47" spans="2:16" ht="43.5" x14ac:dyDescent="0.35">
      <c r="B47" s="47">
        <f t="shared" si="3"/>
        <v>16</v>
      </c>
      <c r="C47" s="47" t="str">
        <f>ORÇAMENTO!A113</f>
        <v>4.1.1.4.2</v>
      </c>
      <c r="D47" s="47" t="str">
        <f>ORÇAMENTO!B113</f>
        <v xml:space="preserve"> 100983 </v>
      </c>
      <c r="E47" s="47" t="str">
        <f>ORÇAMENTO!C113</f>
        <v>SINAPI</v>
      </c>
      <c r="F47" s="48" t="str">
        <f>ORÇAMENTO!D113</f>
        <v>CARGA, MANOBRA E DESCARGA DE ENTULHO EM CAMINHÃO BASCULANTE 14 M³ - CARGA COM ESCAVADEIRA HIDRÁULICA  (CAÇAMBA DE 0,80 M³ / 111 HP) E DESCARGA LIVRE (UNIDADE: M3). AF_07/2020</v>
      </c>
      <c r="G47" s="47" t="str">
        <f>ORÇAMENTO!E113</f>
        <v>M³</v>
      </c>
      <c r="H47" s="47">
        <f>ORÇAMENTO!F113</f>
        <v>232.3551540509261</v>
      </c>
      <c r="I47" s="47">
        <f>ORÇAMENTO!G113</f>
        <v>8.81</v>
      </c>
      <c r="J47" s="47">
        <f>ORÇAMENTO!H113</f>
        <v>0.2122</v>
      </c>
      <c r="K47" s="47">
        <f>ORÇAMENTO!I113</f>
        <v>10.68</v>
      </c>
      <c r="L47" s="49">
        <f>ORÇAMENTO!J113</f>
        <v>2481.5500000000002</v>
      </c>
      <c r="N47" s="29" t="str">
        <f t="shared" si="4"/>
        <v>OK!</v>
      </c>
      <c r="O47" s="29" t="str">
        <f t="shared" si="5"/>
        <v>OK!</v>
      </c>
      <c r="P47" s="29" t="str">
        <f t="shared" si="6"/>
        <v>OK!</v>
      </c>
    </row>
    <row r="48" spans="2:16" ht="43.5" x14ac:dyDescent="0.35">
      <c r="B48" s="47">
        <f t="shared" si="3"/>
        <v>16</v>
      </c>
      <c r="C48" s="47" t="str">
        <f>ORÇAMENTO!A121</f>
        <v>4.1.1.5.5</v>
      </c>
      <c r="D48" s="47" t="str">
        <f>ORÇAMENTO!B121</f>
        <v xml:space="preserve"> 100983 </v>
      </c>
      <c r="E48" s="47" t="str">
        <f>ORÇAMENTO!C121</f>
        <v>SINAPI</v>
      </c>
      <c r="F48" s="48" t="str">
        <f>ORÇAMENTO!D121</f>
        <v>CARGA, MANOBRA E DESCARGA DE ENTULHO EM CAMINHÃO BASCULANTE 14 M³ - CARGA COM ESCAVADEIRA HIDRÁULICA  (CAÇAMBA DE 0,80 M³ / 111 HP) E DESCARGA LIVRE (UNIDADE: M3). AF_07/2020</v>
      </c>
      <c r="G48" s="47" t="str">
        <f>ORÇAMENTO!E121</f>
        <v>M³</v>
      </c>
      <c r="H48" s="47">
        <f>ORÇAMENTO!F121</f>
        <v>27.511848000000001</v>
      </c>
      <c r="I48" s="47">
        <f>ORÇAMENTO!G121</f>
        <v>8.81</v>
      </c>
      <c r="J48" s="47">
        <f>ORÇAMENTO!H121</f>
        <v>0.2122</v>
      </c>
      <c r="K48" s="47">
        <f>ORÇAMENTO!I121</f>
        <v>10.68</v>
      </c>
      <c r="L48" s="49">
        <f>ORÇAMENTO!J121</f>
        <v>293.82</v>
      </c>
      <c r="N48" s="29" t="str">
        <f t="shared" si="4"/>
        <v>OK!</v>
      </c>
      <c r="O48" s="29" t="str">
        <f t="shared" si="5"/>
        <v>OK!</v>
      </c>
      <c r="P48" s="29" t="str">
        <f t="shared" si="6"/>
        <v>OK!</v>
      </c>
    </row>
    <row r="49" spans="2:16" ht="43.5" x14ac:dyDescent="0.35">
      <c r="B49" s="47">
        <f t="shared" si="3"/>
        <v>16</v>
      </c>
      <c r="C49" s="47" t="str">
        <f>ORÇAMENTO!A127</f>
        <v>4.1.1.6.3</v>
      </c>
      <c r="D49" s="47" t="str">
        <f>ORÇAMENTO!B127</f>
        <v xml:space="preserve"> 100983 </v>
      </c>
      <c r="E49" s="47" t="str">
        <f>ORÇAMENTO!C127</f>
        <v>SINAPI</v>
      </c>
      <c r="F49" s="48" t="str">
        <f>ORÇAMENTO!D127</f>
        <v>CARGA, MANOBRA E DESCARGA DE ENTULHO EM CAMINHÃO BASCULANTE 14 M³ - CARGA COM ESCAVADEIRA HIDRÁULICA  (CAÇAMBA DE 0,80 M³ / 111 HP) E DESCARGA LIVRE (UNIDADE: M3). AF_07/2020</v>
      </c>
      <c r="G49" s="47" t="str">
        <f>ORÇAMENTO!E127</f>
        <v>M³</v>
      </c>
      <c r="H49" s="47">
        <f>ORÇAMENTO!F127</f>
        <v>0</v>
      </c>
      <c r="I49" s="47">
        <f>ORÇAMENTO!G127</f>
        <v>8.81</v>
      </c>
      <c r="J49" s="47">
        <f>ORÇAMENTO!H127</f>
        <v>0.2122</v>
      </c>
      <c r="K49" s="47">
        <f>ORÇAMENTO!I127</f>
        <v>10.68</v>
      </c>
      <c r="L49" s="49">
        <f>ORÇAMENTO!J127</f>
        <v>0</v>
      </c>
      <c r="N49" s="29" t="str">
        <f t="shared" si="4"/>
        <v>OK!</v>
      </c>
      <c r="O49" s="29" t="str">
        <f t="shared" si="5"/>
        <v>OK!</v>
      </c>
      <c r="P49" s="29" t="str">
        <f t="shared" si="6"/>
        <v>OK!</v>
      </c>
    </row>
    <row r="50" spans="2:16" ht="43.5" x14ac:dyDescent="0.35">
      <c r="B50" s="47">
        <f t="shared" si="3"/>
        <v>16</v>
      </c>
      <c r="C50" s="47" t="str">
        <f>ORÇAMENTO!A132</f>
        <v>4.1.1.7.2</v>
      </c>
      <c r="D50" s="47" t="str">
        <f>ORÇAMENTO!B132</f>
        <v xml:space="preserve"> 100983 </v>
      </c>
      <c r="E50" s="47" t="str">
        <f>ORÇAMENTO!C132</f>
        <v>SINAPI</v>
      </c>
      <c r="F50" s="48" t="str">
        <f>ORÇAMENTO!D132</f>
        <v>CARGA, MANOBRA E DESCARGA DE ENTULHO EM CAMINHÃO BASCULANTE 14 M³ - CARGA COM ESCAVADEIRA HIDRÁULICA  (CAÇAMBA DE 0,80 M³ / 111 HP) E DESCARGA LIVRE (UNIDADE: M3). AF_07/2020</v>
      </c>
      <c r="G50" s="47" t="str">
        <f>ORÇAMENTO!E132</f>
        <v>M³</v>
      </c>
      <c r="H50" s="47">
        <f>ORÇAMENTO!F132</f>
        <v>0.83347081418267965</v>
      </c>
      <c r="I50" s="47">
        <f>ORÇAMENTO!G132</f>
        <v>8.81</v>
      </c>
      <c r="J50" s="47">
        <f>ORÇAMENTO!H132</f>
        <v>0.2122</v>
      </c>
      <c r="K50" s="47">
        <f>ORÇAMENTO!I132</f>
        <v>10.68</v>
      </c>
      <c r="L50" s="49">
        <f>ORÇAMENTO!J132</f>
        <v>8.9</v>
      </c>
      <c r="N50" s="29" t="str">
        <f t="shared" si="4"/>
        <v>OK!</v>
      </c>
      <c r="O50" s="29" t="str">
        <f t="shared" si="5"/>
        <v>OK!</v>
      </c>
      <c r="P50" s="29" t="str">
        <f t="shared" si="6"/>
        <v>OK!</v>
      </c>
    </row>
    <row r="51" spans="2:16" ht="43.5" x14ac:dyDescent="0.35">
      <c r="B51" s="47">
        <f t="shared" si="3"/>
        <v>16</v>
      </c>
      <c r="C51" s="47" t="str">
        <f>ORÇAMENTO!A279</f>
        <v>4.3.13</v>
      </c>
      <c r="D51" s="47" t="str">
        <f>ORÇAMENTO!B279</f>
        <v xml:space="preserve"> 100983 </v>
      </c>
      <c r="E51" s="47" t="str">
        <f>ORÇAMENTO!C279</f>
        <v>SINAPI</v>
      </c>
      <c r="F51" s="48" t="str">
        <f>ORÇAMENTO!D279</f>
        <v>CARGA, MANOBRA E DESCARGA DE ENTULHO EM CAMINHÃO BASCULANTE 14 M³ - CARGA COM ESCAVADEIRA HIDRÁULICA  (CAÇAMBA DE 0,80 M³ / 111 HP) E DESCARGA LIVRE (UNIDADE: M3). AF_07/2020</v>
      </c>
      <c r="G51" s="47" t="str">
        <f>ORÇAMENTO!E279</f>
        <v>M³</v>
      </c>
      <c r="H51" s="47">
        <f>ORÇAMENTO!F279</f>
        <v>3.985199999999999</v>
      </c>
      <c r="I51" s="47">
        <f>ORÇAMENTO!G279</f>
        <v>8.81</v>
      </c>
      <c r="J51" s="47">
        <f>ORÇAMENTO!H279</f>
        <v>0.2122</v>
      </c>
      <c r="K51" s="47">
        <f>ORÇAMENTO!I279</f>
        <v>10.68</v>
      </c>
      <c r="L51" s="49">
        <f>ORÇAMENTO!J279</f>
        <v>42.56</v>
      </c>
      <c r="N51" s="29" t="str">
        <f t="shared" si="4"/>
        <v>OK!</v>
      </c>
      <c r="O51" s="29" t="str">
        <f t="shared" si="5"/>
        <v>OK!</v>
      </c>
      <c r="P51" s="29" t="str">
        <f t="shared" si="6"/>
        <v>OK!</v>
      </c>
    </row>
    <row r="52" spans="2:16" ht="43.5" x14ac:dyDescent="0.35">
      <c r="B52" s="47">
        <f t="shared" si="3"/>
        <v>16</v>
      </c>
      <c r="C52" s="47" t="str">
        <f>ORÇAMENTO!A305</f>
        <v>5.1.1.2.2</v>
      </c>
      <c r="D52" s="47" t="str">
        <f>ORÇAMENTO!B305</f>
        <v xml:space="preserve"> 100983 </v>
      </c>
      <c r="E52" s="47" t="str">
        <f>ORÇAMENTO!C305</f>
        <v>SINAPI</v>
      </c>
      <c r="F52" s="48" t="str">
        <f>ORÇAMENTO!D305</f>
        <v>CARGA, MANOBRA E DESCARGA DE ENTULHO EM CAMINHÃO BASCULANTE 14 M³ - CARGA COM ESCAVADEIRA HIDRÁULICA  (CAÇAMBA DE 0,80 M³ / 111 HP) E DESCARGA LIVRE (UNIDADE: M3). AF_07/2020</v>
      </c>
      <c r="G52" s="47" t="str">
        <f>ORÇAMENTO!E305</f>
        <v>M³</v>
      </c>
      <c r="H52" s="47">
        <f>ORÇAMENTO!F305</f>
        <v>107.37773999999997</v>
      </c>
      <c r="I52" s="47">
        <f>ORÇAMENTO!G305</f>
        <v>8.81</v>
      </c>
      <c r="J52" s="47">
        <f>ORÇAMENTO!H305</f>
        <v>0.2122</v>
      </c>
      <c r="K52" s="47">
        <f>ORÇAMENTO!I305</f>
        <v>10.68</v>
      </c>
      <c r="L52" s="49">
        <f>ORÇAMENTO!J305</f>
        <v>1146.79</v>
      </c>
      <c r="N52" s="29" t="str">
        <f t="shared" si="4"/>
        <v>OK!</v>
      </c>
      <c r="O52" s="29" t="str">
        <f t="shared" si="5"/>
        <v>OK!</v>
      </c>
      <c r="P52" s="29" t="str">
        <f t="shared" si="6"/>
        <v>OK!</v>
      </c>
    </row>
    <row r="53" spans="2:16" ht="43.5" x14ac:dyDescent="0.35">
      <c r="B53" s="47">
        <f t="shared" si="3"/>
        <v>16</v>
      </c>
      <c r="C53" s="47" t="str">
        <f>ORÇAMENTO!A310</f>
        <v>5.1.1.3.2</v>
      </c>
      <c r="D53" s="47" t="str">
        <f>ORÇAMENTO!B310</f>
        <v xml:space="preserve"> 100983 </v>
      </c>
      <c r="E53" s="47" t="str">
        <f>ORÇAMENTO!C310</f>
        <v>SINAPI</v>
      </c>
      <c r="F53" s="48" t="str">
        <f>ORÇAMENTO!D310</f>
        <v>CARGA, MANOBRA E DESCARGA DE ENTULHO EM CAMINHÃO BASCULANTE 14 M³ - CARGA COM ESCAVADEIRA HIDRÁULICA  (CAÇAMBA DE 0,80 M³ / 111 HP) E DESCARGA LIVRE (UNIDADE: M3). AF_07/2020</v>
      </c>
      <c r="G53" s="47" t="str">
        <f>ORÇAMENTO!E310</f>
        <v>M³</v>
      </c>
      <c r="H53" s="47">
        <f>ORÇAMENTO!F310</f>
        <v>96.234305887302895</v>
      </c>
      <c r="I53" s="47">
        <f>ORÇAMENTO!G310</f>
        <v>8.81</v>
      </c>
      <c r="J53" s="47">
        <f>ORÇAMENTO!H310</f>
        <v>0.2122</v>
      </c>
      <c r="K53" s="47">
        <f>ORÇAMENTO!I310</f>
        <v>10.68</v>
      </c>
      <c r="L53" s="49">
        <f>ORÇAMENTO!J310</f>
        <v>1027.78</v>
      </c>
      <c r="N53" s="29" t="str">
        <f t="shared" si="4"/>
        <v>OK!</v>
      </c>
      <c r="O53" s="29" t="str">
        <f t="shared" si="5"/>
        <v>OK!</v>
      </c>
      <c r="P53" s="29" t="str">
        <f t="shared" si="6"/>
        <v>OK!</v>
      </c>
    </row>
    <row r="54" spans="2:16" ht="43.5" x14ac:dyDescent="0.35">
      <c r="B54" s="47">
        <f t="shared" si="3"/>
        <v>16</v>
      </c>
      <c r="C54" s="47" t="str">
        <f>ORÇAMENTO!A315</f>
        <v>5.1.1.4.2</v>
      </c>
      <c r="D54" s="47" t="str">
        <f>ORÇAMENTO!B315</f>
        <v xml:space="preserve"> 100983 </v>
      </c>
      <c r="E54" s="47" t="str">
        <f>ORÇAMENTO!C315</f>
        <v>SINAPI</v>
      </c>
      <c r="F54" s="48" t="str">
        <f>ORÇAMENTO!D315</f>
        <v>CARGA, MANOBRA E DESCARGA DE ENTULHO EM CAMINHÃO BASCULANTE 14 M³ - CARGA COM ESCAVADEIRA HIDRÁULICA  (CAÇAMBA DE 0,80 M³ / 111 HP) E DESCARGA LIVRE (UNIDADE: M3). AF_07/2020</v>
      </c>
      <c r="G54" s="47" t="str">
        <f>ORÇAMENTO!E315</f>
        <v>M³</v>
      </c>
      <c r="H54" s="47">
        <f>ORÇAMENTO!F315</f>
        <v>564.46517937007013</v>
      </c>
      <c r="I54" s="47">
        <f>ORÇAMENTO!G315</f>
        <v>8.81</v>
      </c>
      <c r="J54" s="47">
        <f>ORÇAMENTO!H315</f>
        <v>0.2122</v>
      </c>
      <c r="K54" s="47">
        <f>ORÇAMENTO!I315</f>
        <v>10.68</v>
      </c>
      <c r="L54" s="49">
        <f>ORÇAMENTO!J315</f>
        <v>6028.48</v>
      </c>
      <c r="N54" s="29" t="str">
        <f t="shared" si="4"/>
        <v>OK!</v>
      </c>
      <c r="O54" s="29" t="str">
        <f t="shared" si="5"/>
        <v>OK!</v>
      </c>
      <c r="P54" s="29" t="str">
        <f t="shared" si="6"/>
        <v>OK!</v>
      </c>
    </row>
    <row r="55" spans="2:16" ht="43.5" x14ac:dyDescent="0.35">
      <c r="B55" s="47">
        <f t="shared" si="3"/>
        <v>16</v>
      </c>
      <c r="C55" s="47" t="str">
        <f>ORÇAMENTO!A323</f>
        <v>5.1.1.5.5</v>
      </c>
      <c r="D55" s="47" t="str">
        <f>ORÇAMENTO!B323</f>
        <v xml:space="preserve"> 100983 </v>
      </c>
      <c r="E55" s="47" t="str">
        <f>ORÇAMENTO!C323</f>
        <v>SINAPI</v>
      </c>
      <c r="F55" s="48" t="str">
        <f>ORÇAMENTO!D323</f>
        <v>CARGA, MANOBRA E DESCARGA DE ENTULHO EM CAMINHÃO BASCULANTE 14 M³ - CARGA COM ESCAVADEIRA HIDRÁULICA  (CAÇAMBA DE 0,80 M³ / 111 HP) E DESCARGA LIVRE (UNIDADE: M3). AF_07/2020</v>
      </c>
      <c r="G55" s="47" t="str">
        <f>ORÇAMENTO!E323</f>
        <v>M³</v>
      </c>
      <c r="H55" s="47">
        <f>ORÇAMENTO!F323</f>
        <v>63.117599999999996</v>
      </c>
      <c r="I55" s="47">
        <f>ORÇAMENTO!G323</f>
        <v>8.81</v>
      </c>
      <c r="J55" s="47">
        <f>ORÇAMENTO!H323</f>
        <v>0.2122</v>
      </c>
      <c r="K55" s="47">
        <f>ORÇAMENTO!I323</f>
        <v>10.68</v>
      </c>
      <c r="L55" s="49">
        <f>ORÇAMENTO!J323</f>
        <v>674.09</v>
      </c>
      <c r="N55" s="29" t="str">
        <f t="shared" si="4"/>
        <v>OK!</v>
      </c>
      <c r="O55" s="29" t="str">
        <f t="shared" si="5"/>
        <v>OK!</v>
      </c>
      <c r="P55" s="29" t="str">
        <f t="shared" si="6"/>
        <v>OK!</v>
      </c>
    </row>
    <row r="56" spans="2:16" ht="43.5" x14ac:dyDescent="0.35">
      <c r="B56" s="47">
        <f t="shared" si="3"/>
        <v>16</v>
      </c>
      <c r="C56" s="47" t="str">
        <f>ORÇAMENTO!A328</f>
        <v>5.1.1.6.2</v>
      </c>
      <c r="D56" s="47" t="str">
        <f>ORÇAMENTO!B328</f>
        <v xml:space="preserve"> 100983 </v>
      </c>
      <c r="E56" s="47" t="str">
        <f>ORÇAMENTO!C328</f>
        <v>SINAPI</v>
      </c>
      <c r="F56" s="48" t="str">
        <f>ORÇAMENTO!D328</f>
        <v>CARGA, MANOBRA E DESCARGA DE ENTULHO EM CAMINHÃO BASCULANTE 14 M³ - CARGA COM ESCAVADEIRA HIDRÁULICA  (CAÇAMBA DE 0,80 M³ / 111 HP) E DESCARGA LIVRE (UNIDADE: M3). AF_07/2020</v>
      </c>
      <c r="G56" s="47" t="str">
        <f>ORÇAMENTO!E328</f>
        <v>M³</v>
      </c>
      <c r="H56" s="47">
        <f>ORÇAMENTO!F328</f>
        <v>1.8630524081730497</v>
      </c>
      <c r="I56" s="47">
        <f>ORÇAMENTO!G328</f>
        <v>8.81</v>
      </c>
      <c r="J56" s="47">
        <f>ORÇAMENTO!H328</f>
        <v>0.2122</v>
      </c>
      <c r="K56" s="47">
        <f>ORÇAMENTO!I328</f>
        <v>10.68</v>
      </c>
      <c r="L56" s="49">
        <f>ORÇAMENTO!J328</f>
        <v>19.89</v>
      </c>
      <c r="N56" s="29" t="str">
        <f t="shared" si="4"/>
        <v>OK!</v>
      </c>
      <c r="O56" s="29" t="str">
        <f t="shared" si="5"/>
        <v>OK!</v>
      </c>
      <c r="P56" s="29" t="str">
        <f t="shared" si="6"/>
        <v>OK!</v>
      </c>
    </row>
    <row r="57" spans="2:16" ht="43.5" x14ac:dyDescent="0.35">
      <c r="B57" s="47">
        <f t="shared" si="3"/>
        <v>16</v>
      </c>
      <c r="C57" s="47" t="str">
        <f>ORÇAMENTO!A497</f>
        <v>5.4.1.2</v>
      </c>
      <c r="D57" s="47" t="str">
        <f>ORÇAMENTO!B497</f>
        <v xml:space="preserve"> 100983 </v>
      </c>
      <c r="E57" s="47" t="str">
        <f>ORÇAMENTO!C497</f>
        <v>SINAPI</v>
      </c>
      <c r="F57" s="48" t="str">
        <f>ORÇAMENTO!D497</f>
        <v>CARGA, MANOBRA E DESCARGA DE ENTULHO EM CAMINHÃO BASCULANTE 14 M³ - CARGA COM ESCAVADEIRA HIDRÁULICA  (CAÇAMBA DE 0,80 M³ / 111 HP) E DESCARGA LIVRE (UNIDADE: M3). AF_07/2020</v>
      </c>
      <c r="G57" s="47" t="str">
        <f>ORÇAMENTO!E497</f>
        <v>M³</v>
      </c>
      <c r="H57" s="47">
        <f>ORÇAMENTO!F497</f>
        <v>2855.32</v>
      </c>
      <c r="I57" s="47">
        <f>ORÇAMENTO!G497</f>
        <v>8.81</v>
      </c>
      <c r="J57" s="47">
        <f>ORÇAMENTO!H497</f>
        <v>0.2122</v>
      </c>
      <c r="K57" s="47">
        <f>ORÇAMENTO!I497</f>
        <v>10.68</v>
      </c>
      <c r="L57" s="49">
        <f>ORÇAMENTO!J497</f>
        <v>30494.81</v>
      </c>
      <c r="N57" s="29" t="str">
        <f t="shared" si="4"/>
        <v>OK!</v>
      </c>
      <c r="O57" s="29" t="str">
        <f t="shared" si="5"/>
        <v>OK!</v>
      </c>
      <c r="P57" s="29" t="str">
        <f t="shared" si="6"/>
        <v>OK!</v>
      </c>
    </row>
    <row r="58" spans="2:16" ht="43.5" x14ac:dyDescent="0.35">
      <c r="B58" s="47">
        <f t="shared" si="3"/>
        <v>16</v>
      </c>
      <c r="C58" s="47" t="str">
        <f>ORÇAMENTO!A541</f>
        <v>5.5.14</v>
      </c>
      <c r="D58" s="47" t="str">
        <f>ORÇAMENTO!B541</f>
        <v xml:space="preserve"> 100983 </v>
      </c>
      <c r="E58" s="47" t="str">
        <f>ORÇAMENTO!C541</f>
        <v>SINAPI</v>
      </c>
      <c r="F58" s="48" t="str">
        <f>ORÇAMENTO!D541</f>
        <v>CARGA, MANOBRA E DESCARGA DE ENTULHO EM CAMINHÃO BASCULANTE 14 M³ - CARGA COM ESCAVADEIRA HIDRÁULICA  (CAÇAMBA DE 0,80 M³ / 111 HP) E DESCARGA LIVRE (UNIDADE: M3). AF_07/2020</v>
      </c>
      <c r="G58" s="47" t="str">
        <f>ORÇAMENTO!E541</f>
        <v>M³</v>
      </c>
      <c r="H58" s="47">
        <f>ORÇAMENTO!F541</f>
        <v>6.4151999999999978</v>
      </c>
      <c r="I58" s="47">
        <f>ORÇAMENTO!G541</f>
        <v>8.81</v>
      </c>
      <c r="J58" s="47">
        <f>ORÇAMENTO!H541</f>
        <v>0.2122</v>
      </c>
      <c r="K58" s="47">
        <f>ORÇAMENTO!I541</f>
        <v>10.68</v>
      </c>
      <c r="L58" s="49">
        <f>ORÇAMENTO!J541</f>
        <v>68.510000000000005</v>
      </c>
      <c r="N58" s="29" t="str">
        <f t="shared" si="4"/>
        <v>OK!</v>
      </c>
      <c r="O58" s="29" t="str">
        <f t="shared" si="5"/>
        <v>OK!</v>
      </c>
      <c r="P58" s="29" t="str">
        <f t="shared" si="6"/>
        <v>OK!</v>
      </c>
    </row>
    <row r="59" spans="2:16" ht="58" x14ac:dyDescent="0.35">
      <c r="B59" s="47">
        <f t="shared" si="3"/>
        <v>17</v>
      </c>
      <c r="C59" s="47" t="str">
        <f>ORÇAMENTO!A150</f>
        <v>4.1.2.1.11</v>
      </c>
      <c r="D59" s="47" t="str">
        <f>ORÇAMENTO!B150</f>
        <v xml:space="preserve"> 100979 </v>
      </c>
      <c r="E59" s="47" t="str">
        <f>ORÇAMENTO!C150</f>
        <v>SINAPI</v>
      </c>
      <c r="F59" s="48" t="str">
        <f>ORÇAMENTO!D150</f>
        <v>CARGA, MANOBRA E DESCARGA DE SOLOS E MATERIAIS GRANULARES EM CAMINHÃO BASCULANTE 14 M³ - CARGA COM ESCAVADEIRA HIDRÁULICA (CAÇAMBA DE 1,20 M³ / 155 HP) E DESCARGA LIVRE (UNIDADE: M3). AF_07/2020</v>
      </c>
      <c r="G59" s="47" t="str">
        <f>ORÇAMENTO!E150</f>
        <v>M³</v>
      </c>
      <c r="H59" s="47">
        <f>ORÇAMENTO!F150</f>
        <v>882.95071558587631</v>
      </c>
      <c r="I59" s="47">
        <f>ORÇAMENTO!G150</f>
        <v>6.53</v>
      </c>
      <c r="J59" s="47">
        <f>ORÇAMENTO!H150</f>
        <v>0.2122</v>
      </c>
      <c r="K59" s="47">
        <f>ORÇAMENTO!I150</f>
        <v>7.92</v>
      </c>
      <c r="L59" s="49">
        <f>ORÇAMENTO!J150</f>
        <v>6992.96</v>
      </c>
      <c r="N59" s="29" t="str">
        <f t="shared" si="4"/>
        <v>DIFERENTE</v>
      </c>
      <c r="O59" s="29" t="str">
        <f t="shared" si="5"/>
        <v>DIFERENTE</v>
      </c>
      <c r="P59" s="29" t="str">
        <f t="shared" si="6"/>
        <v>DIFERENTE</v>
      </c>
    </row>
    <row r="60" spans="2:16" ht="58" x14ac:dyDescent="0.35">
      <c r="B60" s="47">
        <f t="shared" si="3"/>
        <v>17</v>
      </c>
      <c r="C60" s="47" t="str">
        <f>ORÇAMENTO!A181</f>
        <v>4.1.2.4.15</v>
      </c>
      <c r="D60" s="47" t="str">
        <f>ORÇAMENTO!B181</f>
        <v xml:space="preserve"> 100979 </v>
      </c>
      <c r="E60" s="47" t="str">
        <f>ORÇAMENTO!C181</f>
        <v>SINAPI</v>
      </c>
      <c r="F60" s="48" t="str">
        <f>ORÇAMENTO!D181</f>
        <v>CARGA, MANOBRA E DESCARGA DE SOLOS E MATERIAIS GRANULARES EM CAMINHÃO BASCULANTE 14 M³ - CARGA COM ESCAVADEIRA HIDRÁULICA (CAÇAMBA DE 1,20 M³ / 155 HP) E DESCARGA LIVRE (UNIDADE: M3). AF_07/2020</v>
      </c>
      <c r="G60" s="47" t="str">
        <f>ORÇAMENTO!E181</f>
        <v>M³</v>
      </c>
      <c r="H60" s="47">
        <f>ORÇAMENTO!F181</f>
        <v>253.92534120385776</v>
      </c>
      <c r="I60" s="47">
        <f>ORÇAMENTO!G181</f>
        <v>6.53</v>
      </c>
      <c r="J60" s="47">
        <f>ORÇAMENTO!H181</f>
        <v>0.2122</v>
      </c>
      <c r="K60" s="47">
        <f>ORÇAMENTO!I181</f>
        <v>7.92</v>
      </c>
      <c r="L60" s="49">
        <f>ORÇAMENTO!J181</f>
        <v>2011.08</v>
      </c>
      <c r="N60" s="29" t="str">
        <f t="shared" si="4"/>
        <v>OK!</v>
      </c>
      <c r="O60" s="29" t="str">
        <f t="shared" si="5"/>
        <v>OK!</v>
      </c>
      <c r="P60" s="29" t="str">
        <f t="shared" si="6"/>
        <v>OK!</v>
      </c>
    </row>
    <row r="61" spans="2:16" ht="58" x14ac:dyDescent="0.35">
      <c r="B61" s="47">
        <f t="shared" si="3"/>
        <v>17</v>
      </c>
      <c r="C61" s="47" t="str">
        <f>ORÇAMENTO!A234</f>
        <v>4.1.2.6.36</v>
      </c>
      <c r="D61" s="47" t="str">
        <f>ORÇAMENTO!B234</f>
        <v xml:space="preserve"> 100979 </v>
      </c>
      <c r="E61" s="47" t="str">
        <f>ORÇAMENTO!C234</f>
        <v>SINAPI</v>
      </c>
      <c r="F61" s="48" t="str">
        <f>ORÇAMENTO!D234</f>
        <v>CARGA, MANOBRA E DESCARGA DE SOLOS E MATERIAIS GRANULARES EM CAMINHÃO BASCULANTE 14 M³ - CARGA COM ESCAVADEIRA HIDRÁULICA (CAÇAMBA DE 1,20 M³ / 155 HP) E DESCARGA LIVRE (UNIDADE: M3). AF_07/2020</v>
      </c>
      <c r="G61" s="47" t="str">
        <f>ORÇAMENTO!E234</f>
        <v>M³</v>
      </c>
      <c r="H61" s="47">
        <f>ORÇAMENTO!F234</f>
        <v>824.18</v>
      </c>
      <c r="I61" s="47">
        <f>ORÇAMENTO!G234</f>
        <v>6.53</v>
      </c>
      <c r="J61" s="47">
        <f>ORÇAMENTO!H234</f>
        <v>0.2122</v>
      </c>
      <c r="K61" s="47">
        <f>ORÇAMENTO!I234</f>
        <v>7.92</v>
      </c>
      <c r="L61" s="107">
        <f>ORÇAMENTO!J234</f>
        <v>6527.5</v>
      </c>
      <c r="N61" s="29" t="str">
        <f t="shared" si="4"/>
        <v>OK!</v>
      </c>
      <c r="O61" s="29" t="str">
        <f t="shared" si="5"/>
        <v>OK!</v>
      </c>
      <c r="P61" s="29" t="str">
        <f t="shared" si="6"/>
        <v>OK!</v>
      </c>
    </row>
    <row r="62" spans="2:16" ht="58" x14ac:dyDescent="0.35">
      <c r="B62" s="47">
        <f t="shared" si="3"/>
        <v>17</v>
      </c>
      <c r="C62" s="47" t="str">
        <f>ORÇAMENTO!A280</f>
        <v>4.3.14</v>
      </c>
      <c r="D62" s="47" t="str">
        <f>ORÇAMENTO!B280</f>
        <v xml:space="preserve"> 100979 </v>
      </c>
      <c r="E62" s="47" t="str">
        <f>ORÇAMENTO!C280</f>
        <v>SINAPI</v>
      </c>
      <c r="F62" s="48" t="str">
        <f>ORÇAMENTO!D280</f>
        <v>CARGA, MANOBRA E DESCARGA DE SOLOS E MATERIAIS GRANULARES EM CAMINHÃO BASCULANTE 14 M³ - CARGA COM ESCAVADEIRA HIDRÁULICA (CAÇAMBA DE 1,20 M³ / 155 HP) E DESCARGA LIVRE (UNIDADE: M3). AF_07/2020</v>
      </c>
      <c r="G62" s="47" t="str">
        <f>ORÇAMENTO!E280</f>
        <v>M³</v>
      </c>
      <c r="H62" s="47">
        <f>ORÇAMENTO!F280</f>
        <v>18.490738798562084</v>
      </c>
      <c r="I62" s="47">
        <f>ORÇAMENTO!G280</f>
        <v>6.53</v>
      </c>
      <c r="J62" s="47">
        <f>ORÇAMENTO!H280</f>
        <v>0.2122</v>
      </c>
      <c r="K62" s="47">
        <f>ORÇAMENTO!I280</f>
        <v>7.92</v>
      </c>
      <c r="L62" s="49">
        <f>ORÇAMENTO!J280</f>
        <v>146.44</v>
      </c>
      <c r="N62" s="29" t="str">
        <f t="shared" si="4"/>
        <v>OK!</v>
      </c>
      <c r="O62" s="29" t="str">
        <f t="shared" si="5"/>
        <v>OK!</v>
      </c>
      <c r="P62" s="29" t="str">
        <f t="shared" si="6"/>
        <v>OK!</v>
      </c>
    </row>
    <row r="63" spans="2:16" ht="58" x14ac:dyDescent="0.35">
      <c r="B63" s="47">
        <f t="shared" si="3"/>
        <v>17</v>
      </c>
      <c r="C63" s="47" t="str">
        <f>ORÇAMENTO!A349</f>
        <v>5.1.2.1.14</v>
      </c>
      <c r="D63" s="47" t="str">
        <f>ORÇAMENTO!B349</f>
        <v xml:space="preserve"> 100979 </v>
      </c>
      <c r="E63" s="47" t="str">
        <f>ORÇAMENTO!C349</f>
        <v>SINAPI</v>
      </c>
      <c r="F63" s="48" t="str">
        <f>ORÇAMENTO!D349</f>
        <v>CARGA, MANOBRA E DESCARGA DE SOLOS E MATERIAIS GRANULARES EM CAMINHÃO BASCULANTE 14 M³ - CARGA COM ESCAVADEIRA HIDRÁULICA (CAÇAMBA DE 1,20 M³ / 155 HP) E DESCARGA LIVRE (UNIDADE: M3). AF_07/2020</v>
      </c>
      <c r="G63" s="47" t="str">
        <f>ORÇAMENTO!E349</f>
        <v>M³</v>
      </c>
      <c r="H63" s="47">
        <f>ORÇAMENTO!F349</f>
        <v>1387.7777590350001</v>
      </c>
      <c r="I63" s="47">
        <f>ORÇAMENTO!G349</f>
        <v>6.53</v>
      </c>
      <c r="J63" s="47">
        <f>ORÇAMENTO!H349</f>
        <v>0.2122</v>
      </c>
      <c r="K63" s="47">
        <f>ORÇAMENTO!I349</f>
        <v>7.92</v>
      </c>
      <c r="L63" s="49">
        <f>ORÇAMENTO!J349</f>
        <v>10991.19</v>
      </c>
      <c r="N63" s="29" t="str">
        <f t="shared" si="4"/>
        <v>OK!</v>
      </c>
      <c r="O63" s="29" t="str">
        <f t="shared" si="5"/>
        <v>OK!</v>
      </c>
      <c r="P63" s="29" t="str">
        <f t="shared" si="6"/>
        <v>OK!</v>
      </c>
    </row>
    <row r="64" spans="2:16" ht="58" x14ac:dyDescent="0.35">
      <c r="B64" s="47">
        <f t="shared" si="3"/>
        <v>17</v>
      </c>
      <c r="C64" s="47" t="str">
        <f>ORÇAMENTO!A380</f>
        <v>5.1.2.4.15</v>
      </c>
      <c r="D64" s="47" t="str">
        <f>ORÇAMENTO!B380</f>
        <v xml:space="preserve"> 100979 </v>
      </c>
      <c r="E64" s="47" t="str">
        <f>ORÇAMENTO!C380</f>
        <v>SINAPI</v>
      </c>
      <c r="F64" s="48" t="str">
        <f>ORÇAMENTO!D380</f>
        <v>CARGA, MANOBRA E DESCARGA DE SOLOS E MATERIAIS GRANULARES EM CAMINHÃO BASCULANTE 14 M³ - CARGA COM ESCAVADEIRA HIDRÁULICA (CAÇAMBA DE 1,20 M³ / 155 HP) E DESCARGA LIVRE (UNIDADE: M3). AF_07/2020</v>
      </c>
      <c r="G64" s="47" t="str">
        <f>ORÇAMENTO!E380</f>
        <v>M³</v>
      </c>
      <c r="H64" s="47">
        <f>ORÇAMENTO!F380</f>
        <v>1088.0545639858728</v>
      </c>
      <c r="I64" s="47">
        <f>ORÇAMENTO!G380</f>
        <v>6.53</v>
      </c>
      <c r="J64" s="47">
        <f>ORÇAMENTO!H380</f>
        <v>0.2122</v>
      </c>
      <c r="K64" s="47">
        <f>ORÇAMENTO!I380</f>
        <v>7.92</v>
      </c>
      <c r="L64" s="107">
        <f>ORÇAMENTO!J380</f>
        <v>8617.39</v>
      </c>
      <c r="N64" s="29" t="str">
        <f t="shared" si="4"/>
        <v>OK!</v>
      </c>
      <c r="O64" s="29" t="str">
        <f t="shared" si="5"/>
        <v>OK!</v>
      </c>
      <c r="P64" s="29" t="str">
        <f t="shared" si="6"/>
        <v>OK!</v>
      </c>
    </row>
    <row r="65" spans="2:16" ht="58" x14ac:dyDescent="0.35">
      <c r="B65" s="47">
        <f t="shared" si="3"/>
        <v>17</v>
      </c>
      <c r="C65" s="47" t="str">
        <f>ORÇAMENTO!A444</f>
        <v>5.1.2.7.36</v>
      </c>
      <c r="D65" s="47" t="str">
        <f>ORÇAMENTO!B444</f>
        <v xml:space="preserve"> 100979 </v>
      </c>
      <c r="E65" s="47" t="str">
        <f>ORÇAMENTO!C444</f>
        <v>SINAPI</v>
      </c>
      <c r="F65" s="48" t="str">
        <f>ORÇAMENTO!D444</f>
        <v>CARGA, MANOBRA E DESCARGA DE SOLOS E MATERIAIS GRANULARES EM CAMINHÃO BASCULANTE 14 M³ - CARGA COM ESCAVADEIRA HIDRÁULICA (CAÇAMBA DE 1,20 M³ / 155 HP) E DESCARGA LIVRE (UNIDADE: M3). AF_07/2020</v>
      </c>
      <c r="G65" s="47" t="str">
        <f>ORÇAMENTO!E444</f>
        <v>M³</v>
      </c>
      <c r="H65" s="47">
        <f>ORÇAMENTO!F444</f>
        <v>2344.58</v>
      </c>
      <c r="I65" s="47">
        <f>ORÇAMENTO!G444</f>
        <v>6.53</v>
      </c>
      <c r="J65" s="47">
        <f>ORÇAMENTO!H444</f>
        <v>0.2122</v>
      </c>
      <c r="K65" s="47">
        <f>ORÇAMENTO!I444</f>
        <v>7.92</v>
      </c>
      <c r="L65" s="49">
        <f>ORÇAMENTO!J444</f>
        <v>18569.07</v>
      </c>
      <c r="N65" s="29" t="str">
        <f t="shared" si="4"/>
        <v>OK!</v>
      </c>
      <c r="O65" s="29" t="str">
        <f t="shared" si="5"/>
        <v>OK!</v>
      </c>
      <c r="P65" s="29" t="str">
        <f t="shared" si="6"/>
        <v>OK!</v>
      </c>
    </row>
    <row r="66" spans="2:16" ht="58" x14ac:dyDescent="0.35">
      <c r="B66" s="47">
        <f t="shared" si="3"/>
        <v>17</v>
      </c>
      <c r="C66" s="47" t="str">
        <f>ORÇAMENTO!A542</f>
        <v>5.5.15</v>
      </c>
      <c r="D66" s="47" t="str">
        <f>ORÇAMENTO!B542</f>
        <v xml:space="preserve"> 100979 </v>
      </c>
      <c r="E66" s="47" t="str">
        <f>ORÇAMENTO!C542</f>
        <v>SINAPI</v>
      </c>
      <c r="F66" s="48" t="str">
        <f>ORÇAMENTO!D542</f>
        <v>CARGA, MANOBRA E DESCARGA DE SOLOS E MATERIAIS GRANULARES EM CAMINHÃO BASCULANTE 14 M³ - CARGA COM ESCAVADEIRA HIDRÁULICA (CAÇAMBA DE 1,20 M³ / 155 HP) E DESCARGA LIVRE (UNIDADE: M3). AF_07/2020</v>
      </c>
      <c r="G66" s="47" t="str">
        <f>ORÇAMENTO!E542</f>
        <v>M³</v>
      </c>
      <c r="H66" s="47">
        <f>ORÇAMENTO!F542</f>
        <v>32.234152741391007</v>
      </c>
      <c r="I66" s="47">
        <f>ORÇAMENTO!G542</f>
        <v>6.53</v>
      </c>
      <c r="J66" s="47">
        <f>ORÇAMENTO!H542</f>
        <v>0.2122</v>
      </c>
      <c r="K66" s="47">
        <f>ORÇAMENTO!I542</f>
        <v>7.92</v>
      </c>
      <c r="L66" s="49">
        <f>ORÇAMENTO!J542</f>
        <v>255.29</v>
      </c>
      <c r="N66" s="29" t="str">
        <f t="shared" ref="N66:N97" si="7">IF(F66=F65,IF(G66=G65,"OK!","ERRADO"),"DIFERENTE")</f>
        <v>OK!</v>
      </c>
      <c r="O66" s="29" t="str">
        <f t="shared" ref="O66:O97" si="8">IF(F66=F65,IF(I66=I65,"OK!","ERRADO"),"DIFERENTE")</f>
        <v>OK!</v>
      </c>
      <c r="P66" s="29" t="str">
        <f t="shared" ref="P66:P97" si="9">IF(F66=F65,IF(D66=D65,"OK!","ERRADO"),"DIFERENTE")</f>
        <v>OK!</v>
      </c>
    </row>
    <row r="67" spans="2:16" ht="29" x14ac:dyDescent="0.35">
      <c r="B67" s="47">
        <f t="shared" si="3"/>
        <v>18</v>
      </c>
      <c r="C67" s="47" t="str">
        <f>ORÇAMENTO!A192</f>
        <v>4.1.2.5.5</v>
      </c>
      <c r="D67" s="47" t="str">
        <f>ORÇAMENTO!B192</f>
        <v xml:space="preserve"> 101467 </v>
      </c>
      <c r="E67" s="47" t="str">
        <f>ORÇAMENTO!C192</f>
        <v>SINAPI</v>
      </c>
      <c r="F67" s="48" t="str">
        <f>ORÇAMENTO!D192</f>
        <v>CARGA, MANOBRA E DESCARGA DE TUBOS DE CONCRETO, DN 1000 MM, EM CAMINHÃO CARROCERIA COM GUINDAUTO (MUNCK) 11,7 TM. AF_07/2020</v>
      </c>
      <c r="G67" s="47" t="str">
        <f>ORÇAMENTO!E192</f>
        <v>T</v>
      </c>
      <c r="H67" s="47">
        <f>ORÇAMENTO!F192</f>
        <v>74.110381649641909</v>
      </c>
      <c r="I67" s="47">
        <f>ORÇAMENTO!G192</f>
        <v>17.7</v>
      </c>
      <c r="J67" s="47">
        <f>ORÇAMENTO!H192</f>
        <v>0.2122</v>
      </c>
      <c r="K67" s="47">
        <f>ORÇAMENTO!I192</f>
        <v>21.46</v>
      </c>
      <c r="L67" s="107">
        <f>ORÇAMENTO!J192</f>
        <v>1590.4</v>
      </c>
      <c r="N67" s="29" t="str">
        <f t="shared" si="7"/>
        <v>DIFERENTE</v>
      </c>
      <c r="O67" s="29" t="str">
        <f t="shared" si="8"/>
        <v>DIFERENTE</v>
      </c>
      <c r="P67" s="29" t="str">
        <f t="shared" si="9"/>
        <v>DIFERENTE</v>
      </c>
    </row>
    <row r="68" spans="2:16" ht="29" x14ac:dyDescent="0.35">
      <c r="B68" s="47">
        <f t="shared" ref="B68:B131" si="10">IF(EXACT(F67,F68),B67,B67+1)</f>
        <v>18</v>
      </c>
      <c r="C68" s="47" t="str">
        <f>ORÇAMENTO!A398</f>
        <v>5.1.2.5.10</v>
      </c>
      <c r="D68" s="47" t="str">
        <f>ORÇAMENTO!B398</f>
        <v xml:space="preserve"> 101467 </v>
      </c>
      <c r="E68" s="47" t="str">
        <f>ORÇAMENTO!C398</f>
        <v>SINAPI</v>
      </c>
      <c r="F68" s="48" t="str">
        <f>ORÇAMENTO!D398</f>
        <v>CARGA, MANOBRA E DESCARGA DE TUBOS DE CONCRETO, DN 1000 MM, EM CAMINHÃO CARROCERIA COM GUINDAUTO (MUNCK) 11,7 TM. AF_07/2020</v>
      </c>
      <c r="G68" s="47" t="str">
        <f>ORÇAMENTO!E398</f>
        <v>T</v>
      </c>
      <c r="H68" s="47">
        <f>ORÇAMENTO!F398</f>
        <v>385.19362099999995</v>
      </c>
      <c r="I68" s="47">
        <f>ORÇAMENTO!G398</f>
        <v>17.7</v>
      </c>
      <c r="J68" s="47">
        <f>ORÇAMENTO!H398</f>
        <v>0.2122</v>
      </c>
      <c r="K68" s="47">
        <f>ORÇAMENTO!I398</f>
        <v>21.46</v>
      </c>
      <c r="L68" s="49">
        <f>ORÇAMENTO!J398</f>
        <v>8266.25</v>
      </c>
      <c r="N68" s="29" t="str">
        <f t="shared" si="7"/>
        <v>OK!</v>
      </c>
      <c r="O68" s="29" t="str">
        <f t="shared" si="8"/>
        <v>OK!</v>
      </c>
      <c r="P68" s="29" t="str">
        <f t="shared" si="9"/>
        <v>OK!</v>
      </c>
    </row>
    <row r="69" spans="2:16" ht="29" x14ac:dyDescent="0.35">
      <c r="B69" s="47">
        <f t="shared" si="10"/>
        <v>19</v>
      </c>
      <c r="C69" s="47" t="str">
        <f>ORÇAMENTO!A194</f>
        <v>4.1.2.5.7</v>
      </c>
      <c r="D69" s="47" t="str">
        <f>ORÇAMENTO!B194</f>
        <v xml:space="preserve"> 101468 </v>
      </c>
      <c r="E69" s="47" t="str">
        <f>ORÇAMENTO!C194</f>
        <v>SINAPI</v>
      </c>
      <c r="F69" s="48" t="str">
        <f>ORÇAMENTO!D194</f>
        <v>CARGA, MANOBRA E DESCARGA DE TUBOS DE CONCRETO, DN 1200 MM, EM CAMINHÃO CARROCERIA COM GUINDAUTO (MUNCK) 11,7 TM. AF_07/2020</v>
      </c>
      <c r="G69" s="47" t="str">
        <f>ORÇAMENTO!E194</f>
        <v>T</v>
      </c>
      <c r="H69" s="47">
        <f>ORÇAMENTO!F194</f>
        <v>168.04919999999998</v>
      </c>
      <c r="I69" s="47">
        <f>ORÇAMENTO!G194</f>
        <v>16.190000000000001</v>
      </c>
      <c r="J69" s="47">
        <f>ORÇAMENTO!H194</f>
        <v>0.2122</v>
      </c>
      <c r="K69" s="47">
        <f>ORÇAMENTO!I194</f>
        <v>19.63</v>
      </c>
      <c r="L69" s="49">
        <f>ORÇAMENTO!J194</f>
        <v>3298.8</v>
      </c>
      <c r="N69" s="29" t="str">
        <f t="shared" si="7"/>
        <v>DIFERENTE</v>
      </c>
      <c r="O69" s="29" t="str">
        <f t="shared" si="8"/>
        <v>DIFERENTE</v>
      </c>
      <c r="P69" s="29" t="str">
        <f t="shared" si="9"/>
        <v>DIFERENTE</v>
      </c>
    </row>
    <row r="70" spans="2:16" ht="29" x14ac:dyDescent="0.35">
      <c r="B70" s="47">
        <f t="shared" si="10"/>
        <v>19</v>
      </c>
      <c r="C70" s="47" t="str">
        <f>ORÇAMENTO!A401</f>
        <v>5.1.2.5.13</v>
      </c>
      <c r="D70" s="47" t="str">
        <f>ORÇAMENTO!B401</f>
        <v xml:space="preserve"> 101468 </v>
      </c>
      <c r="E70" s="47" t="str">
        <f>ORÇAMENTO!C401</f>
        <v>SINAPI</v>
      </c>
      <c r="F70" s="48" t="str">
        <f>ORÇAMENTO!D401</f>
        <v>CARGA, MANOBRA E DESCARGA DE TUBOS DE CONCRETO, DN 1200 MM, EM CAMINHÃO CARROCERIA COM GUINDAUTO (MUNCK) 11,7 TM. AF_07/2020</v>
      </c>
      <c r="G70" s="47" t="str">
        <f>ORÇAMENTO!E401</f>
        <v>T</v>
      </c>
      <c r="H70" s="47">
        <f>ORÇAMENTO!F401</f>
        <v>362.52319999999997</v>
      </c>
      <c r="I70" s="47">
        <f>ORÇAMENTO!G401</f>
        <v>16.190000000000001</v>
      </c>
      <c r="J70" s="47">
        <f>ORÇAMENTO!H401</f>
        <v>0.2122</v>
      </c>
      <c r="K70" s="47">
        <f>ORÇAMENTO!I401</f>
        <v>19.63</v>
      </c>
      <c r="L70" s="49">
        <f>ORÇAMENTO!J401</f>
        <v>7116.33</v>
      </c>
      <c r="N70" s="29" t="str">
        <f t="shared" si="7"/>
        <v>OK!</v>
      </c>
      <c r="O70" s="29" t="str">
        <f t="shared" si="8"/>
        <v>OK!</v>
      </c>
      <c r="P70" s="29" t="str">
        <f t="shared" si="9"/>
        <v>OK!</v>
      </c>
    </row>
    <row r="71" spans="2:16" ht="29" x14ac:dyDescent="0.35">
      <c r="B71" s="47">
        <f t="shared" si="10"/>
        <v>20</v>
      </c>
      <c r="C71" s="47" t="str">
        <f>ORÇAMENTO!A196</f>
        <v>4.1.2.5.9</v>
      </c>
      <c r="D71" s="47" t="str">
        <f>ORÇAMENTO!B196</f>
        <v xml:space="preserve"> C0703 </v>
      </c>
      <c r="E71" s="47" t="str">
        <f>ORÇAMENTO!C196</f>
        <v>SEINFRA</v>
      </c>
      <c r="F71" s="48" t="str">
        <f>ORÇAMENTO!D196</f>
        <v>CARGA, MANOBRA E DESCARGA DE TUBOS DE CONCRETO, DN 1500 MM, EM CAMINHÃO CARROCERIA COM GUINDAUTO (MUNCK) 11,7 TM.</v>
      </c>
      <c r="G71" s="47" t="str">
        <f>ORÇAMENTO!E196</f>
        <v>T</v>
      </c>
      <c r="H71" s="47">
        <f>ORÇAMENTO!F196</f>
        <v>506.31679999999989</v>
      </c>
      <c r="I71" s="47">
        <f>ORÇAMENTO!G196</f>
        <v>94.99</v>
      </c>
      <c r="J71" s="47">
        <f>ORÇAMENTO!H196</f>
        <v>0.2122</v>
      </c>
      <c r="K71" s="47">
        <f>ORÇAMENTO!I196</f>
        <v>115.15</v>
      </c>
      <c r="L71" s="49">
        <f>ORÇAMENTO!J196</f>
        <v>58302.37</v>
      </c>
      <c r="N71" s="29" t="str">
        <f t="shared" si="7"/>
        <v>DIFERENTE</v>
      </c>
      <c r="O71" s="29" t="str">
        <f t="shared" si="8"/>
        <v>DIFERENTE</v>
      </c>
      <c r="P71" s="29" t="str">
        <f t="shared" si="9"/>
        <v>DIFERENTE</v>
      </c>
    </row>
    <row r="72" spans="2:16" ht="29" x14ac:dyDescent="0.35">
      <c r="B72" s="47">
        <f t="shared" si="10"/>
        <v>20</v>
      </c>
      <c r="C72" s="47" t="str">
        <f>ORÇAMENTO!A403</f>
        <v>5.1.2.5.15</v>
      </c>
      <c r="D72" s="47" t="str">
        <f>ORÇAMENTO!B403</f>
        <v xml:space="preserve"> C0703 </v>
      </c>
      <c r="E72" s="47" t="str">
        <f>ORÇAMENTO!C403</f>
        <v>SEINFRA</v>
      </c>
      <c r="F72" s="48" t="str">
        <f>ORÇAMENTO!D403</f>
        <v>CARGA, MANOBRA E DESCARGA DE TUBOS DE CONCRETO, DN 1500 MM, EM CAMINHÃO CARROCERIA COM GUINDAUTO (MUNCK) 11,7 TM.</v>
      </c>
      <c r="G72" s="47" t="str">
        <f>ORÇAMENTO!E403</f>
        <v>T</v>
      </c>
      <c r="H72" s="47">
        <f>ORÇAMENTO!F403</f>
        <v>385.10559999999998</v>
      </c>
      <c r="I72" s="47">
        <f>ORÇAMENTO!G403</f>
        <v>94.99</v>
      </c>
      <c r="J72" s="47">
        <f>ORÇAMENTO!H403</f>
        <v>0.2122</v>
      </c>
      <c r="K72" s="47">
        <f>ORÇAMENTO!I403</f>
        <v>115.15</v>
      </c>
      <c r="L72" s="49">
        <f>ORÇAMENTO!J403</f>
        <v>44344.9</v>
      </c>
      <c r="N72" s="29" t="str">
        <f t="shared" si="7"/>
        <v>OK!</v>
      </c>
      <c r="O72" s="29" t="str">
        <f t="shared" si="8"/>
        <v>OK!</v>
      </c>
      <c r="P72" s="29" t="str">
        <f t="shared" si="9"/>
        <v>OK!</v>
      </c>
    </row>
    <row r="73" spans="2:16" ht="29" x14ac:dyDescent="0.35">
      <c r="B73" s="47">
        <f t="shared" si="10"/>
        <v>21</v>
      </c>
      <c r="C73" s="47" t="str">
        <f>ORÇAMENTO!A390</f>
        <v>5.1.2.5.2</v>
      </c>
      <c r="D73" s="47" t="str">
        <f>ORÇAMENTO!B390</f>
        <v xml:space="preserve"> 101014 </v>
      </c>
      <c r="E73" s="47" t="str">
        <f>ORÇAMENTO!C390</f>
        <v>SINAPI</v>
      </c>
      <c r="F73" s="48" t="str">
        <f>ORÇAMENTO!D390</f>
        <v>CARGA, MANOBRA E DESCARGA DE TUBOS DE CONCRETO, DN 400 MM, EM CAMINHÃO CARROCERIA COM GUINDAUTO (MUNCK) 11,7 TM. AF_07/2020</v>
      </c>
      <c r="G73" s="47" t="str">
        <f>ORÇAMENTO!E390</f>
        <v>T</v>
      </c>
      <c r="H73" s="47">
        <f>ORÇAMENTO!F390</f>
        <v>93.655559999999994</v>
      </c>
      <c r="I73" s="47">
        <f>ORÇAMENTO!G390</f>
        <v>40.47</v>
      </c>
      <c r="J73" s="47">
        <f>ORÇAMENTO!H390</f>
        <v>0.2122</v>
      </c>
      <c r="K73" s="47">
        <f>ORÇAMENTO!I390</f>
        <v>49.06</v>
      </c>
      <c r="L73" s="49">
        <f>ORÇAMENTO!J390</f>
        <v>4594.74</v>
      </c>
      <c r="N73" s="29" t="str">
        <f t="shared" si="7"/>
        <v>DIFERENTE</v>
      </c>
      <c r="O73" s="29" t="str">
        <f t="shared" si="8"/>
        <v>DIFERENTE</v>
      </c>
      <c r="P73" s="29" t="str">
        <f t="shared" si="9"/>
        <v>DIFERENTE</v>
      </c>
    </row>
    <row r="74" spans="2:16" ht="29" x14ac:dyDescent="0.35">
      <c r="B74" s="47">
        <f t="shared" si="10"/>
        <v>22</v>
      </c>
      <c r="C74" s="47" t="str">
        <f>ORÇAMENTO!A189</f>
        <v>4.1.2.5.2</v>
      </c>
      <c r="D74" s="47" t="str">
        <f>ORÇAMENTO!B189</f>
        <v xml:space="preserve"> 101463 </v>
      </c>
      <c r="E74" s="47" t="str">
        <f>ORÇAMENTO!C189</f>
        <v>SINAPI</v>
      </c>
      <c r="F74" s="48" t="str">
        <f>ORÇAMENTO!D189</f>
        <v>CARGA, MANOBRA E DESCARGA DE TUBOS DE CONCRETO, DN 600 MM, EM CAMINHÃO CARROCERIA COM GUINDAUTO (MUNCK) 11,7 TM. AF_07/2020</v>
      </c>
      <c r="G74" s="47" t="str">
        <f>ORÇAMENTO!E189</f>
        <v>T</v>
      </c>
      <c r="H74" s="47">
        <f>ORÇAMENTO!F189</f>
        <v>108.23841968960573</v>
      </c>
      <c r="I74" s="47">
        <f>ORÇAMENTO!G189</f>
        <v>44.31</v>
      </c>
      <c r="J74" s="47">
        <f>ORÇAMENTO!H189</f>
        <v>0.2122</v>
      </c>
      <c r="K74" s="47">
        <f>ORÇAMENTO!I189</f>
        <v>53.71</v>
      </c>
      <c r="L74" s="107">
        <f>ORÇAMENTO!J189</f>
        <v>5813.48</v>
      </c>
      <c r="N74" s="29" t="str">
        <f t="shared" si="7"/>
        <v>DIFERENTE</v>
      </c>
      <c r="O74" s="29" t="str">
        <f t="shared" si="8"/>
        <v>DIFERENTE</v>
      </c>
      <c r="P74" s="29" t="str">
        <f t="shared" si="9"/>
        <v>DIFERENTE</v>
      </c>
    </row>
    <row r="75" spans="2:16" ht="29" x14ac:dyDescent="0.35">
      <c r="B75" s="47">
        <f t="shared" si="10"/>
        <v>22</v>
      </c>
      <c r="C75" s="47" t="str">
        <f>ORÇAMENTO!A393</f>
        <v>5.1.2.5.5</v>
      </c>
      <c r="D75" s="47" t="str">
        <f>ORÇAMENTO!B393</f>
        <v xml:space="preserve"> 101463 </v>
      </c>
      <c r="E75" s="47" t="str">
        <f>ORÇAMENTO!C393</f>
        <v>SINAPI</v>
      </c>
      <c r="F75" s="48" t="str">
        <f>ORÇAMENTO!D393</f>
        <v>CARGA, MANOBRA E DESCARGA DE TUBOS DE CONCRETO, DN 600 MM, EM CAMINHÃO CARROCERIA COM GUINDAUTO (MUNCK) 11,7 TM. AF_07/2020</v>
      </c>
      <c r="G75" s="47" t="str">
        <f>ORÇAMENTO!E393</f>
        <v>T</v>
      </c>
      <c r="H75" s="47">
        <f>ORÇAMENTO!F393</f>
        <v>245.21640000000002</v>
      </c>
      <c r="I75" s="47">
        <f>ORÇAMENTO!G393</f>
        <v>44.31</v>
      </c>
      <c r="J75" s="47">
        <f>ORÇAMENTO!H393</f>
        <v>0.2122</v>
      </c>
      <c r="K75" s="47">
        <f>ORÇAMENTO!I393</f>
        <v>53.71</v>
      </c>
      <c r="L75" s="107">
        <f>ORÇAMENTO!J393</f>
        <v>13170.57</v>
      </c>
      <c r="N75" s="29" t="str">
        <f t="shared" si="7"/>
        <v>OK!</v>
      </c>
      <c r="O75" s="29" t="str">
        <f t="shared" si="8"/>
        <v>OK!</v>
      </c>
      <c r="P75" s="29" t="str">
        <f t="shared" si="9"/>
        <v>OK!</v>
      </c>
    </row>
    <row r="76" spans="2:16" ht="29" x14ac:dyDescent="0.35">
      <c r="B76" s="47">
        <f t="shared" si="10"/>
        <v>23</v>
      </c>
      <c r="C76" s="47" t="str">
        <f>ORÇAMENTO!A395</f>
        <v>5.1.2.5.7</v>
      </c>
      <c r="D76" s="47" t="str">
        <f>ORÇAMENTO!B395</f>
        <v xml:space="preserve"> 101465 </v>
      </c>
      <c r="E76" s="47" t="str">
        <f>ORÇAMENTO!C395</f>
        <v>SINAPI</v>
      </c>
      <c r="F76" s="48" t="str">
        <f>ORÇAMENTO!D395</f>
        <v>CARGA, MANOBRA E DESCARGA DE TUBOS DE CONCRETO, DN 800 MM, EM CAMINHÃO CARROCERIA COM GUINDAUTO (MUNCK) 11,7 TM. AF_07/2020</v>
      </c>
      <c r="G76" s="47" t="str">
        <f>ORÇAMENTO!E395</f>
        <v>T</v>
      </c>
      <c r="H76" s="47">
        <f>ORÇAMENTO!F395</f>
        <v>346.87099999999992</v>
      </c>
      <c r="I76" s="47">
        <f>ORÇAMENTO!G395</f>
        <v>26.01</v>
      </c>
      <c r="J76" s="47">
        <f>ORÇAMENTO!H395</f>
        <v>0.2122</v>
      </c>
      <c r="K76" s="47">
        <f>ORÇAMENTO!I395</f>
        <v>31.53</v>
      </c>
      <c r="L76" s="107">
        <f>ORÇAMENTO!J395</f>
        <v>10936.84</v>
      </c>
      <c r="N76" s="29" t="str">
        <f t="shared" si="7"/>
        <v>DIFERENTE</v>
      </c>
      <c r="O76" s="29" t="str">
        <f t="shared" si="8"/>
        <v>DIFERENTE</v>
      </c>
      <c r="P76" s="29" t="str">
        <f t="shared" si="9"/>
        <v>DIFERENTE</v>
      </c>
    </row>
    <row r="77" spans="2:16" ht="29" x14ac:dyDescent="0.35">
      <c r="B77" s="47">
        <f t="shared" si="10"/>
        <v>24</v>
      </c>
      <c r="C77" s="47" t="str">
        <f>ORÇAMENTO!A257</f>
        <v>4.1.2.7.9</v>
      </c>
      <c r="D77" s="47" t="str">
        <f>ORÇAMENTO!B257</f>
        <v xml:space="preserve"> 99318 </v>
      </c>
      <c r="E77" s="47" t="str">
        <f>ORÇAMENTO!C257</f>
        <v>SINAPI</v>
      </c>
      <c r="F77" s="48" t="str">
        <f>ORÇAMENTO!D257</f>
        <v>CHAMINÉ CIRCULAR PARA POÇO DE VISITA PARA DRENAGEM, EM CONCRETO PRÉ-MOLDADO, DIÂMETRO INTERNO = 0,6 M. AF_12/2020</v>
      </c>
      <c r="G77" s="47" t="str">
        <f>ORÇAMENTO!E257</f>
        <v>M</v>
      </c>
      <c r="H77" s="47">
        <f>ORÇAMENTO!F257</f>
        <v>27.86</v>
      </c>
      <c r="I77" s="47">
        <f>ORÇAMENTO!G257</f>
        <v>300.54000000000002</v>
      </c>
      <c r="J77" s="47">
        <f>ORÇAMENTO!H257</f>
        <v>0.2122</v>
      </c>
      <c r="K77" s="47">
        <f>ORÇAMENTO!I257</f>
        <v>364.31</v>
      </c>
      <c r="L77" s="49">
        <f>ORÇAMENTO!J257</f>
        <v>10149.67</v>
      </c>
      <c r="N77" s="29" t="str">
        <f t="shared" si="7"/>
        <v>DIFERENTE</v>
      </c>
      <c r="O77" s="29" t="str">
        <f t="shared" si="8"/>
        <v>DIFERENTE</v>
      </c>
      <c r="P77" s="29" t="str">
        <f t="shared" si="9"/>
        <v>DIFERENTE</v>
      </c>
    </row>
    <row r="78" spans="2:16" ht="29" x14ac:dyDescent="0.35">
      <c r="B78" s="47">
        <f t="shared" si="10"/>
        <v>24</v>
      </c>
      <c r="C78" s="47" t="str">
        <f>ORÇAMENTO!A270</f>
        <v>4.3.4</v>
      </c>
      <c r="D78" s="47" t="str">
        <f>ORÇAMENTO!B270</f>
        <v xml:space="preserve"> 99318 </v>
      </c>
      <c r="E78" s="47" t="str">
        <f>ORÇAMENTO!C270</f>
        <v>SINAPI</v>
      </c>
      <c r="F78" s="48" t="str">
        <f>ORÇAMENTO!D270</f>
        <v>CHAMINÉ CIRCULAR PARA POÇO DE VISITA PARA DRENAGEM, EM CONCRETO PRÉ-MOLDADO, DIÂMETRO INTERNO = 0,6 M. AF_12/2020</v>
      </c>
      <c r="G78" s="47" t="str">
        <f>ORÇAMENTO!E270</f>
        <v>M</v>
      </c>
      <c r="H78" s="47">
        <f>ORÇAMENTO!F270</f>
        <v>11.009999999999996</v>
      </c>
      <c r="I78" s="47">
        <f>ORÇAMENTO!G270</f>
        <v>300.54000000000002</v>
      </c>
      <c r="J78" s="47">
        <f>ORÇAMENTO!H270</f>
        <v>0.2122</v>
      </c>
      <c r="K78" s="47">
        <f>ORÇAMENTO!I270</f>
        <v>364.31</v>
      </c>
      <c r="L78" s="49">
        <f>ORÇAMENTO!J270</f>
        <v>4011.05</v>
      </c>
      <c r="N78" s="29" t="str">
        <f t="shared" si="7"/>
        <v>OK!</v>
      </c>
      <c r="O78" s="29" t="str">
        <f t="shared" si="8"/>
        <v>OK!</v>
      </c>
      <c r="P78" s="29" t="str">
        <f t="shared" si="9"/>
        <v>OK!</v>
      </c>
    </row>
    <row r="79" spans="2:16" ht="29" x14ac:dyDescent="0.35">
      <c r="B79" s="47">
        <f t="shared" si="10"/>
        <v>24</v>
      </c>
      <c r="C79" s="47" t="str">
        <f>ORÇAMENTO!A467</f>
        <v>5.1.2.8.9</v>
      </c>
      <c r="D79" s="47" t="str">
        <f>ORÇAMENTO!B467</f>
        <v xml:space="preserve"> 99318 </v>
      </c>
      <c r="E79" s="47" t="str">
        <f>ORÇAMENTO!C467</f>
        <v>SINAPI</v>
      </c>
      <c r="F79" s="48" t="str">
        <f>ORÇAMENTO!D467</f>
        <v>CHAMINÉ CIRCULAR PARA POÇO DE VISITA PARA DRENAGEM, EM CONCRETO PRÉ-MOLDADO, DIÂMETRO INTERNO = 0,6 M. AF_12/2020</v>
      </c>
      <c r="G79" s="47" t="str">
        <f>ORÇAMENTO!E467</f>
        <v>M</v>
      </c>
      <c r="H79" s="47">
        <f>ORÇAMENTO!F467</f>
        <v>52.57</v>
      </c>
      <c r="I79" s="47">
        <f>ORÇAMENTO!G467</f>
        <v>300.54000000000002</v>
      </c>
      <c r="J79" s="47">
        <f>ORÇAMENTO!H467</f>
        <v>0.2122</v>
      </c>
      <c r="K79" s="47">
        <f>ORÇAMENTO!I467</f>
        <v>364.31</v>
      </c>
      <c r="L79" s="107">
        <f>ORÇAMENTO!J467</f>
        <v>19151.77</v>
      </c>
      <c r="N79" s="29" t="str">
        <f t="shared" si="7"/>
        <v>OK!</v>
      </c>
      <c r="O79" s="29" t="str">
        <f t="shared" si="8"/>
        <v>OK!</v>
      </c>
      <c r="P79" s="29" t="str">
        <f t="shared" si="9"/>
        <v>OK!</v>
      </c>
    </row>
    <row r="80" spans="2:16" ht="29" x14ac:dyDescent="0.35">
      <c r="B80" s="47">
        <f t="shared" si="10"/>
        <v>24</v>
      </c>
      <c r="C80" s="47" t="str">
        <f>ORÇAMENTO!A532</f>
        <v>5.5.5</v>
      </c>
      <c r="D80" s="47" t="str">
        <f>ORÇAMENTO!B532</f>
        <v xml:space="preserve"> 99318 </v>
      </c>
      <c r="E80" s="47" t="str">
        <f>ORÇAMENTO!C532</f>
        <v>SINAPI</v>
      </c>
      <c r="F80" s="48" t="str">
        <f>ORÇAMENTO!D532</f>
        <v>CHAMINÉ CIRCULAR PARA POÇO DE VISITA PARA DRENAGEM, EM CONCRETO PRÉ-MOLDADO, DIÂMETRO INTERNO = 0,6 M. AF_12/2020</v>
      </c>
      <c r="G80" s="47" t="str">
        <f>ORÇAMENTO!E532</f>
        <v>M</v>
      </c>
      <c r="H80" s="47">
        <f>ORÇAMENTO!F532</f>
        <v>23.481000000000069</v>
      </c>
      <c r="I80" s="47">
        <f>ORÇAMENTO!G532</f>
        <v>300.54000000000002</v>
      </c>
      <c r="J80" s="47">
        <f>ORÇAMENTO!H532</f>
        <v>0.2122</v>
      </c>
      <c r="K80" s="47">
        <f>ORÇAMENTO!I532</f>
        <v>364.31</v>
      </c>
      <c r="L80" s="49">
        <f>ORÇAMENTO!J532</f>
        <v>8554.36</v>
      </c>
      <c r="N80" s="29" t="str">
        <f t="shared" si="7"/>
        <v>OK!</v>
      </c>
      <c r="O80" s="29" t="str">
        <f t="shared" si="8"/>
        <v>OK!</v>
      </c>
      <c r="P80" s="29" t="str">
        <f t="shared" si="9"/>
        <v>OK!</v>
      </c>
    </row>
    <row r="81" spans="2:16" ht="29" x14ac:dyDescent="0.35">
      <c r="B81" s="47">
        <f t="shared" si="10"/>
        <v>25</v>
      </c>
      <c r="C81" s="47" t="str">
        <f>ORÇAMENTO!A178</f>
        <v>4.1.2.4.12</v>
      </c>
      <c r="D81" s="47" t="str">
        <f>ORÇAMENTO!B178</f>
        <v xml:space="preserve"> ANP-CAP 50/70 </v>
      </c>
      <c r="E81" s="47" t="str">
        <f>ORÇAMENTO!C178</f>
        <v>PRÓPRIO</v>
      </c>
      <c r="F81" s="48" t="str">
        <f>ORÇAMENTO!D178</f>
        <v>CIMENTO ASFÁLTICO DE PETRÓLEO - CAP 50/70 FORNECIMENTO E TRANSPORTE</v>
      </c>
      <c r="G81" s="47" t="str">
        <f>ORÇAMENTO!E178</f>
        <v>T</v>
      </c>
      <c r="H81" s="47">
        <f>ORÇAMENTO!F178</f>
        <v>9.5022228062279197</v>
      </c>
      <c r="I81" s="47">
        <f>ORÇAMENTO!G178</f>
        <v>5274.22</v>
      </c>
      <c r="J81" s="47">
        <f>ORÇAMENTO!H178</f>
        <v>0.111</v>
      </c>
      <c r="K81" s="47">
        <f>ORÇAMENTO!I178</f>
        <v>5859.66</v>
      </c>
      <c r="L81" s="49">
        <f>ORÇAMENTO!J178</f>
        <v>55679.79</v>
      </c>
      <c r="N81" s="29" t="str">
        <f t="shared" si="7"/>
        <v>DIFERENTE</v>
      </c>
      <c r="O81" s="29" t="str">
        <f t="shared" si="8"/>
        <v>DIFERENTE</v>
      </c>
      <c r="P81" s="29" t="str">
        <f t="shared" si="9"/>
        <v>DIFERENTE</v>
      </c>
    </row>
    <row r="82" spans="2:16" ht="29" x14ac:dyDescent="0.35">
      <c r="B82" s="47">
        <f t="shared" si="10"/>
        <v>25</v>
      </c>
      <c r="C82" s="47" t="str">
        <f>ORÇAMENTO!A228</f>
        <v>4.1.2.6.30</v>
      </c>
      <c r="D82" s="47" t="str">
        <f>ORÇAMENTO!B228</f>
        <v xml:space="preserve"> ANP-CAP 50/70 </v>
      </c>
      <c r="E82" s="47" t="str">
        <f>ORÇAMENTO!C228</f>
        <v>PRÓPRIO</v>
      </c>
      <c r="F82" s="48" t="str">
        <f>ORÇAMENTO!D228</f>
        <v>CIMENTO ASFÁLTICO DE PETRÓLEO - CAP 50/70 FORNECIMENTO E TRANSPORTE</v>
      </c>
      <c r="G82" s="47" t="str">
        <f>ORÇAMENTO!E228</f>
        <v>T</v>
      </c>
      <c r="H82" s="47">
        <f>ORÇAMENTO!F228</f>
        <v>1.97</v>
      </c>
      <c r="I82" s="47">
        <f>ORÇAMENTO!G228</f>
        <v>5274.22</v>
      </c>
      <c r="J82" s="47">
        <f>ORÇAMENTO!H228</f>
        <v>0.111</v>
      </c>
      <c r="K82" s="47">
        <f>ORÇAMENTO!I228</f>
        <v>5859.66</v>
      </c>
      <c r="L82" s="49">
        <f>ORÇAMENTO!J228</f>
        <v>11543.53</v>
      </c>
      <c r="N82" s="29" t="str">
        <f t="shared" si="7"/>
        <v>OK!</v>
      </c>
      <c r="O82" s="29" t="str">
        <f t="shared" si="8"/>
        <v>OK!</v>
      </c>
      <c r="P82" s="29" t="str">
        <f t="shared" si="9"/>
        <v>OK!</v>
      </c>
    </row>
    <row r="83" spans="2:16" ht="29" x14ac:dyDescent="0.35">
      <c r="B83" s="47">
        <f t="shared" si="10"/>
        <v>25</v>
      </c>
      <c r="C83" s="47" t="str">
        <f>ORÇAMENTO!A284</f>
        <v>4.3.18</v>
      </c>
      <c r="D83" s="47" t="str">
        <f>ORÇAMENTO!B284</f>
        <v xml:space="preserve"> ANP-CAP 50/70 </v>
      </c>
      <c r="E83" s="47" t="str">
        <f>ORÇAMENTO!C284</f>
        <v>PRÓPRIO</v>
      </c>
      <c r="F83" s="48" t="str">
        <f>ORÇAMENTO!D284</f>
        <v>CIMENTO ASFÁLTICO DE PETRÓLEO - CAP 50/70 FORNECIMENTO E TRANSPORTE</v>
      </c>
      <c r="G83" s="47" t="str">
        <f>ORÇAMENTO!E284</f>
        <v>T</v>
      </c>
      <c r="H83" s="47">
        <f>ORÇAMENTO!F284</f>
        <v>0.55198662380171115</v>
      </c>
      <c r="I83" s="47">
        <f>ORÇAMENTO!G284</f>
        <v>5274.22</v>
      </c>
      <c r="J83" s="47">
        <f>ORÇAMENTO!H284</f>
        <v>0.111</v>
      </c>
      <c r="K83" s="47">
        <f>ORÇAMENTO!I284</f>
        <v>5859.66</v>
      </c>
      <c r="L83" s="49">
        <f>ORÇAMENTO!J284</f>
        <v>3234.45</v>
      </c>
      <c r="N83" s="29" t="str">
        <f t="shared" si="7"/>
        <v>OK!</v>
      </c>
      <c r="O83" s="29" t="str">
        <f t="shared" si="8"/>
        <v>OK!</v>
      </c>
      <c r="P83" s="29" t="str">
        <f t="shared" si="9"/>
        <v>OK!</v>
      </c>
    </row>
    <row r="84" spans="2:16" ht="29" x14ac:dyDescent="0.35">
      <c r="B84" s="47">
        <f t="shared" si="10"/>
        <v>25</v>
      </c>
      <c r="C84" s="47" t="str">
        <f>ORÇAMENTO!A377</f>
        <v>5.1.2.4.12</v>
      </c>
      <c r="D84" s="47" t="str">
        <f>ORÇAMENTO!B377</f>
        <v xml:space="preserve"> ANP-CAP 50/70 </v>
      </c>
      <c r="E84" s="47" t="str">
        <f>ORÇAMENTO!C377</f>
        <v>PRÓPRIO</v>
      </c>
      <c r="F84" s="48" t="str">
        <f>ORÇAMENTO!D377</f>
        <v>CIMENTO ASFÁLTICO DE PETRÓLEO - CAP 50/70 FORNECIMENTO E TRANSPORTE</v>
      </c>
      <c r="G84" s="47" t="str">
        <f>ORÇAMENTO!E377</f>
        <v>T</v>
      </c>
      <c r="H84" s="47">
        <f>ORÇAMENTO!F377</f>
        <v>16.294786800479994</v>
      </c>
      <c r="I84" s="47">
        <f>ORÇAMENTO!G377</f>
        <v>5274.22</v>
      </c>
      <c r="J84" s="47">
        <f>ORÇAMENTO!H377</f>
        <v>0.111</v>
      </c>
      <c r="K84" s="47">
        <f>ORÇAMENTO!I377</f>
        <v>5859.66</v>
      </c>
      <c r="L84" s="49">
        <f>ORÇAMENTO!J377</f>
        <v>95481.91</v>
      </c>
      <c r="N84" s="29" t="str">
        <f t="shared" si="7"/>
        <v>OK!</v>
      </c>
      <c r="O84" s="29" t="str">
        <f t="shared" si="8"/>
        <v>OK!</v>
      </c>
      <c r="P84" s="29" t="str">
        <f t="shared" si="9"/>
        <v>OK!</v>
      </c>
    </row>
    <row r="85" spans="2:16" ht="29" x14ac:dyDescent="0.35">
      <c r="B85" s="47">
        <f t="shared" si="10"/>
        <v>25</v>
      </c>
      <c r="C85" s="47" t="str">
        <f>ORÇAMENTO!A438</f>
        <v>5.1.2.7.30</v>
      </c>
      <c r="D85" s="47" t="str">
        <f>ORÇAMENTO!B438</f>
        <v xml:space="preserve"> ANP-CAP 50/70 </v>
      </c>
      <c r="E85" s="47" t="str">
        <f>ORÇAMENTO!C438</f>
        <v>PRÓPRIO</v>
      </c>
      <c r="F85" s="48" t="str">
        <f>ORÇAMENTO!D438</f>
        <v>CIMENTO ASFÁLTICO DE PETRÓLEO - CAP 50/70 FORNECIMENTO E TRANSPORTE</v>
      </c>
      <c r="G85" s="47" t="str">
        <f>ORÇAMENTO!E438</f>
        <v>T</v>
      </c>
      <c r="H85" s="47">
        <f>ORÇAMENTO!F438</f>
        <v>3.78</v>
      </c>
      <c r="I85" s="47">
        <f>ORÇAMENTO!G438</f>
        <v>5274.22</v>
      </c>
      <c r="J85" s="47">
        <f>ORÇAMENTO!H438</f>
        <v>0.111</v>
      </c>
      <c r="K85" s="47">
        <f>ORÇAMENTO!I438</f>
        <v>5859.66</v>
      </c>
      <c r="L85" s="49">
        <f>ORÇAMENTO!J438</f>
        <v>22149.51</v>
      </c>
      <c r="N85" s="29" t="str">
        <f t="shared" si="7"/>
        <v>OK!</v>
      </c>
      <c r="O85" s="29" t="str">
        <f t="shared" si="8"/>
        <v>OK!</v>
      </c>
      <c r="P85" s="29" t="str">
        <f t="shared" si="9"/>
        <v>OK!</v>
      </c>
    </row>
    <row r="86" spans="2:16" ht="29" x14ac:dyDescent="0.35">
      <c r="B86" s="47">
        <f t="shared" si="10"/>
        <v>25</v>
      </c>
      <c r="C86" s="47" t="str">
        <f>ORÇAMENTO!A518</f>
        <v>5.4.4.10</v>
      </c>
      <c r="D86" s="47" t="str">
        <f>ORÇAMENTO!B518</f>
        <v xml:space="preserve"> ANP-CAP 50/70 </v>
      </c>
      <c r="E86" s="47" t="str">
        <f>ORÇAMENTO!C518</f>
        <v>PRÓPRIO</v>
      </c>
      <c r="F86" s="48" t="str">
        <f>ORÇAMENTO!D518</f>
        <v>CIMENTO ASFÁLTICO DE PETRÓLEO - CAP 50/70 FORNECIMENTO E TRANSPORTE</v>
      </c>
      <c r="G86" s="47" t="str">
        <f>ORÇAMENTO!E518</f>
        <v>T</v>
      </c>
      <c r="H86" s="47">
        <f>ORÇAMENTO!F518</f>
        <v>41.549697599999995</v>
      </c>
      <c r="I86" s="47">
        <f>ORÇAMENTO!G518</f>
        <v>5274.22</v>
      </c>
      <c r="J86" s="47">
        <f>ORÇAMENTO!H518</f>
        <v>0.111</v>
      </c>
      <c r="K86" s="47">
        <f>ORÇAMENTO!I518</f>
        <v>5859.66</v>
      </c>
      <c r="L86" s="49">
        <f>ORÇAMENTO!J518</f>
        <v>243467.1</v>
      </c>
      <c r="N86" s="29" t="str">
        <f t="shared" si="7"/>
        <v>OK!</v>
      </c>
      <c r="O86" s="29" t="str">
        <f t="shared" si="8"/>
        <v>OK!</v>
      </c>
      <c r="P86" s="29" t="str">
        <f t="shared" si="9"/>
        <v>OK!</v>
      </c>
    </row>
    <row r="87" spans="2:16" ht="29" x14ac:dyDescent="0.35">
      <c r="B87" s="47">
        <f t="shared" si="10"/>
        <v>25</v>
      </c>
      <c r="C87" s="47" t="str">
        <f>ORÇAMENTO!A546</f>
        <v>5.5.19</v>
      </c>
      <c r="D87" s="47" t="str">
        <f>ORÇAMENTO!B546</f>
        <v xml:space="preserve"> ANP-CAP 50/70 </v>
      </c>
      <c r="E87" s="47" t="str">
        <f>ORÇAMENTO!C546</f>
        <v>PRÓPRIO</v>
      </c>
      <c r="F87" s="48" t="str">
        <f>ORÇAMENTO!D546</f>
        <v>CIMENTO ASFÁLTICO DE PETRÓLEO - CAP 50/70 FORNECIMENTO E TRANSPORTE</v>
      </c>
      <c r="G87" s="47" t="str">
        <f>ORÇAMENTO!E546</f>
        <v>T</v>
      </c>
      <c r="H87" s="47">
        <f>ORÇAMENTO!F546</f>
        <v>0.88856383343690071</v>
      </c>
      <c r="I87" s="47">
        <f>ORÇAMENTO!G546</f>
        <v>5274.22</v>
      </c>
      <c r="J87" s="47">
        <f>ORÇAMENTO!H546</f>
        <v>0.111</v>
      </c>
      <c r="K87" s="47">
        <f>ORÇAMENTO!I546</f>
        <v>5859.66</v>
      </c>
      <c r="L87" s="49">
        <f>ORÇAMENTO!J546</f>
        <v>5206.68</v>
      </c>
      <c r="N87" s="29" t="str">
        <f t="shared" si="7"/>
        <v>OK!</v>
      </c>
      <c r="O87" s="29" t="str">
        <f t="shared" si="8"/>
        <v>OK!</v>
      </c>
      <c r="P87" s="29" t="str">
        <f t="shared" si="9"/>
        <v>OK!</v>
      </c>
    </row>
    <row r="88" spans="2:16" x14ac:dyDescent="0.35">
      <c r="B88" s="47">
        <f t="shared" si="10"/>
        <v>26</v>
      </c>
      <c r="C88" s="47" t="str">
        <f>ORÇAMENTO!A278</f>
        <v>4.3.12</v>
      </c>
      <c r="D88" s="47" t="str">
        <f>ORÇAMENTO!B278</f>
        <v xml:space="preserve"> 5503041 </v>
      </c>
      <c r="E88" s="47" t="str">
        <f>ORÇAMENTO!C278</f>
        <v>SICRO3</v>
      </c>
      <c r="F88" s="48" t="str">
        <f>ORÇAMENTO!D278</f>
        <v>COMPACTAÇÃO DE ATERROS A 100% DO PROCTOR INTERMEDIÁRIO</v>
      </c>
      <c r="G88" s="47" t="str">
        <f>ORÇAMENTO!E278</f>
        <v>M³</v>
      </c>
      <c r="H88" s="47">
        <f>ORÇAMENTO!F278</f>
        <v>11.296720445695827</v>
      </c>
      <c r="I88" s="47">
        <f>ORÇAMENTO!G278</f>
        <v>8.59</v>
      </c>
      <c r="J88" s="47">
        <f>ORÇAMENTO!H278</f>
        <v>0.2122</v>
      </c>
      <c r="K88" s="47">
        <f>ORÇAMENTO!I278</f>
        <v>10.41</v>
      </c>
      <c r="L88" s="49">
        <f>ORÇAMENTO!J278</f>
        <v>117.59</v>
      </c>
      <c r="N88" s="29" t="str">
        <f t="shared" si="7"/>
        <v>DIFERENTE</v>
      </c>
      <c r="O88" s="29" t="str">
        <f t="shared" si="8"/>
        <v>DIFERENTE</v>
      </c>
      <c r="P88" s="29" t="str">
        <f t="shared" si="9"/>
        <v>DIFERENTE</v>
      </c>
    </row>
    <row r="89" spans="2:16" x14ac:dyDescent="0.35">
      <c r="B89" s="47">
        <f t="shared" si="10"/>
        <v>26</v>
      </c>
      <c r="C89" s="47" t="str">
        <f>ORÇAMENTO!A510</f>
        <v>5.4.4.2</v>
      </c>
      <c r="D89" s="47" t="str">
        <f>ORÇAMENTO!B510</f>
        <v xml:space="preserve"> 5503041 </v>
      </c>
      <c r="E89" s="47" t="str">
        <f>ORÇAMENTO!C510</f>
        <v>SICRO3</v>
      </c>
      <c r="F89" s="48" t="str">
        <f>ORÇAMENTO!D510</f>
        <v>COMPACTAÇÃO DE ATERROS A 100% DO PROCTOR INTERMEDIÁRIO</v>
      </c>
      <c r="G89" s="47" t="str">
        <f>ORÇAMENTO!E510</f>
        <v>M³</v>
      </c>
      <c r="H89" s="47">
        <f>ORÇAMENTO!F510</f>
        <v>3807.11</v>
      </c>
      <c r="I89" s="47">
        <f>ORÇAMENTO!G510</f>
        <v>8.59</v>
      </c>
      <c r="J89" s="47">
        <f>ORÇAMENTO!H510</f>
        <v>0.2122</v>
      </c>
      <c r="K89" s="47">
        <f>ORÇAMENTO!I510</f>
        <v>10.41</v>
      </c>
      <c r="L89" s="49">
        <f>ORÇAMENTO!J510</f>
        <v>39632.01</v>
      </c>
      <c r="N89" s="29" t="str">
        <f t="shared" si="7"/>
        <v>OK!</v>
      </c>
      <c r="O89" s="29" t="str">
        <f t="shared" si="8"/>
        <v>OK!</v>
      </c>
      <c r="P89" s="29" t="str">
        <f t="shared" si="9"/>
        <v>OK!</v>
      </c>
    </row>
    <row r="90" spans="2:16" x14ac:dyDescent="0.35">
      <c r="B90" s="47">
        <f t="shared" si="10"/>
        <v>26</v>
      </c>
      <c r="C90" s="47" t="str">
        <f>ORÇAMENTO!A540</f>
        <v>5.5.13</v>
      </c>
      <c r="D90" s="47" t="str">
        <f>ORÇAMENTO!B540</f>
        <v xml:space="preserve"> 5503041 </v>
      </c>
      <c r="E90" s="47" t="str">
        <f>ORÇAMENTO!C540</f>
        <v>SICRO3</v>
      </c>
      <c r="F90" s="48" t="str">
        <f>ORÇAMENTO!D540</f>
        <v>COMPACTAÇÃO DE ATERROS A 100% DO PROCTOR INTERMEDIÁRIO</v>
      </c>
      <c r="G90" s="47" t="str">
        <f>ORÇAMENTO!E540</f>
        <v>M³</v>
      </c>
      <c r="H90" s="47">
        <f>ORÇAMENTO!F540</f>
        <v>35.883352326720761</v>
      </c>
      <c r="I90" s="47">
        <f>ORÇAMENTO!G540</f>
        <v>8.59</v>
      </c>
      <c r="J90" s="47">
        <f>ORÇAMENTO!H540</f>
        <v>0.2122</v>
      </c>
      <c r="K90" s="47">
        <f>ORÇAMENTO!I540</f>
        <v>10.41</v>
      </c>
      <c r="L90" s="49">
        <f>ORÇAMENTO!J540</f>
        <v>373.54</v>
      </c>
      <c r="N90" s="29" t="str">
        <f t="shared" si="7"/>
        <v>OK!</v>
      </c>
      <c r="O90" s="29" t="str">
        <f t="shared" si="8"/>
        <v>OK!</v>
      </c>
      <c r="P90" s="29" t="str">
        <f t="shared" si="9"/>
        <v>OK!</v>
      </c>
    </row>
    <row r="91" spans="2:16" ht="43.5" x14ac:dyDescent="0.35">
      <c r="B91" s="47">
        <f t="shared" si="10"/>
        <v>27</v>
      </c>
      <c r="C91" s="47" t="str">
        <f>ORÇAMENTO!A252</f>
        <v>4.1.2.7.4</v>
      </c>
      <c r="D91" s="47" t="str">
        <f>ORÇAMENTO!B252</f>
        <v xml:space="preserve"> 94969 </v>
      </c>
      <c r="E91" s="47" t="str">
        <f>ORÇAMENTO!C252</f>
        <v>SINAPI</v>
      </c>
      <c r="F91" s="48" t="str">
        <f>ORÇAMENTO!D252</f>
        <v>CONCRETO FCK = 15MPA, TRAÇO 1:3,4:3,5 (EM MASSA SECA DE CIMENTO/ AREIA MÉDIA/ BRITA 1) - PREPARO MECÂNICO COM BETONEIRA 600 L. AF_05/2021</v>
      </c>
      <c r="G91" s="47" t="str">
        <f>ORÇAMENTO!E252</f>
        <v>M³</v>
      </c>
      <c r="H91" s="47">
        <f>ORÇAMENTO!F252</f>
        <v>21.86</v>
      </c>
      <c r="I91" s="47">
        <f>ORÇAMENTO!G252</f>
        <v>430.64</v>
      </c>
      <c r="J91" s="47">
        <f>ORÇAMENTO!H252</f>
        <v>0.2122</v>
      </c>
      <c r="K91" s="47">
        <f>ORÇAMENTO!I252</f>
        <v>522.02</v>
      </c>
      <c r="L91" s="49">
        <f>ORÇAMENTO!J252</f>
        <v>11411.35</v>
      </c>
      <c r="N91" s="29" t="str">
        <f t="shared" si="7"/>
        <v>DIFERENTE</v>
      </c>
      <c r="O91" s="29" t="str">
        <f t="shared" si="8"/>
        <v>DIFERENTE</v>
      </c>
      <c r="P91" s="29" t="str">
        <f t="shared" si="9"/>
        <v>DIFERENTE</v>
      </c>
    </row>
    <row r="92" spans="2:16" ht="43.5" x14ac:dyDescent="0.35">
      <c r="B92" s="47">
        <f t="shared" si="10"/>
        <v>27</v>
      </c>
      <c r="C92" s="47" t="str">
        <f>ORÇAMENTO!A462</f>
        <v>5.1.2.8.4</v>
      </c>
      <c r="D92" s="47" t="str">
        <f>ORÇAMENTO!B462</f>
        <v xml:space="preserve"> 94969 </v>
      </c>
      <c r="E92" s="47" t="str">
        <f>ORÇAMENTO!C462</f>
        <v>SINAPI</v>
      </c>
      <c r="F92" s="48" t="str">
        <f>ORÇAMENTO!D462</f>
        <v>CONCRETO FCK = 15MPA, TRAÇO 1:3,4:3,5 (EM MASSA SECA DE CIMENTO/ AREIA MÉDIA/ BRITA 1) - PREPARO MECÂNICO COM BETONEIRA 600 L. AF_05/2021</v>
      </c>
      <c r="G92" s="47" t="str">
        <f>ORÇAMENTO!E462</f>
        <v>M³</v>
      </c>
      <c r="H92" s="47">
        <f>ORÇAMENTO!F462</f>
        <v>26.18</v>
      </c>
      <c r="I92" s="47">
        <f>ORÇAMENTO!G462</f>
        <v>430.64</v>
      </c>
      <c r="J92" s="47">
        <f>ORÇAMENTO!H462</f>
        <v>0.2122</v>
      </c>
      <c r="K92" s="47">
        <f>ORÇAMENTO!I462</f>
        <v>522.02</v>
      </c>
      <c r="L92" s="49">
        <f>ORÇAMENTO!J462</f>
        <v>13666.48</v>
      </c>
      <c r="N92" s="29" t="str">
        <f t="shared" si="7"/>
        <v>OK!</v>
      </c>
      <c r="O92" s="29" t="str">
        <f t="shared" si="8"/>
        <v>OK!</v>
      </c>
      <c r="P92" s="29" t="str">
        <f t="shared" si="9"/>
        <v>OK!</v>
      </c>
    </row>
    <row r="93" spans="2:16" ht="43.5" x14ac:dyDescent="0.35">
      <c r="B93" s="47">
        <f t="shared" si="10"/>
        <v>27</v>
      </c>
      <c r="C93" s="47" t="str">
        <f>ORÇAMENTO!A470</f>
        <v>5.1.2.9.2</v>
      </c>
      <c r="D93" s="47" t="str">
        <f>ORÇAMENTO!B470</f>
        <v xml:space="preserve"> 94969 </v>
      </c>
      <c r="E93" s="47" t="str">
        <f>ORÇAMENTO!C470</f>
        <v>SINAPI</v>
      </c>
      <c r="F93" s="48" t="str">
        <f>ORÇAMENTO!D470</f>
        <v>CONCRETO FCK = 15MPA, TRAÇO 1:3,4:3,5 (EM MASSA SECA DE CIMENTO/ AREIA MÉDIA/ BRITA 1) - PREPARO MECÂNICO COM BETONEIRA 600 L. AF_05/2021</v>
      </c>
      <c r="G93" s="47" t="str">
        <f>ORÇAMENTO!E470</f>
        <v>M³</v>
      </c>
      <c r="H93" s="47">
        <f>ORÇAMENTO!F470</f>
        <v>15.08</v>
      </c>
      <c r="I93" s="47">
        <f>ORÇAMENTO!G470</f>
        <v>430.64</v>
      </c>
      <c r="J93" s="47">
        <f>ORÇAMENTO!H470</f>
        <v>0.2122</v>
      </c>
      <c r="K93" s="47">
        <f>ORÇAMENTO!I470</f>
        <v>522.02</v>
      </c>
      <c r="L93" s="49">
        <f>ORÇAMENTO!J470</f>
        <v>7872.06</v>
      </c>
      <c r="N93" s="29" t="str">
        <f t="shared" si="7"/>
        <v>OK!</v>
      </c>
      <c r="O93" s="29" t="str">
        <f t="shared" si="8"/>
        <v>OK!</v>
      </c>
      <c r="P93" s="29" t="str">
        <f t="shared" si="9"/>
        <v>OK!</v>
      </c>
    </row>
    <row r="94" spans="2:16" ht="43.5" x14ac:dyDescent="0.35">
      <c r="B94" s="47">
        <f t="shared" si="10"/>
        <v>27</v>
      </c>
      <c r="C94" s="47" t="str">
        <f>ORÇAMENTO!A478</f>
        <v>5.1.2.10.3</v>
      </c>
      <c r="D94" s="47" t="str">
        <f>ORÇAMENTO!B478</f>
        <v xml:space="preserve"> 94969 </v>
      </c>
      <c r="E94" s="47" t="str">
        <f>ORÇAMENTO!C478</f>
        <v>SINAPI</v>
      </c>
      <c r="F94" s="48" t="str">
        <f>ORÇAMENTO!D478</f>
        <v>CONCRETO FCK = 15MPA, TRAÇO 1:3,4:3,5 (EM MASSA SECA DE CIMENTO/ AREIA MÉDIA/ BRITA 1) - PREPARO MECÂNICO COM BETONEIRA 600 L. AF_05/2021</v>
      </c>
      <c r="G94" s="47" t="str">
        <f>ORÇAMENTO!E478</f>
        <v>M³</v>
      </c>
      <c r="H94" s="47">
        <f>ORÇAMENTO!F478</f>
        <v>2.4</v>
      </c>
      <c r="I94" s="47">
        <f>ORÇAMENTO!G478</f>
        <v>430.64</v>
      </c>
      <c r="J94" s="47">
        <f>ORÇAMENTO!H478</f>
        <v>0.2122</v>
      </c>
      <c r="K94" s="47">
        <f>ORÇAMENTO!I478</f>
        <v>522.02</v>
      </c>
      <c r="L94" s="49">
        <f>ORÇAMENTO!J478</f>
        <v>1252.8399999999999</v>
      </c>
      <c r="N94" s="29" t="str">
        <f t="shared" si="7"/>
        <v>OK!</v>
      </c>
      <c r="O94" s="29" t="str">
        <f t="shared" si="8"/>
        <v>OK!</v>
      </c>
      <c r="P94" s="29" t="str">
        <f t="shared" si="9"/>
        <v>OK!</v>
      </c>
    </row>
    <row r="95" spans="2:16" ht="43.5" x14ac:dyDescent="0.35">
      <c r="B95" s="47">
        <f t="shared" si="10"/>
        <v>28</v>
      </c>
      <c r="C95" s="47" t="str">
        <f>ORÇAMENTO!A243</f>
        <v>4.1.2.6.45</v>
      </c>
      <c r="D95" s="47" t="str">
        <f>ORÇAMENTO!B243</f>
        <v xml:space="preserve"> 94971 </v>
      </c>
      <c r="E95" s="47" t="str">
        <f>ORÇAMENTO!C243</f>
        <v>SINAPI</v>
      </c>
      <c r="F95" s="48" t="str">
        <f>ORÇAMENTO!D243</f>
        <v>CONCRETO FCK = 25MPA, TRAÇO 1:2,3:2,7 (EM MASSA SECA DE CIMENTO/ AREIA MÉDIA/ BRITA 1) - PREPARO MECÂNICO COM BETONEIRA 600 L. AF_05/2021</v>
      </c>
      <c r="G95" s="47" t="str">
        <f>ORÇAMENTO!E243</f>
        <v>M³</v>
      </c>
      <c r="H95" s="47">
        <f>ORÇAMENTO!F243</f>
        <v>68.91</v>
      </c>
      <c r="I95" s="47">
        <f>ORÇAMENTO!G243</f>
        <v>470.06</v>
      </c>
      <c r="J95" s="47">
        <f>ORÇAMENTO!H243</f>
        <v>0.2122</v>
      </c>
      <c r="K95" s="47">
        <f>ORÇAMENTO!I243</f>
        <v>569.80999999999995</v>
      </c>
      <c r="L95" s="107">
        <f>ORÇAMENTO!J243</f>
        <v>39265.599999999999</v>
      </c>
      <c r="N95" s="29" t="str">
        <f t="shared" si="7"/>
        <v>DIFERENTE</v>
      </c>
      <c r="O95" s="29" t="str">
        <f t="shared" si="8"/>
        <v>DIFERENTE</v>
      </c>
      <c r="P95" s="29" t="str">
        <f t="shared" si="9"/>
        <v>DIFERENTE</v>
      </c>
    </row>
    <row r="96" spans="2:16" ht="43.5" x14ac:dyDescent="0.35">
      <c r="B96" s="47">
        <f t="shared" si="10"/>
        <v>28</v>
      </c>
      <c r="C96" s="47" t="str">
        <f>ORÇAMENTO!A253</f>
        <v>4.1.2.7.5</v>
      </c>
      <c r="D96" s="47" t="str">
        <f>ORÇAMENTO!B253</f>
        <v xml:space="preserve"> 94971 </v>
      </c>
      <c r="E96" s="47" t="str">
        <f>ORÇAMENTO!C253</f>
        <v>SINAPI</v>
      </c>
      <c r="F96" s="48" t="str">
        <f>ORÇAMENTO!D253</f>
        <v>CONCRETO FCK = 25MPA, TRAÇO 1:2,3:2,7 (EM MASSA SECA DE CIMENTO/ AREIA MÉDIA/ BRITA 1) - PREPARO MECÂNICO COM BETONEIRA 600 L. AF_05/2021</v>
      </c>
      <c r="G96" s="47" t="str">
        <f>ORÇAMENTO!E253</f>
        <v>M³</v>
      </c>
      <c r="H96" s="47">
        <f>ORÇAMENTO!F253</f>
        <v>48.79</v>
      </c>
      <c r="I96" s="47">
        <f>ORÇAMENTO!G253</f>
        <v>470.06</v>
      </c>
      <c r="J96" s="47">
        <f>ORÇAMENTO!H253</f>
        <v>0.2122</v>
      </c>
      <c r="K96" s="47">
        <f>ORÇAMENTO!I253</f>
        <v>569.80999999999995</v>
      </c>
      <c r="L96" s="49">
        <f>ORÇAMENTO!J253</f>
        <v>27801.02</v>
      </c>
      <c r="N96" s="29" t="str">
        <f t="shared" si="7"/>
        <v>OK!</v>
      </c>
      <c r="O96" s="29" t="str">
        <f t="shared" si="8"/>
        <v>OK!</v>
      </c>
      <c r="P96" s="29" t="str">
        <f t="shared" si="9"/>
        <v>OK!</v>
      </c>
    </row>
    <row r="97" spans="2:16" ht="43.5" x14ac:dyDescent="0.35">
      <c r="B97" s="47">
        <f t="shared" si="10"/>
        <v>28</v>
      </c>
      <c r="C97" s="47" t="str">
        <f>ORÇAMENTO!A453</f>
        <v>5.1.2.7.45</v>
      </c>
      <c r="D97" s="47" t="str">
        <f>ORÇAMENTO!B453</f>
        <v xml:space="preserve"> 94971 </v>
      </c>
      <c r="E97" s="47" t="str">
        <f>ORÇAMENTO!C453</f>
        <v>SINAPI</v>
      </c>
      <c r="F97" s="48" t="str">
        <f>ORÇAMENTO!D453</f>
        <v>CONCRETO FCK = 25MPA, TRAÇO 1:2,3:2,7 (EM MASSA SECA DE CIMENTO/ AREIA MÉDIA/ BRITA 1) - PREPARO MECÂNICO COM BETONEIRA 600 L. AF_05/2021</v>
      </c>
      <c r="G97" s="47" t="str">
        <f>ORÇAMENTO!E453</f>
        <v>M³</v>
      </c>
      <c r="H97" s="47">
        <f>ORÇAMENTO!F453</f>
        <v>167.69</v>
      </c>
      <c r="I97" s="47">
        <f>ORÇAMENTO!G453</f>
        <v>470.06</v>
      </c>
      <c r="J97" s="47">
        <f>ORÇAMENTO!H453</f>
        <v>0.2122</v>
      </c>
      <c r="K97" s="47">
        <f>ORÇAMENTO!I453</f>
        <v>569.80999999999995</v>
      </c>
      <c r="L97" s="49">
        <f>ORÇAMENTO!J453</f>
        <v>95551.43</v>
      </c>
      <c r="N97" s="29" t="str">
        <f t="shared" si="7"/>
        <v>OK!</v>
      </c>
      <c r="O97" s="29" t="str">
        <f t="shared" si="8"/>
        <v>OK!</v>
      </c>
      <c r="P97" s="29" t="str">
        <f t="shared" si="9"/>
        <v>OK!</v>
      </c>
    </row>
    <row r="98" spans="2:16" ht="43.5" x14ac:dyDescent="0.35">
      <c r="B98" s="47">
        <f t="shared" si="10"/>
        <v>28</v>
      </c>
      <c r="C98" s="47" t="str">
        <f>ORÇAMENTO!A463</f>
        <v>5.1.2.8.5</v>
      </c>
      <c r="D98" s="47" t="str">
        <f>ORÇAMENTO!B463</f>
        <v xml:space="preserve"> 94971 </v>
      </c>
      <c r="E98" s="47" t="str">
        <f>ORÇAMENTO!C463</f>
        <v>SINAPI</v>
      </c>
      <c r="F98" s="48" t="str">
        <f>ORÇAMENTO!D463</f>
        <v>CONCRETO FCK = 25MPA, TRAÇO 1:2,3:2,7 (EM MASSA SECA DE CIMENTO/ AREIA MÉDIA/ BRITA 1) - PREPARO MECÂNICO COM BETONEIRA 600 L. AF_05/2021</v>
      </c>
      <c r="G98" s="47" t="str">
        <f>ORÇAMENTO!E463</f>
        <v>M³</v>
      </c>
      <c r="H98" s="47">
        <f>ORÇAMENTO!F463</f>
        <v>69.959999999999994</v>
      </c>
      <c r="I98" s="47">
        <f>ORÇAMENTO!G463</f>
        <v>470.06</v>
      </c>
      <c r="J98" s="47">
        <f>ORÇAMENTO!H463</f>
        <v>0.2122</v>
      </c>
      <c r="K98" s="47">
        <f>ORÇAMENTO!I463</f>
        <v>569.80999999999995</v>
      </c>
      <c r="L98" s="49">
        <f>ORÇAMENTO!J463</f>
        <v>39863.9</v>
      </c>
      <c r="N98" s="29" t="str">
        <f t="shared" ref="N98:N129" si="11">IF(F98=F97,IF(G98=G97,"OK!","ERRADO"),"DIFERENTE")</f>
        <v>OK!</v>
      </c>
      <c r="O98" s="29" t="str">
        <f t="shared" ref="O98:O129" si="12">IF(F98=F97,IF(I98=I97,"OK!","ERRADO"),"DIFERENTE")</f>
        <v>OK!</v>
      </c>
      <c r="P98" s="29" t="str">
        <f t="shared" ref="P98:P129" si="13">IF(F98=F97,IF(D98=D97,"OK!","ERRADO"),"DIFERENTE")</f>
        <v>OK!</v>
      </c>
    </row>
    <row r="99" spans="2:16" ht="43.5" x14ac:dyDescent="0.35">
      <c r="B99" s="47">
        <f t="shared" si="10"/>
        <v>28</v>
      </c>
      <c r="C99" s="47" t="str">
        <f>ORÇAMENTO!A471</f>
        <v>5.1.2.9.3</v>
      </c>
      <c r="D99" s="47" t="str">
        <f>ORÇAMENTO!B471</f>
        <v xml:space="preserve"> 94971 </v>
      </c>
      <c r="E99" s="47" t="str">
        <f>ORÇAMENTO!C471</f>
        <v>SINAPI</v>
      </c>
      <c r="F99" s="48" t="str">
        <f>ORÇAMENTO!D471</f>
        <v>CONCRETO FCK = 25MPA, TRAÇO 1:2,3:2,7 (EM MASSA SECA DE CIMENTO/ AREIA MÉDIA/ BRITA 1) - PREPARO MECÂNICO COM BETONEIRA 600 L. AF_05/2021</v>
      </c>
      <c r="G99" s="47" t="str">
        <f>ORÇAMENTO!E471</f>
        <v>M³</v>
      </c>
      <c r="H99" s="47">
        <f>ORÇAMENTO!F471</f>
        <v>288.39999999999998</v>
      </c>
      <c r="I99" s="47">
        <f>ORÇAMENTO!G471</f>
        <v>470.06</v>
      </c>
      <c r="J99" s="47">
        <f>ORÇAMENTO!H471</f>
        <v>0.2122</v>
      </c>
      <c r="K99" s="47">
        <f>ORÇAMENTO!I471</f>
        <v>569.80999999999995</v>
      </c>
      <c r="L99" s="49">
        <f>ORÇAMENTO!J471</f>
        <v>164333.20000000001</v>
      </c>
      <c r="N99" s="29" t="str">
        <f t="shared" si="11"/>
        <v>OK!</v>
      </c>
      <c r="O99" s="29" t="str">
        <f t="shared" si="12"/>
        <v>OK!</v>
      </c>
      <c r="P99" s="29" t="str">
        <f t="shared" si="13"/>
        <v>OK!</v>
      </c>
    </row>
    <row r="100" spans="2:16" ht="43.5" x14ac:dyDescent="0.35">
      <c r="B100" s="47">
        <f t="shared" si="10"/>
        <v>28</v>
      </c>
      <c r="C100" s="47" t="str">
        <f>ORÇAMENTO!A479</f>
        <v>5.1.2.10.4</v>
      </c>
      <c r="D100" s="47" t="str">
        <f>ORÇAMENTO!B479</f>
        <v xml:space="preserve"> 94971 </v>
      </c>
      <c r="E100" s="47" t="str">
        <f>ORÇAMENTO!C479</f>
        <v>SINAPI</v>
      </c>
      <c r="F100" s="48" t="str">
        <f>ORÇAMENTO!D479</f>
        <v>CONCRETO FCK = 25MPA, TRAÇO 1:2,3:2,7 (EM MASSA SECA DE CIMENTO/ AREIA MÉDIA/ BRITA 1) - PREPARO MECÂNICO COM BETONEIRA 600 L. AF_05/2021</v>
      </c>
      <c r="G100" s="47" t="str">
        <f>ORÇAMENTO!E479</f>
        <v>M³</v>
      </c>
      <c r="H100" s="47">
        <f>ORÇAMENTO!F479</f>
        <v>23.26</v>
      </c>
      <c r="I100" s="47">
        <f>ORÇAMENTO!G479</f>
        <v>470.06</v>
      </c>
      <c r="J100" s="47">
        <f>ORÇAMENTO!H479</f>
        <v>0.2122</v>
      </c>
      <c r="K100" s="47">
        <f>ORÇAMENTO!I479</f>
        <v>569.80999999999995</v>
      </c>
      <c r="L100" s="49">
        <f>ORÇAMENTO!J479</f>
        <v>13253.78</v>
      </c>
      <c r="N100" s="29" t="str">
        <f t="shared" si="11"/>
        <v>OK!</v>
      </c>
      <c r="O100" s="29" t="str">
        <f t="shared" si="12"/>
        <v>OK!</v>
      </c>
      <c r="P100" s="29" t="str">
        <f t="shared" si="13"/>
        <v>OK!</v>
      </c>
    </row>
    <row r="101" spans="2:16" ht="43.5" x14ac:dyDescent="0.35">
      <c r="B101" s="47">
        <f t="shared" si="10"/>
        <v>29</v>
      </c>
      <c r="C101" s="47" t="str">
        <f>ORÇAMENTO!A239</f>
        <v>4.1.2.6.41</v>
      </c>
      <c r="D101" s="47" t="str">
        <f>ORÇAMENTO!B239</f>
        <v xml:space="preserve"> 94968 </v>
      </c>
      <c r="E101" s="47" t="str">
        <f>ORÇAMENTO!C239</f>
        <v>SINAPI</v>
      </c>
      <c r="F101" s="48" t="str">
        <f>ORÇAMENTO!D239</f>
        <v>CONCRETO MAGRO PARA LASTRO, TRAÇO 1:4,5:4,5 (EM MASSA SECA DE CIMENTO/ AREIA MÉDIA/ BRITA 1) - PREPARO MECÂNICO COM BETONEIRA 600 L. AF_05/2021</v>
      </c>
      <c r="G101" s="47" t="str">
        <f>ORÇAMENTO!E239</f>
        <v>M³</v>
      </c>
      <c r="H101" s="47">
        <f>ORÇAMENTO!F239</f>
        <v>18.02</v>
      </c>
      <c r="I101" s="47">
        <f>ORÇAMENTO!G239</f>
        <v>403.4</v>
      </c>
      <c r="J101" s="47">
        <f>ORÇAMENTO!H239</f>
        <v>0.2122</v>
      </c>
      <c r="K101" s="47">
        <f>ORÇAMENTO!I239</f>
        <v>489</v>
      </c>
      <c r="L101" s="49">
        <f>ORÇAMENTO!J239</f>
        <v>8811.7800000000007</v>
      </c>
      <c r="N101" s="29" t="str">
        <f t="shared" si="11"/>
        <v>DIFERENTE</v>
      </c>
      <c r="O101" s="29" t="str">
        <f t="shared" si="12"/>
        <v>DIFERENTE</v>
      </c>
      <c r="P101" s="29" t="str">
        <f t="shared" si="13"/>
        <v>DIFERENTE</v>
      </c>
    </row>
    <row r="102" spans="2:16" ht="43.5" x14ac:dyDescent="0.35">
      <c r="B102" s="47">
        <f t="shared" si="10"/>
        <v>29</v>
      </c>
      <c r="C102" s="47" t="str">
        <f>ORÇAMENTO!A449</f>
        <v>5.1.2.7.41</v>
      </c>
      <c r="D102" s="47" t="str">
        <f>ORÇAMENTO!B449</f>
        <v xml:space="preserve"> 94968 </v>
      </c>
      <c r="E102" s="47" t="str">
        <f>ORÇAMENTO!C449</f>
        <v>SINAPI</v>
      </c>
      <c r="F102" s="48" t="str">
        <f>ORÇAMENTO!D449</f>
        <v>CONCRETO MAGRO PARA LASTRO, TRAÇO 1:4,5:4,5 (EM MASSA SECA DE CIMENTO/ AREIA MÉDIA/ BRITA 1) - PREPARO MECÂNICO COM BETONEIRA 600 L. AF_05/2021</v>
      </c>
      <c r="G102" s="47" t="str">
        <f>ORÇAMENTO!E449</f>
        <v>M³</v>
      </c>
      <c r="H102" s="47">
        <f>ORÇAMENTO!F449</f>
        <v>45.41</v>
      </c>
      <c r="I102" s="47">
        <f>ORÇAMENTO!G449</f>
        <v>403.4</v>
      </c>
      <c r="J102" s="47">
        <f>ORÇAMENTO!H449</f>
        <v>0.2122</v>
      </c>
      <c r="K102" s="47">
        <f>ORÇAMENTO!I449</f>
        <v>489</v>
      </c>
      <c r="L102" s="107">
        <f>ORÇAMENTO!J449</f>
        <v>22205.49</v>
      </c>
      <c r="N102" s="29" t="str">
        <f t="shared" si="11"/>
        <v>OK!</v>
      </c>
      <c r="O102" s="29" t="str">
        <f t="shared" si="12"/>
        <v>OK!</v>
      </c>
      <c r="P102" s="29" t="str">
        <f t="shared" si="13"/>
        <v>OK!</v>
      </c>
    </row>
    <row r="103" spans="2:16" ht="29" x14ac:dyDescent="0.35">
      <c r="B103" s="47">
        <f t="shared" si="10"/>
        <v>30</v>
      </c>
      <c r="C103" s="47" t="str">
        <f>ORÇAMENTO!A99</f>
        <v>4.1.1.1.10</v>
      </c>
      <c r="D103" s="47" t="str">
        <f>ORÇAMENTO!B99</f>
        <v xml:space="preserve"> 5213835 </v>
      </c>
      <c r="E103" s="47" t="str">
        <f>ORÇAMENTO!C99</f>
        <v>SICRO3</v>
      </c>
      <c r="F103" s="48" t="str">
        <f>ORÇAMENTO!D99</f>
        <v>CONE PLÁSTICO PARA CANALIZAÇÃO DE TRÂNSITO - UTILIZAÇÃO DE 150 CICLOS - FORNECIMENTO, 01 IMPLANTAÇÃO E 01 RETIRADA DIÁRIA</v>
      </c>
      <c r="G103" s="47" t="str">
        <f>ORÇAMENTO!E99</f>
        <v>UN.DIA</v>
      </c>
      <c r="H103" s="47">
        <f>ORÇAMENTO!F99</f>
        <v>837</v>
      </c>
      <c r="I103" s="47">
        <f>ORÇAMENTO!G99</f>
        <v>0.78</v>
      </c>
      <c r="J103" s="47">
        <f>ORÇAMENTO!H99</f>
        <v>0.2122</v>
      </c>
      <c r="K103" s="47">
        <f>ORÇAMENTO!I99</f>
        <v>0.95</v>
      </c>
      <c r="L103" s="49">
        <f>ORÇAMENTO!J99</f>
        <v>795.15</v>
      </c>
      <c r="N103" s="29" t="str">
        <f t="shared" si="11"/>
        <v>DIFERENTE</v>
      </c>
      <c r="O103" s="29" t="str">
        <f t="shared" si="12"/>
        <v>DIFERENTE</v>
      </c>
      <c r="P103" s="29" t="str">
        <f t="shared" si="13"/>
        <v>DIFERENTE</v>
      </c>
    </row>
    <row r="104" spans="2:16" ht="29" x14ac:dyDescent="0.35">
      <c r="B104" s="47">
        <f t="shared" si="10"/>
        <v>30</v>
      </c>
      <c r="C104" s="47" t="str">
        <f>ORÇAMENTO!A301</f>
        <v>5.1.1.1.10</v>
      </c>
      <c r="D104" s="47" t="str">
        <f>ORÇAMENTO!B301</f>
        <v xml:space="preserve"> 5213835 </v>
      </c>
      <c r="E104" s="47" t="str">
        <f>ORÇAMENTO!C301</f>
        <v>SICRO3</v>
      </c>
      <c r="F104" s="48" t="str">
        <f>ORÇAMENTO!D301</f>
        <v>CONE PLÁSTICO PARA CANALIZAÇÃO DE TRÂNSITO - UTILIZAÇÃO DE 150 CICLOS - FORNECIMENTO, 01 IMPLANTAÇÃO E 01 RETIRADA DIÁRIA</v>
      </c>
      <c r="G104" s="47" t="str">
        <f>ORÇAMENTO!E301</f>
        <v>UN.DIA</v>
      </c>
      <c r="H104" s="47">
        <f>ORÇAMENTO!F301</f>
        <v>3078</v>
      </c>
      <c r="I104" s="47">
        <f>ORÇAMENTO!G301</f>
        <v>0.78</v>
      </c>
      <c r="J104" s="47">
        <f>ORÇAMENTO!H301</f>
        <v>0.2122</v>
      </c>
      <c r="K104" s="47">
        <f>ORÇAMENTO!I301</f>
        <v>0.95</v>
      </c>
      <c r="L104" s="49">
        <f>ORÇAMENTO!J301</f>
        <v>2924.1</v>
      </c>
      <c r="N104" s="29" t="str">
        <f t="shared" si="11"/>
        <v>OK!</v>
      </c>
      <c r="O104" s="29" t="str">
        <f t="shared" si="12"/>
        <v>OK!</v>
      </c>
      <c r="P104" s="29" t="str">
        <f t="shared" si="13"/>
        <v>OK!</v>
      </c>
    </row>
    <row r="105" spans="2:16" ht="43.5" x14ac:dyDescent="0.35">
      <c r="B105" s="47">
        <f t="shared" si="10"/>
        <v>31</v>
      </c>
      <c r="C105" s="47" t="str">
        <f>ORÇAMENTO!A176</f>
        <v>4.1.2.4.10</v>
      </c>
      <c r="D105" s="47" t="str">
        <f>ORÇAMENTO!B176</f>
        <v xml:space="preserve"> 95995 M </v>
      </c>
      <c r="E105" s="47" t="str">
        <f>ORÇAMENTO!C176</f>
        <v>PRÓPRIO</v>
      </c>
      <c r="F105" s="48" t="str">
        <f>ORÇAMENTO!D176</f>
        <v>CONSTRUÇÃO DE PAVIMENTO COM APLICAÇÃO CONCRETO BETUMINOSO USINADO A QUENTE (CBUQ), CAMADA DE ROLAMENTO - EXCLUSIVE TRANSPORTE E CARGA  AF_03/2017 (SEM MATERIAL)</v>
      </c>
      <c r="G105" s="47" t="str">
        <f>ORÇAMENTO!E176</f>
        <v>M³</v>
      </c>
      <c r="H105" s="47">
        <f>ORÇAMENTO!F176</f>
        <v>62.616787958168075</v>
      </c>
      <c r="I105" s="47">
        <f>ORÇAMENTO!G176</f>
        <v>124.59</v>
      </c>
      <c r="J105" s="47">
        <f>ORÇAMENTO!H176</f>
        <v>0.2122</v>
      </c>
      <c r="K105" s="47">
        <f>ORÇAMENTO!I176</f>
        <v>151.03</v>
      </c>
      <c r="L105" s="49">
        <f>ORÇAMENTO!J176</f>
        <v>9457.01</v>
      </c>
      <c r="N105" s="29" t="str">
        <f t="shared" si="11"/>
        <v>DIFERENTE</v>
      </c>
      <c r="O105" s="29" t="str">
        <f t="shared" si="12"/>
        <v>DIFERENTE</v>
      </c>
      <c r="P105" s="29" t="str">
        <f t="shared" si="13"/>
        <v>DIFERENTE</v>
      </c>
    </row>
    <row r="106" spans="2:16" ht="43.5" x14ac:dyDescent="0.35">
      <c r="B106" s="47">
        <f t="shared" si="10"/>
        <v>31</v>
      </c>
      <c r="C106" s="47" t="str">
        <f>ORÇAMENTO!A222</f>
        <v>4.1.2.6.24</v>
      </c>
      <c r="D106" s="47" t="str">
        <f>ORÇAMENTO!B222</f>
        <v xml:space="preserve"> 95995 M </v>
      </c>
      <c r="E106" s="47" t="str">
        <f>ORÇAMENTO!C222</f>
        <v>PRÓPRIO</v>
      </c>
      <c r="F106" s="48" t="str">
        <f>ORÇAMENTO!D222</f>
        <v>CONSTRUÇÃO DE PAVIMENTO COM APLICAÇÃO CONCRETO BETUMINOSO USINADO A QUENTE (CBUQ), CAMADA DE ROLAMENTO - EXCLUSIVE TRANSPORTE E CARGA  AF_03/2017 (SEM MATERIAL)</v>
      </c>
      <c r="G106" s="47" t="str">
        <f>ORÇAMENTO!E222</f>
        <v>M³</v>
      </c>
      <c r="H106" s="47">
        <f>ORÇAMENTO!F222</f>
        <v>12.96</v>
      </c>
      <c r="I106" s="47">
        <f>ORÇAMENTO!G222</f>
        <v>124.59</v>
      </c>
      <c r="J106" s="47">
        <f>ORÇAMENTO!H222</f>
        <v>0.2122</v>
      </c>
      <c r="K106" s="47">
        <f>ORÇAMENTO!I222</f>
        <v>151.03</v>
      </c>
      <c r="L106" s="49">
        <f>ORÇAMENTO!J222</f>
        <v>1957.34</v>
      </c>
      <c r="N106" s="29" t="str">
        <f t="shared" si="11"/>
        <v>OK!</v>
      </c>
      <c r="O106" s="29" t="str">
        <f t="shared" si="12"/>
        <v>OK!</v>
      </c>
      <c r="P106" s="29" t="str">
        <f t="shared" si="13"/>
        <v>OK!</v>
      </c>
    </row>
    <row r="107" spans="2:16" ht="43.5" x14ac:dyDescent="0.35">
      <c r="B107" s="47">
        <f t="shared" si="10"/>
        <v>31</v>
      </c>
      <c r="C107" s="47" t="str">
        <f>ORÇAMENTO!A272</f>
        <v>4.3.6</v>
      </c>
      <c r="D107" s="47" t="str">
        <f>ORÇAMENTO!B272</f>
        <v xml:space="preserve"> 95995 M </v>
      </c>
      <c r="E107" s="47" t="str">
        <f>ORÇAMENTO!C272</f>
        <v>PRÓPRIO</v>
      </c>
      <c r="F107" s="48" t="str">
        <f>ORÇAMENTO!D272</f>
        <v>CONSTRUÇÃO DE PAVIMENTO COM APLICAÇÃO CONCRETO BETUMINOSO USINADO A QUENTE (CBUQ), CAMADA DE ROLAMENTO - EXCLUSIVE TRANSPORTE E CARGA  AF_03/2017 (SEM MATERIAL)</v>
      </c>
      <c r="G107" s="47" t="str">
        <f>ORÇAMENTO!E272</f>
        <v>M³</v>
      </c>
      <c r="H107" s="47">
        <f>ORÇAMENTO!F272</f>
        <v>3.637425693247609</v>
      </c>
      <c r="I107" s="47">
        <f>ORÇAMENTO!G272</f>
        <v>124.59</v>
      </c>
      <c r="J107" s="47">
        <f>ORÇAMENTO!H272</f>
        <v>0.2122</v>
      </c>
      <c r="K107" s="47">
        <f>ORÇAMENTO!I272</f>
        <v>151.03</v>
      </c>
      <c r="L107" s="49">
        <f>ORÇAMENTO!J272</f>
        <v>549.36</v>
      </c>
      <c r="N107" s="29" t="str">
        <f t="shared" si="11"/>
        <v>OK!</v>
      </c>
      <c r="O107" s="29" t="str">
        <f t="shared" si="12"/>
        <v>OK!</v>
      </c>
      <c r="P107" s="29" t="str">
        <f t="shared" si="13"/>
        <v>OK!</v>
      </c>
    </row>
    <row r="108" spans="2:16" ht="43.5" x14ac:dyDescent="0.35">
      <c r="B108" s="47">
        <f t="shared" si="10"/>
        <v>31</v>
      </c>
      <c r="C108" s="47" t="str">
        <f>ORÇAMENTO!A375</f>
        <v>5.1.2.4.10</v>
      </c>
      <c r="D108" s="47" t="str">
        <f>ORÇAMENTO!B375</f>
        <v xml:space="preserve"> 95995 M </v>
      </c>
      <c r="E108" s="47" t="str">
        <f>ORÇAMENTO!C375</f>
        <v>PRÓPRIO</v>
      </c>
      <c r="F108" s="48" t="str">
        <f>ORÇAMENTO!D375</f>
        <v>CONSTRUÇÃO DE PAVIMENTO COM APLICAÇÃO CONCRETO BETUMINOSO USINADO A QUENTE (CBUQ), CAMADA DE ROLAMENTO - EXCLUSIVE TRANSPORTE E CARGA  AF_03/2017 (SEM MATERIAL)</v>
      </c>
      <c r="G108" s="47" t="str">
        <f>ORÇAMENTO!E375</f>
        <v>M³</v>
      </c>
      <c r="H108" s="47">
        <f>ORÇAMENTO!F375</f>
        <v>107.37773999999997</v>
      </c>
      <c r="I108" s="47">
        <f>ORÇAMENTO!G375</f>
        <v>124.59</v>
      </c>
      <c r="J108" s="47">
        <f>ORÇAMENTO!H375</f>
        <v>0.2122</v>
      </c>
      <c r="K108" s="47">
        <f>ORÇAMENTO!I375</f>
        <v>151.03</v>
      </c>
      <c r="L108" s="49">
        <f>ORÇAMENTO!J375</f>
        <v>16217.26</v>
      </c>
      <c r="N108" s="29" t="str">
        <f t="shared" si="11"/>
        <v>OK!</v>
      </c>
      <c r="O108" s="29" t="str">
        <f t="shared" si="12"/>
        <v>OK!</v>
      </c>
      <c r="P108" s="29" t="str">
        <f t="shared" si="13"/>
        <v>OK!</v>
      </c>
    </row>
    <row r="109" spans="2:16" ht="43.5" x14ac:dyDescent="0.35">
      <c r="B109" s="47">
        <f t="shared" si="10"/>
        <v>31</v>
      </c>
      <c r="C109" s="47" t="str">
        <f>ORÇAMENTO!A432</f>
        <v>5.1.2.7.24</v>
      </c>
      <c r="D109" s="47" t="str">
        <f>ORÇAMENTO!B432</f>
        <v xml:space="preserve"> 95995 M </v>
      </c>
      <c r="E109" s="47" t="str">
        <f>ORÇAMENTO!C432</f>
        <v>PRÓPRIO</v>
      </c>
      <c r="F109" s="48" t="str">
        <f>ORÇAMENTO!D432</f>
        <v>CONSTRUÇÃO DE PAVIMENTO COM APLICAÇÃO CONCRETO BETUMINOSO USINADO A QUENTE (CBUQ), CAMADA DE ROLAMENTO - EXCLUSIVE TRANSPORTE E CARGA  AF_03/2017 (SEM MATERIAL)</v>
      </c>
      <c r="G109" s="47" t="str">
        <f>ORÇAMENTO!E432</f>
        <v>M³</v>
      </c>
      <c r="H109" s="47">
        <f>ORÇAMENTO!F432</f>
        <v>24.93</v>
      </c>
      <c r="I109" s="47">
        <f>ORÇAMENTO!G432</f>
        <v>124.59</v>
      </c>
      <c r="J109" s="47">
        <f>ORÇAMENTO!H432</f>
        <v>0.2122</v>
      </c>
      <c r="K109" s="47">
        <f>ORÇAMENTO!I432</f>
        <v>151.03</v>
      </c>
      <c r="L109" s="49">
        <f>ORÇAMENTO!J432</f>
        <v>3765.17</v>
      </c>
      <c r="N109" s="29" t="str">
        <f t="shared" si="11"/>
        <v>OK!</v>
      </c>
      <c r="O109" s="29" t="str">
        <f t="shared" si="12"/>
        <v>OK!</v>
      </c>
      <c r="P109" s="29" t="str">
        <f t="shared" si="13"/>
        <v>OK!</v>
      </c>
    </row>
    <row r="110" spans="2:16" ht="43.5" x14ac:dyDescent="0.35">
      <c r="B110" s="47">
        <f t="shared" si="10"/>
        <v>31</v>
      </c>
      <c r="C110" s="47" t="str">
        <f>ORÇAMENTO!A515</f>
        <v>5.4.4.7</v>
      </c>
      <c r="D110" s="47" t="str">
        <f>ORÇAMENTO!B515</f>
        <v xml:space="preserve"> 95995 M </v>
      </c>
      <c r="E110" s="47" t="str">
        <f>ORÇAMENTO!C515</f>
        <v>PRÓPRIO</v>
      </c>
      <c r="F110" s="48" t="str">
        <f>ORÇAMENTO!D515</f>
        <v>CONSTRUÇÃO DE PAVIMENTO COM APLICAÇÃO CONCRETO BETUMINOSO USINADO A QUENTE (CBUQ), CAMADA DE ROLAMENTO - EXCLUSIVE TRANSPORTE E CARGA  AF_03/2017 (SEM MATERIAL)</v>
      </c>
      <c r="G110" s="47" t="str">
        <f>ORÇAMENTO!E515</f>
        <v>M³</v>
      </c>
      <c r="H110" s="47">
        <f>ORÇAMENTO!F515</f>
        <v>273.8</v>
      </c>
      <c r="I110" s="47">
        <f>ORÇAMENTO!G515</f>
        <v>124.59</v>
      </c>
      <c r="J110" s="47">
        <f>ORÇAMENTO!H515</f>
        <v>0.2122</v>
      </c>
      <c r="K110" s="47">
        <f>ORÇAMENTO!I515</f>
        <v>151.03</v>
      </c>
      <c r="L110" s="49">
        <f>ORÇAMENTO!J515</f>
        <v>41352.01</v>
      </c>
      <c r="N110" s="29" t="str">
        <f t="shared" si="11"/>
        <v>OK!</v>
      </c>
      <c r="O110" s="29" t="str">
        <f t="shared" si="12"/>
        <v>OK!</v>
      </c>
      <c r="P110" s="29" t="str">
        <f t="shared" si="13"/>
        <v>OK!</v>
      </c>
    </row>
    <row r="111" spans="2:16" ht="43.5" x14ac:dyDescent="0.35">
      <c r="B111" s="47">
        <f t="shared" si="10"/>
        <v>31</v>
      </c>
      <c r="C111" s="47" t="str">
        <f>ORÇAMENTO!A534</f>
        <v>5.5.7</v>
      </c>
      <c r="D111" s="47" t="str">
        <f>ORÇAMENTO!B534</f>
        <v xml:space="preserve"> 95995 M </v>
      </c>
      <c r="E111" s="47" t="str">
        <f>ORÇAMENTO!C534</f>
        <v>PRÓPRIO</v>
      </c>
      <c r="F111" s="48" t="str">
        <f>ORÇAMENTO!D534</f>
        <v>CONSTRUÇÃO DE PAVIMENTO COM APLICAÇÃO CONCRETO BETUMINOSO USINADO A QUENTE (CBUQ), CAMADA DE ROLAMENTO - EXCLUSIVE TRANSPORTE E CARGA  AF_03/2017 (SEM MATERIAL)</v>
      </c>
      <c r="G111" s="47" t="str">
        <f>ORÇAMENTO!E534</f>
        <v>M³</v>
      </c>
      <c r="H111" s="47">
        <f>ORÇAMENTO!F534</f>
        <v>5.8553681891302967</v>
      </c>
      <c r="I111" s="47">
        <f>ORÇAMENTO!G534</f>
        <v>124.59</v>
      </c>
      <c r="J111" s="47">
        <f>ORÇAMENTO!H534</f>
        <v>0.2122</v>
      </c>
      <c r="K111" s="47">
        <f>ORÇAMENTO!I534</f>
        <v>151.03</v>
      </c>
      <c r="L111" s="49">
        <f>ORÇAMENTO!J534</f>
        <v>884.33</v>
      </c>
      <c r="N111" s="29" t="str">
        <f t="shared" si="11"/>
        <v>OK!</v>
      </c>
      <c r="O111" s="29" t="str">
        <f t="shared" si="12"/>
        <v>OK!</v>
      </c>
      <c r="P111" s="29" t="str">
        <f t="shared" si="13"/>
        <v>OK!</v>
      </c>
    </row>
    <row r="112" spans="2:16" ht="43.5" x14ac:dyDescent="0.35">
      <c r="B112" s="47">
        <f t="shared" si="10"/>
        <v>32</v>
      </c>
      <c r="C112" s="47" t="str">
        <f>ORÇAMENTO!A117</f>
        <v>4.1.1.5.1</v>
      </c>
      <c r="D112" s="47" t="str">
        <f>ORÇAMENTO!B117</f>
        <v xml:space="preserve"> 05.002.0014-0 </v>
      </c>
      <c r="E112" s="47" t="str">
        <f>ORÇAMENTO!C117</f>
        <v>EMOP</v>
      </c>
      <c r="F112" s="48" t="str">
        <f>ORÇAMENTO!D117</f>
        <v>DEMOLICAO COM EQUIPAMENTO DE AR COMPRIMIDO,DE PASSEIO CIMENT ADO COM ESPESSURA ATE 10CM,INCLUSIVE EMPILHAMENTO LATERAL DE NTRO DO CANTEIRO DE SERVICO 3%-DESGASTE DE FERRAMENTAS E EPI</v>
      </c>
      <c r="G112" s="47" t="str">
        <f>ORÇAMENTO!E117</f>
        <v>M2</v>
      </c>
      <c r="H112" s="47">
        <f>ORÇAMENTO!F117</f>
        <v>348.56639999999999</v>
      </c>
      <c r="I112" s="47">
        <f>ORÇAMENTO!G117</f>
        <v>11.96</v>
      </c>
      <c r="J112" s="47">
        <f>ORÇAMENTO!H117</f>
        <v>0.2122</v>
      </c>
      <c r="K112" s="47">
        <f>ORÇAMENTO!I117</f>
        <v>14.5</v>
      </c>
      <c r="L112" s="49">
        <f>ORÇAMENTO!J117</f>
        <v>5054.21</v>
      </c>
      <c r="N112" s="29" t="str">
        <f t="shared" si="11"/>
        <v>DIFERENTE</v>
      </c>
      <c r="O112" s="29" t="str">
        <f t="shared" si="12"/>
        <v>DIFERENTE</v>
      </c>
      <c r="P112" s="29" t="str">
        <f t="shared" si="13"/>
        <v>DIFERENTE</v>
      </c>
    </row>
    <row r="113" spans="2:16" ht="43.5" x14ac:dyDescent="0.35">
      <c r="B113" s="47">
        <f t="shared" si="10"/>
        <v>32</v>
      </c>
      <c r="C113" s="47" t="str">
        <f>ORÇAMENTO!A319</f>
        <v>5.1.1.5.1</v>
      </c>
      <c r="D113" s="47" t="str">
        <f>ORÇAMENTO!B319</f>
        <v xml:space="preserve"> 05.002.0014-0 </v>
      </c>
      <c r="E113" s="47" t="str">
        <f>ORÇAMENTO!C319</f>
        <v>EMOP</v>
      </c>
      <c r="F113" s="48" t="str">
        <f>ORÇAMENTO!D319</f>
        <v>DEMOLICAO COM EQUIPAMENTO DE AR COMPRIMIDO,DE PASSEIO CIMENT ADO COM ESPESSURA ATE 10CM,INCLUSIVE EMPILHAMENTO LATERAL DE NTRO DO CANTEIRO DE SERVICO 3%-DESGASTE DE FERRAMENTAS E EPI</v>
      </c>
      <c r="G113" s="47" t="str">
        <f>ORÇAMENTO!E319</f>
        <v>M2</v>
      </c>
      <c r="H113" s="47">
        <f>ORÇAMENTO!F319</f>
        <v>799.68</v>
      </c>
      <c r="I113" s="47">
        <f>ORÇAMENTO!G319</f>
        <v>11.96</v>
      </c>
      <c r="J113" s="47">
        <f>ORÇAMENTO!H319</f>
        <v>0.2122</v>
      </c>
      <c r="K113" s="47">
        <f>ORÇAMENTO!I319</f>
        <v>14.5</v>
      </c>
      <c r="L113" s="49">
        <f>ORÇAMENTO!J319</f>
        <v>11595.36</v>
      </c>
      <c r="N113" s="29" t="str">
        <f t="shared" si="11"/>
        <v>OK!</v>
      </c>
      <c r="O113" s="29" t="str">
        <f t="shared" si="12"/>
        <v>OK!</v>
      </c>
      <c r="P113" s="29" t="str">
        <f t="shared" si="13"/>
        <v>OK!</v>
      </c>
    </row>
    <row r="114" spans="2:16" ht="29" x14ac:dyDescent="0.35">
      <c r="B114" s="47">
        <f t="shared" si="10"/>
        <v>33</v>
      </c>
      <c r="C114" s="47" t="str">
        <f>ORÇAMENTO!A126</f>
        <v>4.1.1.6.2</v>
      </c>
      <c r="D114" s="47" t="str">
        <f>ORÇAMENTO!B126</f>
        <v xml:space="preserve"> 97622 </v>
      </c>
      <c r="E114" s="47" t="str">
        <f>ORÇAMENTO!C126</f>
        <v>SINAPI</v>
      </c>
      <c r="F114" s="48" t="str">
        <f>ORÇAMENTO!D126</f>
        <v>DEMOLIÇÃO DE ALVENARIA DE BLOCO FURADO, DE FORMA MANUAL, SEM REAPROVEITAMENTO. AF_09/2023</v>
      </c>
      <c r="G114" s="47" t="str">
        <f>ORÇAMENTO!E126</f>
        <v>M³</v>
      </c>
      <c r="H114" s="47">
        <f>ORÇAMENTO!F126</f>
        <v>0</v>
      </c>
      <c r="I114" s="47">
        <f>ORÇAMENTO!G126</f>
        <v>62.38</v>
      </c>
      <c r="J114" s="47">
        <f>ORÇAMENTO!H126</f>
        <v>0.2122</v>
      </c>
      <c r="K114" s="47">
        <f>ORÇAMENTO!I126</f>
        <v>75.62</v>
      </c>
      <c r="L114" s="49">
        <f>ORÇAMENTO!J126</f>
        <v>0</v>
      </c>
      <c r="N114" s="29" t="str">
        <f t="shared" si="11"/>
        <v>DIFERENTE</v>
      </c>
      <c r="O114" s="29" t="str">
        <f t="shared" si="12"/>
        <v>DIFERENTE</v>
      </c>
      <c r="P114" s="29" t="str">
        <f t="shared" si="13"/>
        <v>DIFERENTE</v>
      </c>
    </row>
    <row r="115" spans="2:16" ht="29" x14ac:dyDescent="0.35">
      <c r="B115" s="47">
        <f t="shared" si="10"/>
        <v>33</v>
      </c>
      <c r="C115" s="47" t="str">
        <f>ORÇAMENTO!A131</f>
        <v>4.1.1.7.1</v>
      </c>
      <c r="D115" s="47" t="str">
        <f>ORÇAMENTO!B131</f>
        <v xml:space="preserve"> 97622 </v>
      </c>
      <c r="E115" s="47" t="str">
        <f>ORÇAMENTO!C131</f>
        <v>SINAPI</v>
      </c>
      <c r="F115" s="48" t="str">
        <f>ORÇAMENTO!D131</f>
        <v>DEMOLIÇÃO DE ALVENARIA DE BLOCO FURADO, DE FORMA MANUAL, SEM REAPROVEITAMENTO. AF_09/2023</v>
      </c>
      <c r="G115" s="47" t="str">
        <f>ORÇAMENTO!E131</f>
        <v>M³</v>
      </c>
      <c r="H115" s="47">
        <f>ORÇAMENTO!F131</f>
        <v>0.83347081418267965</v>
      </c>
      <c r="I115" s="47">
        <f>ORÇAMENTO!G131</f>
        <v>62.38</v>
      </c>
      <c r="J115" s="47">
        <f>ORÇAMENTO!H131</f>
        <v>0.2122</v>
      </c>
      <c r="K115" s="47">
        <f>ORÇAMENTO!I131</f>
        <v>75.62</v>
      </c>
      <c r="L115" s="107">
        <f>ORÇAMENTO!J131</f>
        <v>63.02</v>
      </c>
      <c r="N115" s="29" t="str">
        <f t="shared" si="11"/>
        <v>OK!</v>
      </c>
      <c r="O115" s="29" t="str">
        <f t="shared" si="12"/>
        <v>OK!</v>
      </c>
      <c r="P115" s="29" t="str">
        <f t="shared" si="13"/>
        <v>OK!</v>
      </c>
    </row>
    <row r="116" spans="2:16" ht="29" x14ac:dyDescent="0.35">
      <c r="B116" s="47">
        <f t="shared" si="10"/>
        <v>33</v>
      </c>
      <c r="C116" s="47" t="str">
        <f>ORÇAMENTO!A327</f>
        <v>5.1.1.6.1</v>
      </c>
      <c r="D116" s="47" t="str">
        <f>ORÇAMENTO!B327</f>
        <v xml:space="preserve"> 97622 </v>
      </c>
      <c r="E116" s="47" t="str">
        <f>ORÇAMENTO!C327</f>
        <v>SINAPI</v>
      </c>
      <c r="F116" s="48" t="str">
        <f>ORÇAMENTO!D327</f>
        <v>DEMOLIÇÃO DE ALVENARIA DE BLOCO FURADO, DE FORMA MANUAL, SEM REAPROVEITAMENTO. AF_09/2023</v>
      </c>
      <c r="G116" s="47" t="str">
        <f>ORÇAMENTO!E327</f>
        <v>M³</v>
      </c>
      <c r="H116" s="47">
        <f>ORÇAMENTO!F327</f>
        <v>1.8630524081730497</v>
      </c>
      <c r="I116" s="47">
        <f>ORÇAMENTO!G327</f>
        <v>62.38</v>
      </c>
      <c r="J116" s="47">
        <f>ORÇAMENTO!H327</f>
        <v>0.2122</v>
      </c>
      <c r="K116" s="47">
        <f>ORÇAMENTO!I327</f>
        <v>75.62</v>
      </c>
      <c r="L116" s="49">
        <f>ORÇAMENTO!J327</f>
        <v>140.88</v>
      </c>
      <c r="N116" s="29" t="str">
        <f t="shared" si="11"/>
        <v>OK!</v>
      </c>
      <c r="O116" s="29" t="str">
        <f t="shared" si="12"/>
        <v>OK!</v>
      </c>
      <c r="P116" s="29" t="str">
        <f t="shared" si="13"/>
        <v>OK!</v>
      </c>
    </row>
    <row r="117" spans="2:16" x14ac:dyDescent="0.35">
      <c r="B117" s="47">
        <f t="shared" si="10"/>
        <v>34</v>
      </c>
      <c r="C117" s="47" t="str">
        <f>ORÇAMENTO!A107</f>
        <v>4.1.1.3.1</v>
      </c>
      <c r="D117" s="47" t="str">
        <f>ORÇAMENTO!B107</f>
        <v xml:space="preserve"> 1600438 </v>
      </c>
      <c r="E117" s="47" t="str">
        <f>ORÇAMENTO!C107</f>
        <v>SICRO3</v>
      </c>
      <c r="F117" s="48" t="str">
        <f>ORÇAMENTO!D107</f>
        <v>DEMOLIÇÃO MANUAL DE CONCRETO ARMADO</v>
      </c>
      <c r="G117" s="47" t="str">
        <f>ORÇAMENTO!E107</f>
        <v>M³</v>
      </c>
      <c r="H117" s="47">
        <f>ORÇAMENTO!F107</f>
        <v>31.395091843104815</v>
      </c>
      <c r="I117" s="47">
        <f>ORÇAMENTO!G107</f>
        <v>626.30999999999995</v>
      </c>
      <c r="J117" s="47">
        <f>ORÇAMENTO!H107</f>
        <v>0.2122</v>
      </c>
      <c r="K117" s="47">
        <f>ORÇAMENTO!I107</f>
        <v>759.21</v>
      </c>
      <c r="L117" s="49">
        <f>ORÇAMENTO!J107</f>
        <v>23835.46</v>
      </c>
      <c r="N117" s="29" t="str">
        <f t="shared" si="11"/>
        <v>DIFERENTE</v>
      </c>
      <c r="O117" s="29" t="str">
        <f t="shared" si="12"/>
        <v>DIFERENTE</v>
      </c>
      <c r="P117" s="29" t="str">
        <f t="shared" si="13"/>
        <v>DIFERENTE</v>
      </c>
    </row>
    <row r="118" spans="2:16" x14ac:dyDescent="0.35">
      <c r="B118" s="47">
        <f t="shared" si="10"/>
        <v>34</v>
      </c>
      <c r="C118" s="47" t="str">
        <f>ORÇAMENTO!A125</f>
        <v>4.1.1.6.1</v>
      </c>
      <c r="D118" s="47" t="str">
        <f>ORÇAMENTO!B125</f>
        <v xml:space="preserve"> 1600438 </v>
      </c>
      <c r="E118" s="47" t="str">
        <f>ORÇAMENTO!C125</f>
        <v>SICRO3</v>
      </c>
      <c r="F118" s="48" t="str">
        <f>ORÇAMENTO!D125</f>
        <v>DEMOLIÇÃO MANUAL DE CONCRETO ARMADO</v>
      </c>
      <c r="G118" s="47" t="str">
        <f>ORÇAMENTO!E125</f>
        <v>M³</v>
      </c>
      <c r="H118" s="47">
        <f>ORÇAMENTO!F125</f>
        <v>0</v>
      </c>
      <c r="I118" s="47">
        <f>ORÇAMENTO!G125</f>
        <v>626.30999999999995</v>
      </c>
      <c r="J118" s="47">
        <f>ORÇAMENTO!H125</f>
        <v>0.2122</v>
      </c>
      <c r="K118" s="47">
        <f>ORÇAMENTO!I125</f>
        <v>759.21</v>
      </c>
      <c r="L118" s="49">
        <f>ORÇAMENTO!J125</f>
        <v>0</v>
      </c>
      <c r="N118" s="29" t="str">
        <f t="shared" si="11"/>
        <v>OK!</v>
      </c>
      <c r="O118" s="29" t="str">
        <f t="shared" si="12"/>
        <v>OK!</v>
      </c>
      <c r="P118" s="29" t="str">
        <f t="shared" si="13"/>
        <v>OK!</v>
      </c>
    </row>
    <row r="119" spans="2:16" x14ac:dyDescent="0.35">
      <c r="B119" s="47">
        <f t="shared" si="10"/>
        <v>34</v>
      </c>
      <c r="C119" s="47" t="str">
        <f>ORÇAMENTO!A309</f>
        <v>5.1.1.3.1</v>
      </c>
      <c r="D119" s="47" t="str">
        <f>ORÇAMENTO!B309</f>
        <v xml:space="preserve"> 1600438 </v>
      </c>
      <c r="E119" s="47" t="str">
        <f>ORÇAMENTO!C309</f>
        <v>SICRO3</v>
      </c>
      <c r="F119" s="48" t="str">
        <f>ORÇAMENTO!D309</f>
        <v>DEMOLIÇÃO MANUAL DE CONCRETO ARMADO</v>
      </c>
      <c r="G119" s="47" t="str">
        <f>ORÇAMENTO!E309</f>
        <v>M³</v>
      </c>
      <c r="H119" s="47">
        <f>ORÇAMENTO!F309</f>
        <v>96.234305887302895</v>
      </c>
      <c r="I119" s="47">
        <f>ORÇAMENTO!G309</f>
        <v>626.30999999999995</v>
      </c>
      <c r="J119" s="47">
        <f>ORÇAMENTO!H309</f>
        <v>0.2122</v>
      </c>
      <c r="K119" s="47">
        <f>ORÇAMENTO!I309</f>
        <v>759.21</v>
      </c>
      <c r="L119" s="49">
        <f>ORÇAMENTO!J309</f>
        <v>73062.039999999994</v>
      </c>
      <c r="N119" s="29" t="str">
        <f t="shared" si="11"/>
        <v>OK!</v>
      </c>
      <c r="O119" s="29" t="str">
        <f t="shared" si="12"/>
        <v>OK!</v>
      </c>
      <c r="P119" s="29" t="str">
        <f t="shared" si="13"/>
        <v>OK!</v>
      </c>
    </row>
    <row r="120" spans="2:16" ht="43.5" x14ac:dyDescent="0.35">
      <c r="B120" s="47">
        <f t="shared" si="10"/>
        <v>35</v>
      </c>
      <c r="C120" s="47" t="str">
        <f>ORÇAMENTO!A112</f>
        <v>4.1.1.4.1</v>
      </c>
      <c r="D120" s="47" t="str">
        <f>ORÇAMENTO!B112</f>
        <v xml:space="preserve"> 02.01.67 </v>
      </c>
      <c r="E120" s="47" t="str">
        <f>ORÇAMENTO!C112</f>
        <v>EMBASA</v>
      </c>
      <c r="F120" s="48" t="str">
        <f>ORÇAMENTO!D112</f>
        <v>DEMOLICAO MECANICA DE CONCRETO SIMPLES C/ COMPRESSOR E MARTELETE PNEUMATICO INCL. REMOCAO ECARREG. MANUAL DO EXPURGO</v>
      </c>
      <c r="G120" s="47" t="str">
        <f>ORÇAMENTO!E112</f>
        <v>M³</v>
      </c>
      <c r="H120" s="47">
        <f>ORÇAMENTO!F112</f>
        <v>232.3551540509261</v>
      </c>
      <c r="I120" s="47">
        <f>ORÇAMENTO!G112</f>
        <v>310.31</v>
      </c>
      <c r="J120" s="47">
        <f>ORÇAMENTO!H112</f>
        <v>0.2122</v>
      </c>
      <c r="K120" s="47">
        <f>ORÇAMENTO!I112</f>
        <v>376.16</v>
      </c>
      <c r="L120" s="49">
        <f>ORÇAMENTO!J112</f>
        <v>87402.71</v>
      </c>
      <c r="N120" s="29" t="str">
        <f t="shared" si="11"/>
        <v>DIFERENTE</v>
      </c>
      <c r="O120" s="29" t="str">
        <f t="shared" si="12"/>
        <v>DIFERENTE</v>
      </c>
      <c r="P120" s="29" t="str">
        <f t="shared" si="13"/>
        <v>DIFERENTE</v>
      </c>
    </row>
    <row r="121" spans="2:16" ht="43.5" x14ac:dyDescent="0.35">
      <c r="B121" s="47">
        <f t="shared" si="10"/>
        <v>35</v>
      </c>
      <c r="C121" s="47" t="str">
        <f>ORÇAMENTO!A314</f>
        <v>5.1.1.4.1</v>
      </c>
      <c r="D121" s="47" t="str">
        <f>ORÇAMENTO!B314</f>
        <v xml:space="preserve"> 02.01.67 </v>
      </c>
      <c r="E121" s="47" t="str">
        <f>ORÇAMENTO!C314</f>
        <v>EMBASA</v>
      </c>
      <c r="F121" s="48" t="str">
        <f>ORÇAMENTO!D314</f>
        <v>DEMOLICAO MECANICA DE CONCRETO SIMPLES C/ COMPRESSOR E MARTELETE PNEUMATICO INCL. REMOCAO ECARREG. MANUAL DO EXPURGO</v>
      </c>
      <c r="G121" s="47" t="str">
        <f>ORÇAMENTO!E314</f>
        <v>M³</v>
      </c>
      <c r="H121" s="47">
        <f>ORÇAMENTO!F314</f>
        <v>564.46517937007013</v>
      </c>
      <c r="I121" s="47">
        <f>ORÇAMENTO!G314</f>
        <v>310.31</v>
      </c>
      <c r="J121" s="47">
        <f>ORÇAMENTO!H314</f>
        <v>0.2122</v>
      </c>
      <c r="K121" s="47">
        <f>ORÇAMENTO!I314</f>
        <v>376.16</v>
      </c>
      <c r="L121" s="49">
        <f>ORÇAMENTO!J314</f>
        <v>212329.22</v>
      </c>
      <c r="N121" s="29" t="str">
        <f t="shared" si="11"/>
        <v>OK!</v>
      </c>
      <c r="O121" s="29" t="str">
        <f t="shared" si="12"/>
        <v>OK!</v>
      </c>
      <c r="P121" s="29" t="str">
        <f t="shared" si="13"/>
        <v>OK!</v>
      </c>
    </row>
    <row r="122" spans="2:16" ht="29" x14ac:dyDescent="0.35">
      <c r="B122" s="47">
        <f t="shared" si="10"/>
        <v>36</v>
      </c>
      <c r="C122" s="47" t="str">
        <f>ORÇAMENTO!A102</f>
        <v>4.1.1.2.1</v>
      </c>
      <c r="D122" s="47" t="str">
        <f>ORÇAMENTO!B102</f>
        <v xml:space="preserve"> 97636 </v>
      </c>
      <c r="E122" s="47" t="str">
        <f>ORÇAMENTO!C102</f>
        <v>SINAPI</v>
      </c>
      <c r="F122" s="48" t="str">
        <f>ORÇAMENTO!D102</f>
        <v>DEMOLIÇÃO PARCIAL DE PAVIMENTO ASFÁLTICO, DE FORMA MECANIZADA, SEM REAPROVEITAMENTO. AF_09/2023</v>
      </c>
      <c r="G122" s="47" t="str">
        <f>ORÇAMENTO!E102</f>
        <v>M²</v>
      </c>
      <c r="H122" s="47">
        <f>ORÇAMENTO!F102</f>
        <v>2087.2262652722693</v>
      </c>
      <c r="I122" s="47">
        <f>ORÇAMENTO!G102</f>
        <v>22.73</v>
      </c>
      <c r="J122" s="47">
        <f>ORÇAMENTO!H102</f>
        <v>0.2122</v>
      </c>
      <c r="K122" s="47">
        <f>ORÇAMENTO!I102</f>
        <v>27.55</v>
      </c>
      <c r="L122" s="49">
        <f>ORÇAMENTO!J102</f>
        <v>57503.08</v>
      </c>
      <c r="N122" s="29" t="str">
        <f t="shared" si="11"/>
        <v>DIFERENTE</v>
      </c>
      <c r="O122" s="29" t="str">
        <f t="shared" si="12"/>
        <v>DIFERENTE</v>
      </c>
      <c r="P122" s="29" t="str">
        <f t="shared" si="13"/>
        <v>DIFERENTE</v>
      </c>
    </row>
    <row r="123" spans="2:16" ht="29" x14ac:dyDescent="0.35">
      <c r="B123" s="47">
        <f t="shared" si="10"/>
        <v>36</v>
      </c>
      <c r="C123" s="47" t="str">
        <f>ORÇAMENTO!A268</f>
        <v>4.3.2</v>
      </c>
      <c r="D123" s="47" t="str">
        <f>ORÇAMENTO!B268</f>
        <v xml:space="preserve"> 97636 </v>
      </c>
      <c r="E123" s="47" t="str">
        <f>ORÇAMENTO!C268</f>
        <v>SINAPI</v>
      </c>
      <c r="F123" s="48" t="str">
        <f>ORÇAMENTO!D268</f>
        <v>DEMOLIÇÃO PARCIAL DE PAVIMENTO ASFÁLTICO, DE FORMA MECANIZADA, SEM REAPROVEITAMENTO. AF_09/2023</v>
      </c>
      <c r="G123" s="47" t="str">
        <f>ORÇAMENTO!E268</f>
        <v>M²</v>
      </c>
      <c r="H123" s="47">
        <f>ORÇAMENTO!F268</f>
        <v>132.83999999999997</v>
      </c>
      <c r="I123" s="47">
        <f>ORÇAMENTO!G268</f>
        <v>22.73</v>
      </c>
      <c r="J123" s="47">
        <f>ORÇAMENTO!H268</f>
        <v>0.2122</v>
      </c>
      <c r="K123" s="47">
        <f>ORÇAMENTO!I268</f>
        <v>27.55</v>
      </c>
      <c r="L123" s="49">
        <f>ORÇAMENTO!J268</f>
        <v>3659.74</v>
      </c>
      <c r="N123" s="29" t="str">
        <f t="shared" si="11"/>
        <v>OK!</v>
      </c>
      <c r="O123" s="29" t="str">
        <f t="shared" si="12"/>
        <v>OK!</v>
      </c>
      <c r="P123" s="29" t="str">
        <f t="shared" si="13"/>
        <v>OK!</v>
      </c>
    </row>
    <row r="124" spans="2:16" ht="29" x14ac:dyDescent="0.35">
      <c r="B124" s="47">
        <f t="shared" si="10"/>
        <v>36</v>
      </c>
      <c r="C124" s="47" t="str">
        <f>ORÇAMENTO!A304</f>
        <v>5.1.1.2.1</v>
      </c>
      <c r="D124" s="47" t="str">
        <f>ORÇAMENTO!B304</f>
        <v xml:space="preserve"> 97636 </v>
      </c>
      <c r="E124" s="47" t="str">
        <f>ORÇAMENTO!C304</f>
        <v>SINAPI</v>
      </c>
      <c r="F124" s="48" t="str">
        <f>ORÇAMENTO!D304</f>
        <v>DEMOLIÇÃO PARCIAL DE PAVIMENTO ASFÁLTICO, DE FORMA MECANIZADA, SEM REAPROVEITAMENTO. AF_09/2023</v>
      </c>
      <c r="G124" s="47" t="str">
        <f>ORÇAMENTO!E304</f>
        <v>M²</v>
      </c>
      <c r="H124" s="47">
        <f>ORÇAMENTO!F304</f>
        <v>3579.2579999999994</v>
      </c>
      <c r="I124" s="47">
        <f>ORÇAMENTO!G304</f>
        <v>22.73</v>
      </c>
      <c r="J124" s="47">
        <f>ORÇAMENTO!H304</f>
        <v>0.2122</v>
      </c>
      <c r="K124" s="47">
        <f>ORÇAMENTO!I304</f>
        <v>27.55</v>
      </c>
      <c r="L124" s="49">
        <f>ORÇAMENTO!J304</f>
        <v>98608.55</v>
      </c>
      <c r="N124" s="29" t="str">
        <f t="shared" si="11"/>
        <v>OK!</v>
      </c>
      <c r="O124" s="29" t="str">
        <f t="shared" si="12"/>
        <v>OK!</v>
      </c>
      <c r="P124" s="29" t="str">
        <f t="shared" si="13"/>
        <v>OK!</v>
      </c>
    </row>
    <row r="125" spans="2:16" ht="29" x14ac:dyDescent="0.35">
      <c r="B125" s="47">
        <f t="shared" si="10"/>
        <v>36</v>
      </c>
      <c r="C125" s="47" t="str">
        <f>ORÇAMENTO!A529</f>
        <v>5.5.2</v>
      </c>
      <c r="D125" s="47" t="str">
        <f>ORÇAMENTO!B529</f>
        <v xml:space="preserve"> 97636 </v>
      </c>
      <c r="E125" s="47" t="str">
        <f>ORÇAMENTO!C529</f>
        <v>SINAPI</v>
      </c>
      <c r="F125" s="48" t="str">
        <f>ORÇAMENTO!D529</f>
        <v>DEMOLIÇÃO PARCIAL DE PAVIMENTO ASFÁLTICO, DE FORMA MECANIZADA, SEM REAPROVEITAMENTO. AF_09/2023</v>
      </c>
      <c r="G125" s="47" t="str">
        <f>ORÇAMENTO!E529</f>
        <v>M²</v>
      </c>
      <c r="H125" s="47">
        <f>ORÇAMENTO!F529</f>
        <v>213.83999999999995</v>
      </c>
      <c r="I125" s="47">
        <f>ORÇAMENTO!G529</f>
        <v>22.73</v>
      </c>
      <c r="J125" s="47">
        <f>ORÇAMENTO!H529</f>
        <v>0.2122</v>
      </c>
      <c r="K125" s="47">
        <f>ORÇAMENTO!I529</f>
        <v>27.55</v>
      </c>
      <c r="L125" s="49">
        <f>ORÇAMENTO!J529</f>
        <v>5891.29</v>
      </c>
      <c r="N125" s="29" t="str">
        <f t="shared" si="11"/>
        <v>OK!</v>
      </c>
      <c r="O125" s="29" t="str">
        <f t="shared" si="12"/>
        <v>OK!</v>
      </c>
      <c r="P125" s="29" t="str">
        <f t="shared" si="13"/>
        <v>OK!</v>
      </c>
    </row>
    <row r="126" spans="2:16" ht="29" x14ac:dyDescent="0.35">
      <c r="B126" s="47">
        <f t="shared" si="10"/>
        <v>37</v>
      </c>
      <c r="C126" s="47" t="str">
        <f>ORÇAMENTO!A487</f>
        <v>5.2.2</v>
      </c>
      <c r="D126" s="47" t="str">
        <f>ORÇAMENTO!B487</f>
        <v xml:space="preserve"> 072200 </v>
      </c>
      <c r="E126" s="47" t="str">
        <f>ORÇAMENTO!C487</f>
        <v>SIURB INFRA</v>
      </c>
      <c r="F126" s="48" t="str">
        <f>ORÇAMENTO!D487</f>
        <v>DESASSOREAMENTO, LIMPEZA E REMOÇÃO DE MATERIAL DE GALERIA MOLDADA</v>
      </c>
      <c r="G126" s="47" t="str">
        <f>ORÇAMENTO!E487</f>
        <v>M³</v>
      </c>
      <c r="H126" s="47">
        <f>ORÇAMENTO!F487</f>
        <v>12.83</v>
      </c>
      <c r="I126" s="47">
        <f>ORÇAMENTO!G487</f>
        <v>223.83</v>
      </c>
      <c r="J126" s="47">
        <f>ORÇAMENTO!H487</f>
        <v>0.2122</v>
      </c>
      <c r="K126" s="47">
        <f>ORÇAMENTO!I487</f>
        <v>271.33</v>
      </c>
      <c r="L126" s="49">
        <f>ORÇAMENTO!J487</f>
        <v>3481.16</v>
      </c>
      <c r="N126" s="29" t="str">
        <f t="shared" si="11"/>
        <v>DIFERENTE</v>
      </c>
      <c r="O126" s="29" t="str">
        <f t="shared" si="12"/>
        <v>DIFERENTE</v>
      </c>
      <c r="P126" s="29" t="str">
        <f t="shared" si="13"/>
        <v>DIFERENTE</v>
      </c>
    </row>
    <row r="127" spans="2:16" x14ac:dyDescent="0.35">
      <c r="B127" s="47">
        <f t="shared" si="10"/>
        <v>38</v>
      </c>
      <c r="C127" s="47" t="str">
        <f>ORÇAMENTO!A262</f>
        <v>4.2.1.1</v>
      </c>
      <c r="D127" s="47" t="str">
        <f>ORÇAMENTO!B262</f>
        <v xml:space="preserve"> 9068 </v>
      </c>
      <c r="E127" s="47" t="str">
        <f>ORÇAMENTO!C262</f>
        <v>ORSE</v>
      </c>
      <c r="F127" s="48" t="str">
        <f>ORÇAMENTO!D262</f>
        <v>DESOBSTRUÇÃO E LIMPEZA DE BOCA-DE-LOBO</v>
      </c>
      <c r="G127" s="47" t="str">
        <f>ORÇAMENTO!E262</f>
        <v>UN</v>
      </c>
      <c r="H127" s="47">
        <f>ORÇAMENTO!F262</f>
        <v>124</v>
      </c>
      <c r="I127" s="47">
        <f>ORÇAMENTO!G262</f>
        <v>35.1</v>
      </c>
      <c r="J127" s="47">
        <f>ORÇAMENTO!H262</f>
        <v>0.2122</v>
      </c>
      <c r="K127" s="47">
        <f>ORÇAMENTO!I262</f>
        <v>42.55</v>
      </c>
      <c r="L127" s="49">
        <f>ORÇAMENTO!J262</f>
        <v>5276.2</v>
      </c>
      <c r="N127" s="29" t="str">
        <f t="shared" si="11"/>
        <v>DIFERENTE</v>
      </c>
      <c r="O127" s="29" t="str">
        <f t="shared" si="12"/>
        <v>DIFERENTE</v>
      </c>
      <c r="P127" s="29" t="str">
        <f t="shared" si="13"/>
        <v>DIFERENTE</v>
      </c>
    </row>
    <row r="128" spans="2:16" x14ac:dyDescent="0.35">
      <c r="B128" s="47">
        <f t="shared" si="10"/>
        <v>38</v>
      </c>
      <c r="C128" s="47" t="str">
        <f>ORÇAMENTO!A490</f>
        <v>5.3.1.1</v>
      </c>
      <c r="D128" s="47" t="str">
        <f>ORÇAMENTO!B490</f>
        <v xml:space="preserve"> 9068 </v>
      </c>
      <c r="E128" s="47" t="str">
        <f>ORÇAMENTO!C490</f>
        <v>ORSE</v>
      </c>
      <c r="F128" s="48" t="str">
        <f>ORÇAMENTO!D490</f>
        <v>DESOBSTRUÇÃO E LIMPEZA DE BOCA-DE-LOBO</v>
      </c>
      <c r="G128" s="47" t="str">
        <f>ORÇAMENTO!E490</f>
        <v>UN</v>
      </c>
      <c r="H128" s="47">
        <f>ORÇAMENTO!F490</f>
        <v>164</v>
      </c>
      <c r="I128" s="47">
        <f>ORÇAMENTO!G490</f>
        <v>35.1</v>
      </c>
      <c r="J128" s="47">
        <f>ORÇAMENTO!H490</f>
        <v>0.2122</v>
      </c>
      <c r="K128" s="47">
        <f>ORÇAMENTO!I490</f>
        <v>42.55</v>
      </c>
      <c r="L128" s="49">
        <f>ORÇAMENTO!J490</f>
        <v>6978.2</v>
      </c>
      <c r="N128" s="29" t="str">
        <f t="shared" si="11"/>
        <v>OK!</v>
      </c>
      <c r="O128" s="29" t="str">
        <f t="shared" si="12"/>
        <v>OK!</v>
      </c>
      <c r="P128" s="29" t="str">
        <f t="shared" si="13"/>
        <v>OK!</v>
      </c>
    </row>
    <row r="129" spans="2:16" ht="29" x14ac:dyDescent="0.35">
      <c r="B129" s="47">
        <f t="shared" si="10"/>
        <v>39</v>
      </c>
      <c r="C129" s="47" t="str">
        <f>ORÇAMENTO!A136</f>
        <v>4.1.1.8.1</v>
      </c>
      <c r="D129" s="47" t="str">
        <f>ORÇAMENTO!B136</f>
        <v xml:space="preserve"> 96.01.04 M </v>
      </c>
      <c r="E129" s="47" t="str">
        <f>ORÇAMENTO!C136</f>
        <v>PRÓPRIO</v>
      </c>
      <c r="F129" s="48" t="str">
        <f>ORÇAMENTO!D136</f>
        <v>DETERMINAÇÃO DA DENSIDADE IN SITU DAS MISTURAS ASFÁLTICAS COMPACTADAS (DNIT 431/2020-ME)</v>
      </c>
      <c r="G129" s="47" t="str">
        <f>ORÇAMENTO!E136</f>
        <v>UN</v>
      </c>
      <c r="H129" s="47">
        <f>ORÇAMENTO!F136</f>
        <v>8</v>
      </c>
      <c r="I129" s="47">
        <f>ORÇAMENTO!G136</f>
        <v>119.76</v>
      </c>
      <c r="J129" s="47">
        <f>ORÇAMENTO!H136</f>
        <v>0.111</v>
      </c>
      <c r="K129" s="47">
        <f>ORÇAMENTO!I136</f>
        <v>133.05000000000001</v>
      </c>
      <c r="L129" s="49">
        <f>ORÇAMENTO!J136</f>
        <v>1064.4000000000001</v>
      </c>
      <c r="N129" s="29" t="str">
        <f t="shared" si="11"/>
        <v>DIFERENTE</v>
      </c>
      <c r="O129" s="29" t="str">
        <f t="shared" si="12"/>
        <v>DIFERENTE</v>
      </c>
      <c r="P129" s="29" t="str">
        <f t="shared" si="13"/>
        <v>DIFERENTE</v>
      </c>
    </row>
    <row r="130" spans="2:16" ht="29" x14ac:dyDescent="0.35">
      <c r="B130" s="47">
        <f t="shared" si="10"/>
        <v>39</v>
      </c>
      <c r="C130" s="47" t="str">
        <f>ORÇAMENTO!A332</f>
        <v>5.1.1.7.1</v>
      </c>
      <c r="D130" s="47" t="str">
        <f>ORÇAMENTO!B332</f>
        <v xml:space="preserve"> 96.01.04 M </v>
      </c>
      <c r="E130" s="47" t="str">
        <f>ORÇAMENTO!C332</f>
        <v>PRÓPRIO</v>
      </c>
      <c r="F130" s="48" t="str">
        <f>ORÇAMENTO!D332</f>
        <v>DETERMINAÇÃO DA DENSIDADE IN SITU DAS MISTURAS ASFÁLTICAS COMPACTADAS (DNIT 431/2020-ME)</v>
      </c>
      <c r="G130" s="47" t="str">
        <f>ORÇAMENTO!E332</f>
        <v>UN</v>
      </c>
      <c r="H130" s="47">
        <f>ORÇAMENTO!F332</f>
        <v>27</v>
      </c>
      <c r="I130" s="47">
        <f>ORÇAMENTO!G332</f>
        <v>119.76</v>
      </c>
      <c r="J130" s="47">
        <f>ORÇAMENTO!H332</f>
        <v>0.111</v>
      </c>
      <c r="K130" s="47">
        <f>ORÇAMENTO!I332</f>
        <v>133.05000000000001</v>
      </c>
      <c r="L130" s="49">
        <f>ORÇAMENTO!J332</f>
        <v>3592.35</v>
      </c>
      <c r="N130" s="29" t="str">
        <f t="shared" ref="N130:N147" si="14">IF(F130=F129,IF(G130=G129,"OK!","ERRADO"),"DIFERENTE")</f>
        <v>OK!</v>
      </c>
      <c r="O130" s="29" t="str">
        <f t="shared" ref="O130:O147" si="15">IF(F130=F129,IF(I130=I129,"OK!","ERRADO"),"DIFERENTE")</f>
        <v>OK!</v>
      </c>
      <c r="P130" s="29" t="str">
        <f t="shared" ref="P130:P147" si="16">IF(F130=F129,IF(D130=D129,"OK!","ERRADO"),"DIFERENTE")</f>
        <v>OK!</v>
      </c>
    </row>
    <row r="131" spans="2:16" x14ac:dyDescent="0.35">
      <c r="B131" s="47">
        <f t="shared" si="10"/>
        <v>40</v>
      </c>
      <c r="C131" s="47" t="str">
        <f>ORÇAMENTO!A172</f>
        <v>4.1.2.4.6</v>
      </c>
      <c r="D131" s="47" t="str">
        <f>ORÇAMENTO!B172</f>
        <v xml:space="preserve"> ANP-RR-1C </v>
      </c>
      <c r="E131" s="47" t="str">
        <f>ORÇAMENTO!C172</f>
        <v>PRÓPRIO</v>
      </c>
      <c r="F131" s="48" t="str">
        <f>ORÇAMENTO!D172</f>
        <v>EMULSÃO ASFÁLTICA - RR-1C - FORNECIMENTO E TRANSPORTE</v>
      </c>
      <c r="G131" s="47" t="str">
        <f>ORÇAMENTO!E172</f>
        <v>T</v>
      </c>
      <c r="H131" s="47">
        <f>ORÇAMENTO!F172</f>
        <v>0.7</v>
      </c>
      <c r="I131" s="47">
        <f>ORÇAMENTO!G172</f>
        <v>4033.08</v>
      </c>
      <c r="J131" s="47">
        <f>ORÇAMENTO!H172</f>
        <v>0.111</v>
      </c>
      <c r="K131" s="47">
        <f>ORÇAMENTO!I172</f>
        <v>4480.75</v>
      </c>
      <c r="L131" s="49">
        <f>ORÇAMENTO!J172</f>
        <v>3136.52</v>
      </c>
      <c r="N131" s="29" t="str">
        <f t="shared" si="14"/>
        <v>DIFERENTE</v>
      </c>
      <c r="O131" s="29" t="str">
        <f t="shared" si="15"/>
        <v>DIFERENTE</v>
      </c>
      <c r="P131" s="29" t="str">
        <f t="shared" si="16"/>
        <v>DIFERENTE</v>
      </c>
    </row>
    <row r="132" spans="2:16" x14ac:dyDescent="0.35">
      <c r="B132" s="47">
        <f t="shared" ref="B132:B195" si="17">IF(EXACT(F131,F132),B131,B131+1)</f>
        <v>40</v>
      </c>
      <c r="C132" s="47" t="str">
        <f>ORÇAMENTO!A224</f>
        <v>4.1.2.6.26</v>
      </c>
      <c r="D132" s="47" t="str">
        <f>ORÇAMENTO!B224</f>
        <v xml:space="preserve"> ANP-RR-1C </v>
      </c>
      <c r="E132" s="47" t="str">
        <f>ORÇAMENTO!C224</f>
        <v>PRÓPRIO</v>
      </c>
      <c r="F132" s="48" t="str">
        <f>ORÇAMENTO!D224</f>
        <v>EMULSÃO ASFÁLTICA - RR-1C - FORNECIMENTO E TRANSPORTE</v>
      </c>
      <c r="G132" s="47" t="str">
        <f>ORÇAMENTO!E224</f>
        <v>T</v>
      </c>
      <c r="H132" s="47">
        <f>ORÇAMENTO!F224</f>
        <v>0.19</v>
      </c>
      <c r="I132" s="47">
        <f>ORÇAMENTO!G224</f>
        <v>4033.08</v>
      </c>
      <c r="J132" s="47">
        <f>ORÇAMENTO!H224</f>
        <v>0.111</v>
      </c>
      <c r="K132" s="47">
        <f>ORÇAMENTO!I224</f>
        <v>4480.75</v>
      </c>
      <c r="L132" s="49">
        <f>ORÇAMENTO!J224</f>
        <v>851.34</v>
      </c>
      <c r="N132" s="29" t="str">
        <f t="shared" si="14"/>
        <v>OK!</v>
      </c>
      <c r="O132" s="29" t="str">
        <f t="shared" si="15"/>
        <v>OK!</v>
      </c>
      <c r="P132" s="29" t="str">
        <f t="shared" si="16"/>
        <v>OK!</v>
      </c>
    </row>
    <row r="133" spans="2:16" x14ac:dyDescent="0.35">
      <c r="B133" s="47">
        <f t="shared" si="17"/>
        <v>40</v>
      </c>
      <c r="C133" s="47" t="str">
        <f>ORÇAMENTO!A285</f>
        <v>4.3.19</v>
      </c>
      <c r="D133" s="47" t="str">
        <f>ORÇAMENTO!B285</f>
        <v xml:space="preserve"> ANP-RR-1C </v>
      </c>
      <c r="E133" s="47" t="str">
        <f>ORÇAMENTO!C285</f>
        <v>PRÓPRIO</v>
      </c>
      <c r="F133" s="48" t="str">
        <f>ORÇAMENTO!D285</f>
        <v>EMULSÃO ASFÁLTICA - RR-1C - FORNECIMENTO E TRANSPORTE</v>
      </c>
      <c r="G133" s="47" t="str">
        <f>ORÇAMENTO!E285</f>
        <v>T</v>
      </c>
      <c r="H133" s="47">
        <f>ORÇAMENTO!F285</f>
        <v>5.4561385398714128E-2</v>
      </c>
      <c r="I133" s="47">
        <f>ORÇAMENTO!G285</f>
        <v>4033.08</v>
      </c>
      <c r="J133" s="47">
        <f>ORÇAMENTO!H285</f>
        <v>0.111</v>
      </c>
      <c r="K133" s="47">
        <f>ORÇAMENTO!I285</f>
        <v>4480.75</v>
      </c>
      <c r="L133" s="49">
        <f>ORÇAMENTO!J285</f>
        <v>244.47</v>
      </c>
      <c r="N133" s="29" t="str">
        <f t="shared" si="14"/>
        <v>OK!</v>
      </c>
      <c r="O133" s="29" t="str">
        <f t="shared" si="15"/>
        <v>OK!</v>
      </c>
      <c r="P133" s="29" t="str">
        <f t="shared" si="16"/>
        <v>OK!</v>
      </c>
    </row>
    <row r="134" spans="2:16" x14ac:dyDescent="0.35">
      <c r="B134" s="47">
        <f t="shared" si="17"/>
        <v>40</v>
      </c>
      <c r="C134" s="47" t="str">
        <f>ORÇAMENTO!A371</f>
        <v>5.1.2.4.6</v>
      </c>
      <c r="D134" s="47" t="str">
        <f>ORÇAMENTO!B371</f>
        <v xml:space="preserve"> ANP-RR-1C </v>
      </c>
      <c r="E134" s="47" t="str">
        <f>ORÇAMENTO!C371</f>
        <v>PRÓPRIO</v>
      </c>
      <c r="F134" s="48" t="str">
        <f>ORÇAMENTO!D371</f>
        <v>EMULSÃO ASFÁLTICA - RR-1C - FORNECIMENTO E TRANSPORTE</v>
      </c>
      <c r="G134" s="47" t="str">
        <f>ORÇAMENTO!E371</f>
        <v>T</v>
      </c>
      <c r="H134" s="47">
        <f>ORÇAMENTO!F371</f>
        <v>1.1299999999999999</v>
      </c>
      <c r="I134" s="47">
        <f>ORÇAMENTO!G371</f>
        <v>4033.08</v>
      </c>
      <c r="J134" s="47">
        <f>ORÇAMENTO!H371</f>
        <v>0.111</v>
      </c>
      <c r="K134" s="47">
        <f>ORÇAMENTO!I371</f>
        <v>4480.75</v>
      </c>
      <c r="L134" s="49">
        <f>ORÇAMENTO!J371</f>
        <v>5063.24</v>
      </c>
      <c r="N134" s="29" t="str">
        <f t="shared" si="14"/>
        <v>OK!</v>
      </c>
      <c r="O134" s="29" t="str">
        <f t="shared" si="15"/>
        <v>OK!</v>
      </c>
      <c r="P134" s="29" t="str">
        <f t="shared" si="16"/>
        <v>OK!</v>
      </c>
    </row>
    <row r="135" spans="2:16" x14ac:dyDescent="0.35">
      <c r="B135" s="47">
        <f t="shared" si="17"/>
        <v>40</v>
      </c>
      <c r="C135" s="47" t="str">
        <f>ORÇAMENTO!A434</f>
        <v>5.1.2.7.26</v>
      </c>
      <c r="D135" s="47" t="str">
        <f>ORÇAMENTO!B434</f>
        <v xml:space="preserve"> ANP-RR-1C </v>
      </c>
      <c r="E135" s="47" t="str">
        <f>ORÇAMENTO!C434</f>
        <v>PRÓPRIO</v>
      </c>
      <c r="F135" s="48" t="str">
        <f>ORÇAMENTO!D434</f>
        <v>EMULSÃO ASFÁLTICA - RR-1C - FORNECIMENTO E TRANSPORTE</v>
      </c>
      <c r="G135" s="47" t="str">
        <f>ORÇAMENTO!E434</f>
        <v>T</v>
      </c>
      <c r="H135" s="47">
        <f>ORÇAMENTO!F434</f>
        <v>0.37</v>
      </c>
      <c r="I135" s="47">
        <f>ORÇAMENTO!G434</f>
        <v>4033.08</v>
      </c>
      <c r="J135" s="47">
        <f>ORÇAMENTO!H434</f>
        <v>0.111</v>
      </c>
      <c r="K135" s="47">
        <f>ORÇAMENTO!I434</f>
        <v>4480.75</v>
      </c>
      <c r="L135" s="49">
        <f>ORÇAMENTO!J434</f>
        <v>1657.87</v>
      </c>
      <c r="N135" s="29" t="str">
        <f t="shared" si="14"/>
        <v>OK!</v>
      </c>
      <c r="O135" s="29" t="str">
        <f t="shared" si="15"/>
        <v>OK!</v>
      </c>
      <c r="P135" s="29" t="str">
        <f t="shared" si="16"/>
        <v>OK!</v>
      </c>
    </row>
    <row r="136" spans="2:16" x14ac:dyDescent="0.35">
      <c r="B136" s="47">
        <f t="shared" si="17"/>
        <v>40</v>
      </c>
      <c r="C136" s="47" t="str">
        <f>ORÇAMENTO!A519</f>
        <v>5.4.4.11</v>
      </c>
      <c r="D136" s="47" t="str">
        <f>ORÇAMENTO!B519</f>
        <v xml:space="preserve"> ANP-RR-1C </v>
      </c>
      <c r="E136" s="47" t="str">
        <f>ORÇAMENTO!C519</f>
        <v>PRÓPRIO</v>
      </c>
      <c r="F136" s="48" t="str">
        <f>ORÇAMENTO!D519</f>
        <v>EMULSÃO ASFÁLTICA - RR-1C - FORNECIMENTO E TRANSPORTE</v>
      </c>
      <c r="G136" s="47" t="str">
        <f>ORÇAMENTO!E519</f>
        <v>T</v>
      </c>
      <c r="H136" s="47">
        <f>ORÇAMENTO!F519</f>
        <v>4.1070000000000002</v>
      </c>
      <c r="I136" s="47">
        <f>ORÇAMENTO!G519</f>
        <v>4033.08</v>
      </c>
      <c r="J136" s="47">
        <f>ORÇAMENTO!H519</f>
        <v>0.111</v>
      </c>
      <c r="K136" s="47">
        <f>ORÇAMENTO!I519</f>
        <v>4480.75</v>
      </c>
      <c r="L136" s="49">
        <f>ORÇAMENTO!J519</f>
        <v>18402.439999999999</v>
      </c>
      <c r="N136" s="29" t="str">
        <f t="shared" si="14"/>
        <v>OK!</v>
      </c>
      <c r="O136" s="29" t="str">
        <f t="shared" si="15"/>
        <v>OK!</v>
      </c>
      <c r="P136" s="29" t="str">
        <f t="shared" si="16"/>
        <v>OK!</v>
      </c>
    </row>
    <row r="137" spans="2:16" x14ac:dyDescent="0.35">
      <c r="B137" s="47">
        <f t="shared" si="17"/>
        <v>40</v>
      </c>
      <c r="C137" s="47" t="str">
        <f>ORÇAMENTO!A547</f>
        <v>5.5.20</v>
      </c>
      <c r="D137" s="47" t="str">
        <f>ORÇAMENTO!B547</f>
        <v xml:space="preserve"> ANP-RR-1C </v>
      </c>
      <c r="E137" s="47" t="str">
        <f>ORÇAMENTO!C547</f>
        <v>PRÓPRIO</v>
      </c>
      <c r="F137" s="48" t="str">
        <f>ORÇAMENTO!D547</f>
        <v>EMULSÃO ASFÁLTICA - RR-1C - FORNECIMENTO E TRANSPORTE</v>
      </c>
      <c r="G137" s="47" t="str">
        <f>ORÇAMENTO!E547</f>
        <v>T</v>
      </c>
      <c r="H137" s="47">
        <f>ORÇAMENTO!F547</f>
        <v>8.7830522836954444E-2</v>
      </c>
      <c r="I137" s="47">
        <f>ORÇAMENTO!G547</f>
        <v>4033.08</v>
      </c>
      <c r="J137" s="47">
        <f>ORÇAMENTO!H547</f>
        <v>0.111</v>
      </c>
      <c r="K137" s="47">
        <f>ORÇAMENTO!I547</f>
        <v>4480.75</v>
      </c>
      <c r="L137" s="49">
        <f>ORÇAMENTO!J547</f>
        <v>393.54</v>
      </c>
      <c r="N137" s="29" t="str">
        <f t="shared" si="14"/>
        <v>OK!</v>
      </c>
      <c r="O137" s="29" t="str">
        <f t="shared" si="15"/>
        <v>OK!</v>
      </c>
      <c r="P137" s="29" t="str">
        <f t="shared" si="16"/>
        <v>OK!</v>
      </c>
    </row>
    <row r="138" spans="2:16" x14ac:dyDescent="0.35">
      <c r="B138" s="47">
        <f t="shared" si="17"/>
        <v>41</v>
      </c>
      <c r="C138" s="47" t="str">
        <f>ORÇAMENTO!A174</f>
        <v>4.1.2.4.8</v>
      </c>
      <c r="D138" s="47" t="str">
        <f>ORÇAMENTO!B174</f>
        <v xml:space="preserve"> ANP-EMU </v>
      </c>
      <c r="E138" s="47" t="str">
        <f>ORÇAMENTO!C174</f>
        <v>PRÓPRIO</v>
      </c>
      <c r="F138" s="48" t="str">
        <f>ORÇAMENTO!D174</f>
        <v>EMULSÃO ASFÁLTICA PARA IMPRIMAÇÃO - FORNECIMENTO E TRANSPORTE</v>
      </c>
      <c r="G138" s="47" t="str">
        <f>ORÇAMENTO!E174</f>
        <v>T</v>
      </c>
      <c r="H138" s="47">
        <f>ORÇAMENTO!F174</f>
        <v>2.0299999999999998</v>
      </c>
      <c r="I138" s="47">
        <f>ORÇAMENTO!G174</f>
        <v>4291.21</v>
      </c>
      <c r="J138" s="47">
        <f>ORÇAMENTO!H174</f>
        <v>0.111</v>
      </c>
      <c r="K138" s="47">
        <f>ORÇAMENTO!I174</f>
        <v>4767.53</v>
      </c>
      <c r="L138" s="49">
        <f>ORÇAMENTO!J174</f>
        <v>9678.08</v>
      </c>
      <c r="N138" s="29" t="str">
        <f t="shared" si="14"/>
        <v>DIFERENTE</v>
      </c>
      <c r="O138" s="29" t="str">
        <f t="shared" si="15"/>
        <v>DIFERENTE</v>
      </c>
      <c r="P138" s="29" t="str">
        <f t="shared" si="16"/>
        <v>DIFERENTE</v>
      </c>
    </row>
    <row r="139" spans="2:16" x14ac:dyDescent="0.35">
      <c r="B139" s="47">
        <f t="shared" si="17"/>
        <v>41</v>
      </c>
      <c r="C139" s="47" t="str">
        <f>ORÇAMENTO!A226</f>
        <v>4.1.2.6.28</v>
      </c>
      <c r="D139" s="47" t="str">
        <f>ORÇAMENTO!B226</f>
        <v xml:space="preserve"> ANP-EMU </v>
      </c>
      <c r="E139" s="47" t="str">
        <f>ORÇAMENTO!C226</f>
        <v>PRÓPRIO</v>
      </c>
      <c r="F139" s="48" t="str">
        <f>ORÇAMENTO!D226</f>
        <v>EMULSÃO ASFÁLTICA PARA IMPRIMAÇÃO - FORNECIMENTO E TRANSPORTE</v>
      </c>
      <c r="G139" s="47" t="str">
        <f>ORÇAMENTO!E226</f>
        <v>T</v>
      </c>
      <c r="H139" s="47">
        <f>ORÇAMENTO!F226</f>
        <v>0.56000000000000005</v>
      </c>
      <c r="I139" s="47">
        <f>ORÇAMENTO!G226</f>
        <v>4291.21</v>
      </c>
      <c r="J139" s="47">
        <f>ORÇAMENTO!H226</f>
        <v>0.111</v>
      </c>
      <c r="K139" s="47">
        <f>ORÇAMENTO!I226</f>
        <v>4767.53</v>
      </c>
      <c r="L139" s="49">
        <f>ORÇAMENTO!J226</f>
        <v>2669.81</v>
      </c>
      <c r="N139" s="29" t="str">
        <f t="shared" si="14"/>
        <v>OK!</v>
      </c>
      <c r="O139" s="29" t="str">
        <f t="shared" si="15"/>
        <v>OK!</v>
      </c>
      <c r="P139" s="29" t="str">
        <f t="shared" si="16"/>
        <v>OK!</v>
      </c>
    </row>
    <row r="140" spans="2:16" x14ac:dyDescent="0.35">
      <c r="B140" s="47">
        <f t="shared" si="17"/>
        <v>41</v>
      </c>
      <c r="C140" s="47" t="str">
        <f>ORÇAMENTO!A286</f>
        <v>4.3.20</v>
      </c>
      <c r="D140" s="47" t="str">
        <f>ORÇAMENTO!B286</f>
        <v xml:space="preserve"> ANP-EMU </v>
      </c>
      <c r="E140" s="47" t="str">
        <f>ORÇAMENTO!C286</f>
        <v>PRÓPRIO</v>
      </c>
      <c r="F140" s="48" t="str">
        <f>ORÇAMENTO!D286</f>
        <v>EMULSÃO ASFÁLTICA PARA IMPRIMAÇÃO - FORNECIMENTO E TRANSPORTE</v>
      </c>
      <c r="G140" s="47" t="str">
        <f>ORÇAMENTO!E286</f>
        <v>T</v>
      </c>
      <c r="H140" s="47">
        <f>ORÇAMENTO!F286</f>
        <v>0.15762178004072974</v>
      </c>
      <c r="I140" s="47">
        <f>ORÇAMENTO!G286</f>
        <v>4291.21</v>
      </c>
      <c r="J140" s="47">
        <f>ORÇAMENTO!H286</f>
        <v>0.111</v>
      </c>
      <c r="K140" s="47">
        <f>ORÇAMENTO!I286</f>
        <v>4767.53</v>
      </c>
      <c r="L140" s="49">
        <f>ORÇAMENTO!J286</f>
        <v>751.46</v>
      </c>
      <c r="N140" s="29" t="str">
        <f t="shared" si="14"/>
        <v>OK!</v>
      </c>
      <c r="O140" s="29" t="str">
        <f t="shared" si="15"/>
        <v>OK!</v>
      </c>
      <c r="P140" s="29" t="str">
        <f t="shared" si="16"/>
        <v>OK!</v>
      </c>
    </row>
    <row r="141" spans="2:16" x14ac:dyDescent="0.35">
      <c r="B141" s="47">
        <f t="shared" si="17"/>
        <v>41</v>
      </c>
      <c r="C141" s="47" t="str">
        <f>ORÇAMENTO!A373</f>
        <v>5.1.2.4.8</v>
      </c>
      <c r="D141" s="47" t="str">
        <f>ORÇAMENTO!B373</f>
        <v xml:space="preserve"> ANP-EMU </v>
      </c>
      <c r="E141" s="47" t="str">
        <f>ORÇAMENTO!C373</f>
        <v>PRÓPRIO</v>
      </c>
      <c r="F141" s="48" t="str">
        <f>ORÇAMENTO!D373</f>
        <v>EMULSÃO ASFÁLTICA PARA IMPRIMAÇÃO - FORNECIMENTO E TRANSPORTE</v>
      </c>
      <c r="G141" s="47" t="str">
        <f>ORÇAMENTO!E373</f>
        <v>T</v>
      </c>
      <c r="H141" s="47">
        <f>ORÇAMENTO!F373</f>
        <v>3.26</v>
      </c>
      <c r="I141" s="47">
        <f>ORÇAMENTO!G373</f>
        <v>4291.21</v>
      </c>
      <c r="J141" s="47">
        <f>ORÇAMENTO!H373</f>
        <v>0.111</v>
      </c>
      <c r="K141" s="47">
        <f>ORÇAMENTO!I373</f>
        <v>4767.53</v>
      </c>
      <c r="L141" s="49">
        <f>ORÇAMENTO!J373</f>
        <v>15542.14</v>
      </c>
      <c r="N141" s="29" t="str">
        <f t="shared" si="14"/>
        <v>OK!</v>
      </c>
      <c r="O141" s="29" t="str">
        <f t="shared" si="15"/>
        <v>OK!</v>
      </c>
      <c r="P141" s="29" t="str">
        <f t="shared" si="16"/>
        <v>OK!</v>
      </c>
    </row>
    <row r="142" spans="2:16" x14ac:dyDescent="0.35">
      <c r="B142" s="47">
        <f t="shared" si="17"/>
        <v>41</v>
      </c>
      <c r="C142" s="47" t="str">
        <f>ORÇAMENTO!A436</f>
        <v>5.1.2.7.28</v>
      </c>
      <c r="D142" s="47" t="str">
        <f>ORÇAMENTO!B436</f>
        <v xml:space="preserve"> ANP-EMU </v>
      </c>
      <c r="E142" s="47" t="str">
        <f>ORÇAMENTO!C436</f>
        <v>PRÓPRIO</v>
      </c>
      <c r="F142" s="48" t="str">
        <f>ORÇAMENTO!D436</f>
        <v>EMULSÃO ASFÁLTICA PARA IMPRIMAÇÃO - FORNECIMENTO E TRANSPORTE</v>
      </c>
      <c r="G142" s="47" t="str">
        <f>ORÇAMENTO!E436</f>
        <v>T</v>
      </c>
      <c r="H142" s="47">
        <f>ORÇAMENTO!F436</f>
        <v>1.08</v>
      </c>
      <c r="I142" s="47">
        <f>ORÇAMENTO!G436</f>
        <v>4291.21</v>
      </c>
      <c r="J142" s="47">
        <f>ORÇAMENTO!H436</f>
        <v>0.111</v>
      </c>
      <c r="K142" s="47">
        <f>ORÇAMENTO!I436</f>
        <v>4767.53</v>
      </c>
      <c r="L142" s="49">
        <f>ORÇAMENTO!J436</f>
        <v>5148.93</v>
      </c>
      <c r="N142" s="29" t="str">
        <f t="shared" si="14"/>
        <v>OK!</v>
      </c>
      <c r="O142" s="29" t="str">
        <f t="shared" si="15"/>
        <v>OK!</v>
      </c>
      <c r="P142" s="29" t="str">
        <f t="shared" si="16"/>
        <v>OK!</v>
      </c>
    </row>
    <row r="143" spans="2:16" x14ac:dyDescent="0.35">
      <c r="B143" s="47">
        <f t="shared" si="17"/>
        <v>41</v>
      </c>
      <c r="C143" s="47" t="str">
        <f>ORÇAMENTO!A520</f>
        <v>5.4.4.12</v>
      </c>
      <c r="D143" s="47" t="str">
        <f>ORÇAMENTO!B520</f>
        <v xml:space="preserve"> ANP-EMU </v>
      </c>
      <c r="E143" s="47" t="str">
        <f>ORÇAMENTO!C520</f>
        <v>PRÓPRIO</v>
      </c>
      <c r="F143" s="48" t="str">
        <f>ORÇAMENTO!D520</f>
        <v>EMULSÃO ASFÁLTICA PARA IMPRIMAÇÃO - FORNECIMENTO E TRANSPORTE</v>
      </c>
      <c r="G143" s="47" t="str">
        <f>ORÇAMENTO!E520</f>
        <v>T</v>
      </c>
      <c r="H143" s="47">
        <f>ORÇAMENTO!F520</f>
        <v>11.864666666666668</v>
      </c>
      <c r="I143" s="47">
        <f>ORÇAMENTO!G520</f>
        <v>4291.21</v>
      </c>
      <c r="J143" s="47">
        <f>ORÇAMENTO!H520</f>
        <v>0.111</v>
      </c>
      <c r="K143" s="47">
        <f>ORÇAMENTO!I520</f>
        <v>4767.53</v>
      </c>
      <c r="L143" s="49">
        <f>ORÇAMENTO!J520</f>
        <v>56565.15</v>
      </c>
      <c r="N143" s="29" t="str">
        <f t="shared" si="14"/>
        <v>OK!</v>
      </c>
      <c r="O143" s="29" t="str">
        <f t="shared" si="15"/>
        <v>OK!</v>
      </c>
      <c r="P143" s="29" t="str">
        <f t="shared" si="16"/>
        <v>OK!</v>
      </c>
    </row>
    <row r="144" spans="2:16" x14ac:dyDescent="0.35">
      <c r="B144" s="47">
        <f t="shared" si="17"/>
        <v>41</v>
      </c>
      <c r="C144" s="47" t="str">
        <f>ORÇAMENTO!A548</f>
        <v>5.5.21</v>
      </c>
      <c r="D144" s="47" t="str">
        <f>ORÇAMENTO!B548</f>
        <v xml:space="preserve"> ANP-EMU </v>
      </c>
      <c r="E144" s="47" t="str">
        <f>ORÇAMENTO!C548</f>
        <v>PRÓPRIO</v>
      </c>
      <c r="F144" s="48" t="str">
        <f>ORÇAMENTO!D548</f>
        <v>EMULSÃO ASFÁLTICA PARA IMPRIMAÇÃO - FORNECIMENTO E TRANSPORTE</v>
      </c>
      <c r="G144" s="47" t="str">
        <f>ORÇAMENTO!E548</f>
        <v>T</v>
      </c>
      <c r="H144" s="47">
        <f>ORÇAMENTO!F548</f>
        <v>0.25373262152897957</v>
      </c>
      <c r="I144" s="47">
        <f>ORÇAMENTO!G548</f>
        <v>4291.21</v>
      </c>
      <c r="J144" s="47">
        <f>ORÇAMENTO!H548</f>
        <v>0.111</v>
      </c>
      <c r="K144" s="47">
        <f>ORÇAMENTO!I548</f>
        <v>4767.53</v>
      </c>
      <c r="L144" s="49">
        <f>ORÇAMENTO!J548</f>
        <v>1209.67</v>
      </c>
      <c r="N144" s="29" t="str">
        <f t="shared" si="14"/>
        <v>OK!</v>
      </c>
      <c r="O144" s="29" t="str">
        <f t="shared" si="15"/>
        <v>OK!</v>
      </c>
      <c r="P144" s="29" t="str">
        <f t="shared" si="16"/>
        <v>OK!</v>
      </c>
    </row>
    <row r="145" spans="2:16" x14ac:dyDescent="0.35">
      <c r="B145" s="47">
        <f t="shared" si="17"/>
        <v>42</v>
      </c>
      <c r="C145" s="47" t="str">
        <f>ORÇAMENTO!A516</f>
        <v>5.4.4.8</v>
      </c>
      <c r="D145" s="47" t="str">
        <f>ORÇAMENTO!B516</f>
        <v xml:space="preserve"> 4413996 </v>
      </c>
      <c r="E145" s="47" t="str">
        <f>ORÇAMENTO!C516</f>
        <v>SICRO3</v>
      </c>
      <c r="F145" s="48" t="str">
        <f>ORÇAMENTO!D516</f>
        <v>ENLEIVAMENTO</v>
      </c>
      <c r="G145" s="47" t="str">
        <f>ORÇAMENTO!E516</f>
        <v>M²</v>
      </c>
      <c r="H145" s="47">
        <f>ORÇAMENTO!F516</f>
        <v>797.18000000000006</v>
      </c>
      <c r="I145" s="47">
        <f>ORÇAMENTO!G516</f>
        <v>10.38</v>
      </c>
      <c r="J145" s="47">
        <f>ORÇAMENTO!H516</f>
        <v>0.2122</v>
      </c>
      <c r="K145" s="47">
        <f>ORÇAMENTO!I516</f>
        <v>12.58</v>
      </c>
      <c r="L145" s="49">
        <f>ORÇAMENTO!J516</f>
        <v>10028.52</v>
      </c>
      <c r="N145" s="29" t="str">
        <f t="shared" si="14"/>
        <v>DIFERENTE</v>
      </c>
      <c r="O145" s="29" t="str">
        <f t="shared" si="15"/>
        <v>DIFERENTE</v>
      </c>
      <c r="P145" s="29" t="str">
        <f t="shared" si="16"/>
        <v>DIFERENTE</v>
      </c>
    </row>
    <row r="146" spans="2:16" x14ac:dyDescent="0.35">
      <c r="B146" s="47">
        <f t="shared" si="17"/>
        <v>43</v>
      </c>
      <c r="C146" s="47" t="str">
        <f>ORÇAMENTO!A137</f>
        <v>4.1.1.8.2</v>
      </c>
      <c r="D146" s="47" t="str">
        <f>ORÇAMENTO!B137</f>
        <v xml:space="preserve"> 01.001.0275-0 </v>
      </c>
      <c r="E146" s="47" t="str">
        <f>ORÇAMENTO!C137</f>
        <v>EMOP</v>
      </c>
      <c r="F146" s="48" t="str">
        <f>ORÇAMENTO!D137</f>
        <v>ENSAIO QUIMICO COMPLETO DE CAL</v>
      </c>
      <c r="G146" s="47" t="str">
        <f>ORÇAMENTO!E137</f>
        <v>UN</v>
      </c>
      <c r="H146" s="47">
        <f>ORÇAMENTO!F137</f>
        <v>8</v>
      </c>
      <c r="I146" s="47">
        <f>ORÇAMENTO!G137</f>
        <v>2241.29</v>
      </c>
      <c r="J146" s="47">
        <f>ORÇAMENTO!H137</f>
        <v>0.2122</v>
      </c>
      <c r="K146" s="47">
        <f>ORÇAMENTO!I137</f>
        <v>2716.89</v>
      </c>
      <c r="L146" s="49">
        <f>ORÇAMENTO!J137</f>
        <v>21735.119999999999</v>
      </c>
      <c r="N146" s="29" t="str">
        <f t="shared" si="14"/>
        <v>DIFERENTE</v>
      </c>
      <c r="O146" s="29" t="str">
        <f t="shared" si="15"/>
        <v>DIFERENTE</v>
      </c>
      <c r="P146" s="29" t="str">
        <f t="shared" si="16"/>
        <v>DIFERENTE</v>
      </c>
    </row>
    <row r="147" spans="2:16" x14ac:dyDescent="0.35">
      <c r="B147" s="47">
        <f t="shared" si="17"/>
        <v>43</v>
      </c>
      <c r="C147" s="47" t="str">
        <f>ORÇAMENTO!A333</f>
        <v>5.1.1.7.2</v>
      </c>
      <c r="D147" s="47" t="str">
        <f>ORÇAMENTO!B333</f>
        <v xml:space="preserve"> 01.001.0275-0 </v>
      </c>
      <c r="E147" s="47" t="str">
        <f>ORÇAMENTO!C333</f>
        <v>EMOP</v>
      </c>
      <c r="F147" s="48" t="str">
        <f>ORÇAMENTO!D333</f>
        <v>ENSAIO QUIMICO COMPLETO DE CAL</v>
      </c>
      <c r="G147" s="47" t="str">
        <f>ORÇAMENTO!E333</f>
        <v>UN</v>
      </c>
      <c r="H147" s="47">
        <f>ORÇAMENTO!F333</f>
        <v>27</v>
      </c>
      <c r="I147" s="47">
        <f>ORÇAMENTO!G333</f>
        <v>2241.29</v>
      </c>
      <c r="J147" s="47">
        <f>ORÇAMENTO!H333</f>
        <v>0.2122</v>
      </c>
      <c r="K147" s="47">
        <f>ORÇAMENTO!I333</f>
        <v>2716.89</v>
      </c>
      <c r="L147" s="49">
        <f>ORÇAMENTO!J333</f>
        <v>73356.03</v>
      </c>
      <c r="N147" s="29" t="str">
        <f t="shared" si="14"/>
        <v>OK!</v>
      </c>
      <c r="O147" s="29" t="str">
        <f t="shared" si="15"/>
        <v>OK!</v>
      </c>
      <c r="P147" s="29" t="str">
        <f t="shared" si="16"/>
        <v>OK!</v>
      </c>
    </row>
    <row r="148" spans="2:16" ht="29" x14ac:dyDescent="0.35">
      <c r="B148" s="47">
        <f t="shared" si="17"/>
        <v>44</v>
      </c>
      <c r="C148" s="47" t="str">
        <f>ORÇAMENTO!A149</f>
        <v>4.1.2.1.10</v>
      </c>
      <c r="D148" s="47" t="str">
        <f>ORÇAMENTO!B149</f>
        <v xml:space="preserve"> C5012 </v>
      </c>
      <c r="E148" s="47" t="str">
        <f>ORÇAMENTO!C149</f>
        <v>SEINFRA</v>
      </c>
      <c r="F148" s="48" t="str">
        <f>ORÇAMENTO!D149</f>
        <v>ESCAVAÇÃO DE VALA EM MATERIAL DE 3ª CATEGORIA COM ESCAVADEIRA E ROMPEDOR HIDRÁULICO DE 1700KG</v>
      </c>
      <c r="G148" s="47" t="str">
        <f>ORÇAMENTO!E149</f>
        <v>M³</v>
      </c>
      <c r="H148" s="47">
        <f>ORÇAMENTO!F149</f>
        <v>1.96</v>
      </c>
      <c r="I148" s="47">
        <f>ORÇAMENTO!G149</f>
        <v>109.28</v>
      </c>
      <c r="J148" s="47">
        <f>ORÇAMENTO!H149</f>
        <v>0.2122</v>
      </c>
      <c r="K148" s="47">
        <f>ORÇAMENTO!I149</f>
        <v>132.47</v>
      </c>
      <c r="L148" s="49">
        <f>ORÇAMENTO!J149</f>
        <v>259.64</v>
      </c>
      <c r="N148" s="29" t="e">
        <f>IF(F148=#REF!,IF(G148=#REF!,"OK!","ERRADO"),"DIFERENTE")</f>
        <v>#REF!</v>
      </c>
      <c r="O148" s="29" t="e">
        <f>IF(F148=#REF!,IF(I148=#REF!,"OK!","ERRADO"),"DIFERENTE")</f>
        <v>#REF!</v>
      </c>
      <c r="P148" s="29" t="e">
        <f>IF(F148=#REF!,IF(D148=#REF!,"OK!","ERRADO"),"DIFERENTE")</f>
        <v>#REF!</v>
      </c>
    </row>
    <row r="149" spans="2:16" ht="29" x14ac:dyDescent="0.35">
      <c r="B149" s="47">
        <f t="shared" si="17"/>
        <v>44</v>
      </c>
      <c r="C149" s="47" t="str">
        <f>ORÇAMENTO!A214</f>
        <v>4.1.2.6.16</v>
      </c>
      <c r="D149" s="47" t="str">
        <f>ORÇAMENTO!B214</f>
        <v xml:space="preserve"> C5012 </v>
      </c>
      <c r="E149" s="47" t="str">
        <f>ORÇAMENTO!C214</f>
        <v>SEINFRA</v>
      </c>
      <c r="F149" s="48" t="str">
        <f>ORÇAMENTO!D214</f>
        <v>ESCAVAÇÃO DE VALA EM MATERIAL DE 3ª CATEGORIA COM ESCAVADEIRA E ROMPEDOR HIDRÁULICO DE 1700KG</v>
      </c>
      <c r="G149" s="47" t="str">
        <f>ORÇAMENTO!E214</f>
        <v>M³</v>
      </c>
      <c r="H149" s="47">
        <f>ORÇAMENTO!F214</f>
        <v>7.26</v>
      </c>
      <c r="I149" s="47">
        <f>ORÇAMENTO!G214</f>
        <v>109.28</v>
      </c>
      <c r="J149" s="47">
        <f>ORÇAMENTO!H214</f>
        <v>0.2122</v>
      </c>
      <c r="K149" s="47">
        <f>ORÇAMENTO!I214</f>
        <v>132.47</v>
      </c>
      <c r="L149" s="107">
        <f>ORÇAMENTO!J214</f>
        <v>961.73</v>
      </c>
      <c r="N149" s="29" t="str">
        <f t="shared" ref="N149:N212" si="18">IF(F149=F148,IF(G149=G148,"OK!","ERRADO"),"DIFERENTE")</f>
        <v>OK!</v>
      </c>
      <c r="O149" s="29" t="str">
        <f t="shared" ref="O149:O212" si="19">IF(F149=F148,IF(I149=I148,"OK!","ERRADO"),"DIFERENTE")</f>
        <v>OK!</v>
      </c>
      <c r="P149" s="29" t="str">
        <f t="shared" ref="P149:P212" si="20">IF(F149=F148,IF(D149=D148,"OK!","ERRADO"),"DIFERENTE")</f>
        <v>OK!</v>
      </c>
    </row>
    <row r="150" spans="2:16" ht="29" x14ac:dyDescent="0.35">
      <c r="B150" s="47">
        <f t="shared" si="17"/>
        <v>44</v>
      </c>
      <c r="C150" s="47" t="str">
        <f>ORÇAMENTO!A348</f>
        <v>5.1.2.1.13</v>
      </c>
      <c r="D150" s="47" t="str">
        <f>ORÇAMENTO!B348</f>
        <v xml:space="preserve"> C5012 </v>
      </c>
      <c r="E150" s="47" t="str">
        <f>ORÇAMENTO!C348</f>
        <v>SEINFRA</v>
      </c>
      <c r="F150" s="48" t="str">
        <f>ORÇAMENTO!D348</f>
        <v>ESCAVAÇÃO DE VALA EM MATERIAL DE 3ª CATEGORIA COM ESCAVADEIRA E ROMPEDOR HIDRÁULICO DE 1700KG</v>
      </c>
      <c r="G150" s="47" t="str">
        <f>ORÇAMENTO!E348</f>
        <v>M³</v>
      </c>
      <c r="H150" s="47">
        <f>ORÇAMENTO!F348</f>
        <v>663.17471063731489</v>
      </c>
      <c r="I150" s="47">
        <f>ORÇAMENTO!G348</f>
        <v>109.28</v>
      </c>
      <c r="J150" s="47">
        <f>ORÇAMENTO!H348</f>
        <v>0.2122</v>
      </c>
      <c r="K150" s="47">
        <f>ORÇAMENTO!I348</f>
        <v>132.47</v>
      </c>
      <c r="L150" s="49">
        <f>ORÇAMENTO!J348</f>
        <v>87850.75</v>
      </c>
      <c r="N150" s="29" t="str">
        <f t="shared" si="18"/>
        <v>OK!</v>
      </c>
      <c r="O150" s="29" t="str">
        <f t="shared" si="19"/>
        <v>OK!</v>
      </c>
      <c r="P150" s="29" t="str">
        <f t="shared" si="20"/>
        <v>OK!</v>
      </c>
    </row>
    <row r="151" spans="2:16" ht="29" x14ac:dyDescent="0.35">
      <c r="B151" s="47">
        <f t="shared" si="17"/>
        <v>44</v>
      </c>
      <c r="C151" s="47" t="str">
        <f>ORÇAMENTO!A424</f>
        <v>5.1.2.7.16</v>
      </c>
      <c r="D151" s="47" t="str">
        <f>ORÇAMENTO!B424</f>
        <v xml:space="preserve"> C5012 </v>
      </c>
      <c r="E151" s="47" t="str">
        <f>ORÇAMENTO!C424</f>
        <v>SEINFRA</v>
      </c>
      <c r="F151" s="48" t="str">
        <f>ORÇAMENTO!D424</f>
        <v>ESCAVAÇÃO DE VALA EM MATERIAL DE 3ª CATEGORIA COM ESCAVADEIRA E ROMPEDOR HIDRÁULICO DE 1700KG</v>
      </c>
      <c r="G151" s="47" t="str">
        <f>ORÇAMENTO!E424</f>
        <v>M³</v>
      </c>
      <c r="H151" s="47">
        <f>ORÇAMENTO!F424</f>
        <v>12.93</v>
      </c>
      <c r="I151" s="47">
        <f>ORÇAMENTO!G424</f>
        <v>109.28</v>
      </c>
      <c r="J151" s="47">
        <f>ORÇAMENTO!H424</f>
        <v>0.2122</v>
      </c>
      <c r="K151" s="47">
        <f>ORÇAMENTO!I424</f>
        <v>132.47</v>
      </c>
      <c r="L151" s="49">
        <f>ORÇAMENTO!J424</f>
        <v>1712.83</v>
      </c>
      <c r="N151" s="29" t="str">
        <f t="shared" si="18"/>
        <v>OK!</v>
      </c>
      <c r="O151" s="29" t="str">
        <f t="shared" si="19"/>
        <v>OK!</v>
      </c>
      <c r="P151" s="29" t="str">
        <f t="shared" si="20"/>
        <v>OK!</v>
      </c>
    </row>
    <row r="152" spans="2:16" ht="43.5" x14ac:dyDescent="0.35">
      <c r="B152" s="47">
        <f t="shared" si="17"/>
        <v>45</v>
      </c>
      <c r="C152" s="47" t="str">
        <f>ORÇAMENTO!A502</f>
        <v>5.4.2.1</v>
      </c>
      <c r="D152" s="47" t="str">
        <f>ORÇAMENTO!B502</f>
        <v xml:space="preserve"> 101146 </v>
      </c>
      <c r="E152" s="47" t="str">
        <f>ORÇAMENTO!C502</f>
        <v>SINAPI</v>
      </c>
      <c r="F152" s="48" t="str">
        <f>ORÇAMENTO!D502</f>
        <v>ESCAVAÇÃO HORIZONTAL, INCLUINDO CARGA, DESCARGA E TRANSPORTE EM SOLO DE 1A CATEGORIA COM TRATOR DE ESTEIRAS (170HP/LÂMINA: 5,20M3) E CAMINHÃO BASCULANTE DE 14M3, DMT ATÉ 200M. AF_07/2020</v>
      </c>
      <c r="G152" s="47" t="str">
        <f>ORÇAMENTO!E502</f>
        <v>M³</v>
      </c>
      <c r="H152" s="47">
        <f>ORÇAMENTO!F502</f>
        <v>7228.76</v>
      </c>
      <c r="I152" s="47">
        <f>ORÇAMENTO!G502</f>
        <v>13.23</v>
      </c>
      <c r="J152" s="47">
        <f>ORÇAMENTO!H502</f>
        <v>0.2122</v>
      </c>
      <c r="K152" s="47">
        <f>ORÇAMENTO!I502</f>
        <v>16.04</v>
      </c>
      <c r="L152" s="49">
        <f>ORÇAMENTO!J502</f>
        <v>115949.31</v>
      </c>
      <c r="N152" s="29" t="str">
        <f t="shared" si="18"/>
        <v>DIFERENTE</v>
      </c>
      <c r="O152" s="29" t="str">
        <f t="shared" si="19"/>
        <v>DIFERENTE</v>
      </c>
      <c r="P152" s="29" t="str">
        <f t="shared" si="20"/>
        <v>DIFERENTE</v>
      </c>
    </row>
    <row r="153" spans="2:16" ht="58" x14ac:dyDescent="0.35">
      <c r="B153" s="47">
        <f t="shared" si="17"/>
        <v>46</v>
      </c>
      <c r="C153" s="47" t="str">
        <f>ORÇAMENTO!A144</f>
        <v>4.1.2.1.5</v>
      </c>
      <c r="D153" s="47" t="str">
        <f>ORÇAMENTO!B144</f>
        <v xml:space="preserve"> 90082 </v>
      </c>
      <c r="E153" s="47" t="str">
        <f>ORÇAMENTO!C144</f>
        <v>SINAPI</v>
      </c>
      <c r="F153" s="48" t="str">
        <f>ORÇAMENTO!D144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3" s="47" t="str">
        <f>ORÇAMENTO!E144</f>
        <v>M³</v>
      </c>
      <c r="H153" s="47">
        <f>ORÇAMENTO!F144</f>
        <v>698.92244029892299</v>
      </c>
      <c r="I153" s="47">
        <f>ORÇAMENTO!G144</f>
        <v>9.31</v>
      </c>
      <c r="J153" s="47">
        <f>ORÇAMENTO!H144</f>
        <v>0.2122</v>
      </c>
      <c r="K153" s="47">
        <f>ORÇAMENTO!I144</f>
        <v>11.29</v>
      </c>
      <c r="L153" s="49">
        <f>ORÇAMENTO!J144</f>
        <v>7890.83</v>
      </c>
      <c r="N153" s="29" t="str">
        <f t="shared" si="18"/>
        <v>DIFERENTE</v>
      </c>
      <c r="O153" s="29" t="str">
        <f t="shared" si="19"/>
        <v>DIFERENTE</v>
      </c>
      <c r="P153" s="29" t="str">
        <f t="shared" si="20"/>
        <v>DIFERENTE</v>
      </c>
    </row>
    <row r="154" spans="2:16" ht="58" x14ac:dyDescent="0.35">
      <c r="B154" s="47">
        <f t="shared" si="17"/>
        <v>46</v>
      </c>
      <c r="C154" s="47" t="str">
        <f>ORÇAMENTO!A212</f>
        <v>4.1.2.6.14</v>
      </c>
      <c r="D154" s="47" t="str">
        <f>ORÇAMENTO!B212</f>
        <v xml:space="preserve"> 90082 </v>
      </c>
      <c r="E154" s="47" t="str">
        <f>ORÇAMENTO!C212</f>
        <v>SINAPI</v>
      </c>
      <c r="F154" s="48" t="str">
        <f>ORÇAMENTO!D212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4" s="47" t="str">
        <f>ORÇAMENTO!E212</f>
        <v>M³</v>
      </c>
      <c r="H154" s="47">
        <f>ORÇAMENTO!F212</f>
        <v>507.64</v>
      </c>
      <c r="I154" s="47">
        <f>ORÇAMENTO!G212</f>
        <v>9.31</v>
      </c>
      <c r="J154" s="47">
        <f>ORÇAMENTO!H212</f>
        <v>0.2122</v>
      </c>
      <c r="K154" s="47">
        <f>ORÇAMENTO!I212</f>
        <v>11.29</v>
      </c>
      <c r="L154" s="49">
        <f>ORÇAMENTO!J212</f>
        <v>5731.25</v>
      </c>
      <c r="N154" s="29" t="str">
        <f t="shared" si="18"/>
        <v>OK!</v>
      </c>
      <c r="O154" s="29" t="str">
        <f t="shared" si="19"/>
        <v>OK!</v>
      </c>
      <c r="P154" s="29" t="str">
        <f t="shared" si="20"/>
        <v>OK!</v>
      </c>
    </row>
    <row r="155" spans="2:16" ht="58" x14ac:dyDescent="0.35">
      <c r="B155" s="47">
        <f t="shared" si="17"/>
        <v>46</v>
      </c>
      <c r="C155" s="47" t="str">
        <f>ORÇAMENTO!A269</f>
        <v>4.3.3</v>
      </c>
      <c r="D155" s="47" t="str">
        <f>ORÇAMENTO!B269</f>
        <v xml:space="preserve"> 90082 </v>
      </c>
      <c r="E155" s="47" t="str">
        <f>ORÇAMENTO!C269</f>
        <v>SINAPI</v>
      </c>
      <c r="F155" s="48" t="str">
        <f>ORÇAMENTO!D269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5" s="47" t="str">
        <f>ORÇAMENTO!E269</f>
        <v>M³</v>
      </c>
      <c r="H155" s="47">
        <f>ORÇAMENTO!F269</f>
        <v>35.672399999999975</v>
      </c>
      <c r="I155" s="47">
        <f>ORÇAMENTO!G269</f>
        <v>9.31</v>
      </c>
      <c r="J155" s="47">
        <f>ORÇAMENTO!H269</f>
        <v>0.2122</v>
      </c>
      <c r="K155" s="47">
        <f>ORÇAMENTO!I269</f>
        <v>11.29</v>
      </c>
      <c r="L155" s="49">
        <f>ORÇAMENTO!J269</f>
        <v>402.74</v>
      </c>
      <c r="N155" s="29" t="str">
        <f t="shared" si="18"/>
        <v>OK!</v>
      </c>
      <c r="O155" s="29" t="str">
        <f t="shared" si="19"/>
        <v>OK!</v>
      </c>
      <c r="P155" s="29" t="str">
        <f t="shared" si="20"/>
        <v>OK!</v>
      </c>
    </row>
    <row r="156" spans="2:16" ht="58" x14ac:dyDescent="0.35">
      <c r="B156" s="47">
        <f t="shared" si="17"/>
        <v>46</v>
      </c>
      <c r="C156" s="47" t="str">
        <f>ORÇAMENTO!A342</f>
        <v>5.1.2.1.7</v>
      </c>
      <c r="D156" s="47" t="str">
        <f>ORÇAMENTO!B342</f>
        <v xml:space="preserve"> 90082 </v>
      </c>
      <c r="E156" s="47" t="str">
        <f>ORÇAMENTO!C342</f>
        <v>SINAPI</v>
      </c>
      <c r="F156" s="48" t="str">
        <f>ORÇAMENTO!D342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6" s="47" t="str">
        <f>ORÇAMENTO!E342</f>
        <v>M³</v>
      </c>
      <c r="H156" s="47">
        <f>ORÇAMENTO!F342</f>
        <v>3442.8075000000008</v>
      </c>
      <c r="I156" s="47">
        <f>ORÇAMENTO!G342</f>
        <v>9.31</v>
      </c>
      <c r="J156" s="47">
        <f>ORÇAMENTO!H342</f>
        <v>0.2122</v>
      </c>
      <c r="K156" s="47">
        <f>ORÇAMENTO!I342</f>
        <v>11.29</v>
      </c>
      <c r="L156" s="107">
        <f>ORÇAMENTO!J342</f>
        <v>38869.29</v>
      </c>
      <c r="N156" s="29" t="str">
        <f t="shared" si="18"/>
        <v>OK!</v>
      </c>
      <c r="O156" s="29" t="str">
        <f t="shared" si="19"/>
        <v>OK!</v>
      </c>
      <c r="P156" s="29" t="str">
        <f t="shared" si="20"/>
        <v>OK!</v>
      </c>
    </row>
    <row r="157" spans="2:16" ht="58" x14ac:dyDescent="0.35">
      <c r="B157" s="47">
        <f t="shared" si="17"/>
        <v>46</v>
      </c>
      <c r="C157" s="47" t="str">
        <f>ORÇAMENTO!A422</f>
        <v>5.1.2.7.14</v>
      </c>
      <c r="D157" s="47" t="str">
        <f>ORÇAMENTO!B422</f>
        <v xml:space="preserve"> 90082 </v>
      </c>
      <c r="E157" s="47" t="str">
        <f>ORÇAMENTO!C422</f>
        <v>SINAPI</v>
      </c>
      <c r="F157" s="48" t="str">
        <f>ORÇAMENTO!D422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7" s="47" t="str">
        <f>ORÇAMENTO!E422</f>
        <v>M³</v>
      </c>
      <c r="H157" s="47">
        <f>ORÇAMENTO!F422</f>
        <v>1018.68</v>
      </c>
      <c r="I157" s="47">
        <f>ORÇAMENTO!G422</f>
        <v>9.31</v>
      </c>
      <c r="J157" s="47">
        <f>ORÇAMENTO!H422</f>
        <v>0.2122</v>
      </c>
      <c r="K157" s="47">
        <f>ORÇAMENTO!I422</f>
        <v>11.29</v>
      </c>
      <c r="L157" s="49">
        <f>ORÇAMENTO!J422</f>
        <v>11500.89</v>
      </c>
      <c r="N157" s="29" t="str">
        <f t="shared" si="18"/>
        <v>OK!</v>
      </c>
      <c r="O157" s="29" t="str">
        <f t="shared" si="19"/>
        <v>OK!</v>
      </c>
      <c r="P157" s="29" t="str">
        <f t="shared" si="20"/>
        <v>OK!</v>
      </c>
    </row>
    <row r="158" spans="2:16" ht="58" x14ac:dyDescent="0.35">
      <c r="B158" s="47">
        <f t="shared" si="17"/>
        <v>46</v>
      </c>
      <c r="C158" s="47" t="str">
        <f>ORÇAMENTO!A530</f>
        <v>5.5.3</v>
      </c>
      <c r="D158" s="47" t="str">
        <f>ORÇAMENTO!B530</f>
        <v xml:space="preserve"> 90082 </v>
      </c>
      <c r="E158" s="47" t="str">
        <f>ORÇAMENTO!C530</f>
        <v>SINAPI</v>
      </c>
      <c r="F158" s="48" t="str">
        <f>ORÇAMENTO!D530</f>
        <v>ESCAVAÇÃO MECANIZADA DE VALA COM PROF. ATÉ 1,5 M (MÉDIA MONTANTE E JUSANTE/UMA COMPOSIÇÃO POR TRECHO), ESCAVADEIRA (0,8 M3), LARG. DE 1,5 M A 2,5 M, EM SOLO DE 1A CATEGORIA, EM LOCAIS COM ALTO NÍVEL DE INTERFERÊNCIA. AF_09/2024</v>
      </c>
      <c r="G158" s="47" t="str">
        <f>ORÇAMENTO!E530</f>
        <v>M³</v>
      </c>
      <c r="H158" s="47">
        <f>ORÇAMENTO!F530</f>
        <v>45.444239999999958</v>
      </c>
      <c r="I158" s="47">
        <f>ORÇAMENTO!G530</f>
        <v>9.31</v>
      </c>
      <c r="J158" s="47">
        <f>ORÇAMENTO!H530</f>
        <v>0.2122</v>
      </c>
      <c r="K158" s="47">
        <f>ORÇAMENTO!I530</f>
        <v>11.29</v>
      </c>
      <c r="L158" s="49">
        <f>ORÇAMENTO!J530</f>
        <v>513.05999999999995</v>
      </c>
      <c r="N158" s="29" t="str">
        <f t="shared" si="18"/>
        <v>OK!</v>
      </c>
      <c r="O158" s="29" t="str">
        <f t="shared" si="19"/>
        <v>OK!</v>
      </c>
      <c r="P158" s="29" t="str">
        <f t="shared" si="20"/>
        <v>OK!</v>
      </c>
    </row>
    <row r="159" spans="2:16" ht="58" x14ac:dyDescent="0.35">
      <c r="B159" s="47">
        <f t="shared" si="17"/>
        <v>47</v>
      </c>
      <c r="C159" s="47" t="str">
        <f>ORÇAMENTO!A207</f>
        <v>4.1.2.6.9</v>
      </c>
      <c r="D159" s="47" t="str">
        <f>ORÇAMENTO!B207</f>
        <v xml:space="preserve"> 102283 </v>
      </c>
      <c r="E159" s="47" t="str">
        <f>ORÇAMENTO!C207</f>
        <v>SINAPI</v>
      </c>
      <c r="F159" s="48" t="str">
        <f>ORÇAMENTO!D207</f>
        <v>ESCAVAÇÃO MECANIZADA DE VALA COM PROF. ATÉ 1,5 M (MÉDIA MONTANTE E JUSANTE/UMA COMPOSIÇÃO POR TRECHO), ESCAVADEIRA (0,8 M3), LARG. DE 1,5 M A 2,5 M, EM SOLO MOLE, EM LOCAIS COM ALTO NÍVEL DE INTERFERÊNCIA. AF_09/2024</v>
      </c>
      <c r="G159" s="47" t="str">
        <f>ORÇAMENTO!E207</f>
        <v>M³</v>
      </c>
      <c r="H159" s="47">
        <f>ORÇAMENTO!F207</f>
        <v>108.96</v>
      </c>
      <c r="I159" s="47">
        <f>ORÇAMENTO!G207</f>
        <v>12.18</v>
      </c>
      <c r="J159" s="47">
        <f>ORÇAMENTO!H207</f>
        <v>0.2122</v>
      </c>
      <c r="K159" s="47">
        <f>ORÇAMENTO!I207</f>
        <v>14.76</v>
      </c>
      <c r="L159" s="49">
        <f>ORÇAMENTO!J207</f>
        <v>1608.24</v>
      </c>
      <c r="N159" s="29" t="str">
        <f t="shared" si="18"/>
        <v>DIFERENTE</v>
      </c>
      <c r="O159" s="29" t="str">
        <f t="shared" si="19"/>
        <v>DIFERENTE</v>
      </c>
      <c r="P159" s="29" t="str">
        <f t="shared" si="20"/>
        <v>DIFERENTE</v>
      </c>
    </row>
    <row r="160" spans="2:16" ht="58" x14ac:dyDescent="0.35">
      <c r="B160" s="47">
        <f t="shared" si="17"/>
        <v>47</v>
      </c>
      <c r="C160" s="47" t="str">
        <f>ORÇAMENTO!A417</f>
        <v>5.1.2.7.9</v>
      </c>
      <c r="D160" s="47" t="str">
        <f>ORÇAMENTO!B417</f>
        <v xml:space="preserve"> 102283 </v>
      </c>
      <c r="E160" s="47" t="str">
        <f>ORÇAMENTO!C417</f>
        <v>SINAPI</v>
      </c>
      <c r="F160" s="48" t="str">
        <f>ORÇAMENTO!D417</f>
        <v>ESCAVAÇÃO MECANIZADA DE VALA COM PROF. ATÉ 1,5 M (MÉDIA MONTANTE E JUSANTE/UMA COMPOSIÇÃO POR TRECHO), ESCAVADEIRA (0,8 M3), LARG. DE 1,5 M A 2,5 M, EM SOLO MOLE, EM LOCAIS COM ALTO NÍVEL DE INTERFERÊNCIA. AF_09/2024</v>
      </c>
      <c r="G160" s="47" t="str">
        <f>ORÇAMENTO!E417</f>
        <v>M³</v>
      </c>
      <c r="H160" s="47">
        <f>ORÇAMENTO!F417</f>
        <v>456.46</v>
      </c>
      <c r="I160" s="47">
        <f>ORÇAMENTO!G417</f>
        <v>12.18</v>
      </c>
      <c r="J160" s="47">
        <f>ORÇAMENTO!H417</f>
        <v>0.2122</v>
      </c>
      <c r="K160" s="47">
        <f>ORÇAMENTO!I417</f>
        <v>14.76</v>
      </c>
      <c r="L160" s="49">
        <f>ORÇAMENTO!J417</f>
        <v>6737.34</v>
      </c>
      <c r="N160" s="29" t="str">
        <f t="shared" si="18"/>
        <v>OK!</v>
      </c>
      <c r="O160" s="29" t="str">
        <f t="shared" si="19"/>
        <v>OK!</v>
      </c>
      <c r="P160" s="29" t="str">
        <f t="shared" si="20"/>
        <v>OK!</v>
      </c>
    </row>
    <row r="161" spans="2:16" ht="58" x14ac:dyDescent="0.35">
      <c r="B161" s="47">
        <f t="shared" si="17"/>
        <v>48</v>
      </c>
      <c r="C161" s="47" t="str">
        <f>ORÇAMENTO!A142</f>
        <v>4.1.2.1.3</v>
      </c>
      <c r="D161" s="47" t="str">
        <f>ORÇAMENTO!B142</f>
        <v xml:space="preserve"> 102276 </v>
      </c>
      <c r="E161" s="47" t="str">
        <f>ORÇAMENTO!C142</f>
        <v>SINAPI</v>
      </c>
      <c r="F161" s="48" t="str">
        <f>ORÇAMENTO!D142</f>
        <v>ESCAVAÇÃO MECANIZADA DE VALA COM PROF. ATÉ 1,5 M (MÉDIA MONTANTE E JUSANTE/UMA COMPOSIÇÃO POR TRECHO), ESCAVADEIRA (0,8 M3), LARG. MENOR QUE 1,5 M, EM SOLO DE 1A CATEGORIA, EM LOCAIS COM ALTO NÍVEL DE INTERFERÊNCIA. AF_09/2024</v>
      </c>
      <c r="G161" s="47" t="str">
        <f>ORÇAMENTO!E142</f>
        <v>M³</v>
      </c>
      <c r="H161" s="47">
        <f>ORÇAMENTO!F142</f>
        <v>516.59245760948181</v>
      </c>
      <c r="I161" s="47">
        <f>ORÇAMENTO!G142</f>
        <v>10.49</v>
      </c>
      <c r="J161" s="47">
        <f>ORÇAMENTO!H142</f>
        <v>0.2122</v>
      </c>
      <c r="K161" s="47">
        <f>ORÇAMENTO!I142</f>
        <v>12.72</v>
      </c>
      <c r="L161" s="49">
        <f>ORÇAMENTO!J142</f>
        <v>6571.05</v>
      </c>
      <c r="N161" s="29" t="str">
        <f t="shared" si="18"/>
        <v>DIFERENTE</v>
      </c>
      <c r="O161" s="29" t="str">
        <f t="shared" si="19"/>
        <v>DIFERENTE</v>
      </c>
      <c r="P161" s="29" t="str">
        <f t="shared" si="20"/>
        <v>DIFERENTE</v>
      </c>
    </row>
    <row r="162" spans="2:16" ht="58" x14ac:dyDescent="0.35">
      <c r="B162" s="47">
        <f t="shared" si="17"/>
        <v>48</v>
      </c>
      <c r="C162" s="47" t="str">
        <f>ORÇAMENTO!A209</f>
        <v>4.1.2.6.11</v>
      </c>
      <c r="D162" s="47" t="str">
        <f>ORÇAMENTO!B209</f>
        <v xml:space="preserve"> 102276 </v>
      </c>
      <c r="E162" s="47" t="str">
        <f>ORÇAMENTO!C209</f>
        <v>SINAPI</v>
      </c>
      <c r="F162" s="48" t="str">
        <f>ORÇAMENTO!D209</f>
        <v>ESCAVAÇÃO MECANIZADA DE VALA COM PROF. ATÉ 1,5 M (MÉDIA MONTANTE E JUSANTE/UMA COMPOSIÇÃO POR TRECHO), ESCAVADEIRA (0,8 M3), LARG. MENOR QUE 1,5 M, EM SOLO DE 1A CATEGORIA, EM LOCAIS COM ALTO NÍVEL DE INTERFERÊNCIA. AF_09/2024</v>
      </c>
      <c r="G162" s="47" t="str">
        <f>ORÇAMENTO!E209</f>
        <v>M³</v>
      </c>
      <c r="H162" s="47">
        <f>ORÇAMENTO!F209</f>
        <v>521.65</v>
      </c>
      <c r="I162" s="47">
        <f>ORÇAMENTO!G209</f>
        <v>10.49</v>
      </c>
      <c r="J162" s="47">
        <f>ORÇAMENTO!H209</f>
        <v>0.2122</v>
      </c>
      <c r="K162" s="47">
        <f>ORÇAMENTO!I209</f>
        <v>12.72</v>
      </c>
      <c r="L162" s="49">
        <f>ORÇAMENTO!J209</f>
        <v>6635.38</v>
      </c>
      <c r="N162" s="29" t="str">
        <f t="shared" si="18"/>
        <v>OK!</v>
      </c>
      <c r="O162" s="29" t="str">
        <f t="shared" si="19"/>
        <v>OK!</v>
      </c>
      <c r="P162" s="29" t="str">
        <f t="shared" si="20"/>
        <v>OK!</v>
      </c>
    </row>
    <row r="163" spans="2:16" ht="58" x14ac:dyDescent="0.35">
      <c r="B163" s="47">
        <f t="shared" si="17"/>
        <v>48</v>
      </c>
      <c r="C163" s="47" t="str">
        <f>ORÇAMENTO!A340</f>
        <v>5.1.2.1.5</v>
      </c>
      <c r="D163" s="47" t="str">
        <f>ORÇAMENTO!B340</f>
        <v xml:space="preserve"> 102276 </v>
      </c>
      <c r="E163" s="47" t="str">
        <f>ORÇAMENTO!C340</f>
        <v>SINAPI</v>
      </c>
      <c r="F163" s="48" t="str">
        <f>ORÇAMENTO!D340</f>
        <v>ESCAVAÇÃO MECANIZADA DE VALA COM PROF. ATÉ 1,5 M (MÉDIA MONTANTE E JUSANTE/UMA COMPOSIÇÃO POR TRECHO), ESCAVADEIRA (0,8 M3), LARG. MENOR QUE 1,5 M, EM SOLO DE 1A CATEGORIA, EM LOCAIS COM ALTO NÍVEL DE INTERFERÊNCIA. AF_09/2024</v>
      </c>
      <c r="G163" s="47" t="str">
        <f>ORÇAMENTO!E340</f>
        <v>M³</v>
      </c>
      <c r="H163" s="47">
        <f>ORÇAMENTO!F340</f>
        <v>1786.5060000000001</v>
      </c>
      <c r="I163" s="47">
        <f>ORÇAMENTO!G340</f>
        <v>10.49</v>
      </c>
      <c r="J163" s="47">
        <f>ORÇAMENTO!H340</f>
        <v>0.2122</v>
      </c>
      <c r="K163" s="47">
        <f>ORÇAMENTO!I340</f>
        <v>12.72</v>
      </c>
      <c r="L163" s="49">
        <f>ORÇAMENTO!J340</f>
        <v>22724.35</v>
      </c>
      <c r="N163" s="29" t="str">
        <f t="shared" si="18"/>
        <v>OK!</v>
      </c>
      <c r="O163" s="29" t="str">
        <f t="shared" si="19"/>
        <v>OK!</v>
      </c>
      <c r="P163" s="29" t="str">
        <f t="shared" si="20"/>
        <v>OK!</v>
      </c>
    </row>
    <row r="164" spans="2:16" ht="58" x14ac:dyDescent="0.35">
      <c r="B164" s="47">
        <f t="shared" si="17"/>
        <v>48</v>
      </c>
      <c r="C164" s="47" t="str">
        <f>ORÇAMENTO!A419</f>
        <v>5.1.2.7.11</v>
      </c>
      <c r="D164" s="47" t="str">
        <f>ORÇAMENTO!B419</f>
        <v xml:space="preserve"> 102276 </v>
      </c>
      <c r="E164" s="47" t="str">
        <f>ORÇAMENTO!C419</f>
        <v>SINAPI</v>
      </c>
      <c r="F164" s="48" t="str">
        <f>ORÇAMENTO!D419</f>
        <v>ESCAVAÇÃO MECANIZADA DE VALA COM PROF. ATÉ 1,5 M (MÉDIA MONTANTE E JUSANTE/UMA COMPOSIÇÃO POR TRECHO), ESCAVADEIRA (0,8 M3), LARG. MENOR QUE 1,5 M, EM SOLO DE 1A CATEGORIA, EM LOCAIS COM ALTO NÍVEL DE INTERFERÊNCIA. AF_09/2024</v>
      </c>
      <c r="G164" s="47" t="str">
        <f>ORÇAMENTO!E419</f>
        <v>M³</v>
      </c>
      <c r="H164" s="47">
        <f>ORÇAMENTO!F419</f>
        <v>817.92</v>
      </c>
      <c r="I164" s="47">
        <f>ORÇAMENTO!G419</f>
        <v>10.49</v>
      </c>
      <c r="J164" s="47">
        <f>ORÇAMENTO!H419</f>
        <v>0.2122</v>
      </c>
      <c r="K164" s="47">
        <f>ORÇAMENTO!I419</f>
        <v>12.72</v>
      </c>
      <c r="L164" s="107">
        <f>ORÇAMENTO!J419</f>
        <v>10403.94</v>
      </c>
      <c r="N164" s="29" t="str">
        <f t="shared" si="18"/>
        <v>OK!</v>
      </c>
      <c r="O164" s="29" t="str">
        <f t="shared" si="19"/>
        <v>OK!</v>
      </c>
      <c r="P164" s="29" t="str">
        <f t="shared" si="20"/>
        <v>OK!</v>
      </c>
    </row>
    <row r="165" spans="2:16" ht="58" x14ac:dyDescent="0.35">
      <c r="B165" s="47">
        <f t="shared" si="17"/>
        <v>49</v>
      </c>
      <c r="C165" s="47" t="str">
        <f>ORÇAMENTO!A204</f>
        <v>4.1.2.6.6</v>
      </c>
      <c r="D165" s="47" t="str">
        <f>ORÇAMENTO!B204</f>
        <v xml:space="preserve"> 102282 </v>
      </c>
      <c r="E165" s="47" t="str">
        <f>ORÇAMENTO!C204</f>
        <v>SINAPI</v>
      </c>
      <c r="F165" s="48" t="str">
        <f>ORÇAMENTO!D204</f>
        <v>ESCAVAÇÃO MECANIZADA DE VALA COM PROF. ATÉ 1,5 M (MÉDIA MONTANTE E JUSANTE/UMA COMPOSIÇÃO POR TRECHO), ESCAVADEIRA (0,8 M3),LARG. MENOR QUE 1,5 M, EM SOLO DE MOLE, EM LOCAIS COM ALTO NÍVEL DE INTERFERÊNCIA. AF_09/2024</v>
      </c>
      <c r="G165" s="47" t="str">
        <f>ORÇAMENTO!E204</f>
        <v>M³</v>
      </c>
      <c r="H165" s="47">
        <f>ORÇAMENTO!F204</f>
        <v>123.47</v>
      </c>
      <c r="I165" s="47">
        <f>ORÇAMENTO!G204</f>
        <v>13.71</v>
      </c>
      <c r="J165" s="47">
        <f>ORÇAMENTO!H204</f>
        <v>0.2122</v>
      </c>
      <c r="K165" s="47">
        <f>ORÇAMENTO!I204</f>
        <v>16.62</v>
      </c>
      <c r="L165" s="49">
        <f>ORÇAMENTO!J204</f>
        <v>2052.0700000000002</v>
      </c>
      <c r="N165" s="29" t="str">
        <f t="shared" si="18"/>
        <v>DIFERENTE</v>
      </c>
      <c r="O165" s="29" t="str">
        <f t="shared" si="19"/>
        <v>DIFERENTE</v>
      </c>
      <c r="P165" s="29" t="str">
        <f t="shared" si="20"/>
        <v>DIFERENTE</v>
      </c>
    </row>
    <row r="166" spans="2:16" ht="58" x14ac:dyDescent="0.35">
      <c r="B166" s="47">
        <f t="shared" si="17"/>
        <v>49</v>
      </c>
      <c r="C166" s="47" t="str">
        <f>ORÇAMENTO!A414</f>
        <v>5.1.2.7.6</v>
      </c>
      <c r="D166" s="47" t="str">
        <f>ORÇAMENTO!B414</f>
        <v xml:space="preserve"> 102282 </v>
      </c>
      <c r="E166" s="47" t="str">
        <f>ORÇAMENTO!C414</f>
        <v>SINAPI</v>
      </c>
      <c r="F166" s="48" t="str">
        <f>ORÇAMENTO!D414</f>
        <v>ESCAVAÇÃO MECANIZADA DE VALA COM PROF. ATÉ 1,5 M (MÉDIA MONTANTE E JUSANTE/UMA COMPOSIÇÃO POR TRECHO), ESCAVADEIRA (0,8 M3),LARG. MENOR QUE 1,5 M, EM SOLO DE MOLE, EM LOCAIS COM ALTO NÍVEL DE INTERFERÊNCIA. AF_09/2024</v>
      </c>
      <c r="G166" s="47" t="str">
        <f>ORÇAMENTO!E414</f>
        <v>M³</v>
      </c>
      <c r="H166" s="47">
        <f>ORÇAMENTO!F414</f>
        <v>428.78</v>
      </c>
      <c r="I166" s="47">
        <f>ORÇAMENTO!G414</f>
        <v>13.71</v>
      </c>
      <c r="J166" s="47">
        <f>ORÇAMENTO!H414</f>
        <v>0.2122</v>
      </c>
      <c r="K166" s="47">
        <f>ORÇAMENTO!I414</f>
        <v>16.62</v>
      </c>
      <c r="L166" s="49">
        <f>ORÇAMENTO!J414</f>
        <v>7126.32</v>
      </c>
      <c r="N166" s="29" t="str">
        <f t="shared" si="18"/>
        <v>OK!</v>
      </c>
      <c r="O166" s="29" t="str">
        <f t="shared" si="19"/>
        <v>OK!</v>
      </c>
      <c r="P166" s="29" t="str">
        <f t="shared" si="20"/>
        <v>OK!</v>
      </c>
    </row>
    <row r="167" spans="2:16" ht="58" x14ac:dyDescent="0.35">
      <c r="B167" s="47">
        <f t="shared" si="17"/>
        <v>50</v>
      </c>
      <c r="C167" s="47" t="str">
        <f>ORÇAMENTO!A338</f>
        <v>5.1.2.1.3</v>
      </c>
      <c r="D167" s="47" t="str">
        <f>ORÇAMENTO!B338</f>
        <v xml:space="preserve"> 102288 </v>
      </c>
      <c r="E167" s="47" t="str">
        <f>ORÇAMENTO!C338</f>
        <v>SINAPI</v>
      </c>
      <c r="F167" s="48" t="str">
        <f>ORÇAMENTO!D338</f>
        <v>ESCAVAÇÃO MECANIZADA DE VALA COM PROF. DE 3,0 M ATÉ 4,5 M (MÉDIA MONTANTE E JUSANTE/UMA COMPOSIÇÃO POR TRECHO), ESCAVADEIRA (1,2 M3), LARG. DE 1,5 M A 2,5 M, EM SOLO MOLE, EM LOCAIS COM ALTO NÍVEL DE INTERFERÊNCIA. AF_09/2024</v>
      </c>
      <c r="G167" s="47" t="str">
        <f>ORÇAMENTO!E338</f>
        <v>M³</v>
      </c>
      <c r="H167" s="47">
        <f>ORÇAMENTO!F338</f>
        <v>97.819200000000023</v>
      </c>
      <c r="I167" s="47">
        <f>ORÇAMENTO!G338</f>
        <v>10.96</v>
      </c>
      <c r="J167" s="47">
        <f>ORÇAMENTO!H338</f>
        <v>0.2122</v>
      </c>
      <c r="K167" s="47">
        <f>ORÇAMENTO!I338</f>
        <v>13.29</v>
      </c>
      <c r="L167" s="49">
        <f>ORÇAMENTO!J338</f>
        <v>1300.01</v>
      </c>
      <c r="N167" s="29" t="str">
        <f t="shared" si="18"/>
        <v>DIFERENTE</v>
      </c>
      <c r="O167" s="29" t="str">
        <f t="shared" si="19"/>
        <v>DIFERENTE</v>
      </c>
      <c r="P167" s="29" t="str">
        <f t="shared" si="20"/>
        <v>DIFERENTE</v>
      </c>
    </row>
    <row r="168" spans="2:16" ht="58" x14ac:dyDescent="0.35">
      <c r="B168" s="47">
        <f t="shared" si="17"/>
        <v>51</v>
      </c>
      <c r="C168" s="47" t="str">
        <f>ORÇAMENTO!A146</f>
        <v>4.1.2.1.7</v>
      </c>
      <c r="D168" s="47" t="str">
        <f>ORÇAMENTO!B146</f>
        <v xml:space="preserve"> 90087 </v>
      </c>
      <c r="E168" s="47" t="str">
        <f>ORÇAMENTO!C146</f>
        <v>SINAPI</v>
      </c>
      <c r="F168" s="48" t="str">
        <f>ORÇAMENTO!D146</f>
        <v>ESCAVAÇÃO MECANIZADA DE VALA COM PROF. DE 3,0 M ATÉ 4,5 M(MÉDIA MONTANTE E JUSANTE/UMA COMPOSIÇÃO POR TRECHO), ESCAVADEIRA (1,2 M3), LARG. DE 1,5 M A 2,5 M, EM SOLO DE 1A CATEGORIA, EM LOCAIS COM ALTO NÍVEL DE INTERFERÊNCIA. AF_09/2024</v>
      </c>
      <c r="G168" s="47" t="str">
        <f>ORÇAMENTO!E146</f>
        <v>M³</v>
      </c>
      <c r="H168" s="47">
        <f>ORÇAMENTO!F146</f>
        <v>282.6731198127215</v>
      </c>
      <c r="I168" s="47">
        <f>ORÇAMENTO!G146</f>
        <v>8.36</v>
      </c>
      <c r="J168" s="47">
        <f>ORÇAMENTO!H146</f>
        <v>0.2122</v>
      </c>
      <c r="K168" s="47">
        <f>ORÇAMENTO!I146</f>
        <v>10.130000000000001</v>
      </c>
      <c r="L168" s="49">
        <f>ORÇAMENTO!J146</f>
        <v>2863.47</v>
      </c>
      <c r="N168" s="29" t="str">
        <f t="shared" si="18"/>
        <v>DIFERENTE</v>
      </c>
      <c r="O168" s="29" t="str">
        <f t="shared" si="19"/>
        <v>DIFERENTE</v>
      </c>
      <c r="P168" s="29" t="str">
        <f t="shared" si="20"/>
        <v>DIFERENTE</v>
      </c>
    </row>
    <row r="169" spans="2:16" ht="58" x14ac:dyDescent="0.35">
      <c r="B169" s="47">
        <f t="shared" si="17"/>
        <v>51</v>
      </c>
      <c r="C169" s="47" t="str">
        <f>ORÇAMENTO!A344</f>
        <v>5.1.2.1.9</v>
      </c>
      <c r="D169" s="47" t="str">
        <f>ORÇAMENTO!B344</f>
        <v xml:space="preserve"> 90087 </v>
      </c>
      <c r="E169" s="47" t="str">
        <f>ORÇAMENTO!C344</f>
        <v>SINAPI</v>
      </c>
      <c r="F169" s="48" t="str">
        <f>ORÇAMENTO!D344</f>
        <v>ESCAVAÇÃO MECANIZADA DE VALA COM PROF. DE 3,0 M ATÉ 4,5 M(MÉDIA MONTANTE E JUSANTE/UMA COMPOSIÇÃO POR TRECHO), ESCAVADEIRA (1,2 M3), LARG. DE 1,5 M A 2,5 M, EM SOLO DE 1A CATEGORIA, EM LOCAIS COM ALTO NÍVEL DE INTERFERÊNCIA. AF_09/2024</v>
      </c>
      <c r="G169" s="47" t="str">
        <f>ORÇAMENTO!E344</f>
        <v>M³</v>
      </c>
      <c r="H169" s="47">
        <f>ORÇAMENTO!F344</f>
        <v>400.85382371324113</v>
      </c>
      <c r="I169" s="47">
        <f>ORÇAMENTO!G344</f>
        <v>8.36</v>
      </c>
      <c r="J169" s="47">
        <f>ORÇAMENTO!H344</f>
        <v>0.2122</v>
      </c>
      <c r="K169" s="47">
        <f>ORÇAMENTO!I344</f>
        <v>10.130000000000001</v>
      </c>
      <c r="L169" s="49">
        <f>ORÇAMENTO!J344</f>
        <v>4060.64</v>
      </c>
      <c r="N169" s="29" t="str">
        <f t="shared" si="18"/>
        <v>OK!</v>
      </c>
      <c r="O169" s="29" t="str">
        <f t="shared" si="19"/>
        <v>OK!</v>
      </c>
      <c r="P169" s="29" t="str">
        <f t="shared" si="20"/>
        <v>OK!</v>
      </c>
    </row>
    <row r="170" spans="2:16" ht="58" x14ac:dyDescent="0.35">
      <c r="B170" s="47">
        <f t="shared" si="17"/>
        <v>52</v>
      </c>
      <c r="C170" s="47" t="str">
        <f>ORÇAMENTO!A143</f>
        <v>4.1.2.1.4</v>
      </c>
      <c r="D170" s="47" t="str">
        <f>ORÇAMENTO!B143</f>
        <v xml:space="preserve"> 90084 </v>
      </c>
      <c r="E170" s="47" t="str">
        <f>ORÇAMENTO!C143</f>
        <v>SINAPI</v>
      </c>
      <c r="F170" s="48" t="str">
        <f>ORÇAMENTO!D143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G170" s="47" t="str">
        <f>ORÇAMENTO!E143</f>
        <v>M³</v>
      </c>
      <c r="H170" s="47">
        <f>ORÇAMENTO!F143</f>
        <v>430.65137137351712</v>
      </c>
      <c r="I170" s="47">
        <f>ORÇAMENTO!G143</f>
        <v>9.01</v>
      </c>
      <c r="J170" s="47">
        <f>ORÇAMENTO!H143</f>
        <v>0.2122</v>
      </c>
      <c r="K170" s="47">
        <f>ORÇAMENTO!I143</f>
        <v>10.92</v>
      </c>
      <c r="L170" s="49">
        <f>ORÇAMENTO!J143</f>
        <v>4702.71</v>
      </c>
      <c r="N170" s="29" t="str">
        <f t="shared" si="18"/>
        <v>DIFERENTE</v>
      </c>
      <c r="O170" s="29" t="str">
        <f t="shared" si="19"/>
        <v>DIFERENTE</v>
      </c>
      <c r="P170" s="29" t="str">
        <f t="shared" si="20"/>
        <v>DIFERENTE</v>
      </c>
    </row>
    <row r="171" spans="2:16" ht="58" x14ac:dyDescent="0.35">
      <c r="B171" s="47">
        <f t="shared" si="17"/>
        <v>52</v>
      </c>
      <c r="C171" s="47" t="str">
        <f>ORÇAMENTO!A210</f>
        <v>4.1.2.6.12</v>
      </c>
      <c r="D171" s="47" t="str">
        <f>ORÇAMENTO!B210</f>
        <v xml:space="preserve"> 90084 </v>
      </c>
      <c r="E171" s="47" t="str">
        <f>ORÇAMENTO!C210</f>
        <v>SINAPI</v>
      </c>
      <c r="F171" s="48" t="str">
        <f>ORÇAMENTO!D210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G171" s="47" t="str">
        <f>ORÇAMENTO!E210</f>
        <v>M³</v>
      </c>
      <c r="H171" s="47">
        <f>ORÇAMENTO!F210</f>
        <v>279.39999999999998</v>
      </c>
      <c r="I171" s="47">
        <f>ORÇAMENTO!G210</f>
        <v>9.01</v>
      </c>
      <c r="J171" s="47">
        <f>ORÇAMENTO!H210</f>
        <v>0.2122</v>
      </c>
      <c r="K171" s="47">
        <f>ORÇAMENTO!I210</f>
        <v>10.92</v>
      </c>
      <c r="L171" s="49">
        <f>ORÇAMENTO!J210</f>
        <v>3051.04</v>
      </c>
      <c r="N171" s="29" t="str">
        <f t="shared" si="18"/>
        <v>OK!</v>
      </c>
      <c r="O171" s="29" t="str">
        <f t="shared" si="19"/>
        <v>OK!</v>
      </c>
      <c r="P171" s="29" t="str">
        <f t="shared" si="20"/>
        <v>OK!</v>
      </c>
    </row>
    <row r="172" spans="2:16" ht="58" x14ac:dyDescent="0.35">
      <c r="B172" s="47">
        <f t="shared" si="17"/>
        <v>52</v>
      </c>
      <c r="C172" s="47" t="str">
        <f>ORÇAMENTO!A341</f>
        <v>5.1.2.1.6</v>
      </c>
      <c r="D172" s="47" t="str">
        <f>ORÇAMENTO!B341</f>
        <v xml:space="preserve"> 90084 </v>
      </c>
      <c r="E172" s="47" t="str">
        <f>ORÇAMENTO!C341</f>
        <v>SINAPI</v>
      </c>
      <c r="F172" s="48" t="str">
        <f>ORÇAMENTO!D341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G172" s="47" t="str">
        <f>ORÇAMENTO!E341</f>
        <v>M³</v>
      </c>
      <c r="H172" s="47">
        <f>ORÇAMENTO!F341</f>
        <v>541.53148604839862</v>
      </c>
      <c r="I172" s="47">
        <f>ORÇAMENTO!G341</f>
        <v>9.01</v>
      </c>
      <c r="J172" s="47">
        <f>ORÇAMENTO!H341</f>
        <v>0.2122</v>
      </c>
      <c r="K172" s="47">
        <f>ORÇAMENTO!I341</f>
        <v>10.92</v>
      </c>
      <c r="L172" s="107">
        <f>ORÇAMENTO!J341</f>
        <v>5913.52</v>
      </c>
      <c r="N172" s="29" t="str">
        <f t="shared" si="18"/>
        <v>OK!</v>
      </c>
      <c r="O172" s="29" t="str">
        <f t="shared" si="19"/>
        <v>OK!</v>
      </c>
      <c r="P172" s="29" t="str">
        <f t="shared" si="20"/>
        <v>OK!</v>
      </c>
    </row>
    <row r="173" spans="2:16" ht="58" x14ac:dyDescent="0.35">
      <c r="B173" s="47">
        <f t="shared" si="17"/>
        <v>52</v>
      </c>
      <c r="C173" s="47" t="str">
        <f>ORÇAMENTO!A420</f>
        <v>5.1.2.7.12</v>
      </c>
      <c r="D173" s="47" t="str">
        <f>ORÇAMENTO!B420</f>
        <v xml:space="preserve"> 90084 </v>
      </c>
      <c r="E173" s="47" t="str">
        <f>ORÇAMENTO!C420</f>
        <v>SINAPI</v>
      </c>
      <c r="F173" s="48" t="str">
        <f>ORÇAMENTO!D420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G173" s="47" t="str">
        <f>ORÇAMENTO!E420</f>
        <v>M³</v>
      </c>
      <c r="H173" s="47">
        <f>ORÇAMENTO!F420</f>
        <v>321.57</v>
      </c>
      <c r="I173" s="47">
        <f>ORÇAMENTO!G420</f>
        <v>9.01</v>
      </c>
      <c r="J173" s="47">
        <f>ORÇAMENTO!H420</f>
        <v>0.2122</v>
      </c>
      <c r="K173" s="47">
        <f>ORÇAMENTO!I420</f>
        <v>10.92</v>
      </c>
      <c r="L173" s="107">
        <f>ORÇAMENTO!J420</f>
        <v>3511.54</v>
      </c>
      <c r="N173" s="29" t="str">
        <f t="shared" si="18"/>
        <v>OK!</v>
      </c>
      <c r="O173" s="29" t="str">
        <f t="shared" si="19"/>
        <v>OK!</v>
      </c>
      <c r="P173" s="29" t="str">
        <f t="shared" si="20"/>
        <v>OK!</v>
      </c>
    </row>
    <row r="174" spans="2:16" ht="58" x14ac:dyDescent="0.35">
      <c r="B174" s="47">
        <f t="shared" si="17"/>
        <v>53</v>
      </c>
      <c r="C174" s="47" t="str">
        <f>ORÇAMENTO!A140</f>
        <v>4.1.2.1.1</v>
      </c>
      <c r="D174" s="47" t="str">
        <f>ORÇAMENTO!B140</f>
        <v xml:space="preserve"> 102284 </v>
      </c>
      <c r="E174" s="47" t="str">
        <f>ORÇAMENTO!C140</f>
        <v>SINAPI</v>
      </c>
      <c r="F174" s="48" t="str">
        <f>ORÇAMENTO!D140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G174" s="47" t="str">
        <f>ORÇAMENTO!E140</f>
        <v>M³</v>
      </c>
      <c r="H174" s="47">
        <f>ORÇAMENTO!F140</f>
        <v>41.530452969423649</v>
      </c>
      <c r="I174" s="47">
        <f>ORÇAMENTO!G140</f>
        <v>11.8</v>
      </c>
      <c r="J174" s="47">
        <f>ORÇAMENTO!H140</f>
        <v>0.2122</v>
      </c>
      <c r="K174" s="47">
        <f>ORÇAMENTO!I140</f>
        <v>14.3</v>
      </c>
      <c r="L174" s="49">
        <f>ORÇAMENTO!J140</f>
        <v>593.88</v>
      </c>
      <c r="N174" s="29" t="str">
        <f t="shared" si="18"/>
        <v>DIFERENTE</v>
      </c>
      <c r="O174" s="29" t="str">
        <f t="shared" si="19"/>
        <v>DIFERENTE</v>
      </c>
      <c r="P174" s="29" t="str">
        <f t="shared" si="20"/>
        <v>DIFERENTE</v>
      </c>
    </row>
    <row r="175" spans="2:16" ht="58" x14ac:dyDescent="0.35">
      <c r="B175" s="47">
        <f t="shared" si="17"/>
        <v>53</v>
      </c>
      <c r="C175" s="47" t="str">
        <f>ORÇAMENTO!A205</f>
        <v>4.1.2.6.7</v>
      </c>
      <c r="D175" s="47" t="str">
        <f>ORÇAMENTO!B205</f>
        <v xml:space="preserve"> 102284 </v>
      </c>
      <c r="E175" s="47" t="str">
        <f>ORÇAMENTO!C205</f>
        <v>SINAPI</v>
      </c>
      <c r="F175" s="48" t="str">
        <f>ORÇAMENTO!D205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G175" s="47" t="str">
        <f>ORÇAMENTO!E205</f>
        <v>M³</v>
      </c>
      <c r="H175" s="47">
        <f>ORÇAMENTO!F205</f>
        <v>106.85</v>
      </c>
      <c r="I175" s="47">
        <f>ORÇAMENTO!G205</f>
        <v>11.8</v>
      </c>
      <c r="J175" s="47">
        <f>ORÇAMENTO!H205</f>
        <v>0.2122</v>
      </c>
      <c r="K175" s="47">
        <f>ORÇAMENTO!I205</f>
        <v>14.3</v>
      </c>
      <c r="L175" s="49">
        <f>ORÇAMENTO!J205</f>
        <v>1527.95</v>
      </c>
      <c r="N175" s="29" t="str">
        <f t="shared" si="18"/>
        <v>OK!</v>
      </c>
      <c r="O175" s="29" t="str">
        <f t="shared" si="19"/>
        <v>OK!</v>
      </c>
      <c r="P175" s="29" t="str">
        <f t="shared" si="20"/>
        <v>OK!</v>
      </c>
    </row>
    <row r="176" spans="2:16" ht="58" x14ac:dyDescent="0.35">
      <c r="B176" s="47">
        <f t="shared" si="17"/>
        <v>53</v>
      </c>
      <c r="C176" s="47" t="str">
        <f>ORÇAMENTO!A336</f>
        <v>5.1.2.1.1</v>
      </c>
      <c r="D176" s="47" t="str">
        <f>ORÇAMENTO!B336</f>
        <v xml:space="preserve"> 102284 </v>
      </c>
      <c r="E176" s="47" t="str">
        <f>ORÇAMENTO!C336</f>
        <v>SINAPI</v>
      </c>
      <c r="F176" s="48" t="str">
        <f>ORÇAMENTO!D336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G176" s="47" t="str">
        <f>ORÇAMENTO!E336</f>
        <v>M³</v>
      </c>
      <c r="H176" s="47">
        <f>ORÇAMENTO!F336</f>
        <v>120.9496</v>
      </c>
      <c r="I176" s="47">
        <f>ORÇAMENTO!G336</f>
        <v>11.8</v>
      </c>
      <c r="J176" s="47">
        <f>ORÇAMENTO!H336</f>
        <v>0.2122</v>
      </c>
      <c r="K176" s="47">
        <f>ORÇAMENTO!I336</f>
        <v>14.3</v>
      </c>
      <c r="L176" s="49">
        <f>ORÇAMENTO!J336</f>
        <v>1729.57</v>
      </c>
      <c r="N176" s="29" t="str">
        <f t="shared" si="18"/>
        <v>OK!</v>
      </c>
      <c r="O176" s="29" t="str">
        <f t="shared" si="19"/>
        <v>OK!</v>
      </c>
      <c r="P176" s="29" t="str">
        <f t="shared" si="20"/>
        <v>OK!</v>
      </c>
    </row>
    <row r="177" spans="2:16" ht="58" x14ac:dyDescent="0.35">
      <c r="B177" s="47">
        <f t="shared" si="17"/>
        <v>53</v>
      </c>
      <c r="C177" s="47" t="str">
        <f>ORÇAMENTO!A415</f>
        <v>5.1.2.7.7</v>
      </c>
      <c r="D177" s="47" t="str">
        <f>ORÇAMENTO!B415</f>
        <v xml:space="preserve"> 102284 </v>
      </c>
      <c r="E177" s="47" t="str">
        <f>ORÇAMENTO!C415</f>
        <v>SINAPI</v>
      </c>
      <c r="F177" s="48" t="str">
        <f>ORÇAMENTO!D415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G177" s="47" t="str">
        <f>ORÇAMENTO!E415</f>
        <v>M³</v>
      </c>
      <c r="H177" s="47">
        <f>ORÇAMENTO!F415</f>
        <v>370.52</v>
      </c>
      <c r="I177" s="47">
        <f>ORÇAMENTO!G415</f>
        <v>11.8</v>
      </c>
      <c r="J177" s="47">
        <f>ORÇAMENTO!H415</f>
        <v>0.2122</v>
      </c>
      <c r="K177" s="47">
        <f>ORÇAMENTO!I415</f>
        <v>14.3</v>
      </c>
      <c r="L177" s="49">
        <f>ORÇAMENTO!J415</f>
        <v>5298.43</v>
      </c>
      <c r="N177" s="29" t="str">
        <f t="shared" si="18"/>
        <v>OK!</v>
      </c>
      <c r="O177" s="29" t="str">
        <f t="shared" si="19"/>
        <v>OK!</v>
      </c>
      <c r="P177" s="29" t="str">
        <f t="shared" si="20"/>
        <v>OK!</v>
      </c>
    </row>
    <row r="178" spans="2:16" ht="58" x14ac:dyDescent="0.35">
      <c r="B178" s="47">
        <f t="shared" si="17"/>
        <v>54</v>
      </c>
      <c r="C178" s="47" t="str">
        <f>ORÇAMENTO!A208</f>
        <v>4.1.2.6.10</v>
      </c>
      <c r="D178" s="47" t="str">
        <f>ORÇAMENTO!B208</f>
        <v xml:space="preserve"> 102287 </v>
      </c>
      <c r="E178" s="47" t="str">
        <f>ORÇAMENTO!C208</f>
        <v>SINAPI</v>
      </c>
      <c r="F178" s="48" t="str">
        <f>ORÇAMENTO!D208</f>
        <v>ESCAVAÇÃO MECANIZADA DE VALA COM PROF. MAIOR QUE 1,5 M ATÉ 3,0 M (MÉDIA MONTANTE E JUSANTE/UMA COMPOSIÇÃO POR TRECHO),COM ESCAVADEIRA (1,2 M3),LARG. DE 1,5 M A 2,5 M, EM SOLO MOLE, EM LOCAIS COM ALTO NÍVEL DE INTERFERÊNCIA. AF_09/2024</v>
      </c>
      <c r="G178" s="47" t="str">
        <f>ORÇAMENTO!E208</f>
        <v>M³</v>
      </c>
      <c r="H178" s="47">
        <f>ORÇAMENTO!F208</f>
        <v>70.61</v>
      </c>
      <c r="I178" s="47">
        <f>ORÇAMENTO!G208</f>
        <v>11.39</v>
      </c>
      <c r="J178" s="47">
        <f>ORÇAMENTO!H208</f>
        <v>0.2122</v>
      </c>
      <c r="K178" s="47">
        <f>ORÇAMENTO!I208</f>
        <v>13.81</v>
      </c>
      <c r="L178" s="49">
        <f>ORÇAMENTO!J208</f>
        <v>975.12</v>
      </c>
      <c r="N178" s="29" t="str">
        <f t="shared" si="18"/>
        <v>DIFERENTE</v>
      </c>
      <c r="O178" s="29" t="str">
        <f t="shared" si="19"/>
        <v>DIFERENTE</v>
      </c>
      <c r="P178" s="29" t="str">
        <f t="shared" si="20"/>
        <v>DIFERENTE</v>
      </c>
    </row>
    <row r="179" spans="2:16" ht="58" x14ac:dyDescent="0.35">
      <c r="B179" s="47">
        <f t="shared" si="17"/>
        <v>54</v>
      </c>
      <c r="C179" s="47" t="str">
        <f>ORÇAMENTO!A418</f>
        <v>5.1.2.7.10</v>
      </c>
      <c r="D179" s="47" t="str">
        <f>ORÇAMENTO!B418</f>
        <v xml:space="preserve"> 102287 </v>
      </c>
      <c r="E179" s="47" t="str">
        <f>ORÇAMENTO!C418</f>
        <v>SINAPI</v>
      </c>
      <c r="F179" s="48" t="str">
        <f>ORÇAMENTO!D418</f>
        <v>ESCAVAÇÃO MECANIZADA DE VALA COM PROF. MAIOR QUE 1,5 M ATÉ 3,0 M (MÉDIA MONTANTE E JUSANTE/UMA COMPOSIÇÃO POR TRECHO),COM ESCAVADEIRA (1,2 M3),LARG. DE 1,5 M A 2,5 M, EM SOLO MOLE, EM LOCAIS COM ALTO NÍVEL DE INTERFERÊNCIA. AF_09/2024</v>
      </c>
      <c r="G179" s="47" t="str">
        <f>ORÇAMENTO!E418</f>
        <v>M³</v>
      </c>
      <c r="H179" s="47">
        <f>ORÇAMENTO!F418</f>
        <v>322.39999999999998</v>
      </c>
      <c r="I179" s="47">
        <f>ORÇAMENTO!G418</f>
        <v>11.39</v>
      </c>
      <c r="J179" s="47">
        <f>ORÇAMENTO!H418</f>
        <v>0.2122</v>
      </c>
      <c r="K179" s="47">
        <f>ORÇAMENTO!I418</f>
        <v>13.81</v>
      </c>
      <c r="L179" s="49">
        <f>ORÇAMENTO!J418</f>
        <v>4452.34</v>
      </c>
      <c r="N179" s="29" t="str">
        <f t="shared" si="18"/>
        <v>OK!</v>
      </c>
      <c r="O179" s="29" t="str">
        <f t="shared" si="19"/>
        <v>OK!</v>
      </c>
      <c r="P179" s="29" t="str">
        <f t="shared" si="20"/>
        <v>OK!</v>
      </c>
    </row>
    <row r="180" spans="2:16" ht="58" x14ac:dyDescent="0.35">
      <c r="B180" s="47">
        <f t="shared" si="17"/>
        <v>55</v>
      </c>
      <c r="C180" s="47" t="str">
        <f>ORÇAMENTO!A145</f>
        <v>4.1.2.1.6</v>
      </c>
      <c r="D180" s="47" t="str">
        <f>ORÇAMENTO!B145</f>
        <v xml:space="preserve"> 102278 </v>
      </c>
      <c r="E180" s="47" t="str">
        <f>ORÇAMENTO!C145</f>
        <v>SINAPI</v>
      </c>
      <c r="F180" s="48" t="str">
        <f>ORÇAMENTO!D145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G180" s="47" t="str">
        <f>ORÇAMENTO!E145</f>
        <v>M³</v>
      </c>
      <c r="H180" s="47">
        <f>ORÇAMENTO!F145</f>
        <v>585.14180836753462</v>
      </c>
      <c r="I180" s="47">
        <f>ORÇAMENTO!G145</f>
        <v>8.6999999999999993</v>
      </c>
      <c r="J180" s="47">
        <f>ORÇAMENTO!H145</f>
        <v>0.2122</v>
      </c>
      <c r="K180" s="47">
        <f>ORÇAMENTO!I145</f>
        <v>10.55</v>
      </c>
      <c r="L180" s="49">
        <f>ORÇAMENTO!J145</f>
        <v>6173.24</v>
      </c>
      <c r="N180" s="29" t="str">
        <f t="shared" si="18"/>
        <v>DIFERENTE</v>
      </c>
      <c r="O180" s="29" t="str">
        <f t="shared" si="19"/>
        <v>DIFERENTE</v>
      </c>
      <c r="P180" s="29" t="str">
        <f t="shared" si="20"/>
        <v>DIFERENTE</v>
      </c>
    </row>
    <row r="181" spans="2:16" ht="58" x14ac:dyDescent="0.35">
      <c r="B181" s="47">
        <f t="shared" si="17"/>
        <v>55</v>
      </c>
      <c r="C181" s="47" t="str">
        <f>ORÇAMENTO!A213</f>
        <v>4.1.2.6.15</v>
      </c>
      <c r="D181" s="47" t="str">
        <f>ORÇAMENTO!B213</f>
        <v xml:space="preserve"> 102278 </v>
      </c>
      <c r="E181" s="47" t="str">
        <f>ORÇAMENTO!C213</f>
        <v>SINAPI</v>
      </c>
      <c r="F181" s="48" t="str">
        <f>ORÇAMENTO!D213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G181" s="47" t="str">
        <f>ORÇAMENTO!E213</f>
        <v>M³</v>
      </c>
      <c r="H181" s="47">
        <f>ORÇAMENTO!F213</f>
        <v>158.68</v>
      </c>
      <c r="I181" s="47">
        <f>ORÇAMENTO!G213</f>
        <v>8.6999999999999993</v>
      </c>
      <c r="J181" s="47">
        <f>ORÇAMENTO!H213</f>
        <v>0.2122</v>
      </c>
      <c r="K181" s="47">
        <f>ORÇAMENTO!I213</f>
        <v>10.55</v>
      </c>
      <c r="L181" s="107">
        <f>ORÇAMENTO!J213</f>
        <v>1674.07</v>
      </c>
      <c r="N181" s="29" t="str">
        <f t="shared" si="18"/>
        <v>OK!</v>
      </c>
      <c r="O181" s="29" t="str">
        <f t="shared" si="19"/>
        <v>OK!</v>
      </c>
      <c r="P181" s="29" t="str">
        <f t="shared" si="20"/>
        <v>OK!</v>
      </c>
    </row>
    <row r="182" spans="2:16" ht="58" x14ac:dyDescent="0.35">
      <c r="B182" s="47">
        <f t="shared" si="17"/>
        <v>55</v>
      </c>
      <c r="C182" s="47" t="str">
        <f>ORÇAMENTO!A343</f>
        <v>5.1.2.1.8</v>
      </c>
      <c r="D182" s="47" t="str">
        <f>ORÇAMENTO!B343</f>
        <v xml:space="preserve"> 102278 </v>
      </c>
      <c r="E182" s="47" t="str">
        <f>ORÇAMENTO!C343</f>
        <v>SINAPI</v>
      </c>
      <c r="F182" s="48" t="str">
        <f>ORÇAMENTO!D343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G182" s="47" t="str">
        <f>ORÇAMENTO!E343</f>
        <v>M³</v>
      </c>
      <c r="H182" s="47">
        <f>ORÇAMENTO!F343</f>
        <v>2531.1519210409251</v>
      </c>
      <c r="I182" s="47">
        <f>ORÇAMENTO!G343</f>
        <v>8.6999999999999993</v>
      </c>
      <c r="J182" s="47">
        <f>ORÇAMENTO!H343</f>
        <v>0.2122</v>
      </c>
      <c r="K182" s="47">
        <f>ORÇAMENTO!I343</f>
        <v>10.55</v>
      </c>
      <c r="L182" s="49">
        <f>ORÇAMENTO!J343</f>
        <v>26703.65</v>
      </c>
      <c r="N182" s="29" t="str">
        <f t="shared" si="18"/>
        <v>OK!</v>
      </c>
      <c r="O182" s="29" t="str">
        <f t="shared" si="19"/>
        <v>OK!</v>
      </c>
      <c r="P182" s="29" t="str">
        <f t="shared" si="20"/>
        <v>OK!</v>
      </c>
    </row>
    <row r="183" spans="2:16" ht="58" x14ac:dyDescent="0.35">
      <c r="B183" s="47">
        <f t="shared" si="17"/>
        <v>55</v>
      </c>
      <c r="C183" s="47" t="str">
        <f>ORÇAMENTO!A423</f>
        <v>5.1.2.7.15</v>
      </c>
      <c r="D183" s="47" t="str">
        <f>ORÇAMENTO!B423</f>
        <v xml:space="preserve"> 102278 </v>
      </c>
      <c r="E183" s="47" t="str">
        <f>ORÇAMENTO!C423</f>
        <v>SINAPI</v>
      </c>
      <c r="F183" s="48" t="str">
        <f>ORÇAMENTO!D423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G183" s="47" t="str">
        <f>ORÇAMENTO!E423</f>
        <v>M³</v>
      </c>
      <c r="H183" s="47">
        <f>ORÇAMENTO!F423</f>
        <v>174.47</v>
      </c>
      <c r="I183" s="47">
        <f>ORÇAMENTO!G423</f>
        <v>8.6999999999999993</v>
      </c>
      <c r="J183" s="47">
        <f>ORÇAMENTO!H423</f>
        <v>0.2122</v>
      </c>
      <c r="K183" s="47">
        <f>ORÇAMENTO!I423</f>
        <v>10.55</v>
      </c>
      <c r="L183" s="49">
        <f>ORÇAMENTO!J423</f>
        <v>1840.65</v>
      </c>
      <c r="N183" s="29" t="str">
        <f t="shared" si="18"/>
        <v>OK!</v>
      </c>
      <c r="O183" s="29" t="str">
        <f t="shared" si="19"/>
        <v>OK!</v>
      </c>
      <c r="P183" s="29" t="str">
        <f t="shared" si="20"/>
        <v>OK!</v>
      </c>
    </row>
    <row r="184" spans="2:16" ht="58" x14ac:dyDescent="0.35">
      <c r="B184" s="47">
        <f t="shared" si="17"/>
        <v>55</v>
      </c>
      <c r="C184" s="47" t="str">
        <f>ORÇAMENTO!A531</f>
        <v>5.5.4</v>
      </c>
      <c r="D184" s="47" t="str">
        <f>ORÇAMENTO!B531</f>
        <v xml:space="preserve"> 102278 </v>
      </c>
      <c r="E184" s="47" t="str">
        <f>ORÇAMENTO!C531</f>
        <v>SINAPI</v>
      </c>
      <c r="F184" s="48" t="str">
        <f>ORÇAMENTO!D531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G184" s="47" t="str">
        <f>ORÇAMENTO!E531</f>
        <v>M³</v>
      </c>
      <c r="H184" s="47">
        <f>ORÇAMENTO!F531</f>
        <v>30.63420000000027</v>
      </c>
      <c r="I184" s="47">
        <f>ORÇAMENTO!G531</f>
        <v>8.6999999999999993</v>
      </c>
      <c r="J184" s="47">
        <f>ORÇAMENTO!H531</f>
        <v>0.2122</v>
      </c>
      <c r="K184" s="47">
        <f>ORÇAMENTO!I531</f>
        <v>10.55</v>
      </c>
      <c r="L184" s="49">
        <f>ORÇAMENTO!J531</f>
        <v>323.19</v>
      </c>
      <c r="N184" s="29" t="str">
        <f t="shared" si="18"/>
        <v>OK!</v>
      </c>
      <c r="O184" s="29" t="str">
        <f t="shared" si="19"/>
        <v>OK!</v>
      </c>
      <c r="P184" s="29" t="str">
        <f t="shared" si="20"/>
        <v>OK!</v>
      </c>
    </row>
    <row r="185" spans="2:16" ht="58" x14ac:dyDescent="0.35">
      <c r="B185" s="47">
        <f t="shared" si="17"/>
        <v>56</v>
      </c>
      <c r="C185" s="47" t="str">
        <f>ORÇAMENTO!A141</f>
        <v>4.1.2.1.2</v>
      </c>
      <c r="D185" s="47" t="str">
        <f>ORÇAMENTO!B141</f>
        <v xml:space="preserve"> 102285 </v>
      </c>
      <c r="E185" s="47" t="str">
        <f>ORÇAMENTO!C141</f>
        <v>SINAPI</v>
      </c>
      <c r="F185" s="48" t="str">
        <f>ORÇAMENTO!D141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G185" s="47" t="str">
        <f>ORÇAMENTO!E141</f>
        <v>M³</v>
      </c>
      <c r="H185" s="47">
        <f>ORÇAMENTO!F141</f>
        <v>96.227535726438191</v>
      </c>
      <c r="I185" s="47">
        <f>ORÇAMENTO!G141</f>
        <v>11.17</v>
      </c>
      <c r="J185" s="47">
        <f>ORÇAMENTO!H141</f>
        <v>0.2122</v>
      </c>
      <c r="K185" s="47">
        <f>ORÇAMENTO!I141</f>
        <v>13.54</v>
      </c>
      <c r="L185" s="49">
        <f>ORÇAMENTO!J141</f>
        <v>1302.92</v>
      </c>
      <c r="N185" s="29" t="str">
        <f t="shared" si="18"/>
        <v>DIFERENTE</v>
      </c>
      <c r="O185" s="29" t="str">
        <f t="shared" si="19"/>
        <v>DIFERENTE</v>
      </c>
      <c r="P185" s="29" t="str">
        <f t="shared" si="20"/>
        <v>DIFERENTE</v>
      </c>
    </row>
    <row r="186" spans="2:16" ht="58" x14ac:dyDescent="0.35">
      <c r="B186" s="47">
        <f t="shared" si="17"/>
        <v>56</v>
      </c>
      <c r="C186" s="47" t="str">
        <f>ORÇAMENTO!A206</f>
        <v>4.1.2.6.8</v>
      </c>
      <c r="D186" s="47" t="str">
        <f>ORÇAMENTO!B206</f>
        <v xml:space="preserve"> 102285 </v>
      </c>
      <c r="E186" s="47" t="str">
        <f>ORÇAMENTO!C206</f>
        <v>SINAPI</v>
      </c>
      <c r="F186" s="48" t="str">
        <f>ORÇAMENTO!D206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G186" s="47" t="str">
        <f>ORÇAMENTO!E206</f>
        <v>M³</v>
      </c>
      <c r="H186" s="47">
        <f>ORÇAMENTO!F206</f>
        <v>9.67</v>
      </c>
      <c r="I186" s="47">
        <f>ORÇAMENTO!G206</f>
        <v>11.17</v>
      </c>
      <c r="J186" s="47">
        <f>ORÇAMENTO!H206</f>
        <v>0.2122</v>
      </c>
      <c r="K186" s="47">
        <f>ORÇAMENTO!I206</f>
        <v>13.54</v>
      </c>
      <c r="L186" s="49">
        <f>ORÇAMENTO!J206</f>
        <v>130.93</v>
      </c>
      <c r="N186" s="29" t="str">
        <f t="shared" si="18"/>
        <v>OK!</v>
      </c>
      <c r="O186" s="29" t="str">
        <f t="shared" si="19"/>
        <v>OK!</v>
      </c>
      <c r="P186" s="29" t="str">
        <f t="shared" si="20"/>
        <v>OK!</v>
      </c>
    </row>
    <row r="187" spans="2:16" ht="58" x14ac:dyDescent="0.35">
      <c r="B187" s="47">
        <f t="shared" si="17"/>
        <v>56</v>
      </c>
      <c r="C187" s="47" t="str">
        <f>ORÇAMENTO!A337</f>
        <v>5.1.2.1.2</v>
      </c>
      <c r="D187" s="47" t="str">
        <f>ORÇAMENTO!B337</f>
        <v xml:space="preserve"> 102285 </v>
      </c>
      <c r="E187" s="47" t="str">
        <f>ORÇAMENTO!C337</f>
        <v>SINAPI</v>
      </c>
      <c r="F187" s="48" t="str">
        <f>ORÇAMENTO!D337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G187" s="47" t="str">
        <f>ORÇAMENTO!E337</f>
        <v>M³</v>
      </c>
      <c r="H187" s="47">
        <f>ORÇAMENTO!F337</f>
        <v>33.6</v>
      </c>
      <c r="I187" s="47">
        <f>ORÇAMENTO!G337</f>
        <v>11.17</v>
      </c>
      <c r="J187" s="47">
        <f>ORÇAMENTO!H337</f>
        <v>0.2122</v>
      </c>
      <c r="K187" s="47">
        <f>ORÇAMENTO!I337</f>
        <v>13.54</v>
      </c>
      <c r="L187" s="49">
        <f>ORÇAMENTO!J337</f>
        <v>454.94</v>
      </c>
      <c r="N187" s="29" t="str">
        <f t="shared" si="18"/>
        <v>OK!</v>
      </c>
      <c r="O187" s="29" t="str">
        <f t="shared" si="19"/>
        <v>OK!</v>
      </c>
      <c r="P187" s="29" t="str">
        <f t="shared" si="20"/>
        <v>OK!</v>
      </c>
    </row>
    <row r="188" spans="2:16" ht="58" x14ac:dyDescent="0.35">
      <c r="B188" s="47">
        <f t="shared" si="17"/>
        <v>56</v>
      </c>
      <c r="C188" s="47" t="str">
        <f>ORÇAMENTO!A416</f>
        <v>5.1.2.7.8</v>
      </c>
      <c r="D188" s="47" t="str">
        <f>ORÇAMENTO!B416</f>
        <v xml:space="preserve"> 102285 </v>
      </c>
      <c r="E188" s="47" t="str">
        <f>ORÇAMENTO!C416</f>
        <v>SINAPI</v>
      </c>
      <c r="F188" s="48" t="str">
        <f>ORÇAMENTO!D416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G188" s="47" t="str">
        <f>ORÇAMENTO!E416</f>
        <v>M³</v>
      </c>
      <c r="H188" s="47">
        <f>ORÇAMENTO!F416</f>
        <v>133.37</v>
      </c>
      <c r="I188" s="47">
        <f>ORÇAMENTO!G416</f>
        <v>11.17</v>
      </c>
      <c r="J188" s="47">
        <f>ORÇAMENTO!H416</f>
        <v>0.2122</v>
      </c>
      <c r="K188" s="47">
        <f>ORÇAMENTO!I416</f>
        <v>13.54</v>
      </c>
      <c r="L188" s="49">
        <f>ORÇAMENTO!J416</f>
        <v>1805.82</v>
      </c>
      <c r="N188" s="29" t="str">
        <f t="shared" si="18"/>
        <v>OK!</v>
      </c>
      <c r="O188" s="29" t="str">
        <f t="shared" si="19"/>
        <v>OK!</v>
      </c>
      <c r="P188" s="29" t="str">
        <f t="shared" si="20"/>
        <v>OK!</v>
      </c>
    </row>
    <row r="189" spans="2:16" ht="58" x14ac:dyDescent="0.35">
      <c r="B189" s="47">
        <f t="shared" si="17"/>
        <v>57</v>
      </c>
      <c r="C189" s="47" t="str">
        <f>ORÇAMENTO!A211</f>
        <v>4.1.2.6.13</v>
      </c>
      <c r="D189" s="47" t="str">
        <f>ORÇAMENTO!B211</f>
        <v xml:space="preserve"> 90086 </v>
      </c>
      <c r="E189" s="47" t="str">
        <f>ORÇAMENTO!C211</f>
        <v>SINAPI</v>
      </c>
      <c r="F189" s="48" t="str">
        <f>ORÇAMENTO!D211</f>
        <v>ESCAVAÇÃO MECANIZADA DE VALA COM PROF. MAIOR QUE 3,0 M ATÉ 4,5 M(MÉDIA MONTANTE E JUSANTE/UMA COMPOSIÇÃO POR TRECHO), ESCAVADEIRA (0,8 M3), LARG. MENOR QUE 1,5 M, EM SOLO DE 1A CATEGORIA, EM LOCAIS COM ALTO NÍVEL DE INTERFERÊNCIA. AF_09/2024</v>
      </c>
      <c r="G189" s="47" t="str">
        <f>ORÇAMENTO!E211</f>
        <v>M³</v>
      </c>
      <c r="H189" s="47">
        <f>ORÇAMENTO!F211</f>
        <v>12.01</v>
      </c>
      <c r="I189" s="47">
        <f>ORÇAMENTO!G211</f>
        <v>8.5299999999999994</v>
      </c>
      <c r="J189" s="47">
        <f>ORÇAMENTO!H211</f>
        <v>0.2122</v>
      </c>
      <c r="K189" s="47">
        <f>ORÇAMENTO!I211</f>
        <v>10.34</v>
      </c>
      <c r="L189" s="49">
        <f>ORÇAMENTO!J211</f>
        <v>124.18</v>
      </c>
      <c r="N189" s="29" t="str">
        <f t="shared" si="18"/>
        <v>DIFERENTE</v>
      </c>
      <c r="O189" s="29" t="str">
        <f t="shared" si="19"/>
        <v>DIFERENTE</v>
      </c>
      <c r="P189" s="29" t="str">
        <f t="shared" si="20"/>
        <v>DIFERENTE</v>
      </c>
    </row>
    <row r="190" spans="2:16" ht="58" x14ac:dyDescent="0.35">
      <c r="B190" s="47">
        <f t="shared" si="17"/>
        <v>57</v>
      </c>
      <c r="C190" s="47" t="str">
        <f>ORÇAMENTO!A421</f>
        <v>5.1.2.7.13</v>
      </c>
      <c r="D190" s="47" t="str">
        <f>ORÇAMENTO!B421</f>
        <v xml:space="preserve"> 90086 </v>
      </c>
      <c r="E190" s="47" t="str">
        <f>ORÇAMENTO!C421</f>
        <v>SINAPI</v>
      </c>
      <c r="F190" s="48" t="str">
        <f>ORÇAMENTO!D421</f>
        <v>ESCAVAÇÃO MECANIZADA DE VALA COM PROF. MAIOR QUE 3,0 M ATÉ 4,5 M(MÉDIA MONTANTE E JUSANTE/UMA COMPOSIÇÃO POR TRECHO), ESCAVADEIRA (0,8 M3), LARG. MENOR QUE 1,5 M, EM SOLO DE 1A CATEGORIA, EM LOCAIS COM ALTO NÍVEL DE INTERFERÊNCIA. AF_09/2024</v>
      </c>
      <c r="G190" s="47" t="str">
        <f>ORÇAMENTO!E421</f>
        <v>M³</v>
      </c>
      <c r="H190" s="47">
        <f>ORÇAMENTO!F421</f>
        <v>13.67</v>
      </c>
      <c r="I190" s="47">
        <f>ORÇAMENTO!G421</f>
        <v>8.5299999999999994</v>
      </c>
      <c r="J190" s="47">
        <f>ORÇAMENTO!H421</f>
        <v>0.2122</v>
      </c>
      <c r="K190" s="47">
        <f>ORÇAMENTO!I421</f>
        <v>10.34</v>
      </c>
      <c r="L190" s="49">
        <f>ORÇAMENTO!J421</f>
        <v>141.34</v>
      </c>
      <c r="N190" s="29" t="str">
        <f t="shared" si="18"/>
        <v>OK!</v>
      </c>
      <c r="O190" s="29" t="str">
        <f t="shared" si="19"/>
        <v>OK!</v>
      </c>
      <c r="P190" s="29" t="str">
        <f t="shared" si="20"/>
        <v>OK!</v>
      </c>
    </row>
    <row r="191" spans="2:16" ht="58" x14ac:dyDescent="0.35">
      <c r="B191" s="47">
        <f t="shared" si="17"/>
        <v>58</v>
      </c>
      <c r="C191" s="47" t="str">
        <f>ORÇAMENTO!A339</f>
        <v>5.1.2.1.4</v>
      </c>
      <c r="D191" s="47" t="str">
        <f>ORÇAMENTO!B339</f>
        <v xml:space="preserve"> 102289 </v>
      </c>
      <c r="E191" s="47" t="str">
        <f>ORÇAMENTO!C339</f>
        <v>SINAPI</v>
      </c>
      <c r="F191" s="48" t="str">
        <f>ORÇAMENTO!D339</f>
        <v>ESCAVAÇÃO MECANIZADA DE VALA COM PROF. MAIOR QUE 4,5 M ATÉ 6,0 M (MÉDIA MONTANTE E JUSANTE/UMA COMPOSIÇÃO POR TRECHO), ESCAVADEIRA (1,2 M3), LARG. DE 1,5 M A 2,5 M, EM SOLO MOLE, EM LOCAIS COM ALTO NÍVEL DE INTERFERÊNCIA. AF_09/2024</v>
      </c>
      <c r="G191" s="47" t="str">
        <f>ORÇAMENTO!E339</f>
        <v>M³</v>
      </c>
      <c r="H191" s="47">
        <f>ORÇAMENTO!F339</f>
        <v>135.2088</v>
      </c>
      <c r="I191" s="47">
        <f>ORÇAMENTO!G339</f>
        <v>10.73</v>
      </c>
      <c r="J191" s="47">
        <f>ORÇAMENTO!H339</f>
        <v>0.2122</v>
      </c>
      <c r="K191" s="47">
        <f>ORÇAMENTO!I339</f>
        <v>13.01</v>
      </c>
      <c r="L191" s="49">
        <f>ORÇAMENTO!J339</f>
        <v>1759.06</v>
      </c>
      <c r="N191" s="29" t="str">
        <f t="shared" si="18"/>
        <v>DIFERENTE</v>
      </c>
      <c r="O191" s="29" t="str">
        <f t="shared" si="19"/>
        <v>DIFERENTE</v>
      </c>
      <c r="P191" s="29" t="str">
        <f t="shared" si="20"/>
        <v>DIFERENTE</v>
      </c>
    </row>
    <row r="192" spans="2:16" ht="43.5" x14ac:dyDescent="0.35">
      <c r="B192" s="47">
        <f t="shared" si="17"/>
        <v>59</v>
      </c>
      <c r="C192" s="47" t="str">
        <f>ORÇAMENTO!A347</f>
        <v>5.1.2.1.12</v>
      </c>
      <c r="D192" s="47" t="str">
        <f>ORÇAMENTO!B347</f>
        <v xml:space="preserve"> 00000005 </v>
      </c>
      <c r="E192" s="47" t="str">
        <f>ORÇAMENTO!C347</f>
        <v>PRÓPRIO</v>
      </c>
      <c r="F192" s="48" t="str">
        <f>ORÇAMENTO!D347</f>
        <v>ESCAVAÇÃO MECANIZADA DE VALAS EM MATERIAL DE 1ª E/OU 2ª CATEGORIAS, LARGURA MAIOR QUE 2,5M E ACIMA DE 4,00 M E ATÉ 6,00 M DE PROFUNDIDADE.</v>
      </c>
      <c r="G192" s="47" t="str">
        <f>ORÇAMENTO!E347</f>
        <v>M³</v>
      </c>
      <c r="H192" s="47">
        <f>ORÇAMENTO!F347</f>
        <v>199.37329589352612</v>
      </c>
      <c r="I192" s="47">
        <f>ORÇAMENTO!G347</f>
        <v>26.13</v>
      </c>
      <c r="J192" s="47">
        <f>ORÇAMENTO!H347</f>
        <v>0.2122</v>
      </c>
      <c r="K192" s="47">
        <f>ORÇAMENTO!I347</f>
        <v>31.67</v>
      </c>
      <c r="L192" s="49">
        <f>ORÇAMENTO!J347</f>
        <v>6314.15</v>
      </c>
      <c r="N192" s="29" t="str">
        <f t="shared" si="18"/>
        <v>DIFERENTE</v>
      </c>
      <c r="O192" s="29" t="str">
        <f t="shared" si="19"/>
        <v>DIFERENTE</v>
      </c>
      <c r="P192" s="29" t="str">
        <f t="shared" si="20"/>
        <v>DIFERENTE</v>
      </c>
    </row>
    <row r="193" spans="2:16" ht="29" x14ac:dyDescent="0.35">
      <c r="B193" s="47">
        <f t="shared" si="17"/>
        <v>60</v>
      </c>
      <c r="C193" s="47" t="str">
        <f>ORÇAMENTO!A147</f>
        <v>4.1.2.1.8</v>
      </c>
      <c r="D193" s="47" t="str">
        <f>ORÇAMENTO!B147</f>
        <v xml:space="preserve"> 00000003 </v>
      </c>
      <c r="E193" s="47" t="str">
        <f>ORÇAMENTO!C147</f>
        <v>PRÓPRIO</v>
      </c>
      <c r="F193" s="48" t="str">
        <f>ORÇAMENTO!D147</f>
        <v>ESCAVAÇÃO MECANIZADA DE VALAS EM MATERIAL DE 1ª E/OU 2ª CATEGORIAS, LARGURA MAIOR QUE 2,5M E ATÉ 2,00 M DE PROFUNDIDADE</v>
      </c>
      <c r="G193" s="47" t="str">
        <f>ORÇAMENTO!E147</f>
        <v>M³</v>
      </c>
      <c r="H193" s="47">
        <f>ORÇAMENTO!F147</f>
        <v>1495.9360000000001</v>
      </c>
      <c r="I193" s="47">
        <f>ORÇAMENTO!G147</f>
        <v>13.06</v>
      </c>
      <c r="J193" s="47">
        <f>ORÇAMENTO!H147</f>
        <v>0.2122</v>
      </c>
      <c r="K193" s="47">
        <f>ORÇAMENTO!I147</f>
        <v>15.83</v>
      </c>
      <c r="L193" s="49">
        <f>ORÇAMENTO!J147</f>
        <v>23680.66</v>
      </c>
      <c r="N193" s="29" t="str">
        <f t="shared" si="18"/>
        <v>DIFERENTE</v>
      </c>
      <c r="O193" s="29" t="str">
        <f t="shared" si="19"/>
        <v>DIFERENTE</v>
      </c>
      <c r="P193" s="29" t="str">
        <f t="shared" si="20"/>
        <v>DIFERENTE</v>
      </c>
    </row>
    <row r="194" spans="2:16" ht="29" x14ac:dyDescent="0.35">
      <c r="B194" s="47">
        <f t="shared" si="17"/>
        <v>60</v>
      </c>
      <c r="C194" s="47" t="str">
        <f>ORÇAMENTO!A345</f>
        <v>5.1.2.1.10</v>
      </c>
      <c r="D194" s="47" t="str">
        <f>ORÇAMENTO!B345</f>
        <v xml:space="preserve"> 00000003 </v>
      </c>
      <c r="E194" s="47" t="str">
        <f>ORÇAMENTO!C345</f>
        <v>PRÓPRIO</v>
      </c>
      <c r="F194" s="48" t="str">
        <f>ORÇAMENTO!D345</f>
        <v>ESCAVAÇÃO MECANIZADA DE VALAS EM MATERIAL DE 1ª E/OU 2ª CATEGORIAS, LARGURA MAIOR QUE 2,5M E ATÉ 2,00 M DE PROFUNDIDADE</v>
      </c>
      <c r="G194" s="47" t="str">
        <f>ORÇAMENTO!E345</f>
        <v>M³</v>
      </c>
      <c r="H194" s="47">
        <f>ORÇAMENTO!F345</f>
        <v>2619.0714380102308</v>
      </c>
      <c r="I194" s="47">
        <f>ORÇAMENTO!G345</f>
        <v>13.06</v>
      </c>
      <c r="J194" s="47">
        <f>ORÇAMENTO!H345</f>
        <v>0.2122</v>
      </c>
      <c r="K194" s="47">
        <f>ORÇAMENTO!I345</f>
        <v>15.83</v>
      </c>
      <c r="L194" s="49">
        <f>ORÇAMENTO!J345</f>
        <v>41459.9</v>
      </c>
      <c r="N194" s="29" t="str">
        <f t="shared" si="18"/>
        <v>OK!</v>
      </c>
      <c r="O194" s="29" t="str">
        <f t="shared" si="19"/>
        <v>OK!</v>
      </c>
      <c r="P194" s="29" t="str">
        <f t="shared" si="20"/>
        <v>OK!</v>
      </c>
    </row>
    <row r="195" spans="2:16" ht="43.5" x14ac:dyDescent="0.35">
      <c r="B195" s="47">
        <f t="shared" si="17"/>
        <v>61</v>
      </c>
      <c r="C195" s="47" t="str">
        <f>ORÇAMENTO!A148</f>
        <v>4.1.2.1.9</v>
      </c>
      <c r="D195" s="47" t="str">
        <f>ORÇAMENTO!B148</f>
        <v xml:space="preserve"> 00000004 </v>
      </c>
      <c r="E195" s="47" t="str">
        <f>ORÇAMENTO!C148</f>
        <v>PRÓPRIO</v>
      </c>
      <c r="F195" s="48" t="str">
        <f>ORÇAMENTO!D148</f>
        <v>ESCAVAÇÃO MECANIZADA DE VALAS EM MATERIAL DE 1ª E/OU 2ª CATEGORIAS, LARGURA MAIOR QUE 2,5M EACIMA DE 2,00 M  E ATÉ 4,00 M DE PROFUNDIDADE.</v>
      </c>
      <c r="G195" s="47" t="str">
        <f>ORÇAMENTO!E148</f>
        <v>M³</v>
      </c>
      <c r="H195" s="47">
        <f>ORÇAMENTO!F148</f>
        <v>976.9048851495038</v>
      </c>
      <c r="I195" s="47">
        <f>ORÇAMENTO!G148</f>
        <v>17.96</v>
      </c>
      <c r="J195" s="47">
        <f>ORÇAMENTO!H148</f>
        <v>0.2122</v>
      </c>
      <c r="K195" s="47">
        <f>ORÇAMENTO!I148</f>
        <v>21.77</v>
      </c>
      <c r="L195" s="49">
        <f>ORÇAMENTO!J148</f>
        <v>21267.21</v>
      </c>
      <c r="N195" s="29" t="str">
        <f t="shared" si="18"/>
        <v>DIFERENTE</v>
      </c>
      <c r="O195" s="29" t="str">
        <f t="shared" si="19"/>
        <v>DIFERENTE</v>
      </c>
      <c r="P195" s="29" t="str">
        <f t="shared" si="20"/>
        <v>DIFERENTE</v>
      </c>
    </row>
    <row r="196" spans="2:16" ht="43.5" x14ac:dyDescent="0.35">
      <c r="B196" s="47">
        <f t="shared" ref="B196:B259" si="21">IF(EXACT(F195,F196),B195,B195+1)</f>
        <v>61</v>
      </c>
      <c r="C196" s="47" t="str">
        <f>ORÇAMENTO!A346</f>
        <v>5.1.2.1.11</v>
      </c>
      <c r="D196" s="47" t="str">
        <f>ORÇAMENTO!B346</f>
        <v xml:space="preserve"> 00000004 </v>
      </c>
      <c r="E196" s="47" t="str">
        <f>ORÇAMENTO!C346</f>
        <v>PRÓPRIO</v>
      </c>
      <c r="F196" s="48" t="str">
        <f>ORÇAMENTO!D346</f>
        <v>ESCAVAÇÃO MECANIZADA DE VALAS EM MATERIAL DE 1ª E/OU 2ª CATEGORIAS, LARGURA MAIOR QUE 2,5M EACIMA DE 2,00 M  E ATÉ 4,00 M DE PROFUNDIDADE.</v>
      </c>
      <c r="G196" s="47" t="str">
        <f>ORÇAMENTO!E346</f>
        <v>M³</v>
      </c>
      <c r="H196" s="47">
        <f>ORÇAMENTO!F346</f>
        <v>1127.8564247435831</v>
      </c>
      <c r="I196" s="47">
        <f>ORÇAMENTO!G346</f>
        <v>17.96</v>
      </c>
      <c r="J196" s="47">
        <f>ORÇAMENTO!H346</f>
        <v>0.2122</v>
      </c>
      <c r="K196" s="47">
        <f>ORÇAMENTO!I346</f>
        <v>21.77</v>
      </c>
      <c r="L196" s="49">
        <f>ORÇAMENTO!J346</f>
        <v>24553.43</v>
      </c>
      <c r="N196" s="29" t="str">
        <f t="shared" si="18"/>
        <v>OK!</v>
      </c>
      <c r="O196" s="29" t="str">
        <f t="shared" si="19"/>
        <v>OK!</v>
      </c>
      <c r="P196" s="29" t="str">
        <f t="shared" si="20"/>
        <v>OK!</v>
      </c>
    </row>
    <row r="197" spans="2:16" ht="43.5" x14ac:dyDescent="0.35">
      <c r="B197" s="47">
        <f t="shared" si="21"/>
        <v>62</v>
      </c>
      <c r="C197" s="47" t="str">
        <f>ORÇAMENTO!A160</f>
        <v>4.1.2.3.4</v>
      </c>
      <c r="D197" s="47" t="str">
        <f>ORÇAMENTO!B160</f>
        <v xml:space="preserve"> 07.93.32 </v>
      </c>
      <c r="E197" s="47" t="str">
        <f>ORÇAMENTO!C160</f>
        <v>EMBASA</v>
      </c>
      <c r="F197" s="48" t="str">
        <f>ORÇAMENTO!D160</f>
        <v>ESCORAMENTO DE VALA, TIPO BLINDADEM, COM PROFUNDIDADE DE 0 A 1,5 M, LARGURA MAIOR OU IGUAL A 1,5 M EMENOR QUE 2,5 M - EXECUÇÃO E FORNECIMENTO, INCLUI MATERIAL (ESCAVAÇÃO EXTERNA AO BLINDADO)</v>
      </c>
      <c r="G197" s="47" t="str">
        <f>ORÇAMENTO!E160</f>
        <v>M²</v>
      </c>
      <c r="H197" s="47">
        <f>ORÇAMENTO!F160</f>
        <v>655.46144029892298</v>
      </c>
      <c r="I197" s="47">
        <f>ORÇAMENTO!G160</f>
        <v>32.4</v>
      </c>
      <c r="J197" s="47">
        <f>ORÇAMENTO!H160</f>
        <v>0.2122</v>
      </c>
      <c r="K197" s="47">
        <f>ORÇAMENTO!I160</f>
        <v>39.28</v>
      </c>
      <c r="L197" s="49">
        <f>ORÇAMENTO!J160</f>
        <v>25746.52</v>
      </c>
      <c r="N197" s="29" t="str">
        <f t="shared" si="18"/>
        <v>DIFERENTE</v>
      </c>
      <c r="O197" s="29" t="str">
        <f t="shared" si="19"/>
        <v>DIFERENTE</v>
      </c>
      <c r="P197" s="29" t="str">
        <f t="shared" si="20"/>
        <v>DIFERENTE</v>
      </c>
    </row>
    <row r="198" spans="2:16" ht="43.5" x14ac:dyDescent="0.35">
      <c r="B198" s="47">
        <f t="shared" si="21"/>
        <v>62</v>
      </c>
      <c r="C198" s="47" t="str">
        <f>ORÇAMENTO!A218</f>
        <v>4.1.2.6.20</v>
      </c>
      <c r="D198" s="47" t="str">
        <f>ORÇAMENTO!B218</f>
        <v xml:space="preserve"> 07.93.32 </v>
      </c>
      <c r="E198" s="47" t="str">
        <f>ORÇAMENTO!C218</f>
        <v>EMBASA</v>
      </c>
      <c r="F198" s="48" t="str">
        <f>ORÇAMENTO!D218</f>
        <v>ESCORAMENTO DE VALA, TIPO BLINDADEM, COM PROFUNDIDADE DE 0 A 1,5 M, LARGURA MAIOR OU IGUAL A 1,5 M EMENOR QUE 2,5 M - EXECUÇÃO E FORNECIMENTO, INCLUI MATERIAL (ESCAVAÇÃO EXTERNA AO BLINDADO)</v>
      </c>
      <c r="G198" s="47" t="str">
        <f>ORÇAMENTO!E218</f>
        <v>M²</v>
      </c>
      <c r="H198" s="47">
        <f>ORÇAMENTO!F218</f>
        <v>565.69000000000005</v>
      </c>
      <c r="I198" s="47">
        <f>ORÇAMENTO!G218</f>
        <v>32.4</v>
      </c>
      <c r="J198" s="47">
        <f>ORÇAMENTO!H218</f>
        <v>0.2122</v>
      </c>
      <c r="K198" s="47">
        <f>ORÇAMENTO!I218</f>
        <v>39.28</v>
      </c>
      <c r="L198" s="49">
        <f>ORÇAMENTO!J218</f>
        <v>22220.3</v>
      </c>
      <c r="N198" s="29" t="str">
        <f t="shared" si="18"/>
        <v>OK!</v>
      </c>
      <c r="O198" s="29" t="str">
        <f t="shared" si="19"/>
        <v>OK!</v>
      </c>
      <c r="P198" s="29" t="str">
        <f t="shared" si="20"/>
        <v>OK!</v>
      </c>
    </row>
    <row r="199" spans="2:16" ht="43.5" x14ac:dyDescent="0.35">
      <c r="B199" s="47">
        <f t="shared" si="21"/>
        <v>62</v>
      </c>
      <c r="C199" s="47" t="str">
        <f>ORÇAMENTO!A358</f>
        <v>5.1.2.3.3</v>
      </c>
      <c r="D199" s="47" t="str">
        <f>ORÇAMENTO!B358</f>
        <v xml:space="preserve"> 07.93.32 </v>
      </c>
      <c r="E199" s="47" t="str">
        <f>ORÇAMENTO!C358</f>
        <v>EMBASA</v>
      </c>
      <c r="F199" s="48" t="str">
        <f>ORÇAMENTO!D358</f>
        <v>ESCORAMENTO DE VALA, TIPO BLINDADEM, COM PROFUNDIDADE DE 0 A 1,5 M, LARGURA MAIOR OU IGUAL A 1,5 M EMENOR QUE 2,5 M - EXECUÇÃO E FORNECIMENTO, INCLUI MATERIAL (ESCAVAÇÃO EXTERNA AO BLINDADO)</v>
      </c>
      <c r="G199" s="47" t="str">
        <f>ORÇAMENTO!E358</f>
        <v>M²</v>
      </c>
      <c r="H199" s="47">
        <f>ORÇAMENTO!F358</f>
        <v>3572.0400000000009</v>
      </c>
      <c r="I199" s="47">
        <f>ORÇAMENTO!G358</f>
        <v>32.4</v>
      </c>
      <c r="J199" s="47">
        <f>ORÇAMENTO!H358</f>
        <v>0.2122</v>
      </c>
      <c r="K199" s="47">
        <f>ORÇAMENTO!I358</f>
        <v>39.28</v>
      </c>
      <c r="L199" s="49">
        <f>ORÇAMENTO!J358</f>
        <v>140309.73000000001</v>
      </c>
      <c r="N199" s="29" t="str">
        <f t="shared" si="18"/>
        <v>OK!</v>
      </c>
      <c r="O199" s="29" t="str">
        <f t="shared" si="19"/>
        <v>OK!</v>
      </c>
      <c r="P199" s="29" t="str">
        <f t="shared" si="20"/>
        <v>OK!</v>
      </c>
    </row>
    <row r="200" spans="2:16" ht="43.5" x14ac:dyDescent="0.35">
      <c r="B200" s="47">
        <f t="shared" si="21"/>
        <v>62</v>
      </c>
      <c r="C200" s="47" t="str">
        <f>ORÇAMENTO!A428</f>
        <v>5.1.2.7.20</v>
      </c>
      <c r="D200" s="47" t="str">
        <f>ORÇAMENTO!B428</f>
        <v xml:space="preserve"> 07.93.32 </v>
      </c>
      <c r="E200" s="47" t="str">
        <f>ORÇAMENTO!C428</f>
        <v>EMBASA</v>
      </c>
      <c r="F200" s="48" t="str">
        <f>ORÇAMENTO!D428</f>
        <v>ESCORAMENTO DE VALA, TIPO BLINDADEM, COM PROFUNDIDADE DE 0 A 1,5 M, LARGURA MAIOR OU IGUAL A 1,5 M EMENOR QUE 2,5 M - EXECUÇÃO E FORNECIMENTO, INCLUI MATERIAL (ESCAVAÇÃO EXTERNA AO BLINDADO)</v>
      </c>
      <c r="G200" s="47" t="str">
        <f>ORÇAMENTO!E428</f>
        <v>M²</v>
      </c>
      <c r="H200" s="47">
        <f>ORÇAMENTO!F428</f>
        <v>1419.67</v>
      </c>
      <c r="I200" s="47">
        <f>ORÇAMENTO!G428</f>
        <v>32.4</v>
      </c>
      <c r="J200" s="47">
        <f>ORÇAMENTO!H428</f>
        <v>0.2122</v>
      </c>
      <c r="K200" s="47">
        <f>ORÇAMENTO!I428</f>
        <v>39.28</v>
      </c>
      <c r="L200" s="107">
        <f>ORÇAMENTO!J428</f>
        <v>55764.63</v>
      </c>
      <c r="N200" s="29" t="str">
        <f t="shared" si="18"/>
        <v>OK!</v>
      </c>
      <c r="O200" s="29" t="str">
        <f t="shared" si="19"/>
        <v>OK!</v>
      </c>
      <c r="P200" s="29" t="str">
        <f t="shared" si="20"/>
        <v>OK!</v>
      </c>
    </row>
    <row r="201" spans="2:16" ht="43.5" x14ac:dyDescent="0.35">
      <c r="B201" s="47">
        <f t="shared" si="21"/>
        <v>63</v>
      </c>
      <c r="C201" s="47" t="str">
        <f>ORÇAMENTO!A163</f>
        <v>4.1.2.3.7</v>
      </c>
      <c r="D201" s="47" t="str">
        <f>ORÇAMENTO!B163</f>
        <v xml:space="preserve"> 07.93.42 </v>
      </c>
      <c r="E201" s="47" t="str">
        <f>ORÇAMENTO!C163</f>
        <v>EMBASA</v>
      </c>
      <c r="F201" s="48" t="str">
        <f>ORÇAMENTO!D163</f>
        <v>ESCORAMENTO DE VALA, TIPO BLINDADEM, COM PROFUNDIDADE DE 0 A 1,5 M, LARGURA MAIOR OU IGUAL A 2,5 M EMENOR QUE 3,5 M - EXECUÇÃO E FORNECIMENTO, INCLUI MATERIAL (ESCAVAÇÃO EXTERNA AO BLINDADO)</v>
      </c>
      <c r="G201" s="47" t="str">
        <f>ORÇAMENTO!E163</f>
        <v>M²</v>
      </c>
      <c r="H201" s="47">
        <f>ORÇAMENTO!F163</f>
        <v>863.04000000000019</v>
      </c>
      <c r="I201" s="47">
        <f>ORÇAMENTO!G163</f>
        <v>47.36</v>
      </c>
      <c r="J201" s="47">
        <f>ORÇAMENTO!H163</f>
        <v>0.2122</v>
      </c>
      <c r="K201" s="47">
        <f>ORÇAMENTO!I163</f>
        <v>57.41</v>
      </c>
      <c r="L201" s="49">
        <f>ORÇAMENTO!J163</f>
        <v>49547.12</v>
      </c>
      <c r="N201" s="29" t="str">
        <f t="shared" si="18"/>
        <v>DIFERENTE</v>
      </c>
      <c r="O201" s="29" t="str">
        <f t="shared" si="19"/>
        <v>DIFERENTE</v>
      </c>
      <c r="P201" s="29" t="str">
        <f t="shared" si="20"/>
        <v>DIFERENTE</v>
      </c>
    </row>
    <row r="202" spans="2:16" ht="43.5" x14ac:dyDescent="0.35">
      <c r="B202" s="47">
        <f t="shared" si="21"/>
        <v>63</v>
      </c>
      <c r="C202" s="47" t="str">
        <f>ORÇAMENTO!A361</f>
        <v>5.1.2.3.6</v>
      </c>
      <c r="D202" s="47" t="str">
        <f>ORÇAMENTO!B361</f>
        <v xml:space="preserve"> 07.93.42 </v>
      </c>
      <c r="E202" s="47" t="str">
        <f>ORÇAMENTO!C361</f>
        <v>EMBASA</v>
      </c>
      <c r="F202" s="48" t="str">
        <f>ORÇAMENTO!D361</f>
        <v>ESCORAMENTO DE VALA, TIPO BLINDADEM, COM PROFUNDIDADE DE 0 A 1,5 M, LARGURA MAIOR OU IGUAL A 2,5 M EMENOR QUE 3,5 M - EXECUÇÃO E FORNECIMENTO, INCLUI MATERIAL (ESCAVAÇÃO EXTERNA AO BLINDADO)</v>
      </c>
      <c r="G202" s="47" t="str">
        <f>ORÇAMENTO!E361</f>
        <v>M²</v>
      </c>
      <c r="H202" s="47">
        <f>ORÇAMENTO!F361</f>
        <v>1492.4999999999998</v>
      </c>
      <c r="I202" s="47">
        <f>ORÇAMENTO!G361</f>
        <v>47.36</v>
      </c>
      <c r="J202" s="47">
        <f>ORÇAMENTO!H361</f>
        <v>0.2122</v>
      </c>
      <c r="K202" s="47">
        <f>ORÇAMENTO!I361</f>
        <v>57.41</v>
      </c>
      <c r="L202" s="49">
        <f>ORÇAMENTO!J361</f>
        <v>85684.42</v>
      </c>
      <c r="N202" s="29" t="str">
        <f t="shared" si="18"/>
        <v>OK!</v>
      </c>
      <c r="O202" s="29" t="str">
        <f t="shared" si="19"/>
        <v>OK!</v>
      </c>
      <c r="P202" s="29" t="str">
        <f t="shared" si="20"/>
        <v>OK!</v>
      </c>
    </row>
    <row r="203" spans="2:16" ht="43.5" x14ac:dyDescent="0.35">
      <c r="B203" s="47">
        <f t="shared" si="21"/>
        <v>64</v>
      </c>
      <c r="C203" s="47" t="str">
        <f>ORÇAMENTO!A157</f>
        <v>4.1.2.3.1</v>
      </c>
      <c r="D203" s="47" t="str">
        <f>ORÇAMENTO!B157</f>
        <v xml:space="preserve"> 07.93.30 </v>
      </c>
      <c r="E203" s="47" t="str">
        <f>ORÇAMENTO!C157</f>
        <v>EMBASA</v>
      </c>
      <c r="F203" s="48" t="str">
        <f>ORÇAMENTO!D157</f>
        <v>ESCORAMENTO DE VALA, TIPO BLINDAGEM, COM PROFUNDIDADE DE 0 A 1,5 M, LARGURA MENOR QUE 1,5 M - EXECUÇÃO E FORNECIMENTO, INCLUI MATERIAL (ESCAVAÇÃO EXTERNA AO BLINDADO)</v>
      </c>
      <c r="G203" s="47" t="str">
        <f>ORÇAMENTO!E157</f>
        <v>M²</v>
      </c>
      <c r="H203" s="47">
        <f>ORÇAMENTO!F157</f>
        <v>737.98922515640265</v>
      </c>
      <c r="I203" s="47">
        <f>ORÇAMENTO!G157</f>
        <v>23.05</v>
      </c>
      <c r="J203" s="47">
        <f>ORÇAMENTO!H157</f>
        <v>0.2122</v>
      </c>
      <c r="K203" s="47">
        <f>ORÇAMENTO!I157</f>
        <v>27.94</v>
      </c>
      <c r="L203" s="107">
        <f>ORÇAMENTO!J157</f>
        <v>20619.41</v>
      </c>
      <c r="N203" s="29" t="str">
        <f t="shared" si="18"/>
        <v>DIFERENTE</v>
      </c>
      <c r="O203" s="29" t="str">
        <f t="shared" si="19"/>
        <v>DIFERENTE</v>
      </c>
      <c r="P203" s="29" t="str">
        <f t="shared" si="20"/>
        <v>DIFERENTE</v>
      </c>
    </row>
    <row r="204" spans="2:16" ht="43.5" x14ac:dyDescent="0.35">
      <c r="B204" s="47">
        <f t="shared" si="21"/>
        <v>64</v>
      </c>
      <c r="C204" s="47" t="str">
        <f>ORÇAMENTO!A215</f>
        <v>4.1.2.6.17</v>
      </c>
      <c r="D204" s="47" t="str">
        <f>ORÇAMENTO!B215</f>
        <v xml:space="preserve"> 07.93.30 </v>
      </c>
      <c r="E204" s="47" t="str">
        <f>ORÇAMENTO!C215</f>
        <v>EMBASA</v>
      </c>
      <c r="F204" s="48" t="str">
        <f>ORÇAMENTO!D215</f>
        <v>ESCORAMENTO DE VALA, TIPO BLINDAGEM, COM PROFUNDIDADE DE 0 A 1,5 M, LARGURA MENOR QUE 1,5 M - EXECUÇÃO E FORNECIMENTO, INCLUI MATERIAL (ESCAVAÇÃO EXTERNA AO BLINDADO)</v>
      </c>
      <c r="G204" s="47" t="str">
        <f>ORÇAMENTO!E215</f>
        <v>M²</v>
      </c>
      <c r="H204" s="47">
        <f>ORÇAMENTO!F215</f>
        <v>1421.79</v>
      </c>
      <c r="I204" s="47">
        <f>ORÇAMENTO!G215</f>
        <v>23.05</v>
      </c>
      <c r="J204" s="47">
        <f>ORÇAMENTO!H215</f>
        <v>0.2122</v>
      </c>
      <c r="K204" s="47">
        <f>ORÇAMENTO!I215</f>
        <v>27.94</v>
      </c>
      <c r="L204" s="49">
        <f>ORÇAMENTO!J215</f>
        <v>39724.81</v>
      </c>
      <c r="N204" s="29" t="str">
        <f t="shared" si="18"/>
        <v>OK!</v>
      </c>
      <c r="O204" s="29" t="str">
        <f t="shared" si="19"/>
        <v>OK!</v>
      </c>
      <c r="P204" s="29" t="str">
        <f t="shared" si="20"/>
        <v>OK!</v>
      </c>
    </row>
    <row r="205" spans="2:16" ht="43.5" x14ac:dyDescent="0.35">
      <c r="B205" s="47">
        <f t="shared" si="21"/>
        <v>64</v>
      </c>
      <c r="C205" s="47" t="str">
        <f>ORÇAMENTO!A356</f>
        <v>5.1.2.3.1</v>
      </c>
      <c r="D205" s="47" t="str">
        <f>ORÇAMENTO!B356</f>
        <v xml:space="preserve"> 07.93.30 </v>
      </c>
      <c r="E205" s="47" t="str">
        <f>ORÇAMENTO!C356</f>
        <v>EMBASA</v>
      </c>
      <c r="F205" s="48" t="str">
        <f>ORÇAMENTO!D356</f>
        <v>ESCORAMENTO DE VALA, TIPO BLINDAGEM, COM PROFUNDIDADE DE 0 A 1,5 M, LARGURA MENOR QUE 1,5 M - EXECUÇÃO E FORNECIMENTO, INCLUI MATERIAL (ESCAVAÇÃO EXTERNA AO BLINDADO)</v>
      </c>
      <c r="G205" s="47" t="str">
        <f>ORÇAMENTO!E356</f>
        <v>M²</v>
      </c>
      <c r="H205" s="47">
        <f>ORÇAMENTO!F356</f>
        <v>2904.2400000000002</v>
      </c>
      <c r="I205" s="47">
        <f>ORÇAMENTO!G356</f>
        <v>23.05</v>
      </c>
      <c r="J205" s="47">
        <f>ORÇAMENTO!H356</f>
        <v>0.2122</v>
      </c>
      <c r="K205" s="47">
        <f>ORÇAMENTO!I356</f>
        <v>27.94</v>
      </c>
      <c r="L205" s="107">
        <f>ORÇAMENTO!J356</f>
        <v>81144.460000000006</v>
      </c>
      <c r="N205" s="29" t="str">
        <f t="shared" si="18"/>
        <v>OK!</v>
      </c>
      <c r="O205" s="29" t="str">
        <f t="shared" si="19"/>
        <v>OK!</v>
      </c>
      <c r="P205" s="29" t="str">
        <f t="shared" si="20"/>
        <v>OK!</v>
      </c>
    </row>
    <row r="206" spans="2:16" ht="43.5" x14ac:dyDescent="0.35">
      <c r="B206" s="47">
        <f t="shared" si="21"/>
        <v>64</v>
      </c>
      <c r="C206" s="47" t="str">
        <f>ORÇAMENTO!A425</f>
        <v>5.1.2.7.17</v>
      </c>
      <c r="D206" s="47" t="str">
        <f>ORÇAMENTO!B425</f>
        <v xml:space="preserve"> 07.93.30 </v>
      </c>
      <c r="E206" s="47" t="str">
        <f>ORÇAMENTO!C425</f>
        <v>EMBASA</v>
      </c>
      <c r="F206" s="48" t="str">
        <f>ORÇAMENTO!D425</f>
        <v>ESCORAMENTO DE VALA, TIPO BLINDAGEM, COM PROFUNDIDADE DE 0 A 1,5 M, LARGURA MENOR QUE 1,5 M - EXECUÇÃO E FORNECIMENTO, INCLUI MATERIAL (ESCAVAÇÃO EXTERNA AO BLINDADO)</v>
      </c>
      <c r="G206" s="47" t="str">
        <f>ORÇAMENTO!E425</f>
        <v>M²</v>
      </c>
      <c r="H206" s="47">
        <f>ORÇAMENTO!F425</f>
        <v>2493.39</v>
      </c>
      <c r="I206" s="47">
        <f>ORÇAMENTO!G425</f>
        <v>23.05</v>
      </c>
      <c r="J206" s="47">
        <f>ORÇAMENTO!H425</f>
        <v>0.2122</v>
      </c>
      <c r="K206" s="47">
        <f>ORÇAMENTO!I425</f>
        <v>27.94</v>
      </c>
      <c r="L206" s="49">
        <f>ORÇAMENTO!J425</f>
        <v>69665.31</v>
      </c>
      <c r="N206" s="29" t="str">
        <f t="shared" si="18"/>
        <v>OK!</v>
      </c>
      <c r="O206" s="29" t="str">
        <f t="shared" si="19"/>
        <v>OK!</v>
      </c>
      <c r="P206" s="29" t="str">
        <f t="shared" si="20"/>
        <v>OK!</v>
      </c>
    </row>
    <row r="207" spans="2:16" ht="43.5" x14ac:dyDescent="0.35">
      <c r="B207" s="47">
        <f t="shared" si="21"/>
        <v>65</v>
      </c>
      <c r="C207" s="47" t="str">
        <f>ORÇAMENTO!A161</f>
        <v>4.1.2.3.5</v>
      </c>
      <c r="D207" s="47" t="str">
        <f>ORÇAMENTO!B161</f>
        <v xml:space="preserve"> 07.93.37 </v>
      </c>
      <c r="E207" s="47" t="str">
        <f>ORÇAMENTO!C161</f>
        <v>EMBASA</v>
      </c>
      <c r="F207" s="48" t="str">
        <f>ORÇAMENTO!D161</f>
        <v>ESCORAMENTO DE VALA, TIPO BLINDAGEM, COM PROFUNDIDADE DE 1,5 A 3,0 M, LARGURA DE 1,5 A 2,5 M -EXECUÇÃO E FORNECIMENTO, INCLUI MATERIAL (ESCAVAÇÃO INTERNA AO BLINDADO)</v>
      </c>
      <c r="G207" s="47" t="str">
        <f>ORÇAMENTO!E161</f>
        <v>M²</v>
      </c>
      <c r="H207" s="47">
        <f>ORÇAMENTO!F161</f>
        <v>655.46144029892298</v>
      </c>
      <c r="I207" s="47">
        <f>ORÇAMENTO!G161</f>
        <v>41.58</v>
      </c>
      <c r="J207" s="47">
        <f>ORÇAMENTO!H161</f>
        <v>0.2122</v>
      </c>
      <c r="K207" s="47">
        <f>ORÇAMENTO!I161</f>
        <v>50.4</v>
      </c>
      <c r="L207" s="49">
        <f>ORÇAMENTO!J161</f>
        <v>33035.25</v>
      </c>
      <c r="N207" s="29" t="str">
        <f t="shared" si="18"/>
        <v>DIFERENTE</v>
      </c>
      <c r="O207" s="29" t="str">
        <f t="shared" si="19"/>
        <v>DIFERENTE</v>
      </c>
      <c r="P207" s="29" t="str">
        <f t="shared" si="20"/>
        <v>DIFERENTE</v>
      </c>
    </row>
    <row r="208" spans="2:16" ht="43.5" x14ac:dyDescent="0.35">
      <c r="B208" s="47">
        <f t="shared" si="21"/>
        <v>65</v>
      </c>
      <c r="C208" s="47" t="str">
        <f>ORÇAMENTO!A219</f>
        <v>4.1.2.6.21</v>
      </c>
      <c r="D208" s="47" t="str">
        <f>ORÇAMENTO!B219</f>
        <v xml:space="preserve"> 07.93.37 </v>
      </c>
      <c r="E208" s="47" t="str">
        <f>ORÇAMENTO!C219</f>
        <v>EMBASA</v>
      </c>
      <c r="F208" s="48" t="str">
        <f>ORÇAMENTO!D219</f>
        <v>ESCORAMENTO DE VALA, TIPO BLINDAGEM, COM PROFUNDIDADE DE 1,5 A 3,0 M, LARGURA DE 1,5 A 2,5 M -EXECUÇÃO E FORNECIMENTO, INCLUI MATERIAL (ESCAVAÇÃO INTERNA AO BLINDADO)</v>
      </c>
      <c r="G208" s="47" t="str">
        <f>ORÇAMENTO!E219</f>
        <v>M²</v>
      </c>
      <c r="H208" s="47">
        <f>ORÇAMENTO!F219</f>
        <v>217.02</v>
      </c>
      <c r="I208" s="47">
        <f>ORÇAMENTO!G219</f>
        <v>41.58</v>
      </c>
      <c r="J208" s="47">
        <f>ORÇAMENTO!H219</f>
        <v>0.2122</v>
      </c>
      <c r="K208" s="47">
        <f>ORÇAMENTO!I219</f>
        <v>50.4</v>
      </c>
      <c r="L208" s="49">
        <f>ORÇAMENTO!J219</f>
        <v>10937.8</v>
      </c>
      <c r="N208" s="29" t="str">
        <f t="shared" si="18"/>
        <v>OK!</v>
      </c>
      <c r="O208" s="29" t="str">
        <f t="shared" si="19"/>
        <v>OK!</v>
      </c>
      <c r="P208" s="29" t="str">
        <f t="shared" si="20"/>
        <v>OK!</v>
      </c>
    </row>
    <row r="209" spans="2:16" ht="43.5" x14ac:dyDescent="0.35">
      <c r="B209" s="47">
        <f t="shared" si="21"/>
        <v>65</v>
      </c>
      <c r="C209" s="47" t="str">
        <f>ORÇAMENTO!A359</f>
        <v>5.1.2.3.4</v>
      </c>
      <c r="D209" s="47" t="str">
        <f>ORÇAMENTO!B359</f>
        <v xml:space="preserve"> 07.93.37 </v>
      </c>
      <c r="E209" s="47" t="str">
        <f>ORÇAMENTO!C359</f>
        <v>EMBASA</v>
      </c>
      <c r="F209" s="48" t="str">
        <f>ORÇAMENTO!D359</f>
        <v>ESCORAMENTO DE VALA, TIPO BLINDAGEM, COM PROFUNDIDADE DE 1,5 A 3,0 M, LARGURA DE 1,5 A 2,5 M -EXECUÇÃO E FORNECIMENTO, INCLUI MATERIAL (ESCAVAÇÃO INTERNA AO BLINDADO)</v>
      </c>
      <c r="G209" s="47" t="str">
        <f>ORÇAMENTO!E359</f>
        <v>M²</v>
      </c>
      <c r="H209" s="47">
        <f>ORÇAMENTO!F359</f>
        <v>3081.1026999999995</v>
      </c>
      <c r="I209" s="47">
        <f>ORÇAMENTO!G359</f>
        <v>41.58</v>
      </c>
      <c r="J209" s="47">
        <f>ORÇAMENTO!H359</f>
        <v>0.2122</v>
      </c>
      <c r="K209" s="47">
        <f>ORÇAMENTO!I359</f>
        <v>50.4</v>
      </c>
      <c r="L209" s="49">
        <f>ORÇAMENTO!J359</f>
        <v>155287.57</v>
      </c>
      <c r="N209" s="29" t="str">
        <f t="shared" si="18"/>
        <v>OK!</v>
      </c>
      <c r="O209" s="29" t="str">
        <f t="shared" si="19"/>
        <v>OK!</v>
      </c>
      <c r="P209" s="29" t="str">
        <f t="shared" si="20"/>
        <v>OK!</v>
      </c>
    </row>
    <row r="210" spans="2:16" ht="43.5" x14ac:dyDescent="0.35">
      <c r="B210" s="47">
        <f t="shared" si="21"/>
        <v>65</v>
      </c>
      <c r="C210" s="47" t="str">
        <f>ORÇAMENTO!A429</f>
        <v>5.1.2.7.21</v>
      </c>
      <c r="D210" s="47" t="str">
        <f>ORÇAMENTO!B429</f>
        <v xml:space="preserve"> 07.93.37 </v>
      </c>
      <c r="E210" s="47" t="str">
        <f>ORÇAMENTO!C429</f>
        <v>EMBASA</v>
      </c>
      <c r="F210" s="48" t="str">
        <f>ORÇAMENTO!D429</f>
        <v>ESCORAMENTO DE VALA, TIPO BLINDAGEM, COM PROFUNDIDADE DE 1,5 A 3,0 M, LARGURA DE 1,5 A 2,5 M -EXECUÇÃO E FORNECIMENTO, INCLUI MATERIAL (ESCAVAÇÃO INTERNA AO BLINDADO)</v>
      </c>
      <c r="G210" s="47" t="str">
        <f>ORÇAMENTO!E429</f>
        <v>M²</v>
      </c>
      <c r="H210" s="47">
        <f>ORÇAMENTO!F429</f>
        <v>536.74</v>
      </c>
      <c r="I210" s="47">
        <f>ORÇAMENTO!G429</f>
        <v>41.58</v>
      </c>
      <c r="J210" s="47">
        <f>ORÇAMENTO!H429</f>
        <v>0.2122</v>
      </c>
      <c r="K210" s="47">
        <f>ORÇAMENTO!I429</f>
        <v>50.4</v>
      </c>
      <c r="L210" s="49">
        <f>ORÇAMENTO!J429</f>
        <v>27051.69</v>
      </c>
      <c r="N210" s="29" t="str">
        <f t="shared" si="18"/>
        <v>OK!</v>
      </c>
      <c r="O210" s="29" t="str">
        <f t="shared" si="19"/>
        <v>OK!</v>
      </c>
      <c r="P210" s="29" t="str">
        <f t="shared" si="20"/>
        <v>OK!</v>
      </c>
    </row>
    <row r="211" spans="2:16" ht="43.5" x14ac:dyDescent="0.35">
      <c r="B211" s="47">
        <f t="shared" si="21"/>
        <v>66</v>
      </c>
      <c r="C211" s="47" t="str">
        <f>ORÇAMENTO!A164</f>
        <v>4.1.2.3.8</v>
      </c>
      <c r="D211" s="47" t="str">
        <f>ORÇAMENTO!B164</f>
        <v xml:space="preserve"> 07.93.45 </v>
      </c>
      <c r="E211" s="47" t="str">
        <f>ORÇAMENTO!C164</f>
        <v>EMBASA</v>
      </c>
      <c r="F211" s="48" t="str">
        <f>ORÇAMENTO!D164</f>
        <v>ESCORAMENTO DE VALA, TIPO BLINDAGEM, COM PROFUNDIDADE DE 1,5 A 3,0 M, LARGURA DE 2,5 A 3,5 M -EXECUÇÃO E FORNECIMENTO, INCLUI MATERIAL (ESCAVAÇÃO INTERNA AO BLINDADO)</v>
      </c>
      <c r="G211" s="47" t="str">
        <f>ORÇAMENTO!E164</f>
        <v>M²</v>
      </c>
      <c r="H211" s="47">
        <f>ORÇAMENTO!F164</f>
        <v>863.04000000000019</v>
      </c>
      <c r="I211" s="47">
        <f>ORÇAMENTO!G164</f>
        <v>59.71</v>
      </c>
      <c r="J211" s="47">
        <f>ORÇAMENTO!H164</f>
        <v>0.2122</v>
      </c>
      <c r="K211" s="47">
        <f>ORÇAMENTO!I164</f>
        <v>72.38</v>
      </c>
      <c r="L211" s="49">
        <f>ORÇAMENTO!J164</f>
        <v>62466.83</v>
      </c>
      <c r="N211" s="29" t="str">
        <f t="shared" si="18"/>
        <v>DIFERENTE</v>
      </c>
      <c r="O211" s="29" t="str">
        <f t="shared" si="19"/>
        <v>DIFERENTE</v>
      </c>
      <c r="P211" s="29" t="str">
        <f t="shared" si="20"/>
        <v>DIFERENTE</v>
      </c>
    </row>
    <row r="212" spans="2:16" ht="43.5" x14ac:dyDescent="0.35">
      <c r="B212" s="47">
        <f t="shared" si="21"/>
        <v>66</v>
      </c>
      <c r="C212" s="47" t="str">
        <f>ORÇAMENTO!A362</f>
        <v>5.1.2.3.7</v>
      </c>
      <c r="D212" s="47" t="str">
        <f>ORÇAMENTO!B362</f>
        <v xml:space="preserve"> 07.93.45 </v>
      </c>
      <c r="E212" s="47" t="str">
        <f>ORÇAMENTO!C362</f>
        <v>EMBASA</v>
      </c>
      <c r="F212" s="48" t="str">
        <f>ORÇAMENTO!D362</f>
        <v>ESCORAMENTO DE VALA, TIPO BLINDAGEM, COM PROFUNDIDADE DE 1,5 A 3,0 M, LARGURA DE 2,5 A 3,5 M -EXECUÇÃO E FORNECIMENTO, INCLUI MATERIAL (ESCAVAÇÃO INTERNA AO BLINDADO)</v>
      </c>
      <c r="G212" s="47" t="str">
        <f>ORÇAMENTO!E362</f>
        <v>M²</v>
      </c>
      <c r="H212" s="47">
        <f>ORÇAMENTO!F362</f>
        <v>1223.4009999999998</v>
      </c>
      <c r="I212" s="47">
        <f>ORÇAMENTO!G362</f>
        <v>59.71</v>
      </c>
      <c r="J212" s="47">
        <f>ORÇAMENTO!H362</f>
        <v>0.2122</v>
      </c>
      <c r="K212" s="47">
        <f>ORÇAMENTO!I362</f>
        <v>72.38</v>
      </c>
      <c r="L212" s="107">
        <f>ORÇAMENTO!J362</f>
        <v>88549.759999999995</v>
      </c>
      <c r="N212" s="29" t="str">
        <f t="shared" si="18"/>
        <v>OK!</v>
      </c>
      <c r="O212" s="29" t="str">
        <f t="shared" si="19"/>
        <v>OK!</v>
      </c>
      <c r="P212" s="29" t="str">
        <f t="shared" si="20"/>
        <v>OK!</v>
      </c>
    </row>
    <row r="213" spans="2:16" ht="43.5" x14ac:dyDescent="0.35">
      <c r="B213" s="47">
        <f t="shared" si="21"/>
        <v>67</v>
      </c>
      <c r="C213" s="47" t="str">
        <f>ORÇAMENTO!A158</f>
        <v>4.1.2.3.2</v>
      </c>
      <c r="D213" s="47" t="str">
        <f>ORÇAMENTO!B158</f>
        <v xml:space="preserve"> 07.93.35 </v>
      </c>
      <c r="E213" s="47" t="str">
        <f>ORÇAMENTO!C158</f>
        <v>EMBASA</v>
      </c>
      <c r="F213" s="48" t="str">
        <f>ORÇAMENTO!D158</f>
        <v>ESCORAMENTO DE VALA, TIPO BLINDAGEM, COM PROFUNDIDADE DE 1,5 A 3,0 M, LARGURA MENOR QUE 1,5 M - EXECUÇÃO E FORNECIMENTO, INCLUI MATERIAL (ESCAVAÇÃO INTERNA AO BLINDADO)</v>
      </c>
      <c r="G213" s="47" t="str">
        <f>ORÇAMENTO!E158</f>
        <v>M²</v>
      </c>
      <c r="H213" s="47">
        <f>ORÇAMENTO!F158</f>
        <v>638.40573087480607</v>
      </c>
      <c r="I213" s="47">
        <f>ORÇAMENTO!G158</f>
        <v>30.02</v>
      </c>
      <c r="J213" s="47">
        <f>ORÇAMENTO!H158</f>
        <v>0.2122</v>
      </c>
      <c r="K213" s="47">
        <f>ORÇAMENTO!I158</f>
        <v>36.39</v>
      </c>
      <c r="L213" s="107">
        <f>ORÇAMENTO!J158</f>
        <v>23231.58</v>
      </c>
      <c r="N213" s="29" t="str">
        <f t="shared" ref="N213:N276" si="22">IF(F213=F212,IF(G213=G212,"OK!","ERRADO"),"DIFERENTE")</f>
        <v>DIFERENTE</v>
      </c>
      <c r="O213" s="29" t="str">
        <f t="shared" ref="O213:O276" si="23">IF(F213=F212,IF(I213=I212,"OK!","ERRADO"),"DIFERENTE")</f>
        <v>DIFERENTE</v>
      </c>
      <c r="P213" s="29" t="str">
        <f t="shared" ref="P213:P276" si="24">IF(F213=F212,IF(D213=D212,"OK!","ERRADO"),"DIFERENTE")</f>
        <v>DIFERENTE</v>
      </c>
    </row>
    <row r="214" spans="2:16" ht="43.5" x14ac:dyDescent="0.35">
      <c r="B214" s="47">
        <f t="shared" si="21"/>
        <v>67</v>
      </c>
      <c r="C214" s="47" t="str">
        <f>ORÇAMENTO!A216</f>
        <v>4.1.2.6.18</v>
      </c>
      <c r="D214" s="47" t="str">
        <f>ORÇAMENTO!B216</f>
        <v xml:space="preserve"> 07.93.35 </v>
      </c>
      <c r="E214" s="47" t="str">
        <f>ORÇAMENTO!C216</f>
        <v>EMBASA</v>
      </c>
      <c r="F214" s="48" t="str">
        <f>ORÇAMENTO!D216</f>
        <v>ESCORAMENTO DE VALA, TIPO BLINDAGEM, COM PROFUNDIDADE DE 1,5 A 3,0 M, LARGURA MENOR QUE 1,5 M - EXECUÇÃO E FORNECIMENTO, INCLUI MATERIAL (ESCAVAÇÃO INTERNA AO BLINDADO)</v>
      </c>
      <c r="G214" s="47" t="str">
        <f>ORÇAMENTO!E216</f>
        <v>M²</v>
      </c>
      <c r="H214" s="47">
        <f>ORÇAMENTO!F216</f>
        <v>913.02</v>
      </c>
      <c r="I214" s="47">
        <f>ORÇAMENTO!G216</f>
        <v>30.02</v>
      </c>
      <c r="J214" s="47">
        <f>ORÇAMENTO!H216</f>
        <v>0.2122</v>
      </c>
      <c r="K214" s="47">
        <f>ORÇAMENTO!I216</f>
        <v>36.39</v>
      </c>
      <c r="L214" s="49">
        <f>ORÇAMENTO!J216</f>
        <v>33224.79</v>
      </c>
      <c r="N214" s="29" t="str">
        <f t="shared" si="22"/>
        <v>OK!</v>
      </c>
      <c r="O214" s="29" t="str">
        <f t="shared" si="23"/>
        <v>OK!</v>
      </c>
      <c r="P214" s="29" t="str">
        <f t="shared" si="24"/>
        <v>OK!</v>
      </c>
    </row>
    <row r="215" spans="2:16" ht="43.5" x14ac:dyDescent="0.35">
      <c r="B215" s="47">
        <f t="shared" si="21"/>
        <v>67</v>
      </c>
      <c r="C215" s="47" t="str">
        <f>ORÇAMENTO!A357</f>
        <v>5.1.2.3.2</v>
      </c>
      <c r="D215" s="47" t="str">
        <f>ORÇAMENTO!B357</f>
        <v xml:space="preserve"> 07.93.35 </v>
      </c>
      <c r="E215" s="47" t="str">
        <f>ORÇAMENTO!C357</f>
        <v>EMBASA</v>
      </c>
      <c r="F215" s="48" t="str">
        <f>ORÇAMENTO!D357</f>
        <v>ESCORAMENTO DE VALA, TIPO BLINDAGEM, COM PROFUNDIDADE DE 1,5 A 3,0 M, LARGURA MENOR QUE 1,5 M - EXECUÇÃO E FORNECIMENTO, INCLUI MATERIAL (ESCAVAÇÃO INTERNA AO BLINDADO)</v>
      </c>
      <c r="G215" s="47" t="str">
        <f>ORÇAMENTO!E357</f>
        <v>M²</v>
      </c>
      <c r="H215" s="47">
        <f>ORÇAMENTO!F357</f>
        <v>1055.9877000000001</v>
      </c>
      <c r="I215" s="47">
        <f>ORÇAMENTO!G357</f>
        <v>30.02</v>
      </c>
      <c r="J215" s="47">
        <f>ORÇAMENTO!H357</f>
        <v>0.2122</v>
      </c>
      <c r="K215" s="47">
        <f>ORÇAMENTO!I357</f>
        <v>36.39</v>
      </c>
      <c r="L215" s="49">
        <f>ORÇAMENTO!J357</f>
        <v>38427.39</v>
      </c>
      <c r="N215" s="29" t="str">
        <f t="shared" si="22"/>
        <v>OK!</v>
      </c>
      <c r="O215" s="29" t="str">
        <f t="shared" si="23"/>
        <v>OK!</v>
      </c>
      <c r="P215" s="29" t="str">
        <f t="shared" si="24"/>
        <v>OK!</v>
      </c>
    </row>
    <row r="216" spans="2:16" ht="43.5" x14ac:dyDescent="0.35">
      <c r="B216" s="47">
        <f t="shared" si="21"/>
        <v>67</v>
      </c>
      <c r="C216" s="47" t="str">
        <f>ORÇAMENTO!A426</f>
        <v>5.1.2.7.18</v>
      </c>
      <c r="D216" s="47" t="str">
        <f>ORÇAMENTO!B426</f>
        <v xml:space="preserve"> 07.93.35 </v>
      </c>
      <c r="E216" s="47" t="str">
        <f>ORÇAMENTO!C426</f>
        <v>EMBASA</v>
      </c>
      <c r="F216" s="48" t="str">
        <f>ORÇAMENTO!D426</f>
        <v>ESCORAMENTO DE VALA, TIPO BLINDAGEM, COM PROFUNDIDADE DE 1,5 A 3,0 M, LARGURA MENOR QUE 1,5 M - EXECUÇÃO E FORNECIMENTO, INCLUI MATERIAL (ESCAVAÇÃO INTERNA AO BLINDADO)</v>
      </c>
      <c r="G216" s="47" t="str">
        <f>ORÇAMENTO!E426</f>
        <v>M²</v>
      </c>
      <c r="H216" s="47">
        <f>ORÇAMENTO!F426</f>
        <v>1426.5</v>
      </c>
      <c r="I216" s="47">
        <f>ORÇAMENTO!G426</f>
        <v>30.02</v>
      </c>
      <c r="J216" s="47">
        <f>ORÇAMENTO!H426</f>
        <v>0.2122</v>
      </c>
      <c r="K216" s="47">
        <f>ORÇAMENTO!I426</f>
        <v>36.39</v>
      </c>
      <c r="L216" s="49">
        <f>ORÇAMENTO!J426</f>
        <v>51910.33</v>
      </c>
      <c r="N216" s="29" t="str">
        <f t="shared" si="22"/>
        <v>OK!</v>
      </c>
      <c r="O216" s="29" t="str">
        <f t="shared" si="23"/>
        <v>OK!</v>
      </c>
      <c r="P216" s="29" t="str">
        <f t="shared" si="24"/>
        <v>OK!</v>
      </c>
    </row>
    <row r="217" spans="2:16" ht="43.5" x14ac:dyDescent="0.35">
      <c r="B217" s="47">
        <f t="shared" si="21"/>
        <v>68</v>
      </c>
      <c r="C217" s="47" t="str">
        <f>ORÇAMENTO!A162</f>
        <v>4.1.2.3.6</v>
      </c>
      <c r="D217" s="47" t="str">
        <f>ORÇAMENTO!B162</f>
        <v xml:space="preserve"> 07.93.40 </v>
      </c>
      <c r="E217" s="47" t="str">
        <f>ORÇAMENTO!C162</f>
        <v>EMBASA</v>
      </c>
      <c r="F217" s="48" t="str">
        <f>ORÇAMENTO!D162</f>
        <v>ESCORAMENTO DE VALA, TIPO BLINDAGEM, COM PROFUNDIDADE DE 3,0 A 4,5 M, LARGURA MAIOR OU IGUAL A 1,5 M EMENOR QUE 2,5 M - EXECUÇÃO E FORNECIMENTO, INCLUI MATERIAL (ESCAVAÇÃO EXTERNA AO BLINDADO)</v>
      </c>
      <c r="G217" s="47" t="str">
        <f>ORÇAMENTO!E162</f>
        <v>M²</v>
      </c>
      <c r="H217" s="47">
        <f>ORÇAMENTO!F162</f>
        <v>288.30769353196393</v>
      </c>
      <c r="I217" s="47">
        <f>ORÇAMENTO!G162</f>
        <v>23.69</v>
      </c>
      <c r="J217" s="47">
        <f>ORÇAMENTO!H162</f>
        <v>0.2122</v>
      </c>
      <c r="K217" s="47">
        <f>ORÇAMENTO!I162</f>
        <v>28.72</v>
      </c>
      <c r="L217" s="49">
        <f>ORÇAMENTO!J162</f>
        <v>8280.19</v>
      </c>
      <c r="N217" s="29" t="str">
        <f t="shared" si="22"/>
        <v>DIFERENTE</v>
      </c>
      <c r="O217" s="29" t="str">
        <f t="shared" si="23"/>
        <v>DIFERENTE</v>
      </c>
      <c r="P217" s="29" t="str">
        <f t="shared" si="24"/>
        <v>DIFERENTE</v>
      </c>
    </row>
    <row r="218" spans="2:16" ht="43.5" x14ac:dyDescent="0.35">
      <c r="B218" s="47">
        <f t="shared" si="21"/>
        <v>68</v>
      </c>
      <c r="C218" s="47" t="str">
        <f>ORÇAMENTO!A360</f>
        <v>5.1.2.3.5</v>
      </c>
      <c r="D218" s="47" t="str">
        <f>ORÇAMENTO!B360</f>
        <v xml:space="preserve"> 07.93.40 </v>
      </c>
      <c r="E218" s="47" t="str">
        <f>ORÇAMENTO!C360</f>
        <v>EMBASA</v>
      </c>
      <c r="F218" s="48" t="str">
        <f>ORÇAMENTO!D360</f>
        <v>ESCORAMENTO DE VALA, TIPO BLINDAGEM, COM PROFUNDIDADE DE 3,0 A 4,5 M, LARGURA MAIOR OU IGUAL A 1,5 M EMENOR QUE 2,5 M - EXECUÇÃO E FORNECIMENTO, INCLUI MATERIAL (ESCAVAÇÃO EXTERNA AO BLINDADO)</v>
      </c>
      <c r="G218" s="47" t="str">
        <f>ORÇAMENTO!E360</f>
        <v>M²</v>
      </c>
      <c r="H218" s="47">
        <f>ORÇAMENTO!F360</f>
        <v>748.99900000000025</v>
      </c>
      <c r="I218" s="47">
        <f>ORÇAMENTO!G360</f>
        <v>23.69</v>
      </c>
      <c r="J218" s="47">
        <f>ORÇAMENTO!H360</f>
        <v>0.2122</v>
      </c>
      <c r="K218" s="47">
        <f>ORÇAMENTO!I360</f>
        <v>28.72</v>
      </c>
      <c r="L218" s="49">
        <f>ORÇAMENTO!J360</f>
        <v>21511.25</v>
      </c>
      <c r="N218" s="29" t="str">
        <f t="shared" si="22"/>
        <v>OK!</v>
      </c>
      <c r="O218" s="29" t="str">
        <f t="shared" si="23"/>
        <v>OK!</v>
      </c>
      <c r="P218" s="29" t="str">
        <f t="shared" si="24"/>
        <v>OK!</v>
      </c>
    </row>
    <row r="219" spans="2:16" ht="43.5" x14ac:dyDescent="0.35">
      <c r="B219" s="47">
        <f t="shared" si="21"/>
        <v>69</v>
      </c>
      <c r="C219" s="47" t="str">
        <f>ORÇAMENTO!A165</f>
        <v>4.1.2.3.9</v>
      </c>
      <c r="D219" s="47" t="str">
        <f>ORÇAMENTO!B165</f>
        <v xml:space="preserve"> 07.93.46 </v>
      </c>
      <c r="E219" s="47" t="str">
        <f>ORÇAMENTO!C165</f>
        <v>EMBASA</v>
      </c>
      <c r="F219" s="48" t="str">
        <f>ORÇAMENTO!D165</f>
        <v>ESCORAMENTO DE VALA, TIPO BLINDAGEM, COM PROFUNDIDADE DE 3,0 A 4,5 M, LARGURA MAIOR OU IGUAL A 2,5 M EMENOR QUE 3,5 M - EXECUÇÃO E FORNECIMENTO, INCLUI MATERIAL (ESCAVAÇÃO EXTERNA AO BLINDADO)</v>
      </c>
      <c r="G219" s="47" t="str">
        <f>ORÇAMENTO!E165</f>
        <v>M²</v>
      </c>
      <c r="H219" s="47">
        <f>ORÇAMENTO!F165</f>
        <v>426.38099999999997</v>
      </c>
      <c r="I219" s="47">
        <f>ORÇAMENTO!G165</f>
        <v>38.700000000000003</v>
      </c>
      <c r="J219" s="47">
        <f>ORÇAMENTO!H165</f>
        <v>0.2122</v>
      </c>
      <c r="K219" s="47">
        <f>ORÇAMENTO!I165</f>
        <v>46.91</v>
      </c>
      <c r="L219" s="49">
        <f>ORÇAMENTO!J165</f>
        <v>20001.53</v>
      </c>
      <c r="N219" s="29" t="str">
        <f t="shared" si="22"/>
        <v>DIFERENTE</v>
      </c>
      <c r="O219" s="29" t="str">
        <f t="shared" si="23"/>
        <v>DIFERENTE</v>
      </c>
      <c r="P219" s="29" t="str">
        <f t="shared" si="24"/>
        <v>DIFERENTE</v>
      </c>
    </row>
    <row r="220" spans="2:16" ht="43.5" x14ac:dyDescent="0.35">
      <c r="B220" s="47">
        <f t="shared" si="21"/>
        <v>69</v>
      </c>
      <c r="C220" s="47" t="str">
        <f>ORÇAMENTO!A363</f>
        <v>5.1.2.3.8</v>
      </c>
      <c r="D220" s="47" t="str">
        <f>ORÇAMENTO!B363</f>
        <v xml:space="preserve"> 07.93.46 </v>
      </c>
      <c r="E220" s="47" t="str">
        <f>ORÇAMENTO!C363</f>
        <v>EMBASA</v>
      </c>
      <c r="F220" s="48" t="str">
        <f>ORÇAMENTO!D363</f>
        <v>ESCORAMENTO DE VALA, TIPO BLINDAGEM, COM PROFUNDIDADE DE 3,0 A 4,5 M, LARGURA MAIOR OU IGUAL A 2,5 M EMENOR QUE 3,5 M - EXECUÇÃO E FORNECIMENTO, INCLUI MATERIAL (ESCAVAÇÃO EXTERNA AO BLINDADO)</v>
      </c>
      <c r="G220" s="47" t="str">
        <f>ORÇAMENTO!E363</f>
        <v>M²</v>
      </c>
      <c r="H220" s="47">
        <f>ORÇAMENTO!F363</f>
        <v>728.01109999999994</v>
      </c>
      <c r="I220" s="47">
        <f>ORÇAMENTO!G363</f>
        <v>38.700000000000003</v>
      </c>
      <c r="J220" s="47">
        <f>ORÇAMENTO!H363</f>
        <v>0.2122</v>
      </c>
      <c r="K220" s="47">
        <f>ORÇAMENTO!I363</f>
        <v>46.91</v>
      </c>
      <c r="L220" s="107">
        <f>ORÇAMENTO!J363</f>
        <v>34151</v>
      </c>
      <c r="N220" s="29" t="str">
        <f t="shared" si="22"/>
        <v>OK!</v>
      </c>
      <c r="O220" s="29" t="str">
        <f t="shared" si="23"/>
        <v>OK!</v>
      </c>
      <c r="P220" s="29" t="str">
        <f t="shared" si="24"/>
        <v>OK!</v>
      </c>
    </row>
    <row r="221" spans="2:16" ht="43.5" x14ac:dyDescent="0.35">
      <c r="B221" s="47">
        <f t="shared" si="21"/>
        <v>70</v>
      </c>
      <c r="C221" s="47" t="str">
        <f>ORÇAMENTO!A159</f>
        <v>4.1.2.3.3</v>
      </c>
      <c r="D221" s="47" t="str">
        <f>ORÇAMENTO!B159</f>
        <v xml:space="preserve"> 07.93.39 </v>
      </c>
      <c r="E221" s="47" t="str">
        <f>ORÇAMENTO!C159</f>
        <v>EMBASA</v>
      </c>
      <c r="F221" s="48" t="str">
        <f>ORÇAMENTO!D159</f>
        <v>ESCORAMENTO DE VALA, TIPO BLINDAGEM, COM PROFUNDIDADE DE 3,0 A 4,5 M, LARGURA MENOR QUE 1,5 M - EXECUÇÃO E FORNECIMENTO, INCLUI MATERIAL (ESCAVAÇÃO INTERNA AO BLINDADO)</v>
      </c>
      <c r="G221" s="47" t="str">
        <f>ORÇAMENTO!E159</f>
        <v>M²</v>
      </c>
      <c r="H221" s="47">
        <f>ORÇAMENTO!F159</f>
        <v>56.592791800027655</v>
      </c>
      <c r="I221" s="47">
        <f>ORÇAMENTO!G159</f>
        <v>20.14</v>
      </c>
      <c r="J221" s="47">
        <f>ORÇAMENTO!H159</f>
        <v>0.2122</v>
      </c>
      <c r="K221" s="47">
        <f>ORÇAMENTO!I159</f>
        <v>24.41</v>
      </c>
      <c r="L221" s="49">
        <f>ORÇAMENTO!J159</f>
        <v>1381.43</v>
      </c>
      <c r="N221" s="29" t="str">
        <f t="shared" si="22"/>
        <v>DIFERENTE</v>
      </c>
      <c r="O221" s="29" t="str">
        <f t="shared" si="23"/>
        <v>DIFERENTE</v>
      </c>
      <c r="P221" s="29" t="str">
        <f t="shared" si="24"/>
        <v>DIFERENTE</v>
      </c>
    </row>
    <row r="222" spans="2:16" ht="43.5" x14ac:dyDescent="0.35">
      <c r="B222" s="47">
        <f t="shared" si="21"/>
        <v>71</v>
      </c>
      <c r="C222" s="47" t="str">
        <f>ORÇAMENTO!A217</f>
        <v>4.1.2.6.19</v>
      </c>
      <c r="D222" s="47" t="str">
        <f>ORÇAMENTO!B217</f>
        <v xml:space="preserve"> 07.93.38 </v>
      </c>
      <c r="E222" s="47" t="str">
        <f>ORÇAMENTO!C217</f>
        <v>EMBASA</v>
      </c>
      <c r="F222" s="48" t="str">
        <f>ORÇAMENTO!D217</f>
        <v>ESCORAMENTO DE VALA, TIPO BLINDAGEM, COM PROFUNDIDADE DE 3,0 A 4,5 M, LARGURA MENOR QUE 1,5 M -EXECUÇÃO E FORNECIMENTO, INCLUI MATERIAL (ESCAVAÇÃO EXTERNA AO BLINDADO)</v>
      </c>
      <c r="G222" s="47" t="str">
        <f>ORÇAMENTO!E217</f>
        <v>M²</v>
      </c>
      <c r="H222" s="47">
        <f>ORÇAMENTO!F217</f>
        <v>65.569999999999993</v>
      </c>
      <c r="I222" s="47">
        <f>ORÇAMENTO!G217</f>
        <v>14.37</v>
      </c>
      <c r="J222" s="47">
        <f>ORÇAMENTO!H217</f>
        <v>0.2122</v>
      </c>
      <c r="K222" s="47">
        <f>ORÇAMENTO!I217</f>
        <v>17.420000000000002</v>
      </c>
      <c r="L222" s="49">
        <f>ORÇAMENTO!J217</f>
        <v>1142.22</v>
      </c>
      <c r="N222" s="29" t="str">
        <f t="shared" si="22"/>
        <v>DIFERENTE</v>
      </c>
      <c r="O222" s="29" t="str">
        <f t="shared" si="23"/>
        <v>DIFERENTE</v>
      </c>
      <c r="P222" s="29" t="str">
        <f t="shared" si="24"/>
        <v>DIFERENTE</v>
      </c>
    </row>
    <row r="223" spans="2:16" ht="43.5" x14ac:dyDescent="0.35">
      <c r="B223" s="47">
        <f t="shared" si="21"/>
        <v>71</v>
      </c>
      <c r="C223" s="47" t="str">
        <f>ORÇAMENTO!A427</f>
        <v>5.1.2.7.19</v>
      </c>
      <c r="D223" s="47" t="str">
        <f>ORÇAMENTO!B427</f>
        <v xml:space="preserve"> 07.93.38 </v>
      </c>
      <c r="E223" s="47" t="str">
        <f>ORÇAMENTO!C427</f>
        <v>EMBASA</v>
      </c>
      <c r="F223" s="48" t="str">
        <f>ORÇAMENTO!D427</f>
        <v>ESCORAMENTO DE VALA, TIPO BLINDAGEM, COM PROFUNDIDADE DE 3,0 A 4,5 M, LARGURA MENOR QUE 1,5 M -EXECUÇÃO E FORNECIMENTO, INCLUI MATERIAL (ESCAVAÇÃO EXTERNA AO BLINDADO)</v>
      </c>
      <c r="G223" s="47" t="str">
        <f>ORÇAMENTO!E427</f>
        <v>M²</v>
      </c>
      <c r="H223" s="47">
        <f>ORÇAMENTO!F427</f>
        <v>334.77</v>
      </c>
      <c r="I223" s="47">
        <f>ORÇAMENTO!G427</f>
        <v>14.37</v>
      </c>
      <c r="J223" s="47">
        <f>ORÇAMENTO!H427</f>
        <v>0.2122</v>
      </c>
      <c r="K223" s="47">
        <f>ORÇAMENTO!I427</f>
        <v>17.420000000000002</v>
      </c>
      <c r="L223" s="49">
        <f>ORÇAMENTO!J427</f>
        <v>5831.69</v>
      </c>
      <c r="N223" s="29" t="str">
        <f t="shared" si="22"/>
        <v>OK!</v>
      </c>
      <c r="O223" s="29" t="str">
        <f t="shared" si="23"/>
        <v>OK!</v>
      </c>
      <c r="P223" s="29" t="str">
        <f t="shared" si="24"/>
        <v>OK!</v>
      </c>
    </row>
    <row r="224" spans="2:16" ht="43.5" x14ac:dyDescent="0.35">
      <c r="B224" s="47">
        <f t="shared" si="21"/>
        <v>72</v>
      </c>
      <c r="C224" s="47" t="str">
        <f>ORÇAMENTO!A364</f>
        <v>5.1.2.3.9</v>
      </c>
      <c r="D224" s="47" t="str">
        <f>ORÇAMENTO!B364</f>
        <v xml:space="preserve"> 07.93.52 </v>
      </c>
      <c r="E224" s="47" t="str">
        <f>ORÇAMENTO!C364</f>
        <v>EMBASA</v>
      </c>
      <c r="F224" s="48" t="str">
        <f>ORÇAMENTO!D364</f>
        <v>ESCORAMENTO DE VALA, TIPO BLINDAGEM, COM PROFUNDIDADE DE 4,5 A 6,0 M, LARGURA MAIOR OU IGUAL A 2,5 M EMENOR QUE 3,5 M - EXECUÇÃO E FORNECIMENTO, INCLUI MATERIAL (ESCAVAÇÃO EXTERNA AO BLINDADO)</v>
      </c>
      <c r="G224" s="47" t="str">
        <f>ORÇAMENTO!E364</f>
        <v>M²</v>
      </c>
      <c r="H224" s="47">
        <f>ORÇAMENTO!F364</f>
        <v>150.47740000000013</v>
      </c>
      <c r="I224" s="47">
        <f>ORÇAMENTO!G364</f>
        <v>35.18</v>
      </c>
      <c r="J224" s="47">
        <f>ORÇAMENTO!H364</f>
        <v>0.2122</v>
      </c>
      <c r="K224" s="47">
        <f>ORÇAMENTO!I364</f>
        <v>42.65</v>
      </c>
      <c r="L224" s="49">
        <f>ORÇAMENTO!J364</f>
        <v>6417.86</v>
      </c>
      <c r="N224" s="29" t="str">
        <f t="shared" si="22"/>
        <v>DIFERENTE</v>
      </c>
      <c r="O224" s="29" t="str">
        <f t="shared" si="23"/>
        <v>DIFERENTE</v>
      </c>
      <c r="P224" s="29" t="str">
        <f t="shared" si="24"/>
        <v>DIFERENTE</v>
      </c>
    </row>
    <row r="225" spans="2:16" x14ac:dyDescent="0.35">
      <c r="B225" s="47">
        <f t="shared" si="21"/>
        <v>73</v>
      </c>
      <c r="C225" s="47" t="str">
        <f>ORÇAMENTO!A155</f>
        <v>4.1.2.2.1</v>
      </c>
      <c r="D225" s="47" t="str">
        <f>ORÇAMENTO!B155</f>
        <v xml:space="preserve"> 2003864 </v>
      </c>
      <c r="E225" s="47" t="str">
        <f>ORÇAMENTO!C155</f>
        <v>SICRO3</v>
      </c>
      <c r="F225" s="48" t="str">
        <f>ORÇAMENTO!D155</f>
        <v>ESGOTAMENTO DE ÁGUA COM BOMBA SUBMERSA</v>
      </c>
      <c r="G225" s="47" t="str">
        <f>ORÇAMENTO!E155</f>
        <v>H</v>
      </c>
      <c r="H225" s="47">
        <f>ORÇAMENTO!F155</f>
        <v>6.2122666666666194E-2</v>
      </c>
      <c r="I225" s="47">
        <f>ORÇAMENTO!G155</f>
        <v>13.66</v>
      </c>
      <c r="J225" s="47">
        <f>ORÇAMENTO!H155</f>
        <v>0.2122</v>
      </c>
      <c r="K225" s="47">
        <f>ORÇAMENTO!I155</f>
        <v>16.559999999999999</v>
      </c>
      <c r="L225" s="49">
        <f>ORÇAMENTO!J155</f>
        <v>1.02</v>
      </c>
      <c r="N225" s="29" t="str">
        <f t="shared" si="22"/>
        <v>DIFERENTE</v>
      </c>
      <c r="O225" s="29" t="str">
        <f t="shared" si="23"/>
        <v>DIFERENTE</v>
      </c>
      <c r="P225" s="29" t="str">
        <f t="shared" si="24"/>
        <v>DIFERENTE</v>
      </c>
    </row>
    <row r="226" spans="2:16" x14ac:dyDescent="0.35">
      <c r="B226" s="47">
        <f t="shared" si="21"/>
        <v>73</v>
      </c>
      <c r="C226" s="47" t="str">
        <f>ORÇAMENTO!A220</f>
        <v>4.1.2.6.22</v>
      </c>
      <c r="D226" s="47" t="str">
        <f>ORÇAMENTO!B220</f>
        <v xml:space="preserve"> 2003864 </v>
      </c>
      <c r="E226" s="47" t="str">
        <f>ORÇAMENTO!C220</f>
        <v>SICRO3</v>
      </c>
      <c r="F226" s="48" t="str">
        <f>ORÇAMENTO!D220</f>
        <v>ESGOTAMENTO DE ÁGUA COM BOMBA SUBMERSA</v>
      </c>
      <c r="G226" s="47" t="str">
        <f>ORÇAMENTO!E220</f>
        <v>H</v>
      </c>
      <c r="H226" s="47">
        <f>ORÇAMENTO!F220</f>
        <v>0.37</v>
      </c>
      <c r="I226" s="47">
        <f>ORÇAMENTO!G220</f>
        <v>13.66</v>
      </c>
      <c r="J226" s="47">
        <f>ORÇAMENTO!H220</f>
        <v>0.2122</v>
      </c>
      <c r="K226" s="47">
        <f>ORÇAMENTO!I220</f>
        <v>16.559999999999999</v>
      </c>
      <c r="L226" s="49">
        <f>ORÇAMENTO!J220</f>
        <v>6.12</v>
      </c>
      <c r="N226" s="29" t="str">
        <f t="shared" si="22"/>
        <v>OK!</v>
      </c>
      <c r="O226" s="29" t="str">
        <f t="shared" si="23"/>
        <v>OK!</v>
      </c>
      <c r="P226" s="29" t="str">
        <f t="shared" si="24"/>
        <v>OK!</v>
      </c>
    </row>
    <row r="227" spans="2:16" x14ac:dyDescent="0.35">
      <c r="B227" s="47">
        <f t="shared" si="21"/>
        <v>73</v>
      </c>
      <c r="C227" s="47" t="str">
        <f>ORÇAMENTO!A354</f>
        <v>5.1.2.2.1</v>
      </c>
      <c r="D227" s="47" t="str">
        <f>ORÇAMENTO!B354</f>
        <v xml:space="preserve"> 2003864 </v>
      </c>
      <c r="E227" s="47" t="str">
        <f>ORÇAMENTO!C354</f>
        <v>SICRO3</v>
      </c>
      <c r="F227" s="48" t="str">
        <f>ORÇAMENTO!D354</f>
        <v>ESGOTAMENTO DE ÁGUA COM BOMBA SUBMERSA</v>
      </c>
      <c r="G227" s="47" t="str">
        <f>ORÇAMENTO!E354</f>
        <v>H</v>
      </c>
      <c r="H227" s="47">
        <f>ORÇAMENTO!F354</f>
        <v>18.366678000000004</v>
      </c>
      <c r="I227" s="47">
        <f>ORÇAMENTO!G354</f>
        <v>13.66</v>
      </c>
      <c r="J227" s="47">
        <f>ORÇAMENTO!H354</f>
        <v>0.2122</v>
      </c>
      <c r="K227" s="47">
        <f>ORÇAMENTO!I354</f>
        <v>16.559999999999999</v>
      </c>
      <c r="L227" s="49">
        <f>ORÇAMENTO!J354</f>
        <v>304.14999999999998</v>
      </c>
      <c r="N227" s="29" t="str">
        <f t="shared" si="22"/>
        <v>OK!</v>
      </c>
      <c r="O227" s="29" t="str">
        <f t="shared" si="23"/>
        <v>OK!</v>
      </c>
      <c r="P227" s="29" t="str">
        <f t="shared" si="24"/>
        <v>OK!</v>
      </c>
    </row>
    <row r="228" spans="2:16" x14ac:dyDescent="0.35">
      <c r="B228" s="47">
        <f t="shared" si="21"/>
        <v>73</v>
      </c>
      <c r="C228" s="47" t="str">
        <f>ORÇAMENTO!A430</f>
        <v>5.1.2.7.22</v>
      </c>
      <c r="D228" s="47" t="str">
        <f>ORÇAMENTO!B430</f>
        <v xml:space="preserve"> 2003864 </v>
      </c>
      <c r="E228" s="47" t="str">
        <f>ORÇAMENTO!C430</f>
        <v>SICRO3</v>
      </c>
      <c r="F228" s="48" t="str">
        <f>ORÇAMENTO!D430</f>
        <v>ESGOTAMENTO DE ÁGUA COM BOMBA SUBMERSA</v>
      </c>
      <c r="G228" s="47" t="str">
        <f>ORÇAMENTO!E430</f>
        <v>H</v>
      </c>
      <c r="H228" s="47">
        <f>ORÇAMENTO!F430</f>
        <v>3</v>
      </c>
      <c r="I228" s="47">
        <f>ORÇAMENTO!G430</f>
        <v>13.66</v>
      </c>
      <c r="J228" s="47">
        <f>ORÇAMENTO!H430</f>
        <v>0.2122</v>
      </c>
      <c r="K228" s="47">
        <f>ORÇAMENTO!I430</f>
        <v>16.559999999999999</v>
      </c>
      <c r="L228" s="49">
        <f>ORÇAMENTO!J430</f>
        <v>49.68</v>
      </c>
      <c r="N228" s="29" t="str">
        <f t="shared" si="22"/>
        <v>OK!</v>
      </c>
      <c r="O228" s="29" t="str">
        <f t="shared" si="23"/>
        <v>OK!</v>
      </c>
      <c r="P228" s="29" t="str">
        <f t="shared" si="24"/>
        <v>OK!</v>
      </c>
    </row>
    <row r="229" spans="2:16" x14ac:dyDescent="0.35">
      <c r="B229" s="47">
        <f t="shared" si="21"/>
        <v>74</v>
      </c>
      <c r="C229" s="47" t="str">
        <f>ORÇAMENTO!A153</f>
        <v>4.1.2.1.14</v>
      </c>
      <c r="D229" s="47" t="str">
        <f>ORÇAMENTO!B153</f>
        <v xml:space="preserve"> 100574 </v>
      </c>
      <c r="E229" s="47" t="str">
        <f>ORÇAMENTO!C153</f>
        <v>SINAPI</v>
      </c>
      <c r="F229" s="48" t="str">
        <f>ORÇAMENTO!D153</f>
        <v>ESPALHAMENTO DE MATERIAL COM TRATOR DE ESTEIRAS. AF_09/2024</v>
      </c>
      <c r="G229" s="47" t="str">
        <f>ORÇAMENTO!E153</f>
        <v>M³</v>
      </c>
      <c r="H229" s="47">
        <f>ORÇAMENTO!F153</f>
        <v>882.95071558587631</v>
      </c>
      <c r="I229" s="47">
        <f>ORÇAMENTO!G153</f>
        <v>1.37</v>
      </c>
      <c r="J229" s="47">
        <f>ORÇAMENTO!H153</f>
        <v>0.2122</v>
      </c>
      <c r="K229" s="47">
        <f>ORÇAMENTO!I153</f>
        <v>1.66</v>
      </c>
      <c r="L229" s="49">
        <f>ORÇAMENTO!J153</f>
        <v>1465.69</v>
      </c>
      <c r="N229" s="29" t="str">
        <f t="shared" si="22"/>
        <v>DIFERENTE</v>
      </c>
      <c r="O229" s="29" t="str">
        <f t="shared" si="23"/>
        <v>DIFERENTE</v>
      </c>
      <c r="P229" s="29" t="str">
        <f t="shared" si="24"/>
        <v>DIFERENTE</v>
      </c>
    </row>
    <row r="230" spans="2:16" x14ac:dyDescent="0.35">
      <c r="B230" s="47">
        <f t="shared" si="21"/>
        <v>74</v>
      </c>
      <c r="C230" s="47" t="str">
        <f>ORÇAMENTO!A237</f>
        <v>4.1.2.6.39</v>
      </c>
      <c r="D230" s="47" t="str">
        <f>ORÇAMENTO!B237</f>
        <v xml:space="preserve"> 100574 </v>
      </c>
      <c r="E230" s="47" t="str">
        <f>ORÇAMENTO!C237</f>
        <v>SINAPI</v>
      </c>
      <c r="F230" s="48" t="str">
        <f>ORÇAMENTO!D237</f>
        <v>ESPALHAMENTO DE MATERIAL COM TRATOR DE ESTEIRAS. AF_09/2024</v>
      </c>
      <c r="G230" s="47" t="str">
        <f>ORÇAMENTO!E237</f>
        <v>M³</v>
      </c>
      <c r="H230" s="47">
        <f>ORÇAMENTO!F237</f>
        <v>608.52340711999989</v>
      </c>
      <c r="I230" s="47">
        <f>ORÇAMENTO!G237</f>
        <v>1.37</v>
      </c>
      <c r="J230" s="47">
        <f>ORÇAMENTO!H237</f>
        <v>0.2122</v>
      </c>
      <c r="K230" s="47">
        <f>ORÇAMENTO!I237</f>
        <v>1.66</v>
      </c>
      <c r="L230" s="49">
        <f>ORÇAMENTO!J237</f>
        <v>1010.14</v>
      </c>
      <c r="N230" s="29" t="str">
        <f t="shared" si="22"/>
        <v>OK!</v>
      </c>
      <c r="O230" s="29" t="str">
        <f t="shared" si="23"/>
        <v>OK!</v>
      </c>
      <c r="P230" s="29" t="str">
        <f t="shared" si="24"/>
        <v>OK!</v>
      </c>
    </row>
    <row r="231" spans="2:16" x14ac:dyDescent="0.35">
      <c r="B231" s="47">
        <f t="shared" si="21"/>
        <v>74</v>
      </c>
      <c r="C231" s="47" t="str">
        <f>ORÇAMENTO!A352</f>
        <v>5.1.2.1.17</v>
      </c>
      <c r="D231" s="47" t="str">
        <f>ORÇAMENTO!B352</f>
        <v xml:space="preserve"> 100574 </v>
      </c>
      <c r="E231" s="47" t="str">
        <f>ORÇAMENTO!C352</f>
        <v>SINAPI</v>
      </c>
      <c r="F231" s="48" t="str">
        <f>ORÇAMENTO!D352</f>
        <v>ESPALHAMENTO DE MATERIAL COM TRATOR DE ESTEIRAS. AF_09/2024</v>
      </c>
      <c r="G231" s="47" t="str">
        <f>ORÇAMENTO!E352</f>
        <v>M³</v>
      </c>
      <c r="H231" s="47">
        <f>ORÇAMENTO!F352</f>
        <v>1387.7777590350001</v>
      </c>
      <c r="I231" s="47">
        <f>ORÇAMENTO!G352</f>
        <v>1.37</v>
      </c>
      <c r="J231" s="47">
        <f>ORÇAMENTO!H352</f>
        <v>0.2122</v>
      </c>
      <c r="K231" s="47">
        <f>ORÇAMENTO!I352</f>
        <v>1.66</v>
      </c>
      <c r="L231" s="49">
        <f>ORÇAMENTO!J352</f>
        <v>2303.71</v>
      </c>
      <c r="N231" s="29" t="str">
        <f t="shared" si="22"/>
        <v>OK!</v>
      </c>
      <c r="O231" s="29" t="str">
        <f t="shared" si="23"/>
        <v>OK!</v>
      </c>
      <c r="P231" s="29" t="str">
        <f t="shared" si="24"/>
        <v>OK!</v>
      </c>
    </row>
    <row r="232" spans="2:16" x14ac:dyDescent="0.35">
      <c r="B232" s="47">
        <f t="shared" si="21"/>
        <v>74</v>
      </c>
      <c r="C232" s="47" t="str">
        <f>ORÇAMENTO!A447</f>
        <v>5.1.2.7.39</v>
      </c>
      <c r="D232" s="47" t="str">
        <f>ORÇAMENTO!B447</f>
        <v xml:space="preserve"> 100574 </v>
      </c>
      <c r="E232" s="47" t="str">
        <f>ORÇAMENTO!C447</f>
        <v>SINAPI</v>
      </c>
      <c r="F232" s="48" t="str">
        <f>ORÇAMENTO!D447</f>
        <v>ESPALHAMENTO DE MATERIAL COM TRATOR DE ESTEIRAS. AF_09/2024</v>
      </c>
      <c r="G232" s="47" t="str">
        <f>ORÇAMENTO!E447</f>
        <v>M³</v>
      </c>
      <c r="H232" s="47">
        <f>ORÇAMENTO!F447</f>
        <v>1853.7351319200006</v>
      </c>
      <c r="I232" s="47">
        <f>ORÇAMENTO!G447</f>
        <v>1.37</v>
      </c>
      <c r="J232" s="47">
        <f>ORÇAMENTO!H447</f>
        <v>0.2122</v>
      </c>
      <c r="K232" s="47">
        <f>ORÇAMENTO!I447</f>
        <v>1.66</v>
      </c>
      <c r="L232" s="49">
        <f>ORÇAMENTO!J447</f>
        <v>3077.2</v>
      </c>
      <c r="N232" s="29" t="str">
        <f t="shared" si="22"/>
        <v>OK!</v>
      </c>
      <c r="O232" s="29" t="str">
        <f t="shared" si="23"/>
        <v>OK!</v>
      </c>
      <c r="P232" s="29" t="str">
        <f t="shared" si="24"/>
        <v>OK!</v>
      </c>
    </row>
    <row r="233" spans="2:16" x14ac:dyDescent="0.35">
      <c r="B233" s="47">
        <f t="shared" si="21"/>
        <v>74</v>
      </c>
      <c r="C233" s="47" t="str">
        <f>ORÇAMENTO!A500</f>
        <v>5.4.1.5</v>
      </c>
      <c r="D233" s="47" t="str">
        <f>ORÇAMENTO!B500</f>
        <v xml:space="preserve"> 100574 </v>
      </c>
      <c r="E233" s="47" t="str">
        <f>ORÇAMENTO!C500</f>
        <v>SINAPI</v>
      </c>
      <c r="F233" s="48" t="str">
        <f>ORÇAMENTO!D500</f>
        <v>ESPALHAMENTO DE MATERIAL COM TRATOR DE ESTEIRAS. AF_09/2024</v>
      </c>
      <c r="G233" s="47" t="str">
        <f>ORÇAMENTO!E500</f>
        <v>M³</v>
      </c>
      <c r="H233" s="47">
        <f>ORÇAMENTO!F500</f>
        <v>2855.32</v>
      </c>
      <c r="I233" s="47">
        <f>ORÇAMENTO!G500</f>
        <v>1.37</v>
      </c>
      <c r="J233" s="47">
        <f>ORÇAMENTO!H500</f>
        <v>0.2122</v>
      </c>
      <c r="K233" s="47">
        <f>ORÇAMENTO!I500</f>
        <v>1.66</v>
      </c>
      <c r="L233" s="107">
        <f>ORÇAMENTO!J500</f>
        <v>4739.83</v>
      </c>
      <c r="N233" s="29" t="str">
        <f t="shared" si="22"/>
        <v>OK!</v>
      </c>
      <c r="O233" s="29" t="str">
        <f t="shared" si="23"/>
        <v>OK!</v>
      </c>
      <c r="P233" s="29" t="str">
        <f t="shared" si="24"/>
        <v>OK!</v>
      </c>
    </row>
    <row r="234" spans="2:16" x14ac:dyDescent="0.35">
      <c r="B234" s="47">
        <f t="shared" si="21"/>
        <v>74</v>
      </c>
      <c r="C234" s="47" t="str">
        <f>ORÇAMENTO!A505</f>
        <v>5.4.2.4</v>
      </c>
      <c r="D234" s="47" t="str">
        <f>ORÇAMENTO!B505</f>
        <v xml:space="preserve"> 100574 </v>
      </c>
      <c r="E234" s="47" t="str">
        <f>ORÇAMENTO!C505</f>
        <v>SINAPI</v>
      </c>
      <c r="F234" s="48" t="str">
        <f>ORÇAMENTO!D505</f>
        <v>ESPALHAMENTO DE MATERIAL COM TRATOR DE ESTEIRAS. AF_09/2024</v>
      </c>
      <c r="G234" s="47" t="str">
        <f>ORÇAMENTO!E505</f>
        <v>M³</v>
      </c>
      <c r="H234" s="47">
        <f>ORÇAMENTO!F505</f>
        <v>7468.48</v>
      </c>
      <c r="I234" s="47">
        <f>ORÇAMENTO!G505</f>
        <v>1.37</v>
      </c>
      <c r="J234" s="47">
        <f>ORÇAMENTO!H505</f>
        <v>0.2122</v>
      </c>
      <c r="K234" s="47">
        <f>ORÇAMENTO!I505</f>
        <v>1.66</v>
      </c>
      <c r="L234" s="49">
        <f>ORÇAMENTO!J505</f>
        <v>12397.67</v>
      </c>
      <c r="N234" s="29" t="str">
        <f t="shared" si="22"/>
        <v>OK!</v>
      </c>
      <c r="O234" s="29" t="str">
        <f t="shared" si="23"/>
        <v>OK!</v>
      </c>
      <c r="P234" s="29" t="str">
        <f t="shared" si="24"/>
        <v>OK!</v>
      </c>
    </row>
    <row r="235" spans="2:16" ht="43.5" x14ac:dyDescent="0.35">
      <c r="B235" s="47">
        <f t="shared" si="21"/>
        <v>75</v>
      </c>
      <c r="C235" s="47" t="str">
        <f>ORÇAMENTO!A118</f>
        <v>4.1.1.5.2</v>
      </c>
      <c r="D235" s="47" t="str">
        <f>ORÇAMENTO!B118</f>
        <v xml:space="preserve"> 94990 </v>
      </c>
      <c r="E235" s="47" t="str">
        <f>ORÇAMENTO!C118</f>
        <v>SINAPI</v>
      </c>
      <c r="F235" s="48" t="str">
        <f>ORÇAMENTO!D118</f>
        <v>EXECUÇÃO DE PASSEIO (CALÇADA) OU PISO DE CONCRETO COM CONCRETO MOLDADO IN LOCO, FEITO EM OBRA, ACABAMENTO CONVENCIONAL, NÃO ARMADO. AF_08/2022</v>
      </c>
      <c r="G235" s="47" t="str">
        <f>ORÇAMENTO!E118</f>
        <v>M³</v>
      </c>
      <c r="H235" s="47">
        <f>ORÇAMENTO!F118</f>
        <v>9.6158999999999963</v>
      </c>
      <c r="I235" s="47">
        <f>ORÇAMENTO!G118</f>
        <v>767.76</v>
      </c>
      <c r="J235" s="47">
        <f>ORÇAMENTO!H118</f>
        <v>0.2122</v>
      </c>
      <c r="K235" s="47">
        <f>ORÇAMENTO!I118</f>
        <v>930.68</v>
      </c>
      <c r="L235" s="49">
        <f>ORÇAMENTO!J118</f>
        <v>8949.32</v>
      </c>
      <c r="N235" s="29" t="str">
        <f t="shared" si="22"/>
        <v>DIFERENTE</v>
      </c>
      <c r="O235" s="29" t="str">
        <f t="shared" si="23"/>
        <v>DIFERENTE</v>
      </c>
      <c r="P235" s="29" t="str">
        <f t="shared" si="24"/>
        <v>DIFERENTE</v>
      </c>
    </row>
    <row r="236" spans="2:16" ht="43.5" x14ac:dyDescent="0.35">
      <c r="B236" s="47">
        <f t="shared" si="21"/>
        <v>75</v>
      </c>
      <c r="C236" s="47" t="str">
        <f>ORÇAMENTO!A320</f>
        <v>5.1.1.5.2</v>
      </c>
      <c r="D236" s="47" t="str">
        <f>ORÇAMENTO!B320</f>
        <v xml:space="preserve"> 94990 </v>
      </c>
      <c r="E236" s="47" t="str">
        <f>ORÇAMENTO!C320</f>
        <v>SINAPI</v>
      </c>
      <c r="F236" s="48" t="str">
        <f>ORÇAMENTO!D320</f>
        <v>EXECUÇÃO DE PASSEIO (CALÇADA) OU PISO DE CONCRETO COM CONCRETO MOLDADO IN LOCO, FEITO EM OBRA, ACABAMENTO CONVENCIONAL, NÃO ARMADO. AF_08/2022</v>
      </c>
      <c r="G236" s="47" t="str">
        <f>ORÇAMENTO!E320</f>
        <v>M³</v>
      </c>
      <c r="H236" s="47">
        <f>ORÇAMENTO!F320</f>
        <v>27.315399999999997</v>
      </c>
      <c r="I236" s="47">
        <f>ORÇAMENTO!G320</f>
        <v>767.76</v>
      </c>
      <c r="J236" s="47">
        <f>ORÇAMENTO!H320</f>
        <v>0.2122</v>
      </c>
      <c r="K236" s="47">
        <f>ORÇAMENTO!I320</f>
        <v>930.68</v>
      </c>
      <c r="L236" s="49">
        <f>ORÇAMENTO!J320</f>
        <v>25421.89</v>
      </c>
      <c r="N236" s="29" t="str">
        <f t="shared" si="22"/>
        <v>OK!</v>
      </c>
      <c r="O236" s="29" t="str">
        <f t="shared" si="23"/>
        <v>OK!</v>
      </c>
      <c r="P236" s="29" t="str">
        <f t="shared" si="24"/>
        <v>OK!</v>
      </c>
    </row>
    <row r="237" spans="2:16" ht="29" x14ac:dyDescent="0.35">
      <c r="B237" s="47">
        <f t="shared" si="21"/>
        <v>76</v>
      </c>
      <c r="C237" s="47" t="str">
        <f>ORÇAMENTO!A238</f>
        <v>4.1.2.6.40</v>
      </c>
      <c r="D237" s="47" t="str">
        <f>ORÇAMENTO!B238</f>
        <v xml:space="preserve"> 94285 </v>
      </c>
      <c r="E237" s="47" t="str">
        <f>ORÇAMENTO!C238</f>
        <v>SINAPI</v>
      </c>
      <c r="F237" s="48" t="str">
        <f>ORÇAMENTO!D238</f>
        <v>EXECUÇÃO DE SARJETA DE CONCRETO USINADO, MOLDADA  IN LOCO  EM TRECHO RETO, 60 CM BASE X 15 CM ALTURA. AF_01/2024</v>
      </c>
      <c r="G237" s="47" t="str">
        <f>ORÇAMENTO!E238</f>
        <v>M</v>
      </c>
      <c r="H237" s="47">
        <f>ORÇAMENTO!F238</f>
        <v>193.97</v>
      </c>
      <c r="I237" s="47">
        <f>ORÇAMENTO!G238</f>
        <v>77.209999999999994</v>
      </c>
      <c r="J237" s="47">
        <f>ORÇAMENTO!H238</f>
        <v>0.2122</v>
      </c>
      <c r="K237" s="47">
        <f>ORÇAMENTO!I238</f>
        <v>93.59</v>
      </c>
      <c r="L237" s="49">
        <f>ORÇAMENTO!J238</f>
        <v>18153.650000000001</v>
      </c>
      <c r="N237" s="29" t="str">
        <f t="shared" si="22"/>
        <v>DIFERENTE</v>
      </c>
      <c r="O237" s="29" t="str">
        <f t="shared" si="23"/>
        <v>DIFERENTE</v>
      </c>
      <c r="P237" s="29" t="str">
        <f t="shared" si="24"/>
        <v>DIFERENTE</v>
      </c>
    </row>
    <row r="238" spans="2:16" ht="29" x14ac:dyDescent="0.35">
      <c r="B238" s="47">
        <f t="shared" si="21"/>
        <v>76</v>
      </c>
      <c r="C238" s="47" t="str">
        <f>ORÇAMENTO!A448</f>
        <v>5.1.2.7.40</v>
      </c>
      <c r="D238" s="47" t="str">
        <f>ORÇAMENTO!B448</f>
        <v xml:space="preserve"> 94285 </v>
      </c>
      <c r="E238" s="47" t="str">
        <f>ORÇAMENTO!C448</f>
        <v>SINAPI</v>
      </c>
      <c r="F238" s="48" t="str">
        <f>ORÇAMENTO!D448</f>
        <v>EXECUÇÃO DE SARJETA DE CONCRETO USINADO, MOLDADA  IN LOCO  EM TRECHO RETO, 60 CM BASE X 15 CM ALTURA. AF_01/2024</v>
      </c>
      <c r="G238" s="47" t="str">
        <f>ORÇAMENTO!E448</f>
        <v>M</v>
      </c>
      <c r="H238" s="47">
        <f>ORÇAMENTO!F448</f>
        <v>476</v>
      </c>
      <c r="I238" s="47">
        <f>ORÇAMENTO!G448</f>
        <v>77.209999999999994</v>
      </c>
      <c r="J238" s="47">
        <f>ORÇAMENTO!H448</f>
        <v>0.2122</v>
      </c>
      <c r="K238" s="47">
        <f>ORÇAMENTO!I448</f>
        <v>93.59</v>
      </c>
      <c r="L238" s="49">
        <f>ORÇAMENTO!J448</f>
        <v>44548.84</v>
      </c>
      <c r="N238" s="29" t="str">
        <f t="shared" si="22"/>
        <v>OK!</v>
      </c>
      <c r="O238" s="29" t="str">
        <f t="shared" si="23"/>
        <v>OK!</v>
      </c>
      <c r="P238" s="29" t="str">
        <f t="shared" si="24"/>
        <v>OK!</v>
      </c>
    </row>
    <row r="239" spans="2:16" ht="43.5" x14ac:dyDescent="0.35">
      <c r="B239" s="47">
        <f t="shared" si="21"/>
        <v>77</v>
      </c>
      <c r="C239" s="47" t="str">
        <f>ORÇAMENTO!A169</f>
        <v>4.1.2.4.3</v>
      </c>
      <c r="D239" s="47" t="str">
        <f>ORÇAMENTO!B169</f>
        <v xml:space="preserve"> 96390 M </v>
      </c>
      <c r="E239" s="47" t="str">
        <f>ORÇAMENTO!C169</f>
        <v>PRÓPRIO</v>
      </c>
      <c r="F239" s="48" t="str">
        <f>ORÇAMENTO!D169</f>
        <v>EXECUÇÃO E COMPACTAÇÃO DE BASE E OU SUB BASE PARA PAVIMENTAÇÃO DE SOLO (PREDOMINANTEMENTE ARENOSO) COM CAL (TEOR DE 4%) - EXCLUSIVE SOLO, ESCAVAÇÃO, CARGA E TRANSPORTE.</v>
      </c>
      <c r="G239" s="47" t="str">
        <f>ORÇAMENTO!E169</f>
        <v>M³</v>
      </c>
      <c r="H239" s="47">
        <f>ORÇAMENTO!F169</f>
        <v>233.74668979084049</v>
      </c>
      <c r="I239" s="47">
        <f>ORÇAMENTO!G169</f>
        <v>15.45</v>
      </c>
      <c r="J239" s="47">
        <f>ORÇAMENTO!H169</f>
        <v>0.2122</v>
      </c>
      <c r="K239" s="47">
        <f>ORÇAMENTO!I169</f>
        <v>18.73</v>
      </c>
      <c r="L239" s="49">
        <f>ORÇAMENTO!J169</f>
        <v>4378.07</v>
      </c>
      <c r="N239" s="29" t="str">
        <f t="shared" si="22"/>
        <v>DIFERENTE</v>
      </c>
      <c r="O239" s="29" t="str">
        <f t="shared" si="23"/>
        <v>DIFERENTE</v>
      </c>
      <c r="P239" s="29" t="str">
        <f t="shared" si="24"/>
        <v>DIFERENTE</v>
      </c>
    </row>
    <row r="240" spans="2:16" ht="43.5" x14ac:dyDescent="0.35">
      <c r="B240" s="47">
        <f t="shared" si="21"/>
        <v>77</v>
      </c>
      <c r="C240" s="47" t="str">
        <f>ORÇAMENTO!A229</f>
        <v>4.1.2.6.31</v>
      </c>
      <c r="D240" s="47" t="str">
        <f>ORÇAMENTO!B229</f>
        <v xml:space="preserve"> 96390 M </v>
      </c>
      <c r="E240" s="47" t="str">
        <f>ORÇAMENTO!C229</f>
        <v>PRÓPRIO</v>
      </c>
      <c r="F240" s="48" t="str">
        <f>ORÇAMENTO!D229</f>
        <v>EXECUÇÃO E COMPACTAÇÃO DE BASE E OU SUB BASE PARA PAVIMENTAÇÃO DE SOLO (PREDOMINANTEMENTE ARENOSO) COM CAL (TEOR DE 4%) - EXCLUSIVE SOLO, ESCAVAÇÃO, CARGA E TRANSPORTE.</v>
      </c>
      <c r="G240" s="47" t="str">
        <f>ORÇAMENTO!E229</f>
        <v>M³</v>
      </c>
      <c r="H240" s="47">
        <f>ORÇAMENTO!F229</f>
        <v>64.790000000000006</v>
      </c>
      <c r="I240" s="47">
        <f>ORÇAMENTO!G229</f>
        <v>15.45</v>
      </c>
      <c r="J240" s="47">
        <f>ORÇAMENTO!H229</f>
        <v>0.2122</v>
      </c>
      <c r="K240" s="47">
        <f>ORÇAMENTO!I229</f>
        <v>18.73</v>
      </c>
      <c r="L240" s="107">
        <f>ORÇAMENTO!J229</f>
        <v>1213.51</v>
      </c>
      <c r="N240" s="29" t="str">
        <f t="shared" si="22"/>
        <v>OK!</v>
      </c>
      <c r="O240" s="29" t="str">
        <f t="shared" si="23"/>
        <v>OK!</v>
      </c>
      <c r="P240" s="29" t="str">
        <f t="shared" si="24"/>
        <v>OK!</v>
      </c>
    </row>
    <row r="241" spans="2:16" ht="43.5" x14ac:dyDescent="0.35">
      <c r="B241" s="47">
        <f t="shared" si="21"/>
        <v>77</v>
      </c>
      <c r="C241" s="47" t="str">
        <f>ORÇAMENTO!A276</f>
        <v>4.3.10</v>
      </c>
      <c r="D241" s="47" t="str">
        <f>ORÇAMENTO!B276</f>
        <v xml:space="preserve"> 96390 M </v>
      </c>
      <c r="E241" s="47" t="str">
        <f>ORÇAMENTO!C276</f>
        <v>PRÓPRIO</v>
      </c>
      <c r="F241" s="48" t="str">
        <f>ORÇAMENTO!D276</f>
        <v>EXECUÇÃO E COMPACTAÇÃO DE BASE E OU SUB BASE PARA PAVIMENTAÇÃO DE SOLO (PREDOMINANTEMENTE ARENOSO) COM CAL (TEOR DE 4%) - EXCLUSIVE SOLO, ESCAVAÇÃO, CARGA E TRANSPORTE.</v>
      </c>
      <c r="G241" s="47" t="str">
        <f>ORÇAMENTO!E276</f>
        <v>M³</v>
      </c>
      <c r="H241" s="47">
        <f>ORÇAMENTO!F276</f>
        <v>5.8849407557420648</v>
      </c>
      <c r="I241" s="47">
        <f>ORÇAMENTO!G276</f>
        <v>15.45</v>
      </c>
      <c r="J241" s="47">
        <f>ORÇAMENTO!H276</f>
        <v>0.2122</v>
      </c>
      <c r="K241" s="47">
        <f>ORÇAMENTO!I276</f>
        <v>18.73</v>
      </c>
      <c r="L241" s="49">
        <f>ORÇAMENTO!J276</f>
        <v>110.22</v>
      </c>
      <c r="N241" s="29" t="str">
        <f t="shared" si="22"/>
        <v>OK!</v>
      </c>
      <c r="O241" s="29" t="str">
        <f t="shared" si="23"/>
        <v>OK!</v>
      </c>
      <c r="P241" s="29" t="str">
        <f t="shared" si="24"/>
        <v>OK!</v>
      </c>
    </row>
    <row r="242" spans="2:16" ht="43.5" x14ac:dyDescent="0.35">
      <c r="B242" s="47">
        <f t="shared" si="21"/>
        <v>77</v>
      </c>
      <c r="C242" s="47" t="str">
        <f>ORÇAMENTO!A368</f>
        <v>5.1.2.4.3</v>
      </c>
      <c r="D242" s="47" t="str">
        <f>ORÇAMENTO!B368</f>
        <v xml:space="preserve"> 96390 M </v>
      </c>
      <c r="E242" s="47" t="str">
        <f>ORÇAMENTO!C368</f>
        <v>PRÓPRIO</v>
      </c>
      <c r="F242" s="48" t="str">
        <f>ORÇAMENTO!D368</f>
        <v>EXECUÇÃO E COMPACTAÇÃO DE BASE E OU SUB BASE PARA PAVIMENTAÇÃO DE SOLO (PREDOMINANTEMENTE ARENOSO) COM CAL (TEOR DE 4%) - EXCLUSIVE SOLO, ESCAVAÇÃO, CARGA E TRANSPORTE.</v>
      </c>
      <c r="G242" s="47" t="str">
        <f>ORÇAMENTO!E368</f>
        <v>M³</v>
      </c>
      <c r="H242" s="47">
        <f>ORÇAMENTO!F368</f>
        <v>376.51920000000001</v>
      </c>
      <c r="I242" s="47">
        <f>ORÇAMENTO!G368</f>
        <v>15.45</v>
      </c>
      <c r="J242" s="47">
        <f>ORÇAMENTO!H368</f>
        <v>0.2122</v>
      </c>
      <c r="K242" s="47">
        <f>ORÇAMENTO!I368</f>
        <v>18.73</v>
      </c>
      <c r="L242" s="49">
        <f>ORÇAMENTO!J368</f>
        <v>7052.2</v>
      </c>
      <c r="N242" s="29" t="str">
        <f t="shared" si="22"/>
        <v>OK!</v>
      </c>
      <c r="O242" s="29" t="str">
        <f t="shared" si="23"/>
        <v>OK!</v>
      </c>
      <c r="P242" s="29" t="str">
        <f t="shared" si="24"/>
        <v>OK!</v>
      </c>
    </row>
    <row r="243" spans="2:16" ht="43.5" x14ac:dyDescent="0.35">
      <c r="B243" s="47">
        <f t="shared" si="21"/>
        <v>77</v>
      </c>
      <c r="C243" s="47" t="str">
        <f>ORÇAMENTO!A439</f>
        <v>5.1.2.7.31</v>
      </c>
      <c r="D243" s="47" t="str">
        <f>ORÇAMENTO!B439</f>
        <v xml:space="preserve"> 96390 M </v>
      </c>
      <c r="E243" s="47" t="str">
        <f>ORÇAMENTO!C439</f>
        <v>PRÓPRIO</v>
      </c>
      <c r="F243" s="48" t="str">
        <f>ORÇAMENTO!D439</f>
        <v>EXECUÇÃO E COMPACTAÇÃO DE BASE E OU SUB BASE PARA PAVIMENTAÇÃO DE SOLO (PREDOMINANTEMENTE ARENOSO) COM CAL (TEOR DE 4%) - EXCLUSIVE SOLO, ESCAVAÇÃO, CARGA E TRANSPORTE.</v>
      </c>
      <c r="G243" s="47" t="str">
        <f>ORÇAMENTO!E439</f>
        <v>M³</v>
      </c>
      <c r="H243" s="47">
        <f>ORÇAMENTO!F439</f>
        <v>124.67</v>
      </c>
      <c r="I243" s="47">
        <f>ORÇAMENTO!G439</f>
        <v>15.45</v>
      </c>
      <c r="J243" s="47">
        <f>ORÇAMENTO!H439</f>
        <v>0.2122</v>
      </c>
      <c r="K243" s="47">
        <f>ORÇAMENTO!I439</f>
        <v>18.73</v>
      </c>
      <c r="L243" s="49">
        <f>ORÇAMENTO!J439</f>
        <v>2335.06</v>
      </c>
      <c r="N243" s="29" t="str">
        <f t="shared" si="22"/>
        <v>OK!</v>
      </c>
      <c r="O243" s="29" t="str">
        <f t="shared" si="23"/>
        <v>OK!</v>
      </c>
      <c r="P243" s="29" t="str">
        <f t="shared" si="24"/>
        <v>OK!</v>
      </c>
    </row>
    <row r="244" spans="2:16" ht="43.5" x14ac:dyDescent="0.35">
      <c r="B244" s="47">
        <f t="shared" si="21"/>
        <v>77</v>
      </c>
      <c r="C244" s="47" t="str">
        <f>ORÇAMENTO!A511</f>
        <v>5.4.4.3</v>
      </c>
      <c r="D244" s="47" t="str">
        <f>ORÇAMENTO!B511</f>
        <v xml:space="preserve"> 96390 M </v>
      </c>
      <c r="E244" s="47" t="str">
        <f>ORÇAMENTO!C511</f>
        <v>PRÓPRIO</v>
      </c>
      <c r="F244" s="48" t="str">
        <f>ORÇAMENTO!D511</f>
        <v>EXECUÇÃO E COMPACTAÇÃO DE BASE E OU SUB BASE PARA PAVIMENTAÇÃO DE SOLO (PREDOMINANTEMENTE ARENOSO) COM CAL (TEOR DE 4%) - EXCLUSIVE SOLO, ESCAVAÇÃO, CARGA E TRANSPORTE.</v>
      </c>
      <c r="G244" s="47" t="str">
        <f>ORÇAMENTO!E511</f>
        <v>M³</v>
      </c>
      <c r="H244" s="47">
        <f>ORÇAMENTO!F511</f>
        <v>1427.6599999999999</v>
      </c>
      <c r="I244" s="47">
        <f>ORÇAMENTO!G511</f>
        <v>15.45</v>
      </c>
      <c r="J244" s="47">
        <f>ORÇAMENTO!H511</f>
        <v>0.2122</v>
      </c>
      <c r="K244" s="47">
        <f>ORÇAMENTO!I511</f>
        <v>18.73</v>
      </c>
      <c r="L244" s="49">
        <f>ORÇAMENTO!J511</f>
        <v>26740.07</v>
      </c>
      <c r="N244" s="29" t="str">
        <f t="shared" si="22"/>
        <v>OK!</v>
      </c>
      <c r="O244" s="29" t="str">
        <f t="shared" si="23"/>
        <v>OK!</v>
      </c>
      <c r="P244" s="29" t="str">
        <f t="shared" si="24"/>
        <v>OK!</v>
      </c>
    </row>
    <row r="245" spans="2:16" ht="43.5" x14ac:dyDescent="0.35">
      <c r="B245" s="47">
        <f t="shared" si="21"/>
        <v>77</v>
      </c>
      <c r="C245" s="47" t="str">
        <f>ORÇAMENTO!A538</f>
        <v>5.5.11</v>
      </c>
      <c r="D245" s="47" t="str">
        <f>ORÇAMENTO!B538</f>
        <v xml:space="preserve"> 96390 M </v>
      </c>
      <c r="E245" s="47" t="str">
        <f>ORÇAMENTO!C538</f>
        <v>PRÓPRIO</v>
      </c>
      <c r="F245" s="48" t="str">
        <f>ORÇAMENTO!D538</f>
        <v>EXECUÇÃO E COMPACTAÇÃO DE BASE E OU SUB BASE PARA PAVIMENTAÇÃO DE SOLO (PREDOMINANTEMENTE ARENOSO) COM CAL (TEOR DE 4%) - EXCLUSIVE SOLO, ESCAVAÇÃO, CARGA E TRANSPORTE.</v>
      </c>
      <c r="G245" s="47" t="str">
        <f>ORÇAMENTO!E538</f>
        <v>M³</v>
      </c>
      <c r="H245" s="47">
        <f>ORÇAMENTO!F538</f>
        <v>7.9609349318884588</v>
      </c>
      <c r="I245" s="47">
        <f>ORÇAMENTO!G538</f>
        <v>15.45</v>
      </c>
      <c r="J245" s="47">
        <f>ORÇAMENTO!H538</f>
        <v>0.2122</v>
      </c>
      <c r="K245" s="47">
        <f>ORÇAMENTO!I538</f>
        <v>18.73</v>
      </c>
      <c r="L245" s="49">
        <f>ORÇAMENTO!J538</f>
        <v>149.1</v>
      </c>
      <c r="N245" s="29" t="str">
        <f t="shared" si="22"/>
        <v>OK!</v>
      </c>
      <c r="O245" s="29" t="str">
        <f t="shared" si="23"/>
        <v>OK!</v>
      </c>
      <c r="P245" s="29" t="str">
        <f t="shared" si="24"/>
        <v>OK!</v>
      </c>
    </row>
    <row r="246" spans="2:16" ht="58" x14ac:dyDescent="0.35">
      <c r="B246" s="47">
        <f t="shared" si="21"/>
        <v>78</v>
      </c>
      <c r="C246" s="47" t="str">
        <f>ORÇAMENTO!A507</f>
        <v>5.4.3.1</v>
      </c>
      <c r="D246" s="47" t="str">
        <f>ORÇAMENTO!B507</f>
        <v xml:space="preserve"> 96385 </v>
      </c>
      <c r="E246" s="47" t="str">
        <f>ORÇAMENTO!C507</f>
        <v>SINAPI</v>
      </c>
      <c r="F246" s="48" t="str">
        <f>ORÇAMENTO!D507</f>
        <v>EXECUÇÃO E COMPACTAÇÃO DE CORPO DE ATERRO DE ATERRO (95% DE ENERGIA DO PROCTOR NORMAL) COM SOLO PREDOMINANTEMENTE ARGILOSO ESPESSURA 15 CM - EXCLUSIVE MATERIAL, ESCAVAÇÃO, CARGA E TRANSPORTE. AF_09/2024</v>
      </c>
      <c r="G246" s="47" t="str">
        <f>ORÇAMENTO!E507</f>
        <v>M³</v>
      </c>
      <c r="H246" s="47">
        <f>ORÇAMENTO!F507</f>
        <v>68.429999999999993</v>
      </c>
      <c r="I246" s="47">
        <f>ORÇAMENTO!G507</f>
        <v>12.17</v>
      </c>
      <c r="J246" s="47">
        <f>ORÇAMENTO!H507</f>
        <v>0.2122</v>
      </c>
      <c r="K246" s="47">
        <f>ORÇAMENTO!I507</f>
        <v>14.75</v>
      </c>
      <c r="L246" s="49">
        <f>ORÇAMENTO!J507</f>
        <v>1009.34</v>
      </c>
      <c r="N246" s="29" t="str">
        <f t="shared" si="22"/>
        <v>DIFERENTE</v>
      </c>
      <c r="O246" s="29" t="str">
        <f t="shared" si="23"/>
        <v>DIFERENTE</v>
      </c>
      <c r="P246" s="29" t="str">
        <f t="shared" si="24"/>
        <v>DIFERENTE</v>
      </c>
    </row>
    <row r="247" spans="2:16" ht="43.5" x14ac:dyDescent="0.35">
      <c r="B247" s="47">
        <f t="shared" si="21"/>
        <v>79</v>
      </c>
      <c r="C247" s="47" t="str">
        <f>ORÇAMENTO!A474</f>
        <v>5.1.2.9.6</v>
      </c>
      <c r="D247" s="47" t="str">
        <f>ORÇAMENTO!B474</f>
        <v xml:space="preserve"> 102727 </v>
      </c>
      <c r="E247" s="47" t="str">
        <f>ORÇAMENTO!C474</f>
        <v>SINAPI</v>
      </c>
      <c r="F247" s="48" t="str">
        <f>ORÇAMENTO!D474</f>
        <v>FABRICAÇÃO, MONTAGEM E DESMONTAGEM DE FÔRMA PARA BOCA PARA BUEIRO, EM CHAPA DE MADEIRA COMPENSADA RESINADA, E = 17 MM, 2 UTILIZAÇÕES. AF_07/2021</v>
      </c>
      <c r="G247" s="47" t="str">
        <f>ORÇAMENTO!E474</f>
        <v>M²</v>
      </c>
      <c r="H247" s="47">
        <f>ORÇAMENTO!F474</f>
        <v>2652.25</v>
      </c>
      <c r="I247" s="47">
        <f>ORÇAMENTO!G474</f>
        <v>94.68</v>
      </c>
      <c r="J247" s="47">
        <f>ORÇAMENTO!H474</f>
        <v>0.2122</v>
      </c>
      <c r="K247" s="47">
        <f>ORÇAMENTO!I474</f>
        <v>114.77</v>
      </c>
      <c r="L247" s="49">
        <f>ORÇAMENTO!J474</f>
        <v>304398.73</v>
      </c>
      <c r="N247" s="29" t="str">
        <f t="shared" si="22"/>
        <v>DIFERENTE</v>
      </c>
      <c r="O247" s="29" t="str">
        <f t="shared" si="23"/>
        <v>DIFERENTE</v>
      </c>
      <c r="P247" s="29" t="str">
        <f t="shared" si="24"/>
        <v>DIFERENTE</v>
      </c>
    </row>
    <row r="248" spans="2:16" ht="29" x14ac:dyDescent="0.35">
      <c r="B248" s="47">
        <f t="shared" si="21"/>
        <v>80</v>
      </c>
      <c r="C248" s="47" t="str">
        <f>ORÇAMENTO!A242</f>
        <v>4.1.2.6.44</v>
      </c>
      <c r="D248" s="47" t="str">
        <f>ORÇAMENTO!B242</f>
        <v xml:space="preserve"> 3108000 </v>
      </c>
      <c r="E248" s="47" t="str">
        <f>ORÇAMENTO!C242</f>
        <v>SICRO3</v>
      </c>
      <c r="F248" s="48" t="str">
        <f>ORÇAMENTO!D242</f>
        <v>FÔRMAS DE COMPENSADO RESINADO 12 MM - USO GERAL - UTILIZAÇÃO DE 2 VEZES - CONFECÇÃO, INSTALAÇÃO E RETIRADA</v>
      </c>
      <c r="G248" s="47" t="str">
        <f>ORÇAMENTO!E242</f>
        <v>M²</v>
      </c>
      <c r="H248" s="47">
        <f>ORÇAMENTO!F242</f>
        <v>1022.99</v>
      </c>
      <c r="I248" s="47">
        <f>ORÇAMENTO!G242</f>
        <v>93.65</v>
      </c>
      <c r="J248" s="47">
        <f>ORÇAMENTO!H242</f>
        <v>0.2122</v>
      </c>
      <c r="K248" s="47">
        <f>ORÇAMENTO!I242</f>
        <v>113.52</v>
      </c>
      <c r="L248" s="107">
        <f>ORÇAMENTO!J242</f>
        <v>116129.82</v>
      </c>
      <c r="N248" s="29" t="str">
        <f t="shared" si="22"/>
        <v>DIFERENTE</v>
      </c>
      <c r="O248" s="29" t="str">
        <f t="shared" si="23"/>
        <v>DIFERENTE</v>
      </c>
      <c r="P248" s="29" t="str">
        <f t="shared" si="24"/>
        <v>DIFERENTE</v>
      </c>
    </row>
    <row r="249" spans="2:16" ht="29" x14ac:dyDescent="0.35">
      <c r="B249" s="47">
        <f t="shared" si="21"/>
        <v>80</v>
      </c>
      <c r="C249" s="47" t="str">
        <f>ORÇAMENTO!A452</f>
        <v>5.1.2.7.44</v>
      </c>
      <c r="D249" s="47" t="str">
        <f>ORÇAMENTO!B452</f>
        <v xml:space="preserve"> 3108000 </v>
      </c>
      <c r="E249" s="47" t="str">
        <f>ORÇAMENTO!C452</f>
        <v>SICRO3</v>
      </c>
      <c r="F249" s="48" t="str">
        <f>ORÇAMENTO!D452</f>
        <v>FÔRMAS DE COMPENSADO RESINADO 12 MM - USO GERAL - UTILIZAÇÃO DE 2 VEZES - CONFECÇÃO, INSTALAÇÃO E RETIRADA</v>
      </c>
      <c r="G249" s="47" t="str">
        <f>ORÇAMENTO!E452</f>
        <v>M²</v>
      </c>
      <c r="H249" s="47">
        <f>ORÇAMENTO!F452</f>
        <v>2469.06</v>
      </c>
      <c r="I249" s="47">
        <f>ORÇAMENTO!G452</f>
        <v>93.65</v>
      </c>
      <c r="J249" s="47">
        <f>ORÇAMENTO!H452</f>
        <v>0.2122</v>
      </c>
      <c r="K249" s="47">
        <f>ORÇAMENTO!I452</f>
        <v>113.52</v>
      </c>
      <c r="L249" s="107">
        <f>ORÇAMENTO!J452</f>
        <v>280287.69</v>
      </c>
      <c r="N249" s="29" t="str">
        <f t="shared" si="22"/>
        <v>OK!</v>
      </c>
      <c r="O249" s="29" t="str">
        <f t="shared" si="23"/>
        <v>OK!</v>
      </c>
      <c r="P249" s="29" t="str">
        <f t="shared" si="24"/>
        <v>OK!</v>
      </c>
    </row>
    <row r="250" spans="2:16" ht="29" x14ac:dyDescent="0.35">
      <c r="B250" s="47">
        <f t="shared" si="21"/>
        <v>81</v>
      </c>
      <c r="C250" s="47" t="str">
        <f>ORÇAMENTO!A254</f>
        <v>4.1.2.7.6</v>
      </c>
      <c r="D250" s="47" t="str">
        <f>ORÇAMENTO!B254</f>
        <v xml:space="preserve"> 3103302 </v>
      </c>
      <c r="E250" s="47" t="str">
        <f>ORÇAMENTO!C254</f>
        <v>SICRO3</v>
      </c>
      <c r="F250" s="48" t="str">
        <f>ORÇAMENTO!D254</f>
        <v>FÔRMAS DE TÁBUAS DE PINHO PARA DISPOSITIVOS DE DRENAGEM - UTILIZAÇÃO DE 3 VEZES - CONFECÇÃO, INSTALAÇÃO E RETIRADA</v>
      </c>
      <c r="G250" s="47" t="str">
        <f>ORÇAMENTO!E254</f>
        <v>M²</v>
      </c>
      <c r="H250" s="47">
        <f>ORÇAMENTO!F254</f>
        <v>631.9</v>
      </c>
      <c r="I250" s="47">
        <f>ORÇAMENTO!G254</f>
        <v>77.569999999999993</v>
      </c>
      <c r="J250" s="47">
        <f>ORÇAMENTO!H254</f>
        <v>0.2122</v>
      </c>
      <c r="K250" s="47">
        <f>ORÇAMENTO!I254</f>
        <v>94.03</v>
      </c>
      <c r="L250" s="49">
        <f>ORÇAMENTO!J254</f>
        <v>59417.55</v>
      </c>
      <c r="N250" s="29" t="str">
        <f t="shared" si="22"/>
        <v>DIFERENTE</v>
      </c>
      <c r="O250" s="29" t="str">
        <f t="shared" si="23"/>
        <v>DIFERENTE</v>
      </c>
      <c r="P250" s="29" t="str">
        <f t="shared" si="24"/>
        <v>DIFERENTE</v>
      </c>
    </row>
    <row r="251" spans="2:16" ht="29" x14ac:dyDescent="0.35">
      <c r="B251" s="47">
        <f t="shared" si="21"/>
        <v>81</v>
      </c>
      <c r="C251" s="47" t="str">
        <f>ORÇAMENTO!A464</f>
        <v>5.1.2.8.6</v>
      </c>
      <c r="D251" s="47" t="str">
        <f>ORÇAMENTO!B464</f>
        <v xml:space="preserve"> 3103302 </v>
      </c>
      <c r="E251" s="47" t="str">
        <f>ORÇAMENTO!C464</f>
        <v>SICRO3</v>
      </c>
      <c r="F251" s="48" t="str">
        <f>ORÇAMENTO!D464</f>
        <v>FÔRMAS DE TÁBUAS DE PINHO PARA DISPOSITIVOS DE DRENAGEM - UTILIZAÇÃO DE 3 VEZES - CONFECÇÃO, INSTALAÇÃO E RETIRADA</v>
      </c>
      <c r="G251" s="47" t="str">
        <f>ORÇAMENTO!E464</f>
        <v>M²</v>
      </c>
      <c r="H251" s="47">
        <f>ORÇAMENTO!F464</f>
        <v>869.49</v>
      </c>
      <c r="I251" s="47">
        <f>ORÇAMENTO!G464</f>
        <v>77.569999999999993</v>
      </c>
      <c r="J251" s="47">
        <f>ORÇAMENTO!H464</f>
        <v>0.2122</v>
      </c>
      <c r="K251" s="47">
        <f>ORÇAMENTO!I464</f>
        <v>94.03</v>
      </c>
      <c r="L251" s="49">
        <f>ORÇAMENTO!J464</f>
        <v>81758.14</v>
      </c>
      <c r="N251" s="29" t="str">
        <f t="shared" si="22"/>
        <v>OK!</v>
      </c>
      <c r="O251" s="29" t="str">
        <f t="shared" si="23"/>
        <v>OK!</v>
      </c>
      <c r="P251" s="29" t="str">
        <f t="shared" si="24"/>
        <v>OK!</v>
      </c>
    </row>
    <row r="252" spans="2:16" ht="29" x14ac:dyDescent="0.35">
      <c r="B252" s="47">
        <f t="shared" si="21"/>
        <v>81</v>
      </c>
      <c r="C252" s="47" t="str">
        <f>ORÇAMENTO!A481</f>
        <v>5.1.2.10.6</v>
      </c>
      <c r="D252" s="47" t="str">
        <f>ORÇAMENTO!B481</f>
        <v xml:space="preserve"> 3103302 </v>
      </c>
      <c r="E252" s="47" t="str">
        <f>ORÇAMENTO!C481</f>
        <v>SICRO3</v>
      </c>
      <c r="F252" s="48" t="str">
        <f>ORÇAMENTO!D481</f>
        <v>FÔRMAS DE TÁBUAS DE PINHO PARA DISPOSITIVOS DE DRENAGEM - UTILIZAÇÃO DE 3 VEZES - CONFECÇÃO, INSTALAÇÃO E RETIRADA</v>
      </c>
      <c r="G252" s="47" t="str">
        <f>ORÇAMENTO!E481</f>
        <v>M²</v>
      </c>
      <c r="H252" s="47">
        <f>ORÇAMENTO!F481</f>
        <v>232.6</v>
      </c>
      <c r="I252" s="47">
        <f>ORÇAMENTO!G481</f>
        <v>77.569999999999993</v>
      </c>
      <c r="J252" s="47">
        <f>ORÇAMENTO!H481</f>
        <v>0.2122</v>
      </c>
      <c r="K252" s="47">
        <f>ORÇAMENTO!I481</f>
        <v>94.03</v>
      </c>
      <c r="L252" s="49">
        <f>ORÇAMENTO!J481</f>
        <v>21871.37</v>
      </c>
      <c r="N252" s="29" t="str">
        <f t="shared" si="22"/>
        <v>OK!</v>
      </c>
      <c r="O252" s="29" t="str">
        <f t="shared" si="23"/>
        <v>OK!</v>
      </c>
      <c r="P252" s="29" t="str">
        <f t="shared" si="24"/>
        <v>OK!</v>
      </c>
    </row>
    <row r="253" spans="2:16" ht="29" x14ac:dyDescent="0.35">
      <c r="B253" s="47">
        <f t="shared" si="21"/>
        <v>82</v>
      </c>
      <c r="C253" s="47" t="str">
        <f>ORÇAMENTO!A271</f>
        <v>4.3.5</v>
      </c>
      <c r="D253" s="47" t="str">
        <f>ORÇAMENTO!B271</f>
        <v xml:space="preserve"> 6380 </v>
      </c>
      <c r="E253" s="47" t="str">
        <f>ORÇAMENTO!C271</f>
        <v>ORSE</v>
      </c>
      <c r="F253" s="48" t="str">
        <f>ORÇAMENTO!D271</f>
        <v>FORNECIMENTO E ASSENTAMENTO DE TAMPÃO CIRCULAR PARA DRENAGEM, EM FERRO FUNDIDO, DIÂMETRO = 0,6 M</v>
      </c>
      <c r="G253" s="47" t="str">
        <f>ORÇAMENTO!E271</f>
        <v>UN</v>
      </c>
      <c r="H253" s="47">
        <f>ORÇAMENTO!F271</f>
        <v>41</v>
      </c>
      <c r="I253" s="47">
        <f>ORÇAMENTO!G271</f>
        <v>541.14</v>
      </c>
      <c r="J253" s="47">
        <f>ORÇAMENTO!H271</f>
        <v>0.2122</v>
      </c>
      <c r="K253" s="47">
        <f>ORÇAMENTO!I271</f>
        <v>655.97</v>
      </c>
      <c r="L253" s="107">
        <f>ORÇAMENTO!J271</f>
        <v>26894.77</v>
      </c>
      <c r="N253" s="29" t="str">
        <f t="shared" si="22"/>
        <v>DIFERENTE</v>
      </c>
      <c r="O253" s="29" t="str">
        <f t="shared" si="23"/>
        <v>DIFERENTE</v>
      </c>
      <c r="P253" s="29" t="str">
        <f t="shared" si="24"/>
        <v>DIFERENTE</v>
      </c>
    </row>
    <row r="254" spans="2:16" ht="29" x14ac:dyDescent="0.35">
      <c r="B254" s="47">
        <f t="shared" si="21"/>
        <v>82</v>
      </c>
      <c r="C254" s="47" t="str">
        <f>ORÇAMENTO!A533</f>
        <v>5.5.6</v>
      </c>
      <c r="D254" s="47" t="str">
        <f>ORÇAMENTO!B533</f>
        <v xml:space="preserve"> 6380 </v>
      </c>
      <c r="E254" s="47" t="str">
        <f>ORÇAMENTO!C533</f>
        <v>ORSE</v>
      </c>
      <c r="F254" s="48" t="str">
        <f>ORÇAMENTO!D533</f>
        <v>FORNECIMENTO E ASSENTAMENTO DE TAMPÃO CIRCULAR PARA DRENAGEM, EM FERRO FUNDIDO, DIÂMETRO = 0,6 M</v>
      </c>
      <c r="G254" s="47" t="str">
        <f>ORÇAMENTO!E533</f>
        <v>UN</v>
      </c>
      <c r="H254" s="47">
        <f>ORÇAMENTO!F533</f>
        <v>66</v>
      </c>
      <c r="I254" s="47">
        <f>ORÇAMENTO!G533</f>
        <v>541.14</v>
      </c>
      <c r="J254" s="47">
        <f>ORÇAMENTO!H533</f>
        <v>0.2122</v>
      </c>
      <c r="K254" s="47">
        <f>ORÇAMENTO!I533</f>
        <v>655.97</v>
      </c>
      <c r="L254" s="49">
        <f>ORÇAMENTO!J533</f>
        <v>43294.02</v>
      </c>
      <c r="N254" s="29" t="str">
        <f t="shared" si="22"/>
        <v>OK!</v>
      </c>
      <c r="O254" s="29" t="str">
        <f t="shared" si="23"/>
        <v>OK!</v>
      </c>
      <c r="P254" s="29" t="str">
        <f t="shared" si="24"/>
        <v>OK!</v>
      </c>
    </row>
    <row r="255" spans="2:16" x14ac:dyDescent="0.35">
      <c r="B255" s="47">
        <f t="shared" si="21"/>
        <v>83</v>
      </c>
      <c r="C255" s="47" t="str">
        <f>ORÇAMENTO!A173</f>
        <v>4.1.2.4.7</v>
      </c>
      <c r="D255" s="47" t="str">
        <f>ORÇAMENTO!B173</f>
        <v xml:space="preserve"> 4011352 M </v>
      </c>
      <c r="E255" s="47" t="str">
        <f>ORÇAMENTO!C173</f>
        <v>PRÓPRIO</v>
      </c>
      <c r="F255" s="48" t="str">
        <f>ORÇAMENTO!D173</f>
        <v>IMPRIMAÇÃO COM EMULSÃO ASFÁLTICA (SEM MATERIAL)</v>
      </c>
      <c r="G255" s="47" t="str">
        <f>ORÇAMENTO!E173</f>
        <v>M²</v>
      </c>
      <c r="H255" s="47">
        <f>ORÇAMENTO!F173</f>
        <v>1558.3112652722696</v>
      </c>
      <c r="I255" s="47">
        <f>ORÇAMENTO!G173</f>
        <v>0.4</v>
      </c>
      <c r="J255" s="47">
        <f>ORÇAMENTO!H173</f>
        <v>0.2122</v>
      </c>
      <c r="K255" s="47">
        <f>ORÇAMENTO!I173</f>
        <v>0.48</v>
      </c>
      <c r="L255" s="49">
        <f>ORÇAMENTO!J173</f>
        <v>747.98</v>
      </c>
      <c r="N255" s="29" t="str">
        <f t="shared" si="22"/>
        <v>DIFERENTE</v>
      </c>
      <c r="O255" s="29" t="str">
        <f t="shared" si="23"/>
        <v>DIFERENTE</v>
      </c>
      <c r="P255" s="29" t="str">
        <f t="shared" si="24"/>
        <v>DIFERENTE</v>
      </c>
    </row>
    <row r="256" spans="2:16" x14ac:dyDescent="0.35">
      <c r="B256" s="47">
        <f t="shared" si="21"/>
        <v>83</v>
      </c>
      <c r="C256" s="47" t="str">
        <f>ORÇAMENTO!A225</f>
        <v>4.1.2.6.27</v>
      </c>
      <c r="D256" s="47" t="str">
        <f>ORÇAMENTO!B225</f>
        <v xml:space="preserve"> 4011352 M </v>
      </c>
      <c r="E256" s="47" t="str">
        <f>ORÇAMENTO!C225</f>
        <v>PRÓPRIO</v>
      </c>
      <c r="F256" s="48" t="str">
        <f>ORÇAMENTO!D225</f>
        <v>IMPRIMAÇÃO COM EMULSÃO ASFÁLTICA (SEM MATERIAL)</v>
      </c>
      <c r="G256" s="47" t="str">
        <f>ORÇAMENTO!E225</f>
        <v>M²</v>
      </c>
      <c r="H256" s="47">
        <f>ORÇAMENTO!F225</f>
        <v>431.93</v>
      </c>
      <c r="I256" s="47">
        <f>ORÇAMENTO!G225</f>
        <v>0.4</v>
      </c>
      <c r="J256" s="47">
        <f>ORÇAMENTO!H225</f>
        <v>0.2122</v>
      </c>
      <c r="K256" s="47">
        <f>ORÇAMENTO!I225</f>
        <v>0.48</v>
      </c>
      <c r="L256" s="49">
        <f>ORÇAMENTO!J225</f>
        <v>207.32</v>
      </c>
      <c r="N256" s="29" t="str">
        <f t="shared" si="22"/>
        <v>OK!</v>
      </c>
      <c r="O256" s="29" t="str">
        <f t="shared" si="23"/>
        <v>OK!</v>
      </c>
      <c r="P256" s="29" t="str">
        <f t="shared" si="24"/>
        <v>OK!</v>
      </c>
    </row>
    <row r="257" spans="2:16" x14ac:dyDescent="0.35">
      <c r="B257" s="47">
        <f t="shared" si="21"/>
        <v>83</v>
      </c>
      <c r="C257" s="47" t="str">
        <f>ORÇAMENTO!A274</f>
        <v>4.3.8</v>
      </c>
      <c r="D257" s="47" t="str">
        <f>ORÇAMENTO!B274</f>
        <v xml:space="preserve"> 4011352 M </v>
      </c>
      <c r="E257" s="47" t="str">
        <f>ORÇAMENTO!C274</f>
        <v>PRÓPRIO</v>
      </c>
      <c r="F257" s="48" t="str">
        <f>ORÇAMENTO!D274</f>
        <v>IMPRIMAÇÃO COM EMULSÃO ASFÁLTICA (SEM MATERIAL)</v>
      </c>
      <c r="G257" s="47" t="str">
        <f>ORÇAMENTO!E274</f>
        <v>M²</v>
      </c>
      <c r="H257" s="47">
        <f>ORÇAMENTO!F274</f>
        <v>121.24752310825359</v>
      </c>
      <c r="I257" s="47">
        <f>ORÇAMENTO!G274</f>
        <v>0.4</v>
      </c>
      <c r="J257" s="47">
        <f>ORÇAMENTO!H274</f>
        <v>0.2122</v>
      </c>
      <c r="K257" s="47">
        <f>ORÇAMENTO!I274</f>
        <v>0.48</v>
      </c>
      <c r="L257" s="49">
        <f>ORÇAMENTO!J274</f>
        <v>58.19</v>
      </c>
      <c r="N257" s="29" t="str">
        <f t="shared" si="22"/>
        <v>OK!</v>
      </c>
      <c r="O257" s="29" t="str">
        <f t="shared" si="23"/>
        <v>OK!</v>
      </c>
      <c r="P257" s="29" t="str">
        <f t="shared" si="24"/>
        <v>OK!</v>
      </c>
    </row>
    <row r="258" spans="2:16" x14ac:dyDescent="0.35">
      <c r="B258" s="47">
        <f t="shared" si="21"/>
        <v>83</v>
      </c>
      <c r="C258" s="47" t="str">
        <f>ORÇAMENTO!A372</f>
        <v>5.1.2.4.7</v>
      </c>
      <c r="D258" s="47" t="str">
        <f>ORÇAMENTO!B372</f>
        <v xml:space="preserve"> 4011352 M </v>
      </c>
      <c r="E258" s="47" t="str">
        <f>ORÇAMENTO!C372</f>
        <v>PRÓPRIO</v>
      </c>
      <c r="F258" s="48" t="str">
        <f>ORÇAMENTO!D372</f>
        <v>IMPRIMAÇÃO COM EMULSÃO ASFÁLTICA (SEM MATERIAL)</v>
      </c>
      <c r="G258" s="47" t="str">
        <f>ORÇAMENTO!E372</f>
        <v>M²</v>
      </c>
      <c r="H258" s="47">
        <f>ORÇAMENTO!F372</f>
        <v>2510.1280000000002</v>
      </c>
      <c r="I258" s="47">
        <f>ORÇAMENTO!G372</f>
        <v>0.4</v>
      </c>
      <c r="J258" s="47">
        <f>ORÇAMENTO!H372</f>
        <v>0.2122</v>
      </c>
      <c r="K258" s="47">
        <f>ORÇAMENTO!I372</f>
        <v>0.48</v>
      </c>
      <c r="L258" s="107">
        <f>ORÇAMENTO!J372</f>
        <v>1204.8599999999999</v>
      </c>
      <c r="N258" s="29" t="str">
        <f t="shared" si="22"/>
        <v>OK!</v>
      </c>
      <c r="O258" s="29" t="str">
        <f t="shared" si="23"/>
        <v>OK!</v>
      </c>
      <c r="P258" s="29" t="str">
        <f t="shared" si="24"/>
        <v>OK!</v>
      </c>
    </row>
    <row r="259" spans="2:16" x14ac:dyDescent="0.35">
      <c r="B259" s="47">
        <f t="shared" si="21"/>
        <v>83</v>
      </c>
      <c r="C259" s="47" t="str">
        <f>ORÇAMENTO!A435</f>
        <v>5.1.2.7.27</v>
      </c>
      <c r="D259" s="47" t="str">
        <f>ORÇAMENTO!B435</f>
        <v xml:space="preserve"> 4011352 M </v>
      </c>
      <c r="E259" s="47" t="str">
        <f>ORÇAMENTO!C435</f>
        <v>PRÓPRIO</v>
      </c>
      <c r="F259" s="48" t="str">
        <f>ORÇAMENTO!D435</f>
        <v>IMPRIMAÇÃO COM EMULSÃO ASFÁLTICA (SEM MATERIAL)</v>
      </c>
      <c r="G259" s="47" t="str">
        <f>ORÇAMENTO!E435</f>
        <v>M²</v>
      </c>
      <c r="H259" s="47">
        <f>ORÇAMENTO!F435</f>
        <v>831.13</v>
      </c>
      <c r="I259" s="47">
        <f>ORÇAMENTO!G435</f>
        <v>0.4</v>
      </c>
      <c r="J259" s="47">
        <f>ORÇAMENTO!H435</f>
        <v>0.2122</v>
      </c>
      <c r="K259" s="47">
        <f>ORÇAMENTO!I435</f>
        <v>0.48</v>
      </c>
      <c r="L259" s="49">
        <f>ORÇAMENTO!J435</f>
        <v>398.94</v>
      </c>
      <c r="N259" s="29" t="str">
        <f t="shared" si="22"/>
        <v>OK!</v>
      </c>
      <c r="O259" s="29" t="str">
        <f t="shared" si="23"/>
        <v>OK!</v>
      </c>
      <c r="P259" s="29" t="str">
        <f t="shared" si="24"/>
        <v>OK!</v>
      </c>
    </row>
    <row r="260" spans="2:16" x14ac:dyDescent="0.35">
      <c r="B260" s="47">
        <f t="shared" ref="B260:B323" si="25">IF(EXACT(F259,F260),B259,B259+1)</f>
        <v>83</v>
      </c>
      <c r="C260" s="47" t="str">
        <f>ORÇAMENTO!A514</f>
        <v>5.4.4.6</v>
      </c>
      <c r="D260" s="47" t="str">
        <f>ORÇAMENTO!B514</f>
        <v xml:space="preserve"> 4011352 M </v>
      </c>
      <c r="E260" s="47" t="str">
        <f>ORÇAMENTO!C514</f>
        <v>PRÓPRIO</v>
      </c>
      <c r="F260" s="48" t="str">
        <f>ORÇAMENTO!D514</f>
        <v>IMPRIMAÇÃO COM EMULSÃO ASFÁLTICA (SEM MATERIAL)</v>
      </c>
      <c r="G260" s="47" t="str">
        <f>ORÇAMENTO!E514</f>
        <v>M²</v>
      </c>
      <c r="H260" s="47">
        <f>ORÇAMENTO!F514</f>
        <v>9126.6666666666679</v>
      </c>
      <c r="I260" s="47">
        <f>ORÇAMENTO!G514</f>
        <v>0.4</v>
      </c>
      <c r="J260" s="47">
        <f>ORÇAMENTO!H514</f>
        <v>0.2122</v>
      </c>
      <c r="K260" s="47">
        <f>ORÇAMENTO!I514</f>
        <v>0.48</v>
      </c>
      <c r="L260" s="49">
        <f>ORÇAMENTO!J514</f>
        <v>4380.8</v>
      </c>
      <c r="N260" s="29" t="str">
        <f t="shared" si="22"/>
        <v>OK!</v>
      </c>
      <c r="O260" s="29" t="str">
        <f t="shared" si="23"/>
        <v>OK!</v>
      </c>
      <c r="P260" s="29" t="str">
        <f t="shared" si="24"/>
        <v>OK!</v>
      </c>
    </row>
    <row r="261" spans="2:16" x14ac:dyDescent="0.35">
      <c r="B261" s="47">
        <f t="shared" si="25"/>
        <v>83</v>
      </c>
      <c r="C261" s="47" t="str">
        <f>ORÇAMENTO!A536</f>
        <v>5.5.9</v>
      </c>
      <c r="D261" s="47" t="str">
        <f>ORÇAMENTO!B536</f>
        <v xml:space="preserve"> 4011352 M </v>
      </c>
      <c r="E261" s="47" t="str">
        <f>ORÇAMENTO!C536</f>
        <v>PRÓPRIO</v>
      </c>
      <c r="F261" s="48" t="str">
        <f>ORÇAMENTO!D536</f>
        <v>IMPRIMAÇÃO COM EMULSÃO ASFÁLTICA (SEM MATERIAL)</v>
      </c>
      <c r="G261" s="47" t="str">
        <f>ORÇAMENTO!E536</f>
        <v>M²</v>
      </c>
      <c r="H261" s="47">
        <f>ORÇAMENTO!F536</f>
        <v>195.17893963767673</v>
      </c>
      <c r="I261" s="47">
        <f>ORÇAMENTO!G536</f>
        <v>0.4</v>
      </c>
      <c r="J261" s="47">
        <f>ORÇAMENTO!H536</f>
        <v>0.2122</v>
      </c>
      <c r="K261" s="47">
        <f>ORÇAMENTO!I536</f>
        <v>0.48</v>
      </c>
      <c r="L261" s="49">
        <f>ORÇAMENTO!J536</f>
        <v>93.68</v>
      </c>
      <c r="N261" s="29" t="str">
        <f t="shared" si="22"/>
        <v>OK!</v>
      </c>
      <c r="O261" s="29" t="str">
        <f t="shared" si="23"/>
        <v>OK!</v>
      </c>
      <c r="P261" s="29" t="str">
        <f t="shared" si="24"/>
        <v>OK!</v>
      </c>
    </row>
    <row r="262" spans="2:16" ht="29" x14ac:dyDescent="0.35">
      <c r="B262" s="47">
        <f t="shared" si="25"/>
        <v>84</v>
      </c>
      <c r="C262" s="47" t="str">
        <f>ORÇAMENTO!A244</f>
        <v>4.1.2.6.46</v>
      </c>
      <c r="D262" s="47" t="str">
        <f>ORÇAMENTO!B244</f>
        <v xml:space="preserve"> 103670 </v>
      </c>
      <c r="E262" s="47" t="str">
        <f>ORÇAMENTO!C244</f>
        <v>SINAPI</v>
      </c>
      <c r="F262" s="48" t="str">
        <f>ORÇAMENTO!D244</f>
        <v>LANÇAMENTO COM USO DE BALDES, ADENSAMENTO E ACABAMENTO DE CONCRETO EM ESTRUTURAS. AF_02/2022</v>
      </c>
      <c r="G262" s="47" t="str">
        <f>ORÇAMENTO!E244</f>
        <v>M³</v>
      </c>
      <c r="H262" s="47">
        <f>ORÇAMENTO!F244</f>
        <v>86.92</v>
      </c>
      <c r="I262" s="47">
        <f>ORÇAMENTO!G244</f>
        <v>326.63</v>
      </c>
      <c r="J262" s="47">
        <f>ORÇAMENTO!H244</f>
        <v>0.2122</v>
      </c>
      <c r="K262" s="47">
        <f>ORÇAMENTO!I244</f>
        <v>395.94</v>
      </c>
      <c r="L262" s="49">
        <f>ORÇAMENTO!J244</f>
        <v>34415.1</v>
      </c>
      <c r="N262" s="29" t="str">
        <f t="shared" si="22"/>
        <v>DIFERENTE</v>
      </c>
      <c r="O262" s="29" t="str">
        <f t="shared" si="23"/>
        <v>DIFERENTE</v>
      </c>
      <c r="P262" s="29" t="str">
        <f t="shared" si="24"/>
        <v>DIFERENTE</v>
      </c>
    </row>
    <row r="263" spans="2:16" ht="29" x14ac:dyDescent="0.35">
      <c r="B263" s="47">
        <f t="shared" si="25"/>
        <v>84</v>
      </c>
      <c r="C263" s="47" t="str">
        <f>ORÇAMENTO!A255</f>
        <v>4.1.2.7.7</v>
      </c>
      <c r="D263" s="47" t="str">
        <f>ORÇAMENTO!B255</f>
        <v xml:space="preserve"> 103670 </v>
      </c>
      <c r="E263" s="47" t="str">
        <f>ORÇAMENTO!C255</f>
        <v>SINAPI</v>
      </c>
      <c r="F263" s="48" t="str">
        <f>ORÇAMENTO!D255</f>
        <v>LANÇAMENTO COM USO DE BALDES, ADENSAMENTO E ACABAMENTO DE CONCRETO EM ESTRUTURAS. AF_02/2022</v>
      </c>
      <c r="G263" s="47" t="str">
        <f>ORÇAMENTO!E255</f>
        <v>M³</v>
      </c>
      <c r="H263" s="47">
        <f>ORÇAMENTO!F255</f>
        <v>70.650000000000006</v>
      </c>
      <c r="I263" s="47">
        <f>ORÇAMENTO!G255</f>
        <v>326.63</v>
      </c>
      <c r="J263" s="47">
        <f>ORÇAMENTO!H255</f>
        <v>0.2122</v>
      </c>
      <c r="K263" s="47">
        <f>ORÇAMENTO!I255</f>
        <v>395.94</v>
      </c>
      <c r="L263" s="107">
        <f>ORÇAMENTO!J255</f>
        <v>27973.16</v>
      </c>
      <c r="N263" s="29" t="str">
        <f t="shared" si="22"/>
        <v>OK!</v>
      </c>
      <c r="O263" s="29" t="str">
        <f t="shared" si="23"/>
        <v>OK!</v>
      </c>
      <c r="P263" s="29" t="str">
        <f t="shared" si="24"/>
        <v>OK!</v>
      </c>
    </row>
    <row r="264" spans="2:16" ht="29" x14ac:dyDescent="0.35">
      <c r="B264" s="47">
        <f t="shared" si="25"/>
        <v>84</v>
      </c>
      <c r="C264" s="47" t="str">
        <f>ORÇAMENTO!A454</f>
        <v>5.1.2.7.46</v>
      </c>
      <c r="D264" s="47" t="str">
        <f>ORÇAMENTO!B454</f>
        <v xml:space="preserve"> 103670 </v>
      </c>
      <c r="E264" s="47" t="str">
        <f>ORÇAMENTO!C454</f>
        <v>SINAPI</v>
      </c>
      <c r="F264" s="48" t="str">
        <f>ORÇAMENTO!D454</f>
        <v>LANÇAMENTO COM USO DE BALDES, ADENSAMENTO E ACABAMENTO DE CONCRETO EM ESTRUTURAS. AF_02/2022</v>
      </c>
      <c r="G264" s="47" t="str">
        <f>ORÇAMENTO!E454</f>
        <v>M³</v>
      </c>
      <c r="H264" s="47">
        <f>ORÇAMENTO!F454</f>
        <v>213.1</v>
      </c>
      <c r="I264" s="47">
        <f>ORÇAMENTO!G454</f>
        <v>326.63</v>
      </c>
      <c r="J264" s="47">
        <f>ORÇAMENTO!H454</f>
        <v>0.2122</v>
      </c>
      <c r="K264" s="47">
        <f>ORÇAMENTO!I454</f>
        <v>395.94</v>
      </c>
      <c r="L264" s="49">
        <f>ORÇAMENTO!J454</f>
        <v>84374.81</v>
      </c>
      <c r="N264" s="29" t="str">
        <f t="shared" si="22"/>
        <v>OK!</v>
      </c>
      <c r="O264" s="29" t="str">
        <f t="shared" si="23"/>
        <v>OK!</v>
      </c>
      <c r="P264" s="29" t="str">
        <f t="shared" si="24"/>
        <v>OK!</v>
      </c>
    </row>
    <row r="265" spans="2:16" ht="29" x14ac:dyDescent="0.35">
      <c r="B265" s="47">
        <f t="shared" si="25"/>
        <v>84</v>
      </c>
      <c r="C265" s="47" t="str">
        <f>ORÇAMENTO!A465</f>
        <v>5.1.2.8.7</v>
      </c>
      <c r="D265" s="47" t="str">
        <f>ORÇAMENTO!B465</f>
        <v xml:space="preserve"> 103670 </v>
      </c>
      <c r="E265" s="47" t="str">
        <f>ORÇAMENTO!C465</f>
        <v>SINAPI</v>
      </c>
      <c r="F265" s="48" t="str">
        <f>ORÇAMENTO!D465</f>
        <v>LANÇAMENTO COM USO DE BALDES, ADENSAMENTO E ACABAMENTO DE CONCRETO EM ESTRUTURAS. AF_02/2022</v>
      </c>
      <c r="G265" s="47" t="str">
        <f>ORÇAMENTO!E465</f>
        <v>M³</v>
      </c>
      <c r="H265" s="47">
        <f>ORÇAMENTO!F465</f>
        <v>96.14</v>
      </c>
      <c r="I265" s="47">
        <f>ORÇAMENTO!G465</f>
        <v>326.63</v>
      </c>
      <c r="J265" s="47">
        <f>ORÇAMENTO!H465</f>
        <v>0.2122</v>
      </c>
      <c r="K265" s="47">
        <f>ORÇAMENTO!I465</f>
        <v>395.94</v>
      </c>
      <c r="L265" s="49">
        <f>ORÇAMENTO!J465</f>
        <v>38065.67</v>
      </c>
      <c r="N265" s="29" t="str">
        <f t="shared" si="22"/>
        <v>OK!</v>
      </c>
      <c r="O265" s="29" t="str">
        <f t="shared" si="23"/>
        <v>OK!</v>
      </c>
      <c r="P265" s="29" t="str">
        <f t="shared" si="24"/>
        <v>OK!</v>
      </c>
    </row>
    <row r="266" spans="2:16" ht="29" x14ac:dyDescent="0.35">
      <c r="B266" s="47">
        <f t="shared" si="25"/>
        <v>84</v>
      </c>
      <c r="C266" s="47" t="str">
        <f>ORÇAMENTO!A472</f>
        <v>5.1.2.9.4</v>
      </c>
      <c r="D266" s="47" t="str">
        <f>ORÇAMENTO!B472</f>
        <v xml:space="preserve"> 103670 </v>
      </c>
      <c r="E266" s="47" t="str">
        <f>ORÇAMENTO!C472</f>
        <v>SINAPI</v>
      </c>
      <c r="F266" s="48" t="str">
        <f>ORÇAMENTO!D472</f>
        <v>LANÇAMENTO COM USO DE BALDES, ADENSAMENTO E ACABAMENTO DE CONCRETO EM ESTRUTURAS. AF_02/2022</v>
      </c>
      <c r="G266" s="47" t="str">
        <f>ORÇAMENTO!E472</f>
        <v>M³</v>
      </c>
      <c r="H266" s="47">
        <f>ORÇAMENTO!F472</f>
        <v>303.48</v>
      </c>
      <c r="I266" s="47">
        <f>ORÇAMENTO!G472</f>
        <v>326.63</v>
      </c>
      <c r="J266" s="47">
        <f>ORÇAMENTO!H472</f>
        <v>0.2122</v>
      </c>
      <c r="K266" s="47">
        <f>ORÇAMENTO!I472</f>
        <v>395.94</v>
      </c>
      <c r="L266" s="49">
        <f>ORÇAMENTO!J472</f>
        <v>120159.87</v>
      </c>
      <c r="N266" s="29" t="str">
        <f t="shared" si="22"/>
        <v>OK!</v>
      </c>
      <c r="O266" s="29" t="str">
        <f t="shared" si="23"/>
        <v>OK!</v>
      </c>
      <c r="P266" s="29" t="str">
        <f t="shared" si="24"/>
        <v>OK!</v>
      </c>
    </row>
    <row r="267" spans="2:16" ht="29" x14ac:dyDescent="0.35">
      <c r="B267" s="47">
        <f t="shared" si="25"/>
        <v>84</v>
      </c>
      <c r="C267" s="47" t="str">
        <f>ORÇAMENTO!A480</f>
        <v>5.1.2.10.5</v>
      </c>
      <c r="D267" s="47" t="str">
        <f>ORÇAMENTO!B480</f>
        <v xml:space="preserve"> 103670 </v>
      </c>
      <c r="E267" s="47" t="str">
        <f>ORÇAMENTO!C480</f>
        <v>SINAPI</v>
      </c>
      <c r="F267" s="48" t="str">
        <f>ORÇAMENTO!D480</f>
        <v>LANÇAMENTO COM USO DE BALDES, ADENSAMENTO E ACABAMENTO DE CONCRETO EM ESTRUTURAS. AF_02/2022</v>
      </c>
      <c r="G267" s="47" t="str">
        <f>ORÇAMENTO!E480</f>
        <v>M³</v>
      </c>
      <c r="H267" s="47">
        <f>ORÇAMENTO!F480</f>
        <v>25.66</v>
      </c>
      <c r="I267" s="47">
        <f>ORÇAMENTO!G480</f>
        <v>326.63</v>
      </c>
      <c r="J267" s="47">
        <f>ORÇAMENTO!H480</f>
        <v>0.2122</v>
      </c>
      <c r="K267" s="47">
        <f>ORÇAMENTO!I480</f>
        <v>395.94</v>
      </c>
      <c r="L267" s="49">
        <f>ORÇAMENTO!J480</f>
        <v>10159.82</v>
      </c>
      <c r="N267" s="29" t="str">
        <f t="shared" si="22"/>
        <v>OK!</v>
      </c>
      <c r="O267" s="29" t="str">
        <f t="shared" si="23"/>
        <v>OK!</v>
      </c>
      <c r="P267" s="29" t="str">
        <f t="shared" si="24"/>
        <v>OK!</v>
      </c>
    </row>
    <row r="268" spans="2:16" x14ac:dyDescent="0.35">
      <c r="B268" s="47">
        <f t="shared" si="25"/>
        <v>85</v>
      </c>
      <c r="C268" s="47" t="str">
        <f>ORÇAMENTO!A259</f>
        <v>4.1.2.8.1</v>
      </c>
      <c r="D268" s="47" t="str">
        <f>ORÇAMENTO!B259</f>
        <v xml:space="preserve"> 27.01.06U </v>
      </c>
      <c r="E268" s="47" t="str">
        <f>ORÇAMENTO!C259</f>
        <v>COMPESA</v>
      </c>
      <c r="F268" s="48" t="str">
        <f>ORÇAMENTO!D259</f>
        <v>LIMPEZA E TESTE DE REDES DE DRENAGEM</v>
      </c>
      <c r="G268" s="47" t="str">
        <f>ORÇAMENTO!E259</f>
        <v>M</v>
      </c>
      <c r="H268" s="47">
        <f>ORÇAMENTO!F259</f>
        <v>752.16</v>
      </c>
      <c r="I268" s="47">
        <f>ORÇAMENTO!G259</f>
        <v>5.19</v>
      </c>
      <c r="J268" s="47">
        <f>ORÇAMENTO!H259</f>
        <v>0.2122</v>
      </c>
      <c r="K268" s="47">
        <f>ORÇAMENTO!I259</f>
        <v>6.29</v>
      </c>
      <c r="L268" s="49">
        <f>ORÇAMENTO!J259</f>
        <v>4731.08</v>
      </c>
      <c r="N268" s="29" t="str">
        <f t="shared" si="22"/>
        <v>DIFERENTE</v>
      </c>
      <c r="O268" s="29" t="str">
        <f t="shared" si="23"/>
        <v>DIFERENTE</v>
      </c>
      <c r="P268" s="29" t="str">
        <f t="shared" si="24"/>
        <v>DIFERENTE</v>
      </c>
    </row>
    <row r="269" spans="2:16" x14ac:dyDescent="0.35">
      <c r="B269" s="47">
        <f t="shared" si="25"/>
        <v>85</v>
      </c>
      <c r="C269" s="47" t="str">
        <f>ORÇAMENTO!A484</f>
        <v>5.1.2.11.1</v>
      </c>
      <c r="D269" s="47" t="str">
        <f>ORÇAMENTO!B484</f>
        <v xml:space="preserve"> 27.01.06U </v>
      </c>
      <c r="E269" s="47" t="str">
        <f>ORÇAMENTO!C484</f>
        <v>COMPESA</v>
      </c>
      <c r="F269" s="48" t="str">
        <f>ORÇAMENTO!D484</f>
        <v>LIMPEZA E TESTE DE REDES DE DRENAGEM</v>
      </c>
      <c r="G269" s="47" t="str">
        <f>ORÇAMENTO!E484</f>
        <v>M</v>
      </c>
      <c r="H269" s="47">
        <f>ORÇAMENTO!F484</f>
        <v>2656.26</v>
      </c>
      <c r="I269" s="47">
        <f>ORÇAMENTO!G484</f>
        <v>5.19</v>
      </c>
      <c r="J269" s="47">
        <f>ORÇAMENTO!H484</f>
        <v>0.2122</v>
      </c>
      <c r="K269" s="47">
        <f>ORÇAMENTO!I484</f>
        <v>6.29</v>
      </c>
      <c r="L269" s="49">
        <f>ORÇAMENTO!J484</f>
        <v>16707.87</v>
      </c>
      <c r="N269" s="29" t="str">
        <f t="shared" si="22"/>
        <v>OK!</v>
      </c>
      <c r="O269" s="29" t="str">
        <f t="shared" si="23"/>
        <v>OK!</v>
      </c>
      <c r="P269" s="29" t="str">
        <f t="shared" si="24"/>
        <v>OK!</v>
      </c>
    </row>
    <row r="270" spans="2:16" x14ac:dyDescent="0.35">
      <c r="B270" s="47">
        <f t="shared" si="25"/>
        <v>86</v>
      </c>
      <c r="C270" s="47" t="str">
        <f>ORÇAMENTO!A476</f>
        <v>5.1.2.10.1</v>
      </c>
      <c r="D270" s="47" t="str">
        <f>ORÇAMENTO!B476</f>
        <v xml:space="preserve"> 98524 </v>
      </c>
      <c r="E270" s="47" t="str">
        <f>ORÇAMENTO!C476</f>
        <v>SINAPI</v>
      </c>
      <c r="F270" s="48" t="str">
        <f>ORÇAMENTO!D476</f>
        <v>LIMPEZA MANUAL DE VEGETAÇÃO EM TERRENO COM ENXADA. AF_03/2024</v>
      </c>
      <c r="G270" s="47" t="str">
        <f>ORÇAMENTO!E476</f>
        <v>M²</v>
      </c>
      <c r="H270" s="47">
        <f>ORÇAMENTO!F476</f>
        <v>48</v>
      </c>
      <c r="I270" s="47">
        <f>ORÇAMENTO!G476</f>
        <v>4.9800000000000004</v>
      </c>
      <c r="J270" s="47">
        <f>ORÇAMENTO!H476</f>
        <v>0.2122</v>
      </c>
      <c r="K270" s="47">
        <f>ORÇAMENTO!I476</f>
        <v>6.04</v>
      </c>
      <c r="L270" s="49">
        <f>ORÇAMENTO!J476</f>
        <v>289.92</v>
      </c>
      <c r="N270" s="29" t="str">
        <f t="shared" si="22"/>
        <v>DIFERENTE</v>
      </c>
      <c r="O270" s="29" t="str">
        <f t="shared" si="23"/>
        <v>DIFERENTE</v>
      </c>
      <c r="P270" s="29" t="str">
        <f t="shared" si="24"/>
        <v>DIFERENTE</v>
      </c>
    </row>
    <row r="271" spans="2:16" x14ac:dyDescent="0.35">
      <c r="B271" s="47">
        <f t="shared" si="25"/>
        <v>86</v>
      </c>
      <c r="C271" s="47" t="str">
        <f>ORÇAMENTO!A486</f>
        <v>5.2.1</v>
      </c>
      <c r="D271" s="47" t="str">
        <f>ORÇAMENTO!B486</f>
        <v xml:space="preserve"> 98524 </v>
      </c>
      <c r="E271" s="47" t="str">
        <f>ORÇAMENTO!C486</f>
        <v>SINAPI</v>
      </c>
      <c r="F271" s="48" t="str">
        <f>ORÇAMENTO!D486</f>
        <v>LIMPEZA MANUAL DE VEGETAÇÃO EM TERRENO COM ENXADA. AF_03/2024</v>
      </c>
      <c r="G271" s="47" t="str">
        <f>ORÇAMENTO!E486</f>
        <v>M²</v>
      </c>
      <c r="H271" s="47">
        <f>ORÇAMENTO!F486</f>
        <v>13.5</v>
      </c>
      <c r="I271" s="47">
        <f>ORÇAMENTO!G486</f>
        <v>4.9800000000000004</v>
      </c>
      <c r="J271" s="47">
        <f>ORÇAMENTO!H486</f>
        <v>0.2122</v>
      </c>
      <c r="K271" s="47">
        <f>ORÇAMENTO!I486</f>
        <v>6.04</v>
      </c>
      <c r="L271" s="49">
        <f>ORÇAMENTO!J486</f>
        <v>81.540000000000006</v>
      </c>
      <c r="N271" s="29" t="str">
        <f t="shared" si="22"/>
        <v>OK!</v>
      </c>
      <c r="O271" s="29" t="str">
        <f t="shared" si="23"/>
        <v>OK!</v>
      </c>
      <c r="P271" s="29" t="str">
        <f t="shared" si="24"/>
        <v>OK!</v>
      </c>
    </row>
    <row r="272" spans="2:16" ht="43.5" x14ac:dyDescent="0.35">
      <c r="B272" s="47">
        <f t="shared" si="25"/>
        <v>87</v>
      </c>
      <c r="C272" s="47" t="str">
        <f>ORÇAMENTO!A496</f>
        <v>5.4.1.1</v>
      </c>
      <c r="D272" s="47" t="str">
        <f>ORÇAMENTO!B496</f>
        <v xml:space="preserve"> 98525 </v>
      </c>
      <c r="E272" s="47" t="str">
        <f>ORÇAMENTO!C496</f>
        <v>SINAPI</v>
      </c>
      <c r="F272" s="48" t="str">
        <f>ORÇAMENTO!D496</f>
        <v>LIMPEZA MECANIZADA DE CAMADA VEGETAL, VEGETAÇÃO E PEQUENAS ÁRVORES (DIÂMETRO DE TRONCO MENOR QUE 0,20 M), COM TRATOR DE ESTEIRAS. AF_03/2024</v>
      </c>
      <c r="G272" s="47" t="str">
        <f>ORÇAMENTO!E496</f>
        <v>M²</v>
      </c>
      <c r="H272" s="47">
        <f>ORÇAMENTO!F496</f>
        <v>9517.74</v>
      </c>
      <c r="I272" s="47">
        <f>ORÇAMENTO!G496</f>
        <v>0.65</v>
      </c>
      <c r="J272" s="47">
        <f>ORÇAMENTO!H496</f>
        <v>0.2122</v>
      </c>
      <c r="K272" s="47">
        <f>ORÇAMENTO!I496</f>
        <v>0.79</v>
      </c>
      <c r="L272" s="49">
        <f>ORÇAMENTO!J496</f>
        <v>7519.01</v>
      </c>
      <c r="N272" s="29" t="str">
        <f t="shared" si="22"/>
        <v>DIFERENTE</v>
      </c>
      <c r="O272" s="29" t="str">
        <f t="shared" si="23"/>
        <v>DIFERENTE</v>
      </c>
      <c r="P272" s="29" t="str">
        <f t="shared" si="24"/>
        <v>DIFERENTE</v>
      </c>
    </row>
    <row r="273" spans="2:16" x14ac:dyDescent="0.35">
      <c r="B273" s="47">
        <f t="shared" si="25"/>
        <v>88</v>
      </c>
      <c r="C273" s="47" t="str">
        <f>ORÇAMENTO!A265</f>
        <v>4.2.2.2</v>
      </c>
      <c r="D273" s="47" t="str">
        <f>ORÇAMENTO!B265</f>
        <v xml:space="preserve"> 25.14.10 </v>
      </c>
      <c r="E273" s="47" t="str">
        <f>ORÇAMENTO!C265</f>
        <v>EMBASA</v>
      </c>
      <c r="F273" s="48" t="str">
        <f>ORÇAMENTO!D265</f>
        <v>LIMPEZA PV</v>
      </c>
      <c r="G273" s="47" t="str">
        <f>ORÇAMENTO!E265</f>
        <v>UN</v>
      </c>
      <c r="H273" s="47">
        <f>ORÇAMENTO!F265</f>
        <v>54</v>
      </c>
      <c r="I273" s="47">
        <f>ORÇAMENTO!G265</f>
        <v>27.02</v>
      </c>
      <c r="J273" s="47">
        <f>ORÇAMENTO!H265</f>
        <v>0.2122</v>
      </c>
      <c r="K273" s="47">
        <f>ORÇAMENTO!I265</f>
        <v>32.75</v>
      </c>
      <c r="L273" s="107">
        <f>ORÇAMENTO!J265</f>
        <v>1768.5</v>
      </c>
      <c r="N273" s="29" t="str">
        <f t="shared" si="22"/>
        <v>DIFERENTE</v>
      </c>
      <c r="O273" s="29" t="str">
        <f t="shared" si="23"/>
        <v>DIFERENTE</v>
      </c>
      <c r="P273" s="29" t="str">
        <f t="shared" si="24"/>
        <v>DIFERENTE</v>
      </c>
    </row>
    <row r="274" spans="2:16" x14ac:dyDescent="0.35">
      <c r="B274" s="47">
        <f t="shared" si="25"/>
        <v>88</v>
      </c>
      <c r="C274" s="47" t="str">
        <f>ORÇAMENTO!A493</f>
        <v>5.3.2.2</v>
      </c>
      <c r="D274" s="47" t="str">
        <f>ORÇAMENTO!B493</f>
        <v xml:space="preserve"> 25.14.10 </v>
      </c>
      <c r="E274" s="47" t="str">
        <f>ORÇAMENTO!C493</f>
        <v>EMBASA</v>
      </c>
      <c r="F274" s="48" t="str">
        <f>ORÇAMENTO!D493</f>
        <v>LIMPEZA PV</v>
      </c>
      <c r="G274" s="47" t="str">
        <f>ORÇAMENTO!E493</f>
        <v>UN</v>
      </c>
      <c r="H274" s="47">
        <f>ORÇAMENTO!F493</f>
        <v>75</v>
      </c>
      <c r="I274" s="47">
        <f>ORÇAMENTO!G493</f>
        <v>27.02</v>
      </c>
      <c r="J274" s="47">
        <f>ORÇAMENTO!H493</f>
        <v>0.2122</v>
      </c>
      <c r="K274" s="47">
        <f>ORÇAMENTO!I493</f>
        <v>32.75</v>
      </c>
      <c r="L274" s="49">
        <f>ORÇAMENTO!J493</f>
        <v>2456.25</v>
      </c>
      <c r="N274" s="29" t="str">
        <f t="shared" si="22"/>
        <v>OK!</v>
      </c>
      <c r="O274" s="29" t="str">
        <f t="shared" si="23"/>
        <v>OK!</v>
      </c>
      <c r="P274" s="29" t="str">
        <f t="shared" si="24"/>
        <v>OK!</v>
      </c>
    </row>
    <row r="275" spans="2:16" x14ac:dyDescent="0.35">
      <c r="B275" s="47">
        <f t="shared" si="25"/>
        <v>89</v>
      </c>
      <c r="C275" s="47" t="str">
        <f>ORÇAMENTO!A91</f>
        <v>4.1.1.1.2</v>
      </c>
      <c r="D275" s="47" t="str">
        <f>ORÇAMENTO!B91</f>
        <v xml:space="preserve"> 99063 </v>
      </c>
      <c r="E275" s="47" t="str">
        <f>ORÇAMENTO!C91</f>
        <v>SINAPI</v>
      </c>
      <c r="F275" s="48" t="str">
        <f>ORÇAMENTO!D91</f>
        <v>LOCAÇÃO DE REDE DE DRENAGEM</v>
      </c>
      <c r="G275" s="47" t="str">
        <f>ORÇAMENTO!E91</f>
        <v>M</v>
      </c>
      <c r="H275" s="47">
        <f>ORÇAMENTO!F91</f>
        <v>752.1635551517752</v>
      </c>
      <c r="I275" s="47">
        <f>ORÇAMENTO!G91</f>
        <v>9.66</v>
      </c>
      <c r="J275" s="47">
        <f>ORÇAMENTO!H91</f>
        <v>0.2122</v>
      </c>
      <c r="K275" s="47">
        <f>ORÇAMENTO!I91</f>
        <v>11.71</v>
      </c>
      <c r="L275" s="49">
        <f>ORÇAMENTO!J91</f>
        <v>8807.83</v>
      </c>
      <c r="N275" s="29" t="str">
        <f t="shared" si="22"/>
        <v>DIFERENTE</v>
      </c>
      <c r="O275" s="29" t="str">
        <f t="shared" si="23"/>
        <v>DIFERENTE</v>
      </c>
      <c r="P275" s="29" t="str">
        <f t="shared" si="24"/>
        <v>DIFERENTE</v>
      </c>
    </row>
    <row r="276" spans="2:16" x14ac:dyDescent="0.35">
      <c r="B276" s="47">
        <f t="shared" si="25"/>
        <v>89</v>
      </c>
      <c r="C276" s="47" t="str">
        <f>ORÇAMENTO!A199</f>
        <v>4.1.2.6.1</v>
      </c>
      <c r="D276" s="47" t="str">
        <f>ORÇAMENTO!B199</f>
        <v xml:space="preserve"> 99063 </v>
      </c>
      <c r="E276" s="47" t="str">
        <f>ORÇAMENTO!C199</f>
        <v>SINAPI</v>
      </c>
      <c r="F276" s="48" t="str">
        <f>ORÇAMENTO!D199</f>
        <v>LOCAÇÃO DE REDE DE DRENAGEM</v>
      </c>
      <c r="G276" s="47" t="str">
        <f>ORÇAMENTO!E199</f>
        <v>M</v>
      </c>
      <c r="H276" s="47">
        <f>ORÇAMENTO!F199</f>
        <v>431.93</v>
      </c>
      <c r="I276" s="47">
        <f>ORÇAMENTO!G199</f>
        <v>9.66</v>
      </c>
      <c r="J276" s="47">
        <f>ORÇAMENTO!H199</f>
        <v>0.2122</v>
      </c>
      <c r="K276" s="47">
        <f>ORÇAMENTO!I199</f>
        <v>11.71</v>
      </c>
      <c r="L276" s="49">
        <f>ORÇAMENTO!J199</f>
        <v>5057.8999999999996</v>
      </c>
      <c r="N276" s="29" t="str">
        <f t="shared" si="22"/>
        <v>OK!</v>
      </c>
      <c r="O276" s="29" t="str">
        <f t="shared" si="23"/>
        <v>OK!</v>
      </c>
      <c r="P276" s="29" t="str">
        <f t="shared" si="24"/>
        <v>OK!</v>
      </c>
    </row>
    <row r="277" spans="2:16" x14ac:dyDescent="0.35">
      <c r="B277" s="47">
        <f t="shared" si="25"/>
        <v>89</v>
      </c>
      <c r="C277" s="47" t="str">
        <f>ORÇAMENTO!A293</f>
        <v>5.1.1.1.2</v>
      </c>
      <c r="D277" s="47" t="str">
        <f>ORÇAMENTO!B293</f>
        <v xml:space="preserve"> 99063 </v>
      </c>
      <c r="E277" s="47" t="str">
        <f>ORÇAMENTO!C293</f>
        <v>SINAPI</v>
      </c>
      <c r="F277" s="48" t="str">
        <f>ORÇAMENTO!D293</f>
        <v>LOCAÇÃO DE REDE DE DRENAGEM</v>
      </c>
      <c r="G277" s="47" t="str">
        <f>ORÇAMENTO!E293</f>
        <v>M</v>
      </c>
      <c r="H277" s="47">
        <f>ORÇAMENTO!F293</f>
        <v>2656.2599999999998</v>
      </c>
      <c r="I277" s="47">
        <f>ORÇAMENTO!G293</f>
        <v>9.66</v>
      </c>
      <c r="J277" s="47">
        <f>ORÇAMENTO!H293</f>
        <v>0.2122</v>
      </c>
      <c r="K277" s="47">
        <f>ORÇAMENTO!I293</f>
        <v>11.71</v>
      </c>
      <c r="L277" s="49">
        <f>ORÇAMENTO!J293</f>
        <v>31104.799999999999</v>
      </c>
      <c r="N277" s="29" t="str">
        <f t="shared" ref="N277:N340" si="26">IF(F277=F276,IF(G277=G276,"OK!","ERRADO"),"DIFERENTE")</f>
        <v>OK!</v>
      </c>
      <c r="O277" s="29" t="str">
        <f t="shared" ref="O277:O340" si="27">IF(F277=F276,IF(I277=I276,"OK!","ERRADO"),"DIFERENTE")</f>
        <v>OK!</v>
      </c>
      <c r="P277" s="29" t="str">
        <f t="shared" ref="P277:P340" si="28">IF(F277=F276,IF(D277=D276,"OK!","ERRADO"),"DIFERENTE")</f>
        <v>OK!</v>
      </c>
    </row>
    <row r="278" spans="2:16" x14ac:dyDescent="0.35">
      <c r="B278" s="47">
        <f t="shared" si="25"/>
        <v>89</v>
      </c>
      <c r="C278" s="47" t="str">
        <f>ORÇAMENTO!A409</f>
        <v>5.1.2.7.1</v>
      </c>
      <c r="D278" s="47" t="str">
        <f>ORÇAMENTO!B409</f>
        <v xml:space="preserve"> 99063 </v>
      </c>
      <c r="E278" s="47" t="str">
        <f>ORÇAMENTO!C409</f>
        <v>SINAPI</v>
      </c>
      <c r="F278" s="48" t="str">
        <f>ORÇAMENTO!D409</f>
        <v>LOCAÇÃO DE REDE DE DRENAGEM</v>
      </c>
      <c r="G278" s="47" t="str">
        <f>ORÇAMENTO!E409</f>
        <v>M</v>
      </c>
      <c r="H278" s="47">
        <f>ORÇAMENTO!F409</f>
        <v>831.13</v>
      </c>
      <c r="I278" s="47">
        <f>ORÇAMENTO!G409</f>
        <v>9.66</v>
      </c>
      <c r="J278" s="47">
        <f>ORÇAMENTO!H409</f>
        <v>0.2122</v>
      </c>
      <c r="K278" s="47">
        <f>ORÇAMENTO!I409</f>
        <v>11.71</v>
      </c>
      <c r="L278" s="49">
        <f>ORÇAMENTO!J409</f>
        <v>9732.5300000000007</v>
      </c>
      <c r="N278" s="29" t="str">
        <f t="shared" si="26"/>
        <v>OK!</v>
      </c>
      <c r="O278" s="29" t="str">
        <f t="shared" si="27"/>
        <v>OK!</v>
      </c>
      <c r="P278" s="29" t="str">
        <f t="shared" si="28"/>
        <v>OK!</v>
      </c>
    </row>
    <row r="279" spans="2:16" ht="29" x14ac:dyDescent="0.35">
      <c r="B279" s="47">
        <f t="shared" si="25"/>
        <v>90</v>
      </c>
      <c r="C279" s="47" t="str">
        <f>ORÇAMENTO!A93</f>
        <v>4.1.1.1.4</v>
      </c>
      <c r="D279" s="47" t="str">
        <f>ORÇAMENTO!B93</f>
        <v xml:space="preserve"> 01.04.02U </v>
      </c>
      <c r="E279" s="47" t="str">
        <f>ORÇAMENTO!C93</f>
        <v>COMPESA</v>
      </c>
      <c r="F279" s="48" t="str">
        <f>ORÇAMENTO!D93</f>
        <v>PASSARELA, EM MADEIRA, PARA COBERTA DE VALAS PARA PASSAGEM DE PEDESTRES.</v>
      </c>
      <c r="G279" s="47" t="str">
        <f>ORÇAMENTO!E93</f>
        <v>M²</v>
      </c>
      <c r="H279" s="47">
        <f>ORÇAMENTO!F93</f>
        <v>8</v>
      </c>
      <c r="I279" s="47">
        <f>ORÇAMENTO!G93</f>
        <v>11.96</v>
      </c>
      <c r="J279" s="47">
        <f>ORÇAMENTO!H93</f>
        <v>0.2122</v>
      </c>
      <c r="K279" s="47">
        <f>ORÇAMENTO!I93</f>
        <v>14.5</v>
      </c>
      <c r="L279" s="49">
        <f>ORÇAMENTO!J93</f>
        <v>116</v>
      </c>
      <c r="N279" s="29" t="str">
        <f t="shared" si="26"/>
        <v>DIFERENTE</v>
      </c>
      <c r="O279" s="29" t="str">
        <f t="shared" si="27"/>
        <v>DIFERENTE</v>
      </c>
      <c r="P279" s="29" t="str">
        <f t="shared" si="28"/>
        <v>DIFERENTE</v>
      </c>
    </row>
    <row r="280" spans="2:16" ht="29" x14ac:dyDescent="0.35">
      <c r="B280" s="47">
        <f t="shared" si="25"/>
        <v>90</v>
      </c>
      <c r="C280" s="47" t="str">
        <f>ORÇAMENTO!A200</f>
        <v>4.1.2.6.2</v>
      </c>
      <c r="D280" s="47" t="str">
        <f>ORÇAMENTO!B200</f>
        <v xml:space="preserve"> 01.04.02U </v>
      </c>
      <c r="E280" s="47" t="str">
        <f>ORÇAMENTO!C200</f>
        <v>COMPESA</v>
      </c>
      <c r="F280" s="48" t="str">
        <f>ORÇAMENTO!D200</f>
        <v>PASSARELA, EM MADEIRA, PARA COBERTA DE VALAS PARA PASSAGEM DE PEDESTRES.</v>
      </c>
      <c r="G280" s="47" t="str">
        <f>ORÇAMENTO!E200</f>
        <v>M²</v>
      </c>
      <c r="H280" s="47">
        <f>ORÇAMENTO!F200</f>
        <v>4</v>
      </c>
      <c r="I280" s="47">
        <f>ORÇAMENTO!G200</f>
        <v>11.96</v>
      </c>
      <c r="J280" s="47">
        <f>ORÇAMENTO!H200</f>
        <v>0.2122</v>
      </c>
      <c r="K280" s="47">
        <f>ORÇAMENTO!I200</f>
        <v>14.5</v>
      </c>
      <c r="L280" s="49">
        <f>ORÇAMENTO!J200</f>
        <v>58</v>
      </c>
      <c r="N280" s="29" t="str">
        <f t="shared" si="26"/>
        <v>OK!</v>
      </c>
      <c r="O280" s="29" t="str">
        <f t="shared" si="27"/>
        <v>OK!</v>
      </c>
      <c r="P280" s="29" t="str">
        <f t="shared" si="28"/>
        <v>OK!</v>
      </c>
    </row>
    <row r="281" spans="2:16" ht="29" x14ac:dyDescent="0.35">
      <c r="B281" s="47">
        <f t="shared" si="25"/>
        <v>90</v>
      </c>
      <c r="C281" s="47" t="str">
        <f>ORÇAMENTO!A295</f>
        <v>5.1.1.1.4</v>
      </c>
      <c r="D281" s="47" t="str">
        <f>ORÇAMENTO!B295</f>
        <v xml:space="preserve"> 01.04.02U </v>
      </c>
      <c r="E281" s="47" t="str">
        <f>ORÇAMENTO!C295</f>
        <v>COMPESA</v>
      </c>
      <c r="F281" s="48" t="str">
        <f>ORÇAMENTO!D295</f>
        <v>PASSARELA, EM MADEIRA, PARA COBERTA DE VALAS PARA PASSAGEM DE PEDESTRES.</v>
      </c>
      <c r="G281" s="47" t="str">
        <f>ORÇAMENTO!E295</f>
        <v>M²</v>
      </c>
      <c r="H281" s="47">
        <f>ORÇAMENTO!F295</f>
        <v>28</v>
      </c>
      <c r="I281" s="47">
        <f>ORÇAMENTO!G295</f>
        <v>11.96</v>
      </c>
      <c r="J281" s="47">
        <f>ORÇAMENTO!H295</f>
        <v>0.2122</v>
      </c>
      <c r="K281" s="47">
        <f>ORÇAMENTO!I295</f>
        <v>14.5</v>
      </c>
      <c r="L281" s="49">
        <f>ORÇAMENTO!J295</f>
        <v>406</v>
      </c>
      <c r="N281" s="29" t="str">
        <f t="shared" si="26"/>
        <v>OK!</v>
      </c>
      <c r="O281" s="29" t="str">
        <f t="shared" si="27"/>
        <v>OK!</v>
      </c>
      <c r="P281" s="29" t="str">
        <f t="shared" si="28"/>
        <v>OK!</v>
      </c>
    </row>
    <row r="282" spans="2:16" ht="29" x14ac:dyDescent="0.35">
      <c r="B282" s="47">
        <f t="shared" si="25"/>
        <v>90</v>
      </c>
      <c r="C282" s="47" t="str">
        <f>ORÇAMENTO!A410</f>
        <v>5.1.2.7.2</v>
      </c>
      <c r="D282" s="47" t="str">
        <f>ORÇAMENTO!B410</f>
        <v xml:space="preserve"> 01.04.02U </v>
      </c>
      <c r="E282" s="47" t="str">
        <f>ORÇAMENTO!C410</f>
        <v>COMPESA</v>
      </c>
      <c r="F282" s="48" t="str">
        <f>ORÇAMENTO!D410</f>
        <v>PASSARELA, EM MADEIRA, PARA COBERTA DE VALAS PARA PASSAGEM DE PEDESTRES.</v>
      </c>
      <c r="G282" s="47" t="str">
        <f>ORÇAMENTO!E410</f>
        <v>M²</v>
      </c>
      <c r="H282" s="47">
        <f>ORÇAMENTO!F410</f>
        <v>8</v>
      </c>
      <c r="I282" s="47">
        <f>ORÇAMENTO!G410</f>
        <v>11.96</v>
      </c>
      <c r="J282" s="47">
        <f>ORÇAMENTO!H410</f>
        <v>0.2122</v>
      </c>
      <c r="K282" s="47">
        <f>ORÇAMENTO!I410</f>
        <v>14.5</v>
      </c>
      <c r="L282" s="49">
        <f>ORÇAMENTO!J410</f>
        <v>116</v>
      </c>
      <c r="N282" s="29" t="str">
        <f t="shared" si="26"/>
        <v>OK!</v>
      </c>
      <c r="O282" s="29" t="str">
        <f t="shared" si="27"/>
        <v>OK!</v>
      </c>
      <c r="P282" s="29" t="str">
        <f t="shared" si="28"/>
        <v>OK!</v>
      </c>
    </row>
    <row r="283" spans="2:16" ht="29" x14ac:dyDescent="0.35">
      <c r="B283" s="47">
        <f t="shared" si="25"/>
        <v>91</v>
      </c>
      <c r="C283" s="47" t="str">
        <f>ORÇAMENTO!A92</f>
        <v>4.1.1.1.3</v>
      </c>
      <c r="D283" s="47" t="str">
        <f>ORÇAMENTO!B92</f>
        <v xml:space="preserve"> 01.04.01U </v>
      </c>
      <c r="E283" s="47" t="str">
        <f>ORÇAMENTO!C92</f>
        <v>COMPESA</v>
      </c>
      <c r="F283" s="48" t="str">
        <f>ORÇAMENTO!D92</f>
        <v>PASSARELA, EM MADEIRA, PARA COBERTA DE VALAS PARA PASSAGEM DE VEÍCULOS.</v>
      </c>
      <c r="G283" s="47" t="str">
        <f>ORÇAMENTO!E92</f>
        <v>M²</v>
      </c>
      <c r="H283" s="47">
        <f>ORÇAMENTO!F92</f>
        <v>8</v>
      </c>
      <c r="I283" s="47">
        <f>ORÇAMENTO!G92</f>
        <v>17.21</v>
      </c>
      <c r="J283" s="47">
        <f>ORÇAMENTO!H92</f>
        <v>0.2122</v>
      </c>
      <c r="K283" s="47">
        <f>ORÇAMENTO!I92</f>
        <v>20.86</v>
      </c>
      <c r="L283" s="49">
        <f>ORÇAMENTO!J92</f>
        <v>166.88</v>
      </c>
      <c r="N283" s="29" t="str">
        <f t="shared" si="26"/>
        <v>DIFERENTE</v>
      </c>
      <c r="O283" s="29" t="str">
        <f t="shared" si="27"/>
        <v>DIFERENTE</v>
      </c>
      <c r="P283" s="29" t="str">
        <f t="shared" si="28"/>
        <v>DIFERENTE</v>
      </c>
    </row>
    <row r="284" spans="2:16" ht="29" x14ac:dyDescent="0.35">
      <c r="B284" s="47">
        <f t="shared" si="25"/>
        <v>91</v>
      </c>
      <c r="C284" s="47" t="str">
        <f>ORÇAMENTO!A294</f>
        <v>5.1.1.1.3</v>
      </c>
      <c r="D284" s="47" t="str">
        <f>ORÇAMENTO!B294</f>
        <v xml:space="preserve"> 01.04.01U </v>
      </c>
      <c r="E284" s="47" t="str">
        <f>ORÇAMENTO!C294</f>
        <v>COMPESA</v>
      </c>
      <c r="F284" s="48" t="str">
        <f>ORÇAMENTO!D294</f>
        <v>PASSARELA, EM MADEIRA, PARA COBERTA DE VALAS PARA PASSAGEM DE VEÍCULOS.</v>
      </c>
      <c r="G284" s="47" t="str">
        <f>ORÇAMENTO!E294</f>
        <v>M²</v>
      </c>
      <c r="H284" s="47">
        <f>ORÇAMENTO!F294</f>
        <v>24</v>
      </c>
      <c r="I284" s="47">
        <f>ORÇAMENTO!G294</f>
        <v>17.21</v>
      </c>
      <c r="J284" s="47">
        <f>ORÇAMENTO!H294</f>
        <v>0.2122</v>
      </c>
      <c r="K284" s="47">
        <f>ORÇAMENTO!I294</f>
        <v>20.86</v>
      </c>
      <c r="L284" s="107">
        <f>ORÇAMENTO!J294</f>
        <v>500.64</v>
      </c>
      <c r="N284" s="29" t="str">
        <f t="shared" si="26"/>
        <v>OK!</v>
      </c>
      <c r="O284" s="29" t="str">
        <f t="shared" si="27"/>
        <v>OK!</v>
      </c>
      <c r="P284" s="29" t="str">
        <f t="shared" si="28"/>
        <v>OK!</v>
      </c>
    </row>
    <row r="285" spans="2:16" ht="29" x14ac:dyDescent="0.35">
      <c r="B285" s="47">
        <f t="shared" si="25"/>
        <v>92</v>
      </c>
      <c r="C285" s="47" t="str">
        <f>ORÇAMENTO!A250</f>
        <v>4.1.2.7.2</v>
      </c>
      <c r="D285" s="47" t="str">
        <f>ORÇAMENTO!B250</f>
        <v xml:space="preserve"> 97733 </v>
      </c>
      <c r="E285" s="47" t="str">
        <f>ORÇAMENTO!C250</f>
        <v>SINAPI</v>
      </c>
      <c r="F285" s="48" t="str">
        <f>ORÇAMENTO!D250</f>
        <v>PEÇA RETANGULAR PRÉ-MOLDADA, VOLUME DE CONCRETO DE ATÉ 10 LITROS, TAXA DE AÇO APROXIMADA DE 30KG/M³. AF_03/2024</v>
      </c>
      <c r="G285" s="47" t="str">
        <f>ORÇAMENTO!E250</f>
        <v>M³</v>
      </c>
      <c r="H285" s="47">
        <f>ORÇAMENTO!F250</f>
        <v>1.1499999999999999</v>
      </c>
      <c r="I285" s="47">
        <f>ORÇAMENTO!G250</f>
        <v>3512.27</v>
      </c>
      <c r="J285" s="47">
        <f>ORÇAMENTO!H250</f>
        <v>0.2122</v>
      </c>
      <c r="K285" s="47">
        <f>ORÇAMENTO!I250</f>
        <v>4257.57</v>
      </c>
      <c r="L285" s="107">
        <f>ORÇAMENTO!J250</f>
        <v>4896.2</v>
      </c>
      <c r="N285" s="29" t="str">
        <f t="shared" si="26"/>
        <v>DIFERENTE</v>
      </c>
      <c r="O285" s="29" t="str">
        <f t="shared" si="27"/>
        <v>DIFERENTE</v>
      </c>
      <c r="P285" s="29" t="str">
        <f t="shared" si="28"/>
        <v>DIFERENTE</v>
      </c>
    </row>
    <row r="286" spans="2:16" ht="29" x14ac:dyDescent="0.35">
      <c r="B286" s="47">
        <f t="shared" si="25"/>
        <v>92</v>
      </c>
      <c r="C286" s="47" t="str">
        <f>ORÇAMENTO!A460</f>
        <v>5.1.2.8.2</v>
      </c>
      <c r="D286" s="47" t="str">
        <f>ORÇAMENTO!B460</f>
        <v xml:space="preserve"> 97733 </v>
      </c>
      <c r="E286" s="47" t="str">
        <f>ORÇAMENTO!C460</f>
        <v>SINAPI</v>
      </c>
      <c r="F286" s="48" t="str">
        <f>ORÇAMENTO!D460</f>
        <v>PEÇA RETANGULAR PRÉ-MOLDADA, VOLUME DE CONCRETO DE ATÉ 10 LITROS, TAXA DE AÇO APROXIMADA DE 30KG/M³. AF_03/2024</v>
      </c>
      <c r="G286" s="47" t="str">
        <f>ORÇAMENTO!E460</f>
        <v>M³</v>
      </c>
      <c r="H286" s="47">
        <f>ORÇAMENTO!F460</f>
        <v>4.05</v>
      </c>
      <c r="I286" s="47">
        <f>ORÇAMENTO!G460</f>
        <v>3512.27</v>
      </c>
      <c r="J286" s="47">
        <f>ORÇAMENTO!H460</f>
        <v>0.2122</v>
      </c>
      <c r="K286" s="47">
        <f>ORÇAMENTO!I460</f>
        <v>4257.57</v>
      </c>
      <c r="L286" s="49">
        <f>ORÇAMENTO!J460</f>
        <v>17243.150000000001</v>
      </c>
      <c r="N286" s="29" t="str">
        <f t="shared" si="26"/>
        <v>OK!</v>
      </c>
      <c r="O286" s="29" t="str">
        <f t="shared" si="27"/>
        <v>OK!</v>
      </c>
      <c r="P286" s="29" t="str">
        <f t="shared" si="28"/>
        <v>OK!</v>
      </c>
    </row>
    <row r="287" spans="2:16" ht="29" x14ac:dyDescent="0.35">
      <c r="B287" s="47">
        <f t="shared" si="25"/>
        <v>93</v>
      </c>
      <c r="C287" s="47" t="str">
        <f>ORÇAMENTO!A526</f>
        <v>5.4.5.3</v>
      </c>
      <c r="D287" s="47" t="str">
        <f>ORÇAMENTO!B526</f>
        <v xml:space="preserve"> 5213408 </v>
      </c>
      <c r="E287" s="47" t="str">
        <f>ORÇAMENTO!C526</f>
        <v>SICRO3</v>
      </c>
      <c r="F287" s="48" t="str">
        <f>ORÇAMENTO!D526</f>
        <v>PINTURA DE FAIXA COM TERMOPLÁSTICO POR ASPERSÃO - ESPESSURA DE 1,5 MM</v>
      </c>
      <c r="G287" s="47" t="str">
        <f>ORÇAMENTO!E526</f>
        <v>M²</v>
      </c>
      <c r="H287" s="47">
        <f>ORÇAMENTO!F526</f>
        <v>4198.24</v>
      </c>
      <c r="I287" s="47">
        <f>ORÇAMENTO!G526</f>
        <v>47.66</v>
      </c>
      <c r="J287" s="47">
        <f>ORÇAMENTO!H526</f>
        <v>0.2122</v>
      </c>
      <c r="K287" s="47">
        <f>ORÇAMENTO!I526</f>
        <v>57.77</v>
      </c>
      <c r="L287" s="49">
        <f>ORÇAMENTO!J526</f>
        <v>242532.32</v>
      </c>
      <c r="N287" s="29" t="str">
        <f t="shared" si="26"/>
        <v>DIFERENTE</v>
      </c>
      <c r="O287" s="29" t="str">
        <f t="shared" si="27"/>
        <v>DIFERENTE</v>
      </c>
      <c r="P287" s="29" t="str">
        <f t="shared" si="28"/>
        <v>DIFERENTE</v>
      </c>
    </row>
    <row r="288" spans="2:16" x14ac:dyDescent="0.35">
      <c r="B288" s="47">
        <f t="shared" si="25"/>
        <v>94</v>
      </c>
      <c r="C288" s="47" t="str">
        <f>ORÇAMENTO!A171</f>
        <v>4.1.2.4.5</v>
      </c>
      <c r="D288" s="47" t="str">
        <f>ORÇAMENTO!B171</f>
        <v xml:space="preserve"> 4011353 M </v>
      </c>
      <c r="E288" s="47" t="str">
        <f>ORÇAMENTO!C171</f>
        <v>PRÓPRIO</v>
      </c>
      <c r="F288" s="48" t="str">
        <f>ORÇAMENTO!D171</f>
        <v>PINTURA DE LIGAÇÃO (SEM MATERIAL)</v>
      </c>
      <c r="G288" s="47" t="str">
        <f>ORÇAMENTO!E171</f>
        <v>M²</v>
      </c>
      <c r="H288" s="47">
        <f>ORÇAMENTO!F171</f>
        <v>1558.3112652722696</v>
      </c>
      <c r="I288" s="47">
        <f>ORÇAMENTO!G171</f>
        <v>0.28000000000000003</v>
      </c>
      <c r="J288" s="47">
        <f>ORÇAMENTO!H171</f>
        <v>0.2122</v>
      </c>
      <c r="K288" s="47">
        <f>ORÇAMENTO!I171</f>
        <v>0.34</v>
      </c>
      <c r="L288" s="49">
        <f>ORÇAMENTO!J171</f>
        <v>529.82000000000005</v>
      </c>
      <c r="N288" s="29" t="str">
        <f t="shared" si="26"/>
        <v>DIFERENTE</v>
      </c>
      <c r="O288" s="29" t="str">
        <f t="shared" si="27"/>
        <v>DIFERENTE</v>
      </c>
      <c r="P288" s="29" t="str">
        <f t="shared" si="28"/>
        <v>DIFERENTE</v>
      </c>
    </row>
    <row r="289" spans="2:16" x14ac:dyDescent="0.35">
      <c r="B289" s="47">
        <f t="shared" si="25"/>
        <v>94</v>
      </c>
      <c r="C289" s="47" t="str">
        <f>ORÇAMENTO!A223</f>
        <v>4.1.2.6.25</v>
      </c>
      <c r="D289" s="47" t="str">
        <f>ORÇAMENTO!B223</f>
        <v xml:space="preserve"> 4011353 M </v>
      </c>
      <c r="E289" s="47" t="str">
        <f>ORÇAMENTO!C223</f>
        <v>PRÓPRIO</v>
      </c>
      <c r="F289" s="48" t="str">
        <f>ORÇAMENTO!D223</f>
        <v>PINTURA DE LIGAÇÃO (SEM MATERIAL)</v>
      </c>
      <c r="G289" s="47" t="str">
        <f>ORÇAMENTO!E223</f>
        <v>M²</v>
      </c>
      <c r="H289" s="47">
        <f>ORÇAMENTO!F223</f>
        <v>431.93</v>
      </c>
      <c r="I289" s="47">
        <f>ORÇAMENTO!G223</f>
        <v>0.28000000000000003</v>
      </c>
      <c r="J289" s="47">
        <f>ORÇAMENTO!H223</f>
        <v>0.2122</v>
      </c>
      <c r="K289" s="47">
        <f>ORÇAMENTO!I223</f>
        <v>0.34</v>
      </c>
      <c r="L289" s="49">
        <f>ORÇAMENTO!J223</f>
        <v>146.85</v>
      </c>
      <c r="N289" s="29" t="str">
        <f t="shared" si="26"/>
        <v>OK!</v>
      </c>
      <c r="O289" s="29" t="str">
        <f t="shared" si="27"/>
        <v>OK!</v>
      </c>
      <c r="P289" s="29" t="str">
        <f t="shared" si="28"/>
        <v>OK!</v>
      </c>
    </row>
    <row r="290" spans="2:16" x14ac:dyDescent="0.35">
      <c r="B290" s="47">
        <f t="shared" si="25"/>
        <v>94</v>
      </c>
      <c r="C290" s="47" t="str">
        <f>ORÇAMENTO!A273</f>
        <v>4.3.7</v>
      </c>
      <c r="D290" s="47" t="str">
        <f>ORÇAMENTO!B273</f>
        <v xml:space="preserve"> 4011353 M </v>
      </c>
      <c r="E290" s="47" t="str">
        <f>ORÇAMENTO!C273</f>
        <v>PRÓPRIO</v>
      </c>
      <c r="F290" s="48" t="str">
        <f>ORÇAMENTO!D273</f>
        <v>PINTURA DE LIGAÇÃO (SEM MATERIAL)</v>
      </c>
      <c r="G290" s="47" t="str">
        <f>ORÇAMENTO!E273</f>
        <v>M²</v>
      </c>
      <c r="H290" s="47">
        <f>ORÇAMENTO!F273</f>
        <v>121.24752310825359</v>
      </c>
      <c r="I290" s="47">
        <f>ORÇAMENTO!G273</f>
        <v>0.28000000000000003</v>
      </c>
      <c r="J290" s="47">
        <f>ORÇAMENTO!H273</f>
        <v>0.2122</v>
      </c>
      <c r="K290" s="47">
        <f>ORÇAMENTO!I273</f>
        <v>0.34</v>
      </c>
      <c r="L290" s="49">
        <f>ORÇAMENTO!J273</f>
        <v>41.22</v>
      </c>
      <c r="N290" s="29" t="str">
        <f t="shared" si="26"/>
        <v>OK!</v>
      </c>
      <c r="O290" s="29" t="str">
        <f t="shared" si="27"/>
        <v>OK!</v>
      </c>
      <c r="P290" s="29" t="str">
        <f t="shared" si="28"/>
        <v>OK!</v>
      </c>
    </row>
    <row r="291" spans="2:16" x14ac:dyDescent="0.35">
      <c r="B291" s="47">
        <f t="shared" si="25"/>
        <v>94</v>
      </c>
      <c r="C291" s="47" t="str">
        <f>ORÇAMENTO!A370</f>
        <v>5.1.2.4.5</v>
      </c>
      <c r="D291" s="47" t="str">
        <f>ORÇAMENTO!B370</f>
        <v xml:space="preserve"> 4011353 M </v>
      </c>
      <c r="E291" s="47" t="str">
        <f>ORÇAMENTO!C370</f>
        <v>PRÓPRIO</v>
      </c>
      <c r="F291" s="48" t="str">
        <f>ORÇAMENTO!D370</f>
        <v>PINTURA DE LIGAÇÃO (SEM MATERIAL)</v>
      </c>
      <c r="G291" s="47" t="str">
        <f>ORÇAMENTO!E370</f>
        <v>M²</v>
      </c>
      <c r="H291" s="47">
        <f>ORÇAMENTO!F370</f>
        <v>2510.1280000000002</v>
      </c>
      <c r="I291" s="47">
        <f>ORÇAMENTO!G370</f>
        <v>0.28000000000000003</v>
      </c>
      <c r="J291" s="47">
        <f>ORÇAMENTO!H370</f>
        <v>0.2122</v>
      </c>
      <c r="K291" s="47">
        <f>ORÇAMENTO!I370</f>
        <v>0.34</v>
      </c>
      <c r="L291" s="107">
        <f>ORÇAMENTO!J370</f>
        <v>853.44</v>
      </c>
      <c r="N291" s="29" t="str">
        <f t="shared" si="26"/>
        <v>OK!</v>
      </c>
      <c r="O291" s="29" t="str">
        <f t="shared" si="27"/>
        <v>OK!</v>
      </c>
      <c r="P291" s="29" t="str">
        <f t="shared" si="28"/>
        <v>OK!</v>
      </c>
    </row>
    <row r="292" spans="2:16" x14ac:dyDescent="0.35">
      <c r="B292" s="47">
        <f t="shared" si="25"/>
        <v>94</v>
      </c>
      <c r="C292" s="47" t="str">
        <f>ORÇAMENTO!A433</f>
        <v>5.1.2.7.25</v>
      </c>
      <c r="D292" s="47" t="str">
        <f>ORÇAMENTO!B433</f>
        <v xml:space="preserve"> 4011353 M </v>
      </c>
      <c r="E292" s="47" t="str">
        <f>ORÇAMENTO!C433</f>
        <v>PRÓPRIO</v>
      </c>
      <c r="F292" s="48" t="str">
        <f>ORÇAMENTO!D433</f>
        <v>PINTURA DE LIGAÇÃO (SEM MATERIAL)</v>
      </c>
      <c r="G292" s="47" t="str">
        <f>ORÇAMENTO!E433</f>
        <v>M²</v>
      </c>
      <c r="H292" s="47">
        <f>ORÇAMENTO!F433</f>
        <v>831.13</v>
      </c>
      <c r="I292" s="47">
        <f>ORÇAMENTO!G433</f>
        <v>0.28000000000000003</v>
      </c>
      <c r="J292" s="47">
        <f>ORÇAMENTO!H433</f>
        <v>0.2122</v>
      </c>
      <c r="K292" s="47">
        <f>ORÇAMENTO!I433</f>
        <v>0.34</v>
      </c>
      <c r="L292" s="49">
        <f>ORÇAMENTO!J433</f>
        <v>282.58</v>
      </c>
      <c r="N292" s="29" t="str">
        <f t="shared" si="26"/>
        <v>OK!</v>
      </c>
      <c r="O292" s="29" t="str">
        <f t="shared" si="27"/>
        <v>OK!</v>
      </c>
      <c r="P292" s="29" t="str">
        <f t="shared" si="28"/>
        <v>OK!</v>
      </c>
    </row>
    <row r="293" spans="2:16" x14ac:dyDescent="0.35">
      <c r="B293" s="47">
        <f t="shared" si="25"/>
        <v>94</v>
      </c>
      <c r="C293" s="47" t="str">
        <f>ORÇAMENTO!A513</f>
        <v>5.4.4.5</v>
      </c>
      <c r="D293" s="47" t="str">
        <f>ORÇAMENTO!B513</f>
        <v xml:space="preserve"> 4011353 M </v>
      </c>
      <c r="E293" s="47" t="str">
        <f>ORÇAMENTO!C513</f>
        <v>PRÓPRIO</v>
      </c>
      <c r="F293" s="48" t="str">
        <f>ORÇAMENTO!D513</f>
        <v>PINTURA DE LIGAÇÃO (SEM MATERIAL)</v>
      </c>
      <c r="G293" s="47" t="str">
        <f>ORÇAMENTO!E513</f>
        <v>M²</v>
      </c>
      <c r="H293" s="47">
        <f>ORÇAMENTO!F513</f>
        <v>9126.6666666666679</v>
      </c>
      <c r="I293" s="47">
        <f>ORÇAMENTO!G513</f>
        <v>0.28000000000000003</v>
      </c>
      <c r="J293" s="47">
        <f>ORÇAMENTO!H513</f>
        <v>0.2122</v>
      </c>
      <c r="K293" s="47">
        <f>ORÇAMENTO!I513</f>
        <v>0.34</v>
      </c>
      <c r="L293" s="49">
        <f>ORÇAMENTO!J513</f>
        <v>3103.06</v>
      </c>
      <c r="N293" s="29" t="str">
        <f t="shared" si="26"/>
        <v>OK!</v>
      </c>
      <c r="O293" s="29" t="str">
        <f t="shared" si="27"/>
        <v>OK!</v>
      </c>
      <c r="P293" s="29" t="str">
        <f t="shared" si="28"/>
        <v>OK!</v>
      </c>
    </row>
    <row r="294" spans="2:16" x14ac:dyDescent="0.35">
      <c r="B294" s="47">
        <f t="shared" si="25"/>
        <v>94</v>
      </c>
      <c r="C294" s="47" t="str">
        <f>ORÇAMENTO!A535</f>
        <v>5.5.8</v>
      </c>
      <c r="D294" s="47" t="str">
        <f>ORÇAMENTO!B535</f>
        <v xml:space="preserve"> 4011353 M </v>
      </c>
      <c r="E294" s="47" t="str">
        <f>ORÇAMENTO!C535</f>
        <v>PRÓPRIO</v>
      </c>
      <c r="F294" s="48" t="str">
        <f>ORÇAMENTO!D535</f>
        <v>PINTURA DE LIGAÇÃO (SEM MATERIAL)</v>
      </c>
      <c r="G294" s="47" t="str">
        <f>ORÇAMENTO!E535</f>
        <v>M²</v>
      </c>
      <c r="H294" s="47">
        <f>ORÇAMENTO!F535</f>
        <v>195.17893963767673</v>
      </c>
      <c r="I294" s="47">
        <f>ORÇAMENTO!G535</f>
        <v>0.28000000000000003</v>
      </c>
      <c r="J294" s="47">
        <f>ORÇAMENTO!H535</f>
        <v>0.2122</v>
      </c>
      <c r="K294" s="47">
        <f>ORÇAMENTO!I535</f>
        <v>0.34</v>
      </c>
      <c r="L294" s="49">
        <f>ORÇAMENTO!J535</f>
        <v>66.36</v>
      </c>
      <c r="N294" s="29" t="str">
        <f t="shared" si="26"/>
        <v>OK!</v>
      </c>
      <c r="O294" s="29" t="str">
        <f t="shared" si="27"/>
        <v>OK!</v>
      </c>
      <c r="P294" s="29" t="str">
        <f t="shared" si="28"/>
        <v>OK!</v>
      </c>
    </row>
    <row r="295" spans="2:16" ht="43.5" x14ac:dyDescent="0.35">
      <c r="B295" s="47">
        <f t="shared" si="25"/>
        <v>95</v>
      </c>
      <c r="C295" s="47" t="str">
        <f>ORÇAMENTO!A97</f>
        <v>4.1.1.1.8</v>
      </c>
      <c r="D295" s="47" t="str">
        <f>ORÇAMENTO!B97</f>
        <v xml:space="preserve"> 5212560 </v>
      </c>
      <c r="E295" s="47" t="str">
        <f>ORÇAMENTO!C97</f>
        <v>SICRO3</v>
      </c>
      <c r="F295" s="48" t="str">
        <f>ORÇAMENTO!D97</f>
        <v>PLACA DE ADVERTÊNCIA PARA SINALIZAÇÃO DE OBRAS MONTADA EM SUPORTE METÁLICO MÓVEL, LADO 1,00 M - UTILIZAÇÃO DE 600 CICLOS - FORNECIMENTO, 01 IMPLANTAÇÃO E 01 RETIRADA DIÁRIA</v>
      </c>
      <c r="G295" s="47" t="str">
        <f>ORÇAMENTO!E97</f>
        <v>UN.DIA</v>
      </c>
      <c r="H295" s="47">
        <f>ORÇAMENTO!F97</f>
        <v>335</v>
      </c>
      <c r="I295" s="47">
        <f>ORÇAMENTO!G97</f>
        <v>3.95</v>
      </c>
      <c r="J295" s="47">
        <f>ORÇAMENTO!H97</f>
        <v>0.2122</v>
      </c>
      <c r="K295" s="47">
        <f>ORÇAMENTO!I97</f>
        <v>4.79</v>
      </c>
      <c r="L295" s="49">
        <f>ORÇAMENTO!J97</f>
        <v>1604.65</v>
      </c>
      <c r="N295" s="29" t="str">
        <f t="shared" si="26"/>
        <v>DIFERENTE</v>
      </c>
      <c r="O295" s="29" t="str">
        <f t="shared" si="27"/>
        <v>DIFERENTE</v>
      </c>
      <c r="P295" s="29" t="str">
        <f t="shared" si="28"/>
        <v>DIFERENTE</v>
      </c>
    </row>
    <row r="296" spans="2:16" ht="43.5" x14ac:dyDescent="0.35">
      <c r="B296" s="47">
        <f t="shared" si="25"/>
        <v>95</v>
      </c>
      <c r="C296" s="47" t="str">
        <f>ORÇAMENTO!A299</f>
        <v>5.1.1.1.8</v>
      </c>
      <c r="D296" s="47" t="str">
        <f>ORÇAMENTO!B299</f>
        <v xml:space="preserve"> 5212560 </v>
      </c>
      <c r="E296" s="47" t="str">
        <f>ORÇAMENTO!C299</f>
        <v>SICRO3</v>
      </c>
      <c r="F296" s="48" t="str">
        <f>ORÇAMENTO!D299</f>
        <v>PLACA DE ADVERTÊNCIA PARA SINALIZAÇÃO DE OBRAS MONTADA EM SUPORTE METÁLICO MÓVEL, LADO 1,00 M - UTILIZAÇÃO DE 600 CICLOS - FORNECIMENTO, 01 IMPLANTAÇÃO E 01 RETIRADA DIÁRIA</v>
      </c>
      <c r="G296" s="47" t="str">
        <f>ORÇAMENTO!E299</f>
        <v>UN.DIA</v>
      </c>
      <c r="H296" s="47">
        <f>ORÇAMENTO!F299</f>
        <v>1231</v>
      </c>
      <c r="I296" s="47">
        <f>ORÇAMENTO!G299</f>
        <v>3.95</v>
      </c>
      <c r="J296" s="47">
        <f>ORÇAMENTO!H299</f>
        <v>0.2122</v>
      </c>
      <c r="K296" s="47">
        <f>ORÇAMENTO!I299</f>
        <v>4.79</v>
      </c>
      <c r="L296" s="49">
        <f>ORÇAMENTO!J299</f>
        <v>5896.49</v>
      </c>
      <c r="N296" s="29" t="str">
        <f t="shared" si="26"/>
        <v>OK!</v>
      </c>
      <c r="O296" s="29" t="str">
        <f t="shared" si="27"/>
        <v>OK!</v>
      </c>
      <c r="P296" s="29" t="str">
        <f t="shared" si="28"/>
        <v>OK!</v>
      </c>
    </row>
    <row r="297" spans="2:16" x14ac:dyDescent="0.35">
      <c r="B297" s="47">
        <f t="shared" si="25"/>
        <v>96</v>
      </c>
      <c r="C297" s="47" t="str">
        <f>ORÇAMENTO!A90</f>
        <v>4.1.1.1.1</v>
      </c>
      <c r="D297" s="47" t="str">
        <f>ORÇAMENTO!B90</f>
        <v xml:space="preserve"> 74209/1 M </v>
      </c>
      <c r="E297" s="47" t="str">
        <f>ORÇAMENTO!C90</f>
        <v>PRÓPRIO</v>
      </c>
      <c r="F297" s="48" t="str">
        <f>ORÇAMENTO!D90</f>
        <v>PLACA DE OBRA EM CHAPA DE ACO GALVANIZADO</v>
      </c>
      <c r="G297" s="47" t="str">
        <f>ORÇAMENTO!E90</f>
        <v>M²</v>
      </c>
      <c r="H297" s="47">
        <f>ORÇAMENTO!F90</f>
        <v>12</v>
      </c>
      <c r="I297" s="47">
        <f>ORÇAMENTO!G90</f>
        <v>521.92999999999995</v>
      </c>
      <c r="J297" s="47">
        <f>ORÇAMENTO!H90</f>
        <v>0.2122</v>
      </c>
      <c r="K297" s="47">
        <f>ORÇAMENTO!I90</f>
        <v>632.67999999999995</v>
      </c>
      <c r="L297" s="49">
        <f>ORÇAMENTO!J90</f>
        <v>7592.16</v>
      </c>
      <c r="N297" s="29" t="str">
        <f t="shared" si="26"/>
        <v>DIFERENTE</v>
      </c>
      <c r="O297" s="29" t="str">
        <f t="shared" si="27"/>
        <v>DIFERENTE</v>
      </c>
      <c r="P297" s="29" t="str">
        <f t="shared" si="28"/>
        <v>DIFERENTE</v>
      </c>
    </row>
    <row r="298" spans="2:16" x14ac:dyDescent="0.35">
      <c r="B298" s="47">
        <f t="shared" si="25"/>
        <v>96</v>
      </c>
      <c r="C298" s="47" t="str">
        <f>ORÇAMENTO!A292</f>
        <v>5.1.1.1.1</v>
      </c>
      <c r="D298" s="47" t="str">
        <f>ORÇAMENTO!B292</f>
        <v xml:space="preserve"> 74209/1 M </v>
      </c>
      <c r="E298" s="47" t="str">
        <f>ORÇAMENTO!C292</f>
        <v>PRÓPRIO</v>
      </c>
      <c r="F298" s="48" t="str">
        <f>ORÇAMENTO!D292</f>
        <v>PLACA DE OBRA EM CHAPA DE ACO GALVANIZADO</v>
      </c>
      <c r="G298" s="47" t="str">
        <f>ORÇAMENTO!E292</f>
        <v>M²</v>
      </c>
      <c r="H298" s="47">
        <f>ORÇAMENTO!F292</f>
        <v>12</v>
      </c>
      <c r="I298" s="47">
        <f>ORÇAMENTO!G292</f>
        <v>521.92999999999995</v>
      </c>
      <c r="J298" s="47">
        <f>ORÇAMENTO!H292</f>
        <v>0.2122</v>
      </c>
      <c r="K298" s="47">
        <f>ORÇAMENTO!I292</f>
        <v>632.67999999999995</v>
      </c>
      <c r="L298" s="49">
        <f>ORÇAMENTO!J292</f>
        <v>7592.16</v>
      </c>
      <c r="N298" s="29" t="str">
        <f t="shared" si="26"/>
        <v>OK!</v>
      </c>
      <c r="O298" s="29" t="str">
        <f t="shared" si="27"/>
        <v>OK!</v>
      </c>
      <c r="P298" s="29" t="str">
        <f t="shared" si="28"/>
        <v>OK!</v>
      </c>
    </row>
    <row r="299" spans="2:16" ht="29" x14ac:dyDescent="0.35">
      <c r="B299" s="47">
        <f t="shared" si="25"/>
        <v>97</v>
      </c>
      <c r="C299" s="47" t="str">
        <f>ORÇAMENTO!A202</f>
        <v>4.1.2.6.4</v>
      </c>
      <c r="D299" s="47" t="str">
        <f>ORÇAMENTO!B202</f>
        <v xml:space="preserve"> 01.03.09U </v>
      </c>
      <c r="E299" s="47" t="str">
        <f>ORÇAMENTO!C202</f>
        <v>COMPESA</v>
      </c>
      <c r="F299" s="48" t="str">
        <f>ORÇAMENTO!D202</f>
        <v>PLACA DE SINALIZAÇÃO E ADVERTÊNCIA EM CHAPA DE AÇO GALVANIZADA Nº 16 (FORNECIMENTO E FIXAÇÃO)</v>
      </c>
      <c r="G299" s="47" t="str">
        <f>ORÇAMENTO!E202</f>
        <v>UN</v>
      </c>
      <c r="H299" s="47">
        <f>ORÇAMENTO!F202</f>
        <v>9</v>
      </c>
      <c r="I299" s="47">
        <f>ORÇAMENTO!G202</f>
        <v>7.15</v>
      </c>
      <c r="J299" s="47">
        <f>ORÇAMENTO!H202</f>
        <v>0.2122</v>
      </c>
      <c r="K299" s="47">
        <f>ORÇAMENTO!I202</f>
        <v>8.67</v>
      </c>
      <c r="L299" s="49">
        <f>ORÇAMENTO!J202</f>
        <v>78.03</v>
      </c>
      <c r="N299" s="29" t="str">
        <f t="shared" si="26"/>
        <v>DIFERENTE</v>
      </c>
      <c r="O299" s="29" t="str">
        <f t="shared" si="27"/>
        <v>DIFERENTE</v>
      </c>
      <c r="P299" s="29" t="str">
        <f t="shared" si="28"/>
        <v>DIFERENTE</v>
      </c>
    </row>
    <row r="300" spans="2:16" ht="29" x14ac:dyDescent="0.35">
      <c r="B300" s="47">
        <f t="shared" si="25"/>
        <v>97</v>
      </c>
      <c r="C300" s="47" t="str">
        <f>ORÇAMENTO!A412</f>
        <v>5.1.2.7.4</v>
      </c>
      <c r="D300" s="47" t="str">
        <f>ORÇAMENTO!B412</f>
        <v xml:space="preserve"> 01.03.09U </v>
      </c>
      <c r="E300" s="47" t="str">
        <f>ORÇAMENTO!C412</f>
        <v>COMPESA</v>
      </c>
      <c r="F300" s="48" t="str">
        <f>ORÇAMENTO!D412</f>
        <v>PLACA DE SINALIZAÇÃO E ADVERTÊNCIA EM CHAPA DE AÇO GALVANIZADA Nº 16 (FORNECIMENTO E FIXAÇÃO)</v>
      </c>
      <c r="G300" s="47" t="str">
        <f>ORÇAMENTO!E412</f>
        <v>UN</v>
      </c>
      <c r="H300" s="47">
        <f>ORÇAMENTO!F412</f>
        <v>17</v>
      </c>
      <c r="I300" s="47">
        <f>ORÇAMENTO!G412</f>
        <v>7.15</v>
      </c>
      <c r="J300" s="47">
        <f>ORÇAMENTO!H412</f>
        <v>0.2122</v>
      </c>
      <c r="K300" s="47">
        <f>ORÇAMENTO!I412</f>
        <v>8.67</v>
      </c>
      <c r="L300" s="49">
        <f>ORÇAMENTO!J412</f>
        <v>147.38999999999999</v>
      </c>
      <c r="N300" s="29" t="str">
        <f t="shared" si="26"/>
        <v>OK!</v>
      </c>
      <c r="O300" s="29" t="str">
        <f t="shared" si="27"/>
        <v>OK!</v>
      </c>
      <c r="P300" s="29" t="str">
        <f t="shared" si="28"/>
        <v>OK!</v>
      </c>
    </row>
    <row r="301" spans="2:16" x14ac:dyDescent="0.35">
      <c r="B301" s="47">
        <f t="shared" si="25"/>
        <v>98</v>
      </c>
      <c r="C301" s="47" t="str">
        <f>ORÇAMENTO!A524</f>
        <v>5.4.5.1</v>
      </c>
      <c r="D301" s="47" t="str">
        <f>ORÇAMENTO!B524</f>
        <v xml:space="preserve"> 5213571 </v>
      </c>
      <c r="E301" s="47" t="str">
        <f>ORÇAMENTO!C524</f>
        <v>SICRO3</v>
      </c>
      <c r="F301" s="48" t="str">
        <f>ORÇAMENTO!D524</f>
        <v>PLACA EM AÇO - PELÍCULA I + III - FORNECIMENTO E IMPLANTAÇÃO</v>
      </c>
      <c r="G301" s="47" t="str">
        <f>ORÇAMENTO!E524</f>
        <v>M²</v>
      </c>
      <c r="H301" s="47">
        <f>ORÇAMENTO!F524</f>
        <v>2.98</v>
      </c>
      <c r="I301" s="47">
        <f>ORÇAMENTO!G524</f>
        <v>501.28</v>
      </c>
      <c r="J301" s="47">
        <f>ORÇAMENTO!H524</f>
        <v>0.2122</v>
      </c>
      <c r="K301" s="47">
        <f>ORÇAMENTO!I524</f>
        <v>607.65</v>
      </c>
      <c r="L301" s="107">
        <f>ORÇAMENTO!J524</f>
        <v>1810.79</v>
      </c>
      <c r="N301" s="29" t="str">
        <f t="shared" si="26"/>
        <v>DIFERENTE</v>
      </c>
      <c r="O301" s="29" t="str">
        <f t="shared" si="27"/>
        <v>DIFERENTE</v>
      </c>
      <c r="P301" s="29" t="str">
        <f t="shared" si="28"/>
        <v>DIFERENTE</v>
      </c>
    </row>
    <row r="302" spans="2:16" ht="43.5" x14ac:dyDescent="0.35">
      <c r="B302" s="47">
        <f t="shared" si="25"/>
        <v>99</v>
      </c>
      <c r="C302" s="47" t="str">
        <f>ORÇAMENTO!A96</f>
        <v>4.1.1.1.7</v>
      </c>
      <c r="D302" s="47" t="str">
        <f>ORÇAMENTO!B96</f>
        <v xml:space="preserve"> 5212556 </v>
      </c>
      <c r="E302" s="47" t="str">
        <f>ORÇAMENTO!C96</f>
        <v>SICRO3</v>
      </c>
      <c r="F302" s="48" t="str">
        <f>ORÇAMENTO!D96</f>
        <v>PLACA PARA SINALIZAÇÃO DE OBRAS MONTADA EM CAVALETE METÁLICO - 1,00 X 1,00 M - UTILIZAÇÃO DE 600 CICLOS - FORNECIMENTO, 01IMPLANTAÇÃO E 01 RETIRADA DIÁRIA</v>
      </c>
      <c r="G302" s="47" t="str">
        <f>ORÇAMENTO!E96</f>
        <v>UN.DIA</v>
      </c>
      <c r="H302" s="47">
        <f>ORÇAMENTO!F96</f>
        <v>502</v>
      </c>
      <c r="I302" s="47">
        <f>ORÇAMENTO!G96</f>
        <v>1.96</v>
      </c>
      <c r="J302" s="47">
        <f>ORÇAMENTO!H96</f>
        <v>0.2122</v>
      </c>
      <c r="K302" s="47">
        <f>ORÇAMENTO!I96</f>
        <v>2.38</v>
      </c>
      <c r="L302" s="49">
        <f>ORÇAMENTO!J96</f>
        <v>1194.76</v>
      </c>
      <c r="N302" s="29" t="str">
        <f t="shared" si="26"/>
        <v>DIFERENTE</v>
      </c>
      <c r="O302" s="29" t="str">
        <f t="shared" si="27"/>
        <v>DIFERENTE</v>
      </c>
      <c r="P302" s="29" t="str">
        <f t="shared" si="28"/>
        <v>DIFERENTE</v>
      </c>
    </row>
    <row r="303" spans="2:16" ht="43.5" x14ac:dyDescent="0.35">
      <c r="B303" s="47">
        <f t="shared" si="25"/>
        <v>99</v>
      </c>
      <c r="C303" s="47" t="str">
        <f>ORÇAMENTO!A298</f>
        <v>5.1.1.1.7</v>
      </c>
      <c r="D303" s="47" t="str">
        <f>ORÇAMENTO!B298</f>
        <v xml:space="preserve"> 5212556 </v>
      </c>
      <c r="E303" s="47" t="str">
        <f>ORÇAMENTO!C298</f>
        <v>SICRO3</v>
      </c>
      <c r="F303" s="48" t="str">
        <f>ORÇAMENTO!D298</f>
        <v>PLACA PARA SINALIZAÇÃO DE OBRAS MONTADA EM CAVALETE METÁLICO - 1,00 X 1,00 M - UTILIZAÇÃO DE 600 CICLOS - FORNECIMENTO, 01IMPLANTAÇÃO E 01 RETIRADA DIÁRIA</v>
      </c>
      <c r="G303" s="47" t="str">
        <f>ORÇAMENTO!E298</f>
        <v>UN.DIA</v>
      </c>
      <c r="H303" s="47">
        <f>ORÇAMENTO!F298</f>
        <v>1847</v>
      </c>
      <c r="I303" s="47">
        <f>ORÇAMENTO!G298</f>
        <v>1.96</v>
      </c>
      <c r="J303" s="47">
        <f>ORÇAMENTO!H298</f>
        <v>0.2122</v>
      </c>
      <c r="K303" s="47">
        <f>ORÇAMENTO!I298</f>
        <v>2.38</v>
      </c>
      <c r="L303" s="49">
        <f>ORÇAMENTO!J298</f>
        <v>4395.8599999999997</v>
      </c>
      <c r="N303" s="29" t="str">
        <f t="shared" si="26"/>
        <v>OK!</v>
      </c>
      <c r="O303" s="29" t="str">
        <f t="shared" si="27"/>
        <v>OK!</v>
      </c>
      <c r="P303" s="29" t="str">
        <f t="shared" si="28"/>
        <v>OK!</v>
      </c>
    </row>
    <row r="304" spans="2:16" ht="43.5" x14ac:dyDescent="0.35">
      <c r="B304" s="47">
        <f t="shared" si="25"/>
        <v>100</v>
      </c>
      <c r="C304" s="47" t="str">
        <f>ORÇAMENTO!A168</f>
        <v>4.1.2.4.2</v>
      </c>
      <c r="D304" s="47" t="str">
        <f>ORÇAMENTO!B168</f>
        <v xml:space="preserve"> 101624 </v>
      </c>
      <c r="E304" s="47" t="str">
        <f>ORÇAMENTO!C168</f>
        <v>SINAPI</v>
      </c>
      <c r="F304" s="48" t="str">
        <f>ORÇAMENTO!D168</f>
        <v>PREPARO DE FUNDO DE VALA COM LARGURA MAIOR OU IGUAL A 1,5 M E MENOR QUE 2,5 M, COM CAMADA DE BRITA, LANÇAMENTO MECANIZADO. AF_08/2020</v>
      </c>
      <c r="G304" s="47" t="str">
        <f>ORÇAMENTO!E168</f>
        <v>M³</v>
      </c>
      <c r="H304" s="47">
        <f>ORÇAMENTO!F168</f>
        <v>219.48584402989229</v>
      </c>
      <c r="I304" s="47">
        <f>ORÇAMENTO!G168</f>
        <v>224.67</v>
      </c>
      <c r="J304" s="47">
        <f>ORÇAMENTO!H168</f>
        <v>0.2122</v>
      </c>
      <c r="K304" s="47">
        <f>ORÇAMENTO!I168</f>
        <v>272.33999999999997</v>
      </c>
      <c r="L304" s="107">
        <f>ORÇAMENTO!J168</f>
        <v>59774.77</v>
      </c>
      <c r="N304" s="29" t="str">
        <f t="shared" si="26"/>
        <v>DIFERENTE</v>
      </c>
      <c r="O304" s="29" t="str">
        <f t="shared" si="27"/>
        <v>DIFERENTE</v>
      </c>
      <c r="P304" s="29" t="str">
        <f t="shared" si="28"/>
        <v>DIFERENTE</v>
      </c>
    </row>
    <row r="305" spans="2:16" ht="43.5" x14ac:dyDescent="0.35">
      <c r="B305" s="47">
        <f t="shared" si="25"/>
        <v>100</v>
      </c>
      <c r="C305" s="47" t="str">
        <f>ORÇAMENTO!A367</f>
        <v>5.1.2.4.2</v>
      </c>
      <c r="D305" s="47" t="str">
        <f>ORÇAMENTO!B367</f>
        <v xml:space="preserve"> 101624 </v>
      </c>
      <c r="E305" s="47" t="str">
        <f>ORÇAMENTO!C367</f>
        <v>SINAPI</v>
      </c>
      <c r="F305" s="48" t="str">
        <f>ORÇAMENTO!D367</f>
        <v>PREPARO DE FUNDO DE VALA COM LARGURA MAIOR OU IGUAL A 1,5 M E MENOR QUE 2,5 M, COM CAMADA DE BRITA, LANÇAMENTO MECANIZADO. AF_08/2020</v>
      </c>
      <c r="G305" s="47" t="str">
        <f>ORÇAMENTO!E367</f>
        <v>M³</v>
      </c>
      <c r="H305" s="47">
        <f>ORÇAMENTO!F367</f>
        <v>583.98749999999995</v>
      </c>
      <c r="I305" s="47">
        <f>ORÇAMENTO!G367</f>
        <v>224.67</v>
      </c>
      <c r="J305" s="47">
        <f>ORÇAMENTO!H367</f>
        <v>0.2122</v>
      </c>
      <c r="K305" s="47">
        <f>ORÇAMENTO!I367</f>
        <v>272.33999999999997</v>
      </c>
      <c r="L305" s="49">
        <f>ORÇAMENTO!J367</f>
        <v>159043.15</v>
      </c>
      <c r="N305" s="29" t="str">
        <f t="shared" si="26"/>
        <v>OK!</v>
      </c>
      <c r="O305" s="29" t="str">
        <f t="shared" si="27"/>
        <v>OK!</v>
      </c>
      <c r="P305" s="29" t="str">
        <f t="shared" si="28"/>
        <v>OK!</v>
      </c>
    </row>
    <row r="306" spans="2:16" ht="29" x14ac:dyDescent="0.35">
      <c r="B306" s="47">
        <f t="shared" si="25"/>
        <v>101</v>
      </c>
      <c r="C306" s="47" t="str">
        <f>ORÇAMENTO!A167</f>
        <v>4.1.2.4.1</v>
      </c>
      <c r="D306" s="47" t="str">
        <f>ORÇAMENTO!B167</f>
        <v xml:space="preserve"> 101623 </v>
      </c>
      <c r="E306" s="47" t="str">
        <f>ORÇAMENTO!C167</f>
        <v>SINAPI</v>
      </c>
      <c r="F306" s="48" t="str">
        <f>ORÇAMENTO!D167</f>
        <v>PREPARO DE FUNDO DE VALA COM LARGURA MENOR QUE 1,5 M, COM CAMADA DE BRITA, LANÇAMENTO MECANIZADO. AF_08/2020</v>
      </c>
      <c r="G306" s="47" t="str">
        <f>ORÇAMENTO!E167</f>
        <v>M³</v>
      </c>
      <c r="H306" s="47">
        <f>ORÇAMENTO!F167</f>
        <v>34.439497173965457</v>
      </c>
      <c r="I306" s="47">
        <f>ORÇAMENTO!G167</f>
        <v>271.92</v>
      </c>
      <c r="J306" s="47">
        <f>ORÇAMENTO!H167</f>
        <v>0.2122</v>
      </c>
      <c r="K306" s="47">
        <f>ORÇAMENTO!I167</f>
        <v>329.62</v>
      </c>
      <c r="L306" s="49">
        <f>ORÇAMENTO!J167</f>
        <v>11351.94</v>
      </c>
      <c r="N306" s="29" t="str">
        <f t="shared" si="26"/>
        <v>DIFERENTE</v>
      </c>
      <c r="O306" s="29" t="str">
        <f t="shared" si="27"/>
        <v>DIFERENTE</v>
      </c>
      <c r="P306" s="29" t="str">
        <f t="shared" si="28"/>
        <v>DIFERENTE</v>
      </c>
    </row>
    <row r="307" spans="2:16" ht="29" x14ac:dyDescent="0.35">
      <c r="B307" s="47">
        <f t="shared" si="25"/>
        <v>101</v>
      </c>
      <c r="C307" s="47" t="str">
        <f>ORÇAMENTO!A221</f>
        <v>4.1.2.6.23</v>
      </c>
      <c r="D307" s="47" t="str">
        <f>ORÇAMENTO!B221</f>
        <v xml:space="preserve"> 101623 </v>
      </c>
      <c r="E307" s="47" t="str">
        <f>ORÇAMENTO!C221</f>
        <v>SINAPI</v>
      </c>
      <c r="F307" s="48" t="str">
        <f>ORÇAMENTO!D221</f>
        <v>PREPARO DE FUNDO DE VALA COM LARGURA MENOR QUE 1,5 M, COM CAMADA DE BRITA, LANÇAMENTO MECANIZADO. AF_08/2020</v>
      </c>
      <c r="G307" s="47" t="str">
        <f>ORÇAMENTO!E221</f>
        <v>M³</v>
      </c>
      <c r="H307" s="47">
        <f>ORÇAMENTO!F221</f>
        <v>21.6</v>
      </c>
      <c r="I307" s="47">
        <f>ORÇAMENTO!G221</f>
        <v>271.92</v>
      </c>
      <c r="J307" s="47">
        <f>ORÇAMENTO!H221</f>
        <v>0.2122</v>
      </c>
      <c r="K307" s="47">
        <f>ORÇAMENTO!I221</f>
        <v>329.62</v>
      </c>
      <c r="L307" s="49">
        <f>ORÇAMENTO!J221</f>
        <v>7119.79</v>
      </c>
      <c r="N307" s="29" t="str">
        <f t="shared" si="26"/>
        <v>OK!</v>
      </c>
      <c r="O307" s="29" t="str">
        <f t="shared" si="27"/>
        <v>OK!</v>
      </c>
      <c r="P307" s="29" t="str">
        <f t="shared" si="28"/>
        <v>OK!</v>
      </c>
    </row>
    <row r="308" spans="2:16" ht="29" x14ac:dyDescent="0.35">
      <c r="B308" s="47">
        <f t="shared" si="25"/>
        <v>101</v>
      </c>
      <c r="C308" s="47" t="str">
        <f>ORÇAMENTO!A366</f>
        <v>5.1.2.4.1</v>
      </c>
      <c r="D308" s="47" t="str">
        <f>ORÇAMENTO!B366</f>
        <v xml:space="preserve"> 101623 </v>
      </c>
      <c r="E308" s="47" t="str">
        <f>ORÇAMENTO!C366</f>
        <v>SINAPI</v>
      </c>
      <c r="F308" s="48" t="str">
        <f>ORÇAMENTO!D366</f>
        <v>PREPARO DE FUNDO DE VALA COM LARGURA MENOR QUE 1,5 M, COM CAMADA DE BRITA, LANÇAMENTO MECANIZADO. AF_08/2020</v>
      </c>
      <c r="G308" s="47" t="str">
        <f>ORÇAMENTO!E366</f>
        <v>M³</v>
      </c>
      <c r="H308" s="47">
        <f>ORÇAMENTO!F366</f>
        <v>98.561900000000009</v>
      </c>
      <c r="I308" s="47">
        <f>ORÇAMENTO!G366</f>
        <v>271.92</v>
      </c>
      <c r="J308" s="47">
        <f>ORÇAMENTO!H366</f>
        <v>0.2122</v>
      </c>
      <c r="K308" s="47">
        <f>ORÇAMENTO!I366</f>
        <v>329.62</v>
      </c>
      <c r="L308" s="49">
        <f>ORÇAMENTO!J366</f>
        <v>32487.97</v>
      </c>
      <c r="N308" s="29" t="str">
        <f t="shared" si="26"/>
        <v>OK!</v>
      </c>
      <c r="O308" s="29" t="str">
        <f t="shared" si="27"/>
        <v>OK!</v>
      </c>
      <c r="P308" s="29" t="str">
        <f t="shared" si="28"/>
        <v>OK!</v>
      </c>
    </row>
    <row r="309" spans="2:16" ht="29" x14ac:dyDescent="0.35">
      <c r="B309" s="47">
        <f t="shared" si="25"/>
        <v>101</v>
      </c>
      <c r="C309" s="47" t="str">
        <f>ORÇAMENTO!A431</f>
        <v>5.1.2.7.23</v>
      </c>
      <c r="D309" s="47" t="str">
        <f>ORÇAMENTO!B431</f>
        <v xml:space="preserve"> 101623 </v>
      </c>
      <c r="E309" s="47" t="str">
        <f>ORÇAMENTO!C431</f>
        <v>SINAPI</v>
      </c>
      <c r="F309" s="48" t="str">
        <f>ORÇAMENTO!D431</f>
        <v>PREPARO DE FUNDO DE VALA COM LARGURA MENOR QUE 1,5 M, COM CAMADA DE BRITA, LANÇAMENTO MECANIZADO. AF_08/2020</v>
      </c>
      <c r="G309" s="47" t="str">
        <f>ORÇAMENTO!E431</f>
        <v>M³</v>
      </c>
      <c r="H309" s="47">
        <f>ORÇAMENTO!F431</f>
        <v>41.56</v>
      </c>
      <c r="I309" s="47">
        <f>ORÇAMENTO!G431</f>
        <v>271.92</v>
      </c>
      <c r="J309" s="47">
        <f>ORÇAMENTO!H431</f>
        <v>0.2122</v>
      </c>
      <c r="K309" s="47">
        <f>ORÇAMENTO!I431</f>
        <v>329.62</v>
      </c>
      <c r="L309" s="49">
        <f>ORÇAMENTO!J431</f>
        <v>13699</v>
      </c>
      <c r="N309" s="29" t="str">
        <f t="shared" si="26"/>
        <v>OK!</v>
      </c>
      <c r="O309" s="29" t="str">
        <f t="shared" si="27"/>
        <v>OK!</v>
      </c>
      <c r="P309" s="29" t="str">
        <f t="shared" si="28"/>
        <v>OK!</v>
      </c>
    </row>
    <row r="310" spans="2:16" ht="29" x14ac:dyDescent="0.35">
      <c r="B310" s="47">
        <f t="shared" si="25"/>
        <v>102</v>
      </c>
      <c r="C310" s="47" t="str">
        <f>ORÇAMENTO!A180</f>
        <v>4.1.2.4.14</v>
      </c>
      <c r="D310" s="47" t="str">
        <f>ORÇAMENTO!B180</f>
        <v xml:space="preserve"> 02.05.04U </v>
      </c>
      <c r="E310" s="47" t="str">
        <f>ORÇAMENTO!C180</f>
        <v>COMPESA</v>
      </c>
      <c r="F310" s="48" t="str">
        <f>ORÇAMENTO!D180</f>
        <v>REATERRO COMPACTADO MECANICAMENTE EM CAMADAS DE 0,20 M COM APROVEITAMENTO DO MATERIAL ESCAVADO.</v>
      </c>
      <c r="G310" s="47" t="str">
        <f>ORÇAMENTO!E180</f>
        <v>M³</v>
      </c>
      <c r="H310" s="47">
        <f>ORÇAMENTO!F180</f>
        <v>2483.6584606680481</v>
      </c>
      <c r="I310" s="47">
        <f>ORÇAMENTO!G180</f>
        <v>11.09</v>
      </c>
      <c r="J310" s="47">
        <f>ORÇAMENTO!H180</f>
        <v>0.2122</v>
      </c>
      <c r="K310" s="47">
        <f>ORÇAMENTO!I180</f>
        <v>13.44</v>
      </c>
      <c r="L310" s="49">
        <f>ORÇAMENTO!J180</f>
        <v>33380.36</v>
      </c>
      <c r="N310" s="29" t="str">
        <f t="shared" si="26"/>
        <v>DIFERENTE</v>
      </c>
      <c r="O310" s="29" t="str">
        <f t="shared" si="27"/>
        <v>DIFERENTE</v>
      </c>
      <c r="P310" s="29" t="str">
        <f t="shared" si="28"/>
        <v>DIFERENTE</v>
      </c>
    </row>
    <row r="311" spans="2:16" ht="29" x14ac:dyDescent="0.35">
      <c r="B311" s="47">
        <f t="shared" si="25"/>
        <v>102</v>
      </c>
      <c r="C311" s="47" t="str">
        <f>ORÇAMENTO!A233</f>
        <v>4.1.2.6.35</v>
      </c>
      <c r="D311" s="47" t="str">
        <f>ORÇAMENTO!B233</f>
        <v xml:space="preserve"> 02.05.04U </v>
      </c>
      <c r="E311" s="47" t="str">
        <f>ORÇAMENTO!C233</f>
        <v>COMPESA</v>
      </c>
      <c r="F311" s="48" t="str">
        <f>ORÇAMENTO!D233</f>
        <v>REATERRO COMPACTADO MECANICAMENTE EM CAMADAS DE 0,20 M COM APROVEITAMENTO DO MATERIAL ESCAVADO.</v>
      </c>
      <c r="G311" s="47" t="str">
        <f>ORÇAMENTO!E233</f>
        <v>M³</v>
      </c>
      <c r="H311" s="47">
        <f>ORÇAMENTO!F233</f>
        <v>984.81</v>
      </c>
      <c r="I311" s="47">
        <f>ORÇAMENTO!G233</f>
        <v>11.09</v>
      </c>
      <c r="J311" s="47">
        <f>ORÇAMENTO!H233</f>
        <v>0.2122</v>
      </c>
      <c r="K311" s="47">
        <f>ORÇAMENTO!I233</f>
        <v>13.44</v>
      </c>
      <c r="L311" s="49">
        <f>ORÇAMENTO!J233</f>
        <v>13235.84</v>
      </c>
      <c r="N311" s="29" t="str">
        <f t="shared" si="26"/>
        <v>OK!</v>
      </c>
      <c r="O311" s="29" t="str">
        <f t="shared" si="27"/>
        <v>OK!</v>
      </c>
      <c r="P311" s="29" t="str">
        <f t="shared" si="28"/>
        <v>OK!</v>
      </c>
    </row>
    <row r="312" spans="2:16" ht="29" x14ac:dyDescent="0.35">
      <c r="B312" s="47">
        <f t="shared" si="25"/>
        <v>102</v>
      </c>
      <c r="C312" s="47" t="str">
        <f>ORÇAMENTO!A379</f>
        <v>5.1.2.4.14</v>
      </c>
      <c r="D312" s="47" t="str">
        <f>ORÇAMENTO!B379</f>
        <v xml:space="preserve"> 02.05.04U </v>
      </c>
      <c r="E312" s="47" t="str">
        <f>ORÇAMENTO!C379</f>
        <v>COMPESA</v>
      </c>
      <c r="F312" s="48" t="str">
        <f>ORÇAMENTO!D379</f>
        <v>REATERRO COMPACTADO MECANICAMENTE EM CAMADAS DE 0,20 M COM APROVEITAMENTO DO MATERIAL ESCAVADO.</v>
      </c>
      <c r="G312" s="47" t="str">
        <f>ORÇAMENTO!E379</f>
        <v>M³</v>
      </c>
      <c r="H312" s="47">
        <f>ORÇAMENTO!F379</f>
        <v>7489.2038150000017</v>
      </c>
      <c r="I312" s="47">
        <f>ORÇAMENTO!G379</f>
        <v>11.09</v>
      </c>
      <c r="J312" s="47">
        <f>ORÇAMENTO!H379</f>
        <v>0.2122</v>
      </c>
      <c r="K312" s="47">
        <f>ORÇAMENTO!I379</f>
        <v>13.44</v>
      </c>
      <c r="L312" s="49">
        <f>ORÇAMENTO!J379</f>
        <v>100654.89</v>
      </c>
      <c r="N312" s="29" t="str">
        <f t="shared" si="26"/>
        <v>OK!</v>
      </c>
      <c r="O312" s="29" t="str">
        <f t="shared" si="27"/>
        <v>OK!</v>
      </c>
      <c r="P312" s="29" t="str">
        <f t="shared" si="28"/>
        <v>OK!</v>
      </c>
    </row>
    <row r="313" spans="2:16" ht="29" x14ac:dyDescent="0.35">
      <c r="B313" s="47">
        <f t="shared" si="25"/>
        <v>102</v>
      </c>
      <c r="C313" s="47" t="str">
        <f>ORÇAMENTO!A443</f>
        <v>5.1.2.7.35</v>
      </c>
      <c r="D313" s="47" t="str">
        <f>ORÇAMENTO!B443</f>
        <v xml:space="preserve"> 02.05.04U </v>
      </c>
      <c r="E313" s="47" t="str">
        <f>ORÇAMENTO!C443</f>
        <v>COMPESA</v>
      </c>
      <c r="F313" s="48" t="str">
        <f>ORÇAMENTO!D443</f>
        <v>REATERRO COMPACTADO MECANICAMENTE EM CAMADAS DE 0,20 M COM APROVEITAMENTO DO MATERIAL ESCAVADO.</v>
      </c>
      <c r="G313" s="47" t="str">
        <f>ORÇAMENTO!E443</f>
        <v>M³</v>
      </c>
      <c r="H313" s="47">
        <f>ORÇAMENTO!F443</f>
        <v>1642.03</v>
      </c>
      <c r="I313" s="47">
        <f>ORÇAMENTO!G443</f>
        <v>11.09</v>
      </c>
      <c r="J313" s="47">
        <f>ORÇAMENTO!H443</f>
        <v>0.2122</v>
      </c>
      <c r="K313" s="47">
        <f>ORÇAMENTO!I443</f>
        <v>13.44</v>
      </c>
      <c r="L313" s="49">
        <f>ORÇAMENTO!J443</f>
        <v>22068.880000000001</v>
      </c>
      <c r="N313" s="29" t="str">
        <f t="shared" si="26"/>
        <v>OK!</v>
      </c>
      <c r="O313" s="29" t="str">
        <f t="shared" si="27"/>
        <v>OK!</v>
      </c>
      <c r="P313" s="29" t="str">
        <f t="shared" si="28"/>
        <v>OK!</v>
      </c>
    </row>
    <row r="314" spans="2:16" x14ac:dyDescent="0.35">
      <c r="B314" s="47">
        <f t="shared" si="25"/>
        <v>103</v>
      </c>
      <c r="C314" s="47" t="str">
        <f>ORÇAMENTO!A179</f>
        <v>4.1.2.4.13</v>
      </c>
      <c r="D314" s="47" t="str">
        <f>ORÇAMENTO!B179</f>
        <v xml:space="preserve"> 0401001113 </v>
      </c>
      <c r="E314" s="47" t="str">
        <f>ORÇAMENTO!C179</f>
        <v>AGESUL</v>
      </c>
      <c r="F314" s="48" t="str">
        <f>ORÇAMENTO!D179</f>
        <v>REATERRO MANUAL APILOADO COM SOQUETE</v>
      </c>
      <c r="G314" s="47" t="str">
        <f>ORÇAMENTO!E179</f>
        <v>M³</v>
      </c>
      <c r="H314" s="47">
        <f>ORÇAMENTO!F179</f>
        <v>137.75798869586183</v>
      </c>
      <c r="I314" s="47">
        <f>ORÇAMENTO!G179</f>
        <v>56.12</v>
      </c>
      <c r="J314" s="47">
        <f>ORÇAMENTO!H179</f>
        <v>0.2122</v>
      </c>
      <c r="K314" s="47">
        <f>ORÇAMENTO!I179</f>
        <v>68.03</v>
      </c>
      <c r="L314" s="49">
        <f>ORÇAMENTO!J179</f>
        <v>9371.67</v>
      </c>
      <c r="N314" s="29" t="str">
        <f t="shared" si="26"/>
        <v>DIFERENTE</v>
      </c>
      <c r="O314" s="29" t="str">
        <f t="shared" si="27"/>
        <v>DIFERENTE</v>
      </c>
      <c r="P314" s="29" t="str">
        <f t="shared" si="28"/>
        <v>DIFERENTE</v>
      </c>
    </row>
    <row r="315" spans="2:16" x14ac:dyDescent="0.35">
      <c r="B315" s="47">
        <f t="shared" si="25"/>
        <v>103</v>
      </c>
      <c r="C315" s="47" t="str">
        <f>ORÇAMENTO!A232</f>
        <v>4.1.2.6.34</v>
      </c>
      <c r="D315" s="47" t="str">
        <f>ORÇAMENTO!B232</f>
        <v xml:space="preserve"> 0401001113 </v>
      </c>
      <c r="E315" s="47" t="str">
        <f>ORÇAMENTO!C232</f>
        <v>AGESUL</v>
      </c>
      <c r="F315" s="48" t="str">
        <f>ORÇAMENTO!D232</f>
        <v>REATERRO MANUAL APILOADO COM SOQUETE</v>
      </c>
      <c r="G315" s="47" t="str">
        <f>ORÇAMENTO!E232</f>
        <v>M³</v>
      </c>
      <c r="H315" s="47">
        <f>ORÇAMENTO!F232</f>
        <v>248.07</v>
      </c>
      <c r="I315" s="47">
        <f>ORÇAMENTO!G232</f>
        <v>56.12</v>
      </c>
      <c r="J315" s="47">
        <f>ORÇAMENTO!H232</f>
        <v>0.2122</v>
      </c>
      <c r="K315" s="47">
        <f>ORÇAMENTO!I232</f>
        <v>68.03</v>
      </c>
      <c r="L315" s="49">
        <f>ORÇAMENTO!J232</f>
        <v>16876.2</v>
      </c>
      <c r="N315" s="29" t="str">
        <f t="shared" si="26"/>
        <v>OK!</v>
      </c>
      <c r="O315" s="29" t="str">
        <f t="shared" si="27"/>
        <v>OK!</v>
      </c>
      <c r="P315" s="29" t="str">
        <f t="shared" si="28"/>
        <v>OK!</v>
      </c>
    </row>
    <row r="316" spans="2:16" x14ac:dyDescent="0.35">
      <c r="B316" s="47">
        <f t="shared" si="25"/>
        <v>103</v>
      </c>
      <c r="C316" s="47" t="str">
        <f>ORÇAMENTO!A378</f>
        <v>5.1.2.4.13</v>
      </c>
      <c r="D316" s="47" t="str">
        <f>ORÇAMENTO!B378</f>
        <v xml:space="preserve"> 0401001113 </v>
      </c>
      <c r="E316" s="47" t="str">
        <f>ORÇAMENTO!C378</f>
        <v>AGESUL</v>
      </c>
      <c r="F316" s="48" t="str">
        <f>ORÇAMENTO!D378</f>
        <v>REATERRO MANUAL APILOADO COM SOQUETE</v>
      </c>
      <c r="G316" s="47" t="str">
        <f>ORÇAMENTO!E378</f>
        <v>M³</v>
      </c>
      <c r="H316" s="47">
        <f>ORÇAMENTO!F378</f>
        <v>4446.4034260522194</v>
      </c>
      <c r="I316" s="47">
        <f>ORÇAMENTO!G378</f>
        <v>56.12</v>
      </c>
      <c r="J316" s="47">
        <f>ORÇAMENTO!H378</f>
        <v>0.2122</v>
      </c>
      <c r="K316" s="47">
        <f>ORÇAMENTO!I378</f>
        <v>68.03</v>
      </c>
      <c r="L316" s="49">
        <f>ORÇAMENTO!J378</f>
        <v>302488.82</v>
      </c>
      <c r="N316" s="29" t="str">
        <f t="shared" si="26"/>
        <v>OK!</v>
      </c>
      <c r="O316" s="29" t="str">
        <f t="shared" si="27"/>
        <v>OK!</v>
      </c>
      <c r="P316" s="29" t="str">
        <f t="shared" si="28"/>
        <v>OK!</v>
      </c>
    </row>
    <row r="317" spans="2:16" x14ac:dyDescent="0.35">
      <c r="B317" s="47">
        <f t="shared" si="25"/>
        <v>103</v>
      </c>
      <c r="C317" s="47" t="str">
        <f>ORÇAMENTO!A442</f>
        <v>5.1.2.7.34</v>
      </c>
      <c r="D317" s="47" t="str">
        <f>ORÇAMENTO!B442</f>
        <v xml:space="preserve"> 0401001113 </v>
      </c>
      <c r="E317" s="47" t="str">
        <f>ORÇAMENTO!C442</f>
        <v>AGESUL</v>
      </c>
      <c r="F317" s="48" t="str">
        <f>ORÇAMENTO!D442</f>
        <v>REATERRO MANUAL APILOADO COM SOQUETE</v>
      </c>
      <c r="G317" s="47" t="str">
        <f>ORÇAMENTO!E442</f>
        <v>M³</v>
      </c>
      <c r="H317" s="47">
        <f>ORÇAMENTO!F442</f>
        <v>477.35</v>
      </c>
      <c r="I317" s="47">
        <f>ORÇAMENTO!G442</f>
        <v>56.12</v>
      </c>
      <c r="J317" s="47">
        <f>ORÇAMENTO!H442</f>
        <v>0.2122</v>
      </c>
      <c r="K317" s="47">
        <f>ORÇAMENTO!I442</f>
        <v>68.03</v>
      </c>
      <c r="L317" s="49">
        <f>ORÇAMENTO!J442</f>
        <v>32474.12</v>
      </c>
      <c r="N317" s="29" t="str">
        <f t="shared" si="26"/>
        <v>OK!</v>
      </c>
      <c r="O317" s="29" t="str">
        <f t="shared" si="27"/>
        <v>OK!</v>
      </c>
      <c r="P317" s="29" t="str">
        <f t="shared" si="28"/>
        <v>OK!</v>
      </c>
    </row>
    <row r="318" spans="2:16" x14ac:dyDescent="0.35">
      <c r="B318" s="47">
        <f t="shared" si="25"/>
        <v>103</v>
      </c>
      <c r="C318" s="47" t="str">
        <f>ORÇAMENTO!A277</f>
        <v>4.3.11</v>
      </c>
      <c r="D318" s="47" t="str">
        <f>ORÇAMENTO!B277</f>
        <v xml:space="preserve"> 0401001113 </v>
      </c>
      <c r="E318" s="47" t="str">
        <f>ORÇAMENTO!C277</f>
        <v>AGESUL</v>
      </c>
      <c r="F318" s="48" t="str">
        <f>ORÇAMENTO!D277</f>
        <v>REATERRO MANUAL APILOADO COM SOQUETE</v>
      </c>
      <c r="G318" s="47" t="str">
        <f>ORÇAMENTO!E277</f>
        <v>M³</v>
      </c>
      <c r="H318" s="47">
        <f>ORÇAMENTO!F277</f>
        <v>11.296720445695827</v>
      </c>
      <c r="I318" s="47">
        <f>ORÇAMENTO!G277</f>
        <v>56.12</v>
      </c>
      <c r="J318" s="47">
        <f>ORÇAMENTO!H277</f>
        <v>0.2122</v>
      </c>
      <c r="K318" s="47">
        <f>ORÇAMENTO!I277</f>
        <v>68.03</v>
      </c>
      <c r="L318" s="49">
        <f>ORÇAMENTO!J277</f>
        <v>768.51</v>
      </c>
      <c r="N318" s="29" t="str">
        <f t="shared" si="26"/>
        <v>OK!</v>
      </c>
      <c r="O318" s="29" t="str">
        <f t="shared" si="27"/>
        <v>OK!</v>
      </c>
      <c r="P318" s="29" t="str">
        <f t="shared" si="28"/>
        <v>OK!</v>
      </c>
    </row>
    <row r="319" spans="2:16" x14ac:dyDescent="0.35">
      <c r="B319" s="47">
        <f t="shared" si="25"/>
        <v>103</v>
      </c>
      <c r="C319" s="47" t="str">
        <f>ORÇAMENTO!A539</f>
        <v>5.5.12</v>
      </c>
      <c r="D319" s="47" t="str">
        <f>ORÇAMENTO!B539</f>
        <v xml:space="preserve"> 0401001113 </v>
      </c>
      <c r="E319" s="47" t="str">
        <f>ORÇAMENTO!C539</f>
        <v>AGESUL</v>
      </c>
      <c r="F319" s="48" t="str">
        <f>ORÇAMENTO!D539</f>
        <v>REATERRO MANUAL APILOADO COM SOQUETE</v>
      </c>
      <c r="G319" s="47" t="str">
        <f>ORÇAMENTO!E539</f>
        <v>M³</v>
      </c>
      <c r="H319" s="47">
        <f>ORÇAMENTO!F539</f>
        <v>35.883352326720761</v>
      </c>
      <c r="I319" s="47">
        <f>ORÇAMENTO!G539</f>
        <v>56.12</v>
      </c>
      <c r="J319" s="47">
        <f>ORÇAMENTO!H539</f>
        <v>0.2122</v>
      </c>
      <c r="K319" s="47">
        <f>ORÇAMENTO!I539</f>
        <v>68.03</v>
      </c>
      <c r="L319" s="49">
        <f>ORÇAMENTO!J539</f>
        <v>2441.14</v>
      </c>
      <c r="N319" s="29" t="str">
        <f t="shared" si="26"/>
        <v>OK!</v>
      </c>
      <c r="O319" s="29" t="str">
        <f t="shared" si="27"/>
        <v>OK!</v>
      </c>
      <c r="P319" s="29" t="str">
        <f t="shared" si="28"/>
        <v>OK!</v>
      </c>
    </row>
    <row r="320" spans="2:16" x14ac:dyDescent="0.35">
      <c r="B320" s="47">
        <f t="shared" si="25"/>
        <v>104</v>
      </c>
      <c r="C320" s="47" t="str">
        <f>ORÇAMENTO!A120</f>
        <v>4.1.1.5.4</v>
      </c>
      <c r="D320" s="47" t="str">
        <f>ORÇAMENTO!B120</f>
        <v xml:space="preserve"> 020214 </v>
      </c>
      <c r="E320" s="47" t="str">
        <f>ORÇAMENTO!C120</f>
        <v>SBC</v>
      </c>
      <c r="F320" s="48" t="str">
        <f>ORÇAMENTO!D120</f>
        <v>RECONSTRUCAO DE MEIO-FIO EM CONCRETO 10CM MOLDADO NO LOCAL</v>
      </c>
      <c r="G320" s="47" t="str">
        <f>ORÇAMENTO!E120</f>
        <v>M</v>
      </c>
      <c r="H320" s="47">
        <f>ORÇAMENTO!F120</f>
        <v>28.5</v>
      </c>
      <c r="I320" s="47">
        <f>ORÇAMENTO!G120</f>
        <v>69.680000000000007</v>
      </c>
      <c r="J320" s="47">
        <f>ORÇAMENTO!H120</f>
        <v>0.2122</v>
      </c>
      <c r="K320" s="47">
        <f>ORÇAMENTO!I120</f>
        <v>84.47</v>
      </c>
      <c r="L320" s="49">
        <f>ORÇAMENTO!J120</f>
        <v>2407.39</v>
      </c>
      <c r="N320" s="29" t="str">
        <f t="shared" si="26"/>
        <v>DIFERENTE</v>
      </c>
      <c r="O320" s="29" t="str">
        <f t="shared" si="27"/>
        <v>DIFERENTE</v>
      </c>
      <c r="P320" s="29" t="str">
        <f t="shared" si="28"/>
        <v>DIFERENTE</v>
      </c>
    </row>
    <row r="321" spans="2:16" x14ac:dyDescent="0.35">
      <c r="B321" s="47">
        <f t="shared" si="25"/>
        <v>104</v>
      </c>
      <c r="C321" s="47" t="str">
        <f>ORÇAMENTO!A322</f>
        <v>5.1.1.5.4</v>
      </c>
      <c r="D321" s="47" t="str">
        <f>ORÇAMENTO!B322</f>
        <v xml:space="preserve"> 020214 </v>
      </c>
      <c r="E321" s="47" t="str">
        <f>ORÇAMENTO!C322</f>
        <v>SBC</v>
      </c>
      <c r="F321" s="48" t="str">
        <f>ORÇAMENTO!D322</f>
        <v>RECONSTRUCAO DE MEIO-FIO EM CONCRETO 10CM MOLDADO NO LOCAL</v>
      </c>
      <c r="G321" s="47" t="str">
        <f>ORÇAMENTO!E322</f>
        <v>M</v>
      </c>
      <c r="H321" s="47">
        <f>ORÇAMENTO!F322</f>
        <v>129</v>
      </c>
      <c r="I321" s="47">
        <f>ORÇAMENTO!G322</f>
        <v>69.680000000000007</v>
      </c>
      <c r="J321" s="47">
        <f>ORÇAMENTO!H322</f>
        <v>0.2122</v>
      </c>
      <c r="K321" s="47">
        <f>ORÇAMENTO!I322</f>
        <v>84.47</v>
      </c>
      <c r="L321" s="49">
        <f>ORÇAMENTO!J322</f>
        <v>10896.63</v>
      </c>
      <c r="N321" s="29" t="str">
        <f t="shared" si="26"/>
        <v>OK!</v>
      </c>
      <c r="O321" s="29" t="str">
        <f t="shared" si="27"/>
        <v>OK!</v>
      </c>
      <c r="P321" s="29" t="str">
        <f t="shared" si="28"/>
        <v>OK!</v>
      </c>
    </row>
    <row r="322" spans="2:16" x14ac:dyDescent="0.35">
      <c r="B322" s="47">
        <f t="shared" si="25"/>
        <v>105</v>
      </c>
      <c r="C322" s="47" t="str">
        <f>ORÇAMENTO!A509</f>
        <v>5.4.4.1</v>
      </c>
      <c r="D322" s="47" t="str">
        <f>ORÇAMENTO!B509</f>
        <v xml:space="preserve"> 4011209 </v>
      </c>
      <c r="E322" s="47" t="str">
        <f>ORÇAMENTO!C509</f>
        <v>SICRO3</v>
      </c>
      <c r="F322" s="48" t="str">
        <f>ORÇAMENTO!D509</f>
        <v>REGULARIZAÇÃO DO SUBLEITO</v>
      </c>
      <c r="G322" s="47" t="str">
        <f>ORÇAMENTO!E509</f>
        <v>M²</v>
      </c>
      <c r="H322" s="47">
        <f>ORÇAMENTO!F509</f>
        <v>9519.08</v>
      </c>
      <c r="I322" s="47">
        <f>ORÇAMENTO!G509</f>
        <v>1.1399999999999999</v>
      </c>
      <c r="J322" s="47">
        <f>ORÇAMENTO!H509</f>
        <v>0.2122</v>
      </c>
      <c r="K322" s="47">
        <f>ORÇAMENTO!I509</f>
        <v>1.38</v>
      </c>
      <c r="L322" s="49">
        <f>ORÇAMENTO!J509</f>
        <v>13136.33</v>
      </c>
      <c r="N322" s="29" t="str">
        <f t="shared" si="26"/>
        <v>DIFERENTE</v>
      </c>
      <c r="O322" s="29" t="str">
        <f t="shared" si="27"/>
        <v>DIFERENTE</v>
      </c>
      <c r="P322" s="29" t="str">
        <f t="shared" si="28"/>
        <v>DIFERENTE</v>
      </c>
    </row>
    <row r="323" spans="2:16" x14ac:dyDescent="0.35">
      <c r="B323" s="47">
        <f t="shared" si="25"/>
        <v>106</v>
      </c>
      <c r="C323" s="47" t="str">
        <f>ORÇAMENTO!A119</f>
        <v>4.1.1.5.3</v>
      </c>
      <c r="D323" s="47" t="str">
        <f>ORÇAMENTO!B119</f>
        <v xml:space="preserve"> 022520 </v>
      </c>
      <c r="E323" s="47" t="str">
        <f>ORÇAMENTO!C119</f>
        <v>SBC</v>
      </c>
      <c r="F323" s="48" t="str">
        <f>ORÇAMENTO!D119</f>
        <v>RETIRADA MEIO-FIO EM CONCRETO</v>
      </c>
      <c r="G323" s="47" t="str">
        <f>ORÇAMENTO!E119</f>
        <v>M</v>
      </c>
      <c r="H323" s="47">
        <f>ORÇAMENTO!F119</f>
        <v>207.48000000000002</v>
      </c>
      <c r="I323" s="47">
        <f>ORÇAMENTO!G119</f>
        <v>82.29</v>
      </c>
      <c r="J323" s="47">
        <f>ORÇAMENTO!H119</f>
        <v>0.2122</v>
      </c>
      <c r="K323" s="47">
        <f>ORÇAMENTO!I119</f>
        <v>99.75</v>
      </c>
      <c r="L323" s="49">
        <f>ORÇAMENTO!J119</f>
        <v>20696.13</v>
      </c>
      <c r="N323" s="29" t="str">
        <f t="shared" si="26"/>
        <v>DIFERENTE</v>
      </c>
      <c r="O323" s="29" t="str">
        <f t="shared" si="27"/>
        <v>DIFERENTE</v>
      </c>
      <c r="P323" s="29" t="str">
        <f t="shared" si="28"/>
        <v>DIFERENTE</v>
      </c>
    </row>
    <row r="324" spans="2:16" x14ac:dyDescent="0.35">
      <c r="B324" s="47">
        <f t="shared" ref="B324:B387" si="29">IF(EXACT(F323,F324),B323,B323+1)</f>
        <v>106</v>
      </c>
      <c r="C324" s="47" t="str">
        <f>ORÇAMENTO!A321</f>
        <v>5.1.1.5.3</v>
      </c>
      <c r="D324" s="47" t="str">
        <f>ORÇAMENTO!B321</f>
        <v xml:space="preserve"> 022520 </v>
      </c>
      <c r="E324" s="47" t="str">
        <f>ORÇAMENTO!C321</f>
        <v>SBC</v>
      </c>
      <c r="F324" s="48" t="str">
        <f>ORÇAMENTO!D321</f>
        <v>RETIRADA MEIO-FIO EM CONCRETO</v>
      </c>
      <c r="G324" s="47" t="str">
        <f>ORÇAMENTO!E321</f>
        <v>M</v>
      </c>
      <c r="H324" s="47">
        <f>ORÇAMENTO!F321</f>
        <v>476</v>
      </c>
      <c r="I324" s="47">
        <f>ORÇAMENTO!G321</f>
        <v>82.29</v>
      </c>
      <c r="J324" s="47">
        <f>ORÇAMENTO!H321</f>
        <v>0.2122</v>
      </c>
      <c r="K324" s="47">
        <f>ORÇAMENTO!I321</f>
        <v>99.75</v>
      </c>
      <c r="L324" s="49">
        <f>ORÇAMENTO!J321</f>
        <v>47481</v>
      </c>
      <c r="N324" s="29" t="str">
        <f t="shared" si="26"/>
        <v>OK!</v>
      </c>
      <c r="O324" s="29" t="str">
        <f t="shared" si="27"/>
        <v>OK!</v>
      </c>
      <c r="P324" s="29" t="str">
        <f t="shared" si="28"/>
        <v>OK!</v>
      </c>
    </row>
    <row r="325" spans="2:16" x14ac:dyDescent="0.35">
      <c r="B325" s="47">
        <f t="shared" si="29"/>
        <v>107</v>
      </c>
      <c r="C325" s="47" t="str">
        <f>ORÇAMENTO!A249</f>
        <v>4.1.2.7.1</v>
      </c>
      <c r="D325" s="47" t="str">
        <f>ORÇAMENTO!B249</f>
        <v xml:space="preserve"> 18.95.04 </v>
      </c>
      <c r="E325" s="47" t="str">
        <f>ORÇAMENTO!C249</f>
        <v>EMBASA</v>
      </c>
      <c r="F325" s="48" t="str">
        <f>ORÇAMENTO!D249</f>
        <v>REVEST. PRIMARIO C CASCALHO OU SAIBRO C\ COMPACTACAO</v>
      </c>
      <c r="G325" s="47" t="str">
        <f>ORÇAMENTO!E249</f>
        <v>M³</v>
      </c>
      <c r="H325" s="47">
        <f>ORÇAMENTO!F249</f>
        <v>10.029999999999999</v>
      </c>
      <c r="I325" s="47">
        <f>ORÇAMENTO!G249</f>
        <v>262.95</v>
      </c>
      <c r="J325" s="47">
        <f>ORÇAMENTO!H249</f>
        <v>0.2122</v>
      </c>
      <c r="K325" s="47">
        <f>ORÇAMENTO!I249</f>
        <v>318.75</v>
      </c>
      <c r="L325" s="107">
        <f>ORÇAMENTO!J249</f>
        <v>3197.06</v>
      </c>
      <c r="N325" s="29" t="str">
        <f t="shared" si="26"/>
        <v>DIFERENTE</v>
      </c>
      <c r="O325" s="29" t="str">
        <f t="shared" si="27"/>
        <v>DIFERENTE</v>
      </c>
      <c r="P325" s="29" t="str">
        <f t="shared" si="28"/>
        <v>DIFERENTE</v>
      </c>
    </row>
    <row r="326" spans="2:16" x14ac:dyDescent="0.35">
      <c r="B326" s="47">
        <f t="shared" si="29"/>
        <v>107</v>
      </c>
      <c r="C326" s="47" t="str">
        <f>ORÇAMENTO!A459</f>
        <v>5.1.2.8.1</v>
      </c>
      <c r="D326" s="47" t="str">
        <f>ORÇAMENTO!B459</f>
        <v xml:space="preserve"> 18.95.04 </v>
      </c>
      <c r="E326" s="47" t="str">
        <f>ORÇAMENTO!C459</f>
        <v>EMBASA</v>
      </c>
      <c r="F326" s="48" t="str">
        <f>ORÇAMENTO!D459</f>
        <v>REVEST. PRIMARIO C CASCALHO OU SAIBRO C\ COMPACTACAO</v>
      </c>
      <c r="G326" s="47" t="str">
        <f>ORÇAMENTO!E459</f>
        <v>M³</v>
      </c>
      <c r="H326" s="47">
        <f>ORÇAMENTO!F459</f>
        <v>17.57</v>
      </c>
      <c r="I326" s="47">
        <f>ORÇAMENTO!G459</f>
        <v>262.95</v>
      </c>
      <c r="J326" s="47">
        <f>ORÇAMENTO!H459</f>
        <v>0.2122</v>
      </c>
      <c r="K326" s="47">
        <f>ORÇAMENTO!I459</f>
        <v>318.75</v>
      </c>
      <c r="L326" s="49">
        <f>ORÇAMENTO!J459</f>
        <v>5600.43</v>
      </c>
      <c r="N326" s="29" t="str">
        <f t="shared" si="26"/>
        <v>OK!</v>
      </c>
      <c r="O326" s="29" t="str">
        <f t="shared" si="27"/>
        <v>OK!</v>
      </c>
      <c r="P326" s="29" t="str">
        <f t="shared" si="28"/>
        <v>OK!</v>
      </c>
    </row>
    <row r="327" spans="2:16" x14ac:dyDescent="0.35">
      <c r="B327" s="47">
        <f t="shared" si="29"/>
        <v>107</v>
      </c>
      <c r="C327" s="47" t="str">
        <f>ORÇAMENTO!A469</f>
        <v>5.1.2.9.1</v>
      </c>
      <c r="D327" s="47" t="str">
        <f>ORÇAMENTO!B469</f>
        <v xml:space="preserve"> 18.95.04 </v>
      </c>
      <c r="E327" s="47" t="str">
        <f>ORÇAMENTO!C469</f>
        <v>EMBASA</v>
      </c>
      <c r="F327" s="48" t="str">
        <f>ORÇAMENTO!D469</f>
        <v>REVEST. PRIMARIO C CASCALHO OU SAIBRO C\ COMPACTACAO</v>
      </c>
      <c r="G327" s="47" t="str">
        <f>ORÇAMENTO!E469</f>
        <v>M³</v>
      </c>
      <c r="H327" s="47">
        <f>ORÇAMENTO!F469</f>
        <v>100.58</v>
      </c>
      <c r="I327" s="47">
        <f>ORÇAMENTO!G469</f>
        <v>262.95</v>
      </c>
      <c r="J327" s="47">
        <f>ORÇAMENTO!H469</f>
        <v>0.2122</v>
      </c>
      <c r="K327" s="47">
        <f>ORÇAMENTO!I469</f>
        <v>318.75</v>
      </c>
      <c r="L327" s="49">
        <f>ORÇAMENTO!J469</f>
        <v>32059.87</v>
      </c>
      <c r="N327" s="29" t="str">
        <f t="shared" si="26"/>
        <v>OK!</v>
      </c>
      <c r="O327" s="29" t="str">
        <f t="shared" si="27"/>
        <v>OK!</v>
      </c>
      <c r="P327" s="29" t="str">
        <f t="shared" si="28"/>
        <v>OK!</v>
      </c>
    </row>
    <row r="328" spans="2:16" x14ac:dyDescent="0.35">
      <c r="B328" s="47">
        <f t="shared" si="29"/>
        <v>107</v>
      </c>
      <c r="C328" s="47" t="str">
        <f>ORÇAMENTO!A477</f>
        <v>5.1.2.10.2</v>
      </c>
      <c r="D328" s="47" t="str">
        <f>ORÇAMENTO!B477</f>
        <v xml:space="preserve"> 18.95.04 </v>
      </c>
      <c r="E328" s="47" t="str">
        <f>ORÇAMENTO!C477</f>
        <v>EMBASA</v>
      </c>
      <c r="F328" s="48" t="str">
        <f>ORÇAMENTO!D477</f>
        <v>REVEST. PRIMARIO C CASCALHO OU SAIBRO C\ COMPACTACAO</v>
      </c>
      <c r="G328" s="47" t="str">
        <f>ORÇAMENTO!E477</f>
        <v>M³</v>
      </c>
      <c r="H328" s="47">
        <f>ORÇAMENTO!F477</f>
        <v>4.8</v>
      </c>
      <c r="I328" s="47">
        <f>ORÇAMENTO!G477</f>
        <v>262.95</v>
      </c>
      <c r="J328" s="47">
        <f>ORÇAMENTO!H477</f>
        <v>0.2122</v>
      </c>
      <c r="K328" s="47">
        <f>ORÇAMENTO!I477</f>
        <v>318.75</v>
      </c>
      <c r="L328" s="107">
        <f>ORÇAMENTO!J477</f>
        <v>1530</v>
      </c>
      <c r="N328" s="29" t="str">
        <f t="shared" si="26"/>
        <v>OK!</v>
      </c>
      <c r="O328" s="29" t="str">
        <f t="shared" si="27"/>
        <v>OK!</v>
      </c>
      <c r="P328" s="29" t="str">
        <f t="shared" si="28"/>
        <v>OK!</v>
      </c>
    </row>
    <row r="329" spans="2:16" x14ac:dyDescent="0.35">
      <c r="B329" s="47">
        <f t="shared" si="29"/>
        <v>108</v>
      </c>
      <c r="C329" s="47" t="str">
        <f>ORÇAMENTO!A95</f>
        <v>4.1.1.1.6</v>
      </c>
      <c r="D329" s="47" t="str">
        <f>ORÇAMENTO!B95</f>
        <v xml:space="preserve"> 01.03.16U </v>
      </c>
      <c r="E329" s="47" t="str">
        <f>ORÇAMENTO!C95</f>
        <v>COMPESA</v>
      </c>
      <c r="F329" s="48" t="str">
        <f>ORÇAMENTO!D95</f>
        <v>SINALIZADOR ELETRÔNICO</v>
      </c>
      <c r="G329" s="47" t="str">
        <f>ORÇAMENTO!E95</f>
        <v>UN</v>
      </c>
      <c r="H329" s="47">
        <f>ORÇAMENTO!F95</f>
        <v>16</v>
      </c>
      <c r="I329" s="47">
        <f>ORÇAMENTO!G95</f>
        <v>2.76</v>
      </c>
      <c r="J329" s="47">
        <f>ORÇAMENTO!H95</f>
        <v>0.2122</v>
      </c>
      <c r="K329" s="47">
        <f>ORÇAMENTO!I95</f>
        <v>3.35</v>
      </c>
      <c r="L329" s="49">
        <f>ORÇAMENTO!J95</f>
        <v>53.6</v>
      </c>
      <c r="N329" s="29" t="str">
        <f t="shared" si="26"/>
        <v>DIFERENTE</v>
      </c>
      <c r="O329" s="29" t="str">
        <f t="shared" si="27"/>
        <v>DIFERENTE</v>
      </c>
      <c r="P329" s="29" t="str">
        <f t="shared" si="28"/>
        <v>DIFERENTE</v>
      </c>
    </row>
    <row r="330" spans="2:16" x14ac:dyDescent="0.35">
      <c r="B330" s="47">
        <f t="shared" si="29"/>
        <v>108</v>
      </c>
      <c r="C330" s="47" t="str">
        <f>ORÇAMENTO!A203</f>
        <v>4.1.2.6.5</v>
      </c>
      <c r="D330" s="47" t="str">
        <f>ORÇAMENTO!B203</f>
        <v xml:space="preserve"> 01.03.16U </v>
      </c>
      <c r="E330" s="47" t="str">
        <f>ORÇAMENTO!C203</f>
        <v>COMPESA</v>
      </c>
      <c r="F330" s="48" t="str">
        <f>ORÇAMENTO!D203</f>
        <v>SINALIZADOR ELETRÔNICO</v>
      </c>
      <c r="G330" s="47" t="str">
        <f>ORÇAMENTO!E203</f>
        <v>UN</v>
      </c>
      <c r="H330" s="47">
        <f>ORÇAMENTO!F203</f>
        <v>9</v>
      </c>
      <c r="I330" s="47">
        <f>ORÇAMENTO!G203</f>
        <v>2.76</v>
      </c>
      <c r="J330" s="47">
        <f>ORÇAMENTO!H203</f>
        <v>0.2122</v>
      </c>
      <c r="K330" s="47">
        <f>ORÇAMENTO!I203</f>
        <v>3.35</v>
      </c>
      <c r="L330" s="108">
        <f>ORÇAMENTO!J203</f>
        <v>30.15</v>
      </c>
      <c r="N330" s="29" t="str">
        <f t="shared" si="26"/>
        <v>OK!</v>
      </c>
      <c r="O330" s="29" t="str">
        <f t="shared" si="27"/>
        <v>OK!</v>
      </c>
      <c r="P330" s="29" t="str">
        <f t="shared" si="28"/>
        <v>OK!</v>
      </c>
    </row>
    <row r="331" spans="2:16" x14ac:dyDescent="0.35">
      <c r="B331" s="47">
        <f t="shared" si="29"/>
        <v>108</v>
      </c>
      <c r="C331" s="47" t="str">
        <f>ORÇAMENTO!A297</f>
        <v>5.1.1.1.6</v>
      </c>
      <c r="D331" s="47" t="str">
        <f>ORÇAMENTO!B297</f>
        <v xml:space="preserve"> 01.03.16U </v>
      </c>
      <c r="E331" s="47" t="str">
        <f>ORÇAMENTO!C297</f>
        <v>COMPESA</v>
      </c>
      <c r="F331" s="48" t="str">
        <f>ORÇAMENTO!D297</f>
        <v>SINALIZADOR ELETRÔNICO</v>
      </c>
      <c r="G331" s="47" t="str">
        <f>ORÇAMENTO!E297</f>
        <v>UN</v>
      </c>
      <c r="H331" s="47">
        <f>ORÇAMENTO!F297</f>
        <v>54</v>
      </c>
      <c r="I331" s="47">
        <f>ORÇAMENTO!G297</f>
        <v>2.76</v>
      </c>
      <c r="J331" s="47">
        <f>ORÇAMENTO!H297</f>
        <v>0.2122</v>
      </c>
      <c r="K331" s="47">
        <f>ORÇAMENTO!I297</f>
        <v>3.35</v>
      </c>
      <c r="L331" s="49">
        <f>ORÇAMENTO!J297</f>
        <v>180.9</v>
      </c>
      <c r="N331" s="29" t="str">
        <f t="shared" si="26"/>
        <v>OK!</v>
      </c>
      <c r="O331" s="29" t="str">
        <f t="shared" si="27"/>
        <v>OK!</v>
      </c>
      <c r="P331" s="29" t="str">
        <f t="shared" si="28"/>
        <v>OK!</v>
      </c>
    </row>
    <row r="332" spans="2:16" x14ac:dyDescent="0.35">
      <c r="B332" s="47">
        <f t="shared" si="29"/>
        <v>108</v>
      </c>
      <c r="C332" s="47" t="str">
        <f>ORÇAMENTO!A413</f>
        <v>5.1.2.7.5</v>
      </c>
      <c r="D332" s="47" t="str">
        <f>ORÇAMENTO!B413</f>
        <v xml:space="preserve"> 01.03.16U </v>
      </c>
      <c r="E332" s="47" t="str">
        <f>ORÇAMENTO!C413</f>
        <v>COMPESA</v>
      </c>
      <c r="F332" s="48" t="str">
        <f>ORÇAMENTO!D413</f>
        <v>SINALIZADOR ELETRÔNICO</v>
      </c>
      <c r="G332" s="47" t="str">
        <f>ORÇAMENTO!E413</f>
        <v>UN</v>
      </c>
      <c r="H332" s="47">
        <f>ORÇAMENTO!F413</f>
        <v>17</v>
      </c>
      <c r="I332" s="47">
        <f>ORÇAMENTO!G413</f>
        <v>2.76</v>
      </c>
      <c r="J332" s="47">
        <f>ORÇAMENTO!H413</f>
        <v>0.2122</v>
      </c>
      <c r="K332" s="47">
        <f>ORÇAMENTO!I413</f>
        <v>3.35</v>
      </c>
      <c r="L332" s="49">
        <f>ORÇAMENTO!J413</f>
        <v>56.95</v>
      </c>
      <c r="N332" s="29" t="str">
        <f t="shared" si="26"/>
        <v>OK!</v>
      </c>
      <c r="O332" s="29" t="str">
        <f t="shared" si="27"/>
        <v>OK!</v>
      </c>
      <c r="P332" s="29" t="str">
        <f t="shared" si="28"/>
        <v>OK!</v>
      </c>
    </row>
    <row r="333" spans="2:16" ht="43.5" x14ac:dyDescent="0.35">
      <c r="B333" s="47">
        <f t="shared" si="29"/>
        <v>109</v>
      </c>
      <c r="C333" s="47" t="str">
        <f>ORÇAMENTO!A525</f>
        <v>5.4.5.2</v>
      </c>
      <c r="D333" s="47" t="str">
        <f>ORÇAMENTO!B525</f>
        <v xml:space="preserve"> 5213865 </v>
      </c>
      <c r="E333" s="47" t="str">
        <f>ORÇAMENTO!C525</f>
        <v>SICRO3</v>
      </c>
      <c r="F333" s="48" t="str">
        <f>ORÇAMENTO!D525</f>
        <v>SUPORTE METÁLICO GALVANIZADO PARA PLACA DE ADVERTÊNCIA OU REGULAMENTAÇÃO - LADO OU DIÂMETRO DE 1,00 M - FORNECIMENTO E IMPLANTAÇÃO</v>
      </c>
      <c r="G333" s="47" t="str">
        <f>ORÇAMENTO!E525</f>
        <v>UN</v>
      </c>
      <c r="H333" s="47">
        <f>ORÇAMENTO!F525</f>
        <v>13</v>
      </c>
      <c r="I333" s="47">
        <f>ORÇAMENTO!G525</f>
        <v>509.43</v>
      </c>
      <c r="J333" s="47">
        <f>ORÇAMENTO!H525</f>
        <v>0.2122</v>
      </c>
      <c r="K333" s="47">
        <f>ORÇAMENTO!I525</f>
        <v>617.53</v>
      </c>
      <c r="L333" s="49">
        <f>ORÇAMENTO!J525</f>
        <v>8027.89</v>
      </c>
      <c r="N333" s="29" t="str">
        <f t="shared" si="26"/>
        <v>DIFERENTE</v>
      </c>
      <c r="O333" s="29" t="str">
        <f t="shared" si="27"/>
        <v>DIFERENTE</v>
      </c>
      <c r="P333" s="29" t="str">
        <f t="shared" si="28"/>
        <v>DIFERENTE</v>
      </c>
    </row>
    <row r="334" spans="2:16" ht="29" x14ac:dyDescent="0.35">
      <c r="B334" s="47">
        <f t="shared" si="29"/>
        <v>110</v>
      </c>
      <c r="C334" s="47" t="str">
        <f>ORÇAMENTO!A94</f>
        <v>4.1.1.1.5</v>
      </c>
      <c r="D334" s="47" t="str">
        <f>ORÇAMENTO!B94</f>
        <v xml:space="preserve"> 01.03.12U </v>
      </c>
      <c r="E334" s="47" t="str">
        <f>ORÇAMENTO!C94</f>
        <v>COMPESA</v>
      </c>
      <c r="F334" s="48" t="str">
        <f>ORÇAMENTO!D94</f>
        <v>TELA TAPUME, COR LARANJA, COM SUPORTE A CADA 2M (FORNECIMENTO E INSTALAÇÃO)</v>
      </c>
      <c r="G334" s="47" t="str">
        <f>ORÇAMENTO!E94</f>
        <v>M</v>
      </c>
      <c r="H334" s="47">
        <f>ORÇAMENTO!F94</f>
        <v>1504.3271103035504</v>
      </c>
      <c r="I334" s="47">
        <f>ORÇAMENTO!G94</f>
        <v>3.25</v>
      </c>
      <c r="J334" s="47">
        <f>ORÇAMENTO!H94</f>
        <v>0.2122</v>
      </c>
      <c r="K334" s="47">
        <f>ORÇAMENTO!I94</f>
        <v>3.94</v>
      </c>
      <c r="L334" s="49">
        <f>ORÇAMENTO!J94</f>
        <v>5927.04</v>
      </c>
      <c r="N334" s="29" t="str">
        <f t="shared" si="26"/>
        <v>DIFERENTE</v>
      </c>
      <c r="O334" s="29" t="str">
        <f t="shared" si="27"/>
        <v>DIFERENTE</v>
      </c>
      <c r="P334" s="29" t="str">
        <f t="shared" si="28"/>
        <v>DIFERENTE</v>
      </c>
    </row>
    <row r="335" spans="2:16" ht="29" x14ac:dyDescent="0.35">
      <c r="B335" s="47">
        <f t="shared" si="29"/>
        <v>110</v>
      </c>
      <c r="C335" s="47" t="str">
        <f>ORÇAMENTO!A201</f>
        <v>4.1.2.6.3</v>
      </c>
      <c r="D335" s="47" t="str">
        <f>ORÇAMENTO!B201</f>
        <v xml:space="preserve"> 01.03.12U </v>
      </c>
      <c r="E335" s="47" t="str">
        <f>ORÇAMENTO!C201</f>
        <v>COMPESA</v>
      </c>
      <c r="F335" s="48" t="str">
        <f>ORÇAMENTO!D201</f>
        <v>TELA TAPUME, COR LARANJA, COM SUPORTE A CADA 2M (FORNECIMENTO E INSTALAÇÃO)</v>
      </c>
      <c r="G335" s="47" t="str">
        <f>ORÇAMENTO!E201</f>
        <v>M</v>
      </c>
      <c r="H335" s="47">
        <f>ORÇAMENTO!F201</f>
        <v>863.86</v>
      </c>
      <c r="I335" s="47">
        <f>ORÇAMENTO!G201</f>
        <v>3.25</v>
      </c>
      <c r="J335" s="47">
        <f>ORÇAMENTO!H201</f>
        <v>0.2122</v>
      </c>
      <c r="K335" s="47">
        <f>ORÇAMENTO!I201</f>
        <v>3.94</v>
      </c>
      <c r="L335" s="49">
        <f>ORÇAMENTO!J201</f>
        <v>3403.6</v>
      </c>
      <c r="N335" s="29" t="str">
        <f t="shared" si="26"/>
        <v>OK!</v>
      </c>
      <c r="O335" s="29" t="str">
        <f t="shared" si="27"/>
        <v>OK!</v>
      </c>
      <c r="P335" s="29" t="str">
        <f t="shared" si="28"/>
        <v>OK!</v>
      </c>
    </row>
    <row r="336" spans="2:16" ht="29" x14ac:dyDescent="0.35">
      <c r="B336" s="47">
        <f t="shared" si="29"/>
        <v>110</v>
      </c>
      <c r="C336" s="47" t="str">
        <f>ORÇAMENTO!A267</f>
        <v>4.3.1</v>
      </c>
      <c r="D336" s="47" t="str">
        <f>ORÇAMENTO!B267</f>
        <v xml:space="preserve"> 01.03.12U </v>
      </c>
      <c r="E336" s="47" t="str">
        <f>ORÇAMENTO!C267</f>
        <v>COMPESA</v>
      </c>
      <c r="F336" s="48" t="str">
        <f>ORÇAMENTO!D267</f>
        <v>TELA TAPUME, COR LARANJA, COM SUPORTE A CADA 2M (FORNECIMENTO E INSTALAÇÃO)</v>
      </c>
      <c r="G336" s="47" t="str">
        <f>ORÇAMENTO!E267</f>
        <v>M</v>
      </c>
      <c r="H336" s="47">
        <f>ORÇAMENTO!F267</f>
        <v>295.2</v>
      </c>
      <c r="I336" s="47">
        <f>ORÇAMENTO!G267</f>
        <v>3.25</v>
      </c>
      <c r="J336" s="47">
        <f>ORÇAMENTO!H267</f>
        <v>0.2122</v>
      </c>
      <c r="K336" s="47">
        <f>ORÇAMENTO!I267</f>
        <v>3.94</v>
      </c>
      <c r="L336" s="49">
        <f>ORÇAMENTO!J267</f>
        <v>1163.08</v>
      </c>
      <c r="N336" s="29" t="str">
        <f t="shared" si="26"/>
        <v>OK!</v>
      </c>
      <c r="O336" s="29" t="str">
        <f t="shared" si="27"/>
        <v>OK!</v>
      </c>
      <c r="P336" s="29" t="str">
        <f t="shared" si="28"/>
        <v>OK!</v>
      </c>
    </row>
    <row r="337" spans="2:16" ht="29" x14ac:dyDescent="0.35">
      <c r="B337" s="47">
        <f t="shared" si="29"/>
        <v>110</v>
      </c>
      <c r="C337" s="47" t="str">
        <f>ORÇAMENTO!A296</f>
        <v>5.1.1.1.5</v>
      </c>
      <c r="D337" s="47" t="str">
        <f>ORÇAMENTO!B296</f>
        <v xml:space="preserve"> 01.03.12U </v>
      </c>
      <c r="E337" s="47" t="str">
        <f>ORÇAMENTO!C296</f>
        <v>COMPESA</v>
      </c>
      <c r="F337" s="48" t="str">
        <f>ORÇAMENTO!D296</f>
        <v>TELA TAPUME, COR LARANJA, COM SUPORTE A CADA 2M (FORNECIMENTO E INSTALAÇÃO)</v>
      </c>
      <c r="G337" s="47" t="str">
        <f>ORÇAMENTO!E296</f>
        <v>M</v>
      </c>
      <c r="H337" s="47">
        <f>ORÇAMENTO!F296</f>
        <v>5312.5199999999995</v>
      </c>
      <c r="I337" s="47">
        <f>ORÇAMENTO!G296</f>
        <v>3.25</v>
      </c>
      <c r="J337" s="47">
        <f>ORÇAMENTO!H296</f>
        <v>0.2122</v>
      </c>
      <c r="K337" s="47">
        <f>ORÇAMENTO!I296</f>
        <v>3.94</v>
      </c>
      <c r="L337" s="49">
        <f>ORÇAMENTO!J296</f>
        <v>20931.32</v>
      </c>
      <c r="N337" s="29" t="str">
        <f t="shared" si="26"/>
        <v>OK!</v>
      </c>
      <c r="O337" s="29" t="str">
        <f t="shared" si="27"/>
        <v>OK!</v>
      </c>
      <c r="P337" s="29" t="str">
        <f t="shared" si="28"/>
        <v>OK!</v>
      </c>
    </row>
    <row r="338" spans="2:16" ht="29" x14ac:dyDescent="0.35">
      <c r="B338" s="47">
        <f t="shared" si="29"/>
        <v>110</v>
      </c>
      <c r="C338" s="47" t="str">
        <f>ORÇAMENTO!A411</f>
        <v>5.1.2.7.3</v>
      </c>
      <c r="D338" s="47" t="str">
        <f>ORÇAMENTO!B411</f>
        <v xml:space="preserve"> 01.03.12U </v>
      </c>
      <c r="E338" s="47" t="str">
        <f>ORÇAMENTO!C411</f>
        <v>COMPESA</v>
      </c>
      <c r="F338" s="48" t="str">
        <f>ORÇAMENTO!D411</f>
        <v>TELA TAPUME, COR LARANJA, COM SUPORTE A CADA 2M (FORNECIMENTO E INSTALAÇÃO)</v>
      </c>
      <c r="G338" s="47" t="str">
        <f>ORÇAMENTO!E411</f>
        <v>M</v>
      </c>
      <c r="H338" s="47">
        <f>ORÇAMENTO!F411</f>
        <v>1662.26</v>
      </c>
      <c r="I338" s="47">
        <f>ORÇAMENTO!G411</f>
        <v>3.25</v>
      </c>
      <c r="J338" s="47">
        <f>ORÇAMENTO!H411</f>
        <v>0.2122</v>
      </c>
      <c r="K338" s="47">
        <f>ORÇAMENTO!I411</f>
        <v>3.94</v>
      </c>
      <c r="L338" s="49">
        <f>ORÇAMENTO!J411</f>
        <v>6549.3</v>
      </c>
      <c r="N338" s="29" t="str">
        <f t="shared" si="26"/>
        <v>OK!</v>
      </c>
      <c r="O338" s="29" t="str">
        <f t="shared" si="27"/>
        <v>OK!</v>
      </c>
      <c r="P338" s="29" t="str">
        <f t="shared" si="28"/>
        <v>OK!</v>
      </c>
    </row>
    <row r="339" spans="2:16" ht="29" x14ac:dyDescent="0.35">
      <c r="B339" s="47">
        <f t="shared" si="29"/>
        <v>110</v>
      </c>
      <c r="C339" s="47" t="str">
        <f>ORÇAMENTO!A528</f>
        <v>5.5.1</v>
      </c>
      <c r="D339" s="47" t="str">
        <f>ORÇAMENTO!B528</f>
        <v xml:space="preserve"> 01.03.12U </v>
      </c>
      <c r="E339" s="47" t="str">
        <f>ORÇAMENTO!C528</f>
        <v>COMPESA</v>
      </c>
      <c r="F339" s="48" t="str">
        <f>ORÇAMENTO!D528</f>
        <v>TELA TAPUME, COR LARANJA, COM SUPORTE A CADA 2M (FORNECIMENTO E INSTALAÇÃO)</v>
      </c>
      <c r="G339" s="47" t="str">
        <f>ORÇAMENTO!E528</f>
        <v>M</v>
      </c>
      <c r="H339" s="47">
        <f>ORÇAMENTO!F528</f>
        <v>475.19999999999993</v>
      </c>
      <c r="I339" s="47">
        <f>ORÇAMENTO!G528</f>
        <v>3.25</v>
      </c>
      <c r="J339" s="47">
        <f>ORÇAMENTO!H528</f>
        <v>0.2122</v>
      </c>
      <c r="K339" s="47">
        <f>ORÇAMENTO!I528</f>
        <v>3.94</v>
      </c>
      <c r="L339" s="49">
        <f>ORÇAMENTO!J528</f>
        <v>1872.28</v>
      </c>
      <c r="N339" s="29" t="str">
        <f t="shared" si="26"/>
        <v>OK!</v>
      </c>
      <c r="O339" s="29" t="str">
        <f t="shared" si="27"/>
        <v>OK!</v>
      </c>
      <c r="P339" s="29" t="str">
        <f t="shared" si="28"/>
        <v>OK!</v>
      </c>
    </row>
    <row r="340" spans="2:16" ht="43.5" x14ac:dyDescent="0.35">
      <c r="B340" s="47">
        <f t="shared" si="29"/>
        <v>111</v>
      </c>
      <c r="C340" s="47" t="str">
        <f>ORÇAMENTO!A105</f>
        <v>4.1.1.2.4</v>
      </c>
      <c r="D340" s="47" t="str">
        <f>ORÇAMENTO!B105</f>
        <v xml:space="preserve"> 93593 </v>
      </c>
      <c r="E340" s="47" t="str">
        <f>ORÇAMENTO!C105</f>
        <v>SINAPI</v>
      </c>
      <c r="F340" s="48" t="str">
        <f>ORÇAMENTO!D105</f>
        <v>TRANSPORTE COM CAMINHÃO BASCULANTE DE 14 M³, EM VIA URBANA PAVIMENTADA, ADICIONAL PARA DMT EXCEDENTE A 30 KM (UNIDADE: M3XKM). AF_07/2020</v>
      </c>
      <c r="G340" s="47" t="str">
        <f>ORÇAMENTO!E105</f>
        <v>M3XKM</v>
      </c>
      <c r="H340" s="47">
        <f>ORÇAMENTO!F105</f>
        <v>2805.2321005259296</v>
      </c>
      <c r="I340" s="47">
        <f>ORÇAMENTO!G105</f>
        <v>0.85</v>
      </c>
      <c r="J340" s="47">
        <f>ORÇAMENTO!H105</f>
        <v>0.2122</v>
      </c>
      <c r="K340" s="47">
        <f>ORÇAMENTO!I105</f>
        <v>1.03</v>
      </c>
      <c r="L340" s="49">
        <f>ORÇAMENTO!J105</f>
        <v>2889.38</v>
      </c>
      <c r="N340" s="29" t="str">
        <f t="shared" si="26"/>
        <v>DIFERENTE</v>
      </c>
      <c r="O340" s="29" t="str">
        <f t="shared" si="27"/>
        <v>DIFERENTE</v>
      </c>
      <c r="P340" s="29" t="str">
        <f t="shared" si="28"/>
        <v>DIFERENTE</v>
      </c>
    </row>
    <row r="341" spans="2:16" ht="43.5" x14ac:dyDescent="0.35">
      <c r="B341" s="47">
        <f t="shared" si="29"/>
        <v>111</v>
      </c>
      <c r="C341" s="47" t="str">
        <f>ORÇAMENTO!A110</f>
        <v>4.1.1.3.4</v>
      </c>
      <c r="D341" s="47" t="str">
        <f>ORÇAMENTO!B110</f>
        <v xml:space="preserve"> 93593 </v>
      </c>
      <c r="E341" s="47" t="str">
        <f>ORÇAMENTO!C110</f>
        <v>SINAPI</v>
      </c>
      <c r="F341" s="48" t="str">
        <f>ORÇAMENTO!D110</f>
        <v>TRANSPORTE COM CAMINHÃO BASCULANTE DE 14 M³, EM VIA URBANA PAVIMENTADA, ADICIONAL PARA DMT EXCEDENTE A 30 KM (UNIDADE: M3XKM). AF_07/2020</v>
      </c>
      <c r="G341" s="47" t="str">
        <f>ORÇAMENTO!E110</f>
        <v>M3XKM</v>
      </c>
      <c r="H341" s="47">
        <f>ORÇAMENTO!F110</f>
        <v>1406.5001145710955</v>
      </c>
      <c r="I341" s="47">
        <f>ORÇAMENTO!G110</f>
        <v>0.85</v>
      </c>
      <c r="J341" s="47">
        <f>ORÇAMENTO!H110</f>
        <v>0.2122</v>
      </c>
      <c r="K341" s="47">
        <f>ORÇAMENTO!I110</f>
        <v>1.03</v>
      </c>
      <c r="L341" s="49">
        <f>ORÇAMENTO!J110</f>
        <v>1448.69</v>
      </c>
      <c r="N341" s="29" t="str">
        <f t="shared" ref="N341:N407" si="30">IF(F341=F340,IF(G341=G340,"OK!","ERRADO"),"DIFERENTE")</f>
        <v>OK!</v>
      </c>
      <c r="O341" s="29" t="str">
        <f t="shared" ref="O341:O407" si="31">IF(F341=F340,IF(I341=I340,"OK!","ERRADO"),"DIFERENTE")</f>
        <v>OK!</v>
      </c>
      <c r="P341" s="29" t="str">
        <f t="shared" ref="P341:P407" si="32">IF(F341=F340,IF(D341=D340,"OK!","ERRADO"),"DIFERENTE")</f>
        <v>OK!</v>
      </c>
    </row>
    <row r="342" spans="2:16" ht="43.5" x14ac:dyDescent="0.35">
      <c r="B342" s="47">
        <f t="shared" si="29"/>
        <v>111</v>
      </c>
      <c r="C342" s="47" t="str">
        <f>ORÇAMENTO!A115</f>
        <v>4.1.1.4.4</v>
      </c>
      <c r="D342" s="47" t="str">
        <f>ORÇAMENTO!B115</f>
        <v xml:space="preserve"> 93593 </v>
      </c>
      <c r="E342" s="47" t="str">
        <f>ORÇAMENTO!C115</f>
        <v>SINAPI</v>
      </c>
      <c r="F342" s="48" t="str">
        <f>ORÇAMENTO!D115</f>
        <v>TRANSPORTE COM CAMINHÃO BASCULANTE DE 14 M³, EM VIA URBANA PAVIMENTADA, ADICIONAL PARA DMT EXCEDENTE A 30 KM (UNIDADE: M3XKM). AF_07/2020</v>
      </c>
      <c r="G342" s="47" t="str">
        <f>ORÇAMENTO!E115</f>
        <v>M3XKM</v>
      </c>
      <c r="H342" s="47">
        <f>ORÇAMENTO!F115</f>
        <v>10409.510901481488</v>
      </c>
      <c r="I342" s="47">
        <f>ORÇAMENTO!G115</f>
        <v>0.85</v>
      </c>
      <c r="J342" s="47">
        <f>ORÇAMENTO!H115</f>
        <v>0.2122</v>
      </c>
      <c r="K342" s="47">
        <f>ORÇAMENTO!I115</f>
        <v>1.03</v>
      </c>
      <c r="L342" s="49">
        <f>ORÇAMENTO!J115</f>
        <v>10721.79</v>
      </c>
      <c r="N342" s="29" t="str">
        <f t="shared" si="30"/>
        <v>OK!</v>
      </c>
      <c r="O342" s="29" t="str">
        <f t="shared" si="31"/>
        <v>OK!</v>
      </c>
      <c r="P342" s="29" t="str">
        <f t="shared" si="32"/>
        <v>OK!</v>
      </c>
    </row>
    <row r="343" spans="2:16" ht="43.5" x14ac:dyDescent="0.35">
      <c r="B343" s="47">
        <f t="shared" si="29"/>
        <v>111</v>
      </c>
      <c r="C343" s="47" t="str">
        <f>ORÇAMENTO!A123</f>
        <v>4.1.1.5.7</v>
      </c>
      <c r="D343" s="47" t="str">
        <f>ORÇAMENTO!B123</f>
        <v xml:space="preserve"> 93593 </v>
      </c>
      <c r="E343" s="47" t="str">
        <f>ORÇAMENTO!C123</f>
        <v>SINAPI</v>
      </c>
      <c r="F343" s="48" t="str">
        <f>ORÇAMENTO!D123</f>
        <v>TRANSPORTE COM CAMINHÃO BASCULANTE DE 14 M³, EM VIA URBANA PAVIMENTADA, ADICIONAL PARA DMT EXCEDENTE A 30 KM (UNIDADE: M3XKM). AF_07/2020</v>
      </c>
      <c r="G343" s="47" t="str">
        <f>ORÇAMENTO!E123</f>
        <v>M3XKM</v>
      </c>
      <c r="H343" s="47">
        <f>ORÇAMENTO!F123</f>
        <v>1232.5307903999999</v>
      </c>
      <c r="I343" s="47">
        <f>ORÇAMENTO!G123</f>
        <v>0.85</v>
      </c>
      <c r="J343" s="47">
        <f>ORÇAMENTO!H123</f>
        <v>0.2122</v>
      </c>
      <c r="K343" s="47">
        <f>ORÇAMENTO!I123</f>
        <v>1.03</v>
      </c>
      <c r="L343" s="49">
        <f>ORÇAMENTO!J123</f>
        <v>1269.5</v>
      </c>
      <c r="N343" s="29" t="str">
        <f t="shared" si="30"/>
        <v>OK!</v>
      </c>
      <c r="O343" s="29" t="str">
        <f t="shared" si="31"/>
        <v>OK!</v>
      </c>
      <c r="P343" s="29" t="str">
        <f t="shared" si="32"/>
        <v>OK!</v>
      </c>
    </row>
    <row r="344" spans="2:16" ht="43.5" x14ac:dyDescent="0.35">
      <c r="B344" s="47">
        <f t="shared" si="29"/>
        <v>111</v>
      </c>
      <c r="C344" s="47" t="str">
        <f>ORÇAMENTO!A129</f>
        <v>4.1.1.6.5</v>
      </c>
      <c r="D344" s="47" t="str">
        <f>ORÇAMENTO!B129</f>
        <v xml:space="preserve"> 93593 </v>
      </c>
      <c r="E344" s="47" t="str">
        <f>ORÇAMENTO!C129</f>
        <v>SINAPI</v>
      </c>
      <c r="F344" s="48" t="str">
        <f>ORÇAMENTO!D129</f>
        <v>TRANSPORTE COM CAMINHÃO BASCULANTE DE 14 M³, EM VIA URBANA PAVIMENTADA, ADICIONAL PARA DMT EXCEDENTE A 30 KM (UNIDADE: M3XKM). AF_07/2020</v>
      </c>
      <c r="G344" s="47" t="str">
        <f>ORÇAMENTO!E129</f>
        <v>M3XKM</v>
      </c>
      <c r="H344" s="47">
        <f>ORÇAMENTO!F129</f>
        <v>0</v>
      </c>
      <c r="I344" s="47">
        <f>ORÇAMENTO!G129</f>
        <v>0.85</v>
      </c>
      <c r="J344" s="47">
        <f>ORÇAMENTO!H129</f>
        <v>0.2122</v>
      </c>
      <c r="K344" s="47">
        <f>ORÇAMENTO!I129</f>
        <v>1.03</v>
      </c>
      <c r="L344" s="107">
        <f>ORÇAMENTO!J129</f>
        <v>0</v>
      </c>
      <c r="N344" s="29" t="str">
        <f t="shared" si="30"/>
        <v>OK!</v>
      </c>
      <c r="O344" s="29" t="str">
        <f t="shared" si="31"/>
        <v>OK!</v>
      </c>
      <c r="P344" s="29" t="str">
        <f t="shared" si="32"/>
        <v>OK!</v>
      </c>
    </row>
    <row r="345" spans="2:16" ht="43.5" x14ac:dyDescent="0.35">
      <c r="B345" s="47">
        <f t="shared" si="29"/>
        <v>111</v>
      </c>
      <c r="C345" s="47" t="str">
        <f>ORÇAMENTO!A134</f>
        <v>4.1.1.7.4</v>
      </c>
      <c r="D345" s="47" t="str">
        <f>ORÇAMENTO!B134</f>
        <v xml:space="preserve"> 93593 </v>
      </c>
      <c r="E345" s="47" t="str">
        <f>ORÇAMENTO!C134</f>
        <v>SINAPI</v>
      </c>
      <c r="F345" s="48" t="str">
        <f>ORÇAMENTO!D134</f>
        <v>TRANSPORTE COM CAMINHÃO BASCULANTE DE 14 M³, EM VIA URBANA PAVIMENTADA, ADICIONAL PARA DMT EXCEDENTE A 30 KM (UNIDADE: M3XKM). AF_07/2020</v>
      </c>
      <c r="G345" s="47" t="str">
        <f>ORÇAMENTO!E134</f>
        <v>M3XKM</v>
      </c>
      <c r="H345" s="47">
        <f>ORÇAMENTO!F134</f>
        <v>37.339492475384048</v>
      </c>
      <c r="I345" s="47">
        <f>ORÇAMENTO!G134</f>
        <v>0.85</v>
      </c>
      <c r="J345" s="47">
        <f>ORÇAMENTO!H134</f>
        <v>0.2122</v>
      </c>
      <c r="K345" s="47">
        <f>ORÇAMENTO!I134</f>
        <v>1.03</v>
      </c>
      <c r="L345" s="49">
        <f>ORÇAMENTO!J134</f>
        <v>38.450000000000003</v>
      </c>
      <c r="N345" s="29" t="str">
        <f t="shared" si="30"/>
        <v>OK!</v>
      </c>
      <c r="O345" s="29" t="str">
        <f t="shared" si="31"/>
        <v>OK!</v>
      </c>
      <c r="P345" s="29" t="str">
        <f t="shared" si="32"/>
        <v>OK!</v>
      </c>
    </row>
    <row r="346" spans="2:16" ht="43.5" x14ac:dyDescent="0.35">
      <c r="B346" s="47">
        <f t="shared" si="29"/>
        <v>111</v>
      </c>
      <c r="C346" s="47" t="str">
        <f>ORÇAMENTO!A152</f>
        <v>4.1.2.1.13</v>
      </c>
      <c r="D346" s="47" t="str">
        <f>ORÇAMENTO!B152</f>
        <v xml:space="preserve"> 93593 </v>
      </c>
      <c r="E346" s="47" t="str">
        <f>ORÇAMENTO!C152</f>
        <v>SINAPI</v>
      </c>
      <c r="F346" s="48" t="str">
        <f>ORÇAMENTO!D152</f>
        <v>TRANSPORTE COM CAMINHÃO BASCULANTE DE 14 M³, EM VIA URBANA PAVIMENTADA, ADICIONAL PARA DMT EXCEDENTE A 30 KM (UNIDADE: M3XKM). AF_07/2020</v>
      </c>
      <c r="G346" s="47" t="str">
        <f>ORÇAMENTO!E152</f>
        <v>M3XKM</v>
      </c>
      <c r="H346" s="47">
        <f>ORÇAMENTO!F152</f>
        <v>10976.006976639288</v>
      </c>
      <c r="I346" s="47">
        <f>ORÇAMENTO!G152</f>
        <v>0.85</v>
      </c>
      <c r="J346" s="47">
        <f>ORÇAMENTO!H152</f>
        <v>0.2122</v>
      </c>
      <c r="K346" s="47">
        <f>ORÇAMENTO!I152</f>
        <v>1.03</v>
      </c>
      <c r="L346" s="49">
        <f>ORÇAMENTO!J152</f>
        <v>11305.28</v>
      </c>
      <c r="N346" s="29" t="str">
        <f t="shared" si="30"/>
        <v>OK!</v>
      </c>
      <c r="O346" s="29" t="str">
        <f t="shared" si="31"/>
        <v>OK!</v>
      </c>
      <c r="P346" s="29" t="str">
        <f t="shared" si="32"/>
        <v>OK!</v>
      </c>
    </row>
    <row r="347" spans="2:16" ht="43.5" x14ac:dyDescent="0.35">
      <c r="B347" s="47">
        <f t="shared" si="29"/>
        <v>111</v>
      </c>
      <c r="C347" s="47" t="str">
        <f>ORÇAMENTO!A236</f>
        <v>4.1.2.6.38</v>
      </c>
      <c r="D347" s="47" t="str">
        <f>ORÇAMENTO!B236</f>
        <v xml:space="preserve"> 93593 </v>
      </c>
      <c r="E347" s="47" t="str">
        <f>ORÇAMENTO!C236</f>
        <v>SINAPI</v>
      </c>
      <c r="F347" s="48" t="str">
        <f>ORÇAMENTO!D236</f>
        <v>TRANSPORTE COM CAMINHÃO BASCULANTE DE 14 M³, EM VIA URBANA PAVIMENTADA, ADICIONAL PARA DMT EXCEDENTE A 30 KM (UNIDADE: M3XKM). AF_07/2020</v>
      </c>
      <c r="G347" s="47" t="str">
        <f>ORÇAMENTO!E236</f>
        <v>M3XKM</v>
      </c>
      <c r="H347" s="47">
        <f>ORÇAMENTO!F236</f>
        <v>8863.3034371039994</v>
      </c>
      <c r="I347" s="47">
        <f>ORÇAMENTO!G236</f>
        <v>0.85</v>
      </c>
      <c r="J347" s="47">
        <f>ORÇAMENTO!H236</f>
        <v>0.2122</v>
      </c>
      <c r="K347" s="47">
        <f>ORÇAMENTO!I236</f>
        <v>1.03</v>
      </c>
      <c r="L347" s="49">
        <f>ORÇAMENTO!J236</f>
        <v>9129.2000000000007</v>
      </c>
      <c r="N347" s="29" t="str">
        <f t="shared" si="30"/>
        <v>OK!</v>
      </c>
      <c r="O347" s="29" t="str">
        <f t="shared" si="31"/>
        <v>OK!</v>
      </c>
      <c r="P347" s="29" t="str">
        <f t="shared" si="32"/>
        <v>OK!</v>
      </c>
    </row>
    <row r="348" spans="2:16" ht="43.5" x14ac:dyDescent="0.35">
      <c r="B348" s="47">
        <f t="shared" si="29"/>
        <v>111</v>
      </c>
      <c r="C348" s="47" t="str">
        <f>ORÇAMENTO!A282</f>
        <v>4.3.16</v>
      </c>
      <c r="D348" s="47" t="str">
        <f>ORÇAMENTO!B282</f>
        <v xml:space="preserve"> 93593 </v>
      </c>
      <c r="E348" s="47" t="str">
        <f>ORÇAMENTO!C282</f>
        <v>SINAPI</v>
      </c>
      <c r="F348" s="48" t="str">
        <f>ORÇAMENTO!D282</f>
        <v>TRANSPORTE COM CAMINHÃO BASCULANTE DE 14 M³, EM VIA URBANA PAVIMENTADA, ADICIONAL PARA DMT EXCEDENTE A 30 KM (UNIDADE: M3XKM). AF_07/2020</v>
      </c>
      <c r="G348" s="47" t="str">
        <f>ORÇAMENTO!E282</f>
        <v>M3XKM</v>
      </c>
      <c r="H348" s="47">
        <f>ORÇAMENTO!F282</f>
        <v>441.1054509395816</v>
      </c>
      <c r="I348" s="47">
        <f>ORÇAMENTO!G282</f>
        <v>0.85</v>
      </c>
      <c r="J348" s="47">
        <f>ORÇAMENTO!H282</f>
        <v>0.2122</v>
      </c>
      <c r="K348" s="47">
        <f>ORÇAMENTO!I282</f>
        <v>1.03</v>
      </c>
      <c r="L348" s="49">
        <f>ORÇAMENTO!J282</f>
        <v>454.33</v>
      </c>
      <c r="N348" s="29" t="str">
        <f t="shared" si="30"/>
        <v>OK!</v>
      </c>
      <c r="O348" s="29" t="str">
        <f t="shared" si="31"/>
        <v>OK!</v>
      </c>
      <c r="P348" s="29" t="str">
        <f t="shared" si="32"/>
        <v>OK!</v>
      </c>
    </row>
    <row r="349" spans="2:16" ht="43.5" x14ac:dyDescent="0.35">
      <c r="B349" s="47">
        <f t="shared" si="29"/>
        <v>111</v>
      </c>
      <c r="C349" s="47" t="str">
        <f>ORÇAMENTO!A307</f>
        <v>5.1.1.2.4</v>
      </c>
      <c r="D349" s="47" t="str">
        <f>ORÇAMENTO!B307</f>
        <v xml:space="preserve"> 93593 </v>
      </c>
      <c r="E349" s="47" t="str">
        <f>ORÇAMENTO!C307</f>
        <v>SINAPI</v>
      </c>
      <c r="F349" s="48" t="str">
        <f>ORÇAMENTO!D307</f>
        <v>TRANSPORTE COM CAMINHÃO BASCULANTE DE 14 M³, EM VIA URBANA PAVIMENTADA, ADICIONAL PARA DMT EXCEDENTE A 30 KM (UNIDADE: M3XKM). AF_07/2020</v>
      </c>
      <c r="G349" s="47" t="str">
        <f>ORÇAMENTO!E307</f>
        <v>M3XKM</v>
      </c>
      <c r="H349" s="47">
        <f>ORÇAMENTO!F307</f>
        <v>4810.5227519999989</v>
      </c>
      <c r="I349" s="47">
        <f>ORÇAMENTO!G307</f>
        <v>0.85</v>
      </c>
      <c r="J349" s="47">
        <f>ORÇAMENTO!H307</f>
        <v>0.2122</v>
      </c>
      <c r="K349" s="47">
        <f>ORÇAMENTO!I307</f>
        <v>1.03</v>
      </c>
      <c r="L349" s="49">
        <f>ORÇAMENTO!J307</f>
        <v>4954.83</v>
      </c>
      <c r="N349" s="29" t="str">
        <f t="shared" si="30"/>
        <v>OK!</v>
      </c>
      <c r="O349" s="29" t="str">
        <f t="shared" si="31"/>
        <v>OK!</v>
      </c>
      <c r="P349" s="29" t="str">
        <f t="shared" si="32"/>
        <v>OK!</v>
      </c>
    </row>
    <row r="350" spans="2:16" ht="43.5" x14ac:dyDescent="0.35">
      <c r="B350" s="47">
        <f t="shared" si="29"/>
        <v>111</v>
      </c>
      <c r="C350" s="47" t="str">
        <f>ORÇAMENTO!A312</f>
        <v>5.1.1.3.4</v>
      </c>
      <c r="D350" s="47" t="str">
        <f>ORÇAMENTO!B312</f>
        <v xml:space="preserve"> 93593 </v>
      </c>
      <c r="E350" s="47" t="str">
        <f>ORÇAMENTO!C312</f>
        <v>SINAPI</v>
      </c>
      <c r="F350" s="48" t="str">
        <f>ORÇAMENTO!D312</f>
        <v>TRANSPORTE COM CAMINHÃO BASCULANTE DE 14 M³, EM VIA URBANA PAVIMENTADA, ADICIONAL PARA DMT EXCEDENTE A 30 KM (UNIDADE: M3XKM). AF_07/2020</v>
      </c>
      <c r="G350" s="47" t="str">
        <f>ORÇAMENTO!E312</f>
        <v>M3XKM</v>
      </c>
      <c r="H350" s="47">
        <f>ORÇAMENTO!F312</f>
        <v>4311.2969037511693</v>
      </c>
      <c r="I350" s="47">
        <f>ORÇAMENTO!G312</f>
        <v>0.85</v>
      </c>
      <c r="J350" s="47">
        <f>ORÇAMENTO!H312</f>
        <v>0.2122</v>
      </c>
      <c r="K350" s="47">
        <f>ORÇAMENTO!I312</f>
        <v>1.03</v>
      </c>
      <c r="L350" s="49">
        <f>ORÇAMENTO!J312</f>
        <v>4440.63</v>
      </c>
      <c r="N350" s="29" t="str">
        <f t="shared" si="30"/>
        <v>OK!</v>
      </c>
      <c r="O350" s="29" t="str">
        <f t="shared" si="31"/>
        <v>OK!</v>
      </c>
      <c r="P350" s="29" t="str">
        <f t="shared" si="32"/>
        <v>OK!</v>
      </c>
    </row>
    <row r="351" spans="2:16" ht="43.5" x14ac:dyDescent="0.35">
      <c r="B351" s="47">
        <f t="shared" si="29"/>
        <v>111</v>
      </c>
      <c r="C351" s="47" t="str">
        <f>ORÇAMENTO!A317</f>
        <v>5.1.1.4.4</v>
      </c>
      <c r="D351" s="47" t="str">
        <f>ORÇAMENTO!B317</f>
        <v xml:space="preserve"> 93593 </v>
      </c>
      <c r="E351" s="47" t="str">
        <f>ORÇAMENTO!C317</f>
        <v>SINAPI</v>
      </c>
      <c r="F351" s="48" t="str">
        <f>ORÇAMENTO!D317</f>
        <v>TRANSPORTE COM CAMINHÃO BASCULANTE DE 14 M³, EM VIA URBANA PAVIMENTADA, ADICIONAL PARA DMT EXCEDENTE A 30 KM (UNIDADE: M3XKM). AF_07/2020</v>
      </c>
      <c r="G351" s="47" t="str">
        <f>ORÇAMENTO!E317</f>
        <v>M3XKM</v>
      </c>
      <c r="H351" s="47">
        <f>ORÇAMENTO!F317</f>
        <v>25288.04003577914</v>
      </c>
      <c r="I351" s="47">
        <f>ORÇAMENTO!G317</f>
        <v>0.85</v>
      </c>
      <c r="J351" s="47">
        <f>ORÇAMENTO!H317</f>
        <v>0.2122</v>
      </c>
      <c r="K351" s="47">
        <f>ORÇAMENTO!I317</f>
        <v>1.03</v>
      </c>
      <c r="L351" s="49">
        <f>ORÇAMENTO!J317</f>
        <v>26046.68</v>
      </c>
      <c r="N351" s="29" t="str">
        <f t="shared" si="30"/>
        <v>OK!</v>
      </c>
      <c r="O351" s="29" t="str">
        <f t="shared" si="31"/>
        <v>OK!</v>
      </c>
      <c r="P351" s="29" t="str">
        <f t="shared" si="32"/>
        <v>OK!</v>
      </c>
    </row>
    <row r="352" spans="2:16" ht="43.5" x14ac:dyDescent="0.35">
      <c r="B352" s="47">
        <f t="shared" si="29"/>
        <v>111</v>
      </c>
      <c r="C352" s="47" t="str">
        <f>ORÇAMENTO!A325</f>
        <v>5.1.1.5.7</v>
      </c>
      <c r="D352" s="47" t="str">
        <f>ORÇAMENTO!B325</f>
        <v xml:space="preserve"> 93593 </v>
      </c>
      <c r="E352" s="47" t="str">
        <f>ORÇAMENTO!C325</f>
        <v>SINAPI</v>
      </c>
      <c r="F352" s="48" t="str">
        <f>ORÇAMENTO!D325</f>
        <v>TRANSPORTE COM CAMINHÃO BASCULANTE DE 14 M³, EM VIA URBANA PAVIMENTADA, ADICIONAL PARA DMT EXCEDENTE A 30 KM (UNIDADE: M3XKM). AF_07/2020</v>
      </c>
      <c r="G352" s="47" t="str">
        <f>ORÇAMENTO!E325</f>
        <v>M3XKM</v>
      </c>
      <c r="H352" s="47">
        <f>ORÇAMENTO!F325</f>
        <v>2827.6684799999998</v>
      </c>
      <c r="I352" s="47">
        <f>ORÇAMENTO!G325</f>
        <v>0.85</v>
      </c>
      <c r="J352" s="47">
        <f>ORÇAMENTO!H325</f>
        <v>0.2122</v>
      </c>
      <c r="K352" s="47">
        <f>ORÇAMENTO!I325</f>
        <v>1.03</v>
      </c>
      <c r="L352" s="49">
        <f>ORÇAMENTO!J325</f>
        <v>2912.49</v>
      </c>
      <c r="N352" s="29" t="str">
        <f t="shared" si="30"/>
        <v>OK!</v>
      </c>
      <c r="O352" s="29" t="str">
        <f t="shared" si="31"/>
        <v>OK!</v>
      </c>
      <c r="P352" s="29" t="str">
        <f t="shared" si="32"/>
        <v>OK!</v>
      </c>
    </row>
    <row r="353" spans="2:16" ht="43.5" x14ac:dyDescent="0.35">
      <c r="B353" s="47">
        <f t="shared" si="29"/>
        <v>111</v>
      </c>
      <c r="C353" s="47" t="str">
        <f>ORÇAMENTO!A330</f>
        <v>5.1.1.6.4</v>
      </c>
      <c r="D353" s="47" t="str">
        <f>ORÇAMENTO!B330</f>
        <v xml:space="preserve"> 93593 </v>
      </c>
      <c r="E353" s="47" t="str">
        <f>ORÇAMENTO!C330</f>
        <v>SINAPI</v>
      </c>
      <c r="F353" s="48" t="str">
        <f>ORÇAMENTO!D330</f>
        <v>TRANSPORTE COM CAMINHÃO BASCULANTE DE 14 M³, EM VIA URBANA PAVIMENTADA, ADICIONAL PARA DMT EXCEDENTE A 30 KM (UNIDADE: M3XKM). AF_07/2020</v>
      </c>
      <c r="G353" s="47" t="str">
        <f>ORÇAMENTO!E330</f>
        <v>M3XKM</v>
      </c>
      <c r="H353" s="47">
        <f>ORÇAMENTO!F330</f>
        <v>83.464747886152622</v>
      </c>
      <c r="I353" s="47">
        <f>ORÇAMENTO!G330</f>
        <v>0.85</v>
      </c>
      <c r="J353" s="47">
        <f>ORÇAMENTO!H330</f>
        <v>0.2122</v>
      </c>
      <c r="K353" s="47">
        <f>ORÇAMENTO!I330</f>
        <v>1.03</v>
      </c>
      <c r="L353" s="49">
        <f>ORÇAMENTO!J330</f>
        <v>85.96</v>
      </c>
      <c r="N353" s="29" t="str">
        <f t="shared" si="30"/>
        <v>OK!</v>
      </c>
      <c r="O353" s="29" t="str">
        <f t="shared" si="31"/>
        <v>OK!</v>
      </c>
      <c r="P353" s="29" t="str">
        <f t="shared" si="32"/>
        <v>OK!</v>
      </c>
    </row>
    <row r="354" spans="2:16" ht="43.5" x14ac:dyDescent="0.35">
      <c r="B354" s="47">
        <f t="shared" si="29"/>
        <v>111</v>
      </c>
      <c r="C354" s="47" t="str">
        <f>ORÇAMENTO!A351</f>
        <v>5.1.2.1.16</v>
      </c>
      <c r="D354" s="47" t="str">
        <f>ORÇAMENTO!B351</f>
        <v xml:space="preserve"> 93593 </v>
      </c>
      <c r="E354" s="47" t="str">
        <f>ORÇAMENTO!C351</f>
        <v>SINAPI</v>
      </c>
      <c r="F354" s="48" t="str">
        <f>ORÇAMENTO!D351</f>
        <v>TRANSPORTE COM CAMINHÃO BASCULANTE DE 14 M³, EM VIA URBANA PAVIMENTADA, ADICIONAL PARA DMT EXCEDENTE A 30 KM (UNIDADE: M3XKM). AF_07/2020</v>
      </c>
      <c r="G354" s="47" t="str">
        <f>ORÇAMENTO!E351</f>
        <v>M3XKM</v>
      </c>
      <c r="H354" s="47">
        <f>ORÇAMENTO!F351</f>
        <v>39999.590323798839</v>
      </c>
      <c r="I354" s="47">
        <f>ORÇAMENTO!G351</f>
        <v>0.85</v>
      </c>
      <c r="J354" s="47">
        <f>ORÇAMENTO!H351</f>
        <v>0.2122</v>
      </c>
      <c r="K354" s="47">
        <f>ORÇAMENTO!I351</f>
        <v>1.03</v>
      </c>
      <c r="L354" s="49">
        <f>ORÇAMENTO!J351</f>
        <v>41199.57</v>
      </c>
      <c r="N354" s="29" t="str">
        <f t="shared" si="30"/>
        <v>OK!</v>
      </c>
      <c r="O354" s="29" t="str">
        <f t="shared" si="31"/>
        <v>OK!</v>
      </c>
      <c r="P354" s="29" t="str">
        <f t="shared" si="32"/>
        <v>OK!</v>
      </c>
    </row>
    <row r="355" spans="2:16" ht="43.5" x14ac:dyDescent="0.35">
      <c r="B355" s="47">
        <f t="shared" si="29"/>
        <v>111</v>
      </c>
      <c r="C355" s="47" t="str">
        <f>ORÇAMENTO!A446</f>
        <v>5.1.2.7.38</v>
      </c>
      <c r="D355" s="47" t="str">
        <f>ORÇAMENTO!B446</f>
        <v xml:space="preserve"> 93593 </v>
      </c>
      <c r="E355" s="47" t="str">
        <f>ORÇAMENTO!C446</f>
        <v>SINAPI</v>
      </c>
      <c r="F355" s="48" t="str">
        <f>ORÇAMENTO!D446</f>
        <v>TRANSPORTE COM CAMINHÃO BASCULANTE DE 14 M³, EM VIA URBANA PAVIMENTADA, ADICIONAL PARA DMT EXCEDENTE A 30 KM (UNIDADE: M3XKM). AF_07/2020</v>
      </c>
      <c r="G355" s="47" t="str">
        <f>ORÇAMENTO!E446</f>
        <v>M3XKM</v>
      </c>
      <c r="H355" s="47">
        <f>ORÇAMENTO!F446</f>
        <v>27545.450882592035</v>
      </c>
      <c r="I355" s="47">
        <f>ORÇAMENTO!G446</f>
        <v>0.85</v>
      </c>
      <c r="J355" s="47">
        <f>ORÇAMENTO!H446</f>
        <v>0.2122</v>
      </c>
      <c r="K355" s="47">
        <f>ORÇAMENTO!I446</f>
        <v>1.03</v>
      </c>
      <c r="L355" s="49">
        <f>ORÇAMENTO!J446</f>
        <v>28371.81</v>
      </c>
      <c r="N355" s="29" t="str">
        <f t="shared" si="30"/>
        <v>OK!</v>
      </c>
      <c r="O355" s="29" t="str">
        <f t="shared" si="31"/>
        <v>OK!</v>
      </c>
      <c r="P355" s="29" t="str">
        <f t="shared" si="32"/>
        <v>OK!</v>
      </c>
    </row>
    <row r="356" spans="2:16" ht="43.5" x14ac:dyDescent="0.35">
      <c r="B356" s="47">
        <f t="shared" si="29"/>
        <v>111</v>
      </c>
      <c r="C356" s="47" t="str">
        <f>ORÇAMENTO!A499</f>
        <v>5.4.1.4</v>
      </c>
      <c r="D356" s="47" t="str">
        <f>ORÇAMENTO!B499</f>
        <v xml:space="preserve"> 93593 </v>
      </c>
      <c r="E356" s="47" t="str">
        <f>ORÇAMENTO!C499</f>
        <v>SINAPI</v>
      </c>
      <c r="F356" s="48" t="str">
        <f>ORÇAMENTO!D499</f>
        <v>TRANSPORTE COM CAMINHÃO BASCULANTE DE 14 M³, EM VIA URBANA PAVIMENTADA, ADICIONAL PARA DMT EXCEDENTE A 30 KM (UNIDADE: M3XKM). AF_07/2020</v>
      </c>
      <c r="G356" s="47" t="str">
        <f>ORÇAMENTO!E499</f>
        <v>M3XKM</v>
      </c>
      <c r="H356" s="47">
        <f>ORÇAMENTO!F499</f>
        <v>127918.43</v>
      </c>
      <c r="I356" s="47">
        <f>ORÇAMENTO!G499</f>
        <v>0.85</v>
      </c>
      <c r="J356" s="47">
        <f>ORÇAMENTO!H499</f>
        <v>0.2122</v>
      </c>
      <c r="K356" s="47">
        <f>ORÇAMENTO!I499</f>
        <v>1.03</v>
      </c>
      <c r="L356" s="107">
        <f>ORÇAMENTO!J499</f>
        <v>131755.98000000001</v>
      </c>
      <c r="N356" s="29" t="str">
        <f t="shared" si="30"/>
        <v>OK!</v>
      </c>
      <c r="O356" s="29" t="str">
        <f t="shared" si="31"/>
        <v>OK!</v>
      </c>
      <c r="P356" s="29" t="str">
        <f t="shared" si="32"/>
        <v>OK!</v>
      </c>
    </row>
    <row r="357" spans="2:16" ht="43.5" x14ac:dyDescent="0.35">
      <c r="B357" s="47">
        <f t="shared" si="29"/>
        <v>111</v>
      </c>
      <c r="C357" s="47" t="str">
        <f>ORÇAMENTO!A504</f>
        <v>5.4.2.3</v>
      </c>
      <c r="D357" s="47" t="str">
        <f>ORÇAMENTO!B504</f>
        <v xml:space="preserve"> 93593 </v>
      </c>
      <c r="E357" s="47" t="str">
        <f>ORÇAMENTO!C504</f>
        <v>SINAPI</v>
      </c>
      <c r="F357" s="48" t="str">
        <f>ORÇAMENTO!D504</f>
        <v>TRANSPORTE COM CAMINHÃO BASCULANTE DE 14 M³, EM VIA URBANA PAVIMENTADA, ADICIONAL PARA DMT EXCEDENTE A 30 KM (UNIDADE: M3XKM). AF_07/2020</v>
      </c>
      <c r="G357" s="47" t="str">
        <f>ORÇAMENTO!E504</f>
        <v>M3XKM</v>
      </c>
      <c r="H357" s="47">
        <f>ORÇAMENTO!F504</f>
        <v>106052.46040908271</v>
      </c>
      <c r="I357" s="47">
        <f>ORÇAMENTO!G504</f>
        <v>0.85</v>
      </c>
      <c r="J357" s="47">
        <f>ORÇAMENTO!H504</f>
        <v>0.2122</v>
      </c>
      <c r="K357" s="47">
        <f>ORÇAMENTO!I504</f>
        <v>1.03</v>
      </c>
      <c r="L357" s="49">
        <f>ORÇAMENTO!J504</f>
        <v>109234.03</v>
      </c>
      <c r="N357" s="29" t="str">
        <f t="shared" si="30"/>
        <v>OK!</v>
      </c>
      <c r="O357" s="29" t="str">
        <f t="shared" si="31"/>
        <v>OK!</v>
      </c>
      <c r="P357" s="29" t="str">
        <f t="shared" si="32"/>
        <v>OK!</v>
      </c>
    </row>
    <row r="358" spans="2:16" ht="43.5" x14ac:dyDescent="0.35">
      <c r="B358" s="47">
        <f t="shared" si="29"/>
        <v>111</v>
      </c>
      <c r="C358" s="47" t="str">
        <f>ORÇAMENTO!A544</f>
        <v>5.5.17</v>
      </c>
      <c r="D358" s="47" t="str">
        <f>ORÇAMENTO!B544</f>
        <v xml:space="preserve"> 93593 </v>
      </c>
      <c r="E358" s="47" t="str">
        <f>ORÇAMENTO!C544</f>
        <v>SINAPI</v>
      </c>
      <c r="F358" s="48" t="str">
        <f>ORÇAMENTO!D544</f>
        <v>TRANSPORTE COM CAMINHÃO BASCULANTE DE 14 M³, EM VIA URBANA PAVIMENTADA, ADICIONAL PARA DMT EXCEDENTE A 30 KM (UNIDADE: M3XKM). AF_07/2020</v>
      </c>
      <c r="G358" s="47" t="str">
        <f>ORÇAMENTO!E544</f>
        <v>M3XKM</v>
      </c>
      <c r="H358" s="47">
        <f>ORÇAMENTO!F544</f>
        <v>745.12592892775228</v>
      </c>
      <c r="I358" s="47">
        <f>ORÇAMENTO!G544</f>
        <v>0.85</v>
      </c>
      <c r="J358" s="47">
        <f>ORÇAMENTO!H544</f>
        <v>0.2122</v>
      </c>
      <c r="K358" s="47">
        <f>ORÇAMENTO!I544</f>
        <v>1.03</v>
      </c>
      <c r="L358" s="49">
        <f>ORÇAMENTO!J544</f>
        <v>767.47</v>
      </c>
      <c r="N358" s="29" t="str">
        <f t="shared" si="30"/>
        <v>OK!</v>
      </c>
      <c r="O358" s="29" t="str">
        <f t="shared" si="31"/>
        <v>OK!</v>
      </c>
      <c r="P358" s="29" t="str">
        <f t="shared" si="32"/>
        <v>OK!</v>
      </c>
    </row>
    <row r="359" spans="2:16" ht="29" x14ac:dyDescent="0.35">
      <c r="B359" s="47">
        <f t="shared" si="29"/>
        <v>112</v>
      </c>
      <c r="C359" s="47" t="str">
        <f>ORÇAMENTO!A104</f>
        <v>4.1.1.2.3</v>
      </c>
      <c r="D359" s="47" t="str">
        <f>ORÇAMENTO!B104</f>
        <v xml:space="preserve"> 95876 </v>
      </c>
      <c r="E359" s="47" t="str">
        <f>ORÇAMENTO!C104</f>
        <v>SINAPI</v>
      </c>
      <c r="F359" s="48" t="str">
        <f>ORÇAMENTO!D104</f>
        <v>TRANSPORTE COM CAMINHÃO BASCULANTE DE 14 M³, EM VIA URBANA PAVIMENTADA, DMT ATÉ 30 KM (UNIDADE: M3XKM). AF_07/2020</v>
      </c>
      <c r="G359" s="47" t="str">
        <f>ORÇAMENTO!E104</f>
        <v>M3XKM</v>
      </c>
      <c r="H359" s="47">
        <f>ORÇAMENTO!F104</f>
        <v>1878.5036387450423</v>
      </c>
      <c r="I359" s="47">
        <f>ORÇAMENTO!G104</f>
        <v>2.1</v>
      </c>
      <c r="J359" s="47">
        <f>ORÇAMENTO!H104</f>
        <v>0.2122</v>
      </c>
      <c r="K359" s="47">
        <f>ORÇAMENTO!I104</f>
        <v>2.5499999999999998</v>
      </c>
      <c r="L359" s="107">
        <f>ORÇAMENTO!J104</f>
        <v>4790.18</v>
      </c>
      <c r="N359" s="29" t="str">
        <f t="shared" si="30"/>
        <v>DIFERENTE</v>
      </c>
      <c r="O359" s="29" t="str">
        <f t="shared" si="31"/>
        <v>DIFERENTE</v>
      </c>
      <c r="P359" s="29" t="str">
        <f t="shared" si="32"/>
        <v>DIFERENTE</v>
      </c>
    </row>
    <row r="360" spans="2:16" ht="29" x14ac:dyDescent="0.35">
      <c r="B360" s="47">
        <f t="shared" si="29"/>
        <v>112</v>
      </c>
      <c r="C360" s="47" t="str">
        <f>ORÇAMENTO!A109</f>
        <v>4.1.1.3.3</v>
      </c>
      <c r="D360" s="47" t="str">
        <f>ORÇAMENTO!B109</f>
        <v xml:space="preserve"> 95876 </v>
      </c>
      <c r="E360" s="47" t="str">
        <f>ORÇAMENTO!C109</f>
        <v>SINAPI</v>
      </c>
      <c r="F360" s="48" t="str">
        <f>ORÇAMENTO!D109</f>
        <v>TRANSPORTE COM CAMINHÃO BASCULANTE DE 14 M³, EM VIA URBANA PAVIMENTADA, DMT ATÉ 30 KM (UNIDADE: M3XKM). AF_07/2020</v>
      </c>
      <c r="G360" s="47" t="str">
        <f>ORÇAMENTO!E109</f>
        <v>M3XKM</v>
      </c>
      <c r="H360" s="47">
        <f>ORÇAMENTO!F109</f>
        <v>941.85275529314447</v>
      </c>
      <c r="I360" s="47">
        <f>ORÇAMENTO!G109</f>
        <v>2.1</v>
      </c>
      <c r="J360" s="47">
        <f>ORÇAMENTO!H109</f>
        <v>0.2122</v>
      </c>
      <c r="K360" s="47">
        <f>ORÇAMENTO!I109</f>
        <v>2.5499999999999998</v>
      </c>
      <c r="L360" s="49">
        <f>ORÇAMENTO!J109</f>
        <v>2401.7199999999998</v>
      </c>
      <c r="N360" s="29" t="str">
        <f t="shared" si="30"/>
        <v>OK!</v>
      </c>
      <c r="O360" s="29" t="str">
        <f t="shared" si="31"/>
        <v>OK!</v>
      </c>
      <c r="P360" s="29" t="str">
        <f t="shared" si="32"/>
        <v>OK!</v>
      </c>
    </row>
    <row r="361" spans="2:16" ht="29" x14ac:dyDescent="0.35">
      <c r="B361" s="47">
        <f t="shared" si="29"/>
        <v>112</v>
      </c>
      <c r="C361" s="47" t="str">
        <f>ORÇAMENTO!A114</f>
        <v>4.1.1.4.3</v>
      </c>
      <c r="D361" s="47" t="str">
        <f>ORÇAMENTO!B114</f>
        <v xml:space="preserve"> 95876 </v>
      </c>
      <c r="E361" s="47" t="str">
        <f>ORÇAMENTO!C114</f>
        <v>SINAPI</v>
      </c>
      <c r="F361" s="48" t="str">
        <f>ORÇAMENTO!D114</f>
        <v>TRANSPORTE COM CAMINHÃO BASCULANTE DE 14 M³, EM VIA URBANA PAVIMENTADA, DMT ATÉ 30 KM (UNIDADE: M3XKM). AF_07/2020</v>
      </c>
      <c r="G361" s="47" t="str">
        <f>ORÇAMENTO!E114</f>
        <v>M3XKM</v>
      </c>
      <c r="H361" s="47">
        <f>ORÇAMENTO!F114</f>
        <v>6970.6546215277831</v>
      </c>
      <c r="I361" s="47">
        <f>ORÇAMENTO!G114</f>
        <v>2.1</v>
      </c>
      <c r="J361" s="47">
        <f>ORÇAMENTO!H114</f>
        <v>0.2122</v>
      </c>
      <c r="K361" s="47">
        <f>ORÇAMENTO!I114</f>
        <v>2.5499999999999998</v>
      </c>
      <c r="L361" s="49">
        <f>ORÇAMENTO!J114</f>
        <v>17775.16</v>
      </c>
      <c r="N361" s="29" t="str">
        <f t="shared" si="30"/>
        <v>OK!</v>
      </c>
      <c r="O361" s="29" t="str">
        <f t="shared" si="31"/>
        <v>OK!</v>
      </c>
      <c r="P361" s="29" t="str">
        <f t="shared" si="32"/>
        <v>OK!</v>
      </c>
    </row>
    <row r="362" spans="2:16" ht="29" x14ac:dyDescent="0.35">
      <c r="B362" s="47">
        <f t="shared" si="29"/>
        <v>112</v>
      </c>
      <c r="C362" s="47" t="str">
        <f>ORÇAMENTO!A122</f>
        <v>4.1.1.5.6</v>
      </c>
      <c r="D362" s="47" t="str">
        <f>ORÇAMENTO!B122</f>
        <v xml:space="preserve"> 95876 </v>
      </c>
      <c r="E362" s="47" t="str">
        <f>ORÇAMENTO!C122</f>
        <v>SINAPI</v>
      </c>
      <c r="F362" s="48" t="str">
        <f>ORÇAMENTO!D122</f>
        <v>TRANSPORTE COM CAMINHÃO BASCULANTE DE 14 M³, EM VIA URBANA PAVIMENTADA, DMT ATÉ 30 KM (UNIDADE: M3XKM). AF_07/2020</v>
      </c>
      <c r="G362" s="47" t="str">
        <f>ORÇAMENTO!E122</f>
        <v>M3XKM</v>
      </c>
      <c r="H362" s="47">
        <f>ORÇAMENTO!F122</f>
        <v>825.35544000000004</v>
      </c>
      <c r="I362" s="47">
        <f>ORÇAMENTO!G122</f>
        <v>2.1</v>
      </c>
      <c r="J362" s="47">
        <f>ORÇAMENTO!H122</f>
        <v>0.2122</v>
      </c>
      <c r="K362" s="47">
        <f>ORÇAMENTO!I122</f>
        <v>2.5499999999999998</v>
      </c>
      <c r="L362" s="49">
        <f>ORÇAMENTO!J122</f>
        <v>2104.65</v>
      </c>
      <c r="N362" s="29" t="str">
        <f t="shared" si="30"/>
        <v>OK!</v>
      </c>
      <c r="O362" s="29" t="str">
        <f t="shared" si="31"/>
        <v>OK!</v>
      </c>
      <c r="P362" s="29" t="str">
        <f t="shared" si="32"/>
        <v>OK!</v>
      </c>
    </row>
    <row r="363" spans="2:16" ht="29" x14ac:dyDescent="0.35">
      <c r="B363" s="47">
        <f t="shared" si="29"/>
        <v>112</v>
      </c>
      <c r="C363" s="47" t="str">
        <f>ORÇAMENTO!A128</f>
        <v>4.1.1.6.4</v>
      </c>
      <c r="D363" s="47" t="str">
        <f>ORÇAMENTO!B128</f>
        <v xml:space="preserve"> 95876 </v>
      </c>
      <c r="E363" s="47" t="str">
        <f>ORÇAMENTO!C128</f>
        <v>SINAPI</v>
      </c>
      <c r="F363" s="48" t="str">
        <f>ORÇAMENTO!D128</f>
        <v>TRANSPORTE COM CAMINHÃO BASCULANTE DE 14 M³, EM VIA URBANA PAVIMENTADA, DMT ATÉ 30 KM (UNIDADE: M3XKM). AF_07/2020</v>
      </c>
      <c r="G363" s="47" t="str">
        <f>ORÇAMENTO!E128</f>
        <v>M3XKM</v>
      </c>
      <c r="H363" s="47">
        <f>ORÇAMENTO!F128</f>
        <v>0</v>
      </c>
      <c r="I363" s="47">
        <f>ORÇAMENTO!G128</f>
        <v>2.1</v>
      </c>
      <c r="J363" s="47">
        <f>ORÇAMENTO!H128</f>
        <v>0.2122</v>
      </c>
      <c r="K363" s="47">
        <f>ORÇAMENTO!I128</f>
        <v>2.5499999999999998</v>
      </c>
      <c r="L363" s="49">
        <f>ORÇAMENTO!J128</f>
        <v>0</v>
      </c>
      <c r="N363" s="29" t="str">
        <f t="shared" si="30"/>
        <v>OK!</v>
      </c>
      <c r="O363" s="29" t="str">
        <f t="shared" si="31"/>
        <v>OK!</v>
      </c>
      <c r="P363" s="29" t="str">
        <f t="shared" si="32"/>
        <v>OK!</v>
      </c>
    </row>
    <row r="364" spans="2:16" ht="29" x14ac:dyDescent="0.35">
      <c r="B364" s="47">
        <f t="shared" si="29"/>
        <v>112</v>
      </c>
      <c r="C364" s="47" t="str">
        <f>ORÇAMENTO!A133</f>
        <v>4.1.1.7.3</v>
      </c>
      <c r="D364" s="47" t="str">
        <f>ORÇAMENTO!B133</f>
        <v xml:space="preserve"> 95876 </v>
      </c>
      <c r="E364" s="47" t="str">
        <f>ORÇAMENTO!C133</f>
        <v>SINAPI</v>
      </c>
      <c r="F364" s="48" t="str">
        <f>ORÇAMENTO!D133</f>
        <v>TRANSPORTE COM CAMINHÃO BASCULANTE DE 14 M³, EM VIA URBANA PAVIMENTADA, DMT ATÉ 30 KM (UNIDADE: M3XKM). AF_07/2020</v>
      </c>
      <c r="G364" s="47" t="str">
        <f>ORÇAMENTO!E133</f>
        <v>M3XKM</v>
      </c>
      <c r="H364" s="47">
        <f>ORÇAMENTO!F133</f>
        <v>25.004124425480391</v>
      </c>
      <c r="I364" s="47">
        <f>ORÇAMENTO!G133</f>
        <v>2.1</v>
      </c>
      <c r="J364" s="47">
        <f>ORÇAMENTO!H133</f>
        <v>0.2122</v>
      </c>
      <c r="K364" s="47">
        <f>ORÇAMENTO!I133</f>
        <v>2.5499999999999998</v>
      </c>
      <c r="L364" s="49">
        <f>ORÇAMENTO!J133</f>
        <v>63.76</v>
      </c>
      <c r="N364" s="29" t="str">
        <f t="shared" si="30"/>
        <v>OK!</v>
      </c>
      <c r="O364" s="29" t="str">
        <f t="shared" si="31"/>
        <v>OK!</v>
      </c>
      <c r="P364" s="29" t="str">
        <f t="shared" si="32"/>
        <v>OK!</v>
      </c>
    </row>
    <row r="365" spans="2:16" ht="29" x14ac:dyDescent="0.35">
      <c r="B365" s="47">
        <f t="shared" si="29"/>
        <v>112</v>
      </c>
      <c r="C365" s="47" t="str">
        <f>ORÇAMENTO!A151</f>
        <v>4.1.2.1.12</v>
      </c>
      <c r="D365" s="47" t="str">
        <f>ORÇAMENTO!B151</f>
        <v xml:space="preserve"> 95876 </v>
      </c>
      <c r="E365" s="47" t="str">
        <f>ORÇAMENTO!C151</f>
        <v>SINAPI</v>
      </c>
      <c r="F365" s="48" t="str">
        <f>ORÇAMENTO!D151</f>
        <v>TRANSPORTE COM CAMINHÃO BASCULANTE DE 14 M³, EM VIA URBANA PAVIMENTADA, DMT ATÉ 30 KM (UNIDADE: M3XKM). AF_07/2020</v>
      </c>
      <c r="G365" s="47" t="str">
        <f>ORÇAMENTO!E151</f>
        <v>M3XKM</v>
      </c>
      <c r="H365" s="47">
        <f>ORÇAMENTO!F151</f>
        <v>23084.880502543281</v>
      </c>
      <c r="I365" s="47">
        <f>ORÇAMENTO!G151</f>
        <v>2.1</v>
      </c>
      <c r="J365" s="47">
        <f>ORÇAMENTO!H151</f>
        <v>0.2122</v>
      </c>
      <c r="K365" s="47">
        <f>ORÇAMENTO!I151</f>
        <v>2.5499999999999998</v>
      </c>
      <c r="L365" s="49">
        <f>ORÇAMENTO!J151</f>
        <v>58866.44</v>
      </c>
      <c r="N365" s="29" t="str">
        <f t="shared" si="30"/>
        <v>OK!</v>
      </c>
      <c r="O365" s="29" t="str">
        <f t="shared" si="31"/>
        <v>OK!</v>
      </c>
      <c r="P365" s="29" t="str">
        <f t="shared" si="32"/>
        <v>OK!</v>
      </c>
    </row>
    <row r="366" spans="2:16" ht="29" x14ac:dyDescent="0.35">
      <c r="B366" s="47">
        <f t="shared" si="29"/>
        <v>112</v>
      </c>
      <c r="C366" s="47" t="str">
        <f>ORÇAMENTO!A182</f>
        <v>4.1.2.4.16</v>
      </c>
      <c r="D366" s="47" t="str">
        <f>ORÇAMENTO!B182</f>
        <v xml:space="preserve"> 95876 </v>
      </c>
      <c r="E366" s="47" t="str">
        <f>ORÇAMENTO!C182</f>
        <v>SINAPI</v>
      </c>
      <c r="F366" s="48" t="str">
        <f>ORÇAMENTO!D182</f>
        <v>TRANSPORTE COM CAMINHÃO BASCULANTE DE 14 M³, EM VIA URBANA PAVIMENTADA, DMT ATÉ 30 KM (UNIDADE: M3XKM). AF_07/2020</v>
      </c>
      <c r="G366" s="47" t="str">
        <f>ORÇAMENTO!E182</f>
        <v>M3XKM</v>
      </c>
      <c r="H366" s="47">
        <f>ORÇAMENTO!F182</f>
        <v>6500.4887348187585</v>
      </c>
      <c r="I366" s="47">
        <f>ORÇAMENTO!G182</f>
        <v>2.1</v>
      </c>
      <c r="J366" s="47">
        <f>ORÇAMENTO!H182</f>
        <v>0.2122</v>
      </c>
      <c r="K366" s="47">
        <f>ORÇAMENTO!I182</f>
        <v>2.5499999999999998</v>
      </c>
      <c r="L366" s="107">
        <f>ORÇAMENTO!J182</f>
        <v>16576.240000000002</v>
      </c>
      <c r="N366" s="29" t="str">
        <f t="shared" si="30"/>
        <v>OK!</v>
      </c>
      <c r="O366" s="29" t="str">
        <f t="shared" si="31"/>
        <v>OK!</v>
      </c>
      <c r="P366" s="29" t="str">
        <f t="shared" si="32"/>
        <v>OK!</v>
      </c>
    </row>
    <row r="367" spans="2:16" ht="29" x14ac:dyDescent="0.35">
      <c r="B367" s="47">
        <f t="shared" si="29"/>
        <v>112</v>
      </c>
      <c r="C367" s="47" t="str">
        <f>ORÇAMENTO!A235</f>
        <v>4.1.2.6.37</v>
      </c>
      <c r="D367" s="47" t="str">
        <f>ORÇAMENTO!B235</f>
        <v xml:space="preserve"> 95876 </v>
      </c>
      <c r="E367" s="47" t="str">
        <f>ORÇAMENTO!C235</f>
        <v>SINAPI</v>
      </c>
      <c r="F367" s="48" t="str">
        <f>ORÇAMENTO!D235</f>
        <v>TRANSPORTE COM CAMINHÃO BASCULANTE DE 14 M³, EM VIA URBANA PAVIMENTADA, DMT ATÉ 30 KM (UNIDADE: M3XKM). AF_07/2020</v>
      </c>
      <c r="G367" s="47" t="str">
        <f>ORÇAMENTO!E235</f>
        <v>M3XKM</v>
      </c>
      <c r="H367" s="47">
        <f>ORÇAMENTO!F235</f>
        <v>18847.383846657842</v>
      </c>
      <c r="I367" s="47">
        <f>ORÇAMENTO!G235</f>
        <v>2.1</v>
      </c>
      <c r="J367" s="47">
        <f>ORÇAMENTO!H235</f>
        <v>0.2122</v>
      </c>
      <c r="K367" s="47">
        <f>ORÇAMENTO!I235</f>
        <v>2.5499999999999998</v>
      </c>
      <c r="L367" s="49">
        <f>ORÇAMENTO!J235</f>
        <v>48060.82</v>
      </c>
      <c r="N367" s="29" t="str">
        <f t="shared" si="30"/>
        <v>OK!</v>
      </c>
      <c r="O367" s="29" t="str">
        <f t="shared" si="31"/>
        <v>OK!</v>
      </c>
      <c r="P367" s="29" t="str">
        <f t="shared" si="32"/>
        <v>OK!</v>
      </c>
    </row>
    <row r="368" spans="2:16" ht="29" x14ac:dyDescent="0.35">
      <c r="B368" s="47">
        <f t="shared" si="29"/>
        <v>112</v>
      </c>
      <c r="C368" s="47" t="str">
        <f>ORÇAMENTO!A281</f>
        <v>4.3.15</v>
      </c>
      <c r="D368" s="47" t="str">
        <f>ORÇAMENTO!B281</f>
        <v xml:space="preserve"> 95876 </v>
      </c>
      <c r="E368" s="47" t="str">
        <f>ORÇAMENTO!C281</f>
        <v>SINAPI</v>
      </c>
      <c r="F368" s="48" t="str">
        <f>ORÇAMENTO!D281</f>
        <v>TRANSPORTE COM CAMINHÃO BASCULANTE DE 14 M³, EM VIA URBANA PAVIMENTADA, DMT ATÉ 30 KM (UNIDADE: M3XKM). AF_07/2020</v>
      </c>
      <c r="G368" s="47" t="str">
        <f>ORÇAMENTO!E281</f>
        <v>M3XKM</v>
      </c>
      <c r="H368" s="47">
        <f>ORÇAMENTO!F281</f>
        <v>674.2781639568625</v>
      </c>
      <c r="I368" s="47">
        <f>ORÇAMENTO!G281</f>
        <v>2.1</v>
      </c>
      <c r="J368" s="47">
        <f>ORÇAMENTO!H281</f>
        <v>0.2122</v>
      </c>
      <c r="K368" s="47">
        <f>ORÇAMENTO!I281</f>
        <v>2.5499999999999998</v>
      </c>
      <c r="L368" s="49">
        <f>ORÇAMENTO!J281</f>
        <v>1719.4</v>
      </c>
      <c r="N368" s="29" t="str">
        <f t="shared" si="30"/>
        <v>OK!</v>
      </c>
      <c r="O368" s="29" t="str">
        <f t="shared" si="31"/>
        <v>OK!</v>
      </c>
      <c r="P368" s="29" t="str">
        <f t="shared" si="32"/>
        <v>OK!</v>
      </c>
    </row>
    <row r="369" spans="2:16" ht="29" x14ac:dyDescent="0.35">
      <c r="B369" s="47">
        <f t="shared" si="29"/>
        <v>112</v>
      </c>
      <c r="C369" s="47" t="str">
        <f>ORÇAMENTO!A306</f>
        <v>5.1.1.2.3</v>
      </c>
      <c r="D369" s="47" t="str">
        <f>ORÇAMENTO!B306</f>
        <v xml:space="preserve"> 95876 </v>
      </c>
      <c r="E369" s="47" t="str">
        <f>ORÇAMENTO!C306</f>
        <v>SINAPI</v>
      </c>
      <c r="F369" s="48" t="str">
        <f>ORÇAMENTO!D306</f>
        <v>TRANSPORTE COM CAMINHÃO BASCULANTE DE 14 M³, EM VIA URBANA PAVIMENTADA, DMT ATÉ 30 KM (UNIDADE: M3XKM). AF_07/2020</v>
      </c>
      <c r="G369" s="47" t="str">
        <f>ORÇAMENTO!E306</f>
        <v>M3XKM</v>
      </c>
      <c r="H369" s="47">
        <f>ORÇAMENTO!F306</f>
        <v>3221.3321999999994</v>
      </c>
      <c r="I369" s="47">
        <f>ORÇAMENTO!G306</f>
        <v>2.1</v>
      </c>
      <c r="J369" s="47">
        <f>ORÇAMENTO!H306</f>
        <v>0.2122</v>
      </c>
      <c r="K369" s="47">
        <f>ORÇAMENTO!I306</f>
        <v>2.5499999999999998</v>
      </c>
      <c r="L369" s="49">
        <f>ORÇAMENTO!J306</f>
        <v>8214.39</v>
      </c>
      <c r="N369" s="29" t="str">
        <f t="shared" si="30"/>
        <v>OK!</v>
      </c>
      <c r="O369" s="29" t="str">
        <f t="shared" si="31"/>
        <v>OK!</v>
      </c>
      <c r="P369" s="29" t="str">
        <f t="shared" si="32"/>
        <v>OK!</v>
      </c>
    </row>
    <row r="370" spans="2:16" ht="29" x14ac:dyDescent="0.35">
      <c r="B370" s="47">
        <f t="shared" si="29"/>
        <v>112</v>
      </c>
      <c r="C370" s="47" t="str">
        <f>ORÇAMENTO!A311</f>
        <v>5.1.1.3.3</v>
      </c>
      <c r="D370" s="47" t="str">
        <f>ORÇAMENTO!B311</f>
        <v xml:space="preserve"> 95876 </v>
      </c>
      <c r="E370" s="47" t="str">
        <f>ORÇAMENTO!C311</f>
        <v>SINAPI</v>
      </c>
      <c r="F370" s="48" t="str">
        <f>ORÇAMENTO!D311</f>
        <v>TRANSPORTE COM CAMINHÃO BASCULANTE DE 14 M³, EM VIA URBANA PAVIMENTADA, DMT ATÉ 30 KM (UNIDADE: M3XKM). AF_07/2020</v>
      </c>
      <c r="G370" s="47" t="str">
        <f>ORÇAMENTO!E311</f>
        <v>M3XKM</v>
      </c>
      <c r="H370" s="47">
        <f>ORÇAMENTO!F311</f>
        <v>2887.0291766190867</v>
      </c>
      <c r="I370" s="47">
        <f>ORÇAMENTO!G311</f>
        <v>2.1</v>
      </c>
      <c r="J370" s="47">
        <f>ORÇAMENTO!H311</f>
        <v>0.2122</v>
      </c>
      <c r="K370" s="47">
        <f>ORÇAMENTO!I311</f>
        <v>2.5499999999999998</v>
      </c>
      <c r="L370" s="49">
        <f>ORÇAMENTO!J311</f>
        <v>7361.92</v>
      </c>
      <c r="N370" s="29" t="str">
        <f t="shared" si="30"/>
        <v>OK!</v>
      </c>
      <c r="O370" s="29" t="str">
        <f t="shared" si="31"/>
        <v>OK!</v>
      </c>
      <c r="P370" s="29" t="str">
        <f t="shared" si="32"/>
        <v>OK!</v>
      </c>
    </row>
    <row r="371" spans="2:16" ht="29" x14ac:dyDescent="0.35">
      <c r="B371" s="47">
        <f t="shared" si="29"/>
        <v>112</v>
      </c>
      <c r="C371" s="47" t="str">
        <f>ORÇAMENTO!A316</f>
        <v>5.1.1.4.3</v>
      </c>
      <c r="D371" s="47" t="str">
        <f>ORÇAMENTO!B316</f>
        <v xml:space="preserve"> 95876 </v>
      </c>
      <c r="E371" s="47" t="str">
        <f>ORÇAMENTO!C316</f>
        <v>SINAPI</v>
      </c>
      <c r="F371" s="48" t="str">
        <f>ORÇAMENTO!D316</f>
        <v>TRANSPORTE COM CAMINHÃO BASCULANTE DE 14 M³, EM VIA URBANA PAVIMENTADA, DMT ATÉ 30 KM (UNIDADE: M3XKM). AF_07/2020</v>
      </c>
      <c r="G371" s="47" t="str">
        <f>ORÇAMENTO!E316</f>
        <v>M3XKM</v>
      </c>
      <c r="H371" s="47">
        <f>ORÇAMENTO!F316</f>
        <v>16933.955381102103</v>
      </c>
      <c r="I371" s="47">
        <f>ORÇAMENTO!G316</f>
        <v>2.1</v>
      </c>
      <c r="J371" s="47">
        <f>ORÇAMENTO!H316</f>
        <v>0.2122</v>
      </c>
      <c r="K371" s="47">
        <f>ORÇAMENTO!I316</f>
        <v>2.5499999999999998</v>
      </c>
      <c r="L371" s="49">
        <f>ORÇAMENTO!J316</f>
        <v>43181.58</v>
      </c>
      <c r="N371" s="29" t="str">
        <f t="shared" si="30"/>
        <v>OK!</v>
      </c>
      <c r="O371" s="29" t="str">
        <f t="shared" si="31"/>
        <v>OK!</v>
      </c>
      <c r="P371" s="29" t="str">
        <f t="shared" si="32"/>
        <v>OK!</v>
      </c>
    </row>
    <row r="372" spans="2:16" ht="29" x14ac:dyDescent="0.35">
      <c r="B372" s="47">
        <f t="shared" si="29"/>
        <v>112</v>
      </c>
      <c r="C372" s="47" t="str">
        <f>ORÇAMENTO!A324</f>
        <v>5.1.1.5.6</v>
      </c>
      <c r="D372" s="47" t="str">
        <f>ORÇAMENTO!B324</f>
        <v xml:space="preserve"> 95876 </v>
      </c>
      <c r="E372" s="47" t="str">
        <f>ORÇAMENTO!C324</f>
        <v>SINAPI</v>
      </c>
      <c r="F372" s="48" t="str">
        <f>ORÇAMENTO!D324</f>
        <v>TRANSPORTE COM CAMINHÃO BASCULANTE DE 14 M³, EM VIA URBANA PAVIMENTADA, DMT ATÉ 30 KM (UNIDADE: M3XKM). AF_07/2020</v>
      </c>
      <c r="G372" s="47" t="str">
        <f>ORÇAMENTO!E324</f>
        <v>M3XKM</v>
      </c>
      <c r="H372" s="47">
        <f>ORÇAMENTO!F324</f>
        <v>1893.5279999999998</v>
      </c>
      <c r="I372" s="47">
        <f>ORÇAMENTO!G324</f>
        <v>2.1</v>
      </c>
      <c r="J372" s="47">
        <f>ORÇAMENTO!H324</f>
        <v>0.2122</v>
      </c>
      <c r="K372" s="47">
        <f>ORÇAMENTO!I324</f>
        <v>2.5499999999999998</v>
      </c>
      <c r="L372" s="49">
        <f>ORÇAMENTO!J324</f>
        <v>4828.49</v>
      </c>
      <c r="N372" s="29" t="str">
        <f t="shared" si="30"/>
        <v>OK!</v>
      </c>
      <c r="O372" s="29" t="str">
        <f t="shared" si="31"/>
        <v>OK!</v>
      </c>
      <c r="P372" s="29" t="str">
        <f t="shared" si="32"/>
        <v>OK!</v>
      </c>
    </row>
    <row r="373" spans="2:16" ht="29" x14ac:dyDescent="0.35">
      <c r="B373" s="47">
        <f t="shared" si="29"/>
        <v>112</v>
      </c>
      <c r="C373" s="47" t="str">
        <f>ORÇAMENTO!A329</f>
        <v>5.1.1.6.3</v>
      </c>
      <c r="D373" s="47" t="str">
        <f>ORÇAMENTO!B329</f>
        <v xml:space="preserve"> 95876 </v>
      </c>
      <c r="E373" s="47" t="str">
        <f>ORÇAMENTO!C329</f>
        <v>SINAPI</v>
      </c>
      <c r="F373" s="48" t="str">
        <f>ORÇAMENTO!D329</f>
        <v>TRANSPORTE COM CAMINHÃO BASCULANTE DE 14 M³, EM VIA URBANA PAVIMENTADA, DMT ATÉ 30 KM (UNIDADE: M3XKM). AF_07/2020</v>
      </c>
      <c r="G373" s="47" t="str">
        <f>ORÇAMENTO!E329</f>
        <v>M3XKM</v>
      </c>
      <c r="H373" s="47">
        <f>ORÇAMENTO!F329</f>
        <v>55.89157224519149</v>
      </c>
      <c r="I373" s="47">
        <f>ORÇAMENTO!G329</f>
        <v>2.1</v>
      </c>
      <c r="J373" s="47">
        <f>ORÇAMENTO!H329</f>
        <v>0.2122</v>
      </c>
      <c r="K373" s="47">
        <f>ORÇAMENTO!I329</f>
        <v>2.5499999999999998</v>
      </c>
      <c r="L373" s="49">
        <f>ORÇAMENTO!J329</f>
        <v>142.52000000000001</v>
      </c>
      <c r="N373" s="29" t="str">
        <f t="shared" si="30"/>
        <v>OK!</v>
      </c>
      <c r="O373" s="29" t="str">
        <f t="shared" si="31"/>
        <v>OK!</v>
      </c>
      <c r="P373" s="29" t="str">
        <f t="shared" si="32"/>
        <v>OK!</v>
      </c>
    </row>
    <row r="374" spans="2:16" ht="29" x14ac:dyDescent="0.35">
      <c r="B374" s="47">
        <f t="shared" si="29"/>
        <v>112</v>
      </c>
      <c r="C374" s="47" t="str">
        <f>ORÇAMENTO!A350</f>
        <v>5.1.2.1.15</v>
      </c>
      <c r="D374" s="47" t="str">
        <f>ORÇAMENTO!B350</f>
        <v xml:space="preserve"> 95876 </v>
      </c>
      <c r="E374" s="47" t="str">
        <f>ORÇAMENTO!C350</f>
        <v>SINAPI</v>
      </c>
      <c r="F374" s="48" t="str">
        <f>ORÇAMENTO!D350</f>
        <v>TRANSPORTE COM CAMINHÃO BASCULANTE DE 14 M³, EM VIA URBANA PAVIMENTADA, DMT ATÉ 30 KM (UNIDADE: M3XKM). AF_07/2020</v>
      </c>
      <c r="G374" s="47" t="str">
        <f>ORÇAMENTO!E350</f>
        <v>M3XKM</v>
      </c>
      <c r="H374" s="47">
        <f>ORÇAMENTO!F350</f>
        <v>41633.332771050002</v>
      </c>
      <c r="I374" s="47">
        <f>ORÇAMENTO!G350</f>
        <v>2.1</v>
      </c>
      <c r="J374" s="47">
        <f>ORÇAMENTO!H350</f>
        <v>0.2122</v>
      </c>
      <c r="K374" s="47">
        <f>ORÇAMENTO!I350</f>
        <v>2.5499999999999998</v>
      </c>
      <c r="L374" s="49">
        <f>ORÇAMENTO!J350</f>
        <v>106164.99</v>
      </c>
      <c r="N374" s="29" t="str">
        <f t="shared" si="30"/>
        <v>OK!</v>
      </c>
      <c r="O374" s="29" t="str">
        <f t="shared" si="31"/>
        <v>OK!</v>
      </c>
      <c r="P374" s="29" t="str">
        <f t="shared" si="32"/>
        <v>OK!</v>
      </c>
    </row>
    <row r="375" spans="2:16" ht="29" x14ac:dyDescent="0.35">
      <c r="B375" s="47">
        <f t="shared" si="29"/>
        <v>112</v>
      </c>
      <c r="C375" s="47" t="str">
        <f>ORÇAMENTO!A381</f>
        <v>5.1.2.4.16</v>
      </c>
      <c r="D375" s="47" t="str">
        <f>ORÇAMENTO!B381</f>
        <v xml:space="preserve"> 95876 </v>
      </c>
      <c r="E375" s="47" t="str">
        <f>ORÇAMENTO!C381</f>
        <v>SINAPI</v>
      </c>
      <c r="F375" s="48" t="str">
        <f>ORÇAMENTO!D381</f>
        <v>TRANSPORTE COM CAMINHÃO BASCULANTE DE 14 M³, EM VIA URBANA PAVIMENTADA, DMT ATÉ 30 KM (UNIDADE: M3XKM). AF_07/2020</v>
      </c>
      <c r="G375" s="47" t="str">
        <f>ORÇAMENTO!E381</f>
        <v>M3XKM</v>
      </c>
      <c r="H375" s="47">
        <f>ORÇAMENTO!F381</f>
        <v>17554.365672797176</v>
      </c>
      <c r="I375" s="47">
        <f>ORÇAMENTO!G381</f>
        <v>2.1</v>
      </c>
      <c r="J375" s="47">
        <f>ORÇAMENTO!H381</f>
        <v>0.2122</v>
      </c>
      <c r="K375" s="47">
        <f>ORÇAMENTO!I381</f>
        <v>2.5499999999999998</v>
      </c>
      <c r="L375" s="107">
        <f>ORÇAMENTO!J381</f>
        <v>44763.63</v>
      </c>
      <c r="N375" s="29" t="str">
        <f t="shared" si="30"/>
        <v>OK!</v>
      </c>
      <c r="O375" s="29" t="str">
        <f t="shared" si="31"/>
        <v>OK!</v>
      </c>
      <c r="P375" s="29" t="str">
        <f t="shared" si="32"/>
        <v>OK!</v>
      </c>
    </row>
    <row r="376" spans="2:16" ht="29" x14ac:dyDescent="0.35">
      <c r="B376" s="47">
        <f t="shared" si="29"/>
        <v>112</v>
      </c>
      <c r="C376" s="47" t="str">
        <f>ORÇAMENTO!A445</f>
        <v>5.1.2.7.37</v>
      </c>
      <c r="D376" s="47" t="str">
        <f>ORÇAMENTO!B445</f>
        <v xml:space="preserve"> 95876 </v>
      </c>
      <c r="E376" s="47" t="str">
        <f>ORÇAMENTO!C445</f>
        <v>SINAPI</v>
      </c>
      <c r="F376" s="48" t="str">
        <f>ORÇAMENTO!D445</f>
        <v>TRANSPORTE COM CAMINHÃO BASCULANTE DE 14 M³, EM VIA URBANA PAVIMENTADA, DMT ATÉ 30 KM (UNIDADE: M3XKM). AF_07/2020</v>
      </c>
      <c r="G376" s="47" t="str">
        <f>ORÇAMENTO!E445</f>
        <v>M3XKM</v>
      </c>
      <c r="H376" s="47">
        <f>ORÇAMENTO!F445</f>
        <v>56765.757443064867</v>
      </c>
      <c r="I376" s="47">
        <f>ORÇAMENTO!G445</f>
        <v>2.1</v>
      </c>
      <c r="J376" s="47">
        <f>ORÇAMENTO!H445</f>
        <v>0.2122</v>
      </c>
      <c r="K376" s="47">
        <f>ORÇAMENTO!I445</f>
        <v>2.5499999999999998</v>
      </c>
      <c r="L376" s="49">
        <f>ORÇAMENTO!J445</f>
        <v>144752.68</v>
      </c>
      <c r="N376" s="29" t="str">
        <f t="shared" si="30"/>
        <v>OK!</v>
      </c>
      <c r="O376" s="29" t="str">
        <f t="shared" si="31"/>
        <v>OK!</v>
      </c>
      <c r="P376" s="29" t="str">
        <f t="shared" si="32"/>
        <v>OK!</v>
      </c>
    </row>
    <row r="377" spans="2:16" ht="29" x14ac:dyDescent="0.35">
      <c r="B377" s="47">
        <f t="shared" si="29"/>
        <v>112</v>
      </c>
      <c r="C377" s="47" t="str">
        <f>ORÇAMENTO!A498</f>
        <v>5.4.1.3</v>
      </c>
      <c r="D377" s="47" t="str">
        <f>ORÇAMENTO!B498</f>
        <v xml:space="preserve"> 95876 </v>
      </c>
      <c r="E377" s="47" t="str">
        <f>ORÇAMENTO!C498</f>
        <v>SINAPI</v>
      </c>
      <c r="F377" s="48" t="str">
        <f>ORÇAMENTO!D498</f>
        <v>TRANSPORTE COM CAMINHÃO BASCULANTE DE 14 M³, EM VIA URBANA PAVIMENTADA, DMT ATÉ 30 KM (UNIDADE: M3XKM). AF_07/2020</v>
      </c>
      <c r="G377" s="47" t="str">
        <f>ORÇAMENTO!E498</f>
        <v>M3XKM</v>
      </c>
      <c r="H377" s="47">
        <f>ORÇAMENTO!F498</f>
        <v>85659.66</v>
      </c>
      <c r="I377" s="47">
        <f>ORÇAMENTO!G498</f>
        <v>2.1</v>
      </c>
      <c r="J377" s="47">
        <f>ORÇAMENTO!H498</f>
        <v>0.2122</v>
      </c>
      <c r="K377" s="47">
        <f>ORÇAMENTO!I498</f>
        <v>2.5499999999999998</v>
      </c>
      <c r="L377" s="107">
        <f>ORÇAMENTO!J498</f>
        <v>218432.13</v>
      </c>
      <c r="N377" s="29" t="str">
        <f t="shared" si="30"/>
        <v>OK!</v>
      </c>
      <c r="O377" s="29" t="str">
        <f t="shared" si="31"/>
        <v>OK!</v>
      </c>
      <c r="P377" s="29" t="str">
        <f t="shared" si="32"/>
        <v>OK!</v>
      </c>
    </row>
    <row r="378" spans="2:16" ht="29" x14ac:dyDescent="0.35">
      <c r="B378" s="47">
        <f t="shared" si="29"/>
        <v>112</v>
      </c>
      <c r="C378" s="47" t="str">
        <f>ORÇAMENTO!A503</f>
        <v>5.4.2.2</v>
      </c>
      <c r="D378" s="47" t="str">
        <f>ORÇAMENTO!B503</f>
        <v xml:space="preserve"> 95876 </v>
      </c>
      <c r="E378" s="47" t="str">
        <f>ORÇAMENTO!C503</f>
        <v>SINAPI</v>
      </c>
      <c r="F378" s="48" t="str">
        <f>ORÇAMENTO!D503</f>
        <v>TRANSPORTE COM CAMINHÃO BASCULANTE DE 14 M³, EM VIA URBANA PAVIMENTADA, DMT ATÉ 30 KM (UNIDADE: M3XKM). AF_07/2020</v>
      </c>
      <c r="G378" s="47" t="str">
        <f>ORÇAMENTO!E503</f>
        <v>M3XKM</v>
      </c>
      <c r="H378" s="47">
        <f>ORÇAMENTO!F503</f>
        <v>224830.65469460547</v>
      </c>
      <c r="I378" s="47">
        <f>ORÇAMENTO!G503</f>
        <v>2.1</v>
      </c>
      <c r="J378" s="47">
        <f>ORÇAMENTO!H503</f>
        <v>0.2122</v>
      </c>
      <c r="K378" s="47">
        <f>ORÇAMENTO!I503</f>
        <v>2.5499999999999998</v>
      </c>
      <c r="L378" s="49">
        <f>ORÇAMENTO!J503</f>
        <v>573318.16</v>
      </c>
      <c r="N378" s="29" t="str">
        <f t="shared" si="30"/>
        <v>OK!</v>
      </c>
      <c r="O378" s="29" t="str">
        <f t="shared" si="31"/>
        <v>OK!</v>
      </c>
      <c r="P378" s="29" t="str">
        <f t="shared" si="32"/>
        <v>OK!</v>
      </c>
    </row>
    <row r="379" spans="2:16" ht="29" x14ac:dyDescent="0.35">
      <c r="B379" s="47">
        <f t="shared" si="29"/>
        <v>112</v>
      </c>
      <c r="C379" s="47" t="str">
        <f>ORÇAMENTO!A543</f>
        <v>5.5.16</v>
      </c>
      <c r="D379" s="47" t="str">
        <f>ORÇAMENTO!B543</f>
        <v xml:space="preserve"> 95876 </v>
      </c>
      <c r="E379" s="47" t="str">
        <f>ORÇAMENTO!C543</f>
        <v>SINAPI</v>
      </c>
      <c r="F379" s="48" t="str">
        <f>ORÇAMENTO!D543</f>
        <v>TRANSPORTE COM CAMINHÃO BASCULANTE DE 14 M³, EM VIA URBANA PAVIMENTADA, DMT ATÉ 30 KM (UNIDADE: M3XKM). AF_07/2020</v>
      </c>
      <c r="G379" s="47" t="str">
        <f>ORÇAMENTO!E543</f>
        <v>M3XKM</v>
      </c>
      <c r="H379" s="47">
        <f>ORÇAMENTO!F543</f>
        <v>1159.4805822417302</v>
      </c>
      <c r="I379" s="47">
        <f>ORÇAMENTO!G543</f>
        <v>2.1</v>
      </c>
      <c r="J379" s="47">
        <f>ORÇAMENTO!H543</f>
        <v>0.2122</v>
      </c>
      <c r="K379" s="47">
        <f>ORÇAMENTO!I543</f>
        <v>2.5499999999999998</v>
      </c>
      <c r="L379" s="49">
        <f>ORÇAMENTO!J543</f>
        <v>2956.67</v>
      </c>
      <c r="N379" s="29" t="str">
        <f t="shared" si="30"/>
        <v>OK!</v>
      </c>
      <c r="O379" s="29" t="str">
        <f t="shared" si="31"/>
        <v>OK!</v>
      </c>
      <c r="P379" s="29" t="str">
        <f t="shared" si="32"/>
        <v>OK!</v>
      </c>
    </row>
    <row r="380" spans="2:16" ht="43.5" x14ac:dyDescent="0.35">
      <c r="B380" s="47">
        <f t="shared" si="29"/>
        <v>113</v>
      </c>
      <c r="C380" s="47" t="str">
        <f>ORÇAMENTO!A188</f>
        <v>4.1.2.5.1</v>
      </c>
      <c r="D380" s="47" t="str">
        <f>ORÇAMENTO!B188</f>
        <v xml:space="preserve"> 100952 </v>
      </c>
      <c r="E380" s="47" t="str">
        <f>ORÇAMENTO!C188</f>
        <v>SINAPI</v>
      </c>
      <c r="F380" s="48" t="str">
        <f>ORÇAMENTO!D188</f>
        <v>TRANSPORTE COM CAMINHÃO CARROCERIA COM GUINDAUTO (MUNCK),  MOMENTO MÁXIMO DE CARGA 11,7 TM, EM VIA URBANA PAVIMENTADA, DMT ATÉ 30KM (UNIDADE: TXKM). AF_07/2020</v>
      </c>
      <c r="G380" s="47" t="str">
        <f>ORÇAMENTO!E188</f>
        <v>TXKM</v>
      </c>
      <c r="H380" s="47">
        <f>ORÇAMENTO!F188</f>
        <v>34268.592053569897</v>
      </c>
      <c r="I380" s="47">
        <f>ORÇAMENTO!G188</f>
        <v>2.71</v>
      </c>
      <c r="J380" s="47">
        <f>ORÇAMENTO!H188</f>
        <v>0.2122</v>
      </c>
      <c r="K380" s="47">
        <f>ORÇAMENTO!I188</f>
        <v>3.29</v>
      </c>
      <c r="L380" s="107">
        <f>ORÇAMENTO!J188</f>
        <v>112743.66</v>
      </c>
      <c r="N380" s="29" t="str">
        <f t="shared" si="30"/>
        <v>DIFERENTE</v>
      </c>
      <c r="O380" s="29" t="str">
        <f t="shared" si="31"/>
        <v>DIFERENTE</v>
      </c>
      <c r="P380" s="29" t="str">
        <f t="shared" si="32"/>
        <v>DIFERENTE</v>
      </c>
    </row>
    <row r="381" spans="2:16" ht="43.5" x14ac:dyDescent="0.35">
      <c r="B381" s="47">
        <f t="shared" si="29"/>
        <v>113</v>
      </c>
      <c r="C381" s="47" t="str">
        <f>ORÇAMENTO!A389</f>
        <v>5.1.2.5.1</v>
      </c>
      <c r="D381" s="47" t="str">
        <f>ORÇAMENTO!B389</f>
        <v xml:space="preserve"> 100952 </v>
      </c>
      <c r="E381" s="47" t="str">
        <f>ORÇAMENTO!C389</f>
        <v>SINAPI</v>
      </c>
      <c r="F381" s="48" t="str">
        <f>ORÇAMENTO!D389</f>
        <v>TRANSPORTE COM CAMINHÃO CARROCERIA COM GUINDAUTO (MUNCK),  MOMENTO MÁXIMO DE CARGA 11,7 TM, EM VIA URBANA PAVIMENTADA, DMT ATÉ 30KM (UNIDADE: TXKM). AF_07/2020</v>
      </c>
      <c r="G381" s="47" t="str">
        <f>ORÇAMENTO!E389</f>
        <v>TXKM</v>
      </c>
      <c r="H381" s="47">
        <f>ORÇAMENTO!F389</f>
        <v>72742.615239999999</v>
      </c>
      <c r="I381" s="47">
        <f>ORÇAMENTO!G389</f>
        <v>2.71</v>
      </c>
      <c r="J381" s="47">
        <f>ORÇAMENTO!H389</f>
        <v>0.2122</v>
      </c>
      <c r="K381" s="47">
        <f>ORÇAMENTO!I389</f>
        <v>3.29</v>
      </c>
      <c r="L381" s="107">
        <f>ORÇAMENTO!J389</f>
        <v>239323.2</v>
      </c>
      <c r="N381" s="29" t="str">
        <f t="shared" si="30"/>
        <v>OK!</v>
      </c>
      <c r="O381" s="29" t="str">
        <f t="shared" si="31"/>
        <v>OK!</v>
      </c>
      <c r="P381" s="29" t="str">
        <f t="shared" si="32"/>
        <v>OK!</v>
      </c>
    </row>
    <row r="382" spans="2:16" ht="29" x14ac:dyDescent="0.35">
      <c r="B382" s="47">
        <f t="shared" si="29"/>
        <v>114</v>
      </c>
      <c r="C382" s="47" t="str">
        <f>ORÇAMENTO!A190</f>
        <v>4.1.2.5.3</v>
      </c>
      <c r="D382" s="47" t="str">
        <f>ORÇAMENTO!B190</f>
        <v xml:space="preserve"> 00007725 </v>
      </c>
      <c r="E382" s="47" t="str">
        <f>ORÇAMENTO!C190</f>
        <v>SINAPI</v>
      </c>
      <c r="F382" s="48" t="str">
        <f>ORÇAMENTO!D190</f>
        <v>TUBO DE CONCRETO ARMADO PARA AGUAS PLUVIAIS, CLASSE PA-1, COM ENCAIXE PONTA E BOLSA, DIAMETRO NOMINAL DE = 600 MM</v>
      </c>
      <c r="G382" s="47" t="str">
        <f>ORÇAMENTO!E190</f>
        <v>M</v>
      </c>
      <c r="H382" s="47">
        <f>ORÇAMENTO!F190</f>
        <v>129.17524667224592</v>
      </c>
      <c r="I382" s="47">
        <f>ORÇAMENTO!G190</f>
        <v>241.33</v>
      </c>
      <c r="J382" s="47">
        <f>ORÇAMENTO!H190</f>
        <v>0.111</v>
      </c>
      <c r="K382" s="47">
        <f>ORÇAMENTO!I190</f>
        <v>268.12</v>
      </c>
      <c r="L382" s="49">
        <f>ORÇAMENTO!J190</f>
        <v>34634.46</v>
      </c>
      <c r="N382" s="29" t="str">
        <f t="shared" si="30"/>
        <v>DIFERENTE</v>
      </c>
      <c r="O382" s="29" t="str">
        <f t="shared" si="31"/>
        <v>DIFERENTE</v>
      </c>
      <c r="P382" s="29" t="str">
        <f t="shared" si="32"/>
        <v>DIFERENTE</v>
      </c>
    </row>
    <row r="383" spans="2:16" ht="29" x14ac:dyDescent="0.35">
      <c r="B383" s="47">
        <f t="shared" si="29"/>
        <v>114</v>
      </c>
      <c r="C383" s="47" t="str">
        <f>ORÇAMENTO!A394</f>
        <v>5.1.2.5.6</v>
      </c>
      <c r="D383" s="47" t="str">
        <f>ORÇAMENTO!B394</f>
        <v xml:space="preserve"> 00007725 </v>
      </c>
      <c r="E383" s="47" t="str">
        <f>ORÇAMENTO!C394</f>
        <v>SINAPI</v>
      </c>
      <c r="F383" s="48" t="str">
        <f>ORÇAMENTO!D394</f>
        <v>TUBO DE CONCRETO ARMADO PARA AGUAS PLUVIAIS, CLASSE PA-1, COM ENCAIXE PONTA E BOLSA, DIAMETRO NOMINAL DE = 600 MM</v>
      </c>
      <c r="G383" s="47" t="str">
        <f>ORÇAMENTO!E394</f>
        <v>M</v>
      </c>
      <c r="H383" s="47">
        <f>ORÇAMENTO!F394</f>
        <v>557.31000000000006</v>
      </c>
      <c r="I383" s="47">
        <f>ORÇAMENTO!G394</f>
        <v>241.33</v>
      </c>
      <c r="J383" s="47">
        <f>ORÇAMENTO!H394</f>
        <v>0.111</v>
      </c>
      <c r="K383" s="47">
        <f>ORÇAMENTO!I394</f>
        <v>268.12</v>
      </c>
      <c r="L383" s="49">
        <f>ORÇAMENTO!J394</f>
        <v>149425.95000000001</v>
      </c>
      <c r="N383" s="29" t="str">
        <f t="shared" si="30"/>
        <v>OK!</v>
      </c>
      <c r="O383" s="29" t="str">
        <f t="shared" si="31"/>
        <v>OK!</v>
      </c>
      <c r="P383" s="29" t="str">
        <f t="shared" si="32"/>
        <v>OK!</v>
      </c>
    </row>
    <row r="384" spans="2:16" ht="29" x14ac:dyDescent="0.35">
      <c r="B384" s="47">
        <f t="shared" si="29"/>
        <v>115</v>
      </c>
      <c r="C384" s="47" t="str">
        <f>ORÇAMENTO!A399</f>
        <v>5.1.2.5.11</v>
      </c>
      <c r="D384" s="47" t="str">
        <f>ORÇAMENTO!B399</f>
        <v xml:space="preserve"> 00007753 </v>
      </c>
      <c r="E384" s="47" t="str">
        <f>ORÇAMENTO!C399</f>
        <v>SINAPI</v>
      </c>
      <c r="F384" s="48" t="str">
        <f>ORÇAMENTO!D399</f>
        <v>TUBO DE CONCRETO ARMADO PARA AGUAS PLUVIAIS, CLASSE PA-1, COM ENCAIXE PONTA E BOLSA, DIAMETRO NOMINAL DE 1000 MM</v>
      </c>
      <c r="G384" s="47" t="str">
        <f>ORÇAMENTO!E399</f>
        <v>M</v>
      </c>
      <c r="H384" s="47">
        <f>ORÇAMENTO!F399</f>
        <v>137.27000000000001</v>
      </c>
      <c r="I384" s="47">
        <f>ORÇAMENTO!G399</f>
        <v>470.49</v>
      </c>
      <c r="J384" s="47">
        <f>ORÇAMENTO!H399</f>
        <v>0.111</v>
      </c>
      <c r="K384" s="47">
        <f>ORÇAMENTO!I399</f>
        <v>522.71</v>
      </c>
      <c r="L384" s="107">
        <f>ORÇAMENTO!J399</f>
        <v>71752.399999999994</v>
      </c>
      <c r="N384" s="29" t="str">
        <f t="shared" si="30"/>
        <v>DIFERENTE</v>
      </c>
      <c r="O384" s="29" t="str">
        <f t="shared" si="31"/>
        <v>DIFERENTE</v>
      </c>
      <c r="P384" s="29" t="str">
        <f t="shared" si="32"/>
        <v>DIFERENTE</v>
      </c>
    </row>
    <row r="385" spans="2:16" ht="29" x14ac:dyDescent="0.35">
      <c r="B385" s="47">
        <f t="shared" si="29"/>
        <v>116</v>
      </c>
      <c r="C385" s="47" t="str">
        <f>ORÇAMENTO!A404</f>
        <v>5.1.2.5.16</v>
      </c>
      <c r="D385" s="47" t="str">
        <f>ORÇAMENTO!B404</f>
        <v xml:space="preserve"> 00007758 </v>
      </c>
      <c r="E385" s="47" t="str">
        <f>ORÇAMENTO!C404</f>
        <v>SINAPI</v>
      </c>
      <c r="F385" s="48" t="str">
        <f>ORÇAMENTO!D404</f>
        <v>TUBO DE CONCRETO ARMADO PARA AGUAS PLUVIAIS, CLASSE PA-1, COM ENCAIXE PONTA E BOLSA, DIAMETRO NOMINAL DE 1500 MM</v>
      </c>
      <c r="G385" s="47" t="str">
        <f>ORÇAMENTO!E404</f>
        <v>M</v>
      </c>
      <c r="H385" s="47">
        <f>ORÇAMENTO!F404</f>
        <v>39.090000000000003</v>
      </c>
      <c r="I385" s="47">
        <f>ORÇAMENTO!G404</f>
        <v>1018.04</v>
      </c>
      <c r="J385" s="47">
        <f>ORÇAMENTO!H404</f>
        <v>0.111</v>
      </c>
      <c r="K385" s="47">
        <f>ORÇAMENTO!I404</f>
        <v>1131.04</v>
      </c>
      <c r="L385" s="49">
        <f>ORÇAMENTO!J404</f>
        <v>44212.35</v>
      </c>
      <c r="N385" s="29" t="str">
        <f t="shared" si="30"/>
        <v>DIFERENTE</v>
      </c>
      <c r="O385" s="29" t="str">
        <f t="shared" si="31"/>
        <v>DIFERENTE</v>
      </c>
      <c r="P385" s="29" t="str">
        <f t="shared" si="32"/>
        <v>DIFERENTE</v>
      </c>
    </row>
    <row r="386" spans="2:16" ht="29" x14ac:dyDescent="0.35">
      <c r="B386" s="47">
        <f t="shared" si="29"/>
        <v>117</v>
      </c>
      <c r="C386" s="47" t="str">
        <f>ORÇAMENTO!A396</f>
        <v>5.1.2.5.8</v>
      </c>
      <c r="D386" s="47" t="str">
        <f>ORÇAMENTO!B396</f>
        <v xml:space="preserve"> 00007750 </v>
      </c>
      <c r="E386" s="47" t="str">
        <f>ORÇAMENTO!C396</f>
        <v>SINAPI</v>
      </c>
      <c r="F386" s="48" t="str">
        <f>ORÇAMENTO!D396</f>
        <v>TUBO DE CONCRETO ARMADO PARA AGUAS PLUVIAIS, CLASSE PA-1, COM ENCAIXE PONTA E BOLSA, DIAMETRO NOMINAL DE 800 MM</v>
      </c>
      <c r="G386" s="47" t="str">
        <f>ORÇAMENTO!E396</f>
        <v>M</v>
      </c>
      <c r="H386" s="47">
        <f>ORÇAMENTO!F396</f>
        <v>445.70999999999992</v>
      </c>
      <c r="I386" s="47">
        <f>ORÇAMENTO!G396</f>
        <v>401.54</v>
      </c>
      <c r="J386" s="47">
        <f>ORÇAMENTO!H396</f>
        <v>0.111</v>
      </c>
      <c r="K386" s="47">
        <f>ORÇAMENTO!I396</f>
        <v>446.11</v>
      </c>
      <c r="L386" s="49">
        <f>ORÇAMENTO!J396</f>
        <v>198835.68</v>
      </c>
      <c r="N386" s="29" t="str">
        <f t="shared" si="30"/>
        <v>DIFERENTE</v>
      </c>
      <c r="O386" s="29" t="str">
        <f t="shared" si="31"/>
        <v>DIFERENTE</v>
      </c>
      <c r="P386" s="29" t="str">
        <f t="shared" si="32"/>
        <v>DIFERENTE</v>
      </c>
    </row>
    <row r="387" spans="2:16" ht="29" x14ac:dyDescent="0.35">
      <c r="B387" s="47">
        <f t="shared" si="29"/>
        <v>118</v>
      </c>
      <c r="C387" s="47" t="str">
        <f>ORÇAMENTO!A193</f>
        <v>4.1.2.5.6</v>
      </c>
      <c r="D387" s="47" t="str">
        <f>ORÇAMENTO!B193</f>
        <v xml:space="preserve"> 00007765 </v>
      </c>
      <c r="E387" s="47" t="str">
        <f>ORÇAMENTO!C193</f>
        <v>SINAPI</v>
      </c>
      <c r="F387" s="48" t="str">
        <f>ORÇAMENTO!D193</f>
        <v>TUBO DE CONCRETO ARMADO PARA AGUAS PLUVIAIS, CLASSE PA-2, COM ENCAIXE PONTA E BOLSA, DIAMETRO NOMINAL DE 1000 MM</v>
      </c>
      <c r="G387" s="47" t="str">
        <f>ORÇAMENTO!E193</f>
        <v>M</v>
      </c>
      <c r="H387" s="47">
        <f>ORÇAMENTO!F193</f>
        <v>73.617146766307656</v>
      </c>
      <c r="I387" s="47">
        <f>ORÇAMENTO!G193</f>
        <v>517.13</v>
      </c>
      <c r="J387" s="47">
        <f>ORÇAMENTO!H193</f>
        <v>0.111</v>
      </c>
      <c r="K387" s="47">
        <f>ORÇAMENTO!I193</f>
        <v>574.53</v>
      </c>
      <c r="L387" s="49">
        <f>ORÇAMENTO!J193</f>
        <v>42295.25</v>
      </c>
      <c r="N387" s="29" t="str">
        <f t="shared" si="30"/>
        <v>DIFERENTE</v>
      </c>
      <c r="O387" s="29" t="str">
        <f t="shared" si="31"/>
        <v>DIFERENTE</v>
      </c>
      <c r="P387" s="29" t="str">
        <f t="shared" si="32"/>
        <v>DIFERENTE</v>
      </c>
    </row>
    <row r="388" spans="2:16" ht="29" x14ac:dyDescent="0.35">
      <c r="B388" s="47">
        <f t="shared" ref="B388:B407" si="33">IF(EXACT(F387,F388),B387,B387+1)</f>
        <v>118</v>
      </c>
      <c r="C388" s="47" t="str">
        <f>ORÇAMENTO!A400</f>
        <v>5.1.2.5.12</v>
      </c>
      <c r="D388" s="47" t="str">
        <f>ORÇAMENTO!B400</f>
        <v xml:space="preserve"> 00007765 </v>
      </c>
      <c r="E388" s="47" t="str">
        <f>ORÇAMENTO!C400</f>
        <v>SINAPI</v>
      </c>
      <c r="F388" s="48" t="str">
        <f>ORÇAMENTO!D400</f>
        <v>TUBO DE CONCRETO ARMADO PARA AGUAS PLUVIAIS, CLASSE PA-2, COM ENCAIXE PONTA E BOLSA, DIAMETRO NOMINAL DE 1000 MM</v>
      </c>
      <c r="G388" s="47" t="str">
        <f>ORÇAMENTO!E400</f>
        <v>M</v>
      </c>
      <c r="H388" s="47">
        <f>ORÇAMENTO!F400</f>
        <v>245.36</v>
      </c>
      <c r="I388" s="47">
        <f>ORÇAMENTO!G400</f>
        <v>517.13</v>
      </c>
      <c r="J388" s="47">
        <f>ORÇAMENTO!H400</f>
        <v>0.111</v>
      </c>
      <c r="K388" s="47">
        <f>ORÇAMENTO!I400</f>
        <v>574.53</v>
      </c>
      <c r="L388" s="49">
        <f>ORÇAMENTO!J400</f>
        <v>140966.68</v>
      </c>
      <c r="N388" s="29" t="str">
        <f t="shared" si="30"/>
        <v>OK!</v>
      </c>
      <c r="O388" s="29" t="str">
        <f t="shared" si="31"/>
        <v>OK!</v>
      </c>
      <c r="P388" s="29" t="str">
        <f t="shared" si="32"/>
        <v>OK!</v>
      </c>
    </row>
    <row r="389" spans="2:16" ht="29" x14ac:dyDescent="0.35">
      <c r="B389" s="47">
        <f t="shared" si="33"/>
        <v>119</v>
      </c>
      <c r="C389" s="47" t="str">
        <f>ORÇAMENTO!A195</f>
        <v>4.1.2.5.8</v>
      </c>
      <c r="D389" s="47" t="str">
        <f>ORÇAMENTO!B195</f>
        <v xml:space="preserve"> 00007766 </v>
      </c>
      <c r="E389" s="47" t="str">
        <f>ORÇAMENTO!C195</f>
        <v>SINAPI</v>
      </c>
      <c r="F389" s="48" t="str">
        <f>ORÇAMENTO!D195</f>
        <v>TUBO DE CONCRETO ARMADO PARA AGUAS PLUVIAIS, CLASSE PA-2, COM ENCAIXE PONTA E BOLSA, DIAMETRO NOMINAL DE 1200 MM</v>
      </c>
      <c r="G389" s="47" t="str">
        <f>ORÇAMENTO!E195</f>
        <v>M</v>
      </c>
      <c r="H389" s="47">
        <f>ORÇAMENTO!F195</f>
        <v>144.87</v>
      </c>
      <c r="I389" s="47">
        <f>ORÇAMENTO!G195</f>
        <v>758.46</v>
      </c>
      <c r="J389" s="47">
        <f>ORÇAMENTO!H195</f>
        <v>0.111</v>
      </c>
      <c r="K389" s="47">
        <f>ORÇAMENTO!I195</f>
        <v>842.65</v>
      </c>
      <c r="L389" s="49">
        <f>ORÇAMENTO!J195</f>
        <v>122074.7</v>
      </c>
      <c r="N389" s="29" t="str">
        <f t="shared" si="30"/>
        <v>DIFERENTE</v>
      </c>
      <c r="O389" s="29" t="str">
        <f t="shared" si="31"/>
        <v>DIFERENTE</v>
      </c>
      <c r="P389" s="29" t="str">
        <f t="shared" si="32"/>
        <v>DIFERENTE</v>
      </c>
    </row>
    <row r="390" spans="2:16" ht="29" x14ac:dyDescent="0.35">
      <c r="B390" s="47">
        <f t="shared" si="33"/>
        <v>119</v>
      </c>
      <c r="C390" s="47" t="str">
        <f>ORÇAMENTO!A402</f>
        <v>5.1.2.5.14</v>
      </c>
      <c r="D390" s="47" t="str">
        <f>ORÇAMENTO!B402</f>
        <v xml:space="preserve"> 00007766 </v>
      </c>
      <c r="E390" s="47" t="str">
        <f>ORÇAMENTO!C402</f>
        <v>SINAPI</v>
      </c>
      <c r="F390" s="48" t="str">
        <f>ORÇAMENTO!D402</f>
        <v>TUBO DE CONCRETO ARMADO PARA AGUAS PLUVIAIS, CLASSE PA-2, COM ENCAIXE PONTA E BOLSA, DIAMETRO NOMINAL DE 1200 MM</v>
      </c>
      <c r="G390" s="47" t="str">
        <f>ORÇAMENTO!E402</f>
        <v>M</v>
      </c>
      <c r="H390" s="47">
        <f>ORÇAMENTO!F402</f>
        <v>312.52</v>
      </c>
      <c r="I390" s="47">
        <f>ORÇAMENTO!G402</f>
        <v>758.46</v>
      </c>
      <c r="J390" s="47">
        <f>ORÇAMENTO!H402</f>
        <v>0.111</v>
      </c>
      <c r="K390" s="47">
        <f>ORÇAMENTO!I402</f>
        <v>842.65</v>
      </c>
      <c r="L390" s="49">
        <f>ORÇAMENTO!J402</f>
        <v>263344.96999999997</v>
      </c>
      <c r="N390" s="29" t="str">
        <f t="shared" si="30"/>
        <v>OK!</v>
      </c>
      <c r="O390" s="29" t="str">
        <f t="shared" si="31"/>
        <v>OK!</v>
      </c>
      <c r="P390" s="29" t="str">
        <f t="shared" si="32"/>
        <v>OK!</v>
      </c>
    </row>
    <row r="391" spans="2:16" ht="29" x14ac:dyDescent="0.35">
      <c r="B391" s="47">
        <f t="shared" si="33"/>
        <v>120</v>
      </c>
      <c r="C391" s="47" t="str">
        <f>ORÇAMENTO!A197</f>
        <v>4.1.2.5.10</v>
      </c>
      <c r="D391" s="47" t="str">
        <f>ORÇAMENTO!B197</f>
        <v xml:space="preserve"> 00007767 </v>
      </c>
      <c r="E391" s="47" t="str">
        <f>ORÇAMENTO!C197</f>
        <v>SINAPI</v>
      </c>
      <c r="F391" s="48" t="str">
        <f>ORÇAMENTO!D197</f>
        <v>TUBO DE CONCRETO ARMADO PARA AGUAS PLUVIAIS, CLASSE PA-2, COM ENCAIXE PONTA E BOLSA, DIAMETRO NOMINAL DE 1500 MM</v>
      </c>
      <c r="G391" s="47" t="str">
        <f>ORÇAMENTO!E197</f>
        <v>M</v>
      </c>
      <c r="H391" s="47">
        <f>ORÇAMENTO!F197</f>
        <v>287.67999999999995</v>
      </c>
      <c r="I391" s="47">
        <f>ORÇAMENTO!G197</f>
        <v>1089.02</v>
      </c>
      <c r="J391" s="47">
        <f>ORÇAMENTO!H197</f>
        <v>0.111</v>
      </c>
      <c r="K391" s="47">
        <f>ORÇAMENTO!I197</f>
        <v>1209.9000000000001</v>
      </c>
      <c r="L391" s="49">
        <f>ORÇAMENTO!J197</f>
        <v>348064.03</v>
      </c>
      <c r="N391" s="29" t="str">
        <f t="shared" si="30"/>
        <v>DIFERENTE</v>
      </c>
      <c r="O391" s="29" t="str">
        <f t="shared" si="31"/>
        <v>DIFERENTE</v>
      </c>
      <c r="P391" s="29" t="str">
        <f t="shared" si="32"/>
        <v>DIFERENTE</v>
      </c>
    </row>
    <row r="392" spans="2:16" ht="29" x14ac:dyDescent="0.35">
      <c r="B392" s="47">
        <f t="shared" si="33"/>
        <v>120</v>
      </c>
      <c r="C392" s="47" t="str">
        <f>ORÇAMENTO!A405</f>
        <v>5.1.2.5.17</v>
      </c>
      <c r="D392" s="47" t="str">
        <f>ORÇAMENTO!B405</f>
        <v xml:space="preserve"> 00007767 </v>
      </c>
      <c r="E392" s="47" t="str">
        <f>ORÇAMENTO!C405</f>
        <v>SINAPI</v>
      </c>
      <c r="F392" s="48" t="str">
        <f>ORÇAMENTO!D405</f>
        <v>TUBO DE CONCRETO ARMADO PARA AGUAS PLUVIAIS, CLASSE PA-2, COM ENCAIXE PONTA E BOLSA, DIAMETRO NOMINAL DE 1500 MM</v>
      </c>
      <c r="G392" s="47" t="str">
        <f>ORÇAMENTO!E405</f>
        <v>M</v>
      </c>
      <c r="H392" s="47">
        <f>ORÇAMENTO!F405</f>
        <v>179.72</v>
      </c>
      <c r="I392" s="47">
        <f>ORÇAMENTO!G405</f>
        <v>1089.02</v>
      </c>
      <c r="J392" s="47">
        <f>ORÇAMENTO!H405</f>
        <v>0.111</v>
      </c>
      <c r="K392" s="47">
        <f>ORÇAMENTO!I405</f>
        <v>1209.9000000000001</v>
      </c>
      <c r="L392" s="49">
        <f>ORÇAMENTO!J405</f>
        <v>217443.22</v>
      </c>
      <c r="N392" s="29" t="str">
        <f t="shared" si="30"/>
        <v>OK!</v>
      </c>
      <c r="O392" s="29" t="str">
        <f t="shared" si="31"/>
        <v>OK!</v>
      </c>
      <c r="P392" s="29" t="str">
        <f t="shared" si="32"/>
        <v>OK!</v>
      </c>
    </row>
    <row r="393" spans="2:16" ht="29" x14ac:dyDescent="0.35">
      <c r="B393" s="47">
        <f t="shared" si="33"/>
        <v>121</v>
      </c>
      <c r="C393" s="47" t="str">
        <f>ORÇAMENTO!A191</f>
        <v>4.1.2.5.4</v>
      </c>
      <c r="D393" s="47" t="str">
        <f>ORÇAMENTO!B191</f>
        <v xml:space="preserve"> 00007762 </v>
      </c>
      <c r="E393" s="47" t="str">
        <f>ORÇAMENTO!C191</f>
        <v>SINAPI</v>
      </c>
      <c r="F393" s="48" t="str">
        <f>ORÇAMENTO!D191</f>
        <v>TUBO DE CONCRETO ARMADO PARA AGUAS PLUVIAIS, CLASSE PA-2, COM ENCAIXE PONTA E BOLSA, DIAMETRO NOMINAL DE 600 MM</v>
      </c>
      <c r="G393" s="47" t="str">
        <f>ORÇAMENTO!E191</f>
        <v>M</v>
      </c>
      <c r="H393" s="47">
        <f>ORÇAMENTO!F191</f>
        <v>116.82116171322166</v>
      </c>
      <c r="I393" s="47">
        <f>ORÇAMENTO!G191</f>
        <v>209.38</v>
      </c>
      <c r="J393" s="47">
        <f>ORÇAMENTO!H191</f>
        <v>0.111</v>
      </c>
      <c r="K393" s="47">
        <f>ORÇAMENTO!I191</f>
        <v>232.62</v>
      </c>
      <c r="L393" s="107">
        <f>ORÇAMENTO!J191</f>
        <v>27174.93</v>
      </c>
      <c r="N393" s="29" t="str">
        <f t="shared" si="30"/>
        <v>DIFERENTE</v>
      </c>
      <c r="O393" s="29" t="str">
        <f t="shared" si="31"/>
        <v>DIFERENTE</v>
      </c>
      <c r="P393" s="29" t="str">
        <f t="shared" si="32"/>
        <v>DIFERENTE</v>
      </c>
    </row>
    <row r="394" spans="2:16" ht="29" x14ac:dyDescent="0.35">
      <c r="B394" s="47">
        <f t="shared" si="33"/>
        <v>122</v>
      </c>
      <c r="C394" s="47" t="str">
        <f>ORÇAMENTO!A397</f>
        <v>5.1.2.5.9</v>
      </c>
      <c r="D394" s="47" t="str">
        <f>ORÇAMENTO!B397</f>
        <v xml:space="preserve"> 00007763 </v>
      </c>
      <c r="E394" s="47" t="str">
        <f>ORÇAMENTO!C397</f>
        <v>SINAPI</v>
      </c>
      <c r="F394" s="48" t="str">
        <f>ORÇAMENTO!D397</f>
        <v>TUBO DE CONCRETO ARMADO PARA AGUAS PLUVIAIS, CLASSE PA-2, COM ENCAIXE PONTA E BOLSA, DIAMETRO NOMINAL DE 800 MM</v>
      </c>
      <c r="G394" s="47" t="str">
        <f>ORÇAMENTO!E397</f>
        <v>M</v>
      </c>
      <c r="H394" s="47">
        <f>ORÇAMENTO!F397</f>
        <v>49.82</v>
      </c>
      <c r="I394" s="47">
        <f>ORÇAMENTO!G397</f>
        <v>390.38</v>
      </c>
      <c r="J394" s="47">
        <f>ORÇAMENTO!H397</f>
        <v>0.111</v>
      </c>
      <c r="K394" s="47">
        <f>ORÇAMENTO!I397</f>
        <v>433.71</v>
      </c>
      <c r="L394" s="107">
        <f>ORÇAMENTO!J397</f>
        <v>21607.43</v>
      </c>
      <c r="N394" s="29" t="str">
        <f t="shared" si="30"/>
        <v>DIFERENTE</v>
      </c>
      <c r="O394" s="29" t="str">
        <f t="shared" si="31"/>
        <v>DIFERENTE</v>
      </c>
      <c r="P394" s="29" t="str">
        <f t="shared" si="32"/>
        <v>DIFERENTE</v>
      </c>
    </row>
    <row r="395" spans="2:16" ht="29" x14ac:dyDescent="0.35">
      <c r="B395" s="47">
        <f t="shared" si="33"/>
        <v>123</v>
      </c>
      <c r="C395" s="47" t="str">
        <f>ORÇAMENTO!A245</f>
        <v>4.1.2.6.47</v>
      </c>
      <c r="D395" s="47" t="str">
        <f>ORÇAMENTO!B245</f>
        <v xml:space="preserve"> 00007781 </v>
      </c>
      <c r="E395" s="47" t="str">
        <f>ORÇAMENTO!C245</f>
        <v>SINAPI</v>
      </c>
      <c r="F395" s="48" t="str">
        <f>ORÇAMENTO!D245</f>
        <v>TUBO DE CONCRETO SIMPLES PARA AGUAS PLUVIAIS, CLASSE PS1, COM ENCAIXE PONTA E BOLSA, DIAMETRO NOMINAL DE 400 MM</v>
      </c>
      <c r="G395" s="47" t="str">
        <f>ORÇAMENTO!E245</f>
        <v>M</v>
      </c>
      <c r="H395" s="47">
        <f>ORÇAMENTO!F245</f>
        <v>80.11</v>
      </c>
      <c r="I395" s="47">
        <f>ORÇAMENTO!G245</f>
        <v>62.21</v>
      </c>
      <c r="J395" s="47">
        <f>ORÇAMENTO!H245</f>
        <v>0.111</v>
      </c>
      <c r="K395" s="47">
        <f>ORÇAMENTO!I245</f>
        <v>69.12</v>
      </c>
      <c r="L395" s="49">
        <f>ORÇAMENTO!J245</f>
        <v>5537.2</v>
      </c>
      <c r="N395" s="29" t="str">
        <f t="shared" si="30"/>
        <v>DIFERENTE</v>
      </c>
      <c r="O395" s="29" t="str">
        <f t="shared" si="31"/>
        <v>DIFERENTE</v>
      </c>
      <c r="P395" s="29" t="str">
        <f t="shared" si="32"/>
        <v>DIFERENTE</v>
      </c>
    </row>
    <row r="396" spans="2:16" ht="29" x14ac:dyDescent="0.35">
      <c r="B396" s="47">
        <f t="shared" si="33"/>
        <v>123</v>
      </c>
      <c r="C396" s="47" t="str">
        <f>ORÇAMENTO!A391</f>
        <v>5.1.2.5.3</v>
      </c>
      <c r="D396" s="47" t="str">
        <f>ORÇAMENTO!B391</f>
        <v xml:space="preserve"> 00007781 </v>
      </c>
      <c r="E396" s="47" t="str">
        <f>ORÇAMENTO!C391</f>
        <v>SINAPI</v>
      </c>
      <c r="F396" s="48" t="str">
        <f>ORÇAMENTO!D391</f>
        <v>TUBO DE CONCRETO SIMPLES PARA AGUAS PLUVIAIS, CLASSE PS1, COM ENCAIXE PONTA E BOLSA, DIAMETRO NOMINAL DE 400 MM</v>
      </c>
      <c r="G396" s="47" t="str">
        <f>ORÇAMENTO!E391</f>
        <v>M</v>
      </c>
      <c r="H396" s="47">
        <f>ORÇAMENTO!F391</f>
        <v>275.74</v>
      </c>
      <c r="I396" s="47">
        <f>ORÇAMENTO!G391</f>
        <v>62.21</v>
      </c>
      <c r="J396" s="47">
        <f>ORÇAMENTO!H391</f>
        <v>0.111</v>
      </c>
      <c r="K396" s="47">
        <f>ORÇAMENTO!I391</f>
        <v>69.12</v>
      </c>
      <c r="L396" s="49">
        <f>ORÇAMENTO!J391</f>
        <v>19059.14</v>
      </c>
      <c r="N396" s="29" t="str">
        <f t="shared" si="30"/>
        <v>OK!</v>
      </c>
      <c r="O396" s="29" t="str">
        <f t="shared" si="31"/>
        <v>OK!</v>
      </c>
      <c r="P396" s="29" t="str">
        <f t="shared" si="32"/>
        <v>OK!</v>
      </c>
    </row>
    <row r="397" spans="2:16" ht="29" x14ac:dyDescent="0.35">
      <c r="B397" s="47">
        <f t="shared" si="33"/>
        <v>123</v>
      </c>
      <c r="C397" s="47" t="str">
        <f>ORÇAMENTO!A455</f>
        <v>5.1.2.7.47</v>
      </c>
      <c r="D397" s="47" t="str">
        <f>ORÇAMENTO!B455</f>
        <v xml:space="preserve"> 00007781 </v>
      </c>
      <c r="E397" s="47" t="str">
        <f>ORÇAMENTO!C455</f>
        <v>SINAPI</v>
      </c>
      <c r="F397" s="48" t="str">
        <f>ORÇAMENTO!D455</f>
        <v>TUBO DE CONCRETO SIMPLES PARA AGUAS PLUVIAIS, CLASSE PS1, COM ENCAIXE PONTA E BOLSA, DIAMETRO NOMINAL DE 400 MM</v>
      </c>
      <c r="G397" s="47" t="str">
        <f>ORÇAMENTO!E455</f>
        <v>M</v>
      </c>
      <c r="H397" s="47">
        <f>ORÇAMENTO!F455</f>
        <v>76</v>
      </c>
      <c r="I397" s="47">
        <f>ORÇAMENTO!G455</f>
        <v>62.21</v>
      </c>
      <c r="J397" s="47">
        <f>ORÇAMENTO!H455</f>
        <v>0.111</v>
      </c>
      <c r="K397" s="47">
        <f>ORÇAMENTO!I455</f>
        <v>69.12</v>
      </c>
      <c r="L397" s="49">
        <f>ORÇAMENTO!J455</f>
        <v>5253.12</v>
      </c>
      <c r="N397" s="29" t="str">
        <f t="shared" si="30"/>
        <v>OK!</v>
      </c>
      <c r="O397" s="29" t="str">
        <f t="shared" si="31"/>
        <v>OK!</v>
      </c>
      <c r="P397" s="29" t="str">
        <f t="shared" si="32"/>
        <v>OK!</v>
      </c>
    </row>
    <row r="398" spans="2:16" ht="29" x14ac:dyDescent="0.35">
      <c r="B398" s="47">
        <f t="shared" si="33"/>
        <v>124</v>
      </c>
      <c r="C398" s="47" t="str">
        <f>ORÇAMENTO!A246</f>
        <v>4.1.2.6.48</v>
      </c>
      <c r="D398" s="47" t="str">
        <f>ORÇAMENTO!B246</f>
        <v xml:space="preserve"> 00007785 </v>
      </c>
      <c r="E398" s="47" t="str">
        <f>ORÇAMENTO!C246</f>
        <v>SINAPI</v>
      </c>
      <c r="F398" s="48" t="str">
        <f>ORÇAMENTO!D246</f>
        <v>TUBO DE CONCRETO SIMPLES PARA AGUAS PLUVIAIS, CLASSE PS2, COM ENCAIXE PONTA E BOLSA, DIAMETRO NOMINAL DE 400 MM</v>
      </c>
      <c r="G398" s="47" t="str">
        <f>ORÇAMENTO!E246</f>
        <v>M</v>
      </c>
      <c r="H398" s="47">
        <f>ORÇAMENTO!F246</f>
        <v>263.35000000000002</v>
      </c>
      <c r="I398" s="47">
        <f>ORÇAMENTO!G246</f>
        <v>68.3</v>
      </c>
      <c r="J398" s="47">
        <f>ORÇAMENTO!H246</f>
        <v>0.111</v>
      </c>
      <c r="K398" s="47">
        <f>ORÇAMENTO!I246</f>
        <v>75.88</v>
      </c>
      <c r="L398" s="49">
        <f>ORÇAMENTO!J246</f>
        <v>19982.990000000002</v>
      </c>
      <c r="N398" s="29" t="str">
        <f t="shared" si="30"/>
        <v>DIFERENTE</v>
      </c>
      <c r="O398" s="29" t="str">
        <f t="shared" si="31"/>
        <v>DIFERENTE</v>
      </c>
      <c r="P398" s="29" t="str">
        <f t="shared" si="32"/>
        <v>DIFERENTE</v>
      </c>
    </row>
    <row r="399" spans="2:16" ht="29" x14ac:dyDescent="0.35">
      <c r="B399" s="47">
        <f t="shared" si="33"/>
        <v>124</v>
      </c>
      <c r="C399" s="47" t="str">
        <f>ORÇAMENTO!A392</f>
        <v>5.1.2.5.4</v>
      </c>
      <c r="D399" s="47" t="str">
        <f>ORÇAMENTO!B392</f>
        <v xml:space="preserve"> 00007785 </v>
      </c>
      <c r="E399" s="47" t="str">
        <f>ORÇAMENTO!C392</f>
        <v>SINAPI</v>
      </c>
      <c r="F399" s="48" t="str">
        <f>ORÇAMENTO!D392</f>
        <v>TUBO DE CONCRETO SIMPLES PARA AGUAS PLUVIAIS, CLASSE PS2, COM ENCAIXE PONTA E BOLSA, DIAMETRO NOMINAL DE 400 MM</v>
      </c>
      <c r="G399" s="47" t="str">
        <f>ORÇAMENTO!E392</f>
        <v>M</v>
      </c>
      <c r="H399" s="47">
        <f>ORÇAMENTO!F392</f>
        <v>135.03</v>
      </c>
      <c r="I399" s="47">
        <f>ORÇAMENTO!G392</f>
        <v>68.3</v>
      </c>
      <c r="J399" s="47">
        <f>ORÇAMENTO!H392</f>
        <v>0.111</v>
      </c>
      <c r="K399" s="47">
        <f>ORÇAMENTO!I392</f>
        <v>75.88</v>
      </c>
      <c r="L399" s="49">
        <f>ORÇAMENTO!J392</f>
        <v>10246.07</v>
      </c>
      <c r="N399" s="29" t="str">
        <f t="shared" si="30"/>
        <v>OK!</v>
      </c>
      <c r="O399" s="29" t="str">
        <f t="shared" si="31"/>
        <v>OK!</v>
      </c>
      <c r="P399" s="29" t="str">
        <f t="shared" si="32"/>
        <v>OK!</v>
      </c>
    </row>
    <row r="400" spans="2:16" ht="29" x14ac:dyDescent="0.35">
      <c r="B400" s="47">
        <f t="shared" si="33"/>
        <v>124</v>
      </c>
      <c r="C400" s="47" t="str">
        <f>ORÇAMENTO!A456</f>
        <v>5.1.2.7.48</v>
      </c>
      <c r="D400" s="47" t="str">
        <f>ORÇAMENTO!B456</f>
        <v xml:space="preserve"> 00007785 </v>
      </c>
      <c r="E400" s="47" t="str">
        <f>ORÇAMENTO!C456</f>
        <v>SINAPI</v>
      </c>
      <c r="F400" s="48" t="str">
        <f>ORÇAMENTO!D456</f>
        <v>TUBO DE CONCRETO SIMPLES PARA AGUAS PLUVIAIS, CLASSE PS2, COM ENCAIXE PONTA E BOLSA, DIAMETRO NOMINAL DE 400 MM</v>
      </c>
      <c r="G400" s="47" t="str">
        <f>ORÇAMENTO!E456</f>
        <v>M</v>
      </c>
      <c r="H400" s="47">
        <f>ORÇAMENTO!F456</f>
        <v>583.74</v>
      </c>
      <c r="I400" s="47">
        <f>ORÇAMENTO!G456</f>
        <v>68.3</v>
      </c>
      <c r="J400" s="47">
        <f>ORÇAMENTO!H456</f>
        <v>0.111</v>
      </c>
      <c r="K400" s="47">
        <f>ORÇAMENTO!I456</f>
        <v>75.88</v>
      </c>
      <c r="L400" s="49">
        <f>ORÇAMENTO!J456</f>
        <v>44294.19</v>
      </c>
      <c r="N400" s="29" t="str">
        <f t="shared" si="30"/>
        <v>OK!</v>
      </c>
      <c r="O400" s="29" t="str">
        <f t="shared" si="31"/>
        <v>OK!</v>
      </c>
      <c r="P400" s="29" t="str">
        <f t="shared" si="32"/>
        <v>OK!</v>
      </c>
    </row>
    <row r="401" spans="2:16" ht="29" x14ac:dyDescent="0.35">
      <c r="B401" s="47">
        <f t="shared" si="33"/>
        <v>125</v>
      </c>
      <c r="C401" s="47" t="str">
        <f>ORÇAMENTO!A177</f>
        <v>4.1.2.4.11</v>
      </c>
      <c r="D401" s="47" t="str">
        <f>ORÇAMENTO!B177</f>
        <v xml:space="preserve"> 101023 M </v>
      </c>
      <c r="E401" s="47" t="str">
        <f>ORÇAMENTO!C177</f>
        <v>PRÓPRIO</v>
      </c>
      <c r="F401" s="48" t="str">
        <f>ORÇAMENTO!D177</f>
        <v>USINAGEM DE CBUQ SEM  CAP 50/70, PARA CAPA DE ROLAMENTO (SEM MATERIAL  E TRANSPORTE)</v>
      </c>
      <c r="G401" s="47" t="str">
        <f>ORÇAMENTO!E177</f>
        <v>T</v>
      </c>
      <c r="H401" s="47">
        <f>ORÇAMENTO!F177</f>
        <v>150.28029109960337</v>
      </c>
      <c r="I401" s="47">
        <f>ORÇAMENTO!G177</f>
        <v>188.17</v>
      </c>
      <c r="J401" s="47">
        <f>ORÇAMENTO!H177</f>
        <v>0.2122</v>
      </c>
      <c r="K401" s="47">
        <f>ORÇAMENTO!I177</f>
        <v>228.1</v>
      </c>
      <c r="L401" s="49">
        <f>ORÇAMENTO!J177</f>
        <v>34278.93</v>
      </c>
      <c r="N401" s="29" t="str">
        <f t="shared" si="30"/>
        <v>DIFERENTE</v>
      </c>
      <c r="O401" s="29" t="str">
        <f t="shared" si="31"/>
        <v>DIFERENTE</v>
      </c>
      <c r="P401" s="29" t="str">
        <f t="shared" si="32"/>
        <v>DIFERENTE</v>
      </c>
    </row>
    <row r="402" spans="2:16" ht="29" x14ac:dyDescent="0.35">
      <c r="B402" s="47">
        <f t="shared" si="33"/>
        <v>125</v>
      </c>
      <c r="C402" s="47" t="str">
        <f>ORÇAMENTO!A227</f>
        <v>4.1.2.6.29</v>
      </c>
      <c r="D402" s="47" t="str">
        <f>ORÇAMENTO!B227</f>
        <v xml:space="preserve"> 101023 M </v>
      </c>
      <c r="E402" s="47" t="str">
        <f>ORÇAMENTO!C227</f>
        <v>PRÓPRIO</v>
      </c>
      <c r="F402" s="48" t="str">
        <f>ORÇAMENTO!D227</f>
        <v>USINAGEM DE CBUQ SEM  CAP 50/70, PARA CAPA DE ROLAMENTO (SEM MATERIAL  E TRANSPORTE)</v>
      </c>
      <c r="G402" s="47" t="str">
        <f>ORÇAMENTO!E227</f>
        <v>T</v>
      </c>
      <c r="H402" s="47">
        <f>ORÇAMENTO!F227</f>
        <v>31.1</v>
      </c>
      <c r="I402" s="47">
        <f>ORÇAMENTO!G227</f>
        <v>188.17</v>
      </c>
      <c r="J402" s="47">
        <f>ORÇAMENTO!H227</f>
        <v>0.2122</v>
      </c>
      <c r="K402" s="47">
        <f>ORÇAMENTO!I227</f>
        <v>228.1</v>
      </c>
      <c r="L402" s="49">
        <f>ORÇAMENTO!J227</f>
        <v>7093.91</v>
      </c>
      <c r="N402" s="29" t="str">
        <f t="shared" si="30"/>
        <v>OK!</v>
      </c>
      <c r="O402" s="29" t="str">
        <f t="shared" si="31"/>
        <v>OK!</v>
      </c>
      <c r="P402" s="29" t="str">
        <f t="shared" si="32"/>
        <v>OK!</v>
      </c>
    </row>
    <row r="403" spans="2:16" ht="29" x14ac:dyDescent="0.35">
      <c r="B403" s="47">
        <f t="shared" si="33"/>
        <v>125</v>
      </c>
      <c r="C403" s="47" t="str">
        <f>ORÇAMENTO!A283</f>
        <v>4.3.17</v>
      </c>
      <c r="D403" s="47" t="str">
        <f>ORÇAMENTO!B283</f>
        <v xml:space="preserve"> 101023 M </v>
      </c>
      <c r="E403" s="47" t="str">
        <f>ORÇAMENTO!C283</f>
        <v>PRÓPRIO</v>
      </c>
      <c r="F403" s="48" t="str">
        <f>ORÇAMENTO!D283</f>
        <v>USINAGEM DE CBUQ SEM  CAP 50/70, PARA CAPA DE ROLAMENTO (SEM MATERIAL  E TRANSPORTE)</v>
      </c>
      <c r="G403" s="47" t="str">
        <f>ORÇAMENTO!E283</f>
        <v>T</v>
      </c>
      <c r="H403" s="47">
        <f>ORÇAMENTO!F283</f>
        <v>8.7298216637942616</v>
      </c>
      <c r="I403" s="47">
        <f>ORÇAMENTO!G283</f>
        <v>188.17</v>
      </c>
      <c r="J403" s="47">
        <f>ORÇAMENTO!H283</f>
        <v>0.2122</v>
      </c>
      <c r="K403" s="47">
        <f>ORÇAMENTO!I283</f>
        <v>228.1</v>
      </c>
      <c r="L403" s="49">
        <f>ORÇAMENTO!J283</f>
        <v>1991.27</v>
      </c>
      <c r="N403" s="29" t="str">
        <f t="shared" si="30"/>
        <v>OK!</v>
      </c>
      <c r="O403" s="29" t="str">
        <f t="shared" si="31"/>
        <v>OK!</v>
      </c>
      <c r="P403" s="29" t="str">
        <f t="shared" si="32"/>
        <v>OK!</v>
      </c>
    </row>
    <row r="404" spans="2:16" ht="29" x14ac:dyDescent="0.35">
      <c r="B404" s="47">
        <f t="shared" si="33"/>
        <v>125</v>
      </c>
      <c r="C404" s="47" t="str">
        <f>ORÇAMENTO!A376</f>
        <v>5.1.2.4.11</v>
      </c>
      <c r="D404" s="47" t="str">
        <f>ORÇAMENTO!B376</f>
        <v xml:space="preserve"> 101023 M </v>
      </c>
      <c r="E404" s="47" t="str">
        <f>ORÇAMENTO!C376</f>
        <v>PRÓPRIO</v>
      </c>
      <c r="F404" s="48" t="str">
        <f>ORÇAMENTO!D376</f>
        <v>USINAGEM DE CBUQ SEM  CAP 50/70, PARA CAPA DE ROLAMENTO (SEM MATERIAL  E TRANSPORTE)</v>
      </c>
      <c r="G404" s="47" t="str">
        <f>ORÇAMENTO!E376</f>
        <v>T</v>
      </c>
      <c r="H404" s="47">
        <f>ORÇAMENTO!F376</f>
        <v>257.70657599999993</v>
      </c>
      <c r="I404" s="47">
        <f>ORÇAMENTO!G376</f>
        <v>188.17</v>
      </c>
      <c r="J404" s="47">
        <f>ORÇAMENTO!H376</f>
        <v>0.2122</v>
      </c>
      <c r="K404" s="47">
        <f>ORÇAMENTO!I376</f>
        <v>228.1</v>
      </c>
      <c r="L404" s="49">
        <f>ORÇAMENTO!J376</f>
        <v>58782.86</v>
      </c>
      <c r="N404" s="29" t="str">
        <f t="shared" si="30"/>
        <v>OK!</v>
      </c>
      <c r="O404" s="29" t="str">
        <f t="shared" si="31"/>
        <v>OK!</v>
      </c>
      <c r="P404" s="29" t="str">
        <f t="shared" si="32"/>
        <v>OK!</v>
      </c>
    </row>
    <row r="405" spans="2:16" ht="29" x14ac:dyDescent="0.35">
      <c r="B405" s="47">
        <f t="shared" si="33"/>
        <v>125</v>
      </c>
      <c r="C405" s="47" t="str">
        <f>ORÇAMENTO!A437</f>
        <v>5.1.2.7.29</v>
      </c>
      <c r="D405" s="47" t="str">
        <f>ORÇAMENTO!B437</f>
        <v xml:space="preserve"> 101023 M </v>
      </c>
      <c r="E405" s="47" t="str">
        <f>ORÇAMENTO!C437</f>
        <v>PRÓPRIO</v>
      </c>
      <c r="F405" s="48" t="str">
        <f>ORÇAMENTO!D437</f>
        <v>USINAGEM DE CBUQ SEM  CAP 50/70, PARA CAPA DE ROLAMENTO (SEM MATERIAL  E TRANSPORTE)</v>
      </c>
      <c r="G405" s="47" t="str">
        <f>ORÇAMENTO!E437</f>
        <v>T</v>
      </c>
      <c r="H405" s="47">
        <f>ORÇAMENTO!F437</f>
        <v>59.84</v>
      </c>
      <c r="I405" s="47">
        <f>ORÇAMENTO!G437</f>
        <v>188.17</v>
      </c>
      <c r="J405" s="47">
        <f>ORÇAMENTO!H437</f>
        <v>0.2122</v>
      </c>
      <c r="K405" s="47">
        <f>ORÇAMENTO!I437</f>
        <v>228.1</v>
      </c>
      <c r="L405" s="49">
        <f>ORÇAMENTO!J437</f>
        <v>13649.5</v>
      </c>
      <c r="N405" s="29" t="str">
        <f t="shared" si="30"/>
        <v>OK!</v>
      </c>
      <c r="O405" s="29" t="str">
        <f t="shared" si="31"/>
        <v>OK!</v>
      </c>
      <c r="P405" s="29" t="str">
        <f t="shared" si="32"/>
        <v>OK!</v>
      </c>
    </row>
    <row r="406" spans="2:16" ht="29" x14ac:dyDescent="0.35">
      <c r="B406" s="47">
        <f t="shared" si="33"/>
        <v>125</v>
      </c>
      <c r="C406" s="47" t="str">
        <f>ORÇAMENTO!A517</f>
        <v>5.4.4.9</v>
      </c>
      <c r="D406" s="47" t="str">
        <f>ORÇAMENTO!B517</f>
        <v xml:space="preserve"> 101023 M </v>
      </c>
      <c r="E406" s="47" t="str">
        <f>ORÇAMENTO!C517</f>
        <v>PRÓPRIO</v>
      </c>
      <c r="F406" s="48" t="str">
        <f>ORÇAMENTO!D517</f>
        <v>USINAGEM DE CBUQ SEM  CAP 50/70, PARA CAPA DE ROLAMENTO (SEM MATERIAL  E TRANSPORTE)</v>
      </c>
      <c r="G406" s="47" t="str">
        <f>ORÇAMENTO!E517</f>
        <v>T</v>
      </c>
      <c r="H406" s="47">
        <f>ORÇAMENTO!F517</f>
        <v>657.12</v>
      </c>
      <c r="I406" s="47">
        <f>ORÇAMENTO!G517</f>
        <v>188.17</v>
      </c>
      <c r="J406" s="47">
        <f>ORÇAMENTO!H517</f>
        <v>0.2122</v>
      </c>
      <c r="K406" s="47">
        <f>ORÇAMENTO!I517</f>
        <v>228.1</v>
      </c>
      <c r="L406" s="49">
        <f>ORÇAMENTO!J517</f>
        <v>149889.07</v>
      </c>
      <c r="N406" s="29" t="str">
        <f t="shared" si="30"/>
        <v>OK!</v>
      </c>
      <c r="O406" s="29" t="str">
        <f t="shared" si="31"/>
        <v>OK!</v>
      </c>
      <c r="P406" s="29" t="str">
        <f t="shared" si="32"/>
        <v>OK!</v>
      </c>
    </row>
    <row r="407" spans="2:16" ht="29" x14ac:dyDescent="0.35">
      <c r="B407" s="47">
        <f t="shared" si="33"/>
        <v>125</v>
      </c>
      <c r="C407" s="47" t="str">
        <f>ORÇAMENTO!A545</f>
        <v>5.5.18</v>
      </c>
      <c r="D407" s="47" t="str">
        <f>ORÇAMENTO!B545</f>
        <v xml:space="preserve"> 101023 M </v>
      </c>
      <c r="E407" s="47" t="str">
        <f>ORÇAMENTO!C545</f>
        <v>PRÓPRIO</v>
      </c>
      <c r="F407" s="48" t="str">
        <f>ORÇAMENTO!D545</f>
        <v>USINAGEM DE CBUQ SEM  CAP 50/70, PARA CAPA DE ROLAMENTO (SEM MATERIAL  E TRANSPORTE)</v>
      </c>
      <c r="G407" s="47" t="str">
        <f>ORÇAMENTO!E545</f>
        <v>T</v>
      </c>
      <c r="H407" s="47">
        <f>ORÇAMENTO!F545</f>
        <v>14.052883653912712</v>
      </c>
      <c r="I407" s="47">
        <f>ORÇAMENTO!G545</f>
        <v>188.17</v>
      </c>
      <c r="J407" s="47">
        <f>ORÇAMENTO!H545</f>
        <v>0.2122</v>
      </c>
      <c r="K407" s="47">
        <f>ORÇAMENTO!I545</f>
        <v>228.1</v>
      </c>
      <c r="L407" s="49">
        <f>ORÇAMENTO!J545</f>
        <v>3205.46</v>
      </c>
      <c r="N407" s="29" t="str">
        <f t="shared" si="30"/>
        <v>OK!</v>
      </c>
      <c r="O407" s="29" t="str">
        <f t="shared" si="31"/>
        <v>OK!</v>
      </c>
      <c r="P407" s="29" t="str">
        <f t="shared" si="32"/>
        <v>OK!</v>
      </c>
    </row>
  </sheetData>
  <autoFilter ref="B1:P407" xr:uid="{339507EE-C47A-4925-9A09-ED6316B2574C}"/>
  <sortState xmlns:xlrd2="http://schemas.microsoft.com/office/spreadsheetml/2017/richdata2" ref="B1:P407">
    <sortCondition ref="F1:F407"/>
  </sortState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5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87A3-1144-42B9-9E81-3328C81870D8}">
  <sheetPr codeName="Planilha7">
    <pageSetUpPr fitToPage="1"/>
  </sheetPr>
  <dimension ref="A1:S3875"/>
  <sheetViews>
    <sheetView view="pageBreakPreview" zoomScale="60" zoomScaleNormal="100" workbookViewId="0">
      <selection activeCell="E6" sqref="E6"/>
    </sheetView>
  </sheetViews>
  <sheetFormatPr defaultColWidth="8" defaultRowHeight="14.5" x14ac:dyDescent="0.35"/>
  <cols>
    <col min="1" max="1" width="6.75" style="189" customWidth="1"/>
    <col min="2" max="2" width="30.33203125" style="190" customWidth="1"/>
    <col min="3" max="3" width="6.75" style="189" customWidth="1"/>
    <col min="4" max="10" width="11.08203125" style="189" customWidth="1"/>
    <col min="11" max="11" width="12" style="189" customWidth="1"/>
    <col min="12" max="15" width="11.08203125" style="189" customWidth="1"/>
    <col min="16" max="16" width="44.08203125" style="191" customWidth="1"/>
    <col min="17" max="17" width="10.83203125" style="191" bestFit="1" customWidth="1"/>
    <col min="18" max="18" width="8" style="191"/>
    <col min="19" max="32" width="11.58203125" style="191" bestFit="1" customWidth="1"/>
    <col min="33" max="37" width="10.58203125" style="191" bestFit="1" customWidth="1"/>
    <col min="38" max="39" width="9.25" style="191" bestFit="1" customWidth="1"/>
    <col min="40" max="16384" width="8" style="191"/>
  </cols>
  <sheetData>
    <row r="1" spans="1:17" s="128" customFormat="1" ht="70" customHeight="1" thickBot="1" x14ac:dyDescent="0.35">
      <c r="A1" s="704"/>
      <c r="B1" s="703"/>
      <c r="C1" s="703" t="str">
        <f>ORÇAMENTO!D2</f>
        <v>REVISÃO E READEQUAÇÃO DOS PROJETOS EXECUTIVOS DE DRENAGEM NO SETOR HABITACIONAL MESTRE D'ARMAS, REGIÃO ADMINISTRATIVA DE PLANATINA - RA-PLAN, PELA SODF, NO DISTRITO FEDERAL - BLOCO 1 - LOTE 2 (ÁREA 5 E 6) CONTRATO: 21/2021- SODF - SEM DESONERAÇÃO</v>
      </c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5"/>
    </row>
    <row r="2" spans="1:17" s="128" customFormat="1" ht="26.5" thickBot="1" x14ac:dyDescent="0.35">
      <c r="A2" s="706" t="s">
        <v>2093</v>
      </c>
      <c r="B2" s="706"/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7"/>
    </row>
    <row r="3" spans="1:17" s="128" customFormat="1" ht="47" customHeight="1" x14ac:dyDescent="0.3">
      <c r="A3" s="708" t="s">
        <v>2146</v>
      </c>
      <c r="B3" s="708"/>
      <c r="C3" s="709" t="str">
        <f>ORÇAMENTO!D2</f>
        <v>REVISÃO E READEQUAÇÃO DOS PROJETOS EXECUTIVOS DE DRENAGEM NO SETOR HABITACIONAL MESTRE D'ARMAS, REGIÃO ADMINISTRATIVA DE PLANATINA - RA-PLAN, PELA SODF, NO DISTRITO FEDERAL - BLOCO 1 - LOTE 2 (ÁREA 5 E 6) CONTRATO: 21/2021- SODF - SEM DESONERAÇÃO</v>
      </c>
      <c r="D3" s="709"/>
      <c r="E3" s="709"/>
      <c r="F3" s="709"/>
      <c r="G3" s="709"/>
      <c r="H3" s="709"/>
      <c r="I3" s="709"/>
      <c r="J3" s="709"/>
      <c r="K3" s="709"/>
      <c r="L3" s="129"/>
      <c r="M3" s="130"/>
      <c r="N3" s="131"/>
      <c r="O3" s="132"/>
    </row>
    <row r="4" spans="1:17" s="128" customFormat="1" ht="15" thickBot="1" x14ac:dyDescent="0.35">
      <c r="A4" s="701" t="s">
        <v>2129</v>
      </c>
      <c r="B4" s="701"/>
      <c r="C4" s="702" t="s">
        <v>3465</v>
      </c>
      <c r="D4" s="702"/>
      <c r="E4" s="702"/>
      <c r="F4" s="702"/>
      <c r="G4" s="702"/>
      <c r="H4" s="702"/>
      <c r="I4" s="702"/>
      <c r="J4" s="702"/>
      <c r="K4" s="702"/>
      <c r="L4" s="133"/>
      <c r="M4" s="133"/>
      <c r="N4" s="134"/>
      <c r="O4" s="135"/>
    </row>
    <row r="5" spans="1:17" s="140" customFormat="1" x14ac:dyDescent="0.35">
      <c r="A5" s="136" t="s">
        <v>375</v>
      </c>
      <c r="B5" s="137" t="s">
        <v>2147</v>
      </c>
      <c r="C5" s="138" t="s">
        <v>2148</v>
      </c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9"/>
      <c r="O5" s="138"/>
    </row>
    <row r="6" spans="1:17" s="426" customFormat="1" ht="21" x14ac:dyDescent="0.25">
      <c r="A6" s="421">
        <f>ORÇAMENTO!A5</f>
        <v>1</v>
      </c>
      <c r="B6" s="422" t="str">
        <f>VLOOKUP(A6,ORÇAMENTO!A:K,4,0)</f>
        <v>ADMINISTRAÇÃO</v>
      </c>
      <c r="C6" s="423"/>
      <c r="D6" s="423" t="s">
        <v>3474</v>
      </c>
      <c r="E6" s="424">
        <f>COUNTA(CRONOGRAMA!D4:L4)</f>
        <v>9</v>
      </c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5"/>
      <c r="Q6" s="425"/>
    </row>
    <row r="7" spans="1:17" s="426" customFormat="1" ht="10.5" x14ac:dyDescent="0.25">
      <c r="A7" s="421" t="str">
        <f>ORÇAMENTO!A6</f>
        <v xml:space="preserve"> 1.1 </v>
      </c>
      <c r="B7" s="422" t="str">
        <f>VLOOKUP(A7,ORÇAMENTO!A:K,4,0)</f>
        <v>EQUIPE TÉCNICA GERENCIAL</v>
      </c>
      <c r="C7" s="423"/>
      <c r="D7" s="423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5"/>
      <c r="Q7" s="425"/>
    </row>
    <row r="8" spans="1:17" s="426" customFormat="1" ht="10.5" x14ac:dyDescent="0.25">
      <c r="A8" s="421" t="str">
        <f>ORÇAMENTO!A7</f>
        <v xml:space="preserve"> 1.1.1 </v>
      </c>
      <c r="B8" s="422" t="str">
        <f>VLOOKUP(A8,ORÇAMENTO!A:K,4,0)</f>
        <v>MÃO DE OBRA EQUIPE TÉCNICA GERENCIAL</v>
      </c>
      <c r="C8" s="423"/>
      <c r="D8" s="423"/>
      <c r="E8" s="424"/>
      <c r="F8" s="424"/>
      <c r="G8" s="424"/>
      <c r="H8" s="424"/>
      <c r="I8" s="424"/>
      <c r="J8" s="424"/>
      <c r="K8" s="424"/>
      <c r="L8" s="424"/>
      <c r="M8" s="424"/>
      <c r="N8" s="424"/>
      <c r="O8" s="424"/>
      <c r="P8" s="425"/>
      <c r="Q8" s="425"/>
    </row>
    <row r="9" spans="1:17" s="430" customFormat="1" ht="21" x14ac:dyDescent="0.25">
      <c r="A9" s="427" t="str">
        <f>ORÇAMENTO!A8</f>
        <v xml:space="preserve"> 1.1.1.1 </v>
      </c>
      <c r="B9" s="428" t="str">
        <f>VLOOKUP(A9,ORÇAMENTO!A:K,4,0)</f>
        <v>ENGENHEIRO CIVIL DE OBRA SENIOR COM ENCARGOS COMPLEMENTARES</v>
      </c>
      <c r="C9" s="429" t="str">
        <f>VLOOKUP(A9,ORÇAMENTO!A:K,5,0)</f>
        <v>MES</v>
      </c>
      <c r="D9" s="429">
        <f>SUM(E12:O12)</f>
        <v>3</v>
      </c>
      <c r="E9" s="429" t="s">
        <v>2149</v>
      </c>
      <c r="F9" s="429" t="s">
        <v>2150</v>
      </c>
      <c r="G9" s="429" t="s">
        <v>2151</v>
      </c>
      <c r="H9" s="429" t="s">
        <v>2152</v>
      </c>
      <c r="I9" s="429" t="s">
        <v>2153</v>
      </c>
      <c r="J9" s="429" t="s">
        <v>2154</v>
      </c>
      <c r="K9" s="429" t="s">
        <v>2155</v>
      </c>
      <c r="L9" s="429" t="s">
        <v>2156</v>
      </c>
      <c r="M9" s="429" t="s">
        <v>413</v>
      </c>
      <c r="N9" s="429" t="s">
        <v>2157</v>
      </c>
      <c r="O9" s="429" t="s">
        <v>2158</v>
      </c>
      <c r="P9" s="425"/>
      <c r="Q9" s="425"/>
    </row>
    <row r="10" spans="1:17" s="426" customFormat="1" ht="10.5" x14ac:dyDescent="0.25">
      <c r="A10" s="431"/>
      <c r="B10" s="432" t="s">
        <v>2116</v>
      </c>
      <c r="C10" s="433"/>
      <c r="D10" s="418"/>
      <c r="E10" s="418"/>
      <c r="F10" s="418"/>
      <c r="G10" s="418"/>
      <c r="H10" s="418"/>
      <c r="I10" s="418"/>
      <c r="J10" s="418"/>
      <c r="K10" s="418"/>
      <c r="L10" s="418"/>
      <c r="M10" s="418">
        <f>E6/3</f>
        <v>3</v>
      </c>
      <c r="N10" s="418"/>
      <c r="O10" s="418"/>
      <c r="P10" s="434"/>
      <c r="Q10" s="425"/>
    </row>
    <row r="11" spans="1:17" s="426" customFormat="1" ht="10.5" x14ac:dyDescent="0.25">
      <c r="A11" s="431"/>
      <c r="B11" s="432"/>
      <c r="C11" s="433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  <c r="P11" s="434"/>
      <c r="Q11" s="425"/>
    </row>
    <row r="12" spans="1:17" s="426" customFormat="1" ht="10.5" x14ac:dyDescent="0.25">
      <c r="A12" s="431"/>
      <c r="B12" s="435" t="s">
        <v>377</v>
      </c>
      <c r="C12" s="436" t="s">
        <v>402</v>
      </c>
      <c r="D12" s="436"/>
      <c r="E12" s="436"/>
      <c r="F12" s="436"/>
      <c r="G12" s="436"/>
      <c r="H12" s="436"/>
      <c r="I12" s="436"/>
      <c r="J12" s="436"/>
      <c r="K12" s="436"/>
      <c r="L12" s="436"/>
      <c r="M12" s="436">
        <f>SUM(M10:M11)</f>
        <v>3</v>
      </c>
      <c r="O12" s="436"/>
      <c r="P12" s="437"/>
      <c r="Q12" s="425"/>
    </row>
    <row r="13" spans="1:17" s="430" customFormat="1" ht="21" x14ac:dyDescent="0.25">
      <c r="A13" s="427" t="str">
        <f>ORÇAMENTO!A9</f>
        <v xml:space="preserve"> 1.1.1.2</v>
      </c>
      <c r="B13" s="428" t="str">
        <f>VLOOKUP(A13,ORÇAMENTO!A:K,4,0)</f>
        <v>ENGENHEIRO CIVIL DE OBRA PLENO COM ENCARGOS COMPLEMENTARES</v>
      </c>
      <c r="C13" s="429" t="str">
        <f>VLOOKUP(A13,ORÇAMENTO!A:K,5,0)</f>
        <v>MES</v>
      </c>
      <c r="D13" s="429">
        <f>SUM(E16:O16)</f>
        <v>9</v>
      </c>
      <c r="E13" s="429" t="s">
        <v>2149</v>
      </c>
      <c r="F13" s="429" t="s">
        <v>2150</v>
      </c>
      <c r="G13" s="429" t="s">
        <v>2151</v>
      </c>
      <c r="H13" s="429" t="s">
        <v>2152</v>
      </c>
      <c r="I13" s="429" t="s">
        <v>2153</v>
      </c>
      <c r="J13" s="429" t="s">
        <v>2154</v>
      </c>
      <c r="K13" s="429" t="s">
        <v>2155</v>
      </c>
      <c r="L13" s="429" t="s">
        <v>2156</v>
      </c>
      <c r="M13" s="429" t="s">
        <v>413</v>
      </c>
      <c r="N13" s="429" t="s">
        <v>2157</v>
      </c>
      <c r="O13" s="429" t="s">
        <v>2158</v>
      </c>
      <c r="P13" s="425"/>
      <c r="Q13" s="425"/>
    </row>
    <row r="14" spans="1:17" s="426" customFormat="1" ht="10.5" x14ac:dyDescent="0.25">
      <c r="A14" s="431"/>
      <c r="B14" s="432" t="s">
        <v>2117</v>
      </c>
      <c r="C14" s="433"/>
      <c r="D14" s="418"/>
      <c r="E14" s="418"/>
      <c r="F14" s="418"/>
      <c r="G14" s="418"/>
      <c r="H14" s="418"/>
      <c r="I14" s="418"/>
      <c r="J14" s="418"/>
      <c r="K14" s="418"/>
      <c r="L14" s="418"/>
      <c r="M14" s="418">
        <f>E6</f>
        <v>9</v>
      </c>
      <c r="N14" s="418"/>
      <c r="O14" s="418"/>
      <c r="P14" s="434"/>
      <c r="Q14" s="425"/>
    </row>
    <row r="15" spans="1:17" s="426" customFormat="1" ht="10.5" x14ac:dyDescent="0.25">
      <c r="A15" s="431"/>
      <c r="B15" s="432"/>
      <c r="C15" s="433"/>
      <c r="D15" s="418"/>
      <c r="E15" s="418"/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34"/>
      <c r="Q15" s="425"/>
    </row>
    <row r="16" spans="1:17" s="426" customFormat="1" ht="10.5" x14ac:dyDescent="0.25">
      <c r="A16" s="431"/>
      <c r="B16" s="435" t="s">
        <v>377</v>
      </c>
      <c r="C16" s="436" t="s">
        <v>402</v>
      </c>
      <c r="D16" s="436"/>
      <c r="E16" s="436"/>
      <c r="F16" s="436"/>
      <c r="G16" s="436"/>
      <c r="H16" s="436"/>
      <c r="I16" s="436"/>
      <c r="J16" s="436"/>
      <c r="K16" s="436"/>
      <c r="L16" s="436"/>
      <c r="M16" s="436">
        <f>SUM(M14:M15)</f>
        <v>9</v>
      </c>
      <c r="O16" s="436"/>
      <c r="P16" s="437"/>
      <c r="Q16" s="425"/>
    </row>
    <row r="17" spans="1:17" s="430" customFormat="1" ht="21" x14ac:dyDescent="0.25">
      <c r="A17" s="427" t="str">
        <f>ORÇAMENTO!A10</f>
        <v xml:space="preserve"> 1.1.1.3</v>
      </c>
      <c r="B17" s="428" t="str">
        <f>VLOOKUP(A17,ORÇAMENTO!A:K,4,0)</f>
        <v>TECNICO DE EDIFICACOES COM ENCARGOS COMPLEMENTARES</v>
      </c>
      <c r="C17" s="429" t="str">
        <f>VLOOKUP(A17,ORÇAMENTO!A:K,5,0)</f>
        <v>MES</v>
      </c>
      <c r="D17" s="429">
        <f>SUM(E20:O20)</f>
        <v>9</v>
      </c>
      <c r="E17" s="429" t="s">
        <v>2149</v>
      </c>
      <c r="F17" s="429" t="s">
        <v>2150</v>
      </c>
      <c r="G17" s="429" t="s">
        <v>2151</v>
      </c>
      <c r="H17" s="429" t="s">
        <v>2152</v>
      </c>
      <c r="I17" s="429" t="s">
        <v>2153</v>
      </c>
      <c r="J17" s="429" t="s">
        <v>2154</v>
      </c>
      <c r="K17" s="429" t="s">
        <v>2155</v>
      </c>
      <c r="L17" s="429" t="s">
        <v>2156</v>
      </c>
      <c r="M17" s="429" t="s">
        <v>413</v>
      </c>
      <c r="N17" s="429" t="s">
        <v>2157</v>
      </c>
      <c r="O17" s="429" t="s">
        <v>2158</v>
      </c>
      <c r="P17" s="425"/>
      <c r="Q17" s="425"/>
    </row>
    <row r="18" spans="1:17" s="426" customFormat="1" ht="10.5" x14ac:dyDescent="0.25">
      <c r="A18" s="431"/>
      <c r="B18" s="432" t="s">
        <v>2117</v>
      </c>
      <c r="C18" s="433"/>
      <c r="D18" s="418"/>
      <c r="E18" s="418"/>
      <c r="F18" s="418"/>
      <c r="G18" s="418"/>
      <c r="H18" s="418"/>
      <c r="I18" s="418"/>
      <c r="J18" s="418"/>
      <c r="K18" s="418"/>
      <c r="L18" s="418"/>
      <c r="M18" s="418">
        <f>M14</f>
        <v>9</v>
      </c>
      <c r="N18" s="418"/>
      <c r="O18" s="418"/>
      <c r="P18" s="434"/>
      <c r="Q18" s="425"/>
    </row>
    <row r="19" spans="1:17" s="426" customFormat="1" ht="10.5" x14ac:dyDescent="0.25">
      <c r="A19" s="431"/>
      <c r="B19" s="432"/>
      <c r="C19" s="433"/>
      <c r="D19" s="418"/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34"/>
      <c r="Q19" s="425"/>
    </row>
    <row r="20" spans="1:17" s="426" customFormat="1" ht="10.5" x14ac:dyDescent="0.25">
      <c r="A20" s="431"/>
      <c r="B20" s="435" t="s">
        <v>377</v>
      </c>
      <c r="C20" s="436" t="s">
        <v>402</v>
      </c>
      <c r="D20" s="436"/>
      <c r="E20" s="436"/>
      <c r="F20" s="436"/>
      <c r="G20" s="436"/>
      <c r="H20" s="436"/>
      <c r="I20" s="436"/>
      <c r="J20" s="436"/>
      <c r="K20" s="436"/>
      <c r="L20" s="436"/>
      <c r="M20" s="436">
        <f>SUM(M18:M19)</f>
        <v>9</v>
      </c>
      <c r="O20" s="436"/>
      <c r="P20" s="437"/>
      <c r="Q20" s="425"/>
    </row>
    <row r="21" spans="1:17" s="430" customFormat="1" ht="31.5" x14ac:dyDescent="0.25">
      <c r="A21" s="427" t="str">
        <f>ORÇAMENTO!A11</f>
        <v xml:space="preserve"> 1.1.1.4</v>
      </c>
      <c r="B21" s="428" t="str">
        <f>VLOOKUP(A21,ORÇAMENTO!A:K,4,0)</f>
        <v>TÉCNICO DE MEIO AMBIENTE COM ENCARGOS COMPLEMENTARES E ENCARGOS SOCIAIS E.S 70,04%</v>
      </c>
      <c r="C21" s="429" t="str">
        <f>VLOOKUP(A21,ORÇAMENTO!A:K,5,0)</f>
        <v>MÊS</v>
      </c>
      <c r="D21" s="429">
        <f>SUM(E24:O24)</f>
        <v>4.5</v>
      </c>
      <c r="E21" s="429" t="s">
        <v>2149</v>
      </c>
      <c r="F21" s="429" t="s">
        <v>2150</v>
      </c>
      <c r="G21" s="429" t="s">
        <v>2151</v>
      </c>
      <c r="H21" s="429" t="s">
        <v>2152</v>
      </c>
      <c r="I21" s="429" t="s">
        <v>2153</v>
      </c>
      <c r="J21" s="429" t="s">
        <v>2154</v>
      </c>
      <c r="K21" s="429" t="s">
        <v>2155</v>
      </c>
      <c r="L21" s="429" t="s">
        <v>2156</v>
      </c>
      <c r="M21" s="429" t="s">
        <v>413</v>
      </c>
      <c r="N21" s="429" t="s">
        <v>2157</v>
      </c>
      <c r="O21" s="429" t="s">
        <v>2158</v>
      </c>
      <c r="P21" s="425"/>
      <c r="Q21" s="425"/>
    </row>
    <row r="22" spans="1:17" s="426" customFormat="1" ht="10.5" x14ac:dyDescent="0.25">
      <c r="A22" s="431"/>
      <c r="B22" s="432" t="s">
        <v>2118</v>
      </c>
      <c r="C22" s="433"/>
      <c r="D22" s="418"/>
      <c r="E22" s="418"/>
      <c r="F22" s="418"/>
      <c r="G22" s="418"/>
      <c r="H22" s="418"/>
      <c r="I22" s="418"/>
      <c r="J22" s="418"/>
      <c r="K22" s="418"/>
      <c r="L22" s="418"/>
      <c r="M22" s="418">
        <f>M18/2</f>
        <v>4.5</v>
      </c>
      <c r="N22" s="418"/>
      <c r="O22" s="418"/>
      <c r="P22" s="434"/>
      <c r="Q22" s="425"/>
    </row>
    <row r="23" spans="1:17" s="426" customFormat="1" ht="10.5" x14ac:dyDescent="0.25">
      <c r="A23" s="431"/>
      <c r="B23" s="432"/>
      <c r="C23" s="433"/>
      <c r="D23" s="418"/>
      <c r="E23" s="418"/>
      <c r="F23" s="418"/>
      <c r="G23" s="418"/>
      <c r="H23" s="418"/>
      <c r="I23" s="418"/>
      <c r="J23" s="418"/>
      <c r="K23" s="418"/>
      <c r="L23" s="418"/>
      <c r="M23" s="418"/>
      <c r="N23" s="418"/>
      <c r="O23" s="418"/>
      <c r="P23" s="434"/>
      <c r="Q23" s="425"/>
    </row>
    <row r="24" spans="1:17" s="426" customFormat="1" ht="10.5" x14ac:dyDescent="0.25">
      <c r="A24" s="431"/>
      <c r="B24" s="435" t="s">
        <v>377</v>
      </c>
      <c r="C24" s="436" t="s">
        <v>402</v>
      </c>
      <c r="D24" s="436"/>
      <c r="E24" s="436"/>
      <c r="F24" s="436"/>
      <c r="G24" s="436"/>
      <c r="H24" s="436"/>
      <c r="I24" s="436"/>
      <c r="J24" s="436"/>
      <c r="K24" s="436"/>
      <c r="L24" s="436"/>
      <c r="M24" s="436">
        <f>SUM(M22:M23)</f>
        <v>4.5</v>
      </c>
      <c r="O24" s="436"/>
      <c r="P24" s="437"/>
      <c r="Q24" s="425"/>
    </row>
    <row r="25" spans="1:17" s="426" customFormat="1" ht="10.5" x14ac:dyDescent="0.25">
      <c r="A25" s="421" t="str">
        <f>ORÇAMENTO!A12</f>
        <v xml:space="preserve"> 1.1.2 </v>
      </c>
      <c r="B25" s="422" t="str">
        <f>VLOOKUP(A25,ORÇAMENTO!A:K,4,0)</f>
        <v>VEICULOS EQUIPE TÉCNICA</v>
      </c>
      <c r="C25" s="423"/>
      <c r="D25" s="423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5"/>
      <c r="Q25" s="425"/>
    </row>
    <row r="26" spans="1:17" s="430" customFormat="1" ht="21" x14ac:dyDescent="0.25">
      <c r="A26" s="427" t="str">
        <f>ORÇAMENTO!A13</f>
        <v xml:space="preserve"> 1.1.2.1 </v>
      </c>
      <c r="B26" s="428" t="str">
        <f>VLOOKUP(A26,ORÇAMENTO!A:K,4,0)</f>
        <v>VEICULO LEVE - 53 KW  (SEM MOTORISTA)</v>
      </c>
      <c r="C26" s="429" t="str">
        <f>VLOOKUP(A26,ORÇAMENTO!A:K,5,0)</f>
        <v>MÊS</v>
      </c>
      <c r="D26" s="429">
        <f>SUM(E29:O29)</f>
        <v>9</v>
      </c>
      <c r="E26" s="429" t="s">
        <v>2149</v>
      </c>
      <c r="F26" s="429" t="s">
        <v>2150</v>
      </c>
      <c r="G26" s="429" t="s">
        <v>2151</v>
      </c>
      <c r="H26" s="429" t="s">
        <v>2152</v>
      </c>
      <c r="I26" s="429" t="s">
        <v>2153</v>
      </c>
      <c r="J26" s="429" t="s">
        <v>2154</v>
      </c>
      <c r="K26" s="429" t="s">
        <v>2155</v>
      </c>
      <c r="L26" s="429" t="s">
        <v>2156</v>
      </c>
      <c r="M26" s="429" t="s">
        <v>413</v>
      </c>
      <c r="N26" s="429" t="s">
        <v>2157</v>
      </c>
      <c r="O26" s="429" t="s">
        <v>2158</v>
      </c>
      <c r="P26" s="425"/>
      <c r="Q26" s="425"/>
    </row>
    <row r="27" spans="1:17" s="426" customFormat="1" ht="10.5" x14ac:dyDescent="0.25">
      <c r="A27" s="431"/>
      <c r="B27" s="432" t="s">
        <v>3475</v>
      </c>
      <c r="C27" s="433"/>
      <c r="D27" s="418"/>
      <c r="E27" s="418"/>
      <c r="F27" s="418"/>
      <c r="G27" s="418"/>
      <c r="H27" s="418"/>
      <c r="I27" s="418"/>
      <c r="J27" s="418"/>
      <c r="K27" s="418"/>
      <c r="L27" s="418"/>
      <c r="M27" s="418">
        <f>M18</f>
        <v>9</v>
      </c>
      <c r="N27" s="418"/>
      <c r="O27" s="418"/>
      <c r="P27" s="434"/>
      <c r="Q27" s="425"/>
    </row>
    <row r="28" spans="1:17" s="426" customFormat="1" ht="10.5" x14ac:dyDescent="0.25">
      <c r="A28" s="431"/>
      <c r="B28" s="432"/>
      <c r="C28" s="433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34"/>
      <c r="Q28" s="425"/>
    </row>
    <row r="29" spans="1:17" s="426" customFormat="1" ht="10.5" x14ac:dyDescent="0.25">
      <c r="A29" s="431"/>
      <c r="B29" s="435" t="s">
        <v>377</v>
      </c>
      <c r="C29" s="436" t="s">
        <v>402</v>
      </c>
      <c r="D29" s="436"/>
      <c r="E29" s="436"/>
      <c r="F29" s="436"/>
      <c r="G29" s="436"/>
      <c r="H29" s="436"/>
      <c r="I29" s="436"/>
      <c r="J29" s="436"/>
      <c r="K29" s="436"/>
      <c r="L29" s="436"/>
      <c r="M29" s="436">
        <f>SUM(M27:M28)</f>
        <v>9</v>
      </c>
      <c r="O29" s="436"/>
      <c r="P29" s="437"/>
      <c r="Q29" s="425"/>
    </row>
    <row r="30" spans="1:17" s="426" customFormat="1" ht="10.5" x14ac:dyDescent="0.25">
      <c r="A30" s="421" t="str">
        <f>ORÇAMENTO!A14</f>
        <v xml:space="preserve"> 1.2 </v>
      </c>
      <c r="B30" s="422" t="str">
        <f>VLOOKUP(A30,ORÇAMENTO!A:K,4,0)</f>
        <v>EQUIPE GERENCIAL ADMINISTRATIVA</v>
      </c>
      <c r="C30" s="423"/>
      <c r="D30" s="423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5"/>
      <c r="Q30" s="425"/>
    </row>
    <row r="31" spans="1:17" s="430" customFormat="1" ht="21" x14ac:dyDescent="0.25">
      <c r="A31" s="427" t="str">
        <f>ORÇAMENTO!A15</f>
        <v xml:space="preserve"> 1.2.1 </v>
      </c>
      <c r="B31" s="428" t="str">
        <f>VLOOKUP(A31,ORÇAMENTO!A:K,4,0)</f>
        <v>AUXILIAR DE ESCRITORIO COM ENCARGOS COMPLEMENTARES</v>
      </c>
      <c r="C31" s="429" t="str">
        <f>VLOOKUP(A31,ORÇAMENTO!A:K,5,0)</f>
        <v>MES</v>
      </c>
      <c r="D31" s="429">
        <f>SUM(E34:O34)</f>
        <v>9</v>
      </c>
      <c r="E31" s="429" t="s">
        <v>2149</v>
      </c>
      <c r="F31" s="429" t="s">
        <v>2150</v>
      </c>
      <c r="G31" s="429" t="s">
        <v>2151</v>
      </c>
      <c r="H31" s="429" t="s">
        <v>2152</v>
      </c>
      <c r="I31" s="429" t="s">
        <v>2153</v>
      </c>
      <c r="J31" s="429" t="s">
        <v>2154</v>
      </c>
      <c r="K31" s="429" t="s">
        <v>2155</v>
      </c>
      <c r="L31" s="429" t="s">
        <v>2156</v>
      </c>
      <c r="M31" s="429" t="s">
        <v>413</v>
      </c>
      <c r="N31" s="429" t="s">
        <v>2157</v>
      </c>
      <c r="O31" s="429" t="s">
        <v>2158</v>
      </c>
      <c r="P31" s="425"/>
      <c r="Q31" s="425"/>
    </row>
    <row r="32" spans="1:17" s="426" customFormat="1" ht="10.5" x14ac:dyDescent="0.25">
      <c r="A32" s="431"/>
      <c r="B32" s="432" t="s">
        <v>2119</v>
      </c>
      <c r="C32" s="433"/>
      <c r="D32" s="418"/>
      <c r="E32" s="418"/>
      <c r="F32" s="418"/>
      <c r="G32" s="418"/>
      <c r="H32" s="418"/>
      <c r="I32" s="418"/>
      <c r="J32" s="418"/>
      <c r="K32" s="418"/>
      <c r="L32" s="418"/>
      <c r="M32" s="418">
        <f>M27</f>
        <v>9</v>
      </c>
      <c r="N32" s="418"/>
      <c r="O32" s="418"/>
      <c r="P32" s="434"/>
      <c r="Q32" s="425"/>
    </row>
    <row r="33" spans="1:17" s="426" customFormat="1" ht="10.5" x14ac:dyDescent="0.25">
      <c r="A33" s="431"/>
      <c r="B33" s="432"/>
      <c r="C33" s="433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34"/>
      <c r="Q33" s="425"/>
    </row>
    <row r="34" spans="1:17" s="426" customFormat="1" ht="10.5" x14ac:dyDescent="0.25">
      <c r="A34" s="431"/>
      <c r="B34" s="435" t="s">
        <v>377</v>
      </c>
      <c r="C34" s="436" t="s">
        <v>402</v>
      </c>
      <c r="D34" s="436"/>
      <c r="E34" s="436"/>
      <c r="F34" s="436"/>
      <c r="G34" s="436"/>
      <c r="H34" s="436"/>
      <c r="I34" s="436"/>
      <c r="J34" s="436"/>
      <c r="K34" s="436"/>
      <c r="L34" s="436"/>
      <c r="M34" s="436">
        <f>SUM(M32:M33)</f>
        <v>9</v>
      </c>
      <c r="O34" s="436"/>
      <c r="P34" s="437"/>
      <c r="Q34" s="425"/>
    </row>
    <row r="35" spans="1:17" s="430" customFormat="1" ht="31.5" x14ac:dyDescent="0.25">
      <c r="A35" s="427" t="str">
        <f>ORÇAMENTO!A16</f>
        <v xml:space="preserve"> 1.2.2 </v>
      </c>
      <c r="B35" s="428" t="str">
        <f>VLOOKUP(A35,ORÇAMENTO!A:K,4,0)</f>
        <v>VIGIA NOTURNO COM ENCARGOS COMPLEMENTARES (MENSALISTA) COM ADICIONAL DE PERICULOSIDADE</v>
      </c>
      <c r="C35" s="429" t="str">
        <f>VLOOKUP(A35,ORÇAMENTO!A:K,5,0)</f>
        <v>MÊS</v>
      </c>
      <c r="D35" s="429">
        <f>SUM(E38:O38)</f>
        <v>18</v>
      </c>
      <c r="E35" s="429" t="s">
        <v>2149</v>
      </c>
      <c r="F35" s="429" t="s">
        <v>2150</v>
      </c>
      <c r="G35" s="429" t="s">
        <v>2151</v>
      </c>
      <c r="H35" s="429" t="s">
        <v>2152</v>
      </c>
      <c r="I35" s="429" t="s">
        <v>2153</v>
      </c>
      <c r="J35" s="429" t="s">
        <v>2154</v>
      </c>
      <c r="K35" s="429" t="s">
        <v>2155</v>
      </c>
      <c r="L35" s="429" t="s">
        <v>2156</v>
      </c>
      <c r="M35" s="429" t="s">
        <v>413</v>
      </c>
      <c r="N35" s="429" t="s">
        <v>2157</v>
      </c>
      <c r="O35" s="429" t="s">
        <v>2158</v>
      </c>
      <c r="P35" s="425"/>
      <c r="Q35" s="425"/>
    </row>
    <row r="36" spans="1:17" s="426" customFormat="1" ht="10.5" x14ac:dyDescent="0.25">
      <c r="A36" s="431"/>
      <c r="B36" s="432" t="s">
        <v>2120</v>
      </c>
      <c r="C36" s="433"/>
      <c r="D36" s="418"/>
      <c r="E36" s="418"/>
      <c r="F36" s="418"/>
      <c r="G36" s="418"/>
      <c r="H36" s="418"/>
      <c r="I36" s="418"/>
      <c r="J36" s="418"/>
      <c r="K36" s="418"/>
      <c r="L36" s="418"/>
      <c r="M36" s="418">
        <f>M32*2</f>
        <v>18</v>
      </c>
      <c r="N36" s="418"/>
      <c r="O36" s="418"/>
      <c r="P36" s="434"/>
      <c r="Q36" s="425"/>
    </row>
    <row r="37" spans="1:17" s="426" customFormat="1" ht="10.5" x14ac:dyDescent="0.25">
      <c r="A37" s="431"/>
      <c r="B37" s="432"/>
      <c r="C37" s="433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34"/>
      <c r="Q37" s="425"/>
    </row>
    <row r="38" spans="1:17" s="426" customFormat="1" ht="10.5" x14ac:dyDescent="0.25">
      <c r="A38" s="431"/>
      <c r="B38" s="435" t="s">
        <v>377</v>
      </c>
      <c r="C38" s="436" t="s">
        <v>402</v>
      </c>
      <c r="D38" s="436"/>
      <c r="E38" s="436"/>
      <c r="F38" s="436"/>
      <c r="G38" s="436"/>
      <c r="H38" s="436"/>
      <c r="I38" s="436"/>
      <c r="J38" s="436"/>
      <c r="K38" s="436"/>
      <c r="L38" s="436"/>
      <c r="M38" s="436">
        <f>SUM(M36:M37)</f>
        <v>18</v>
      </c>
      <c r="O38" s="436"/>
      <c r="P38" s="437"/>
      <c r="Q38" s="425"/>
    </row>
    <row r="39" spans="1:17" s="430" customFormat="1" ht="21" x14ac:dyDescent="0.25">
      <c r="A39" s="427" t="str">
        <f>ORÇAMENTO!A17</f>
        <v xml:space="preserve"> 1.2.3 </v>
      </c>
      <c r="B39" s="428" t="str">
        <f>VLOOKUP(A39,ORÇAMENTO!A:K,4,0)</f>
        <v>VIGIA DIURNO COM ENCARGOS COMPLEMENTARES</v>
      </c>
      <c r="C39" s="429" t="str">
        <f>VLOOKUP(A39,ORÇAMENTO!A:K,5,0)</f>
        <v>MES</v>
      </c>
      <c r="D39" s="429">
        <f>SUM(E42:O42)</f>
        <v>9</v>
      </c>
      <c r="E39" s="429" t="s">
        <v>2149</v>
      </c>
      <c r="F39" s="429" t="s">
        <v>2150</v>
      </c>
      <c r="G39" s="429" t="s">
        <v>2151</v>
      </c>
      <c r="H39" s="429" t="s">
        <v>2152</v>
      </c>
      <c r="I39" s="429" t="s">
        <v>2153</v>
      </c>
      <c r="J39" s="429" t="s">
        <v>2154</v>
      </c>
      <c r="K39" s="429" t="s">
        <v>2155</v>
      </c>
      <c r="L39" s="429" t="s">
        <v>2156</v>
      </c>
      <c r="M39" s="429" t="s">
        <v>413</v>
      </c>
      <c r="N39" s="429" t="s">
        <v>2157</v>
      </c>
      <c r="O39" s="429" t="s">
        <v>2158</v>
      </c>
      <c r="P39" s="425"/>
      <c r="Q39" s="425"/>
    </row>
    <row r="40" spans="1:17" s="426" customFormat="1" ht="10.5" x14ac:dyDescent="0.25">
      <c r="A40" s="431"/>
      <c r="B40" s="432" t="s">
        <v>2117</v>
      </c>
      <c r="C40" s="433"/>
      <c r="D40" s="418"/>
      <c r="E40" s="418"/>
      <c r="F40" s="418"/>
      <c r="G40" s="418"/>
      <c r="H40" s="418"/>
      <c r="I40" s="418"/>
      <c r="J40" s="418"/>
      <c r="K40" s="418"/>
      <c r="L40" s="418"/>
      <c r="M40" s="418">
        <f>M32</f>
        <v>9</v>
      </c>
      <c r="N40" s="418"/>
      <c r="O40" s="418"/>
      <c r="P40" s="434"/>
      <c r="Q40" s="425"/>
    </row>
    <row r="41" spans="1:17" s="426" customFormat="1" ht="10.5" x14ac:dyDescent="0.25">
      <c r="A41" s="431"/>
      <c r="B41" s="432"/>
      <c r="C41" s="433"/>
      <c r="D41" s="418"/>
      <c r="E41" s="418"/>
      <c r="F41" s="418"/>
      <c r="G41" s="418"/>
      <c r="H41" s="418"/>
      <c r="I41" s="418"/>
      <c r="J41" s="418"/>
      <c r="K41" s="418"/>
      <c r="L41" s="418"/>
      <c r="M41" s="418"/>
      <c r="N41" s="418"/>
      <c r="O41" s="418"/>
      <c r="P41" s="434"/>
      <c r="Q41" s="425"/>
    </row>
    <row r="42" spans="1:17" s="426" customFormat="1" ht="10.5" x14ac:dyDescent="0.25">
      <c r="A42" s="431"/>
      <c r="B42" s="435" t="s">
        <v>377</v>
      </c>
      <c r="C42" s="436" t="s">
        <v>402</v>
      </c>
      <c r="D42" s="436"/>
      <c r="E42" s="436"/>
      <c r="F42" s="436"/>
      <c r="G42" s="436"/>
      <c r="H42" s="436"/>
      <c r="I42" s="436"/>
      <c r="J42" s="436"/>
      <c r="K42" s="436"/>
      <c r="L42" s="436"/>
      <c r="M42" s="436">
        <f>SUM(M40:M41)</f>
        <v>9</v>
      </c>
      <c r="O42" s="436"/>
      <c r="P42" s="437"/>
      <c r="Q42" s="425"/>
    </row>
    <row r="43" spans="1:17" s="426" customFormat="1" ht="10.5" x14ac:dyDescent="0.25">
      <c r="A43" s="421" t="str">
        <f>ORÇAMENTO!A18</f>
        <v xml:space="preserve"> 1.3 </v>
      </c>
      <c r="B43" s="422" t="str">
        <f>VLOOKUP(A43,ORÇAMENTO!A:K,4,0)</f>
        <v>EQUIPE DE PRODUÇÃO</v>
      </c>
      <c r="C43" s="423"/>
      <c r="D43" s="423"/>
      <c r="E43" s="424"/>
      <c r="F43" s="424"/>
      <c r="G43" s="424"/>
      <c r="H43" s="424"/>
      <c r="I43" s="424"/>
      <c r="J43" s="424"/>
      <c r="K43" s="424"/>
      <c r="L43" s="424"/>
      <c r="M43" s="424"/>
      <c r="N43" s="424"/>
      <c r="O43" s="424"/>
      <c r="P43" s="425"/>
      <c r="Q43" s="425"/>
    </row>
    <row r="44" spans="1:17" s="430" customFormat="1" ht="21" x14ac:dyDescent="0.25">
      <c r="A44" s="427" t="str">
        <f>ORÇAMENTO!A19</f>
        <v xml:space="preserve"> 1.3.1 </v>
      </c>
      <c r="B44" s="428" t="str">
        <f>VLOOKUP(A44,ORÇAMENTO!A:K,4,0)</f>
        <v>ENCARREGADO GERAL DE OBRAS COM ENCARGOS COMPLEMENTARES</v>
      </c>
      <c r="C44" s="429" t="str">
        <f>VLOOKUP(A44,ORÇAMENTO!A:K,5,0)</f>
        <v>MES</v>
      </c>
      <c r="D44" s="429">
        <f>SUM(E47:O47)</f>
        <v>18</v>
      </c>
      <c r="E44" s="429" t="s">
        <v>2149</v>
      </c>
      <c r="F44" s="429" t="s">
        <v>2150</v>
      </c>
      <c r="G44" s="429" t="s">
        <v>2151</v>
      </c>
      <c r="H44" s="429" t="s">
        <v>2152</v>
      </c>
      <c r="I44" s="429" t="s">
        <v>2153</v>
      </c>
      <c r="J44" s="429" t="s">
        <v>2154</v>
      </c>
      <c r="K44" s="429" t="s">
        <v>2155</v>
      </c>
      <c r="L44" s="429" t="s">
        <v>2156</v>
      </c>
      <c r="M44" s="429" t="s">
        <v>413</v>
      </c>
      <c r="N44" s="429" t="s">
        <v>2157</v>
      </c>
      <c r="O44" s="429" t="s">
        <v>2158</v>
      </c>
      <c r="P44" s="425"/>
      <c r="Q44" s="425"/>
    </row>
    <row r="45" spans="1:17" s="426" customFormat="1" ht="21" x14ac:dyDescent="0.25">
      <c r="A45" s="431"/>
      <c r="B45" s="432" t="s">
        <v>2121</v>
      </c>
      <c r="C45" s="433"/>
      <c r="D45" s="418"/>
      <c r="E45" s="418"/>
      <c r="F45" s="418"/>
      <c r="G45" s="418"/>
      <c r="H45" s="418"/>
      <c r="I45" s="418"/>
      <c r="J45" s="418"/>
      <c r="K45" s="418"/>
      <c r="L45" s="418"/>
      <c r="M45" s="418">
        <f>M40*2</f>
        <v>18</v>
      </c>
      <c r="N45" s="418"/>
      <c r="O45" s="418"/>
      <c r="P45" s="434"/>
      <c r="Q45" s="425"/>
    </row>
    <row r="46" spans="1:17" s="426" customFormat="1" ht="10.5" x14ac:dyDescent="0.25">
      <c r="A46" s="431"/>
      <c r="B46" s="432"/>
      <c r="C46" s="433"/>
      <c r="D46" s="418"/>
      <c r="E46" s="418"/>
      <c r="F46" s="418"/>
      <c r="G46" s="418"/>
      <c r="H46" s="418"/>
      <c r="I46" s="418"/>
      <c r="J46" s="418"/>
      <c r="K46" s="418"/>
      <c r="L46" s="418"/>
      <c r="M46" s="418"/>
      <c r="N46" s="418"/>
      <c r="O46" s="418"/>
      <c r="P46" s="434"/>
      <c r="Q46" s="425"/>
    </row>
    <row r="47" spans="1:17" s="426" customFormat="1" ht="10.5" x14ac:dyDescent="0.25">
      <c r="A47" s="431"/>
      <c r="B47" s="435" t="s">
        <v>377</v>
      </c>
      <c r="C47" s="436" t="s">
        <v>402</v>
      </c>
      <c r="D47" s="436"/>
      <c r="E47" s="436"/>
      <c r="F47" s="436"/>
      <c r="G47" s="436"/>
      <c r="H47" s="436"/>
      <c r="I47" s="436"/>
      <c r="J47" s="436"/>
      <c r="K47" s="436"/>
      <c r="L47" s="436"/>
      <c r="M47" s="436">
        <f>SUM(M45:M46)</f>
        <v>18</v>
      </c>
      <c r="O47" s="436"/>
      <c r="P47" s="437"/>
      <c r="Q47" s="425"/>
    </row>
    <row r="48" spans="1:17" s="430" customFormat="1" ht="21" x14ac:dyDescent="0.25">
      <c r="A48" s="427" t="str">
        <f>ORÇAMENTO!A20</f>
        <v xml:space="preserve"> 1.3.2 </v>
      </c>
      <c r="B48" s="428" t="str">
        <f>VLOOKUP(A48,ORÇAMENTO!A:K,4,0)</f>
        <v>APONTADOR OU APROPRIADOR COM ENCARGOS COMPLEMENTARES</v>
      </c>
      <c r="C48" s="429" t="str">
        <f>VLOOKUP(A48,ORÇAMENTO!A:K,5,0)</f>
        <v>MES</v>
      </c>
      <c r="D48" s="429">
        <f>SUM(E51:O51)</f>
        <v>9</v>
      </c>
      <c r="E48" s="429" t="s">
        <v>2149</v>
      </c>
      <c r="F48" s="429" t="s">
        <v>2150</v>
      </c>
      <c r="G48" s="429" t="s">
        <v>2151</v>
      </c>
      <c r="H48" s="429" t="s">
        <v>2152</v>
      </c>
      <c r="I48" s="429" t="s">
        <v>2153</v>
      </c>
      <c r="J48" s="429" t="s">
        <v>2154</v>
      </c>
      <c r="K48" s="429" t="s">
        <v>2155</v>
      </c>
      <c r="L48" s="429" t="s">
        <v>2156</v>
      </c>
      <c r="M48" s="429" t="s">
        <v>413</v>
      </c>
      <c r="N48" s="429" t="s">
        <v>2157</v>
      </c>
      <c r="O48" s="429" t="s">
        <v>2158</v>
      </c>
      <c r="P48" s="425"/>
      <c r="Q48" s="425"/>
    </row>
    <row r="49" spans="1:17" s="426" customFormat="1" ht="10.5" x14ac:dyDescent="0.25">
      <c r="A49" s="431"/>
      <c r="B49" s="432" t="s">
        <v>2122</v>
      </c>
      <c r="C49" s="433"/>
      <c r="D49" s="418"/>
      <c r="E49" s="418"/>
      <c r="F49" s="418"/>
      <c r="G49" s="418"/>
      <c r="H49" s="418"/>
      <c r="I49" s="418"/>
      <c r="J49" s="418"/>
      <c r="K49" s="418"/>
      <c r="L49" s="418"/>
      <c r="M49" s="418">
        <f>M40</f>
        <v>9</v>
      </c>
      <c r="N49" s="418"/>
      <c r="O49" s="418"/>
      <c r="P49" s="434"/>
      <c r="Q49" s="425"/>
    </row>
    <row r="50" spans="1:17" s="426" customFormat="1" ht="10.5" x14ac:dyDescent="0.25">
      <c r="A50" s="431"/>
      <c r="B50" s="432"/>
      <c r="C50" s="433"/>
      <c r="D50" s="418"/>
      <c r="E50" s="418"/>
      <c r="F50" s="418"/>
      <c r="G50" s="418"/>
      <c r="H50" s="418"/>
      <c r="I50" s="418"/>
      <c r="J50" s="418"/>
      <c r="K50" s="418"/>
      <c r="L50" s="418"/>
      <c r="M50" s="418"/>
      <c r="N50" s="418"/>
      <c r="O50" s="418"/>
      <c r="P50" s="434"/>
      <c r="Q50" s="425"/>
    </row>
    <row r="51" spans="1:17" s="426" customFormat="1" ht="10.5" x14ac:dyDescent="0.25">
      <c r="A51" s="431"/>
      <c r="B51" s="435" t="s">
        <v>377</v>
      </c>
      <c r="C51" s="436" t="s">
        <v>402</v>
      </c>
      <c r="D51" s="436"/>
      <c r="E51" s="436"/>
      <c r="F51" s="436"/>
      <c r="G51" s="436"/>
      <c r="H51" s="436"/>
      <c r="I51" s="436"/>
      <c r="J51" s="436"/>
      <c r="K51" s="436"/>
      <c r="L51" s="436"/>
      <c r="M51" s="436">
        <f>SUM(M49:M50)</f>
        <v>9</v>
      </c>
      <c r="O51" s="436"/>
      <c r="P51" s="437"/>
      <c r="Q51" s="425"/>
    </row>
    <row r="52" spans="1:17" s="430" customFormat="1" ht="21" x14ac:dyDescent="0.25">
      <c r="A52" s="427" t="str">
        <f>ORÇAMENTO!A21</f>
        <v xml:space="preserve"> 1.3.3 </v>
      </c>
      <c r="B52" s="428" t="str">
        <f>VLOOKUP(A52,ORÇAMENTO!A:K,4,0)</f>
        <v>ALMOXARIFE COM ENCARGOS COMPLEMENTARES</v>
      </c>
      <c r="C52" s="429" t="str">
        <f>VLOOKUP(A52,ORÇAMENTO!A:K,5,0)</f>
        <v>MES</v>
      </c>
      <c r="D52" s="429">
        <f>SUM(E55:O55)</f>
        <v>9</v>
      </c>
      <c r="E52" s="429" t="s">
        <v>2149</v>
      </c>
      <c r="F52" s="429" t="s">
        <v>2150</v>
      </c>
      <c r="G52" s="429" t="s">
        <v>2151</v>
      </c>
      <c r="H52" s="429" t="s">
        <v>2152</v>
      </c>
      <c r="I52" s="429" t="s">
        <v>2153</v>
      </c>
      <c r="J52" s="429" t="s">
        <v>2154</v>
      </c>
      <c r="K52" s="429" t="s">
        <v>2155</v>
      </c>
      <c r="L52" s="429" t="s">
        <v>2156</v>
      </c>
      <c r="M52" s="429" t="s">
        <v>413</v>
      </c>
      <c r="N52" s="429" t="s">
        <v>2157</v>
      </c>
      <c r="O52" s="429" t="s">
        <v>2158</v>
      </c>
      <c r="P52" s="425"/>
      <c r="Q52" s="425"/>
    </row>
    <row r="53" spans="1:17" s="426" customFormat="1" ht="10.5" x14ac:dyDescent="0.25">
      <c r="A53" s="431"/>
      <c r="B53" s="432" t="s">
        <v>2122</v>
      </c>
      <c r="C53" s="433"/>
      <c r="D53" s="418"/>
      <c r="E53" s="418"/>
      <c r="F53" s="418"/>
      <c r="G53" s="418"/>
      <c r="H53" s="418"/>
      <c r="I53" s="418"/>
      <c r="J53" s="418"/>
      <c r="K53" s="418"/>
      <c r="L53" s="418"/>
      <c r="M53" s="418">
        <f>M49</f>
        <v>9</v>
      </c>
      <c r="N53" s="418"/>
      <c r="O53" s="418"/>
      <c r="P53" s="434"/>
      <c r="Q53" s="425"/>
    </row>
    <row r="54" spans="1:17" s="426" customFormat="1" ht="10.5" x14ac:dyDescent="0.25">
      <c r="A54" s="431"/>
      <c r="B54" s="432"/>
      <c r="C54" s="433"/>
      <c r="D54" s="418"/>
      <c r="E54" s="418"/>
      <c r="F54" s="418"/>
      <c r="G54" s="418"/>
      <c r="H54" s="418"/>
      <c r="I54" s="418"/>
      <c r="J54" s="418"/>
      <c r="K54" s="418"/>
      <c r="L54" s="418"/>
      <c r="M54" s="418"/>
      <c r="N54" s="418"/>
      <c r="O54" s="418"/>
      <c r="P54" s="434"/>
      <c r="Q54" s="425"/>
    </row>
    <row r="55" spans="1:17" s="426" customFormat="1" ht="10.5" x14ac:dyDescent="0.25">
      <c r="A55" s="431"/>
      <c r="B55" s="435" t="s">
        <v>377</v>
      </c>
      <c r="C55" s="436" t="s">
        <v>402</v>
      </c>
      <c r="D55" s="436"/>
      <c r="E55" s="436"/>
      <c r="F55" s="436"/>
      <c r="G55" s="436"/>
      <c r="H55" s="436"/>
      <c r="I55" s="436"/>
      <c r="J55" s="436"/>
      <c r="K55" s="436"/>
      <c r="L55" s="436"/>
      <c r="M55" s="436">
        <f>SUM(M53:M54)</f>
        <v>9</v>
      </c>
      <c r="O55" s="436"/>
      <c r="P55" s="437"/>
      <c r="Q55" s="425"/>
    </row>
    <row r="56" spans="1:17" s="430" customFormat="1" ht="21" x14ac:dyDescent="0.25">
      <c r="A56" s="427" t="str">
        <f>ORÇAMENTO!A22</f>
        <v xml:space="preserve"> 1.3.4 </v>
      </c>
      <c r="B56" s="428" t="str">
        <f>VLOOKUP(A56,ORÇAMENTO!A:K,4,0)</f>
        <v>AUXILIAR DE ALMOXARIFE COM ENCARGOS COMPLEMENTARES</v>
      </c>
      <c r="C56" s="429" t="str">
        <f>VLOOKUP(A56,ORÇAMENTO!A:K,5,0)</f>
        <v>MES</v>
      </c>
      <c r="D56" s="429">
        <f>SUM(E59:O59)</f>
        <v>9</v>
      </c>
      <c r="E56" s="429" t="s">
        <v>2149</v>
      </c>
      <c r="F56" s="429" t="s">
        <v>2150</v>
      </c>
      <c r="G56" s="429" t="s">
        <v>2151</v>
      </c>
      <c r="H56" s="429" t="s">
        <v>2152</v>
      </c>
      <c r="I56" s="429" t="s">
        <v>2153</v>
      </c>
      <c r="J56" s="429" t="s">
        <v>2154</v>
      </c>
      <c r="K56" s="429" t="s">
        <v>2155</v>
      </c>
      <c r="L56" s="429" t="s">
        <v>2156</v>
      </c>
      <c r="M56" s="429" t="s">
        <v>413</v>
      </c>
      <c r="N56" s="429" t="s">
        <v>2157</v>
      </c>
      <c r="O56" s="429" t="s">
        <v>2158</v>
      </c>
      <c r="P56" s="425"/>
      <c r="Q56" s="425"/>
    </row>
    <row r="57" spans="1:17" s="426" customFormat="1" ht="10.5" x14ac:dyDescent="0.25">
      <c r="A57" s="431"/>
      <c r="B57" s="432" t="s">
        <v>2122</v>
      </c>
      <c r="C57" s="433"/>
      <c r="D57" s="418"/>
      <c r="E57" s="418"/>
      <c r="F57" s="418"/>
      <c r="G57" s="418"/>
      <c r="H57" s="418"/>
      <c r="I57" s="418"/>
      <c r="J57" s="418"/>
      <c r="K57" s="418"/>
      <c r="L57" s="418"/>
      <c r="M57" s="418">
        <f>M53</f>
        <v>9</v>
      </c>
      <c r="N57" s="418"/>
      <c r="O57" s="418"/>
      <c r="P57" s="434"/>
      <c r="Q57" s="425"/>
    </row>
    <row r="58" spans="1:17" s="426" customFormat="1" ht="10.5" x14ac:dyDescent="0.25">
      <c r="A58" s="431"/>
      <c r="B58" s="432"/>
      <c r="C58" s="433"/>
      <c r="D58" s="418"/>
      <c r="E58" s="418"/>
      <c r="F58" s="418"/>
      <c r="G58" s="418"/>
      <c r="H58" s="418"/>
      <c r="I58" s="418"/>
      <c r="J58" s="418"/>
      <c r="K58" s="418"/>
      <c r="L58" s="418"/>
      <c r="M58" s="418"/>
      <c r="N58" s="418"/>
      <c r="O58" s="418"/>
      <c r="P58" s="434"/>
      <c r="Q58" s="425"/>
    </row>
    <row r="59" spans="1:17" s="426" customFormat="1" ht="10.5" x14ac:dyDescent="0.25">
      <c r="A59" s="431"/>
      <c r="B59" s="435" t="s">
        <v>377</v>
      </c>
      <c r="C59" s="436" t="s">
        <v>402</v>
      </c>
      <c r="D59" s="436"/>
      <c r="E59" s="436"/>
      <c r="F59" s="436"/>
      <c r="G59" s="436"/>
      <c r="H59" s="436"/>
      <c r="I59" s="436"/>
      <c r="J59" s="436"/>
      <c r="K59" s="436"/>
      <c r="L59" s="436"/>
      <c r="M59" s="436">
        <f>SUM(M57:M58)</f>
        <v>9</v>
      </c>
      <c r="O59" s="436"/>
      <c r="P59" s="437"/>
      <c r="Q59" s="425"/>
    </row>
    <row r="60" spans="1:17" s="426" customFormat="1" ht="10.5" x14ac:dyDescent="0.25">
      <c r="A60" s="421" t="str">
        <f>ORÇAMENTO!A23</f>
        <v xml:space="preserve"> 1.4 </v>
      </c>
      <c r="B60" s="422" t="str">
        <f>VLOOKUP(A60,ORÇAMENTO!A:K,4,0)</f>
        <v>EQUIPE DE TOPOGRAFIA</v>
      </c>
      <c r="C60" s="423"/>
      <c r="D60" s="423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5"/>
      <c r="Q60" s="425"/>
    </row>
    <row r="61" spans="1:17" s="426" customFormat="1" ht="10.5" x14ac:dyDescent="0.25">
      <c r="A61" s="421" t="str">
        <f>ORÇAMENTO!A24</f>
        <v xml:space="preserve"> 1.4.1 </v>
      </c>
      <c r="B61" s="422" t="str">
        <f>VLOOKUP(A61,ORÇAMENTO!A:K,4,0)</f>
        <v>MÃO DE OBRA EQUIPE DE TOPOGRAFIA</v>
      </c>
      <c r="C61" s="423"/>
      <c r="D61" s="423"/>
      <c r="E61" s="424"/>
      <c r="F61" s="424"/>
      <c r="G61" s="424"/>
      <c r="H61" s="424"/>
      <c r="I61" s="424"/>
      <c r="J61" s="424"/>
      <c r="K61" s="424"/>
      <c r="L61" s="424"/>
      <c r="M61" s="424"/>
      <c r="N61" s="424"/>
      <c r="O61" s="424"/>
      <c r="P61" s="425"/>
      <c r="Q61" s="425"/>
    </row>
    <row r="62" spans="1:17" s="430" customFormat="1" ht="21" x14ac:dyDescent="0.25">
      <c r="A62" s="427" t="str">
        <f>ORÇAMENTO!A25</f>
        <v xml:space="preserve"> 1.4.1.1 </v>
      </c>
      <c r="B62" s="428" t="str">
        <f>VLOOKUP(A62,ORÇAMENTO!A:K,4,0)</f>
        <v>TOPOGRAFO COM ENCARGOS COMPLEMENTARES</v>
      </c>
      <c r="C62" s="429" t="str">
        <f>VLOOKUP(A62,ORÇAMENTO!A:K,5,0)</f>
        <v>MES</v>
      </c>
      <c r="D62" s="429">
        <f>SUM(E65:O65)</f>
        <v>9</v>
      </c>
      <c r="E62" s="429" t="s">
        <v>2149</v>
      </c>
      <c r="F62" s="429" t="s">
        <v>2150</v>
      </c>
      <c r="G62" s="429" t="s">
        <v>2151</v>
      </c>
      <c r="H62" s="429" t="s">
        <v>2152</v>
      </c>
      <c r="I62" s="429" t="s">
        <v>2153</v>
      </c>
      <c r="J62" s="429" t="s">
        <v>2154</v>
      </c>
      <c r="K62" s="429" t="s">
        <v>2155</v>
      </c>
      <c r="L62" s="429" t="s">
        <v>2156</v>
      </c>
      <c r="M62" s="429" t="s">
        <v>413</v>
      </c>
      <c r="N62" s="429" t="s">
        <v>2157</v>
      </c>
      <c r="O62" s="429" t="s">
        <v>2158</v>
      </c>
      <c r="P62" s="425"/>
      <c r="Q62" s="425"/>
    </row>
    <row r="63" spans="1:17" s="426" customFormat="1" ht="10.5" x14ac:dyDescent="0.25">
      <c r="A63" s="431"/>
      <c r="B63" s="432" t="s">
        <v>2123</v>
      </c>
      <c r="C63" s="433"/>
      <c r="D63" s="418"/>
      <c r="E63" s="418"/>
      <c r="F63" s="418"/>
      <c r="G63" s="418"/>
      <c r="H63" s="418"/>
      <c r="I63" s="418"/>
      <c r="J63" s="418"/>
      <c r="K63" s="418"/>
      <c r="L63" s="418"/>
      <c r="M63" s="418">
        <f>M57</f>
        <v>9</v>
      </c>
      <c r="N63" s="418"/>
      <c r="O63" s="418"/>
      <c r="P63" s="434"/>
      <c r="Q63" s="425"/>
    </row>
    <row r="64" spans="1:17" s="426" customFormat="1" ht="10.5" x14ac:dyDescent="0.25">
      <c r="A64" s="431"/>
      <c r="B64" s="432"/>
      <c r="C64" s="433"/>
      <c r="D64" s="418"/>
      <c r="E64" s="418"/>
      <c r="F64" s="418"/>
      <c r="G64" s="418"/>
      <c r="H64" s="418"/>
      <c r="I64" s="418"/>
      <c r="J64" s="418"/>
      <c r="K64" s="418"/>
      <c r="L64" s="418"/>
      <c r="M64" s="418"/>
      <c r="N64" s="418"/>
      <c r="O64" s="418"/>
      <c r="P64" s="434"/>
      <c r="Q64" s="425"/>
    </row>
    <row r="65" spans="1:17" s="426" customFormat="1" ht="10.5" x14ac:dyDescent="0.25">
      <c r="A65" s="431"/>
      <c r="B65" s="435" t="s">
        <v>377</v>
      </c>
      <c r="C65" s="436" t="s">
        <v>402</v>
      </c>
      <c r="D65" s="436"/>
      <c r="E65" s="436"/>
      <c r="F65" s="436"/>
      <c r="G65" s="436"/>
      <c r="H65" s="436"/>
      <c r="I65" s="436"/>
      <c r="J65" s="436"/>
      <c r="K65" s="436"/>
      <c r="L65" s="436"/>
      <c r="M65" s="436">
        <f>SUM(M63:M64)</f>
        <v>9</v>
      </c>
      <c r="O65" s="436"/>
      <c r="P65" s="437"/>
      <c r="Q65" s="425"/>
    </row>
    <row r="66" spans="1:17" s="430" customFormat="1" ht="21" x14ac:dyDescent="0.25">
      <c r="A66" s="427" t="str">
        <f>ORÇAMENTO!A26</f>
        <v xml:space="preserve"> 1.4.1.2 </v>
      </c>
      <c r="B66" s="428" t="str">
        <f>VLOOKUP(A66,ORÇAMENTO!A:K,4,0)</f>
        <v>AUXILIAR DE TOPÓGRAFO COM ENCARGOS COMPLEMENTARES</v>
      </c>
      <c r="C66" s="429" t="str">
        <f>VLOOKUP(A66,ORÇAMENTO!A:K,5,0)</f>
        <v>MES</v>
      </c>
      <c r="D66" s="429">
        <f>SUM(E69:O69)</f>
        <v>9</v>
      </c>
      <c r="E66" s="429" t="s">
        <v>2149</v>
      </c>
      <c r="F66" s="429" t="s">
        <v>2150</v>
      </c>
      <c r="G66" s="429" t="s">
        <v>2151</v>
      </c>
      <c r="H66" s="429" t="s">
        <v>2152</v>
      </c>
      <c r="I66" s="429" t="s">
        <v>2153</v>
      </c>
      <c r="J66" s="429" t="s">
        <v>2154</v>
      </c>
      <c r="K66" s="429" t="s">
        <v>2155</v>
      </c>
      <c r="L66" s="429" t="s">
        <v>2156</v>
      </c>
      <c r="M66" s="429" t="s">
        <v>413</v>
      </c>
      <c r="N66" s="429" t="s">
        <v>2157</v>
      </c>
      <c r="O66" s="429" t="s">
        <v>2158</v>
      </c>
      <c r="P66" s="425"/>
      <c r="Q66" s="425"/>
    </row>
    <row r="67" spans="1:17" s="426" customFormat="1" ht="10.5" x14ac:dyDescent="0.25">
      <c r="A67" s="431"/>
      <c r="B67" s="432" t="s">
        <v>2124</v>
      </c>
      <c r="C67" s="433"/>
      <c r="D67" s="418"/>
      <c r="E67" s="418"/>
      <c r="F67" s="418"/>
      <c r="G67" s="418"/>
      <c r="H67" s="418"/>
      <c r="I67" s="418"/>
      <c r="J67" s="418"/>
      <c r="K67" s="418"/>
      <c r="L67" s="418"/>
      <c r="M67" s="418">
        <f>M63</f>
        <v>9</v>
      </c>
      <c r="N67" s="418"/>
      <c r="O67" s="418"/>
      <c r="P67" s="434"/>
      <c r="Q67" s="425"/>
    </row>
    <row r="68" spans="1:17" s="426" customFormat="1" ht="10.5" x14ac:dyDescent="0.25">
      <c r="A68" s="431"/>
      <c r="B68" s="432"/>
      <c r="C68" s="433"/>
      <c r="D68" s="418"/>
      <c r="E68" s="418"/>
      <c r="F68" s="418"/>
      <c r="G68" s="418"/>
      <c r="H68" s="418"/>
      <c r="I68" s="418"/>
      <c r="J68" s="418"/>
      <c r="K68" s="418"/>
      <c r="L68" s="418"/>
      <c r="M68" s="418"/>
      <c r="N68" s="418"/>
      <c r="O68" s="418"/>
      <c r="P68" s="434"/>
      <c r="Q68" s="425"/>
    </row>
    <row r="69" spans="1:17" s="426" customFormat="1" ht="10.5" x14ac:dyDescent="0.25">
      <c r="A69" s="431"/>
      <c r="B69" s="435" t="s">
        <v>377</v>
      </c>
      <c r="C69" s="436" t="s">
        <v>402</v>
      </c>
      <c r="D69" s="436"/>
      <c r="E69" s="436"/>
      <c r="F69" s="436"/>
      <c r="G69" s="436"/>
      <c r="H69" s="436"/>
      <c r="I69" s="436"/>
      <c r="J69" s="436"/>
      <c r="K69" s="436"/>
      <c r="L69" s="436"/>
      <c r="M69" s="436">
        <f>SUM(M67:M68)</f>
        <v>9</v>
      </c>
      <c r="O69" s="436"/>
      <c r="P69" s="437"/>
      <c r="Q69" s="425"/>
    </row>
    <row r="70" spans="1:17" s="426" customFormat="1" ht="10.5" x14ac:dyDescent="0.25">
      <c r="A70" s="421" t="str">
        <f>ORÇAMENTO!A27</f>
        <v xml:space="preserve"> 1.4.2 </v>
      </c>
      <c r="B70" s="422" t="str">
        <f>VLOOKUP(A70,ORÇAMENTO!A:K,4,0)</f>
        <v>VEICULOS EQUIPE TOPOGRAFIA</v>
      </c>
      <c r="C70" s="423"/>
      <c r="D70" s="423"/>
      <c r="E70" s="424"/>
      <c r="F70" s="424"/>
      <c r="G70" s="424"/>
      <c r="H70" s="424"/>
      <c r="I70" s="424"/>
      <c r="J70" s="424"/>
      <c r="K70" s="424"/>
      <c r="L70" s="424"/>
      <c r="M70" s="424"/>
      <c r="N70" s="424"/>
      <c r="O70" s="424"/>
      <c r="P70" s="425"/>
      <c r="Q70" s="425"/>
    </row>
    <row r="71" spans="1:17" s="430" customFormat="1" ht="21" x14ac:dyDescent="0.25">
      <c r="A71" s="427" t="str">
        <f>ORÇAMENTO!A28</f>
        <v xml:space="preserve"> 1.4.2.1 </v>
      </c>
      <c r="B71" s="428" t="str">
        <f>VLOOKUP(A71,ORÇAMENTO!A:K,4,0)</f>
        <v>VAN FURGÃO - 93KW</v>
      </c>
      <c r="C71" s="429" t="str">
        <f>VLOOKUP(A71,ORÇAMENTO!A:K,5,0)</f>
        <v>MÊS</v>
      </c>
      <c r="D71" s="429">
        <f>SUM(E74:O74)</f>
        <v>9</v>
      </c>
      <c r="E71" s="429" t="s">
        <v>2149</v>
      </c>
      <c r="F71" s="429" t="s">
        <v>2150</v>
      </c>
      <c r="G71" s="429" t="s">
        <v>2151</v>
      </c>
      <c r="H71" s="429" t="s">
        <v>2152</v>
      </c>
      <c r="I71" s="429" t="s">
        <v>2153</v>
      </c>
      <c r="J71" s="429" t="s">
        <v>2154</v>
      </c>
      <c r="K71" s="429" t="s">
        <v>2155</v>
      </c>
      <c r="L71" s="429" t="s">
        <v>2156</v>
      </c>
      <c r="M71" s="429" t="s">
        <v>413</v>
      </c>
      <c r="N71" s="429" t="s">
        <v>2157</v>
      </c>
      <c r="O71" s="429" t="s">
        <v>2158</v>
      </c>
      <c r="P71" s="425"/>
      <c r="Q71" s="425"/>
    </row>
    <row r="72" spans="1:17" s="426" customFormat="1" ht="10.5" x14ac:dyDescent="0.25">
      <c r="A72" s="431"/>
      <c r="B72" s="432" t="s">
        <v>3476</v>
      </c>
      <c r="C72" s="433"/>
      <c r="D72" s="418"/>
      <c r="E72" s="418"/>
      <c r="F72" s="418"/>
      <c r="G72" s="418"/>
      <c r="H72" s="418"/>
      <c r="I72" s="418"/>
      <c r="J72" s="418"/>
      <c r="K72" s="418"/>
      <c r="L72" s="418"/>
      <c r="M72" s="418">
        <f>M67</f>
        <v>9</v>
      </c>
      <c r="N72" s="418"/>
      <c r="O72" s="418"/>
      <c r="P72" s="434"/>
      <c r="Q72" s="425"/>
    </row>
    <row r="73" spans="1:17" s="426" customFormat="1" ht="10.5" x14ac:dyDescent="0.25">
      <c r="A73" s="431"/>
      <c r="B73" s="432"/>
      <c r="C73" s="433"/>
      <c r="D73" s="418"/>
      <c r="E73" s="418"/>
      <c r="F73" s="418"/>
      <c r="G73" s="418"/>
      <c r="H73" s="418"/>
      <c r="I73" s="418"/>
      <c r="J73" s="418"/>
      <c r="K73" s="418"/>
      <c r="L73" s="418"/>
      <c r="M73" s="418"/>
      <c r="N73" s="418"/>
      <c r="O73" s="418"/>
      <c r="P73" s="434"/>
      <c r="Q73" s="425"/>
    </row>
    <row r="74" spans="1:17" s="426" customFormat="1" ht="10.5" x14ac:dyDescent="0.25">
      <c r="A74" s="431"/>
      <c r="B74" s="435" t="s">
        <v>377</v>
      </c>
      <c r="C74" s="436" t="s">
        <v>402</v>
      </c>
      <c r="D74" s="436"/>
      <c r="E74" s="436"/>
      <c r="F74" s="436"/>
      <c r="G74" s="436"/>
      <c r="H74" s="436"/>
      <c r="I74" s="436"/>
      <c r="J74" s="436"/>
      <c r="K74" s="436"/>
      <c r="L74" s="436"/>
      <c r="M74" s="436">
        <f>SUM(M72:M73)</f>
        <v>9</v>
      </c>
      <c r="O74" s="436"/>
      <c r="P74" s="437"/>
      <c r="Q74" s="425"/>
    </row>
    <row r="75" spans="1:17" s="426" customFormat="1" ht="10.5" x14ac:dyDescent="0.25">
      <c r="A75" s="421" t="str">
        <f>ORÇAMENTO!A29</f>
        <v xml:space="preserve"> 1.5 </v>
      </c>
      <c r="B75" s="422" t="str">
        <f>VLOOKUP(A75,ORÇAMENTO!A:K,4,0)</f>
        <v>DETALHAMENTO PROJETO DRENAGEM</v>
      </c>
      <c r="C75" s="423"/>
      <c r="D75" s="423"/>
      <c r="E75" s="424"/>
      <c r="F75" s="424"/>
      <c r="G75" s="424"/>
      <c r="H75" s="424"/>
      <c r="I75" s="424"/>
      <c r="J75" s="424"/>
      <c r="K75" s="424"/>
      <c r="L75" s="424"/>
      <c r="M75" s="424"/>
      <c r="N75" s="424"/>
      <c r="O75" s="424"/>
      <c r="P75" s="425"/>
      <c r="Q75" s="425"/>
    </row>
    <row r="76" spans="1:17" s="430" customFormat="1" ht="21" x14ac:dyDescent="0.25">
      <c r="A76" s="427" t="str">
        <f>ORÇAMENTO!A30</f>
        <v xml:space="preserve"> 1.5.1 </v>
      </c>
      <c r="B76" s="428" t="str">
        <f>VLOOKUP(A76,ORÇAMENTO!A:K,4,0)</f>
        <v>ENGENHEIRO CIVIL DE OBRA SENIOR COM ENCARGOS COMPLEMENTARES</v>
      </c>
      <c r="C76" s="429" t="str">
        <f>VLOOKUP(A76,ORÇAMENTO!A:K,5,0)</f>
        <v>MES</v>
      </c>
      <c r="D76" s="429">
        <f>SUM(E79:O79)</f>
        <v>1</v>
      </c>
      <c r="E76" s="429" t="s">
        <v>2149</v>
      </c>
      <c r="F76" s="429" t="s">
        <v>2150</v>
      </c>
      <c r="G76" s="429" t="s">
        <v>2151</v>
      </c>
      <c r="H76" s="429" t="s">
        <v>2152</v>
      </c>
      <c r="I76" s="429" t="s">
        <v>2153</v>
      </c>
      <c r="J76" s="429" t="s">
        <v>2154</v>
      </c>
      <c r="K76" s="429" t="s">
        <v>2155</v>
      </c>
      <c r="L76" s="429" t="s">
        <v>2156</v>
      </c>
      <c r="M76" s="429" t="s">
        <v>413</v>
      </c>
      <c r="N76" s="429" t="s">
        <v>2157</v>
      </c>
      <c r="O76" s="429" t="s">
        <v>2158</v>
      </c>
      <c r="P76" s="425"/>
      <c r="Q76" s="425"/>
    </row>
    <row r="77" spans="1:17" s="426" customFormat="1" ht="21" x14ac:dyDescent="0.25">
      <c r="A77" s="431"/>
      <c r="B77" s="432" t="s">
        <v>2126</v>
      </c>
      <c r="C77" s="433"/>
      <c r="D77" s="418"/>
      <c r="E77" s="418"/>
      <c r="F77" s="418"/>
      <c r="G77" s="418"/>
      <c r="H77" s="418"/>
      <c r="I77" s="418"/>
      <c r="J77" s="418"/>
      <c r="K77" s="418"/>
      <c r="L77" s="418"/>
      <c r="M77" s="418">
        <v>1</v>
      </c>
      <c r="N77" s="418"/>
      <c r="O77" s="418"/>
      <c r="P77" s="434"/>
      <c r="Q77" s="425"/>
    </row>
    <row r="78" spans="1:17" s="426" customFormat="1" ht="10.5" x14ac:dyDescent="0.25">
      <c r="A78" s="431"/>
      <c r="B78" s="432"/>
      <c r="C78" s="433"/>
      <c r="D78" s="418"/>
      <c r="E78" s="418"/>
      <c r="F78" s="418"/>
      <c r="G78" s="418"/>
      <c r="H78" s="418"/>
      <c r="I78" s="418"/>
      <c r="J78" s="418"/>
      <c r="K78" s="418"/>
      <c r="L78" s="418"/>
      <c r="M78" s="418"/>
      <c r="N78" s="418"/>
      <c r="O78" s="418"/>
      <c r="P78" s="434"/>
      <c r="Q78" s="425"/>
    </row>
    <row r="79" spans="1:17" s="426" customFormat="1" ht="10.5" x14ac:dyDescent="0.25">
      <c r="A79" s="431"/>
      <c r="B79" s="435" t="s">
        <v>377</v>
      </c>
      <c r="C79" s="436" t="s">
        <v>402</v>
      </c>
      <c r="D79" s="436"/>
      <c r="E79" s="436"/>
      <c r="F79" s="436"/>
      <c r="G79" s="436"/>
      <c r="H79" s="436"/>
      <c r="I79" s="436"/>
      <c r="J79" s="436"/>
      <c r="K79" s="436"/>
      <c r="L79" s="436"/>
      <c r="M79" s="436">
        <f>SUM(M77:M78)</f>
        <v>1</v>
      </c>
      <c r="O79" s="436"/>
      <c r="P79" s="437"/>
      <c r="Q79" s="425"/>
    </row>
    <row r="80" spans="1:17" s="430" customFormat="1" ht="21" x14ac:dyDescent="0.25">
      <c r="A80" s="427" t="str">
        <f>ORÇAMENTO!A31</f>
        <v xml:space="preserve"> 1.5.2 </v>
      </c>
      <c r="B80" s="428" t="str">
        <f>VLOOKUP(A80,ORÇAMENTO!A:K,4,0)</f>
        <v>DESENHISTA DETALHISTA COM ENCARGOS COMPLEMENTARES</v>
      </c>
      <c r="C80" s="429" t="str">
        <f>VLOOKUP(A80,ORÇAMENTO!A:K,5,0)</f>
        <v>MES</v>
      </c>
      <c r="D80" s="429">
        <f>SUM(E83:O83)</f>
        <v>1</v>
      </c>
      <c r="E80" s="429" t="s">
        <v>2149</v>
      </c>
      <c r="F80" s="429" t="s">
        <v>2150</v>
      </c>
      <c r="G80" s="429" t="s">
        <v>2151</v>
      </c>
      <c r="H80" s="429" t="s">
        <v>2152</v>
      </c>
      <c r="I80" s="429" t="s">
        <v>2153</v>
      </c>
      <c r="J80" s="429" t="s">
        <v>2154</v>
      </c>
      <c r="K80" s="429" t="s">
        <v>2155</v>
      </c>
      <c r="L80" s="429" t="s">
        <v>2156</v>
      </c>
      <c r="M80" s="429" t="s">
        <v>413</v>
      </c>
      <c r="N80" s="429" t="s">
        <v>2157</v>
      </c>
      <c r="O80" s="429" t="s">
        <v>2158</v>
      </c>
      <c r="P80" s="425"/>
      <c r="Q80" s="425"/>
    </row>
    <row r="81" spans="1:17" s="426" customFormat="1" ht="21" x14ac:dyDescent="0.25">
      <c r="A81" s="431"/>
      <c r="B81" s="432" t="s">
        <v>2127</v>
      </c>
      <c r="C81" s="433"/>
      <c r="D81" s="418"/>
      <c r="E81" s="418"/>
      <c r="F81" s="418"/>
      <c r="G81" s="418"/>
      <c r="H81" s="418"/>
      <c r="I81" s="418"/>
      <c r="J81" s="418"/>
      <c r="K81" s="418"/>
      <c r="L81" s="418"/>
      <c r="M81" s="418">
        <v>1</v>
      </c>
      <c r="N81" s="418"/>
      <c r="O81" s="418"/>
      <c r="P81" s="434"/>
      <c r="Q81" s="425"/>
    </row>
    <row r="82" spans="1:17" s="426" customFormat="1" ht="10.5" x14ac:dyDescent="0.25">
      <c r="A82" s="431"/>
      <c r="B82" s="432"/>
      <c r="C82" s="433"/>
      <c r="D82" s="418"/>
      <c r="E82" s="418"/>
      <c r="F82" s="418"/>
      <c r="G82" s="418"/>
      <c r="H82" s="418"/>
      <c r="I82" s="418"/>
      <c r="J82" s="418"/>
      <c r="K82" s="418"/>
      <c r="L82" s="418"/>
      <c r="M82" s="418"/>
      <c r="N82" s="418"/>
      <c r="O82" s="418"/>
      <c r="P82" s="434"/>
      <c r="Q82" s="425"/>
    </row>
    <row r="83" spans="1:17" s="426" customFormat="1" ht="10.5" x14ac:dyDescent="0.25">
      <c r="A83" s="431"/>
      <c r="B83" s="435" t="s">
        <v>377</v>
      </c>
      <c r="C83" s="436" t="s">
        <v>402</v>
      </c>
      <c r="D83" s="436"/>
      <c r="E83" s="436"/>
      <c r="F83" s="436"/>
      <c r="G83" s="436"/>
      <c r="H83" s="436"/>
      <c r="I83" s="436"/>
      <c r="J83" s="436"/>
      <c r="K83" s="436"/>
      <c r="L83" s="436"/>
      <c r="M83" s="436">
        <f>SUM(M81:M82)</f>
        <v>1</v>
      </c>
      <c r="O83" s="436"/>
      <c r="P83" s="437"/>
      <c r="Q83" s="425"/>
    </row>
    <row r="84" spans="1:17" s="430" customFormat="1" ht="21" x14ac:dyDescent="0.25">
      <c r="A84" s="427" t="str">
        <f>ORÇAMENTO!A32</f>
        <v xml:space="preserve"> 1.5.3 </v>
      </c>
      <c r="B84" s="428" t="str">
        <f>VLOOKUP(A84,ORÇAMENTO!A:K,4,0)</f>
        <v>RELATORIO E ART DOS SERVIÇOS</v>
      </c>
      <c r="C84" s="429" t="str">
        <f>VLOOKUP(A84,ORÇAMENTO!A:K,5,0)</f>
        <v>UN</v>
      </c>
      <c r="D84" s="429">
        <f>SUM(E87:O87)</f>
        <v>2</v>
      </c>
      <c r="E84" s="429" t="s">
        <v>2149</v>
      </c>
      <c r="F84" s="429" t="s">
        <v>2150</v>
      </c>
      <c r="G84" s="429" t="s">
        <v>2151</v>
      </c>
      <c r="H84" s="429" t="s">
        <v>2152</v>
      </c>
      <c r="I84" s="429" t="s">
        <v>2153</v>
      </c>
      <c r="J84" s="429" t="s">
        <v>2154</v>
      </c>
      <c r="K84" s="429" t="s">
        <v>2155</v>
      </c>
      <c r="L84" s="429" t="s">
        <v>2156</v>
      </c>
      <c r="M84" s="429" t="s">
        <v>413</v>
      </c>
      <c r="N84" s="429" t="s">
        <v>2157</v>
      </c>
      <c r="O84" s="429" t="s">
        <v>2158</v>
      </c>
      <c r="P84" s="425"/>
      <c r="Q84" s="425"/>
    </row>
    <row r="85" spans="1:17" s="426" customFormat="1" ht="10.5" x14ac:dyDescent="0.25">
      <c r="A85" s="431"/>
      <c r="B85" s="432" t="s">
        <v>2099</v>
      </c>
      <c r="C85" s="433"/>
      <c r="D85" s="418"/>
      <c r="E85" s="418"/>
      <c r="F85" s="418"/>
      <c r="G85" s="418"/>
      <c r="H85" s="418"/>
      <c r="I85" s="418"/>
      <c r="J85" s="418"/>
      <c r="K85" s="418"/>
      <c r="L85" s="418"/>
      <c r="M85" s="418">
        <v>2</v>
      </c>
      <c r="N85" s="418"/>
      <c r="O85" s="418"/>
      <c r="P85" s="434"/>
      <c r="Q85" s="425"/>
    </row>
    <row r="86" spans="1:17" s="426" customFormat="1" ht="10.5" x14ac:dyDescent="0.25">
      <c r="A86" s="431"/>
      <c r="B86" s="432"/>
      <c r="C86" s="433"/>
      <c r="D86" s="418"/>
      <c r="E86" s="418"/>
      <c r="F86" s="418"/>
      <c r="G86" s="418"/>
      <c r="H86" s="418"/>
      <c r="I86" s="418"/>
      <c r="J86" s="418"/>
      <c r="K86" s="418"/>
      <c r="L86" s="418"/>
      <c r="M86" s="418"/>
      <c r="N86" s="418"/>
      <c r="O86" s="418"/>
      <c r="P86" s="434"/>
      <c r="Q86" s="425"/>
    </row>
    <row r="87" spans="1:17" s="426" customFormat="1" ht="10.5" x14ac:dyDescent="0.25">
      <c r="A87" s="431"/>
      <c r="B87" s="435" t="s">
        <v>377</v>
      </c>
      <c r="C87" s="436" t="s">
        <v>402</v>
      </c>
      <c r="D87" s="436"/>
      <c r="E87" s="436"/>
      <c r="F87" s="436"/>
      <c r="G87" s="436"/>
      <c r="H87" s="436"/>
      <c r="I87" s="436"/>
      <c r="J87" s="436"/>
      <c r="K87" s="436"/>
      <c r="L87" s="436"/>
      <c r="M87" s="436">
        <f>SUM(M85:M86)</f>
        <v>2</v>
      </c>
      <c r="O87" s="436"/>
      <c r="P87" s="437"/>
      <c r="Q87" s="425"/>
    </row>
    <row r="88" spans="1:17" s="426" customFormat="1" ht="10.5" x14ac:dyDescent="0.25">
      <c r="A88" s="421" t="str">
        <f>ORÇAMENTO!A33</f>
        <v xml:space="preserve"> 1.6 </v>
      </c>
      <c r="B88" s="422" t="str">
        <f>VLOOKUP(A88,ORÇAMENTO!A:K,4,0)</f>
        <v>CONSUMOS MENSAIS ESTIMADOS</v>
      </c>
      <c r="C88" s="423"/>
      <c r="D88" s="423"/>
      <c r="E88" s="424"/>
      <c r="F88" s="424"/>
      <c r="G88" s="424"/>
      <c r="H88" s="424"/>
      <c r="I88" s="424"/>
      <c r="J88" s="424"/>
      <c r="K88" s="424"/>
      <c r="L88" s="424"/>
      <c r="M88" s="424"/>
      <c r="N88" s="424"/>
      <c r="O88" s="424"/>
      <c r="P88" s="425"/>
      <c r="Q88" s="425"/>
    </row>
    <row r="89" spans="1:17" s="430" customFormat="1" ht="21" x14ac:dyDescent="0.25">
      <c r="A89" s="427" t="str">
        <f>ORÇAMENTO!A34</f>
        <v xml:space="preserve"> 1.6.1 </v>
      </c>
      <c r="B89" s="428" t="str">
        <f>VLOOKUP(A89,ORÇAMENTO!A:K,4,0)</f>
        <v>CONSUMO MENSAL DE ENERGIA ELÉTRICA- ESTIMADO</v>
      </c>
      <c r="C89" s="429" t="str">
        <f>VLOOKUP(A89,ORÇAMENTO!A:K,5,0)</f>
        <v>MÊS</v>
      </c>
      <c r="D89" s="429">
        <f>SUM(E92:O92)</f>
        <v>7</v>
      </c>
      <c r="E89" s="429" t="s">
        <v>2149</v>
      </c>
      <c r="F89" s="429" t="s">
        <v>2150</v>
      </c>
      <c r="G89" s="429" t="s">
        <v>2151</v>
      </c>
      <c r="H89" s="429" t="s">
        <v>2152</v>
      </c>
      <c r="I89" s="429" t="s">
        <v>2153</v>
      </c>
      <c r="J89" s="429" t="s">
        <v>2154</v>
      </c>
      <c r="K89" s="429" t="s">
        <v>2155</v>
      </c>
      <c r="L89" s="429" t="s">
        <v>2156</v>
      </c>
      <c r="M89" s="429" t="s">
        <v>413</v>
      </c>
      <c r="N89" s="429" t="s">
        <v>2157</v>
      </c>
      <c r="O89" s="429" t="s">
        <v>2158</v>
      </c>
      <c r="P89" s="425"/>
      <c r="Q89" s="425"/>
    </row>
    <row r="90" spans="1:17" s="426" customFormat="1" ht="21" x14ac:dyDescent="0.25">
      <c r="A90" s="431"/>
      <c r="B90" s="432" t="s">
        <v>2106</v>
      </c>
      <c r="C90" s="433"/>
      <c r="D90" s="418"/>
      <c r="E90" s="418"/>
      <c r="F90" s="418"/>
      <c r="G90" s="418"/>
      <c r="H90" s="418"/>
      <c r="I90" s="418"/>
      <c r="J90" s="418"/>
      <c r="K90" s="418"/>
      <c r="L90" s="418"/>
      <c r="M90" s="418">
        <f>E6-2</f>
        <v>7</v>
      </c>
      <c r="N90" s="418"/>
      <c r="O90" s="418"/>
      <c r="P90" s="434"/>
      <c r="Q90" s="425"/>
    </row>
    <row r="91" spans="1:17" s="426" customFormat="1" ht="10.5" x14ac:dyDescent="0.25">
      <c r="A91" s="431"/>
      <c r="B91" s="432"/>
      <c r="C91" s="433"/>
      <c r="D91" s="418"/>
      <c r="E91" s="418"/>
      <c r="F91" s="418"/>
      <c r="G91" s="418"/>
      <c r="H91" s="418"/>
      <c r="I91" s="418"/>
      <c r="J91" s="418"/>
      <c r="K91" s="418"/>
      <c r="L91" s="418"/>
      <c r="M91" s="418"/>
      <c r="N91" s="418"/>
      <c r="O91" s="418"/>
      <c r="P91" s="434"/>
      <c r="Q91" s="425"/>
    </row>
    <row r="92" spans="1:17" s="426" customFormat="1" ht="10.5" x14ac:dyDescent="0.25">
      <c r="A92" s="431"/>
      <c r="B92" s="435" t="s">
        <v>377</v>
      </c>
      <c r="C92" s="436" t="s">
        <v>402</v>
      </c>
      <c r="D92" s="436"/>
      <c r="E92" s="436"/>
      <c r="F92" s="436"/>
      <c r="G92" s="436"/>
      <c r="H92" s="436"/>
      <c r="I92" s="436"/>
      <c r="J92" s="436"/>
      <c r="K92" s="436"/>
      <c r="L92" s="436"/>
      <c r="M92" s="436">
        <f>SUM(M90:M91)</f>
        <v>7</v>
      </c>
      <c r="O92" s="436"/>
      <c r="P92" s="437"/>
      <c r="Q92" s="425"/>
    </row>
    <row r="93" spans="1:17" s="430" customFormat="1" ht="21" x14ac:dyDescent="0.25">
      <c r="A93" s="427" t="str">
        <f>ORÇAMENTO!A35</f>
        <v xml:space="preserve"> 1.6.2 </v>
      </c>
      <c r="B93" s="428" t="str">
        <f>VLOOKUP(A93,ORÇAMENTO!A:K,4,0)</f>
        <v>CONSUMO MENSAL DE ÁGUA E ESGOTO - ESTIMADO</v>
      </c>
      <c r="C93" s="429" t="str">
        <f>VLOOKUP(A93,ORÇAMENTO!A:K,5,0)</f>
        <v>MÊS</v>
      </c>
      <c r="D93" s="429">
        <f>SUM(E96:O96)</f>
        <v>9</v>
      </c>
      <c r="E93" s="429" t="s">
        <v>2149</v>
      </c>
      <c r="F93" s="429" t="s">
        <v>2150</v>
      </c>
      <c r="G93" s="429" t="s">
        <v>2151</v>
      </c>
      <c r="H93" s="429" t="s">
        <v>2152</v>
      </c>
      <c r="I93" s="429" t="s">
        <v>2153</v>
      </c>
      <c r="J93" s="429" t="s">
        <v>2154</v>
      </c>
      <c r="K93" s="429" t="s">
        <v>2155</v>
      </c>
      <c r="L93" s="429" t="s">
        <v>2156</v>
      </c>
      <c r="M93" s="429" t="s">
        <v>413</v>
      </c>
      <c r="N93" s="429" t="s">
        <v>2157</v>
      </c>
      <c r="O93" s="429" t="s">
        <v>2158</v>
      </c>
      <c r="P93" s="425"/>
      <c r="Q93" s="425"/>
    </row>
    <row r="94" spans="1:17" s="426" customFormat="1" ht="10.5" x14ac:dyDescent="0.25">
      <c r="A94" s="431"/>
      <c r="B94" s="432" t="s">
        <v>2107</v>
      </c>
      <c r="C94" s="433"/>
      <c r="D94" s="418"/>
      <c r="E94" s="418"/>
      <c r="F94" s="418"/>
      <c r="G94" s="418"/>
      <c r="H94" s="418"/>
      <c r="I94" s="418"/>
      <c r="J94" s="418"/>
      <c r="K94" s="418"/>
      <c r="L94" s="418"/>
      <c r="M94" s="418">
        <f>E6</f>
        <v>9</v>
      </c>
      <c r="N94" s="418"/>
      <c r="O94" s="418"/>
      <c r="P94" s="434"/>
      <c r="Q94" s="425"/>
    </row>
    <row r="95" spans="1:17" s="426" customFormat="1" ht="10.5" x14ac:dyDescent="0.25">
      <c r="A95" s="431"/>
      <c r="B95" s="432"/>
      <c r="C95" s="433"/>
      <c r="D95" s="418"/>
      <c r="E95" s="418"/>
      <c r="F95" s="418"/>
      <c r="G95" s="418"/>
      <c r="H95" s="418"/>
      <c r="I95" s="418"/>
      <c r="J95" s="418"/>
      <c r="K95" s="418"/>
      <c r="L95" s="418"/>
      <c r="M95" s="418"/>
      <c r="N95" s="418"/>
      <c r="O95" s="418"/>
      <c r="P95" s="434"/>
      <c r="Q95" s="425"/>
    </row>
    <row r="96" spans="1:17" s="426" customFormat="1" ht="10.5" x14ac:dyDescent="0.25">
      <c r="A96" s="431"/>
      <c r="B96" s="435" t="s">
        <v>377</v>
      </c>
      <c r="C96" s="436" t="s">
        <v>402</v>
      </c>
      <c r="D96" s="436"/>
      <c r="E96" s="436"/>
      <c r="F96" s="436"/>
      <c r="G96" s="436"/>
      <c r="H96" s="436"/>
      <c r="I96" s="436"/>
      <c r="J96" s="436"/>
      <c r="K96" s="436"/>
      <c r="L96" s="436"/>
      <c r="M96" s="436">
        <f>SUM(M94:M95)</f>
        <v>9</v>
      </c>
      <c r="O96" s="436"/>
      <c r="P96" s="437"/>
      <c r="Q96" s="425"/>
    </row>
    <row r="97" spans="1:17" s="426" customFormat="1" ht="10.5" x14ac:dyDescent="0.25">
      <c r="A97" s="421" t="str">
        <f>ORÇAMENTO!A36</f>
        <v xml:space="preserve"> 1.7 </v>
      </c>
      <c r="B97" s="422" t="str">
        <f>VLOOKUP(A97,ORÇAMENTO!A:K,4,0)</f>
        <v>DIVERSOS EQUIPAMENTOS</v>
      </c>
      <c r="C97" s="423"/>
      <c r="D97" s="423"/>
      <c r="E97" s="424"/>
      <c r="F97" s="424"/>
      <c r="G97" s="424"/>
      <c r="H97" s="424"/>
      <c r="I97" s="424"/>
      <c r="J97" s="424"/>
      <c r="K97" s="424"/>
      <c r="L97" s="424"/>
      <c r="M97" s="424"/>
      <c r="N97" s="424"/>
      <c r="O97" s="424"/>
      <c r="P97" s="425"/>
      <c r="Q97" s="425"/>
    </row>
    <row r="98" spans="1:17" s="430" customFormat="1" ht="52.5" x14ac:dyDescent="0.25">
      <c r="A98" s="427" t="str">
        <f>ORÇAMENTO!A37</f>
        <v xml:space="preserve"> 1.7.1 </v>
      </c>
      <c r="B98" s="428" t="str">
        <f>VLOOKUP(A98,ORÇAMENTO!A:K,4,0)</f>
        <v>CAMINHÃO PIPA 6.000 L, PESO BRUTO TOTAL 13.000 KG, DISTÂNCIA ENTRE EIXOS 4,80 M, POTÊNCIA 189 CV INCLUSIVE TANQUE DE AÇO PARA TRANSPORTE DE ÁGUA, CAPACIDADE 6 M3 - CHP DIURNO. AF_06/2014</v>
      </c>
      <c r="C98" s="429" t="str">
        <f>VLOOKUP(A98,ORÇAMENTO!A:K,5,0)</f>
        <v>CHP</v>
      </c>
      <c r="D98" s="429">
        <f>SUM(E101:O101)</f>
        <v>396</v>
      </c>
      <c r="E98" s="429" t="s">
        <v>3477</v>
      </c>
      <c r="F98" s="429" t="s">
        <v>3478</v>
      </c>
      <c r="G98" s="429" t="s">
        <v>27</v>
      </c>
      <c r="H98" s="429" t="s">
        <v>2152</v>
      </c>
      <c r="I98" s="429" t="s">
        <v>2153</v>
      </c>
      <c r="J98" s="429" t="s">
        <v>2154</v>
      </c>
      <c r="K98" s="429" t="s">
        <v>2155</v>
      </c>
      <c r="L98" s="429" t="s">
        <v>2156</v>
      </c>
      <c r="M98" s="429" t="s">
        <v>413</v>
      </c>
      <c r="N98" s="429" t="s">
        <v>2157</v>
      </c>
      <c r="O98" s="429" t="s">
        <v>2158</v>
      </c>
      <c r="P98" s="425"/>
      <c r="Q98" s="425"/>
    </row>
    <row r="99" spans="1:17" s="426" customFormat="1" ht="21" x14ac:dyDescent="0.25">
      <c r="A99" s="431"/>
      <c r="B99" s="432" t="s">
        <v>2108</v>
      </c>
      <c r="C99" s="433"/>
      <c r="D99" s="418"/>
      <c r="E99" s="418">
        <v>22</v>
      </c>
      <c r="F99" s="418">
        <v>2</v>
      </c>
      <c r="G99" s="418">
        <f>M94</f>
        <v>9</v>
      </c>
      <c r="H99" s="418"/>
      <c r="I99" s="418"/>
      <c r="J99" s="418"/>
      <c r="K99" s="418"/>
      <c r="L99" s="418"/>
      <c r="M99" s="418">
        <f>E99*F99*G99</f>
        <v>396</v>
      </c>
      <c r="N99" s="418"/>
      <c r="O99" s="418"/>
      <c r="P99" s="434"/>
      <c r="Q99" s="425"/>
    </row>
    <row r="100" spans="1:17" s="426" customFormat="1" ht="10.5" x14ac:dyDescent="0.25">
      <c r="A100" s="431"/>
      <c r="B100" s="432"/>
      <c r="C100" s="433"/>
      <c r="D100" s="418"/>
      <c r="E100" s="418"/>
      <c r="F100" s="418"/>
      <c r="G100" s="418"/>
      <c r="H100" s="418"/>
      <c r="I100" s="418"/>
      <c r="J100" s="418"/>
      <c r="K100" s="418"/>
      <c r="L100" s="418"/>
      <c r="M100" s="418"/>
      <c r="N100" s="418"/>
      <c r="O100" s="418"/>
      <c r="P100" s="434"/>
      <c r="Q100" s="425"/>
    </row>
    <row r="101" spans="1:17" s="426" customFormat="1" ht="10.5" x14ac:dyDescent="0.25">
      <c r="A101" s="431"/>
      <c r="B101" s="435" t="s">
        <v>377</v>
      </c>
      <c r="C101" s="436" t="s">
        <v>402</v>
      </c>
      <c r="D101" s="436"/>
      <c r="E101" s="436"/>
      <c r="F101" s="436"/>
      <c r="G101" s="436"/>
      <c r="H101" s="436"/>
      <c r="I101" s="436"/>
      <c r="J101" s="436"/>
      <c r="K101" s="436"/>
      <c r="L101" s="436"/>
      <c r="M101" s="436">
        <f>SUM(M99:M100)</f>
        <v>396</v>
      </c>
      <c r="O101" s="436"/>
      <c r="P101" s="437"/>
      <c r="Q101" s="425"/>
    </row>
    <row r="102" spans="1:17" s="430" customFormat="1" ht="21" x14ac:dyDescent="0.25">
      <c r="A102" s="427" t="str">
        <f>ORÇAMENTO!A38</f>
        <v xml:space="preserve"> 1.7.2 </v>
      </c>
      <c r="B102" s="428" t="str">
        <f>VLOOKUP(A102,ORÇAMENTO!A:K,4,0)</f>
        <v>GRUPO GERADOR ESTACIONÁRIO, MOTOR DIESEL POTÊNCIA 170 KVA - CHP DIURNO. AF_02/2016</v>
      </c>
      <c r="C102" s="429" t="str">
        <f>VLOOKUP(A102,ORÇAMENTO!A:K,5,0)</f>
        <v>CHP</v>
      </c>
      <c r="D102" s="429">
        <f>SUM(E105:O105)</f>
        <v>88</v>
      </c>
      <c r="E102" s="429" t="s">
        <v>2149</v>
      </c>
      <c r="F102" s="429" t="s">
        <v>3478</v>
      </c>
      <c r="G102" s="429" t="s">
        <v>27</v>
      </c>
      <c r="H102" s="429" t="s">
        <v>2152</v>
      </c>
      <c r="I102" s="429" t="s">
        <v>2153</v>
      </c>
      <c r="J102" s="429" t="s">
        <v>2154</v>
      </c>
      <c r="K102" s="429" t="s">
        <v>2155</v>
      </c>
      <c r="L102" s="429" t="s">
        <v>2156</v>
      </c>
      <c r="M102" s="429" t="s">
        <v>413</v>
      </c>
      <c r="N102" s="429" t="s">
        <v>2157</v>
      </c>
      <c r="O102" s="429" t="s">
        <v>2158</v>
      </c>
      <c r="P102" s="425"/>
      <c r="Q102" s="425"/>
    </row>
    <row r="103" spans="1:17" s="426" customFormat="1" ht="10.5" x14ac:dyDescent="0.25">
      <c r="A103" s="431"/>
      <c r="B103" s="432" t="s">
        <v>2109</v>
      </c>
      <c r="C103" s="433"/>
      <c r="D103" s="418"/>
      <c r="E103" s="418"/>
      <c r="F103" s="418">
        <v>44</v>
      </c>
      <c r="G103" s="418">
        <v>2</v>
      </c>
      <c r="H103" s="418"/>
      <c r="I103" s="418"/>
      <c r="J103" s="418"/>
      <c r="K103" s="418"/>
      <c r="L103" s="418"/>
      <c r="M103" s="418">
        <f>G103*F103</f>
        <v>88</v>
      </c>
      <c r="N103" s="418"/>
      <c r="O103" s="418"/>
      <c r="P103" s="434"/>
      <c r="Q103" s="425"/>
    </row>
    <row r="104" spans="1:17" s="426" customFormat="1" ht="10.5" x14ac:dyDescent="0.25">
      <c r="A104" s="431"/>
      <c r="B104" s="432"/>
      <c r="C104" s="433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34"/>
      <c r="Q104" s="425"/>
    </row>
    <row r="105" spans="1:17" s="426" customFormat="1" ht="10.5" x14ac:dyDescent="0.25">
      <c r="A105" s="431"/>
      <c r="B105" s="435" t="s">
        <v>377</v>
      </c>
      <c r="C105" s="436" t="s">
        <v>402</v>
      </c>
      <c r="D105" s="436"/>
      <c r="E105" s="436"/>
      <c r="F105" s="436"/>
      <c r="G105" s="436"/>
      <c r="H105" s="436"/>
      <c r="I105" s="436"/>
      <c r="J105" s="436"/>
      <c r="K105" s="436"/>
      <c r="L105" s="436"/>
      <c r="M105" s="436">
        <f>SUM(M103:M104)</f>
        <v>88</v>
      </c>
      <c r="O105" s="436"/>
      <c r="P105" s="437"/>
      <c r="Q105" s="425"/>
    </row>
    <row r="106" spans="1:17" s="430" customFormat="1" ht="21" x14ac:dyDescent="0.25">
      <c r="A106" s="427" t="str">
        <f>ORÇAMENTO!A39</f>
        <v xml:space="preserve"> 1.7.3 </v>
      </c>
      <c r="B106" s="428" t="str">
        <f>VLOOKUP(A106,ORÇAMENTO!A:K,4,0)</f>
        <v>GRUPO GERADOR ESTACIONÁRIO, POTÊNCIA 150 KVA, MOTOR A DIESEL- CHI DIURNO. AF_03/2016</v>
      </c>
      <c r="C106" s="429" t="str">
        <f>VLOOKUP(A106,ORÇAMENTO!A:K,5,0)</f>
        <v>CHI</v>
      </c>
      <c r="D106" s="429">
        <f>SUM(E109:O109)</f>
        <v>352</v>
      </c>
      <c r="E106" s="429" t="s">
        <v>2149</v>
      </c>
      <c r="F106" s="429" t="s">
        <v>3478</v>
      </c>
      <c r="G106" s="429" t="s">
        <v>27</v>
      </c>
      <c r="H106" s="429" t="s">
        <v>2152</v>
      </c>
      <c r="I106" s="429" t="s">
        <v>2153</v>
      </c>
      <c r="J106" s="429" t="s">
        <v>2154</v>
      </c>
      <c r="K106" s="429" t="s">
        <v>2155</v>
      </c>
      <c r="L106" s="429" t="s">
        <v>2156</v>
      </c>
      <c r="M106" s="429" t="s">
        <v>413</v>
      </c>
      <c r="N106" s="429" t="s">
        <v>2157</v>
      </c>
      <c r="O106" s="429" t="s">
        <v>2158</v>
      </c>
      <c r="P106" s="425"/>
      <c r="Q106" s="425"/>
    </row>
    <row r="107" spans="1:17" s="426" customFormat="1" ht="10.5" x14ac:dyDescent="0.25">
      <c r="A107" s="431"/>
      <c r="B107" s="432" t="s">
        <v>2110</v>
      </c>
      <c r="C107" s="433"/>
      <c r="D107" s="418"/>
      <c r="E107" s="418"/>
      <c r="F107" s="418">
        <v>176</v>
      </c>
      <c r="G107" s="418">
        <v>2</v>
      </c>
      <c r="H107" s="418"/>
      <c r="I107" s="418"/>
      <c r="J107" s="418"/>
      <c r="K107" s="418"/>
      <c r="L107" s="418"/>
      <c r="M107" s="418">
        <f>G107*F107</f>
        <v>352</v>
      </c>
      <c r="N107" s="418"/>
      <c r="O107" s="418"/>
      <c r="P107" s="434"/>
      <c r="Q107" s="425"/>
    </row>
    <row r="108" spans="1:17" s="426" customFormat="1" ht="10.5" x14ac:dyDescent="0.25">
      <c r="A108" s="431"/>
      <c r="B108" s="432"/>
      <c r="C108" s="433"/>
      <c r="D108" s="418"/>
      <c r="E108" s="418"/>
      <c r="F108" s="418"/>
      <c r="G108" s="418"/>
      <c r="H108" s="418"/>
      <c r="I108" s="418"/>
      <c r="J108" s="418"/>
      <c r="K108" s="418"/>
      <c r="L108" s="418"/>
      <c r="M108" s="418"/>
      <c r="N108" s="418"/>
      <c r="O108" s="418"/>
      <c r="P108" s="434"/>
      <c r="Q108" s="425"/>
    </row>
    <row r="109" spans="1:17" s="426" customFormat="1" ht="10.5" x14ac:dyDescent="0.25">
      <c r="A109" s="431"/>
      <c r="B109" s="435" t="s">
        <v>377</v>
      </c>
      <c r="C109" s="436" t="s">
        <v>402</v>
      </c>
      <c r="D109" s="436"/>
      <c r="E109" s="436"/>
      <c r="F109" s="436"/>
      <c r="G109" s="436"/>
      <c r="H109" s="436"/>
      <c r="I109" s="436"/>
      <c r="J109" s="436"/>
      <c r="K109" s="436"/>
      <c r="L109" s="436"/>
      <c r="M109" s="436">
        <f>SUM(M107:M108)</f>
        <v>352</v>
      </c>
      <c r="O109" s="436"/>
      <c r="P109" s="437"/>
      <c r="Q109" s="425"/>
    </row>
    <row r="110" spans="1:17" s="426" customFormat="1" ht="21" x14ac:dyDescent="0.25">
      <c r="A110" s="421" t="str">
        <f>ORÇAMENTO!A40</f>
        <v xml:space="preserve"> 1.8 </v>
      </c>
      <c r="B110" s="422" t="str">
        <f>VLOOKUP(A110,ORÇAMENTO!A:K,4,0)</f>
        <v>RECUPERAÇÃO DA ÁREA DE CANTEIRO DE OBRAS - PRINCIPAL</v>
      </c>
      <c r="C110" s="423"/>
      <c r="D110" s="423"/>
      <c r="E110" s="424"/>
      <c r="F110" s="424"/>
      <c r="G110" s="424"/>
      <c r="H110" s="424"/>
      <c r="I110" s="424"/>
      <c r="J110" s="424"/>
      <c r="K110" s="424"/>
      <c r="L110" s="424"/>
      <c r="M110" s="424"/>
      <c r="N110" s="424"/>
      <c r="O110" s="424"/>
      <c r="P110" s="425"/>
      <c r="Q110" s="425"/>
    </row>
    <row r="111" spans="1:17" s="430" customFormat="1" ht="31.5" x14ac:dyDescent="0.25">
      <c r="A111" s="427" t="str">
        <f>ORÇAMENTO!A41</f>
        <v xml:space="preserve"> 1.8.1 </v>
      </c>
      <c r="B111" s="428" t="str">
        <f>VLOOKUP(A111,ORÇAMENTO!A:K,4,0)</f>
        <v>REMOÇÃO DE TAPUME/ CHAPAS METÁLICAS E DE MADEIRA, DE FORMA MANUAL, SEM REAPROVEITAMENTO. AF_09/2023</v>
      </c>
      <c r="C111" s="429" t="str">
        <f>VLOOKUP(A111,ORÇAMENTO!A:K,5,0)</f>
        <v>M²</v>
      </c>
      <c r="D111" s="429">
        <f>SUM(E120:O120)</f>
        <v>388</v>
      </c>
      <c r="E111" s="429" t="s">
        <v>2149</v>
      </c>
      <c r="F111" s="429" t="s">
        <v>2150</v>
      </c>
      <c r="G111" s="429" t="s">
        <v>2151</v>
      </c>
      <c r="H111" s="429" t="s">
        <v>2152</v>
      </c>
      <c r="I111" s="429" t="s">
        <v>2153</v>
      </c>
      <c r="J111" s="429" t="s">
        <v>2154</v>
      </c>
      <c r="K111" s="429" t="s">
        <v>2155</v>
      </c>
      <c r="L111" s="429" t="s">
        <v>2156</v>
      </c>
      <c r="M111" s="429" t="s">
        <v>413</v>
      </c>
      <c r="N111" s="429" t="s">
        <v>2157</v>
      </c>
      <c r="O111" s="429" t="s">
        <v>2158</v>
      </c>
      <c r="P111" s="425"/>
      <c r="Q111" s="425"/>
    </row>
    <row r="112" spans="1:17" s="426" customFormat="1" ht="21" x14ac:dyDescent="0.25">
      <c r="A112" s="431"/>
      <c r="B112" s="432" t="s">
        <v>3479</v>
      </c>
      <c r="C112" s="433"/>
      <c r="D112" s="418"/>
      <c r="E112" s="418"/>
      <c r="F112" s="418"/>
      <c r="G112" s="418"/>
      <c r="H112" s="418"/>
      <c r="I112" s="418"/>
      <c r="J112" s="418"/>
      <c r="K112" s="418"/>
      <c r="L112" s="418"/>
      <c r="M112" s="418"/>
      <c r="N112" s="418"/>
      <c r="O112" s="418"/>
      <c r="P112" s="434"/>
      <c r="Q112" s="425"/>
    </row>
    <row r="113" spans="1:17" s="426" customFormat="1" ht="10.5" x14ac:dyDescent="0.25">
      <c r="A113" s="431"/>
      <c r="B113" s="432" t="s">
        <v>3480</v>
      </c>
      <c r="C113" s="433"/>
      <c r="D113" s="418"/>
      <c r="E113" s="418"/>
      <c r="F113" s="418"/>
      <c r="G113" s="418"/>
      <c r="H113" s="418"/>
      <c r="I113" s="418"/>
      <c r="J113" s="418"/>
      <c r="K113" s="418"/>
      <c r="L113" s="418"/>
      <c r="M113" s="418"/>
      <c r="N113" s="418">
        <v>264</v>
      </c>
      <c r="O113" s="418"/>
      <c r="P113" s="434"/>
      <c r="Q113" s="425"/>
    </row>
    <row r="114" spans="1:17" s="426" customFormat="1" ht="10.5" x14ac:dyDescent="0.25">
      <c r="A114" s="431"/>
      <c r="B114" s="432" t="s">
        <v>3481</v>
      </c>
      <c r="C114" s="433"/>
      <c r="D114" s="418"/>
      <c r="E114" s="418"/>
      <c r="F114" s="418"/>
      <c r="G114" s="418"/>
      <c r="H114" s="418"/>
      <c r="I114" s="418"/>
      <c r="J114" s="418"/>
      <c r="K114" s="418"/>
      <c r="L114" s="418"/>
      <c r="M114" s="418"/>
      <c r="N114" s="418">
        <v>4</v>
      </c>
      <c r="O114" s="418"/>
      <c r="P114" s="434"/>
      <c r="Q114" s="425"/>
    </row>
    <row r="115" spans="1:17" s="426" customFormat="1" ht="10.5" x14ac:dyDescent="0.25">
      <c r="A115" s="431"/>
      <c r="B115" s="432" t="s">
        <v>3482</v>
      </c>
      <c r="C115" s="433"/>
      <c r="D115" s="418"/>
      <c r="E115" s="418"/>
      <c r="F115" s="418"/>
      <c r="G115" s="418"/>
      <c r="H115" s="418"/>
      <c r="I115" s="418"/>
      <c r="J115" s="418"/>
      <c r="K115" s="418"/>
      <c r="L115" s="418"/>
      <c r="M115" s="418"/>
      <c r="N115" s="418">
        <v>50</v>
      </c>
      <c r="O115" s="418"/>
      <c r="P115" s="434"/>
      <c r="Q115" s="425"/>
    </row>
    <row r="116" spans="1:17" s="426" customFormat="1" ht="10.5" x14ac:dyDescent="0.25">
      <c r="A116" s="431"/>
      <c r="B116" s="432" t="s">
        <v>3483</v>
      </c>
      <c r="C116" s="433"/>
      <c r="D116" s="418"/>
      <c r="E116" s="418"/>
      <c r="F116" s="418"/>
      <c r="G116" s="418"/>
      <c r="H116" s="418"/>
      <c r="I116" s="418"/>
      <c r="J116" s="418"/>
      <c r="K116" s="418"/>
      <c r="L116" s="418"/>
      <c r="M116" s="418"/>
      <c r="N116" s="418">
        <v>50</v>
      </c>
      <c r="O116" s="418"/>
      <c r="P116" s="434"/>
      <c r="Q116" s="425"/>
    </row>
    <row r="117" spans="1:17" s="426" customFormat="1" ht="10.5" x14ac:dyDescent="0.25">
      <c r="A117" s="431"/>
      <c r="B117" s="432" t="s">
        <v>3484</v>
      </c>
      <c r="C117" s="433"/>
      <c r="D117" s="418"/>
      <c r="E117" s="418"/>
      <c r="F117" s="418"/>
      <c r="G117" s="418"/>
      <c r="H117" s="418"/>
      <c r="I117" s="418"/>
      <c r="J117" s="418"/>
      <c r="K117" s="418"/>
      <c r="L117" s="418"/>
      <c r="M117" s="418"/>
      <c r="N117" s="418">
        <v>20</v>
      </c>
      <c r="O117" s="418"/>
      <c r="P117" s="434"/>
      <c r="Q117" s="425"/>
    </row>
    <row r="118" spans="1:17" s="426" customFormat="1" ht="10.5" x14ac:dyDescent="0.25">
      <c r="A118" s="431"/>
      <c r="B118" s="432"/>
      <c r="C118" s="433"/>
      <c r="D118" s="418"/>
      <c r="E118" s="418"/>
      <c r="F118" s="418"/>
      <c r="G118" s="418"/>
      <c r="H118" s="418"/>
      <c r="I118" s="418"/>
      <c r="J118" s="418"/>
      <c r="K118" s="418"/>
      <c r="L118" s="418"/>
      <c r="M118" s="418"/>
      <c r="N118" s="418"/>
      <c r="O118" s="418"/>
      <c r="P118" s="434"/>
      <c r="Q118" s="425"/>
    </row>
    <row r="119" spans="1:17" s="426" customFormat="1" ht="10.5" x14ac:dyDescent="0.25">
      <c r="A119" s="431"/>
      <c r="B119" s="432"/>
      <c r="C119" s="433"/>
      <c r="D119" s="418"/>
      <c r="E119" s="418"/>
      <c r="F119" s="418"/>
      <c r="G119" s="418"/>
      <c r="H119" s="418"/>
      <c r="I119" s="418"/>
      <c r="J119" s="418"/>
      <c r="K119" s="418"/>
      <c r="L119" s="418"/>
      <c r="M119" s="418"/>
      <c r="N119" s="418"/>
      <c r="O119" s="418"/>
      <c r="P119" s="434"/>
      <c r="Q119" s="425"/>
    </row>
    <row r="120" spans="1:17" s="426" customFormat="1" ht="10.5" x14ac:dyDescent="0.25">
      <c r="A120" s="431"/>
      <c r="B120" s="435" t="s">
        <v>377</v>
      </c>
      <c r="C120" s="436" t="s">
        <v>402</v>
      </c>
      <c r="D120" s="436"/>
      <c r="E120" s="436"/>
      <c r="F120" s="436"/>
      <c r="G120" s="436"/>
      <c r="H120" s="436"/>
      <c r="I120" s="436"/>
      <c r="J120" s="436"/>
      <c r="K120" s="436"/>
      <c r="L120" s="436"/>
      <c r="N120" s="436">
        <f>SUM(N113:N119)</f>
        <v>388</v>
      </c>
      <c r="O120" s="436"/>
      <c r="P120" s="437"/>
      <c r="Q120" s="425"/>
    </row>
    <row r="121" spans="1:17" s="430" customFormat="1" ht="52.5" x14ac:dyDescent="0.25">
      <c r="A121" s="427" t="str">
        <f>ORÇAMENTO!A42</f>
        <v xml:space="preserve"> 1.8.2</v>
      </c>
      <c r="B121" s="428" t="str">
        <f>VLOOKUP(A121,ORÇAMENTO!A:K,4,0)</f>
        <v>CARGA, MANOBRA E DESCARGA DE ENTULHO EM CAMINHÃO BASCULANTE 14 M³ - CARGA COM ESCAVADEIRA HIDRÁULICA  (CAÇAMBA DE 0,80 M³ / 111 HP) E DESCARGA LIVRE (UNIDADE: M3). AF_07/2020</v>
      </c>
      <c r="C121" s="429" t="str">
        <f>VLOOKUP(A121,ORÇAMENTO!A:K,5,0)</f>
        <v>M³</v>
      </c>
      <c r="D121" s="429">
        <f>SUM(E124:O124)</f>
        <v>25.220000000000002</v>
      </c>
      <c r="E121" s="429" t="s">
        <v>2149</v>
      </c>
      <c r="F121" s="429" t="s">
        <v>2150</v>
      </c>
      <c r="G121" s="429" t="s">
        <v>2151</v>
      </c>
      <c r="H121" s="429" t="s">
        <v>2152</v>
      </c>
      <c r="I121" s="429" t="s">
        <v>3466</v>
      </c>
      <c r="J121" s="429" t="s">
        <v>2154</v>
      </c>
      <c r="K121" s="429" t="s">
        <v>2155</v>
      </c>
      <c r="L121" s="429" t="s">
        <v>2156</v>
      </c>
      <c r="M121" s="429" t="s">
        <v>413</v>
      </c>
      <c r="N121" s="429" t="s">
        <v>2157</v>
      </c>
      <c r="O121" s="429" t="s">
        <v>2158</v>
      </c>
      <c r="P121" s="425"/>
      <c r="Q121" s="425"/>
    </row>
    <row r="122" spans="1:17" s="426" customFormat="1" ht="10.5" x14ac:dyDescent="0.25">
      <c r="A122" s="431"/>
      <c r="B122" s="432" t="s">
        <v>2111</v>
      </c>
      <c r="C122" s="433"/>
      <c r="D122" s="418"/>
      <c r="E122" s="418"/>
      <c r="F122" s="418"/>
      <c r="G122" s="418"/>
      <c r="H122" s="418">
        <v>0.05</v>
      </c>
      <c r="I122" s="418">
        <v>1.3</v>
      </c>
      <c r="J122" s="418"/>
      <c r="K122" s="418"/>
      <c r="L122" s="418"/>
      <c r="M122" s="418"/>
      <c r="N122" s="418">
        <f>N120</f>
        <v>388</v>
      </c>
      <c r="O122" s="418">
        <f>N122*I122*H122</f>
        <v>25.220000000000002</v>
      </c>
      <c r="P122" s="434"/>
      <c r="Q122" s="425"/>
    </row>
    <row r="123" spans="1:17" s="426" customFormat="1" ht="10.5" x14ac:dyDescent="0.25">
      <c r="A123" s="431"/>
      <c r="B123" s="432"/>
      <c r="C123" s="433"/>
      <c r="D123" s="418"/>
      <c r="E123" s="418"/>
      <c r="F123" s="418"/>
      <c r="G123" s="418"/>
      <c r="H123" s="418"/>
      <c r="I123" s="418"/>
      <c r="J123" s="418"/>
      <c r="K123" s="418"/>
      <c r="L123" s="418"/>
      <c r="M123" s="418"/>
      <c r="N123" s="418"/>
      <c r="O123" s="418"/>
      <c r="P123" s="434"/>
      <c r="Q123" s="425"/>
    </row>
    <row r="124" spans="1:17" s="426" customFormat="1" ht="10.5" x14ac:dyDescent="0.25">
      <c r="A124" s="431"/>
      <c r="B124" s="435" t="s">
        <v>377</v>
      </c>
      <c r="C124" s="436" t="s">
        <v>402</v>
      </c>
      <c r="D124" s="436"/>
      <c r="E124" s="436"/>
      <c r="F124" s="436"/>
      <c r="G124" s="436"/>
      <c r="H124" s="436"/>
      <c r="I124" s="436"/>
      <c r="J124" s="436"/>
      <c r="K124" s="436"/>
      <c r="L124" s="436"/>
      <c r="N124" s="436"/>
      <c r="O124" s="436">
        <f>SUM(O122:O123)</f>
        <v>25.220000000000002</v>
      </c>
      <c r="P124" s="437"/>
      <c r="Q124" s="425"/>
    </row>
    <row r="125" spans="1:17" s="430" customFormat="1" ht="31.5" x14ac:dyDescent="0.25">
      <c r="A125" s="427" t="str">
        <f>ORÇAMENTO!A43</f>
        <v xml:space="preserve"> 1.8.3</v>
      </c>
      <c r="B125" s="428" t="str">
        <f>VLOOKUP(A125,ORÇAMENTO!A:K,4,0)</f>
        <v>TRANSPORTE COM CAMINHÃO BASCULANTE DE 14 M³, EM VIA URBANA PAVIMENTADA, DMT ATÉ 30 KM (UNIDADE: M3XKM). AF_07/2020</v>
      </c>
      <c r="C125" s="429" t="str">
        <f>VLOOKUP(A125,ORÇAMENTO!A:K,5,0)</f>
        <v>M3XKM</v>
      </c>
      <c r="D125" s="429">
        <f>SUM(E128:O128)</f>
        <v>756.6</v>
      </c>
      <c r="E125" s="429" t="s">
        <v>2149</v>
      </c>
      <c r="F125" s="429" t="s">
        <v>3468</v>
      </c>
      <c r="G125" s="429" t="s">
        <v>2151</v>
      </c>
      <c r="H125" s="429" t="s">
        <v>2152</v>
      </c>
      <c r="I125" s="429" t="s">
        <v>2153</v>
      </c>
      <c r="J125" s="429" t="s">
        <v>2154</v>
      </c>
      <c r="K125" s="429" t="s">
        <v>2155</v>
      </c>
      <c r="L125" s="429" t="s">
        <v>2156</v>
      </c>
      <c r="M125" s="429" t="s">
        <v>2175</v>
      </c>
      <c r="N125" s="429" t="s">
        <v>2157</v>
      </c>
      <c r="O125" s="429" t="s">
        <v>2158</v>
      </c>
      <c r="P125" s="425"/>
      <c r="Q125" s="425"/>
    </row>
    <row r="126" spans="1:17" s="426" customFormat="1" ht="10.5" x14ac:dyDescent="0.25">
      <c r="A126" s="431"/>
      <c r="B126" s="432" t="s">
        <v>2112</v>
      </c>
      <c r="C126" s="433"/>
      <c r="D126" s="418"/>
      <c r="E126" s="418"/>
      <c r="F126" s="418">
        <v>30</v>
      </c>
      <c r="G126" s="418"/>
      <c r="H126" s="418"/>
      <c r="I126" s="418"/>
      <c r="J126" s="418"/>
      <c r="K126" s="418"/>
      <c r="L126" s="418"/>
      <c r="M126" s="418">
        <f>O126*F126</f>
        <v>756.6</v>
      </c>
      <c r="N126" s="418"/>
      <c r="O126" s="418">
        <f>O124</f>
        <v>25.220000000000002</v>
      </c>
      <c r="P126" s="434"/>
      <c r="Q126" s="425"/>
    </row>
    <row r="127" spans="1:17" s="426" customFormat="1" ht="10.5" x14ac:dyDescent="0.25">
      <c r="A127" s="431"/>
      <c r="B127" s="432"/>
      <c r="C127" s="433"/>
      <c r="D127" s="418"/>
      <c r="E127" s="418"/>
      <c r="F127" s="418"/>
      <c r="G127" s="418"/>
      <c r="H127" s="418"/>
      <c r="I127" s="418"/>
      <c r="J127" s="418"/>
      <c r="K127" s="418"/>
      <c r="L127" s="418"/>
      <c r="M127" s="418"/>
      <c r="N127" s="418"/>
      <c r="O127" s="418"/>
      <c r="P127" s="434"/>
      <c r="Q127" s="425"/>
    </row>
    <row r="128" spans="1:17" s="426" customFormat="1" ht="10.5" x14ac:dyDescent="0.25">
      <c r="A128" s="431"/>
      <c r="B128" s="435" t="s">
        <v>377</v>
      </c>
      <c r="C128" s="436" t="s">
        <v>402</v>
      </c>
      <c r="D128" s="436"/>
      <c r="E128" s="436"/>
      <c r="F128" s="436"/>
      <c r="G128" s="436"/>
      <c r="H128" s="436"/>
      <c r="I128" s="436"/>
      <c r="J128" s="436"/>
      <c r="K128" s="436"/>
      <c r="L128" s="436"/>
      <c r="M128" s="436">
        <f>SUM(M126:M127)</f>
        <v>756.6</v>
      </c>
      <c r="O128" s="436"/>
      <c r="P128" s="437"/>
      <c r="Q128" s="425"/>
    </row>
    <row r="129" spans="1:17" s="430" customFormat="1" ht="42" x14ac:dyDescent="0.25">
      <c r="A129" s="427" t="str">
        <f>ORÇAMENTO!A44</f>
        <v xml:space="preserve"> 1.8.4</v>
      </c>
      <c r="B129" s="428" t="str">
        <f>VLOOKUP(A129,ORÇAMENTO!A:K,4,0)</f>
        <v>TRANSPORTE COM CAMINHÃO BASCULANTE DE 14 M³, EM VIA URBANA PAVIMENTADA, ADICIONAL PARA DMT EXCEDENTE A 30 KM (UNIDADE: M3XKM). AF_07/2020</v>
      </c>
      <c r="C129" s="429" t="str">
        <f>VLOOKUP(A129,ORÇAMENTO!A:K,5,0)</f>
        <v>M3XKM</v>
      </c>
      <c r="D129" s="429">
        <f>SUM(E132:O132)</f>
        <v>1134.9000000000001</v>
      </c>
      <c r="E129" s="429" t="s">
        <v>2149</v>
      </c>
      <c r="F129" s="429" t="s">
        <v>3468</v>
      </c>
      <c r="G129" s="429" t="s">
        <v>2151</v>
      </c>
      <c r="H129" s="429" t="s">
        <v>2152</v>
      </c>
      <c r="I129" s="429" t="s">
        <v>2153</v>
      </c>
      <c r="J129" s="429" t="s">
        <v>2154</v>
      </c>
      <c r="K129" s="429" t="s">
        <v>2155</v>
      </c>
      <c r="L129" s="429" t="s">
        <v>2156</v>
      </c>
      <c r="M129" s="429" t="s">
        <v>2175</v>
      </c>
      <c r="N129" s="429" t="s">
        <v>2157</v>
      </c>
      <c r="O129" s="429" t="s">
        <v>2158</v>
      </c>
      <c r="P129" s="425"/>
      <c r="Q129" s="425"/>
    </row>
    <row r="130" spans="1:17" s="426" customFormat="1" ht="10.5" x14ac:dyDescent="0.25">
      <c r="A130" s="431"/>
      <c r="B130" s="432" t="s">
        <v>2112</v>
      </c>
      <c r="C130" s="433"/>
      <c r="D130" s="418"/>
      <c r="E130" s="418"/>
      <c r="F130" s="418">
        <v>45</v>
      </c>
      <c r="G130" s="418"/>
      <c r="H130" s="418"/>
      <c r="I130" s="418"/>
      <c r="J130" s="418"/>
      <c r="K130" s="418"/>
      <c r="L130" s="418"/>
      <c r="M130" s="418">
        <f>O130*F130</f>
        <v>1134.9000000000001</v>
      </c>
      <c r="N130" s="418"/>
      <c r="O130" s="418">
        <f>O126</f>
        <v>25.220000000000002</v>
      </c>
      <c r="P130" s="434"/>
      <c r="Q130" s="425"/>
    </row>
    <row r="131" spans="1:17" s="426" customFormat="1" ht="10.5" x14ac:dyDescent="0.25">
      <c r="A131" s="431"/>
      <c r="B131" s="432"/>
      <c r="C131" s="433"/>
      <c r="D131" s="418"/>
      <c r="E131" s="418"/>
      <c r="F131" s="418"/>
      <c r="G131" s="418"/>
      <c r="H131" s="418"/>
      <c r="I131" s="418"/>
      <c r="J131" s="418"/>
      <c r="K131" s="418"/>
      <c r="L131" s="418"/>
      <c r="M131" s="418"/>
      <c r="N131" s="418"/>
      <c r="O131" s="418"/>
      <c r="P131" s="434"/>
      <c r="Q131" s="425"/>
    </row>
    <row r="132" spans="1:17" s="426" customFormat="1" ht="10.5" x14ac:dyDescent="0.25">
      <c r="A132" s="431"/>
      <c r="B132" s="435" t="s">
        <v>377</v>
      </c>
      <c r="C132" s="436" t="s">
        <v>402</v>
      </c>
      <c r="D132" s="436"/>
      <c r="E132" s="436"/>
      <c r="F132" s="436"/>
      <c r="G132" s="436"/>
      <c r="H132" s="436"/>
      <c r="I132" s="436"/>
      <c r="J132" s="436"/>
      <c r="K132" s="436"/>
      <c r="L132" s="436"/>
      <c r="M132" s="436">
        <f>SUM(M130:M131)</f>
        <v>1134.9000000000001</v>
      </c>
      <c r="O132" s="436"/>
      <c r="P132" s="437"/>
      <c r="Q132" s="425"/>
    </row>
    <row r="133" spans="1:17" s="430" customFormat="1" ht="21" x14ac:dyDescent="0.25">
      <c r="A133" s="427" t="str">
        <f>ORÇAMENTO!A45</f>
        <v xml:space="preserve"> 1.8.5</v>
      </c>
      <c r="B133" s="428" t="str">
        <f>VLOOKUP(A133,ORÇAMENTO!A:K,4,0)</f>
        <v>REMOÇÃO MECANIZADA DE CAMADA GRANULAR DO PAVIMENTO</v>
      </c>
      <c r="C133" s="429" t="str">
        <f>VLOOKUP(A133,ORÇAMENTO!A:K,5,0)</f>
        <v>M³</v>
      </c>
      <c r="D133" s="429">
        <f>SUM(E136:O136)</f>
        <v>40</v>
      </c>
      <c r="E133" s="429" t="s">
        <v>2149</v>
      </c>
      <c r="F133" s="429" t="s">
        <v>2150</v>
      </c>
      <c r="G133" s="429" t="s">
        <v>2151</v>
      </c>
      <c r="H133" s="429" t="s">
        <v>2152</v>
      </c>
      <c r="I133" s="429" t="s">
        <v>2153</v>
      </c>
      <c r="J133" s="429" t="s">
        <v>2154</v>
      </c>
      <c r="K133" s="429" t="s">
        <v>2155</v>
      </c>
      <c r="L133" s="429" t="s">
        <v>2156</v>
      </c>
      <c r="M133" s="429" t="s">
        <v>413</v>
      </c>
      <c r="N133" s="429" t="s">
        <v>2157</v>
      </c>
      <c r="O133" s="429" t="s">
        <v>2158</v>
      </c>
      <c r="P133" s="425"/>
      <c r="Q133" s="425"/>
    </row>
    <row r="134" spans="1:17" s="426" customFormat="1" ht="10.5" x14ac:dyDescent="0.25">
      <c r="A134" s="431"/>
      <c r="B134" s="432" t="s">
        <v>2113</v>
      </c>
      <c r="C134" s="433"/>
      <c r="D134" s="418"/>
      <c r="E134" s="418"/>
      <c r="F134" s="418"/>
      <c r="G134" s="418"/>
      <c r="H134" s="418">
        <v>0.05</v>
      </c>
      <c r="I134" s="418"/>
      <c r="J134" s="418"/>
      <c r="K134" s="418"/>
      <c r="L134" s="418"/>
      <c r="M134" s="418"/>
      <c r="N134" s="418">
        <f>N184</f>
        <v>800</v>
      </c>
      <c r="O134" s="418">
        <f>N134*H134</f>
        <v>40</v>
      </c>
      <c r="P134" s="434"/>
      <c r="Q134" s="425"/>
    </row>
    <row r="135" spans="1:17" s="426" customFormat="1" ht="10.5" x14ac:dyDescent="0.25">
      <c r="A135" s="431"/>
      <c r="B135" s="432"/>
      <c r="C135" s="433"/>
      <c r="D135" s="418"/>
      <c r="E135" s="418"/>
      <c r="F135" s="418"/>
      <c r="G135" s="418"/>
      <c r="H135" s="418"/>
      <c r="I135" s="418"/>
      <c r="J135" s="418"/>
      <c r="K135" s="418"/>
      <c r="L135" s="418"/>
      <c r="M135" s="418"/>
      <c r="N135" s="418"/>
      <c r="O135" s="418"/>
      <c r="P135" s="434"/>
      <c r="Q135" s="425"/>
    </row>
    <row r="136" spans="1:17" s="426" customFormat="1" ht="10.5" x14ac:dyDescent="0.25">
      <c r="A136" s="431"/>
      <c r="B136" s="435" t="s">
        <v>377</v>
      </c>
      <c r="C136" s="436" t="s">
        <v>402</v>
      </c>
      <c r="D136" s="436"/>
      <c r="E136" s="436"/>
      <c r="F136" s="436"/>
      <c r="G136" s="436"/>
      <c r="H136" s="436"/>
      <c r="I136" s="436"/>
      <c r="J136" s="436"/>
      <c r="K136" s="436"/>
      <c r="L136" s="436"/>
      <c r="N136" s="436"/>
      <c r="O136" s="436">
        <f>SUM(O134:O135)</f>
        <v>40</v>
      </c>
      <c r="P136" s="437"/>
      <c r="Q136" s="425"/>
    </row>
    <row r="137" spans="1:17" s="430" customFormat="1" ht="52.5" x14ac:dyDescent="0.25">
      <c r="A137" s="427" t="str">
        <f>ORÇAMENTO!A46</f>
        <v xml:space="preserve"> 1.8.6</v>
      </c>
      <c r="B137" s="428" t="str">
        <f>VLOOKUP(A137,ORÇAMENTO!A:K,4,0)</f>
        <v>CARGA, MANOBRA E DESCARGA DE SOLOS E MATERIAIS GRANULARES EM CAMINHÃO BASCULANTE 14 M³ - CARGA COM ESCAVADEIRA HIDRÁULICA (CAÇAMBA DE 1,20 M³ / 155 HP) E DESCARGA LIVRE (UNIDADE: M3). AF_07/2020</v>
      </c>
      <c r="C137" s="429" t="str">
        <f>VLOOKUP(A137,ORÇAMENTO!A:K,5,0)</f>
        <v>M³</v>
      </c>
      <c r="D137" s="429">
        <f>SUM(E140:O140)</f>
        <v>60</v>
      </c>
      <c r="E137" s="429" t="s">
        <v>2149</v>
      </c>
      <c r="F137" s="429" t="s">
        <v>2150</v>
      </c>
      <c r="G137" s="429" t="s">
        <v>2151</v>
      </c>
      <c r="H137" s="429" t="s">
        <v>3466</v>
      </c>
      <c r="I137" s="429" t="s">
        <v>2153</v>
      </c>
      <c r="J137" s="429" t="s">
        <v>2154</v>
      </c>
      <c r="K137" s="429" t="s">
        <v>2155</v>
      </c>
      <c r="L137" s="429" t="s">
        <v>2156</v>
      </c>
      <c r="M137" s="429" t="s">
        <v>413</v>
      </c>
      <c r="N137" s="429" t="s">
        <v>3485</v>
      </c>
      <c r="O137" s="429" t="s">
        <v>2158</v>
      </c>
      <c r="P137" s="425"/>
      <c r="Q137" s="425"/>
    </row>
    <row r="138" spans="1:17" s="426" customFormat="1" ht="10.5" x14ac:dyDescent="0.25">
      <c r="A138" s="431"/>
      <c r="B138" s="432" t="s">
        <v>2114</v>
      </c>
      <c r="C138" s="433"/>
      <c r="D138" s="418"/>
      <c r="E138" s="418"/>
      <c r="F138" s="418"/>
      <c r="G138" s="418"/>
      <c r="H138" s="418">
        <v>1.5</v>
      </c>
      <c r="I138" s="418"/>
      <c r="J138" s="418"/>
      <c r="K138" s="418"/>
      <c r="L138" s="418"/>
      <c r="M138" s="418"/>
      <c r="N138" s="418">
        <f>O138*H138</f>
        <v>60</v>
      </c>
      <c r="O138" s="418">
        <f>O136</f>
        <v>40</v>
      </c>
      <c r="P138" s="434"/>
      <c r="Q138" s="425"/>
    </row>
    <row r="139" spans="1:17" s="426" customFormat="1" ht="10.5" x14ac:dyDescent="0.25">
      <c r="A139" s="431"/>
      <c r="B139" s="432"/>
      <c r="C139" s="433"/>
      <c r="D139" s="418"/>
      <c r="E139" s="418"/>
      <c r="F139" s="418"/>
      <c r="G139" s="418"/>
      <c r="H139" s="418"/>
      <c r="I139" s="418"/>
      <c r="J139" s="418"/>
      <c r="K139" s="418"/>
      <c r="L139" s="418"/>
      <c r="M139" s="418"/>
      <c r="N139" s="418"/>
      <c r="O139" s="418"/>
      <c r="P139" s="434"/>
      <c r="Q139" s="425"/>
    </row>
    <row r="140" spans="1:17" s="426" customFormat="1" ht="10.5" x14ac:dyDescent="0.25">
      <c r="A140" s="431"/>
      <c r="B140" s="435" t="s">
        <v>377</v>
      </c>
      <c r="C140" s="436" t="s">
        <v>402</v>
      </c>
      <c r="D140" s="436"/>
      <c r="E140" s="436"/>
      <c r="F140" s="436"/>
      <c r="G140" s="436"/>
      <c r="H140" s="436"/>
      <c r="I140" s="436"/>
      <c r="J140" s="436"/>
      <c r="K140" s="436"/>
      <c r="L140" s="436"/>
      <c r="N140" s="436">
        <f>SUM(N138:N139)</f>
        <v>60</v>
      </c>
      <c r="O140" s="436"/>
      <c r="P140" s="437"/>
      <c r="Q140" s="425"/>
    </row>
    <row r="141" spans="1:17" s="430" customFormat="1" ht="31.5" x14ac:dyDescent="0.25">
      <c r="A141" s="427" t="str">
        <f>ORÇAMENTO!A47</f>
        <v xml:space="preserve"> 1.8.7</v>
      </c>
      <c r="B141" s="428" t="str">
        <f>VLOOKUP(A141,ORÇAMENTO!A:K,4,0)</f>
        <v>TRANSPORTE COM CAMINHÃO BASCULANTE DE 14 M³, EM VIA URBANA PAVIMENTADA, DMT ATÉ 30 KM (UNIDADE: M3XKM). AF_07/2020</v>
      </c>
      <c r="C141" s="429" t="str">
        <f>VLOOKUP(A141,ORÇAMENTO!A:K,5,0)</f>
        <v>M3XKM</v>
      </c>
      <c r="D141" s="429">
        <f>SUM(E144:O144)</f>
        <v>1800</v>
      </c>
      <c r="E141" s="429" t="s">
        <v>2149</v>
      </c>
      <c r="F141" s="429" t="s">
        <v>3468</v>
      </c>
      <c r="G141" s="429" t="s">
        <v>2151</v>
      </c>
      <c r="H141" s="429" t="s">
        <v>2152</v>
      </c>
      <c r="I141" s="429" t="s">
        <v>2153</v>
      </c>
      <c r="J141" s="429" t="s">
        <v>2154</v>
      </c>
      <c r="K141" s="429" t="s">
        <v>2155</v>
      </c>
      <c r="L141" s="429" t="s">
        <v>2156</v>
      </c>
      <c r="M141" s="429" t="s">
        <v>2175</v>
      </c>
      <c r="N141" s="429" t="s">
        <v>2157</v>
      </c>
      <c r="O141" s="429" t="s">
        <v>2158</v>
      </c>
      <c r="P141" s="425"/>
      <c r="Q141" s="425"/>
    </row>
    <row r="142" spans="1:17" s="426" customFormat="1" ht="10.5" x14ac:dyDescent="0.25">
      <c r="A142" s="431"/>
      <c r="B142" s="432" t="s">
        <v>2098</v>
      </c>
      <c r="C142" s="433"/>
      <c r="D142" s="418"/>
      <c r="E142" s="418"/>
      <c r="F142" s="418">
        <v>30</v>
      </c>
      <c r="G142" s="418"/>
      <c r="H142" s="418"/>
      <c r="I142" s="418"/>
      <c r="J142" s="418"/>
      <c r="K142" s="418"/>
      <c r="L142" s="418"/>
      <c r="M142" s="418">
        <f>O142*F142</f>
        <v>1800</v>
      </c>
      <c r="N142" s="418"/>
      <c r="O142" s="418">
        <f>N140</f>
        <v>60</v>
      </c>
      <c r="P142" s="434"/>
      <c r="Q142" s="425"/>
    </row>
    <row r="143" spans="1:17" s="426" customFormat="1" ht="10.5" x14ac:dyDescent="0.25">
      <c r="A143" s="431"/>
      <c r="B143" s="432"/>
      <c r="C143" s="433"/>
      <c r="D143" s="418"/>
      <c r="E143" s="418"/>
      <c r="F143" s="418"/>
      <c r="G143" s="418"/>
      <c r="H143" s="418"/>
      <c r="I143" s="418"/>
      <c r="J143" s="418"/>
      <c r="K143" s="418"/>
      <c r="L143" s="418"/>
      <c r="M143" s="418"/>
      <c r="N143" s="418"/>
      <c r="O143" s="418"/>
      <c r="P143" s="434"/>
      <c r="Q143" s="425"/>
    </row>
    <row r="144" spans="1:17" s="426" customFormat="1" ht="10.5" x14ac:dyDescent="0.25">
      <c r="A144" s="431"/>
      <c r="B144" s="435" t="s">
        <v>377</v>
      </c>
      <c r="C144" s="436" t="s">
        <v>402</v>
      </c>
      <c r="D144" s="436"/>
      <c r="E144" s="436"/>
      <c r="F144" s="436"/>
      <c r="G144" s="436"/>
      <c r="H144" s="436"/>
      <c r="I144" s="436"/>
      <c r="J144" s="436"/>
      <c r="K144" s="436"/>
      <c r="L144" s="436"/>
      <c r="M144" s="436">
        <f>SUM(M142:M143)</f>
        <v>1800</v>
      </c>
      <c r="O144" s="436"/>
      <c r="P144" s="437"/>
      <c r="Q144" s="425"/>
    </row>
    <row r="145" spans="1:17" s="430" customFormat="1" ht="42" x14ac:dyDescent="0.25">
      <c r="A145" s="427" t="str">
        <f>ORÇAMENTO!A48</f>
        <v xml:space="preserve"> 1.8.8</v>
      </c>
      <c r="B145" s="428" t="str">
        <f>VLOOKUP(A145,ORÇAMENTO!A:K,4,0)</f>
        <v>TRANSPORTE COM CAMINHÃO BASCULANTE DE 14 M³, EM VIA URBANA PAVIMENTADA, ADICIONAL PARA DMT EXCEDENTE A 30 KM (UNIDADE: M3XKM). AF_07/2020</v>
      </c>
      <c r="C145" s="429" t="str">
        <f>VLOOKUP(A145,ORÇAMENTO!A:K,5,0)</f>
        <v>M3XKM</v>
      </c>
      <c r="D145" s="429">
        <f>SUM(E148:O148)</f>
        <v>2700</v>
      </c>
      <c r="E145" s="429" t="s">
        <v>2149</v>
      </c>
      <c r="F145" s="429" t="s">
        <v>2150</v>
      </c>
      <c r="G145" s="429" t="s">
        <v>2151</v>
      </c>
      <c r="H145" s="429" t="s">
        <v>2152</v>
      </c>
      <c r="I145" s="429" t="s">
        <v>2153</v>
      </c>
      <c r="J145" s="429" t="s">
        <v>2154</v>
      </c>
      <c r="K145" s="429" t="s">
        <v>2155</v>
      </c>
      <c r="L145" s="429" t="s">
        <v>2156</v>
      </c>
      <c r="M145" s="429" t="s">
        <v>413</v>
      </c>
      <c r="N145" s="429" t="s">
        <v>2157</v>
      </c>
      <c r="O145" s="429" t="s">
        <v>2158</v>
      </c>
      <c r="P145" s="425"/>
      <c r="Q145" s="425"/>
    </row>
    <row r="146" spans="1:17" s="426" customFormat="1" ht="10.5" x14ac:dyDescent="0.25">
      <c r="A146" s="431"/>
      <c r="B146" s="432" t="s">
        <v>2112</v>
      </c>
      <c r="C146" s="433"/>
      <c r="D146" s="418"/>
      <c r="E146" s="418"/>
      <c r="F146" s="418">
        <v>45</v>
      </c>
      <c r="G146" s="418"/>
      <c r="H146" s="418"/>
      <c r="I146" s="418"/>
      <c r="J146" s="418"/>
      <c r="K146" s="418"/>
      <c r="L146" s="418"/>
      <c r="M146" s="418">
        <f>O146*F146</f>
        <v>2700</v>
      </c>
      <c r="N146" s="418"/>
      <c r="O146" s="418">
        <f>O142</f>
        <v>60</v>
      </c>
      <c r="P146" s="434"/>
      <c r="Q146" s="425"/>
    </row>
    <row r="147" spans="1:17" s="426" customFormat="1" ht="10.5" x14ac:dyDescent="0.25">
      <c r="A147" s="431"/>
      <c r="B147" s="432"/>
      <c r="C147" s="433"/>
      <c r="D147" s="418"/>
      <c r="E147" s="418"/>
      <c r="F147" s="418"/>
      <c r="G147" s="418"/>
      <c r="H147" s="418"/>
      <c r="I147" s="418"/>
      <c r="J147" s="418"/>
      <c r="K147" s="418"/>
      <c r="L147" s="418"/>
      <c r="M147" s="418"/>
      <c r="N147" s="418"/>
      <c r="O147" s="418"/>
      <c r="P147" s="434"/>
      <c r="Q147" s="425"/>
    </row>
    <row r="148" spans="1:17" s="426" customFormat="1" ht="10.5" x14ac:dyDescent="0.25">
      <c r="A148" s="431"/>
      <c r="B148" s="435" t="s">
        <v>377</v>
      </c>
      <c r="C148" s="436" t="s">
        <v>402</v>
      </c>
      <c r="D148" s="436"/>
      <c r="E148" s="436"/>
      <c r="F148" s="436"/>
      <c r="G148" s="436"/>
      <c r="H148" s="436"/>
      <c r="I148" s="436"/>
      <c r="J148" s="436"/>
      <c r="K148" s="436"/>
      <c r="L148" s="436"/>
      <c r="M148" s="436">
        <f>SUM(M146:M147)</f>
        <v>2700</v>
      </c>
      <c r="O148" s="436"/>
      <c r="P148" s="437"/>
      <c r="Q148" s="425"/>
    </row>
    <row r="149" spans="1:17" s="430" customFormat="1" ht="21" x14ac:dyDescent="0.25">
      <c r="A149" s="427" t="str">
        <f>ORÇAMENTO!A49</f>
        <v xml:space="preserve"> 1.8.9</v>
      </c>
      <c r="B149" s="428" t="str">
        <f>VLOOKUP(A149,ORÇAMENTO!A:K,4,0)</f>
        <v>ESPALHAMENTO DE MATERIAL EM BOTA-FORA</v>
      </c>
      <c r="C149" s="429" t="str">
        <f>VLOOKUP(A149,ORÇAMENTO!A:K,5,0)</f>
        <v>M³</v>
      </c>
      <c r="D149" s="429">
        <f>SUM(E152:O152)</f>
        <v>120</v>
      </c>
      <c r="E149" s="429" t="s">
        <v>2149</v>
      </c>
      <c r="F149" s="429" t="s">
        <v>2150</v>
      </c>
      <c r="G149" s="429" t="s">
        <v>2151</v>
      </c>
      <c r="H149" s="429" t="s">
        <v>2152</v>
      </c>
      <c r="I149" s="429" t="s">
        <v>2153</v>
      </c>
      <c r="J149" s="429" t="s">
        <v>2154</v>
      </c>
      <c r="K149" s="429" t="s">
        <v>2155</v>
      </c>
      <c r="L149" s="429" t="s">
        <v>2156</v>
      </c>
      <c r="M149" s="429" t="s">
        <v>413</v>
      </c>
      <c r="N149" s="429" t="s">
        <v>2157</v>
      </c>
      <c r="O149" s="429" t="s">
        <v>2158</v>
      </c>
      <c r="P149" s="425"/>
      <c r="Q149" s="425"/>
    </row>
    <row r="150" spans="1:17" s="426" customFormat="1" ht="21" x14ac:dyDescent="0.25">
      <c r="A150" s="431"/>
      <c r="B150" s="432" t="s">
        <v>2115</v>
      </c>
      <c r="C150" s="433"/>
      <c r="D150" s="418"/>
      <c r="E150" s="418"/>
      <c r="F150" s="418"/>
      <c r="G150" s="418"/>
      <c r="H150" s="418">
        <v>0.15</v>
      </c>
      <c r="I150" s="418"/>
      <c r="J150" s="418"/>
      <c r="K150" s="418"/>
      <c r="L150" s="418"/>
      <c r="M150" s="418"/>
      <c r="N150" s="418">
        <f>N134</f>
        <v>800</v>
      </c>
      <c r="O150" s="418">
        <f>N150*H150</f>
        <v>120</v>
      </c>
      <c r="P150" s="434"/>
      <c r="Q150" s="425"/>
    </row>
    <row r="151" spans="1:17" s="426" customFormat="1" ht="10.5" x14ac:dyDescent="0.25">
      <c r="A151" s="431"/>
      <c r="B151" s="432"/>
      <c r="C151" s="433"/>
      <c r="D151" s="418"/>
      <c r="E151" s="418"/>
      <c r="F151" s="418"/>
      <c r="G151" s="418"/>
      <c r="H151" s="418"/>
      <c r="I151" s="418"/>
      <c r="J151" s="418"/>
      <c r="K151" s="418"/>
      <c r="L151" s="418"/>
      <c r="M151" s="418"/>
      <c r="N151" s="418"/>
      <c r="O151" s="418"/>
      <c r="P151" s="434"/>
      <c r="Q151" s="425"/>
    </row>
    <row r="152" spans="1:17" s="426" customFormat="1" ht="10.5" x14ac:dyDescent="0.25">
      <c r="A152" s="431"/>
      <c r="B152" s="435" t="s">
        <v>377</v>
      </c>
      <c r="C152" s="436" t="s">
        <v>402</v>
      </c>
      <c r="D152" s="436"/>
      <c r="E152" s="436"/>
      <c r="F152" s="436"/>
      <c r="G152" s="436"/>
      <c r="H152" s="436"/>
      <c r="I152" s="436"/>
      <c r="J152" s="436"/>
      <c r="K152" s="436"/>
      <c r="L152" s="436"/>
      <c r="N152" s="436"/>
      <c r="O152" s="436">
        <f>SUM(O150:O151)</f>
        <v>120</v>
      </c>
      <c r="P152" s="437"/>
      <c r="Q152" s="425"/>
    </row>
    <row r="153" spans="1:17" s="430" customFormat="1" ht="21" x14ac:dyDescent="0.25">
      <c r="A153" s="427" t="str">
        <f>ORÇAMENTO!A50</f>
        <v xml:space="preserve"> 1.8.10</v>
      </c>
      <c r="B153" s="428" t="str">
        <f>VLOOKUP(A153,ORÇAMENTO!A:K,4,0)</f>
        <v>REVOLVIMENTO E LIMPEZA MANUAL DE SOLO. AF_07/2024</v>
      </c>
      <c r="C153" s="429" t="str">
        <f>VLOOKUP(A153,ORÇAMENTO!A:K,5,0)</f>
        <v>M²</v>
      </c>
      <c r="D153" s="429">
        <f>SUM(E156:O156)</f>
        <v>800</v>
      </c>
      <c r="E153" s="429" t="s">
        <v>2149</v>
      </c>
      <c r="F153" s="429" t="s">
        <v>2150</v>
      </c>
      <c r="G153" s="429" t="s">
        <v>2151</v>
      </c>
      <c r="H153" s="429" t="s">
        <v>2152</v>
      </c>
      <c r="I153" s="429" t="s">
        <v>2153</v>
      </c>
      <c r="J153" s="429" t="s">
        <v>2154</v>
      </c>
      <c r="K153" s="429" t="s">
        <v>2155</v>
      </c>
      <c r="L153" s="429" t="s">
        <v>2156</v>
      </c>
      <c r="M153" s="429" t="s">
        <v>413</v>
      </c>
      <c r="N153" s="429" t="s">
        <v>2157</v>
      </c>
      <c r="O153" s="429" t="s">
        <v>2158</v>
      </c>
      <c r="P153" s="425"/>
      <c r="Q153" s="425"/>
    </row>
    <row r="154" spans="1:17" s="426" customFormat="1" ht="21" x14ac:dyDescent="0.25">
      <c r="A154" s="431"/>
      <c r="B154" s="432" t="s">
        <v>2095</v>
      </c>
      <c r="C154" s="433"/>
      <c r="D154" s="418"/>
      <c r="E154" s="418"/>
      <c r="F154" s="418"/>
      <c r="G154" s="418"/>
      <c r="H154" s="418"/>
      <c r="I154" s="418"/>
      <c r="J154" s="418"/>
      <c r="K154" s="418"/>
      <c r="L154" s="418"/>
      <c r="M154" s="418"/>
      <c r="N154" s="418">
        <f>N150</f>
        <v>800</v>
      </c>
      <c r="O154" s="418"/>
      <c r="P154" s="434"/>
      <c r="Q154" s="425"/>
    </row>
    <row r="155" spans="1:17" s="426" customFormat="1" ht="10.5" x14ac:dyDescent="0.25">
      <c r="A155" s="431"/>
      <c r="B155" s="432"/>
      <c r="C155" s="433"/>
      <c r="D155" s="418"/>
      <c r="E155" s="418"/>
      <c r="F155" s="418"/>
      <c r="G155" s="418"/>
      <c r="H155" s="418"/>
      <c r="I155" s="418"/>
      <c r="J155" s="418"/>
      <c r="K155" s="418"/>
      <c r="L155" s="418"/>
      <c r="M155" s="418"/>
      <c r="N155" s="418"/>
      <c r="O155" s="418"/>
      <c r="P155" s="434"/>
      <c r="Q155" s="425"/>
    </row>
    <row r="156" spans="1:17" s="426" customFormat="1" ht="10.5" x14ac:dyDescent="0.25">
      <c r="A156" s="431"/>
      <c r="B156" s="435" t="s">
        <v>377</v>
      </c>
      <c r="C156" s="436" t="s">
        <v>402</v>
      </c>
      <c r="D156" s="436"/>
      <c r="E156" s="436"/>
      <c r="F156" s="436"/>
      <c r="G156" s="436"/>
      <c r="H156" s="436"/>
      <c r="I156" s="436"/>
      <c r="J156" s="436"/>
      <c r="K156" s="436"/>
      <c r="L156" s="436"/>
      <c r="N156" s="436">
        <f>SUM(N154:N155)</f>
        <v>800</v>
      </c>
      <c r="O156" s="436"/>
      <c r="P156" s="437"/>
      <c r="Q156" s="425"/>
    </row>
    <row r="157" spans="1:17" s="430" customFormat="1" ht="21" x14ac:dyDescent="0.25">
      <c r="A157" s="427" t="str">
        <f>ORÇAMENTO!A51</f>
        <v xml:space="preserve"> 1.8.11</v>
      </c>
      <c r="B157" s="428" t="str">
        <f>VLOOKUP(A157,ORÇAMENTO!A:K,4,0)</f>
        <v>APLICAÇÃO DE ADUBO EM SOLO. AF_07/2024</v>
      </c>
      <c r="C157" s="429" t="str">
        <f>VLOOKUP(A157,ORÇAMENTO!A:K,5,0)</f>
        <v>M²</v>
      </c>
      <c r="D157" s="429">
        <f>SUM(E160:O160)</f>
        <v>800</v>
      </c>
      <c r="E157" s="429" t="s">
        <v>2149</v>
      </c>
      <c r="F157" s="429" t="s">
        <v>2150</v>
      </c>
      <c r="G157" s="429" t="s">
        <v>2151</v>
      </c>
      <c r="H157" s="429" t="s">
        <v>2152</v>
      </c>
      <c r="I157" s="429" t="s">
        <v>2153</v>
      </c>
      <c r="J157" s="429" t="s">
        <v>2154</v>
      </c>
      <c r="K157" s="429" t="s">
        <v>2155</v>
      </c>
      <c r="L157" s="429" t="s">
        <v>2156</v>
      </c>
      <c r="M157" s="429" t="s">
        <v>413</v>
      </c>
      <c r="N157" s="429" t="s">
        <v>2157</v>
      </c>
      <c r="O157" s="429" t="s">
        <v>2158</v>
      </c>
      <c r="P157" s="425"/>
      <c r="Q157" s="425"/>
    </row>
    <row r="158" spans="1:17" s="426" customFormat="1" ht="21" x14ac:dyDescent="0.25">
      <c r="A158" s="431"/>
      <c r="B158" s="432" t="s">
        <v>2095</v>
      </c>
      <c r="C158" s="433"/>
      <c r="D158" s="418"/>
      <c r="E158" s="418"/>
      <c r="F158" s="418"/>
      <c r="G158" s="418"/>
      <c r="H158" s="418"/>
      <c r="I158" s="418"/>
      <c r="J158" s="418"/>
      <c r="K158" s="418"/>
      <c r="L158" s="418"/>
      <c r="M158" s="418"/>
      <c r="N158" s="418">
        <f>N154</f>
        <v>800</v>
      </c>
      <c r="O158" s="418"/>
      <c r="P158" s="434"/>
      <c r="Q158" s="425"/>
    </row>
    <row r="159" spans="1:17" s="426" customFormat="1" ht="10.5" x14ac:dyDescent="0.25">
      <c r="A159" s="431"/>
      <c r="B159" s="432"/>
      <c r="C159" s="433"/>
      <c r="D159" s="418"/>
      <c r="E159" s="418"/>
      <c r="F159" s="418"/>
      <c r="G159" s="418"/>
      <c r="H159" s="418"/>
      <c r="I159" s="418"/>
      <c r="J159" s="418"/>
      <c r="K159" s="418"/>
      <c r="L159" s="418"/>
      <c r="M159" s="418"/>
      <c r="N159" s="418"/>
      <c r="O159" s="418"/>
      <c r="P159" s="434"/>
      <c r="Q159" s="425"/>
    </row>
    <row r="160" spans="1:17" s="426" customFormat="1" ht="10.5" x14ac:dyDescent="0.25">
      <c r="A160" s="431"/>
      <c r="B160" s="435" t="s">
        <v>377</v>
      </c>
      <c r="C160" s="436" t="s">
        <v>402</v>
      </c>
      <c r="D160" s="436"/>
      <c r="E160" s="436"/>
      <c r="F160" s="436"/>
      <c r="G160" s="436"/>
      <c r="H160" s="436"/>
      <c r="I160" s="436"/>
      <c r="J160" s="436"/>
      <c r="K160" s="436"/>
      <c r="L160" s="436"/>
      <c r="N160" s="436">
        <f>SUM(N158:N159)</f>
        <v>800</v>
      </c>
      <c r="O160" s="436"/>
      <c r="P160" s="437"/>
      <c r="Q160" s="425"/>
    </row>
    <row r="161" spans="1:17" s="430" customFormat="1" ht="21" x14ac:dyDescent="0.25">
      <c r="A161" s="427" t="str">
        <f>ORÇAMENTO!A52</f>
        <v xml:space="preserve"> 1.8.12</v>
      </c>
      <c r="B161" s="428" t="str">
        <f>VLOOKUP(A161,ORÇAMENTO!A:K,4,0)</f>
        <v>APLICAÇÃO DE CALCÁRIO PARA CORREÇÃO DO PH DO SOLO. AF_07/2024</v>
      </c>
      <c r="C161" s="429" t="str">
        <f>VLOOKUP(A161,ORÇAMENTO!A:K,5,0)</f>
        <v>M²</v>
      </c>
      <c r="D161" s="429">
        <f>SUM(E164:O164)</f>
        <v>800</v>
      </c>
      <c r="E161" s="429" t="s">
        <v>2149</v>
      </c>
      <c r="F161" s="429" t="s">
        <v>2150</v>
      </c>
      <c r="G161" s="429" t="s">
        <v>2151</v>
      </c>
      <c r="H161" s="429" t="s">
        <v>2152</v>
      </c>
      <c r="I161" s="429" t="s">
        <v>2153</v>
      </c>
      <c r="J161" s="429" t="s">
        <v>2154</v>
      </c>
      <c r="K161" s="429" t="s">
        <v>2155</v>
      </c>
      <c r="L161" s="429" t="s">
        <v>2156</v>
      </c>
      <c r="M161" s="429" t="s">
        <v>413</v>
      </c>
      <c r="N161" s="429" t="s">
        <v>2157</v>
      </c>
      <c r="O161" s="429" t="s">
        <v>2158</v>
      </c>
      <c r="P161" s="425"/>
      <c r="Q161" s="425"/>
    </row>
    <row r="162" spans="1:17" s="426" customFormat="1" ht="21" x14ac:dyDescent="0.25">
      <c r="A162" s="431"/>
      <c r="B162" s="432" t="s">
        <v>2095</v>
      </c>
      <c r="C162" s="433"/>
      <c r="D162" s="418"/>
      <c r="E162" s="418"/>
      <c r="F162" s="418"/>
      <c r="G162" s="418"/>
      <c r="H162" s="418"/>
      <c r="I162" s="418"/>
      <c r="J162" s="418"/>
      <c r="K162" s="418"/>
      <c r="L162" s="418"/>
      <c r="M162" s="418"/>
      <c r="N162" s="418">
        <f>N158</f>
        <v>800</v>
      </c>
      <c r="O162" s="418"/>
      <c r="P162" s="434"/>
      <c r="Q162" s="425"/>
    </row>
    <row r="163" spans="1:17" s="426" customFormat="1" ht="10.5" x14ac:dyDescent="0.25">
      <c r="A163" s="431"/>
      <c r="B163" s="432"/>
      <c r="C163" s="433"/>
      <c r="D163" s="418"/>
      <c r="E163" s="418"/>
      <c r="F163" s="418"/>
      <c r="G163" s="418"/>
      <c r="H163" s="418"/>
      <c r="I163" s="418"/>
      <c r="J163" s="418"/>
      <c r="K163" s="418"/>
      <c r="L163" s="418"/>
      <c r="M163" s="418"/>
      <c r="N163" s="418"/>
      <c r="O163" s="418"/>
      <c r="P163" s="434"/>
      <c r="Q163" s="425"/>
    </row>
    <row r="164" spans="1:17" s="426" customFormat="1" ht="10.5" x14ac:dyDescent="0.25">
      <c r="A164" s="431"/>
      <c r="B164" s="435" t="s">
        <v>377</v>
      </c>
      <c r="C164" s="436" t="s">
        <v>402</v>
      </c>
      <c r="D164" s="436"/>
      <c r="E164" s="436"/>
      <c r="F164" s="436"/>
      <c r="G164" s="436"/>
      <c r="H164" s="436"/>
      <c r="I164" s="436"/>
      <c r="J164" s="436"/>
      <c r="K164" s="436"/>
      <c r="L164" s="436"/>
      <c r="N164" s="436">
        <f>SUM(N162:N163)</f>
        <v>800</v>
      </c>
      <c r="O164" s="436"/>
      <c r="P164" s="437"/>
      <c r="Q164" s="425"/>
    </row>
    <row r="165" spans="1:17" s="430" customFormat="1" ht="21" x14ac:dyDescent="0.25">
      <c r="A165" s="427" t="str">
        <f>ORÇAMENTO!A53</f>
        <v xml:space="preserve"> 1.8.13</v>
      </c>
      <c r="B165" s="428" t="str">
        <f>VLOOKUP(A165,ORÇAMENTO!A:K,4,0)</f>
        <v>PLANTIO DE GRAMA BATATAIS EM PLACAS. AF_07/2024</v>
      </c>
      <c r="C165" s="429" t="str">
        <f>VLOOKUP(A165,ORÇAMENTO!A:K,5,0)</f>
        <v>M²</v>
      </c>
      <c r="D165" s="429">
        <f>SUM(E168:O168)</f>
        <v>800</v>
      </c>
      <c r="E165" s="429" t="s">
        <v>2149</v>
      </c>
      <c r="F165" s="429" t="s">
        <v>2150</v>
      </c>
      <c r="G165" s="429" t="s">
        <v>2151</v>
      </c>
      <c r="H165" s="429" t="s">
        <v>2152</v>
      </c>
      <c r="I165" s="429" t="s">
        <v>2153</v>
      </c>
      <c r="J165" s="429" t="s">
        <v>2154</v>
      </c>
      <c r="K165" s="429" t="s">
        <v>2155</v>
      </c>
      <c r="L165" s="429" t="s">
        <v>2156</v>
      </c>
      <c r="M165" s="429" t="s">
        <v>413</v>
      </c>
      <c r="N165" s="429" t="s">
        <v>2157</v>
      </c>
      <c r="O165" s="429" t="s">
        <v>2158</v>
      </c>
      <c r="P165" s="425"/>
      <c r="Q165" s="425"/>
    </row>
    <row r="166" spans="1:17" s="426" customFormat="1" ht="21" x14ac:dyDescent="0.25">
      <c r="A166" s="431"/>
      <c r="B166" s="432" t="s">
        <v>2095</v>
      </c>
      <c r="C166" s="433"/>
      <c r="D166" s="418"/>
      <c r="E166" s="418"/>
      <c r="F166" s="418"/>
      <c r="G166" s="418"/>
      <c r="H166" s="418"/>
      <c r="I166" s="418"/>
      <c r="J166" s="418"/>
      <c r="K166" s="418"/>
      <c r="L166" s="418"/>
      <c r="M166" s="418"/>
      <c r="N166" s="418">
        <f>N162</f>
        <v>800</v>
      </c>
      <c r="O166" s="418"/>
      <c r="P166" s="434"/>
      <c r="Q166" s="425"/>
    </row>
    <row r="167" spans="1:17" s="426" customFormat="1" ht="10.5" x14ac:dyDescent="0.25">
      <c r="A167" s="431"/>
      <c r="B167" s="432"/>
      <c r="C167" s="433"/>
      <c r="D167" s="418"/>
      <c r="E167" s="418"/>
      <c r="F167" s="418"/>
      <c r="G167" s="418"/>
      <c r="H167" s="418"/>
      <c r="I167" s="418"/>
      <c r="J167" s="418"/>
      <c r="K167" s="418"/>
      <c r="L167" s="418"/>
      <c r="M167" s="418"/>
      <c r="N167" s="418"/>
      <c r="O167" s="418"/>
      <c r="P167" s="434"/>
      <c r="Q167" s="425"/>
    </row>
    <row r="168" spans="1:17" s="426" customFormat="1" ht="10.5" x14ac:dyDescent="0.25">
      <c r="A168" s="431"/>
      <c r="B168" s="435" t="s">
        <v>377</v>
      </c>
      <c r="C168" s="436" t="s">
        <v>402</v>
      </c>
      <c r="D168" s="436"/>
      <c r="E168" s="436"/>
      <c r="F168" s="436"/>
      <c r="G168" s="436"/>
      <c r="H168" s="436"/>
      <c r="I168" s="436"/>
      <c r="J168" s="436"/>
      <c r="K168" s="436"/>
      <c r="L168" s="436"/>
      <c r="N168" s="436">
        <f>SUM(N166:N167)</f>
        <v>800</v>
      </c>
      <c r="O168" s="436"/>
      <c r="P168" s="437"/>
      <c r="Q168" s="425"/>
    </row>
    <row r="169" spans="1:17" s="146" customFormat="1" ht="10.5" x14ac:dyDescent="0.25">
      <c r="A169" s="141">
        <f>ORÇAMENTO!A54</f>
        <v>2</v>
      </c>
      <c r="B169" s="142" t="str">
        <f>VLOOKUP(A169,ORÇAMENTO!$A:$F,4,0)</f>
        <v>MOBILIZAÇÃO E DESMOBILIZAÇÃO</v>
      </c>
      <c r="C169" s="143"/>
      <c r="D169" s="143"/>
      <c r="E169" s="144"/>
      <c r="F169" s="144"/>
      <c r="G169" s="144"/>
      <c r="H169" s="144"/>
      <c r="I169" s="144"/>
      <c r="J169" s="144"/>
      <c r="K169" s="144"/>
      <c r="L169" s="144"/>
      <c r="M169" s="144"/>
      <c r="N169" s="144"/>
      <c r="O169" s="144"/>
      <c r="P169" s="145"/>
      <c r="Q169" s="145"/>
    </row>
    <row r="170" spans="1:17" s="150" customFormat="1" ht="21" x14ac:dyDescent="0.25">
      <c r="A170" s="147" t="str">
        <f>ORÇAMENTO!A55</f>
        <v xml:space="preserve"> 2.1 </v>
      </c>
      <c r="B170" s="148" t="str">
        <f>VLOOKUP(A170,ORÇAMENTO!$A:$F,4,0)</f>
        <v>CAVALO MECÂNICO COM SEMIRREBOQUE COM CAPACIDADE DE 22 T - 240 KW</v>
      </c>
      <c r="C170" s="149" t="str">
        <f>VLOOKUP(A170,ORÇAMENTO!$A:$F,5,0)</f>
        <v>UN</v>
      </c>
      <c r="D170" s="149">
        <f>SUM(E174:O174)</f>
        <v>44</v>
      </c>
      <c r="E170" s="149" t="s">
        <v>2149</v>
      </c>
      <c r="F170" s="149" t="s">
        <v>2150</v>
      </c>
      <c r="G170" s="149" t="s">
        <v>2151</v>
      </c>
      <c r="H170" s="149" t="s">
        <v>2152</v>
      </c>
      <c r="I170" s="149" t="s">
        <v>2153</v>
      </c>
      <c r="J170" s="149" t="s">
        <v>2154</v>
      </c>
      <c r="K170" s="149" t="s">
        <v>2155</v>
      </c>
      <c r="L170" s="149" t="s">
        <v>2156</v>
      </c>
      <c r="M170" s="149" t="s">
        <v>3486</v>
      </c>
      <c r="N170" s="149" t="s">
        <v>2157</v>
      </c>
      <c r="O170" s="149" t="s">
        <v>2158</v>
      </c>
      <c r="P170" s="145"/>
      <c r="Q170" s="145"/>
    </row>
    <row r="171" spans="1:17" s="146" customFormat="1" ht="10.5" x14ac:dyDescent="0.25">
      <c r="A171" s="151"/>
      <c r="B171" s="152"/>
      <c r="C171" s="153"/>
      <c r="D171" s="154"/>
      <c r="E171" s="154"/>
      <c r="F171" s="154"/>
      <c r="G171" s="154"/>
      <c r="H171" s="154"/>
      <c r="I171" s="154"/>
      <c r="J171" s="154"/>
      <c r="K171" s="154"/>
      <c r="L171" s="154"/>
      <c r="M171" s="154"/>
      <c r="N171" s="154"/>
      <c r="O171" s="154"/>
      <c r="P171" s="155"/>
      <c r="Q171" s="145"/>
    </row>
    <row r="172" spans="1:17" s="146" customFormat="1" ht="21" x14ac:dyDescent="0.25">
      <c r="A172" s="151"/>
      <c r="B172" s="152" t="s">
        <v>2095</v>
      </c>
      <c r="C172" s="153"/>
      <c r="D172" s="154"/>
      <c r="E172" s="154"/>
      <c r="F172" s="154"/>
      <c r="G172" s="154"/>
      <c r="H172" s="154"/>
      <c r="I172" s="154"/>
      <c r="J172" s="154"/>
      <c r="K172" s="154"/>
      <c r="L172" s="154"/>
      <c r="M172" s="154">
        <v>44</v>
      </c>
      <c r="N172" s="154"/>
      <c r="O172" s="154"/>
      <c r="P172" s="155"/>
      <c r="Q172" s="145"/>
    </row>
    <row r="173" spans="1:17" s="146" customFormat="1" ht="10.5" x14ac:dyDescent="0.25">
      <c r="A173" s="151"/>
      <c r="B173" s="152"/>
      <c r="C173" s="153"/>
      <c r="D173" s="154"/>
      <c r="E173" s="154"/>
      <c r="F173" s="154"/>
      <c r="G173" s="154"/>
      <c r="H173" s="154"/>
      <c r="I173" s="154"/>
      <c r="J173" s="154"/>
      <c r="K173" s="154"/>
      <c r="L173" s="156"/>
      <c r="M173" s="154"/>
      <c r="N173" s="154"/>
      <c r="O173" s="154"/>
      <c r="P173" s="155"/>
      <c r="Q173" s="145"/>
    </row>
    <row r="174" spans="1:17" s="146" customFormat="1" ht="10.5" x14ac:dyDescent="0.25">
      <c r="A174" s="151"/>
      <c r="B174" s="157" t="s">
        <v>377</v>
      </c>
      <c r="C174" s="158" t="s">
        <v>402</v>
      </c>
      <c r="D174" s="158"/>
      <c r="E174" s="158"/>
      <c r="F174" s="158"/>
      <c r="G174" s="158"/>
      <c r="H174" s="158"/>
      <c r="I174" s="158"/>
      <c r="J174" s="158"/>
      <c r="K174" s="158"/>
      <c r="L174" s="158"/>
      <c r="M174" s="158">
        <f>SUM(M171:M173)</f>
        <v>44</v>
      </c>
      <c r="N174" s="158"/>
      <c r="O174" s="158"/>
      <c r="P174" s="159"/>
      <c r="Q174" s="145"/>
    </row>
    <row r="175" spans="1:17" s="150" customFormat="1" ht="21" x14ac:dyDescent="0.25">
      <c r="A175" s="147" t="str">
        <f>ORÇAMENTO!A56</f>
        <v xml:space="preserve"> 2.2 </v>
      </c>
      <c r="B175" s="148" t="str">
        <f>VLOOKUP(A175,ORÇAMENTO!$A:$F,4,0)</f>
        <v>CAMINHÃO CARROCERIA COM GUINDAUTO COM CAPACIDADE DE 20 T.M - 136 KW</v>
      </c>
      <c r="C175" s="149" t="str">
        <f>VLOOKUP(A175,ORÇAMENTO!$A:$F,5,0)</f>
        <v>UN</v>
      </c>
      <c r="D175" s="149">
        <f>SUM(E179:O179)</f>
        <v>44</v>
      </c>
      <c r="E175" s="149" t="s">
        <v>2149</v>
      </c>
      <c r="F175" s="149" t="s">
        <v>2150</v>
      </c>
      <c r="G175" s="149" t="s">
        <v>2151</v>
      </c>
      <c r="H175" s="149" t="s">
        <v>2152</v>
      </c>
      <c r="I175" s="149" t="s">
        <v>3466</v>
      </c>
      <c r="J175" s="149" t="s">
        <v>2154</v>
      </c>
      <c r="K175" s="149" t="s">
        <v>2155</v>
      </c>
      <c r="L175" s="149" t="s">
        <v>2156</v>
      </c>
      <c r="M175" s="149" t="s">
        <v>3486</v>
      </c>
      <c r="N175" s="149" t="s">
        <v>2157</v>
      </c>
      <c r="O175" s="149" t="s">
        <v>2158</v>
      </c>
      <c r="P175" s="145"/>
      <c r="Q175" s="145"/>
    </row>
    <row r="176" spans="1:17" s="146" customFormat="1" ht="10.5" x14ac:dyDescent="0.25">
      <c r="A176" s="151"/>
      <c r="B176" s="152"/>
      <c r="C176" s="153"/>
      <c r="D176" s="154"/>
      <c r="E176" s="154"/>
      <c r="F176" s="154"/>
      <c r="G176" s="154"/>
      <c r="H176" s="154"/>
      <c r="I176" s="154"/>
      <c r="J176" s="154"/>
      <c r="K176" s="154"/>
      <c r="L176" s="154"/>
      <c r="M176" s="154"/>
      <c r="N176" s="154"/>
      <c r="O176" s="154"/>
      <c r="P176" s="155"/>
      <c r="Q176" s="145"/>
    </row>
    <row r="177" spans="1:17" s="146" customFormat="1" ht="21" x14ac:dyDescent="0.25">
      <c r="A177" s="151"/>
      <c r="B177" s="152" t="s">
        <v>2095</v>
      </c>
      <c r="C177" s="153"/>
      <c r="D177" s="154"/>
      <c r="E177" s="154"/>
      <c r="F177" s="154"/>
      <c r="G177" s="154"/>
      <c r="H177" s="154"/>
      <c r="I177" s="154"/>
      <c r="J177" s="154"/>
      <c r="K177" s="154"/>
      <c r="L177" s="154"/>
      <c r="M177" s="154">
        <v>44</v>
      </c>
      <c r="N177" s="154">
        <f>N172</f>
        <v>0</v>
      </c>
      <c r="O177" s="154">
        <f>N177*I177*H177</f>
        <v>0</v>
      </c>
      <c r="P177" s="155"/>
      <c r="Q177" s="145"/>
    </row>
    <row r="178" spans="1:17" s="146" customFormat="1" ht="10.5" x14ac:dyDescent="0.25">
      <c r="A178" s="151"/>
      <c r="B178" s="152"/>
      <c r="C178" s="153"/>
      <c r="D178" s="154"/>
      <c r="E178" s="154"/>
      <c r="F178" s="154"/>
      <c r="G178" s="154"/>
      <c r="H178" s="154"/>
      <c r="I178" s="154"/>
      <c r="J178" s="154"/>
      <c r="K178" s="154"/>
      <c r="L178" s="156"/>
      <c r="M178" s="154"/>
      <c r="N178" s="154"/>
      <c r="O178" s="154"/>
      <c r="P178" s="155"/>
      <c r="Q178" s="145"/>
    </row>
    <row r="179" spans="1:17" s="146" customFormat="1" ht="10.5" x14ac:dyDescent="0.25">
      <c r="A179" s="151"/>
      <c r="B179" s="157" t="s">
        <v>377</v>
      </c>
      <c r="C179" s="158" t="s">
        <v>402</v>
      </c>
      <c r="D179" s="158"/>
      <c r="E179" s="158"/>
      <c r="F179" s="158"/>
      <c r="G179" s="158"/>
      <c r="H179" s="158"/>
      <c r="I179" s="158"/>
      <c r="J179" s="158"/>
      <c r="K179" s="158"/>
      <c r="L179" s="158"/>
      <c r="M179" s="158">
        <f>SUM(M176:M178)</f>
        <v>44</v>
      </c>
      <c r="N179" s="158"/>
      <c r="O179" s="158">
        <f>SUM(O176:O178)</f>
        <v>0</v>
      </c>
      <c r="P179" s="159"/>
      <c r="Q179" s="145"/>
    </row>
    <row r="180" spans="1:17" s="146" customFormat="1" ht="10.5" x14ac:dyDescent="0.25">
      <c r="A180" s="141">
        <f>ORÇAMENTO!A57</f>
        <v>3</v>
      </c>
      <c r="B180" s="142" t="str">
        <f>VLOOKUP(A180,ORÇAMENTO!$A:$F,4,0)</f>
        <v>CANTEIRO DE OBRAS</v>
      </c>
      <c r="C180" s="143"/>
      <c r="D180" s="143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5"/>
      <c r="Q180" s="145"/>
    </row>
    <row r="181" spans="1:17" s="146" customFormat="1" ht="10.5" x14ac:dyDescent="0.25">
      <c r="A181" s="141" t="str">
        <f>ORÇAMENTO!A58</f>
        <v xml:space="preserve"> 3.1 </v>
      </c>
      <c r="B181" s="142" t="str">
        <f>VLOOKUP(A181,ORÇAMENTO!$A:$F,4,0)</f>
        <v>INSTALAÇÕES DA OBRA CANTEIRO CENTRAL</v>
      </c>
      <c r="C181" s="143"/>
      <c r="D181" s="143"/>
      <c r="E181" s="144"/>
      <c r="F181" s="144"/>
      <c r="G181" s="144"/>
      <c r="H181" s="144"/>
      <c r="I181" s="144"/>
      <c r="J181" s="144"/>
      <c r="K181" s="144"/>
      <c r="L181" s="144"/>
      <c r="M181" s="144"/>
      <c r="N181" s="144"/>
      <c r="O181" s="144"/>
      <c r="P181" s="145"/>
      <c r="Q181" s="145"/>
    </row>
    <row r="182" spans="1:17" s="150" customFormat="1" ht="42" x14ac:dyDescent="0.25">
      <c r="A182" s="147" t="str">
        <f>ORÇAMENTO!A59</f>
        <v xml:space="preserve"> 3.1.1 </v>
      </c>
      <c r="B182" s="148" t="str">
        <f>VLOOKUP(A182,ORÇAMENTO!$A:$F,4,0)</f>
        <v>LIMPEZA MECANIZADA DE CAMADA VEGETAL, VEGETAÇÃO E PEQUENAS ÁRVORES (DIÂMETRO DE TRONCO MENOR QUE 0,20 M), COM TRATOR DE ESTEIRAS. AF_03/2024</v>
      </c>
      <c r="C182" s="149" t="str">
        <f>VLOOKUP(A182,ORÇAMENTO!$A:$F,5,0)</f>
        <v>M²</v>
      </c>
      <c r="D182" s="149">
        <f>SUM(E186:O186)</f>
        <v>800</v>
      </c>
      <c r="E182" s="149" t="s">
        <v>2149</v>
      </c>
      <c r="F182" s="149" t="s">
        <v>2150</v>
      </c>
      <c r="G182" s="149" t="s">
        <v>2151</v>
      </c>
      <c r="H182" s="149" t="s">
        <v>2152</v>
      </c>
      <c r="I182" s="149" t="s">
        <v>2153</v>
      </c>
      <c r="J182" s="149" t="s">
        <v>2154</v>
      </c>
      <c r="K182" s="149" t="s">
        <v>2155</v>
      </c>
      <c r="L182" s="149" t="s">
        <v>2156</v>
      </c>
      <c r="M182" s="149" t="s">
        <v>413</v>
      </c>
      <c r="N182" s="149" t="s">
        <v>2157</v>
      </c>
      <c r="O182" s="149" t="s">
        <v>2158</v>
      </c>
      <c r="P182" s="145"/>
      <c r="Q182" s="145"/>
    </row>
    <row r="183" spans="1:17" s="146" customFormat="1" ht="10.5" x14ac:dyDescent="0.25">
      <c r="A183" s="151"/>
      <c r="B183" s="152"/>
      <c r="C183" s="153"/>
      <c r="D183" s="154"/>
      <c r="E183" s="154"/>
      <c r="F183" s="154"/>
      <c r="G183" s="154"/>
      <c r="H183" s="154"/>
      <c r="I183" s="154"/>
      <c r="J183" s="154"/>
      <c r="K183" s="154"/>
      <c r="L183" s="154"/>
      <c r="M183" s="154"/>
      <c r="N183" s="154"/>
      <c r="O183" s="154"/>
      <c r="P183" s="155"/>
      <c r="Q183" s="145"/>
    </row>
    <row r="184" spans="1:17" s="146" customFormat="1" ht="10.5" x14ac:dyDescent="0.25">
      <c r="A184" s="151"/>
      <c r="B184" s="152" t="s">
        <v>2096</v>
      </c>
      <c r="C184" s="153"/>
      <c r="D184" s="154"/>
      <c r="E184" s="154">
        <v>40</v>
      </c>
      <c r="F184" s="154">
        <v>20</v>
      </c>
      <c r="G184" s="154"/>
      <c r="H184" s="154"/>
      <c r="I184" s="154"/>
      <c r="J184" s="154"/>
      <c r="K184" s="154"/>
      <c r="L184" s="154"/>
      <c r="M184" s="154"/>
      <c r="N184" s="154">
        <f>E184*F184</f>
        <v>800</v>
      </c>
      <c r="O184" s="154"/>
      <c r="P184" s="155"/>
      <c r="Q184" s="145"/>
    </row>
    <row r="185" spans="1:17" s="146" customFormat="1" ht="10.5" x14ac:dyDescent="0.25">
      <c r="A185" s="151"/>
      <c r="B185" s="152"/>
      <c r="C185" s="153"/>
      <c r="D185" s="154"/>
      <c r="E185" s="154"/>
      <c r="F185" s="154"/>
      <c r="G185" s="154"/>
      <c r="H185" s="154"/>
      <c r="I185" s="154"/>
      <c r="J185" s="154"/>
      <c r="K185" s="154"/>
      <c r="L185" s="156"/>
      <c r="M185" s="154"/>
      <c r="N185" s="154"/>
      <c r="O185" s="154"/>
      <c r="P185" s="155"/>
      <c r="Q185" s="145"/>
    </row>
    <row r="186" spans="1:17" s="146" customFormat="1" ht="10.5" x14ac:dyDescent="0.25">
      <c r="A186" s="151"/>
      <c r="B186" s="157" t="s">
        <v>377</v>
      </c>
      <c r="C186" s="158" t="s">
        <v>402</v>
      </c>
      <c r="D186" s="158"/>
      <c r="E186" s="158"/>
      <c r="F186" s="158"/>
      <c r="G186" s="158"/>
      <c r="H186" s="158"/>
      <c r="I186" s="158"/>
      <c r="J186" s="158"/>
      <c r="K186" s="158"/>
      <c r="L186" s="158"/>
      <c r="M186" s="158"/>
      <c r="N186" s="158">
        <f>SUM(N183:N185)</f>
        <v>800</v>
      </c>
      <c r="O186" s="158"/>
      <c r="P186" s="159"/>
      <c r="Q186" s="145"/>
    </row>
    <row r="187" spans="1:17" s="150" customFormat="1" ht="52.5" x14ac:dyDescent="0.25">
      <c r="A187" s="147" t="str">
        <f>ORÇAMENTO!A60</f>
        <v xml:space="preserve"> 3.1.2</v>
      </c>
      <c r="B187" s="148" t="str">
        <f>VLOOKUP(A187,ORÇAMENTO!$A:$F,4,0)</f>
        <v>CARGA, MANOBRA E DESCARGA DE SOLOS E MATERIAIS GRANULARES EM CAMINHÃO BASCULANTE 14 M³ - CARGA COM ESCAVADEIRA HIDRÁULICA (CAÇAMBA DE 1,20 M³ / 155 HP) E DESCARGA LIVRE (UNIDADE: M3). AF_07/2020</v>
      </c>
      <c r="C187" s="149" t="str">
        <f>VLOOKUP(A187,ORÇAMENTO!$A:$F,5,0)</f>
        <v>M³</v>
      </c>
      <c r="D187" s="149">
        <f>SUM(E191:O191)</f>
        <v>200</v>
      </c>
      <c r="E187" s="149" t="s">
        <v>2149</v>
      </c>
      <c r="F187" s="149" t="s">
        <v>2150</v>
      </c>
      <c r="G187" s="149" t="s">
        <v>2151</v>
      </c>
      <c r="H187" s="149" t="s">
        <v>2152</v>
      </c>
      <c r="I187" s="149" t="s">
        <v>3466</v>
      </c>
      <c r="J187" s="149" t="s">
        <v>2154</v>
      </c>
      <c r="K187" s="149" t="s">
        <v>2155</v>
      </c>
      <c r="L187" s="149" t="s">
        <v>2156</v>
      </c>
      <c r="M187" s="149" t="s">
        <v>413</v>
      </c>
      <c r="N187" s="149" t="s">
        <v>2157</v>
      </c>
      <c r="O187" s="149" t="s">
        <v>2158</v>
      </c>
      <c r="P187" s="145"/>
      <c r="Q187" s="145"/>
    </row>
    <row r="188" spans="1:17" s="146" customFormat="1" ht="10.5" x14ac:dyDescent="0.25">
      <c r="A188" s="151"/>
      <c r="B188" s="152"/>
      <c r="C188" s="153"/>
      <c r="D188" s="154"/>
      <c r="E188" s="154"/>
      <c r="F188" s="154"/>
      <c r="G188" s="154"/>
      <c r="H188" s="154"/>
      <c r="I188" s="154"/>
      <c r="J188" s="154"/>
      <c r="K188" s="154"/>
      <c r="L188" s="154"/>
      <c r="M188" s="154"/>
      <c r="N188" s="154"/>
      <c r="O188" s="154"/>
      <c r="P188" s="155"/>
      <c r="Q188" s="145"/>
    </row>
    <row r="189" spans="1:17" s="146" customFormat="1" ht="21" x14ac:dyDescent="0.25">
      <c r="A189" s="151"/>
      <c r="B189" s="152" t="s">
        <v>2097</v>
      </c>
      <c r="C189" s="153"/>
      <c r="D189" s="154"/>
      <c r="E189" s="154"/>
      <c r="F189" s="154"/>
      <c r="G189" s="154"/>
      <c r="H189" s="154">
        <v>0.2</v>
      </c>
      <c r="I189" s="154">
        <v>1.25</v>
      </c>
      <c r="J189" s="154"/>
      <c r="K189" s="154"/>
      <c r="L189" s="154"/>
      <c r="M189" s="154"/>
      <c r="N189" s="154">
        <f>N184</f>
        <v>800</v>
      </c>
      <c r="O189" s="154">
        <f>N189*I189*H189</f>
        <v>200</v>
      </c>
      <c r="P189" s="155"/>
      <c r="Q189" s="145"/>
    </row>
    <row r="190" spans="1:17" s="146" customFormat="1" ht="10.5" x14ac:dyDescent="0.25">
      <c r="A190" s="151"/>
      <c r="B190" s="152"/>
      <c r="C190" s="153"/>
      <c r="D190" s="154"/>
      <c r="E190" s="154"/>
      <c r="F190" s="154"/>
      <c r="G190" s="154"/>
      <c r="H190" s="154"/>
      <c r="I190" s="154"/>
      <c r="J190" s="154"/>
      <c r="K190" s="154"/>
      <c r="L190" s="156"/>
      <c r="M190" s="154"/>
      <c r="N190" s="154"/>
      <c r="O190" s="154"/>
      <c r="P190" s="155"/>
      <c r="Q190" s="145"/>
    </row>
    <row r="191" spans="1:17" s="146" customFormat="1" ht="10.5" x14ac:dyDescent="0.25">
      <c r="A191" s="151"/>
      <c r="B191" s="157" t="s">
        <v>377</v>
      </c>
      <c r="C191" s="158" t="s">
        <v>402</v>
      </c>
      <c r="D191" s="158"/>
      <c r="E191" s="158"/>
      <c r="F191" s="158"/>
      <c r="G191" s="158"/>
      <c r="H191" s="158"/>
      <c r="I191" s="158"/>
      <c r="J191" s="158"/>
      <c r="K191" s="158"/>
      <c r="L191" s="158"/>
      <c r="M191" s="158"/>
      <c r="N191" s="158"/>
      <c r="O191" s="158">
        <f>SUM(O188:O190)</f>
        <v>200</v>
      </c>
      <c r="P191" s="159"/>
      <c r="Q191" s="145"/>
    </row>
    <row r="192" spans="1:17" s="150" customFormat="1" ht="31.5" x14ac:dyDescent="0.25">
      <c r="A192" s="147" t="str">
        <f>ORÇAMENTO!A61</f>
        <v xml:space="preserve"> 3.1.3</v>
      </c>
      <c r="B192" s="148" t="str">
        <f>VLOOKUP(A192,ORÇAMENTO!$A:$F,4,0)</f>
        <v>TRANSPORTE COM CAMINHÃO BASCULANTE DE 14 M³, EM VIA URBANA PAVIMENTADA, DMT ATÉ 30 KM (UNIDADE: M3XKM). AF_07/2020</v>
      </c>
      <c r="C192" s="149" t="str">
        <f>VLOOKUP(A192,ORÇAMENTO!$A:$F,5,0)</f>
        <v>M3XKM</v>
      </c>
      <c r="D192" s="149">
        <f>SUM(E196:O196)</f>
        <v>6000</v>
      </c>
      <c r="E192" s="149" t="s">
        <v>2149</v>
      </c>
      <c r="F192" s="149" t="s">
        <v>2150</v>
      </c>
      <c r="G192" s="149" t="s">
        <v>2151</v>
      </c>
      <c r="H192" s="149" t="s">
        <v>2152</v>
      </c>
      <c r="I192" s="149" t="s">
        <v>3466</v>
      </c>
      <c r="J192" s="149" t="s">
        <v>3468</v>
      </c>
      <c r="K192" s="149" t="s">
        <v>3469</v>
      </c>
      <c r="L192" s="149" t="s">
        <v>2156</v>
      </c>
      <c r="M192" s="149" t="s">
        <v>413</v>
      </c>
      <c r="N192" s="149" t="s">
        <v>2157</v>
      </c>
      <c r="O192" s="149" t="s">
        <v>2158</v>
      </c>
      <c r="P192" s="145"/>
      <c r="Q192" s="145"/>
    </row>
    <row r="193" spans="1:17" s="146" customFormat="1" ht="10.5" x14ac:dyDescent="0.25">
      <c r="A193" s="151"/>
      <c r="B193" s="152"/>
      <c r="C193" s="153"/>
      <c r="D193" s="154"/>
      <c r="E193" s="154"/>
      <c r="F193" s="154"/>
      <c r="G193" s="154"/>
      <c r="H193" s="154"/>
      <c r="I193" s="154"/>
      <c r="J193" s="154"/>
      <c r="K193" s="154"/>
      <c r="L193" s="154"/>
      <c r="M193" s="154"/>
      <c r="N193" s="154"/>
      <c r="O193" s="154"/>
      <c r="P193" s="155"/>
      <c r="Q193" s="145"/>
    </row>
    <row r="194" spans="1:17" s="146" customFormat="1" ht="21" x14ac:dyDescent="0.25">
      <c r="A194" s="151"/>
      <c r="B194" s="152" t="s">
        <v>3467</v>
      </c>
      <c r="C194" s="153"/>
      <c r="D194" s="154"/>
      <c r="E194" s="154"/>
      <c r="F194" s="154"/>
      <c r="G194" s="154"/>
      <c r="H194" s="154"/>
      <c r="I194" s="154"/>
      <c r="J194" s="154">
        <v>30</v>
      </c>
      <c r="K194" s="154">
        <f>J194*O194</f>
        <v>6000</v>
      </c>
      <c r="L194" s="154"/>
      <c r="M194" s="154"/>
      <c r="N194" s="154"/>
      <c r="O194" s="154">
        <f>O191</f>
        <v>200</v>
      </c>
      <c r="P194" s="155"/>
      <c r="Q194" s="145"/>
    </row>
    <row r="195" spans="1:17" s="146" customFormat="1" ht="10.5" x14ac:dyDescent="0.25">
      <c r="A195" s="151"/>
      <c r="B195" s="152"/>
      <c r="C195" s="153"/>
      <c r="D195" s="154"/>
      <c r="E195" s="154"/>
      <c r="F195" s="154"/>
      <c r="G195" s="154"/>
      <c r="H195" s="154"/>
      <c r="I195" s="154"/>
      <c r="J195" s="154"/>
      <c r="K195" s="154"/>
      <c r="L195" s="156"/>
      <c r="M195" s="154"/>
      <c r="N195" s="154"/>
      <c r="O195" s="154"/>
      <c r="P195" s="155"/>
      <c r="Q195" s="145"/>
    </row>
    <row r="196" spans="1:17" s="146" customFormat="1" ht="10.5" x14ac:dyDescent="0.25">
      <c r="A196" s="151"/>
      <c r="B196" s="157" t="s">
        <v>377</v>
      </c>
      <c r="C196" s="158" t="s">
        <v>402</v>
      </c>
      <c r="D196" s="158"/>
      <c r="E196" s="158"/>
      <c r="F196" s="158"/>
      <c r="G196" s="158"/>
      <c r="H196" s="158"/>
      <c r="I196" s="158"/>
      <c r="J196" s="158"/>
      <c r="K196" s="158">
        <f>SUM(K193:K195)</f>
        <v>6000</v>
      </c>
      <c r="L196" s="158"/>
      <c r="M196" s="158"/>
      <c r="N196" s="158"/>
      <c r="O196" s="158"/>
      <c r="P196" s="159"/>
      <c r="Q196" s="145"/>
    </row>
    <row r="197" spans="1:17" s="150" customFormat="1" ht="42" x14ac:dyDescent="0.25">
      <c r="A197" s="147" t="str">
        <f>ORÇAMENTO!A62</f>
        <v xml:space="preserve"> 3.1.4</v>
      </c>
      <c r="B197" s="148" t="str">
        <f>VLOOKUP(A197,ORÇAMENTO!$A:$F,4,0)</f>
        <v>TRANSPORTE COM CAMINHÃO BASCULANTE DE 14 M³, EM VIA URBANA PAVIMENTADA, ADICIONAL PARA DMT EXCEDENTE A 30 KM (UNIDADE: M3XKM). AF_07/2020</v>
      </c>
      <c r="C197" s="149" t="str">
        <f>VLOOKUP(A197,ORÇAMENTO!$A:$F,5,0)</f>
        <v>M3XKM</v>
      </c>
      <c r="D197" s="149">
        <f>SUM(E201:O201)</f>
        <v>9000</v>
      </c>
      <c r="E197" s="149" t="s">
        <v>2149</v>
      </c>
      <c r="F197" s="149" t="s">
        <v>2150</v>
      </c>
      <c r="G197" s="149" t="s">
        <v>2151</v>
      </c>
      <c r="H197" s="149" t="s">
        <v>2152</v>
      </c>
      <c r="I197" s="149" t="s">
        <v>3466</v>
      </c>
      <c r="J197" s="149" t="s">
        <v>3468</v>
      </c>
      <c r="K197" s="149" t="s">
        <v>3469</v>
      </c>
      <c r="L197" s="149" t="s">
        <v>2156</v>
      </c>
      <c r="M197" s="149" t="s">
        <v>413</v>
      </c>
      <c r="N197" s="149" t="s">
        <v>2157</v>
      </c>
      <c r="O197" s="149" t="s">
        <v>2158</v>
      </c>
      <c r="P197" s="145"/>
      <c r="Q197" s="145"/>
    </row>
    <row r="198" spans="1:17" s="146" customFormat="1" ht="10.5" x14ac:dyDescent="0.25">
      <c r="A198" s="151"/>
      <c r="B198" s="152"/>
      <c r="C198" s="153"/>
      <c r="D198" s="154"/>
      <c r="E198" s="154"/>
      <c r="F198" s="154"/>
      <c r="G198" s="154"/>
      <c r="H198" s="154"/>
      <c r="I198" s="154"/>
      <c r="J198" s="154"/>
      <c r="K198" s="154"/>
      <c r="L198" s="154"/>
      <c r="M198" s="154"/>
      <c r="N198" s="154"/>
      <c r="O198" s="154"/>
      <c r="P198" s="155"/>
      <c r="Q198" s="145"/>
    </row>
    <row r="199" spans="1:17" s="146" customFormat="1" ht="10.5" x14ac:dyDescent="0.25">
      <c r="A199" s="151"/>
      <c r="B199" s="152" t="s">
        <v>2098</v>
      </c>
      <c r="C199" s="153"/>
      <c r="D199" s="154"/>
      <c r="E199" s="154"/>
      <c r="F199" s="154"/>
      <c r="G199" s="154"/>
      <c r="H199" s="154"/>
      <c r="I199" s="154"/>
      <c r="J199" s="154">
        <v>45</v>
      </c>
      <c r="K199" s="154">
        <f>J199*O199</f>
        <v>9000</v>
      </c>
      <c r="L199" s="154"/>
      <c r="M199" s="154"/>
      <c r="N199" s="154"/>
      <c r="O199" s="154">
        <f>O194</f>
        <v>200</v>
      </c>
      <c r="P199" s="155"/>
      <c r="Q199" s="145"/>
    </row>
    <row r="200" spans="1:17" s="146" customFormat="1" ht="10.5" x14ac:dyDescent="0.25">
      <c r="A200" s="151"/>
      <c r="B200" s="152"/>
      <c r="C200" s="153"/>
      <c r="D200" s="154"/>
      <c r="E200" s="154"/>
      <c r="F200" s="154"/>
      <c r="G200" s="154"/>
      <c r="H200" s="154"/>
      <c r="I200" s="154"/>
      <c r="J200" s="154"/>
      <c r="K200" s="154"/>
      <c r="L200" s="156"/>
      <c r="M200" s="154"/>
      <c r="N200" s="154"/>
      <c r="O200" s="154"/>
      <c r="P200" s="155"/>
      <c r="Q200" s="145"/>
    </row>
    <row r="201" spans="1:17" s="146" customFormat="1" ht="10.5" x14ac:dyDescent="0.25">
      <c r="A201" s="151"/>
      <c r="B201" s="157" t="s">
        <v>377</v>
      </c>
      <c r="C201" s="158" t="s">
        <v>402</v>
      </c>
      <c r="D201" s="158"/>
      <c r="E201" s="158"/>
      <c r="F201" s="158"/>
      <c r="G201" s="158"/>
      <c r="H201" s="158"/>
      <c r="I201" s="158"/>
      <c r="J201" s="158"/>
      <c r="K201" s="158">
        <f>SUM(K198:K200)</f>
        <v>9000</v>
      </c>
      <c r="L201" s="158"/>
      <c r="M201" s="158"/>
      <c r="N201" s="158"/>
      <c r="O201" s="158"/>
      <c r="P201" s="159"/>
      <c r="Q201" s="145"/>
    </row>
    <row r="202" spans="1:17" s="150" customFormat="1" ht="21" x14ac:dyDescent="0.25">
      <c r="A202" s="147" t="str">
        <f>ORÇAMENTO!A63</f>
        <v xml:space="preserve"> 3.1.5</v>
      </c>
      <c r="B202" s="148" t="str">
        <f>VLOOKUP(A202,ORÇAMENTO!$A:$F,4,0)</f>
        <v>PLACA DE OBRA EM CHAPA DE ACO GALVANIZADO</v>
      </c>
      <c r="C202" s="149" t="str">
        <f>VLOOKUP(A202,ORÇAMENTO!$A:$F,5,0)</f>
        <v>M²</v>
      </c>
      <c r="D202" s="149">
        <f>SUM(E206:O206)</f>
        <v>22.5</v>
      </c>
      <c r="E202" s="149" t="s">
        <v>2149</v>
      </c>
      <c r="F202" s="149" t="s">
        <v>2150</v>
      </c>
      <c r="G202" s="149" t="s">
        <v>2151</v>
      </c>
      <c r="H202" s="149" t="s">
        <v>2152</v>
      </c>
      <c r="I202" s="149" t="s">
        <v>3466</v>
      </c>
      <c r="J202" s="149" t="s">
        <v>3468</v>
      </c>
      <c r="K202" s="149" t="s">
        <v>3469</v>
      </c>
      <c r="L202" s="149" t="s">
        <v>2156</v>
      </c>
      <c r="M202" s="149" t="s">
        <v>413</v>
      </c>
      <c r="N202" s="149" t="s">
        <v>2157</v>
      </c>
      <c r="O202" s="149" t="s">
        <v>2158</v>
      </c>
      <c r="P202" s="145"/>
      <c r="Q202" s="145"/>
    </row>
    <row r="203" spans="1:17" s="146" customFormat="1" ht="10.5" x14ac:dyDescent="0.25">
      <c r="A203" s="151"/>
      <c r="B203" s="152"/>
      <c r="C203" s="153"/>
      <c r="D203" s="154"/>
      <c r="E203" s="154"/>
      <c r="F203" s="154"/>
      <c r="G203" s="154"/>
      <c r="H203" s="154"/>
      <c r="I203" s="154"/>
      <c r="J203" s="154"/>
      <c r="K203" s="154"/>
      <c r="L203" s="154"/>
      <c r="M203" s="154"/>
      <c r="N203" s="154"/>
      <c r="O203" s="154"/>
      <c r="P203" s="155"/>
      <c r="Q203" s="145"/>
    </row>
    <row r="204" spans="1:17" s="146" customFormat="1" ht="10.5" x14ac:dyDescent="0.25">
      <c r="A204" s="151"/>
      <c r="B204" s="152" t="s">
        <v>2099</v>
      </c>
      <c r="C204" s="153"/>
      <c r="D204" s="154"/>
      <c r="E204" s="154"/>
      <c r="F204" s="154"/>
      <c r="G204" s="154"/>
      <c r="H204" s="154"/>
      <c r="I204" s="154"/>
      <c r="J204" s="154"/>
      <c r="K204" s="154"/>
      <c r="L204" s="154"/>
      <c r="M204" s="154"/>
      <c r="N204" s="154">
        <v>22.5</v>
      </c>
      <c r="O204" s="154"/>
      <c r="P204" s="155"/>
      <c r="Q204" s="145"/>
    </row>
    <row r="205" spans="1:17" s="146" customFormat="1" ht="10.5" x14ac:dyDescent="0.25">
      <c r="A205" s="151"/>
      <c r="B205" s="152"/>
      <c r="C205" s="153"/>
      <c r="D205" s="154"/>
      <c r="E205" s="154"/>
      <c r="F205" s="154"/>
      <c r="G205" s="154"/>
      <c r="H205" s="154"/>
      <c r="I205" s="154"/>
      <c r="J205" s="154"/>
      <c r="K205" s="154"/>
      <c r="L205" s="156"/>
      <c r="M205" s="154"/>
      <c r="N205" s="154"/>
      <c r="O205" s="154"/>
      <c r="P205" s="155"/>
      <c r="Q205" s="145"/>
    </row>
    <row r="206" spans="1:17" s="146" customFormat="1" ht="10.5" x14ac:dyDescent="0.25">
      <c r="A206" s="151"/>
      <c r="B206" s="157" t="s">
        <v>377</v>
      </c>
      <c r="C206" s="158" t="s">
        <v>402</v>
      </c>
      <c r="D206" s="158"/>
      <c r="E206" s="158"/>
      <c r="F206" s="158"/>
      <c r="G206" s="158"/>
      <c r="H206" s="158"/>
      <c r="I206" s="158"/>
      <c r="J206" s="158"/>
      <c r="K206" s="158"/>
      <c r="L206" s="158"/>
      <c r="M206" s="158"/>
      <c r="N206" s="158">
        <f>SUM(N203:N205)</f>
        <v>22.5</v>
      </c>
      <c r="O206" s="158"/>
      <c r="P206" s="159"/>
      <c r="Q206" s="145"/>
    </row>
    <row r="207" spans="1:17" s="150" customFormat="1" ht="21" x14ac:dyDescent="0.25">
      <c r="A207" s="147" t="str">
        <f>ORÇAMENTO!A64</f>
        <v xml:space="preserve"> 3.1.6</v>
      </c>
      <c r="B207" s="148" t="str">
        <f>VLOOKUP(A207,ORÇAMENTO!$A:$F,4,0)</f>
        <v>TAPUME COM TELHA METÁLICA. AF_03/2024</v>
      </c>
      <c r="C207" s="149" t="str">
        <f>VLOOKUP(A207,ORÇAMENTO!$A:$F,5,0)</f>
        <v>M²</v>
      </c>
      <c r="D207" s="149">
        <f>SUM(E212:O212)</f>
        <v>257.60000000000002</v>
      </c>
      <c r="E207" s="149" t="s">
        <v>2149</v>
      </c>
      <c r="F207" s="149" t="s">
        <v>2150</v>
      </c>
      <c r="G207" s="149" t="s">
        <v>2151</v>
      </c>
      <c r="H207" s="149" t="s">
        <v>2152</v>
      </c>
      <c r="I207" s="149" t="s">
        <v>2153</v>
      </c>
      <c r="J207" s="149" t="s">
        <v>3468</v>
      </c>
      <c r="K207" s="149" t="s">
        <v>3469</v>
      </c>
      <c r="L207" s="149" t="s">
        <v>2156</v>
      </c>
      <c r="M207" s="149" t="s">
        <v>413</v>
      </c>
      <c r="N207" s="149" t="s">
        <v>2157</v>
      </c>
      <c r="O207" s="149" t="s">
        <v>2158</v>
      </c>
      <c r="P207" s="145"/>
      <c r="Q207" s="145"/>
    </row>
    <row r="208" spans="1:17" s="146" customFormat="1" ht="10.5" x14ac:dyDescent="0.25">
      <c r="A208" s="151"/>
      <c r="B208" s="152"/>
      <c r="C208" s="153"/>
      <c r="D208" s="154"/>
      <c r="E208" s="154"/>
      <c r="F208" s="154"/>
      <c r="G208" s="154"/>
      <c r="H208" s="154"/>
      <c r="I208" s="154"/>
      <c r="J208" s="154"/>
      <c r="K208" s="154"/>
      <c r="L208" s="154"/>
      <c r="M208" s="154"/>
      <c r="N208" s="154"/>
      <c r="O208" s="154"/>
      <c r="P208" s="155"/>
      <c r="Q208" s="145"/>
    </row>
    <row r="209" spans="1:17" s="146" customFormat="1" ht="21" x14ac:dyDescent="0.25">
      <c r="A209" s="151"/>
      <c r="B209" s="152" t="s">
        <v>3470</v>
      </c>
      <c r="C209" s="153"/>
      <c r="D209" s="154"/>
      <c r="E209" s="154">
        <v>40</v>
      </c>
      <c r="F209" s="154">
        <v>20</v>
      </c>
      <c r="G209" s="154">
        <v>2.2000000000000002</v>
      </c>
      <c r="H209" s="154"/>
      <c r="I209" s="154">
        <f>(E209+F209)*2</f>
        <v>120</v>
      </c>
      <c r="J209" s="154"/>
      <c r="K209" s="154"/>
      <c r="L209" s="154"/>
      <c r="M209" s="154"/>
      <c r="N209" s="154">
        <f>I209*G209</f>
        <v>264</v>
      </c>
      <c r="O209" s="154"/>
      <c r="P209" s="155"/>
      <c r="Q209" s="145"/>
    </row>
    <row r="210" spans="1:17" s="146" customFormat="1" ht="10.5" x14ac:dyDescent="0.25">
      <c r="A210" s="151"/>
      <c r="B210" s="152" t="s">
        <v>3471</v>
      </c>
      <c r="C210" s="153"/>
      <c r="D210" s="154"/>
      <c r="E210" s="154"/>
      <c r="F210" s="154"/>
      <c r="G210" s="154"/>
      <c r="H210" s="154"/>
      <c r="I210" s="154"/>
      <c r="J210" s="154"/>
      <c r="K210" s="154"/>
      <c r="L210" s="154"/>
      <c r="M210" s="154"/>
      <c r="N210" s="154">
        <f>-N215-N220</f>
        <v>-6.4</v>
      </c>
      <c r="O210" s="154"/>
      <c r="P210" s="155"/>
      <c r="Q210" s="145"/>
    </row>
    <row r="211" spans="1:17" s="146" customFormat="1" ht="10.5" x14ac:dyDescent="0.25">
      <c r="A211" s="151"/>
      <c r="B211" s="152"/>
      <c r="C211" s="153"/>
      <c r="D211" s="154"/>
      <c r="E211" s="154"/>
      <c r="F211" s="154"/>
      <c r="G211" s="154"/>
      <c r="H211" s="154"/>
      <c r="I211" s="154"/>
      <c r="J211" s="154"/>
      <c r="K211" s="154"/>
      <c r="L211" s="156"/>
      <c r="M211" s="154"/>
      <c r="N211" s="154"/>
      <c r="O211" s="154"/>
      <c r="P211" s="155"/>
      <c r="Q211" s="145"/>
    </row>
    <row r="212" spans="1:17" s="146" customFormat="1" ht="10.5" x14ac:dyDescent="0.25">
      <c r="A212" s="151"/>
      <c r="B212" s="157" t="s">
        <v>377</v>
      </c>
      <c r="C212" s="158" t="s">
        <v>402</v>
      </c>
      <c r="D212" s="158"/>
      <c r="E212" s="158"/>
      <c r="F212" s="158"/>
      <c r="G212" s="158"/>
      <c r="H212" s="158"/>
      <c r="I212" s="158"/>
      <c r="J212" s="158"/>
      <c r="K212" s="158"/>
      <c r="L212" s="158"/>
      <c r="M212" s="158"/>
      <c r="N212" s="158">
        <f>SUM(N208:N211)</f>
        <v>257.60000000000002</v>
      </c>
      <c r="O212" s="158"/>
      <c r="P212" s="159"/>
      <c r="Q212" s="145"/>
    </row>
    <row r="213" spans="1:17" s="150" customFormat="1" ht="31.5" x14ac:dyDescent="0.25">
      <c r="A213" s="147" t="str">
        <f>ORÇAMENTO!A65</f>
        <v xml:space="preserve"> 3.1.7</v>
      </c>
      <c r="B213" s="148" t="str">
        <f>VLOOKUP(A213,ORÇAMENTO!$A:$F,4,0)</f>
        <v>PORTAO EM TUBO DE ACO GALVANIZADO DIN 2440/NBR 5580, PAINEL UNICO, DIMENSOES 1,0X1,6M, INCLUSIVE CADEADO</v>
      </c>
      <c r="C213" s="149" t="str">
        <f>VLOOKUP(A213,ORÇAMENTO!$A:$F,5,0)</f>
        <v>UN</v>
      </c>
      <c r="D213" s="149">
        <f>SUM(E217:O217)</f>
        <v>1</v>
      </c>
      <c r="E213" s="149" t="s">
        <v>2149</v>
      </c>
      <c r="F213" s="149" t="s">
        <v>2150</v>
      </c>
      <c r="G213" s="149" t="s">
        <v>2151</v>
      </c>
      <c r="H213" s="149" t="s">
        <v>2152</v>
      </c>
      <c r="I213" s="149" t="s">
        <v>3466</v>
      </c>
      <c r="J213" s="149" t="s">
        <v>3468</v>
      </c>
      <c r="K213" s="149" t="s">
        <v>3469</v>
      </c>
      <c r="L213" s="149" t="s">
        <v>2156</v>
      </c>
      <c r="M213" s="149" t="s">
        <v>413</v>
      </c>
      <c r="N213" s="149" t="s">
        <v>2157</v>
      </c>
      <c r="O213" s="149" t="s">
        <v>2158</v>
      </c>
      <c r="P213" s="145"/>
      <c r="Q213" s="145"/>
    </row>
    <row r="214" spans="1:17" s="146" customFormat="1" ht="10.5" x14ac:dyDescent="0.25">
      <c r="A214" s="151"/>
      <c r="B214" s="152"/>
      <c r="C214" s="153"/>
      <c r="D214" s="154"/>
      <c r="E214" s="154"/>
      <c r="F214" s="154"/>
      <c r="G214" s="154"/>
      <c r="H214" s="154"/>
      <c r="I214" s="154"/>
      <c r="J214" s="154"/>
      <c r="K214" s="154"/>
      <c r="L214" s="154"/>
      <c r="M214" s="154"/>
      <c r="N214" s="154"/>
      <c r="O214" s="154"/>
      <c r="P214" s="155"/>
      <c r="Q214" s="145"/>
    </row>
    <row r="215" spans="1:17" s="146" customFormat="1" ht="21" x14ac:dyDescent="0.25">
      <c r="A215" s="151"/>
      <c r="B215" s="152" t="s">
        <v>2095</v>
      </c>
      <c r="C215" s="153"/>
      <c r="D215" s="154"/>
      <c r="E215" s="154">
        <v>1.6</v>
      </c>
      <c r="F215" s="154">
        <v>1</v>
      </c>
      <c r="G215" s="154"/>
      <c r="H215" s="154"/>
      <c r="I215" s="154"/>
      <c r="J215" s="154"/>
      <c r="K215" s="154"/>
      <c r="L215" s="154"/>
      <c r="M215" s="154">
        <v>1</v>
      </c>
      <c r="N215" s="154">
        <f>E215*F215</f>
        <v>1.6</v>
      </c>
      <c r="O215" s="154"/>
      <c r="P215" s="155"/>
      <c r="Q215" s="145"/>
    </row>
    <row r="216" spans="1:17" s="146" customFormat="1" ht="10.5" x14ac:dyDescent="0.25">
      <c r="A216" s="151"/>
      <c r="B216" s="152"/>
      <c r="C216" s="153"/>
      <c r="D216" s="154"/>
      <c r="E216" s="154"/>
      <c r="F216" s="154"/>
      <c r="G216" s="154"/>
      <c r="H216" s="154"/>
      <c r="I216" s="154"/>
      <c r="J216" s="154"/>
      <c r="K216" s="154"/>
      <c r="L216" s="156"/>
      <c r="M216" s="154"/>
      <c r="N216" s="154"/>
      <c r="O216" s="154"/>
      <c r="P216" s="155"/>
      <c r="Q216" s="145"/>
    </row>
    <row r="217" spans="1:17" s="146" customFormat="1" ht="10.5" x14ac:dyDescent="0.25">
      <c r="A217" s="151"/>
      <c r="B217" s="157" t="s">
        <v>377</v>
      </c>
      <c r="C217" s="158" t="s">
        <v>402</v>
      </c>
      <c r="D217" s="158"/>
      <c r="E217" s="158"/>
      <c r="F217" s="158"/>
      <c r="G217" s="158"/>
      <c r="H217" s="158"/>
      <c r="I217" s="158"/>
      <c r="J217" s="158"/>
      <c r="K217" s="158"/>
      <c r="L217" s="158"/>
      <c r="M217" s="158">
        <f>SUM(M214:M216)</f>
        <v>1</v>
      </c>
      <c r="N217" s="158"/>
      <c r="O217" s="158"/>
      <c r="P217" s="159"/>
      <c r="Q217" s="145"/>
    </row>
    <row r="218" spans="1:17" s="150" customFormat="1" ht="31.5" x14ac:dyDescent="0.25">
      <c r="A218" s="147" t="str">
        <f>ORÇAMENTO!A66</f>
        <v xml:space="preserve"> 3.1.8</v>
      </c>
      <c r="B218" s="148" t="str">
        <f>VLOOKUP(A218,ORÇAMENTO!$A:$F,4,0)</f>
        <v>PORTAO EM TUBO DE ACO GALVANIZADO DIN 2440/NBR 5580, PAINEL UNICO, DIMENSOES 4,0X1,2M, INCLUSIVE CADEADO</v>
      </c>
      <c r="C218" s="149" t="str">
        <f>VLOOKUP(A218,ORÇAMENTO!$A:$F,5,0)</f>
        <v>UN</v>
      </c>
      <c r="D218" s="149">
        <f>SUM(E222:O222)</f>
        <v>1</v>
      </c>
      <c r="E218" s="149" t="s">
        <v>2149</v>
      </c>
      <c r="F218" s="149" t="s">
        <v>2150</v>
      </c>
      <c r="G218" s="149" t="s">
        <v>2151</v>
      </c>
      <c r="H218" s="149" t="s">
        <v>2152</v>
      </c>
      <c r="I218" s="149" t="s">
        <v>3466</v>
      </c>
      <c r="J218" s="149" t="s">
        <v>3468</v>
      </c>
      <c r="K218" s="149" t="s">
        <v>3469</v>
      </c>
      <c r="L218" s="149" t="s">
        <v>2156</v>
      </c>
      <c r="M218" s="149" t="s">
        <v>413</v>
      </c>
      <c r="N218" s="149" t="s">
        <v>2157</v>
      </c>
      <c r="O218" s="149" t="s">
        <v>2158</v>
      </c>
      <c r="P218" s="145"/>
      <c r="Q218" s="145"/>
    </row>
    <row r="219" spans="1:17" s="146" customFormat="1" ht="10.5" x14ac:dyDescent="0.25">
      <c r="A219" s="151"/>
      <c r="B219" s="152"/>
      <c r="C219" s="153"/>
      <c r="D219" s="154"/>
      <c r="E219" s="154"/>
      <c r="F219" s="154"/>
      <c r="G219" s="154"/>
      <c r="H219" s="154"/>
      <c r="I219" s="154"/>
      <c r="J219" s="154"/>
      <c r="K219" s="154"/>
      <c r="L219" s="154"/>
      <c r="M219" s="154"/>
      <c r="N219" s="154"/>
      <c r="O219" s="154"/>
      <c r="P219" s="155"/>
      <c r="Q219" s="145"/>
    </row>
    <row r="220" spans="1:17" s="146" customFormat="1" ht="21" x14ac:dyDescent="0.25">
      <c r="A220" s="151"/>
      <c r="B220" s="152" t="s">
        <v>2095</v>
      </c>
      <c r="C220" s="153"/>
      <c r="D220" s="154"/>
      <c r="E220" s="154">
        <v>4</v>
      </c>
      <c r="F220" s="154">
        <v>1.2</v>
      </c>
      <c r="G220" s="154"/>
      <c r="H220" s="154"/>
      <c r="I220" s="154"/>
      <c r="J220" s="154"/>
      <c r="K220" s="154"/>
      <c r="L220" s="154"/>
      <c r="M220" s="154">
        <v>1</v>
      </c>
      <c r="N220" s="154">
        <f>E220*F220</f>
        <v>4.8</v>
      </c>
      <c r="O220" s="154"/>
      <c r="P220" s="155"/>
      <c r="Q220" s="145"/>
    </row>
    <row r="221" spans="1:17" s="146" customFormat="1" ht="10.5" x14ac:dyDescent="0.25">
      <c r="A221" s="151"/>
      <c r="B221" s="152"/>
      <c r="C221" s="153"/>
      <c r="D221" s="154"/>
      <c r="E221" s="154"/>
      <c r="F221" s="154"/>
      <c r="G221" s="154"/>
      <c r="H221" s="154"/>
      <c r="I221" s="154"/>
      <c r="J221" s="154"/>
      <c r="K221" s="154"/>
      <c r="L221" s="156"/>
      <c r="M221" s="154"/>
      <c r="N221" s="154"/>
      <c r="O221" s="154"/>
      <c r="P221" s="155"/>
      <c r="Q221" s="145"/>
    </row>
    <row r="222" spans="1:17" s="146" customFormat="1" ht="10.5" x14ac:dyDescent="0.25">
      <c r="A222" s="151"/>
      <c r="B222" s="157" t="s">
        <v>377</v>
      </c>
      <c r="C222" s="158" t="s">
        <v>402</v>
      </c>
      <c r="D222" s="158"/>
      <c r="E222" s="158"/>
      <c r="F222" s="158"/>
      <c r="G222" s="158"/>
      <c r="H222" s="158"/>
      <c r="I222" s="158"/>
      <c r="J222" s="158"/>
      <c r="K222" s="158"/>
      <c r="L222" s="158"/>
      <c r="M222" s="158">
        <f>SUM(M219:M221)</f>
        <v>1</v>
      </c>
      <c r="N222" s="158"/>
      <c r="O222" s="158"/>
      <c r="P222" s="159"/>
      <c r="Q222" s="145"/>
    </row>
    <row r="223" spans="1:17" s="150" customFormat="1" ht="31.5" x14ac:dyDescent="0.25">
      <c r="A223" s="147" t="str">
        <f>ORÇAMENTO!A67</f>
        <v xml:space="preserve"> 3.1.9</v>
      </c>
      <c r="B223" s="148" t="str">
        <f>VLOOKUP(A223,ORÇAMENTO!$A:$F,4,0)</f>
        <v>EXECUÇÃO DE GUARITA EM CANTEIRO DE OBRA EM CHAPA DE MADEIRA COMPENSADA, NÃO INCLUSO MOBILIÁRIO. AF_04/2016</v>
      </c>
      <c r="C223" s="149" t="str">
        <f>VLOOKUP(A223,ORÇAMENTO!$A:$F,5,0)</f>
        <v>M²</v>
      </c>
      <c r="D223" s="149">
        <f>SUM(E227:O227)</f>
        <v>4</v>
      </c>
      <c r="E223" s="149" t="s">
        <v>2149</v>
      </c>
      <c r="F223" s="149" t="s">
        <v>2150</v>
      </c>
      <c r="G223" s="149" t="s">
        <v>2151</v>
      </c>
      <c r="H223" s="149" t="s">
        <v>2152</v>
      </c>
      <c r="I223" s="149" t="s">
        <v>2153</v>
      </c>
      <c r="J223" s="149" t="s">
        <v>3468</v>
      </c>
      <c r="K223" s="149" t="s">
        <v>3469</v>
      </c>
      <c r="L223" s="149" t="s">
        <v>2156</v>
      </c>
      <c r="M223" s="149" t="s">
        <v>413</v>
      </c>
      <c r="N223" s="149" t="s">
        <v>2157</v>
      </c>
      <c r="O223" s="149" t="s">
        <v>2158</v>
      </c>
      <c r="P223" s="145"/>
      <c r="Q223" s="145"/>
    </row>
    <row r="224" spans="1:17" s="146" customFormat="1" ht="10.5" x14ac:dyDescent="0.25">
      <c r="A224" s="151"/>
      <c r="B224" s="152"/>
      <c r="C224" s="153"/>
      <c r="D224" s="154"/>
      <c r="E224" s="154"/>
      <c r="F224" s="154"/>
      <c r="G224" s="154"/>
      <c r="H224" s="154"/>
      <c r="I224" s="154"/>
      <c r="J224" s="154"/>
      <c r="K224" s="154"/>
      <c r="L224" s="154"/>
      <c r="M224" s="154"/>
      <c r="N224" s="154"/>
      <c r="O224" s="154"/>
      <c r="P224" s="155"/>
      <c r="Q224" s="145"/>
    </row>
    <row r="225" spans="1:17" s="146" customFormat="1" ht="21" x14ac:dyDescent="0.25">
      <c r="A225" s="151"/>
      <c r="B225" s="152" t="s">
        <v>2095</v>
      </c>
      <c r="C225" s="153"/>
      <c r="D225" s="154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>
        <v>4</v>
      </c>
      <c r="O225" s="154"/>
      <c r="P225" s="155"/>
      <c r="Q225" s="145"/>
    </row>
    <row r="226" spans="1:17" s="146" customFormat="1" ht="10.5" x14ac:dyDescent="0.25">
      <c r="A226" s="151"/>
      <c r="B226" s="152"/>
      <c r="C226" s="153"/>
      <c r="D226" s="154"/>
      <c r="E226" s="154"/>
      <c r="F226" s="154"/>
      <c r="G226" s="154"/>
      <c r="H226" s="154"/>
      <c r="I226" s="154"/>
      <c r="J226" s="154"/>
      <c r="K226" s="154"/>
      <c r="L226" s="156"/>
      <c r="M226" s="154"/>
      <c r="N226" s="154"/>
      <c r="O226" s="154"/>
      <c r="P226" s="155"/>
      <c r="Q226" s="145"/>
    </row>
    <row r="227" spans="1:17" s="146" customFormat="1" ht="10.5" x14ac:dyDescent="0.25">
      <c r="A227" s="151"/>
      <c r="B227" s="157" t="s">
        <v>377</v>
      </c>
      <c r="C227" s="158" t="s">
        <v>402</v>
      </c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>
        <f>SUM(N224:N226)</f>
        <v>4</v>
      </c>
      <c r="O227" s="158"/>
      <c r="P227" s="159"/>
      <c r="Q227" s="145"/>
    </row>
    <row r="228" spans="1:17" s="150" customFormat="1" ht="42" x14ac:dyDescent="0.25">
      <c r="A228" s="147" t="str">
        <f>ORÇAMENTO!A68</f>
        <v xml:space="preserve"> 3.1.10</v>
      </c>
      <c r="B228" s="148" t="str">
        <f>VLOOKUP(A228,ORÇAMENTO!$A:$F,4,0)</f>
        <v>LOCACAO DE CONTAINER 2,30 X 6,00 M, ALT. 2,50 M, COM 1 SANITARIO, PARA ESCRITORIO, COMPLETO, SEM DIVISORIAS INTERNAS (NAO INCLUI MOBILIZACAO/DESMOBILIZACAO)</v>
      </c>
      <c r="C228" s="149" t="str">
        <f>VLOOKUP(A228,ORÇAMENTO!$A:$F,5,0)</f>
        <v>MES</v>
      </c>
      <c r="D228" s="149">
        <f>SUM(E232:O232)</f>
        <v>18</v>
      </c>
      <c r="E228" s="149" t="s">
        <v>2149</v>
      </c>
      <c r="F228" s="149" t="s">
        <v>2150</v>
      </c>
      <c r="G228" s="149" t="s">
        <v>2151</v>
      </c>
      <c r="H228" s="149" t="s">
        <v>2152</v>
      </c>
      <c r="I228" s="149" t="s">
        <v>2153</v>
      </c>
      <c r="J228" s="149" t="s">
        <v>3472</v>
      </c>
      <c r="K228" s="149" t="s">
        <v>3473</v>
      </c>
      <c r="L228" s="149" t="s">
        <v>2156</v>
      </c>
      <c r="M228" s="149" t="s">
        <v>413</v>
      </c>
      <c r="N228" s="149" t="s">
        <v>2157</v>
      </c>
      <c r="O228" s="149" t="s">
        <v>2158</v>
      </c>
      <c r="P228" s="145"/>
      <c r="Q228" s="145"/>
    </row>
    <row r="229" spans="1:17" s="146" customFormat="1" ht="10.5" x14ac:dyDescent="0.25">
      <c r="A229" s="151"/>
      <c r="B229" s="152"/>
      <c r="C229" s="153"/>
      <c r="D229" s="154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  <c r="O229" s="154"/>
      <c r="P229" s="155"/>
      <c r="Q229" s="145"/>
    </row>
    <row r="230" spans="1:17" s="146" customFormat="1" ht="31.5" x14ac:dyDescent="0.25">
      <c r="A230" s="151"/>
      <c r="B230" s="152" t="s">
        <v>2100</v>
      </c>
      <c r="C230" s="153"/>
      <c r="D230" s="154"/>
      <c r="E230" s="154"/>
      <c r="F230" s="154"/>
      <c r="G230" s="154"/>
      <c r="H230" s="154"/>
      <c r="I230" s="154"/>
      <c r="J230" s="154">
        <f>COUNTA(CRONOGRAMA!D4:L4)</f>
        <v>9</v>
      </c>
      <c r="K230" s="154">
        <f>J230*M230</f>
        <v>18</v>
      </c>
      <c r="L230" s="154"/>
      <c r="M230" s="154">
        <v>2</v>
      </c>
      <c r="N230" s="154"/>
      <c r="O230" s="154"/>
      <c r="P230" s="155"/>
      <c r="Q230" s="145"/>
    </row>
    <row r="231" spans="1:17" s="146" customFormat="1" ht="10.5" x14ac:dyDescent="0.25">
      <c r="A231" s="151"/>
      <c r="B231" s="152"/>
      <c r="C231" s="153"/>
      <c r="D231" s="154"/>
      <c r="E231" s="154"/>
      <c r="F231" s="154"/>
      <c r="G231" s="154"/>
      <c r="H231" s="154"/>
      <c r="I231" s="154"/>
      <c r="J231" s="154"/>
      <c r="K231" s="154"/>
      <c r="L231" s="156"/>
      <c r="M231" s="154"/>
      <c r="N231" s="154"/>
      <c r="O231" s="154"/>
      <c r="P231" s="155"/>
      <c r="Q231" s="145"/>
    </row>
    <row r="232" spans="1:17" s="146" customFormat="1" ht="10.5" x14ac:dyDescent="0.25">
      <c r="A232" s="151"/>
      <c r="B232" s="157" t="s">
        <v>377</v>
      </c>
      <c r="C232" s="158" t="s">
        <v>402</v>
      </c>
      <c r="D232" s="158"/>
      <c r="E232" s="158"/>
      <c r="F232" s="158"/>
      <c r="G232" s="158"/>
      <c r="H232" s="158"/>
      <c r="I232" s="158"/>
      <c r="J232" s="158"/>
      <c r="K232" s="158">
        <f>SUM(K229:K231)</f>
        <v>18</v>
      </c>
      <c r="L232" s="158"/>
      <c r="M232" s="158"/>
      <c r="N232" s="158"/>
      <c r="O232" s="158"/>
      <c r="P232" s="159"/>
      <c r="Q232" s="145"/>
    </row>
    <row r="233" spans="1:17" s="150" customFormat="1" ht="42" x14ac:dyDescent="0.25">
      <c r="A233" s="147" t="str">
        <f>ORÇAMENTO!A69</f>
        <v xml:space="preserve"> 3.1.11</v>
      </c>
      <c r="B233" s="148" t="str">
        <f>VLOOKUP(A233,ORÇAMENTO!$A:$F,4,0)</f>
        <v>LOCACAO DE CONTAINER 2,30 X 6,00 M, ALT. 2,50 M, PARA SANITARIO, COM 4 BACIAS, 8 CHUVEIROS,1 LAVATORIO E 1 MICTORIO (NAO INCLUI MOBILIZACAO/DESMOBILIZACAO)</v>
      </c>
      <c r="C233" s="149" t="str">
        <f>VLOOKUP(A233,ORÇAMENTO!$A:$F,5,0)</f>
        <v>MES</v>
      </c>
      <c r="D233" s="149">
        <f>SUM(E237:O237)</f>
        <v>18</v>
      </c>
      <c r="E233" s="149" t="s">
        <v>2149</v>
      </c>
      <c r="F233" s="149" t="s">
        <v>2150</v>
      </c>
      <c r="G233" s="149" t="s">
        <v>2151</v>
      </c>
      <c r="H233" s="149" t="s">
        <v>2152</v>
      </c>
      <c r="I233" s="149" t="s">
        <v>2153</v>
      </c>
      <c r="J233" s="149" t="s">
        <v>3472</v>
      </c>
      <c r="K233" s="149" t="s">
        <v>3473</v>
      </c>
      <c r="L233" s="149" t="s">
        <v>2156</v>
      </c>
      <c r="M233" s="149" t="s">
        <v>413</v>
      </c>
      <c r="N233" s="149" t="s">
        <v>2157</v>
      </c>
      <c r="O233" s="149" t="s">
        <v>2158</v>
      </c>
      <c r="P233" s="145"/>
      <c r="Q233" s="145"/>
    </row>
    <row r="234" spans="1:17" s="146" customFormat="1" ht="10.5" x14ac:dyDescent="0.25">
      <c r="A234" s="151"/>
      <c r="B234" s="152"/>
      <c r="C234" s="153"/>
      <c r="D234" s="154"/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  <c r="O234" s="154"/>
      <c r="P234" s="155"/>
      <c r="Q234" s="145"/>
    </row>
    <row r="235" spans="1:17" s="146" customFormat="1" ht="21" x14ac:dyDescent="0.25">
      <c r="A235" s="151"/>
      <c r="B235" s="152" t="s">
        <v>2101</v>
      </c>
      <c r="C235" s="153"/>
      <c r="D235" s="154"/>
      <c r="E235" s="154"/>
      <c r="F235" s="154"/>
      <c r="G235" s="154"/>
      <c r="H235" s="154"/>
      <c r="I235" s="154"/>
      <c r="J235" s="154">
        <f>COUNTA(CRONOGRAMA!D9:L9)</f>
        <v>6</v>
      </c>
      <c r="K235" s="154">
        <f>J235*M235</f>
        <v>18</v>
      </c>
      <c r="L235" s="154"/>
      <c r="M235" s="154">
        <v>3</v>
      </c>
      <c r="N235" s="154"/>
      <c r="O235" s="154"/>
      <c r="P235" s="155"/>
      <c r="Q235" s="145"/>
    </row>
    <row r="236" spans="1:17" s="146" customFormat="1" ht="10.5" x14ac:dyDescent="0.25">
      <c r="A236" s="151"/>
      <c r="B236" s="152"/>
      <c r="C236" s="153"/>
      <c r="D236" s="154"/>
      <c r="E236" s="154"/>
      <c r="F236" s="154"/>
      <c r="G236" s="154"/>
      <c r="H236" s="154"/>
      <c r="I236" s="154"/>
      <c r="J236" s="154"/>
      <c r="K236" s="154"/>
      <c r="L236" s="156"/>
      <c r="M236" s="154"/>
      <c r="N236" s="154"/>
      <c r="O236" s="154"/>
      <c r="P236" s="155"/>
      <c r="Q236" s="145"/>
    </row>
    <row r="237" spans="1:17" s="146" customFormat="1" ht="10.5" x14ac:dyDescent="0.25">
      <c r="A237" s="151"/>
      <c r="B237" s="157" t="s">
        <v>377</v>
      </c>
      <c r="C237" s="158" t="s">
        <v>402</v>
      </c>
      <c r="D237" s="158"/>
      <c r="E237" s="158"/>
      <c r="F237" s="158"/>
      <c r="G237" s="158"/>
      <c r="H237" s="158"/>
      <c r="I237" s="158"/>
      <c r="J237" s="158"/>
      <c r="K237" s="158">
        <f>SUM(K234:K236)</f>
        <v>18</v>
      </c>
      <c r="L237" s="158"/>
      <c r="M237" s="158"/>
      <c r="N237" s="158"/>
      <c r="O237" s="158"/>
      <c r="P237" s="159"/>
      <c r="Q237" s="145"/>
    </row>
    <row r="238" spans="1:17" s="150" customFormat="1" ht="42" x14ac:dyDescent="0.25">
      <c r="A238" s="147" t="str">
        <f>ORÇAMENTO!A70</f>
        <v xml:space="preserve"> 3.1.12</v>
      </c>
      <c r="B238" s="148" t="str">
        <f>VLOOKUP(A238,ORÇAMENTO!$A:$F,4,0)</f>
        <v>LOCACAO DE CONTAINER 2,30 X 6,00 M, ALT. 2,50 M, PARA ESCRITORIO, SEM DIVISORIAS INTERNAS E SEM SANITARIO (NAO INCLUI MOBILIZACAO/DESMOBILIZACAO)</v>
      </c>
      <c r="C238" s="149" t="str">
        <f>VLOOKUP(A238,ORÇAMENTO!$A:$F,5,0)</f>
        <v>MES</v>
      </c>
      <c r="D238" s="149">
        <f>SUM(E242:O242)</f>
        <v>6</v>
      </c>
      <c r="E238" s="149" t="s">
        <v>2149</v>
      </c>
      <c r="F238" s="149" t="s">
        <v>2150</v>
      </c>
      <c r="G238" s="149" t="s">
        <v>2151</v>
      </c>
      <c r="H238" s="149" t="s">
        <v>2152</v>
      </c>
      <c r="I238" s="149" t="s">
        <v>2153</v>
      </c>
      <c r="J238" s="149" t="s">
        <v>3472</v>
      </c>
      <c r="K238" s="149" t="s">
        <v>3473</v>
      </c>
      <c r="L238" s="149" t="s">
        <v>2156</v>
      </c>
      <c r="M238" s="149" t="s">
        <v>413</v>
      </c>
      <c r="N238" s="149" t="s">
        <v>2157</v>
      </c>
      <c r="O238" s="149" t="s">
        <v>2158</v>
      </c>
      <c r="P238" s="145"/>
      <c r="Q238" s="145"/>
    </row>
    <row r="239" spans="1:17" s="146" customFormat="1" ht="10.5" x14ac:dyDescent="0.25">
      <c r="A239" s="151"/>
      <c r="B239" s="152"/>
      <c r="C239" s="153"/>
      <c r="D239" s="154"/>
      <c r="E239" s="154"/>
      <c r="F239" s="154"/>
      <c r="G239" s="154"/>
      <c r="H239" s="154"/>
      <c r="I239" s="154"/>
      <c r="J239" s="154"/>
      <c r="K239" s="154"/>
      <c r="L239" s="154"/>
      <c r="M239" s="154"/>
      <c r="N239" s="154"/>
      <c r="O239" s="154"/>
      <c r="P239" s="155"/>
      <c r="Q239" s="145"/>
    </row>
    <row r="240" spans="1:17" s="146" customFormat="1" ht="31.5" x14ac:dyDescent="0.25">
      <c r="A240" s="151"/>
      <c r="B240" s="152" t="s">
        <v>2102</v>
      </c>
      <c r="C240" s="153"/>
      <c r="D240" s="154"/>
      <c r="E240" s="154"/>
      <c r="F240" s="154"/>
      <c r="G240" s="154"/>
      <c r="H240" s="154"/>
      <c r="I240" s="154"/>
      <c r="J240" s="154">
        <f>J235</f>
        <v>6</v>
      </c>
      <c r="K240" s="154">
        <f>J240*M240</f>
        <v>6</v>
      </c>
      <c r="L240" s="154"/>
      <c r="M240" s="154">
        <v>1</v>
      </c>
      <c r="N240" s="154"/>
      <c r="O240" s="154"/>
      <c r="P240" s="155"/>
      <c r="Q240" s="145"/>
    </row>
    <row r="241" spans="1:17" s="146" customFormat="1" ht="10.5" x14ac:dyDescent="0.25">
      <c r="A241" s="151"/>
      <c r="B241" s="152"/>
      <c r="C241" s="153"/>
      <c r="D241" s="154"/>
      <c r="E241" s="154"/>
      <c r="F241" s="154"/>
      <c r="G241" s="154"/>
      <c r="H241" s="154"/>
      <c r="I241" s="154"/>
      <c r="J241" s="154"/>
      <c r="K241" s="154"/>
      <c r="L241" s="156"/>
      <c r="M241" s="154"/>
      <c r="N241" s="154"/>
      <c r="O241" s="154"/>
      <c r="P241" s="155"/>
      <c r="Q241" s="145"/>
    </row>
    <row r="242" spans="1:17" s="146" customFormat="1" ht="10.5" x14ac:dyDescent="0.25">
      <c r="A242" s="151"/>
      <c r="B242" s="157" t="s">
        <v>377</v>
      </c>
      <c r="C242" s="158" t="s">
        <v>402</v>
      </c>
      <c r="D242" s="158"/>
      <c r="E242" s="158"/>
      <c r="F242" s="158"/>
      <c r="G242" s="158"/>
      <c r="H242" s="158"/>
      <c r="I242" s="158"/>
      <c r="J242" s="158"/>
      <c r="K242" s="158">
        <f>SUM(K239:K241)</f>
        <v>6</v>
      </c>
      <c r="L242" s="158"/>
      <c r="M242" s="158"/>
      <c r="N242" s="158"/>
      <c r="O242" s="158"/>
      <c r="P242" s="159"/>
      <c r="Q242" s="145"/>
    </row>
    <row r="243" spans="1:17" s="150" customFormat="1" ht="31.5" x14ac:dyDescent="0.25">
      <c r="A243" s="147" t="str">
        <f>ORÇAMENTO!A71</f>
        <v xml:space="preserve"> 3.1.13</v>
      </c>
      <c r="B243" s="148" t="str">
        <f>VLOOKUP(A243,ORÇAMENTO!$A:$F,4,0)</f>
        <v>EXECUÇÃO DE DEPÓSITO EM CANTEIRO DE OBRA EM CHAPA DE MADEIRA COMPENSADA, NÃO INCLUSO MOBILIÁRIO. AF_04/2016</v>
      </c>
      <c r="C243" s="149" t="str">
        <f>VLOOKUP(A243,ORÇAMENTO!$A:$F,5,0)</f>
        <v>M²</v>
      </c>
      <c r="D243" s="149">
        <f>SUM(E247:O247)</f>
        <v>20</v>
      </c>
      <c r="E243" s="149" t="s">
        <v>2149</v>
      </c>
      <c r="F243" s="149" t="s">
        <v>2150</v>
      </c>
      <c r="G243" s="149" t="s">
        <v>2151</v>
      </c>
      <c r="H243" s="149" t="s">
        <v>2152</v>
      </c>
      <c r="I243" s="149" t="s">
        <v>2153</v>
      </c>
      <c r="J243" s="149" t="s">
        <v>3472</v>
      </c>
      <c r="K243" s="149" t="s">
        <v>3473</v>
      </c>
      <c r="L243" s="149" t="s">
        <v>2156</v>
      </c>
      <c r="M243" s="149" t="s">
        <v>413</v>
      </c>
      <c r="N243" s="149" t="s">
        <v>2157</v>
      </c>
      <c r="O243" s="149" t="s">
        <v>2158</v>
      </c>
      <c r="P243" s="145"/>
      <c r="Q243" s="145"/>
    </row>
    <row r="244" spans="1:17" s="146" customFormat="1" ht="10.5" x14ac:dyDescent="0.25">
      <c r="A244" s="151"/>
      <c r="B244" s="152"/>
      <c r="C244" s="153"/>
      <c r="D244" s="154"/>
      <c r="E244" s="154"/>
      <c r="F244" s="154"/>
      <c r="G244" s="154"/>
      <c r="H244" s="154"/>
      <c r="I244" s="154"/>
      <c r="J244" s="154"/>
      <c r="K244" s="154"/>
      <c r="L244" s="154"/>
      <c r="M244" s="154"/>
      <c r="N244" s="154"/>
      <c r="O244" s="154"/>
      <c r="P244" s="155"/>
      <c r="Q244" s="145"/>
    </row>
    <row r="245" spans="1:17" s="146" customFormat="1" ht="21" x14ac:dyDescent="0.25">
      <c r="A245" s="151"/>
      <c r="B245" s="152" t="s">
        <v>2095</v>
      </c>
      <c r="C245" s="153"/>
      <c r="D245" s="154"/>
      <c r="E245" s="154"/>
      <c r="F245" s="154"/>
      <c r="G245" s="154"/>
      <c r="H245" s="154"/>
      <c r="I245" s="154"/>
      <c r="J245" s="154"/>
      <c r="K245" s="154"/>
      <c r="L245" s="154"/>
      <c r="M245" s="154"/>
      <c r="N245" s="154">
        <v>20</v>
      </c>
      <c r="O245" s="154"/>
      <c r="P245" s="155"/>
      <c r="Q245" s="145"/>
    </row>
    <row r="246" spans="1:17" s="146" customFormat="1" ht="10.5" x14ac:dyDescent="0.25">
      <c r="A246" s="151"/>
      <c r="B246" s="152"/>
      <c r="C246" s="153"/>
      <c r="D246" s="154"/>
      <c r="E246" s="154"/>
      <c r="F246" s="154"/>
      <c r="G246" s="154"/>
      <c r="H246" s="154"/>
      <c r="I246" s="154"/>
      <c r="J246" s="154"/>
      <c r="K246" s="154"/>
      <c r="L246" s="156"/>
      <c r="M246" s="154"/>
      <c r="N246" s="154"/>
      <c r="O246" s="154"/>
      <c r="P246" s="155"/>
      <c r="Q246" s="145"/>
    </row>
    <row r="247" spans="1:17" s="146" customFormat="1" ht="10.5" x14ac:dyDescent="0.25">
      <c r="A247" s="151"/>
      <c r="B247" s="157" t="s">
        <v>377</v>
      </c>
      <c r="C247" s="158" t="s">
        <v>402</v>
      </c>
      <c r="D247" s="158"/>
      <c r="E247" s="158"/>
      <c r="F247" s="158"/>
      <c r="G247" s="158"/>
      <c r="H247" s="158"/>
      <c r="I247" s="158"/>
      <c r="J247" s="158"/>
      <c r="K247" s="158"/>
      <c r="L247" s="158"/>
      <c r="M247" s="158"/>
      <c r="N247" s="158">
        <f>SUM(N244:N246)</f>
        <v>20</v>
      </c>
      <c r="O247" s="158"/>
      <c r="P247" s="159"/>
      <c r="Q247" s="145"/>
    </row>
    <row r="248" spans="1:17" s="150" customFormat="1" ht="42" x14ac:dyDescent="0.25">
      <c r="A248" s="147" t="str">
        <f>ORÇAMENTO!A72</f>
        <v xml:space="preserve"> 3.1.14</v>
      </c>
      <c r="B248" s="148" t="str">
        <f>VLOOKUP(A248,ORÇAMENTO!$A:$F,4,0)</f>
        <v>EXECUÇÃO DE CENTRAL DE FÔRMAS, PRODUÇÃO DE ARGAMASSA OU CONCRETO EM CANTEIRO DE OBRA, NÃO INCLUSO MOBILIÁRIO E EQUIPAMENTOS. AF_04/2016</v>
      </c>
      <c r="C248" s="149" t="str">
        <f>VLOOKUP(A248,ORÇAMENTO!$A:$F,5,0)</f>
        <v>M²</v>
      </c>
      <c r="D248" s="149">
        <f>SUM(E252:O252)</f>
        <v>50</v>
      </c>
      <c r="E248" s="149" t="s">
        <v>2149</v>
      </c>
      <c r="F248" s="149" t="s">
        <v>2150</v>
      </c>
      <c r="G248" s="149" t="s">
        <v>2151</v>
      </c>
      <c r="H248" s="149" t="s">
        <v>2152</v>
      </c>
      <c r="I248" s="149" t="s">
        <v>2153</v>
      </c>
      <c r="J248" s="149" t="s">
        <v>3472</v>
      </c>
      <c r="K248" s="149" t="s">
        <v>3473</v>
      </c>
      <c r="L248" s="149" t="s">
        <v>2156</v>
      </c>
      <c r="M248" s="149" t="s">
        <v>413</v>
      </c>
      <c r="N248" s="149" t="s">
        <v>2157</v>
      </c>
      <c r="O248" s="149" t="s">
        <v>2158</v>
      </c>
      <c r="P248" s="145"/>
      <c r="Q248" s="145"/>
    </row>
    <row r="249" spans="1:17" s="146" customFormat="1" ht="10.5" x14ac:dyDescent="0.25">
      <c r="A249" s="151"/>
      <c r="B249" s="152"/>
      <c r="C249" s="153"/>
      <c r="D249" s="154"/>
      <c r="E249" s="154"/>
      <c r="F249" s="154"/>
      <c r="G249" s="154"/>
      <c r="H249" s="154"/>
      <c r="I249" s="154"/>
      <c r="J249" s="154"/>
      <c r="K249" s="154"/>
      <c r="L249" s="154"/>
      <c r="M249" s="154"/>
      <c r="N249" s="154"/>
      <c r="O249" s="154"/>
      <c r="P249" s="155"/>
      <c r="Q249" s="145"/>
    </row>
    <row r="250" spans="1:17" s="146" customFormat="1" ht="21" x14ac:dyDescent="0.25">
      <c r="A250" s="151"/>
      <c r="B250" s="152" t="s">
        <v>2095</v>
      </c>
      <c r="C250" s="153"/>
      <c r="D250" s="154"/>
      <c r="E250" s="154"/>
      <c r="F250" s="154"/>
      <c r="G250" s="154"/>
      <c r="H250" s="154"/>
      <c r="I250" s="154"/>
      <c r="J250" s="154"/>
      <c r="K250" s="154"/>
      <c r="L250" s="154"/>
      <c r="M250" s="154"/>
      <c r="N250" s="154">
        <v>50</v>
      </c>
      <c r="O250" s="154"/>
      <c r="P250" s="155"/>
      <c r="Q250" s="145"/>
    </row>
    <row r="251" spans="1:17" s="146" customFormat="1" ht="10.5" x14ac:dyDescent="0.25">
      <c r="A251" s="151"/>
      <c r="B251" s="152"/>
      <c r="C251" s="153"/>
      <c r="D251" s="154"/>
      <c r="E251" s="154"/>
      <c r="F251" s="154"/>
      <c r="G251" s="154"/>
      <c r="H251" s="154"/>
      <c r="I251" s="154"/>
      <c r="J251" s="154"/>
      <c r="K251" s="154"/>
      <c r="L251" s="156"/>
      <c r="M251" s="154"/>
      <c r="N251" s="154"/>
      <c r="O251" s="154"/>
      <c r="P251" s="155"/>
      <c r="Q251" s="145"/>
    </row>
    <row r="252" spans="1:17" s="146" customFormat="1" ht="10.5" x14ac:dyDescent="0.25">
      <c r="A252" s="151"/>
      <c r="B252" s="157" t="s">
        <v>377</v>
      </c>
      <c r="C252" s="158" t="s">
        <v>402</v>
      </c>
      <c r="D252" s="158"/>
      <c r="E252" s="158"/>
      <c r="F252" s="158"/>
      <c r="G252" s="158"/>
      <c r="H252" s="158"/>
      <c r="I252" s="158"/>
      <c r="J252" s="158"/>
      <c r="K252" s="158"/>
      <c r="L252" s="158"/>
      <c r="M252" s="158"/>
      <c r="N252" s="158">
        <f>SUM(N249:N251)</f>
        <v>50</v>
      </c>
      <c r="O252" s="158"/>
      <c r="P252" s="159"/>
      <c r="Q252" s="145"/>
    </row>
    <row r="253" spans="1:17" s="150" customFormat="1" ht="31.5" x14ac:dyDescent="0.25">
      <c r="A253" s="147" t="str">
        <f>ORÇAMENTO!A73</f>
        <v xml:space="preserve"> 3.1.15</v>
      </c>
      <c r="B253" s="148" t="str">
        <f>VLOOKUP(A253,ORÇAMENTO!$A:$F,4,0)</f>
        <v>EXECUÇÃO DE CENTRAL DE ARMADURA EM CANTEIRO DE OBRA, NÃO INCLUSO MOBILIÁRIO E EQUIPAMENTOS. AF_04/2016</v>
      </c>
      <c r="C253" s="149" t="str">
        <f>VLOOKUP(A253,ORÇAMENTO!$A:$F,5,0)</f>
        <v>M²</v>
      </c>
      <c r="D253" s="149">
        <f>SUM(E257:O257)</f>
        <v>50</v>
      </c>
      <c r="E253" s="149" t="s">
        <v>2149</v>
      </c>
      <c r="F253" s="149" t="s">
        <v>2150</v>
      </c>
      <c r="G253" s="149" t="s">
        <v>2151</v>
      </c>
      <c r="H253" s="149" t="s">
        <v>2152</v>
      </c>
      <c r="I253" s="149" t="s">
        <v>2153</v>
      </c>
      <c r="J253" s="149" t="s">
        <v>3472</v>
      </c>
      <c r="K253" s="149" t="s">
        <v>3473</v>
      </c>
      <c r="L253" s="149" t="s">
        <v>2156</v>
      </c>
      <c r="M253" s="149" t="s">
        <v>413</v>
      </c>
      <c r="N253" s="149" t="s">
        <v>2157</v>
      </c>
      <c r="O253" s="149" t="s">
        <v>2158</v>
      </c>
      <c r="P253" s="145"/>
      <c r="Q253" s="145"/>
    </row>
    <row r="254" spans="1:17" s="146" customFormat="1" ht="10.5" x14ac:dyDescent="0.25">
      <c r="A254" s="151"/>
      <c r="B254" s="152"/>
      <c r="C254" s="153"/>
      <c r="D254" s="154"/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  <c r="O254" s="154"/>
      <c r="P254" s="155"/>
      <c r="Q254" s="145"/>
    </row>
    <row r="255" spans="1:17" s="146" customFormat="1" ht="21" x14ac:dyDescent="0.25">
      <c r="A255" s="151"/>
      <c r="B255" s="152" t="s">
        <v>2095</v>
      </c>
      <c r="C255" s="153"/>
      <c r="D255" s="154"/>
      <c r="E255" s="154"/>
      <c r="F255" s="154"/>
      <c r="G255" s="154"/>
      <c r="H255" s="154"/>
      <c r="I255" s="154"/>
      <c r="J255" s="154"/>
      <c r="K255" s="154"/>
      <c r="L255" s="154"/>
      <c r="M255" s="154"/>
      <c r="N255" s="154">
        <v>50</v>
      </c>
      <c r="O255" s="154"/>
      <c r="P255" s="155"/>
      <c r="Q255" s="145"/>
    </row>
    <row r="256" spans="1:17" s="146" customFormat="1" ht="10.5" x14ac:dyDescent="0.25">
      <c r="A256" s="151"/>
      <c r="B256" s="152"/>
      <c r="C256" s="153"/>
      <c r="D256" s="154"/>
      <c r="E256" s="154"/>
      <c r="F256" s="154"/>
      <c r="G256" s="154"/>
      <c r="H256" s="154"/>
      <c r="I256" s="154"/>
      <c r="J256" s="154"/>
      <c r="K256" s="154"/>
      <c r="L256" s="156"/>
      <c r="M256" s="154"/>
      <c r="N256" s="154"/>
      <c r="O256" s="154"/>
      <c r="P256" s="155"/>
      <c r="Q256" s="145"/>
    </row>
    <row r="257" spans="1:17" s="146" customFormat="1" ht="10.5" x14ac:dyDescent="0.25">
      <c r="A257" s="151"/>
      <c r="B257" s="157" t="s">
        <v>377</v>
      </c>
      <c r="C257" s="158" t="s">
        <v>402</v>
      </c>
      <c r="D257" s="158"/>
      <c r="E257" s="158"/>
      <c r="F257" s="158"/>
      <c r="G257" s="158"/>
      <c r="H257" s="158"/>
      <c r="I257" s="158"/>
      <c r="J257" s="158"/>
      <c r="K257" s="158"/>
      <c r="L257" s="158"/>
      <c r="M257" s="158"/>
      <c r="N257" s="158">
        <f>SUM(N254:N256)</f>
        <v>50</v>
      </c>
      <c r="O257" s="158"/>
      <c r="P257" s="159"/>
      <c r="Q257" s="145"/>
    </row>
    <row r="258" spans="1:17" s="150" customFormat="1" ht="31.5" x14ac:dyDescent="0.25">
      <c r="A258" s="147" t="str">
        <f>ORÇAMENTO!A74</f>
        <v xml:space="preserve"> 3.1.16</v>
      </c>
      <c r="B258" s="148" t="str">
        <f>VLOOKUP(A258,ORÇAMENTO!$A:$F,4,0)</f>
        <v>EXECUÇÃO DE RESERVATÓRIO ELEVADO DE ÁGUA (1000 LITROS) EM CANTEIRO DE OBRA, APOIADO EM ESTRUTURA DE MADEIRA. AF_02/2016_PA</v>
      </c>
      <c r="C258" s="149" t="str">
        <f>VLOOKUP(A258,ORÇAMENTO!$A:$F,5,0)</f>
        <v>UN</v>
      </c>
      <c r="D258" s="149">
        <f>SUM(E262:O262)</f>
        <v>1</v>
      </c>
      <c r="E258" s="149" t="s">
        <v>2149</v>
      </c>
      <c r="F258" s="149" t="s">
        <v>2150</v>
      </c>
      <c r="G258" s="149" t="s">
        <v>2151</v>
      </c>
      <c r="H258" s="149" t="s">
        <v>2152</v>
      </c>
      <c r="I258" s="149" t="s">
        <v>2153</v>
      </c>
      <c r="J258" s="149" t="s">
        <v>3472</v>
      </c>
      <c r="K258" s="149" t="s">
        <v>3473</v>
      </c>
      <c r="L258" s="149" t="s">
        <v>2156</v>
      </c>
      <c r="M258" s="149" t="s">
        <v>413</v>
      </c>
      <c r="N258" s="149" t="s">
        <v>2157</v>
      </c>
      <c r="O258" s="149" t="s">
        <v>2158</v>
      </c>
      <c r="P258" s="145"/>
      <c r="Q258" s="145"/>
    </row>
    <row r="259" spans="1:17" s="146" customFormat="1" ht="10.5" x14ac:dyDescent="0.25">
      <c r="A259" s="151"/>
      <c r="B259" s="152"/>
      <c r="C259" s="153"/>
      <c r="D259" s="154"/>
      <c r="E259" s="154"/>
      <c r="F259" s="154"/>
      <c r="G259" s="154"/>
      <c r="H259" s="154"/>
      <c r="I259" s="154"/>
      <c r="J259" s="154"/>
      <c r="K259" s="154"/>
      <c r="L259" s="154"/>
      <c r="M259" s="154"/>
      <c r="N259" s="154"/>
      <c r="O259" s="154"/>
      <c r="P259" s="155"/>
      <c r="Q259" s="145"/>
    </row>
    <row r="260" spans="1:17" s="146" customFormat="1" ht="21" x14ac:dyDescent="0.25">
      <c r="A260" s="151"/>
      <c r="B260" s="152" t="s">
        <v>2095</v>
      </c>
      <c r="C260" s="153"/>
      <c r="D260" s="154"/>
      <c r="E260" s="154"/>
      <c r="F260" s="154"/>
      <c r="G260" s="154"/>
      <c r="H260" s="154"/>
      <c r="I260" s="154"/>
      <c r="J260" s="154"/>
      <c r="K260" s="154"/>
      <c r="L260" s="154"/>
      <c r="M260" s="154">
        <v>1</v>
      </c>
      <c r="N260" s="154"/>
      <c r="O260" s="154"/>
      <c r="P260" s="155"/>
      <c r="Q260" s="145"/>
    </row>
    <row r="261" spans="1:17" s="146" customFormat="1" ht="10.5" x14ac:dyDescent="0.25">
      <c r="A261" s="151"/>
      <c r="B261" s="152"/>
      <c r="C261" s="153"/>
      <c r="D261" s="154"/>
      <c r="E261" s="154"/>
      <c r="F261" s="154"/>
      <c r="G261" s="154"/>
      <c r="H261" s="154"/>
      <c r="I261" s="154"/>
      <c r="J261" s="154"/>
      <c r="K261" s="154"/>
      <c r="L261" s="156"/>
      <c r="M261" s="154"/>
      <c r="N261" s="154"/>
      <c r="O261" s="154"/>
      <c r="P261" s="155"/>
      <c r="Q261" s="145"/>
    </row>
    <row r="262" spans="1:17" s="146" customFormat="1" ht="10.5" x14ac:dyDescent="0.25">
      <c r="A262" s="151"/>
      <c r="B262" s="157" t="s">
        <v>377</v>
      </c>
      <c r="C262" s="158" t="s">
        <v>402</v>
      </c>
      <c r="D262" s="158"/>
      <c r="E262" s="158"/>
      <c r="F262" s="158"/>
      <c r="G262" s="158"/>
      <c r="H262" s="158"/>
      <c r="I262" s="158"/>
      <c r="J262" s="158"/>
      <c r="K262" s="158"/>
      <c r="L262" s="158"/>
      <c r="M262" s="158">
        <f>SUM(M259:M261)</f>
        <v>1</v>
      </c>
      <c r="N262" s="158"/>
      <c r="O262" s="158"/>
      <c r="P262" s="159"/>
      <c r="Q262" s="145"/>
    </row>
    <row r="263" spans="1:17" s="150" customFormat="1" ht="31.5" x14ac:dyDescent="0.25">
      <c r="A263" s="147" t="str">
        <f>ORÇAMENTO!A75</f>
        <v xml:space="preserve"> 3.1.17</v>
      </c>
      <c r="B263" s="148" t="str">
        <f>VLOOKUP(A263,ORÇAMENTO!$A:$F,4,0)</f>
        <v>EXECUÇÃO DE RESERVATÓRIO ELEVADO DE ÁGUA (2000 LITROS) EM CANTEIRO DE OBRA, APOIADO EM ESTRUTURA DE MADEIRA. AF_02/2016_PA</v>
      </c>
      <c r="C263" s="149" t="str">
        <f>VLOOKUP(A263,ORÇAMENTO!$A:$F,5,0)</f>
        <v>UN</v>
      </c>
      <c r="D263" s="149">
        <f>SUM(E267:O267)</f>
        <v>1</v>
      </c>
      <c r="E263" s="149" t="s">
        <v>2149</v>
      </c>
      <c r="F263" s="149" t="s">
        <v>2150</v>
      </c>
      <c r="G263" s="149" t="s">
        <v>2151</v>
      </c>
      <c r="H263" s="149" t="s">
        <v>2152</v>
      </c>
      <c r="I263" s="149" t="s">
        <v>2153</v>
      </c>
      <c r="J263" s="149" t="s">
        <v>3472</v>
      </c>
      <c r="K263" s="149" t="s">
        <v>3473</v>
      </c>
      <c r="L263" s="149" t="s">
        <v>2156</v>
      </c>
      <c r="M263" s="149" t="s">
        <v>413</v>
      </c>
      <c r="N263" s="149" t="s">
        <v>2157</v>
      </c>
      <c r="O263" s="149" t="s">
        <v>2158</v>
      </c>
      <c r="P263" s="145"/>
      <c r="Q263" s="145"/>
    </row>
    <row r="264" spans="1:17" s="146" customFormat="1" ht="10.5" x14ac:dyDescent="0.25">
      <c r="A264" s="151"/>
      <c r="B264" s="152"/>
      <c r="C264" s="153"/>
      <c r="D264" s="154"/>
      <c r="E264" s="154"/>
      <c r="F264" s="154"/>
      <c r="G264" s="154"/>
      <c r="H264" s="154"/>
      <c r="I264" s="154"/>
      <c r="J264" s="154"/>
      <c r="K264" s="154"/>
      <c r="L264" s="154"/>
      <c r="M264" s="154"/>
      <c r="N264" s="154"/>
      <c r="O264" s="154"/>
      <c r="P264" s="155"/>
      <c r="Q264" s="145"/>
    </row>
    <row r="265" spans="1:17" s="146" customFormat="1" ht="21" x14ac:dyDescent="0.25">
      <c r="A265" s="151"/>
      <c r="B265" s="152" t="s">
        <v>2095</v>
      </c>
      <c r="C265" s="153"/>
      <c r="D265" s="154"/>
      <c r="E265" s="154"/>
      <c r="F265" s="154"/>
      <c r="G265" s="154"/>
      <c r="H265" s="154"/>
      <c r="I265" s="154"/>
      <c r="J265" s="154"/>
      <c r="K265" s="154"/>
      <c r="L265" s="154"/>
      <c r="M265" s="154">
        <v>1</v>
      </c>
      <c r="N265" s="154"/>
      <c r="O265" s="154"/>
      <c r="P265" s="155"/>
      <c r="Q265" s="145"/>
    </row>
    <row r="266" spans="1:17" s="146" customFormat="1" ht="10.5" x14ac:dyDescent="0.25">
      <c r="A266" s="151"/>
      <c r="B266" s="152"/>
      <c r="C266" s="153"/>
      <c r="D266" s="154"/>
      <c r="E266" s="154"/>
      <c r="F266" s="154"/>
      <c r="G266" s="154"/>
      <c r="H266" s="154"/>
      <c r="I266" s="154"/>
      <c r="J266" s="154"/>
      <c r="K266" s="154"/>
      <c r="L266" s="156"/>
      <c r="M266" s="154"/>
      <c r="N266" s="154"/>
      <c r="O266" s="154"/>
      <c r="P266" s="155"/>
      <c r="Q266" s="145"/>
    </row>
    <row r="267" spans="1:17" s="146" customFormat="1" ht="10.5" x14ac:dyDescent="0.25">
      <c r="A267" s="151"/>
      <c r="B267" s="157" t="s">
        <v>377</v>
      </c>
      <c r="C267" s="158" t="s">
        <v>402</v>
      </c>
      <c r="D267" s="158"/>
      <c r="E267" s="158"/>
      <c r="F267" s="158"/>
      <c r="G267" s="158"/>
      <c r="H267" s="158"/>
      <c r="I267" s="158"/>
      <c r="J267" s="158"/>
      <c r="K267" s="158"/>
      <c r="L267" s="158"/>
      <c r="M267" s="158">
        <f>SUM(M264:M266)</f>
        <v>1</v>
      </c>
      <c r="N267" s="158"/>
      <c r="O267" s="158"/>
      <c r="P267" s="159"/>
      <c r="Q267" s="145"/>
    </row>
    <row r="268" spans="1:17" s="150" customFormat="1" ht="31.5" x14ac:dyDescent="0.25">
      <c r="A268" s="147" t="str">
        <f>ORÇAMENTO!A76</f>
        <v xml:space="preserve"> 3.1.18</v>
      </c>
      <c r="B268" s="148" t="str">
        <f>VLOOKUP(A268,ORÇAMENTO!$A:$F,4,0)</f>
        <v>ESTRUTURA DE MADEIRA PROVISÓRIA PARA SUPORTE DE CAIXA DÁGUA ELEVADA DE 1000 LITROS. AF_03/2024</v>
      </c>
      <c r="C268" s="149" t="str">
        <f>VLOOKUP(A268,ORÇAMENTO!$A:$F,5,0)</f>
        <v>UN</v>
      </c>
      <c r="D268" s="149">
        <f>SUM(E272:O272)</f>
        <v>1</v>
      </c>
      <c r="E268" s="149" t="s">
        <v>2149</v>
      </c>
      <c r="F268" s="149" t="s">
        <v>2150</v>
      </c>
      <c r="G268" s="149" t="s">
        <v>2151</v>
      </c>
      <c r="H268" s="149" t="s">
        <v>2152</v>
      </c>
      <c r="I268" s="149" t="s">
        <v>2153</v>
      </c>
      <c r="J268" s="149" t="s">
        <v>3472</v>
      </c>
      <c r="K268" s="149" t="s">
        <v>3473</v>
      </c>
      <c r="L268" s="149" t="s">
        <v>2156</v>
      </c>
      <c r="M268" s="149" t="s">
        <v>413</v>
      </c>
      <c r="N268" s="149" t="s">
        <v>2157</v>
      </c>
      <c r="O268" s="149" t="s">
        <v>2158</v>
      </c>
      <c r="P268" s="145"/>
      <c r="Q268" s="145"/>
    </row>
    <row r="269" spans="1:17" s="146" customFormat="1" ht="10.5" x14ac:dyDescent="0.25">
      <c r="A269" s="151"/>
      <c r="B269" s="152"/>
      <c r="C269" s="153"/>
      <c r="D269" s="154"/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  <c r="O269" s="154"/>
      <c r="P269" s="155"/>
      <c r="Q269" s="145"/>
    </row>
    <row r="270" spans="1:17" s="146" customFormat="1" ht="21" x14ac:dyDescent="0.25">
      <c r="A270" s="151"/>
      <c r="B270" s="152" t="s">
        <v>2103</v>
      </c>
      <c r="C270" s="153"/>
      <c r="D270" s="154"/>
      <c r="E270" s="154"/>
      <c r="F270" s="154"/>
      <c r="G270" s="154"/>
      <c r="H270" s="154"/>
      <c r="I270" s="154"/>
      <c r="J270" s="154"/>
      <c r="K270" s="154"/>
      <c r="L270" s="154"/>
      <c r="M270" s="154">
        <v>1</v>
      </c>
      <c r="N270" s="154"/>
      <c r="O270" s="154"/>
      <c r="P270" s="155"/>
      <c r="Q270" s="145"/>
    </row>
    <row r="271" spans="1:17" s="146" customFormat="1" ht="10.5" x14ac:dyDescent="0.25">
      <c r="A271" s="151"/>
      <c r="B271" s="152"/>
      <c r="C271" s="153"/>
      <c r="D271" s="154"/>
      <c r="E271" s="154"/>
      <c r="F271" s="154"/>
      <c r="G271" s="154"/>
      <c r="H271" s="154"/>
      <c r="I271" s="154"/>
      <c r="J271" s="154"/>
      <c r="K271" s="154"/>
      <c r="L271" s="156"/>
      <c r="M271" s="154"/>
      <c r="N271" s="154"/>
      <c r="O271" s="154"/>
      <c r="P271" s="155"/>
      <c r="Q271" s="145"/>
    </row>
    <row r="272" spans="1:17" s="146" customFormat="1" ht="10.5" x14ac:dyDescent="0.25">
      <c r="A272" s="151"/>
      <c r="B272" s="157" t="s">
        <v>377</v>
      </c>
      <c r="C272" s="158" t="s">
        <v>402</v>
      </c>
      <c r="D272" s="158"/>
      <c r="E272" s="158"/>
      <c r="F272" s="158"/>
      <c r="G272" s="158"/>
      <c r="H272" s="158"/>
      <c r="I272" s="158"/>
      <c r="J272" s="158"/>
      <c r="K272" s="158"/>
      <c r="L272" s="158"/>
      <c r="M272" s="158">
        <f>SUM(M269:M271)</f>
        <v>1</v>
      </c>
      <c r="N272" s="158"/>
      <c r="O272" s="158"/>
      <c r="P272" s="159"/>
      <c r="Q272" s="145"/>
    </row>
    <row r="273" spans="1:17" s="150" customFormat="1" ht="31.5" x14ac:dyDescent="0.25">
      <c r="A273" s="147" t="str">
        <f>ORÇAMENTO!A77</f>
        <v xml:space="preserve"> 3.1.19</v>
      </c>
      <c r="B273" s="148" t="str">
        <f>VLOOKUP(A273,ORÇAMENTO!$A:$F,4,0)</f>
        <v>ESTRUTURA DE MADEIRA PROVISÓRIA PARA SUPORTE DE CAIXA DÁGUA ELEVADA DE 3000 LITROS. AF_03/2024</v>
      </c>
      <c r="C273" s="149" t="str">
        <f>VLOOKUP(A273,ORÇAMENTO!$A:$F,5,0)</f>
        <v>UN</v>
      </c>
      <c r="D273" s="149">
        <f>SUM(E277:O277)</f>
        <v>1</v>
      </c>
      <c r="E273" s="149" t="s">
        <v>2149</v>
      </c>
      <c r="F273" s="149" t="s">
        <v>2150</v>
      </c>
      <c r="G273" s="149" t="s">
        <v>2151</v>
      </c>
      <c r="H273" s="149" t="s">
        <v>2152</v>
      </c>
      <c r="I273" s="149" t="s">
        <v>2153</v>
      </c>
      <c r="J273" s="149" t="s">
        <v>3472</v>
      </c>
      <c r="K273" s="149" t="s">
        <v>3473</v>
      </c>
      <c r="L273" s="149" t="s">
        <v>2156</v>
      </c>
      <c r="M273" s="149" t="s">
        <v>413</v>
      </c>
      <c r="N273" s="149" t="s">
        <v>2157</v>
      </c>
      <c r="O273" s="149" t="s">
        <v>2158</v>
      </c>
      <c r="P273" s="145"/>
      <c r="Q273" s="145"/>
    </row>
    <row r="274" spans="1:17" s="146" customFormat="1" ht="10.5" x14ac:dyDescent="0.25">
      <c r="A274" s="151"/>
      <c r="B274" s="152"/>
      <c r="C274" s="153"/>
      <c r="D274" s="154"/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  <c r="O274" s="154"/>
      <c r="P274" s="155"/>
      <c r="Q274" s="145"/>
    </row>
    <row r="275" spans="1:17" s="146" customFormat="1" ht="21" x14ac:dyDescent="0.25">
      <c r="A275" s="151"/>
      <c r="B275" s="152" t="s">
        <v>2103</v>
      </c>
      <c r="C275" s="153"/>
      <c r="D275" s="154"/>
      <c r="E275" s="154"/>
      <c r="F275" s="154"/>
      <c r="G275" s="154"/>
      <c r="H275" s="154"/>
      <c r="I275" s="154"/>
      <c r="J275" s="154"/>
      <c r="K275" s="154"/>
      <c r="L275" s="154"/>
      <c r="M275" s="154">
        <v>1</v>
      </c>
      <c r="N275" s="154"/>
      <c r="O275" s="154"/>
      <c r="P275" s="155"/>
      <c r="Q275" s="145"/>
    </row>
    <row r="276" spans="1:17" s="146" customFormat="1" ht="10.5" x14ac:dyDescent="0.25">
      <c r="A276" s="151"/>
      <c r="B276" s="152"/>
      <c r="C276" s="153"/>
      <c r="D276" s="154"/>
      <c r="E276" s="154"/>
      <c r="F276" s="154"/>
      <c r="G276" s="154"/>
      <c r="H276" s="154"/>
      <c r="I276" s="154"/>
      <c r="J276" s="154"/>
      <c r="K276" s="154"/>
      <c r="L276" s="156"/>
      <c r="M276" s="154"/>
      <c r="N276" s="154"/>
      <c r="O276" s="154"/>
      <c r="P276" s="155"/>
      <c r="Q276" s="145"/>
    </row>
    <row r="277" spans="1:17" s="146" customFormat="1" ht="10.5" x14ac:dyDescent="0.25">
      <c r="A277" s="151"/>
      <c r="B277" s="157" t="s">
        <v>377</v>
      </c>
      <c r="C277" s="158" t="s">
        <v>402</v>
      </c>
      <c r="D277" s="158"/>
      <c r="E277" s="158"/>
      <c r="F277" s="158"/>
      <c r="G277" s="158"/>
      <c r="H277" s="158"/>
      <c r="I277" s="158"/>
      <c r="J277" s="158"/>
      <c r="K277" s="158"/>
      <c r="L277" s="158"/>
      <c r="M277" s="158">
        <f>SUM(M274:M276)</f>
        <v>1</v>
      </c>
      <c r="N277" s="158"/>
      <c r="O277" s="158"/>
      <c r="P277" s="159"/>
      <c r="Q277" s="145"/>
    </row>
    <row r="278" spans="1:17" s="150" customFormat="1" ht="42" x14ac:dyDescent="0.25">
      <c r="A278" s="147" t="str">
        <f>ORÇAMENTO!A78</f>
        <v xml:space="preserve"> 3.1.20</v>
      </c>
      <c r="B278" s="148" t="str">
        <f>VLOOKUP(A278,ORÇAMENTO!$A:$F,4,0)</f>
        <v>TANQUE SÉPTICO CIRCULAR, EM CONCRETO PRÉ-MOLDADO, DIÂMETRO INTERNO = 1,88 M, ALTURA INTERNA = 2,50 M, VOLUME ÚTIL: 6245,8 L (PARA 32 CONTRIBUINTES). AF_12/2020_PA</v>
      </c>
      <c r="C278" s="149" t="str">
        <f>VLOOKUP(A278,ORÇAMENTO!$A:$F,5,0)</f>
        <v>UN</v>
      </c>
      <c r="D278" s="149">
        <f>SUM(E282:O282)</f>
        <v>1</v>
      </c>
      <c r="E278" s="149" t="s">
        <v>2149</v>
      </c>
      <c r="F278" s="149" t="s">
        <v>2150</v>
      </c>
      <c r="G278" s="149" t="s">
        <v>2151</v>
      </c>
      <c r="H278" s="149" t="s">
        <v>2152</v>
      </c>
      <c r="I278" s="149" t="s">
        <v>2153</v>
      </c>
      <c r="J278" s="149" t="s">
        <v>3472</v>
      </c>
      <c r="K278" s="149" t="s">
        <v>3473</v>
      </c>
      <c r="L278" s="149" t="s">
        <v>2156</v>
      </c>
      <c r="M278" s="149" t="s">
        <v>413</v>
      </c>
      <c r="N278" s="149" t="s">
        <v>2157</v>
      </c>
      <c r="O278" s="149" t="s">
        <v>2158</v>
      </c>
      <c r="P278" s="145"/>
      <c r="Q278" s="145"/>
    </row>
    <row r="279" spans="1:17" s="146" customFormat="1" ht="10.5" x14ac:dyDescent="0.25">
      <c r="A279" s="151"/>
      <c r="B279" s="152"/>
      <c r="C279" s="153"/>
      <c r="D279" s="154"/>
      <c r="E279" s="154"/>
      <c r="F279" s="154"/>
      <c r="G279" s="154"/>
      <c r="H279" s="154"/>
      <c r="I279" s="154"/>
      <c r="J279" s="154"/>
      <c r="K279" s="154"/>
      <c r="L279" s="154"/>
      <c r="M279" s="154"/>
      <c r="N279" s="154"/>
      <c r="O279" s="154"/>
      <c r="P279" s="155"/>
      <c r="Q279" s="145"/>
    </row>
    <row r="280" spans="1:17" s="146" customFormat="1" ht="21" x14ac:dyDescent="0.25">
      <c r="A280" s="151"/>
      <c r="B280" s="152" t="s">
        <v>2103</v>
      </c>
      <c r="C280" s="153"/>
      <c r="D280" s="154"/>
      <c r="E280" s="154"/>
      <c r="F280" s="154"/>
      <c r="G280" s="154"/>
      <c r="H280" s="154"/>
      <c r="I280" s="154"/>
      <c r="J280" s="154"/>
      <c r="K280" s="154"/>
      <c r="L280" s="154"/>
      <c r="M280" s="154">
        <v>1</v>
      </c>
      <c r="N280" s="154"/>
      <c r="O280" s="154"/>
      <c r="P280" s="155"/>
      <c r="Q280" s="145"/>
    </row>
    <row r="281" spans="1:17" s="146" customFormat="1" ht="10.5" x14ac:dyDescent="0.25">
      <c r="A281" s="151"/>
      <c r="B281" s="152"/>
      <c r="C281" s="153"/>
      <c r="D281" s="154"/>
      <c r="E281" s="154"/>
      <c r="F281" s="154"/>
      <c r="G281" s="154"/>
      <c r="H281" s="154"/>
      <c r="I281" s="154"/>
      <c r="J281" s="154"/>
      <c r="K281" s="154"/>
      <c r="L281" s="156"/>
      <c r="M281" s="154"/>
      <c r="N281" s="154"/>
      <c r="O281" s="154"/>
      <c r="P281" s="155"/>
      <c r="Q281" s="145"/>
    </row>
    <row r="282" spans="1:17" s="146" customFormat="1" ht="10.5" x14ac:dyDescent="0.25">
      <c r="A282" s="151"/>
      <c r="B282" s="157" t="s">
        <v>377</v>
      </c>
      <c r="C282" s="158" t="s">
        <v>402</v>
      </c>
      <c r="D282" s="158"/>
      <c r="E282" s="158"/>
      <c r="F282" s="158"/>
      <c r="G282" s="158"/>
      <c r="H282" s="158"/>
      <c r="I282" s="158"/>
      <c r="J282" s="158"/>
      <c r="K282" s="158"/>
      <c r="L282" s="158"/>
      <c r="M282" s="158">
        <f>SUM(M279:M281)</f>
        <v>1</v>
      </c>
      <c r="N282" s="158"/>
      <c r="O282" s="158"/>
      <c r="P282" s="159"/>
      <c r="Q282" s="145"/>
    </row>
    <row r="283" spans="1:17" s="150" customFormat="1" ht="31.5" x14ac:dyDescent="0.25">
      <c r="A283" s="147" t="str">
        <f>ORÇAMENTO!A79</f>
        <v xml:space="preserve"> 3.1.21</v>
      </c>
      <c r="B283" s="148" t="str">
        <f>VLOOKUP(A283,ORÇAMENTO!$A:$F,4,0)</f>
        <v>INSTAL/LIGACAO PROVISORIA ELETRICA BAIXA TENSAO P/CANT OBRA           OBRA,M3-CHAVE 100A CARGA 3KWH,20CV EXCL FORN MEDIDOR</v>
      </c>
      <c r="C283" s="149" t="str">
        <f>VLOOKUP(A283,ORÇAMENTO!$A:$F,5,0)</f>
        <v>UN</v>
      </c>
      <c r="D283" s="149">
        <f>SUM(E287:O287)</f>
        <v>1</v>
      </c>
      <c r="E283" s="149" t="s">
        <v>2149</v>
      </c>
      <c r="F283" s="149" t="s">
        <v>2150</v>
      </c>
      <c r="G283" s="149" t="s">
        <v>2151</v>
      </c>
      <c r="H283" s="149" t="s">
        <v>2152</v>
      </c>
      <c r="I283" s="149" t="s">
        <v>2153</v>
      </c>
      <c r="J283" s="149" t="s">
        <v>3472</v>
      </c>
      <c r="K283" s="149" t="s">
        <v>3473</v>
      </c>
      <c r="L283" s="149" t="s">
        <v>2156</v>
      </c>
      <c r="M283" s="149" t="s">
        <v>413</v>
      </c>
      <c r="N283" s="149" t="s">
        <v>2157</v>
      </c>
      <c r="O283" s="149" t="s">
        <v>2158</v>
      </c>
      <c r="P283" s="145"/>
      <c r="Q283" s="145"/>
    </row>
    <row r="284" spans="1:17" s="146" customFormat="1" ht="10.5" x14ac:dyDescent="0.25">
      <c r="A284" s="151"/>
      <c r="B284" s="152"/>
      <c r="C284" s="153"/>
      <c r="D284" s="154"/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  <c r="O284" s="154"/>
      <c r="P284" s="155"/>
      <c r="Q284" s="145"/>
    </row>
    <row r="285" spans="1:17" s="146" customFormat="1" ht="21" x14ac:dyDescent="0.25">
      <c r="A285" s="151"/>
      <c r="B285" s="152" t="s">
        <v>2095</v>
      </c>
      <c r="C285" s="153"/>
      <c r="D285" s="154"/>
      <c r="E285" s="154"/>
      <c r="F285" s="154"/>
      <c r="G285" s="154"/>
      <c r="H285" s="154"/>
      <c r="I285" s="154"/>
      <c r="J285" s="154"/>
      <c r="K285" s="154"/>
      <c r="L285" s="154"/>
      <c r="M285" s="154">
        <v>1</v>
      </c>
      <c r="N285" s="154"/>
      <c r="O285" s="154"/>
      <c r="P285" s="155"/>
      <c r="Q285" s="145"/>
    </row>
    <row r="286" spans="1:17" s="146" customFormat="1" ht="10.5" x14ac:dyDescent="0.25">
      <c r="A286" s="151"/>
      <c r="B286" s="152"/>
      <c r="C286" s="153"/>
      <c r="D286" s="154"/>
      <c r="E286" s="154"/>
      <c r="F286" s="154"/>
      <c r="G286" s="154"/>
      <c r="H286" s="154"/>
      <c r="I286" s="154"/>
      <c r="J286" s="154"/>
      <c r="K286" s="154"/>
      <c r="L286" s="156"/>
      <c r="M286" s="154"/>
      <c r="N286" s="154"/>
      <c r="O286" s="154"/>
      <c r="P286" s="155"/>
      <c r="Q286" s="145"/>
    </row>
    <row r="287" spans="1:17" s="146" customFormat="1" ht="10.5" x14ac:dyDescent="0.25">
      <c r="A287" s="151"/>
      <c r="B287" s="157" t="s">
        <v>377</v>
      </c>
      <c r="C287" s="158" t="s">
        <v>402</v>
      </c>
      <c r="D287" s="158"/>
      <c r="E287" s="158"/>
      <c r="F287" s="158"/>
      <c r="G287" s="158"/>
      <c r="H287" s="158"/>
      <c r="I287" s="158"/>
      <c r="J287" s="158"/>
      <c r="K287" s="158"/>
      <c r="L287" s="158"/>
      <c r="M287" s="158">
        <f>SUM(M284:M286)</f>
        <v>1</v>
      </c>
      <c r="N287" s="158"/>
      <c r="O287" s="158"/>
      <c r="P287" s="159"/>
      <c r="Q287" s="145"/>
    </row>
    <row r="288" spans="1:17" s="150" customFormat="1" ht="31.5" x14ac:dyDescent="0.25">
      <c r="A288" s="147" t="str">
        <f>ORÇAMENTO!A80</f>
        <v xml:space="preserve"> 3.1.22</v>
      </c>
      <c r="B288" s="148" t="str">
        <f>VLOOKUP(A288,ORÇAMENTO!$A:$F,4,0)</f>
        <v>LIGAÇÃO PROVISORIA PARA ÁGUA EM OBRA, INCLUSIVE PEQUENAS OBRAS, INSTALAÇÃO SANITÁRIA, (INSTALAÇÃO MÍNIMA)</v>
      </c>
      <c r="C288" s="149" t="str">
        <f>VLOOKUP(A288,ORÇAMENTO!$A:$F,5,0)</f>
        <v>UN</v>
      </c>
      <c r="D288" s="149">
        <f>SUM(E292:O292)</f>
        <v>1</v>
      </c>
      <c r="E288" s="149" t="s">
        <v>2149</v>
      </c>
      <c r="F288" s="149" t="s">
        <v>2150</v>
      </c>
      <c r="G288" s="149" t="s">
        <v>2151</v>
      </c>
      <c r="H288" s="149" t="s">
        <v>2152</v>
      </c>
      <c r="I288" s="149" t="s">
        <v>2153</v>
      </c>
      <c r="J288" s="149" t="s">
        <v>3472</v>
      </c>
      <c r="K288" s="149" t="s">
        <v>3473</v>
      </c>
      <c r="L288" s="149" t="s">
        <v>2156</v>
      </c>
      <c r="M288" s="149" t="s">
        <v>413</v>
      </c>
      <c r="N288" s="149" t="s">
        <v>2157</v>
      </c>
      <c r="O288" s="149" t="s">
        <v>2158</v>
      </c>
      <c r="P288" s="145"/>
      <c r="Q288" s="145"/>
    </row>
    <row r="289" spans="1:17" s="146" customFormat="1" ht="10.5" x14ac:dyDescent="0.25">
      <c r="A289" s="151"/>
      <c r="B289" s="152"/>
      <c r="C289" s="153"/>
      <c r="D289" s="154"/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  <c r="O289" s="154"/>
      <c r="P289" s="155"/>
      <c r="Q289" s="145"/>
    </row>
    <row r="290" spans="1:17" s="146" customFormat="1" ht="21" x14ac:dyDescent="0.25">
      <c r="A290" s="151"/>
      <c r="B290" s="152" t="s">
        <v>2095</v>
      </c>
      <c r="C290" s="153"/>
      <c r="D290" s="154"/>
      <c r="E290" s="154"/>
      <c r="F290" s="154"/>
      <c r="G290" s="154"/>
      <c r="H290" s="154"/>
      <c r="I290" s="154"/>
      <c r="J290" s="154"/>
      <c r="K290" s="154"/>
      <c r="L290" s="154"/>
      <c r="M290" s="154">
        <v>1</v>
      </c>
      <c r="N290" s="154"/>
      <c r="O290" s="154"/>
      <c r="P290" s="155"/>
      <c r="Q290" s="145"/>
    </row>
    <row r="291" spans="1:17" s="146" customFormat="1" ht="10.5" x14ac:dyDescent="0.25">
      <c r="A291" s="151"/>
      <c r="B291" s="152"/>
      <c r="C291" s="153"/>
      <c r="D291" s="154"/>
      <c r="E291" s="154"/>
      <c r="F291" s="154"/>
      <c r="G291" s="154"/>
      <c r="H291" s="154"/>
      <c r="I291" s="154"/>
      <c r="J291" s="154"/>
      <c r="K291" s="154"/>
      <c r="L291" s="156"/>
      <c r="M291" s="154"/>
      <c r="N291" s="154"/>
      <c r="O291" s="154"/>
      <c r="P291" s="155"/>
      <c r="Q291" s="145"/>
    </row>
    <row r="292" spans="1:17" s="146" customFormat="1" ht="10.5" x14ac:dyDescent="0.25">
      <c r="A292" s="151"/>
      <c r="B292" s="157" t="s">
        <v>377</v>
      </c>
      <c r="C292" s="158" t="s">
        <v>402</v>
      </c>
      <c r="D292" s="158"/>
      <c r="E292" s="158"/>
      <c r="F292" s="158"/>
      <c r="G292" s="158"/>
      <c r="H292" s="158"/>
      <c r="I292" s="158"/>
      <c r="J292" s="158"/>
      <c r="K292" s="158"/>
      <c r="L292" s="158"/>
      <c r="M292" s="158">
        <f>SUM(M289:M291)</f>
        <v>1</v>
      </c>
      <c r="N292" s="158"/>
      <c r="O292" s="158"/>
      <c r="P292" s="159"/>
      <c r="Q292" s="145"/>
    </row>
    <row r="293" spans="1:17" s="150" customFormat="1" ht="21" x14ac:dyDescent="0.25">
      <c r="A293" s="147" t="str">
        <f>ORÇAMENTO!A81</f>
        <v xml:space="preserve"> 3.1.23</v>
      </c>
      <c r="B293" s="148" t="str">
        <f>VLOOKUP(A293,ORÇAMENTO!$A:$F,4,0)</f>
        <v>LASTRO DE BRITA COMERCIAL COMPACTADO COM SOQUETE VIBRATÓRIO - ESPALHAMENTO MANUAL</v>
      </c>
      <c r="C293" s="149" t="str">
        <f>VLOOKUP(A293,ORÇAMENTO!$A:$F,5,0)</f>
        <v>M³</v>
      </c>
      <c r="D293" s="149">
        <f>SUM(E297:O297)</f>
        <v>40</v>
      </c>
      <c r="E293" s="149" t="s">
        <v>2149</v>
      </c>
      <c r="F293" s="149" t="s">
        <v>2150</v>
      </c>
      <c r="G293" s="149" t="s">
        <v>2151</v>
      </c>
      <c r="H293" s="149" t="s">
        <v>2152</v>
      </c>
      <c r="I293" s="149" t="s">
        <v>2153</v>
      </c>
      <c r="J293" s="149" t="s">
        <v>3472</v>
      </c>
      <c r="K293" s="149" t="s">
        <v>3473</v>
      </c>
      <c r="L293" s="149" t="s">
        <v>2156</v>
      </c>
      <c r="M293" s="149" t="s">
        <v>413</v>
      </c>
      <c r="N293" s="149" t="s">
        <v>2157</v>
      </c>
      <c r="O293" s="149" t="s">
        <v>2158</v>
      </c>
      <c r="P293" s="145"/>
      <c r="Q293" s="145"/>
    </row>
    <row r="294" spans="1:17" s="146" customFormat="1" ht="10.5" x14ac:dyDescent="0.25">
      <c r="A294" s="151"/>
      <c r="B294" s="152"/>
      <c r="C294" s="153"/>
      <c r="D294" s="154"/>
      <c r="E294" s="154"/>
      <c r="F294" s="154"/>
      <c r="G294" s="154"/>
      <c r="H294" s="154"/>
      <c r="I294" s="154"/>
      <c r="J294" s="154"/>
      <c r="K294" s="154"/>
      <c r="L294" s="154"/>
      <c r="M294" s="154"/>
      <c r="N294" s="154"/>
      <c r="O294" s="154"/>
      <c r="P294" s="155"/>
      <c r="Q294" s="145"/>
    </row>
    <row r="295" spans="1:17" s="146" customFormat="1" ht="21" x14ac:dyDescent="0.25">
      <c r="A295" s="151"/>
      <c r="B295" s="152" t="s">
        <v>2104</v>
      </c>
      <c r="C295" s="153"/>
      <c r="D295" s="154"/>
      <c r="E295" s="154"/>
      <c r="F295" s="154"/>
      <c r="G295" s="154"/>
      <c r="H295" s="154">
        <v>0.05</v>
      </c>
      <c r="I295" s="154"/>
      <c r="J295" s="154"/>
      <c r="K295" s="154"/>
      <c r="L295" s="154"/>
      <c r="M295" s="154"/>
      <c r="N295" s="154">
        <f>N186</f>
        <v>800</v>
      </c>
      <c r="O295" s="154">
        <f>N295*H295</f>
        <v>40</v>
      </c>
      <c r="P295" s="155"/>
      <c r="Q295" s="145"/>
    </row>
    <row r="296" spans="1:17" s="146" customFormat="1" ht="10.5" x14ac:dyDescent="0.25">
      <c r="A296" s="151"/>
      <c r="B296" s="152"/>
      <c r="C296" s="153"/>
      <c r="D296" s="154"/>
      <c r="E296" s="154"/>
      <c r="F296" s="154"/>
      <c r="G296" s="154"/>
      <c r="H296" s="154"/>
      <c r="I296" s="154"/>
      <c r="J296" s="154"/>
      <c r="K296" s="154"/>
      <c r="L296" s="156"/>
      <c r="M296" s="154"/>
      <c r="N296" s="154"/>
      <c r="O296" s="154"/>
      <c r="P296" s="155"/>
      <c r="Q296" s="145"/>
    </row>
    <row r="297" spans="1:17" s="146" customFormat="1" ht="10.5" x14ac:dyDescent="0.25">
      <c r="A297" s="151"/>
      <c r="B297" s="157" t="s">
        <v>377</v>
      </c>
      <c r="C297" s="158" t="s">
        <v>402</v>
      </c>
      <c r="D297" s="158"/>
      <c r="E297" s="158"/>
      <c r="F297" s="158"/>
      <c r="G297" s="158"/>
      <c r="H297" s="158"/>
      <c r="I297" s="158"/>
      <c r="J297" s="158"/>
      <c r="K297" s="158"/>
      <c r="L297" s="158"/>
      <c r="M297" s="158"/>
      <c r="N297" s="158"/>
      <c r="O297" s="158">
        <f>SUM(O294:O296)</f>
        <v>40</v>
      </c>
      <c r="P297" s="159"/>
      <c r="Q297" s="145"/>
    </row>
    <row r="298" spans="1:17" s="150" customFormat="1" ht="42" x14ac:dyDescent="0.25">
      <c r="A298" s="147" t="str">
        <f>ORÇAMENTO!A82</f>
        <v xml:space="preserve"> 3.1.24</v>
      </c>
      <c r="B298" s="148" t="str">
        <f>VLOOKUP(A298,ORÇAMENTO!$A:$F,4,0)</f>
        <v>CONCRETO MAGRO PARA LASTRO, TRAÇO 1:4,5:4,5 (EM MASSA SECA DE CIMENTO/ AREIA MÉDIA/ BRITA 1) - PREPARO MECÂNICO COM BETONEIRA 600 L. AF_05/2021</v>
      </c>
      <c r="C298" s="149" t="str">
        <f>VLOOKUP(A298,ORÇAMENTO!$A:$F,5,0)</f>
        <v>M³</v>
      </c>
      <c r="D298" s="149">
        <f>SUM(E302:O302)</f>
        <v>6.9300000000000006</v>
      </c>
      <c r="E298" s="149" t="s">
        <v>2149</v>
      </c>
      <c r="F298" s="149" t="s">
        <v>2150</v>
      </c>
      <c r="G298" s="149" t="s">
        <v>2151</v>
      </c>
      <c r="H298" s="149" t="s">
        <v>2152</v>
      </c>
      <c r="I298" s="149" t="s">
        <v>2153</v>
      </c>
      <c r="J298" s="149" t="s">
        <v>3472</v>
      </c>
      <c r="K298" s="149" t="s">
        <v>3473</v>
      </c>
      <c r="L298" s="149" t="s">
        <v>2156</v>
      </c>
      <c r="M298" s="149" t="s">
        <v>413</v>
      </c>
      <c r="N298" s="149" t="s">
        <v>2157</v>
      </c>
      <c r="O298" s="149" t="s">
        <v>2158</v>
      </c>
      <c r="P298" s="145"/>
      <c r="Q298" s="145"/>
    </row>
    <row r="299" spans="1:17" s="146" customFormat="1" ht="10.5" x14ac:dyDescent="0.25">
      <c r="A299" s="151"/>
      <c r="B299" s="152"/>
      <c r="C299" s="153"/>
      <c r="D299" s="154"/>
      <c r="E299" s="154"/>
      <c r="F299" s="154"/>
      <c r="G299" s="154"/>
      <c r="H299" s="154"/>
      <c r="I299" s="154"/>
      <c r="J299" s="154"/>
      <c r="K299" s="154"/>
      <c r="L299" s="154"/>
      <c r="M299" s="154"/>
      <c r="N299" s="154"/>
      <c r="O299" s="154"/>
      <c r="P299" s="155"/>
      <c r="Q299" s="145"/>
    </row>
    <row r="300" spans="1:17" s="146" customFormat="1" ht="10.5" x14ac:dyDescent="0.25">
      <c r="A300" s="151"/>
      <c r="B300" s="152" t="s">
        <v>2105</v>
      </c>
      <c r="C300" s="153"/>
      <c r="D300" s="154"/>
      <c r="E300" s="154">
        <f>6+1</f>
        <v>7</v>
      </c>
      <c r="F300" s="154">
        <f>2.3+1</f>
        <v>3.3</v>
      </c>
      <c r="G300" s="154"/>
      <c r="H300" s="154">
        <v>0.05</v>
      </c>
      <c r="I300" s="154"/>
      <c r="J300" s="154"/>
      <c r="K300" s="154"/>
      <c r="L300" s="154"/>
      <c r="M300" s="154">
        <f>M240+M235+M230</f>
        <v>6</v>
      </c>
      <c r="N300" s="154"/>
      <c r="O300" s="154">
        <f>M300*H300*F300*E300</f>
        <v>6.9300000000000006</v>
      </c>
      <c r="P300" s="155"/>
      <c r="Q300" s="145"/>
    </row>
    <row r="301" spans="1:17" s="146" customFormat="1" ht="10.5" x14ac:dyDescent="0.25">
      <c r="A301" s="151"/>
      <c r="B301" s="152"/>
      <c r="C301" s="153"/>
      <c r="D301" s="154"/>
      <c r="E301" s="154"/>
      <c r="F301" s="154"/>
      <c r="G301" s="154"/>
      <c r="H301" s="154"/>
      <c r="I301" s="154"/>
      <c r="J301" s="154"/>
      <c r="K301" s="154"/>
      <c r="L301" s="154"/>
      <c r="M301" s="154"/>
      <c r="N301" s="154"/>
      <c r="O301" s="154"/>
      <c r="P301" s="155"/>
      <c r="Q301" s="145"/>
    </row>
    <row r="302" spans="1:17" s="146" customFormat="1" ht="10.5" x14ac:dyDescent="0.25">
      <c r="A302" s="151"/>
      <c r="B302" s="157" t="s">
        <v>377</v>
      </c>
      <c r="C302" s="158" t="s">
        <v>402</v>
      </c>
      <c r="D302" s="158"/>
      <c r="E302" s="158"/>
      <c r="F302" s="158"/>
      <c r="G302" s="158"/>
      <c r="H302" s="158"/>
      <c r="I302" s="158"/>
      <c r="J302" s="158"/>
      <c r="K302" s="158"/>
      <c r="L302" s="158"/>
      <c r="M302" s="158"/>
      <c r="N302" s="158"/>
      <c r="O302" s="158">
        <f>SUM(O299:O301)</f>
        <v>6.9300000000000006</v>
      </c>
      <c r="P302" s="159"/>
      <c r="Q302" s="145"/>
    </row>
    <row r="303" spans="1:17" s="150" customFormat="1" ht="42" x14ac:dyDescent="0.25">
      <c r="A303" s="147" t="str">
        <f>ORÇAMENTO!A83</f>
        <v xml:space="preserve"> 3.1.25</v>
      </c>
      <c r="B303" s="148" t="str">
        <f>VLOOKUP(A303,ORÇAMENTO!$A:$F,4,0)</f>
        <v>CONCRETO FCK = 25MPA, TRAÇO 1:2,3:2,7 (EM MASSA SECA DE CIMENTO/ AREIA MÉDIA/ BRITA 1) - PREPARO MECÂNICO COM BETONEIRA 600 L. AF_05/2021</v>
      </c>
      <c r="C303" s="149" t="str">
        <f>VLOOKUP(A303,ORÇAMENTO!$A:$F,5,0)</f>
        <v>M³</v>
      </c>
      <c r="D303" s="149">
        <f>SUM(E307:O307)</f>
        <v>13.860000000000001</v>
      </c>
      <c r="E303" s="149" t="s">
        <v>2149</v>
      </c>
      <c r="F303" s="149" t="s">
        <v>2150</v>
      </c>
      <c r="G303" s="149" t="s">
        <v>2151</v>
      </c>
      <c r="H303" s="149" t="s">
        <v>2152</v>
      </c>
      <c r="I303" s="149" t="s">
        <v>2153</v>
      </c>
      <c r="J303" s="149" t="s">
        <v>3472</v>
      </c>
      <c r="K303" s="149" t="s">
        <v>3473</v>
      </c>
      <c r="L303" s="149" t="s">
        <v>2156</v>
      </c>
      <c r="M303" s="149" t="s">
        <v>413</v>
      </c>
      <c r="N303" s="149" t="s">
        <v>2157</v>
      </c>
      <c r="O303" s="149" t="s">
        <v>2158</v>
      </c>
      <c r="P303" s="145"/>
      <c r="Q303" s="145"/>
    </row>
    <row r="304" spans="1:17" s="146" customFormat="1" ht="10.5" x14ac:dyDescent="0.25">
      <c r="A304" s="151"/>
      <c r="B304" s="152"/>
      <c r="C304" s="153"/>
      <c r="D304" s="154"/>
      <c r="E304" s="154"/>
      <c r="F304" s="154"/>
      <c r="G304" s="154"/>
      <c r="H304" s="154"/>
      <c r="I304" s="154"/>
      <c r="J304" s="154"/>
      <c r="K304" s="154"/>
      <c r="L304" s="154"/>
      <c r="M304" s="154"/>
      <c r="N304" s="154"/>
      <c r="O304" s="154"/>
      <c r="P304" s="155"/>
      <c r="Q304" s="145"/>
    </row>
    <row r="305" spans="1:17" s="146" customFormat="1" ht="10.5" x14ac:dyDescent="0.25">
      <c r="A305" s="151"/>
      <c r="B305" s="152" t="s">
        <v>2105</v>
      </c>
      <c r="C305" s="153"/>
      <c r="D305" s="154"/>
      <c r="E305" s="154">
        <f>E300</f>
        <v>7</v>
      </c>
      <c r="F305" s="154">
        <f>F300</f>
        <v>3.3</v>
      </c>
      <c r="G305" s="154"/>
      <c r="H305" s="154">
        <v>0.1</v>
      </c>
      <c r="I305" s="154"/>
      <c r="J305" s="154"/>
      <c r="K305" s="154"/>
      <c r="L305" s="154"/>
      <c r="M305" s="154">
        <f>M300</f>
        <v>6</v>
      </c>
      <c r="N305" s="154"/>
      <c r="O305" s="154">
        <f>M305*H305*F305*E305</f>
        <v>13.860000000000001</v>
      </c>
      <c r="P305" s="155"/>
      <c r="Q305" s="145"/>
    </row>
    <row r="306" spans="1:17" s="146" customFormat="1" ht="10.5" x14ac:dyDescent="0.25">
      <c r="A306" s="151"/>
      <c r="B306" s="152"/>
      <c r="C306" s="153"/>
      <c r="D306" s="154"/>
      <c r="E306" s="154"/>
      <c r="F306" s="154"/>
      <c r="G306" s="154"/>
      <c r="H306" s="154"/>
      <c r="I306" s="154"/>
      <c r="J306" s="154"/>
      <c r="K306" s="154"/>
      <c r="L306" s="154"/>
      <c r="M306" s="154"/>
      <c r="N306" s="154"/>
      <c r="O306" s="154"/>
      <c r="P306" s="155"/>
      <c r="Q306" s="145"/>
    </row>
    <row r="307" spans="1:17" s="146" customFormat="1" ht="10.5" x14ac:dyDescent="0.25">
      <c r="A307" s="151"/>
      <c r="B307" s="157" t="s">
        <v>377</v>
      </c>
      <c r="C307" s="158" t="s">
        <v>402</v>
      </c>
      <c r="D307" s="158"/>
      <c r="E307" s="158"/>
      <c r="F307" s="158"/>
      <c r="G307" s="158"/>
      <c r="H307" s="158"/>
      <c r="I307" s="158"/>
      <c r="J307" s="158"/>
      <c r="K307" s="158"/>
      <c r="L307" s="158"/>
      <c r="M307" s="158"/>
      <c r="N307" s="158"/>
      <c r="O307" s="158">
        <f>SUM(O304:O306)</f>
        <v>13.860000000000001</v>
      </c>
      <c r="P307" s="159"/>
      <c r="Q307" s="145"/>
    </row>
    <row r="308" spans="1:17" s="150" customFormat="1" ht="31.5" x14ac:dyDescent="0.25">
      <c r="A308" s="147" t="str">
        <f>ORÇAMENTO!A84</f>
        <v xml:space="preserve"> 3.1.26</v>
      </c>
      <c r="B308" s="148" t="str">
        <f>VLOOKUP(A308,ORÇAMENTO!$A:$F,4,0)</f>
        <v>FÔRMAS DE COMPENSADO RESINADO 10 MM - USO GERAL - UTILIZAÇÃO DE 3 VEZES - CONFECÇÃO, INSTALAÇÃO E RETIRADA</v>
      </c>
      <c r="C308" s="149" t="str">
        <f>VLOOKUP(A308,ORÇAMENTO!$A:$F,5,0)</f>
        <v>M²</v>
      </c>
      <c r="D308" s="149">
        <f>SUM(E312:O312)</f>
        <v>12.360000000000001</v>
      </c>
      <c r="E308" s="149" t="s">
        <v>2149</v>
      </c>
      <c r="F308" s="149" t="s">
        <v>2150</v>
      </c>
      <c r="G308" s="149" t="s">
        <v>2151</v>
      </c>
      <c r="H308" s="149" t="s">
        <v>2152</v>
      </c>
      <c r="I308" s="149" t="s">
        <v>2153</v>
      </c>
      <c r="J308" s="149" t="s">
        <v>3472</v>
      </c>
      <c r="K308" s="149" t="s">
        <v>3473</v>
      </c>
      <c r="L308" s="149" t="s">
        <v>2156</v>
      </c>
      <c r="M308" s="149" t="s">
        <v>413</v>
      </c>
      <c r="N308" s="149" t="s">
        <v>2157</v>
      </c>
      <c r="O308" s="149" t="s">
        <v>2158</v>
      </c>
      <c r="P308" s="145"/>
      <c r="Q308" s="145"/>
    </row>
    <row r="309" spans="1:17" s="146" customFormat="1" ht="10.5" x14ac:dyDescent="0.25">
      <c r="A309" s="151"/>
      <c r="B309" s="152"/>
      <c r="C309" s="153"/>
      <c r="D309" s="154"/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  <c r="O309" s="154"/>
      <c r="P309" s="155"/>
      <c r="Q309" s="145"/>
    </row>
    <row r="310" spans="1:17" s="146" customFormat="1" ht="10.5" x14ac:dyDescent="0.25">
      <c r="A310" s="151"/>
      <c r="B310" s="152" t="s">
        <v>2105</v>
      </c>
      <c r="C310" s="153"/>
      <c r="D310" s="154"/>
      <c r="E310" s="154">
        <f>E305</f>
        <v>7</v>
      </c>
      <c r="F310" s="154">
        <f>F305</f>
        <v>3.3</v>
      </c>
      <c r="G310" s="154"/>
      <c r="H310" s="154">
        <v>0.1</v>
      </c>
      <c r="I310" s="154">
        <f>2*(E310+F310)</f>
        <v>20.6</v>
      </c>
      <c r="J310" s="154"/>
      <c r="K310" s="154"/>
      <c r="L310" s="154"/>
      <c r="M310" s="154">
        <f>M305</f>
        <v>6</v>
      </c>
      <c r="N310" s="154">
        <f>M310*I310*H310</f>
        <v>12.360000000000001</v>
      </c>
      <c r="O310" s="154"/>
      <c r="P310" s="155"/>
      <c r="Q310" s="145"/>
    </row>
    <row r="311" spans="1:17" s="146" customFormat="1" ht="10.5" x14ac:dyDescent="0.25">
      <c r="A311" s="151"/>
      <c r="B311" s="152"/>
      <c r="C311" s="153"/>
      <c r="D311" s="154"/>
      <c r="E311" s="154"/>
      <c r="F311" s="154"/>
      <c r="G311" s="154"/>
      <c r="H311" s="154"/>
      <c r="I311" s="154"/>
      <c r="J311" s="154"/>
      <c r="K311" s="154"/>
      <c r="L311" s="154"/>
      <c r="M311" s="154"/>
      <c r="N311" s="154"/>
      <c r="O311" s="154"/>
      <c r="P311" s="155"/>
      <c r="Q311" s="145"/>
    </row>
    <row r="312" spans="1:17" s="146" customFormat="1" ht="10.5" x14ac:dyDescent="0.25">
      <c r="A312" s="151"/>
      <c r="B312" s="157" t="s">
        <v>377</v>
      </c>
      <c r="C312" s="158" t="s">
        <v>402</v>
      </c>
      <c r="D312" s="158"/>
      <c r="E312" s="158"/>
      <c r="F312" s="158"/>
      <c r="G312" s="158"/>
      <c r="H312" s="158"/>
      <c r="I312" s="158"/>
      <c r="J312" s="158"/>
      <c r="K312" s="158"/>
      <c r="L312" s="158"/>
      <c r="M312" s="158"/>
      <c r="N312" s="158">
        <f>SUM(N309:N311)</f>
        <v>12.360000000000001</v>
      </c>
      <c r="O312" s="158"/>
      <c r="P312" s="159"/>
      <c r="Q312" s="145"/>
    </row>
    <row r="313" spans="1:17" s="150" customFormat="1" ht="31.5" x14ac:dyDescent="0.25">
      <c r="A313" s="147" t="str">
        <f>ORÇAMENTO!A85</f>
        <v xml:space="preserve"> 3.1.27</v>
      </c>
      <c r="B313" s="148" t="str">
        <f>VLOOKUP(A313,ORÇAMENTO!$A:$F,4,0)</f>
        <v>LANÇAMENTO COM USO DE BALDES, ADENSAMENTO E ACABAMENTO DE CONCRETO EM ESTRUTURAS. AF_02/2022</v>
      </c>
      <c r="C313" s="149" t="str">
        <f>VLOOKUP(A313,ORÇAMENTO!$A:$F,5,0)</f>
        <v>M³</v>
      </c>
      <c r="D313" s="149">
        <f>SUM(E317:O317)</f>
        <v>20.790000000000003</v>
      </c>
      <c r="E313" s="149" t="s">
        <v>2149</v>
      </c>
      <c r="F313" s="149" t="s">
        <v>2150</v>
      </c>
      <c r="G313" s="149" t="s">
        <v>2151</v>
      </c>
      <c r="H313" s="149" t="s">
        <v>2152</v>
      </c>
      <c r="I313" s="149" t="s">
        <v>2153</v>
      </c>
      <c r="J313" s="149" t="s">
        <v>3472</v>
      </c>
      <c r="K313" s="149" t="s">
        <v>3473</v>
      </c>
      <c r="L313" s="149" t="s">
        <v>2156</v>
      </c>
      <c r="M313" s="149" t="s">
        <v>413</v>
      </c>
      <c r="N313" s="149" t="s">
        <v>2157</v>
      </c>
      <c r="O313" s="149" t="s">
        <v>2158</v>
      </c>
      <c r="P313" s="145"/>
      <c r="Q313" s="145"/>
    </row>
    <row r="314" spans="1:17" s="146" customFormat="1" ht="10.5" x14ac:dyDescent="0.25">
      <c r="A314" s="151"/>
      <c r="B314" s="152"/>
      <c r="C314" s="153"/>
      <c r="D314" s="154"/>
      <c r="E314" s="154"/>
      <c r="F314" s="154"/>
      <c r="G314" s="154"/>
      <c r="H314" s="154"/>
      <c r="I314" s="154"/>
      <c r="J314" s="154"/>
      <c r="K314" s="154"/>
      <c r="L314" s="154"/>
      <c r="M314" s="154"/>
      <c r="N314" s="154"/>
      <c r="O314" s="154"/>
      <c r="P314" s="155"/>
      <c r="Q314" s="145"/>
    </row>
    <row r="315" spans="1:17" s="146" customFormat="1" ht="42" x14ac:dyDescent="0.25">
      <c r="A315" s="151"/>
      <c r="B315" s="152" t="str">
        <f>B298</f>
        <v>CONCRETO MAGRO PARA LASTRO, TRAÇO 1:4,5:4,5 (EM MASSA SECA DE CIMENTO/ AREIA MÉDIA/ BRITA 1) - PREPARO MECÂNICO COM BETONEIRA 600 L. AF_05/2021</v>
      </c>
      <c r="C315" s="153"/>
      <c r="D315" s="154"/>
      <c r="E315" s="154"/>
      <c r="F315" s="154"/>
      <c r="G315" s="154"/>
      <c r="H315" s="154"/>
      <c r="I315" s="154"/>
      <c r="J315" s="154"/>
      <c r="K315" s="154"/>
      <c r="L315" s="154"/>
      <c r="M315" s="154"/>
      <c r="N315" s="154"/>
      <c r="O315" s="154">
        <f>O302</f>
        <v>6.9300000000000006</v>
      </c>
      <c r="P315" s="155"/>
      <c r="Q315" s="145"/>
    </row>
    <row r="316" spans="1:17" s="146" customFormat="1" ht="42" x14ac:dyDescent="0.25">
      <c r="A316" s="151"/>
      <c r="B316" s="152" t="str">
        <f>B303</f>
        <v>CONCRETO FCK = 25MPA, TRAÇO 1:2,3:2,7 (EM MASSA SECA DE CIMENTO/ AREIA MÉDIA/ BRITA 1) - PREPARO MECÂNICO COM BETONEIRA 600 L. AF_05/2021</v>
      </c>
      <c r="C316" s="153"/>
      <c r="D316" s="154"/>
      <c r="E316" s="154"/>
      <c r="F316" s="154"/>
      <c r="G316" s="154"/>
      <c r="H316" s="154"/>
      <c r="I316" s="154"/>
      <c r="J316" s="154"/>
      <c r="K316" s="154"/>
      <c r="L316" s="154"/>
      <c r="M316" s="154"/>
      <c r="N316" s="154"/>
      <c r="O316" s="154">
        <f>O307</f>
        <v>13.860000000000001</v>
      </c>
      <c r="P316" s="155"/>
      <c r="Q316" s="145"/>
    </row>
    <row r="317" spans="1:17" s="146" customFormat="1" ht="10.5" x14ac:dyDescent="0.25">
      <c r="A317" s="151"/>
      <c r="B317" s="157" t="s">
        <v>377</v>
      </c>
      <c r="C317" s="158" t="s">
        <v>402</v>
      </c>
      <c r="D317" s="158"/>
      <c r="E317" s="158"/>
      <c r="F317" s="158"/>
      <c r="G317" s="158"/>
      <c r="H317" s="158"/>
      <c r="I317" s="158"/>
      <c r="J317" s="158"/>
      <c r="K317" s="158"/>
      <c r="L317" s="158"/>
      <c r="M317" s="158"/>
      <c r="N317" s="158"/>
      <c r="O317" s="158">
        <f>SUM(O314:O316)</f>
        <v>20.790000000000003</v>
      </c>
      <c r="P317" s="159"/>
      <c r="Q317" s="145"/>
    </row>
    <row r="318" spans="1:17" s="146" customFormat="1" ht="10.5" x14ac:dyDescent="0.25">
      <c r="A318" s="141">
        <f>ORÇAMENTO!A86</f>
        <v>4</v>
      </c>
      <c r="B318" s="142" t="str">
        <f>VLOOKUP(A318,ORÇAMENTO!$A:$F,4,0)</f>
        <v>REDE DE DRENAGEM ÁREA 5 - 0,75 KM</v>
      </c>
      <c r="C318" s="143"/>
      <c r="D318" s="143"/>
      <c r="E318" s="144"/>
      <c r="F318" s="144"/>
      <c r="G318" s="144"/>
      <c r="H318" s="144"/>
      <c r="I318" s="144"/>
      <c r="J318" s="144"/>
      <c r="K318" s="144"/>
      <c r="L318" s="144"/>
      <c r="M318" s="144"/>
      <c r="N318" s="144"/>
      <c r="O318" s="144"/>
      <c r="P318" s="145"/>
      <c r="Q318" s="145"/>
    </row>
    <row r="319" spans="1:17" s="146" customFormat="1" ht="10.5" x14ac:dyDescent="0.25">
      <c r="A319" s="141" t="str">
        <f>ORÇAMENTO!A87</f>
        <v>4.1</v>
      </c>
      <c r="B319" s="142" t="str">
        <f>VLOOKUP(A319,ORÇAMENTO!$A:$F,4,0)</f>
        <v>OBRAS DE DRENAGEM DE ÁGUAS PLUVIAIS</v>
      </c>
      <c r="C319" s="143"/>
      <c r="D319" s="143"/>
      <c r="E319" s="144"/>
      <c r="F319" s="144"/>
      <c r="G319" s="144"/>
      <c r="H319" s="144"/>
      <c r="I319" s="144"/>
      <c r="J319" s="144"/>
      <c r="K319" s="144"/>
      <c r="L319" s="144"/>
      <c r="M319" s="144"/>
      <c r="N319" s="144"/>
      <c r="O319" s="144"/>
      <c r="P319" s="145"/>
      <c r="Q319" s="145"/>
    </row>
    <row r="320" spans="1:17" s="146" customFormat="1" ht="10.5" x14ac:dyDescent="0.25">
      <c r="A320" s="141" t="str">
        <f>ORÇAMENTO!A88</f>
        <v>4.1.1</v>
      </c>
      <c r="B320" s="142" t="str">
        <f>VLOOKUP(A320,ORÇAMENTO!$A:$F,4,0)</f>
        <v>SERVIÇOS PRELIMINARES</v>
      </c>
      <c r="C320" s="143"/>
      <c r="D320" s="143"/>
      <c r="E320" s="144"/>
      <c r="F320" s="144"/>
      <c r="G320" s="144"/>
      <c r="H320" s="144"/>
      <c r="I320" s="144"/>
      <c r="J320" s="144"/>
      <c r="K320" s="144"/>
      <c r="L320" s="144"/>
      <c r="M320" s="144"/>
      <c r="N320" s="144"/>
      <c r="O320" s="144"/>
      <c r="P320" s="145"/>
      <c r="Q320" s="145"/>
    </row>
    <row r="321" spans="1:17" s="150" customFormat="1" ht="21" x14ac:dyDescent="0.25">
      <c r="A321" s="147" t="str">
        <f>ORÇAMENTO!A90</f>
        <v>4.1.1.1.1</v>
      </c>
      <c r="B321" s="148" t="str">
        <f>VLOOKUP(A321,ORÇAMENTO!$A:$F,4,0)</f>
        <v>PLACA DE OBRA EM CHAPA DE ACO GALVANIZADO</v>
      </c>
      <c r="C321" s="149" t="str">
        <f>VLOOKUP(A321,ORÇAMENTO!$A:$F,5,0)</f>
        <v>M²</v>
      </c>
      <c r="D321" s="149">
        <f>SUM(E325:O325)</f>
        <v>12</v>
      </c>
      <c r="E321" s="149" t="s">
        <v>2149</v>
      </c>
      <c r="F321" s="149" t="s">
        <v>2150</v>
      </c>
      <c r="G321" s="149" t="s">
        <v>2151</v>
      </c>
      <c r="H321" s="149" t="s">
        <v>2152</v>
      </c>
      <c r="I321" s="149" t="s">
        <v>2153</v>
      </c>
      <c r="J321" s="149" t="s">
        <v>2154</v>
      </c>
      <c r="K321" s="149" t="s">
        <v>2155</v>
      </c>
      <c r="L321" s="149" t="s">
        <v>2156</v>
      </c>
      <c r="M321" s="149" t="s">
        <v>413</v>
      </c>
      <c r="N321" s="149" t="s">
        <v>2157</v>
      </c>
      <c r="O321" s="149" t="s">
        <v>2158</v>
      </c>
      <c r="P321" s="145"/>
      <c r="Q321" s="145"/>
    </row>
    <row r="322" spans="1:17" s="146" customFormat="1" ht="10.5" x14ac:dyDescent="0.25">
      <c r="A322" s="151"/>
      <c r="B322" s="152"/>
      <c r="C322" s="153"/>
      <c r="D322" s="154"/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  <c r="O322" s="154"/>
      <c r="P322" s="155"/>
      <c r="Q322" s="145"/>
    </row>
    <row r="323" spans="1:17" s="146" customFormat="1" ht="21" x14ac:dyDescent="0.25">
      <c r="A323" s="151"/>
      <c r="B323" s="152" t="s">
        <v>2159</v>
      </c>
      <c r="C323" s="153"/>
      <c r="D323" s="154"/>
      <c r="E323" s="154">
        <v>3</v>
      </c>
      <c r="F323" s="154"/>
      <c r="G323" s="154">
        <v>2</v>
      </c>
      <c r="H323" s="154"/>
      <c r="I323" s="154"/>
      <c r="J323" s="154"/>
      <c r="K323" s="154"/>
      <c r="L323" s="154"/>
      <c r="M323" s="154">
        <v>2</v>
      </c>
      <c r="N323" s="154">
        <f>E323*G323*M323</f>
        <v>12</v>
      </c>
      <c r="O323" s="154"/>
      <c r="P323" s="155"/>
      <c r="Q323" s="145"/>
    </row>
    <row r="324" spans="1:17" s="146" customFormat="1" ht="10.5" x14ac:dyDescent="0.25">
      <c r="A324" s="151"/>
      <c r="B324" s="152"/>
      <c r="C324" s="153"/>
      <c r="D324" s="154"/>
      <c r="E324" s="154"/>
      <c r="F324" s="154"/>
      <c r="G324" s="154"/>
      <c r="H324" s="154"/>
      <c r="I324" s="154"/>
      <c r="J324" s="154"/>
      <c r="K324" s="154"/>
      <c r="L324" s="156"/>
      <c r="M324" s="154"/>
      <c r="N324" s="154"/>
      <c r="O324" s="154"/>
      <c r="P324" s="155"/>
      <c r="Q324" s="145"/>
    </row>
    <row r="325" spans="1:17" s="146" customFormat="1" ht="10.5" x14ac:dyDescent="0.25">
      <c r="A325" s="151"/>
      <c r="B325" s="157" t="s">
        <v>377</v>
      </c>
      <c r="C325" s="158" t="s">
        <v>402</v>
      </c>
      <c r="D325" s="158"/>
      <c r="E325" s="158"/>
      <c r="F325" s="158"/>
      <c r="G325" s="158"/>
      <c r="H325" s="158"/>
      <c r="I325" s="158"/>
      <c r="J325" s="158"/>
      <c r="K325" s="158"/>
      <c r="L325" s="158"/>
      <c r="M325" s="158"/>
      <c r="N325" s="158">
        <f>SUM(N322:N324)</f>
        <v>12</v>
      </c>
      <c r="O325" s="158"/>
      <c r="P325" s="159"/>
      <c r="Q325" s="145"/>
    </row>
    <row r="326" spans="1:17" s="150" customFormat="1" ht="21" x14ac:dyDescent="0.25">
      <c r="A326" s="147" t="str">
        <f>ORÇAMENTO!A91</f>
        <v>4.1.1.1.2</v>
      </c>
      <c r="B326" s="148" t="str">
        <f>VLOOKUP(A326,ORÇAMENTO!$A:$F,4,0)</f>
        <v>LOCAÇÃO DE REDE DE DRENAGEM</v>
      </c>
      <c r="C326" s="149" t="str">
        <f>VLOOKUP(A326,ORÇAMENTO!$A:$F,5,0)</f>
        <v>M</v>
      </c>
      <c r="D326" s="149">
        <f>SUM(E330:O330)</f>
        <v>752.1635551517752</v>
      </c>
      <c r="E326" s="149" t="s">
        <v>2149</v>
      </c>
      <c r="F326" s="149" t="s">
        <v>2150</v>
      </c>
      <c r="G326" s="149" t="s">
        <v>2151</v>
      </c>
      <c r="H326" s="149" t="s">
        <v>2152</v>
      </c>
      <c r="I326" s="149" t="s">
        <v>2153</v>
      </c>
      <c r="J326" s="149" t="s">
        <v>2154</v>
      </c>
      <c r="K326" s="149" t="s">
        <v>2155</v>
      </c>
      <c r="L326" s="149" t="s">
        <v>2156</v>
      </c>
      <c r="M326" s="149" t="s">
        <v>2160</v>
      </c>
      <c r="N326" s="149" t="s">
        <v>2157</v>
      </c>
      <c r="O326" s="149" t="s">
        <v>2158</v>
      </c>
      <c r="P326" s="145"/>
      <c r="Q326" s="145"/>
    </row>
    <row r="327" spans="1:17" s="146" customFormat="1" ht="10.5" x14ac:dyDescent="0.25">
      <c r="A327" s="151"/>
      <c r="B327" s="152"/>
      <c r="C327" s="160"/>
      <c r="D327" s="161"/>
      <c r="E327" s="161"/>
      <c r="F327" s="161"/>
      <c r="G327" s="161"/>
      <c r="H327" s="161"/>
      <c r="I327" s="161"/>
      <c r="J327" s="161"/>
      <c r="K327" s="161"/>
      <c r="L327" s="161"/>
      <c r="M327" s="161"/>
      <c r="N327" s="161"/>
      <c r="O327" s="161"/>
      <c r="P327" s="155"/>
      <c r="Q327" s="145"/>
    </row>
    <row r="328" spans="1:17" s="146" customFormat="1" ht="10.5" x14ac:dyDescent="0.25">
      <c r="A328" s="151"/>
      <c r="B328" s="152" t="s">
        <v>2161</v>
      </c>
      <c r="C328" s="160"/>
      <c r="D328" s="161"/>
      <c r="E328" s="161">
        <f>Quantitativos!F29</f>
        <v>752.1635551517752</v>
      </c>
      <c r="F328" s="161"/>
      <c r="G328" s="161"/>
      <c r="H328" s="161"/>
      <c r="I328" s="161"/>
      <c r="J328" s="161"/>
      <c r="K328" s="161"/>
      <c r="L328" s="161"/>
      <c r="M328" s="161"/>
      <c r="N328" s="161"/>
      <c r="O328" s="161"/>
      <c r="P328" s="155"/>
      <c r="Q328" s="145"/>
    </row>
    <row r="329" spans="1:17" s="146" customFormat="1" ht="10.5" x14ac:dyDescent="0.25">
      <c r="A329" s="151"/>
      <c r="B329" s="152"/>
      <c r="C329" s="160"/>
      <c r="D329" s="161"/>
      <c r="E329" s="161"/>
      <c r="F329" s="161"/>
      <c r="G329" s="161"/>
      <c r="H329" s="161"/>
      <c r="I329" s="161"/>
      <c r="J329" s="161"/>
      <c r="K329" s="161"/>
      <c r="L329" s="162"/>
      <c r="M329" s="161"/>
      <c r="N329" s="161"/>
      <c r="O329" s="161"/>
      <c r="P329" s="155"/>
      <c r="Q329" s="145"/>
    </row>
    <row r="330" spans="1:17" s="146" customFormat="1" ht="10.5" x14ac:dyDescent="0.25">
      <c r="A330" s="151"/>
      <c r="B330" s="157" t="s">
        <v>377</v>
      </c>
      <c r="C330" s="158" t="s">
        <v>402</v>
      </c>
      <c r="D330" s="158"/>
      <c r="E330" s="158">
        <f>SUM(E327:E329)</f>
        <v>752.1635551517752</v>
      </c>
      <c r="F330" s="158"/>
      <c r="G330" s="158"/>
      <c r="H330" s="158"/>
      <c r="I330" s="158"/>
      <c r="J330" s="158"/>
      <c r="K330" s="158"/>
      <c r="L330" s="158"/>
      <c r="M330" s="158"/>
      <c r="N330" s="158"/>
      <c r="O330" s="158"/>
      <c r="P330" s="159"/>
      <c r="Q330" s="145"/>
    </row>
    <row r="331" spans="1:17" s="150" customFormat="1" ht="21" x14ac:dyDescent="0.25">
      <c r="A331" s="147" t="str">
        <f>ORÇAMENTO!A92</f>
        <v>4.1.1.1.3</v>
      </c>
      <c r="B331" s="148" t="str">
        <f>VLOOKUP(A331,ORÇAMENTO!$A:$F,4,0)</f>
        <v>PASSARELA, EM MADEIRA, PARA COBERTA DE VALAS PARA PASSAGEM DE VEÍCULOS.</v>
      </c>
      <c r="C331" s="149" t="str">
        <f>VLOOKUP(A331,ORÇAMENTO!$A:$F,5,0)</f>
        <v>M²</v>
      </c>
      <c r="D331" s="149">
        <f>SUM(E338:O338)</f>
        <v>8</v>
      </c>
      <c r="E331" s="149" t="s">
        <v>2149</v>
      </c>
      <c r="F331" s="149" t="s">
        <v>2150</v>
      </c>
      <c r="G331" s="149" t="s">
        <v>2151</v>
      </c>
      <c r="H331" s="149" t="s">
        <v>2152</v>
      </c>
      <c r="I331" s="149" t="s">
        <v>2153</v>
      </c>
      <c r="J331" s="149" t="s">
        <v>2154</v>
      </c>
      <c r="K331" s="149" t="s">
        <v>2155</v>
      </c>
      <c r="L331" s="149" t="s">
        <v>2156</v>
      </c>
      <c r="M331" s="149" t="s">
        <v>413</v>
      </c>
      <c r="N331" s="149" t="s">
        <v>2157</v>
      </c>
      <c r="O331" s="149" t="s">
        <v>2158</v>
      </c>
      <c r="P331" s="145"/>
      <c r="Q331" s="145"/>
    </row>
    <row r="332" spans="1:17" s="146" customFormat="1" ht="10.5" x14ac:dyDescent="0.25">
      <c r="A332" s="151"/>
      <c r="B332" s="152"/>
      <c r="C332" s="153"/>
      <c r="D332" s="154"/>
      <c r="E332" s="154"/>
      <c r="F332" s="154"/>
      <c r="G332" s="154"/>
      <c r="H332" s="154"/>
      <c r="I332" s="154"/>
      <c r="J332" s="154"/>
      <c r="K332" s="154"/>
      <c r="L332" s="154"/>
      <c r="M332" s="154"/>
      <c r="N332" s="154"/>
      <c r="O332" s="154"/>
      <c r="P332" s="155"/>
      <c r="Q332" s="145"/>
    </row>
    <row r="333" spans="1:17" s="146" customFormat="1" ht="10.5" x14ac:dyDescent="0.25">
      <c r="A333" s="151"/>
      <c r="B333" s="152" t="s">
        <v>2125</v>
      </c>
      <c r="C333" s="153"/>
      <c r="D333" s="154"/>
      <c r="E333" s="154">
        <f>E328</f>
        <v>752.1635551517752</v>
      </c>
      <c r="F333" s="154"/>
      <c r="G333" s="154"/>
      <c r="H333" s="154"/>
      <c r="I333" s="154"/>
      <c r="J333" s="154"/>
      <c r="K333" s="154"/>
      <c r="L333" s="154"/>
      <c r="M333" s="154"/>
      <c r="N333" s="154"/>
      <c r="O333" s="154"/>
      <c r="P333" s="155"/>
      <c r="Q333" s="145"/>
    </row>
    <row r="334" spans="1:17" s="146" customFormat="1" ht="10.5" x14ac:dyDescent="0.25">
      <c r="A334" s="151"/>
      <c r="B334" s="152" t="s">
        <v>2162</v>
      </c>
      <c r="C334" s="153"/>
      <c r="D334" s="154"/>
      <c r="E334" s="154"/>
      <c r="F334" s="154"/>
      <c r="G334" s="154"/>
      <c r="H334" s="154"/>
      <c r="I334" s="154"/>
      <c r="J334" s="154"/>
      <c r="K334" s="154"/>
      <c r="L334" s="154"/>
      <c r="M334" s="154">
        <f>ROUNDUP(E333/500,0)</f>
        <v>2</v>
      </c>
      <c r="N334" s="154"/>
      <c r="O334" s="154"/>
      <c r="P334" s="155"/>
      <c r="Q334" s="145"/>
    </row>
    <row r="335" spans="1:17" s="146" customFormat="1" ht="10.5" x14ac:dyDescent="0.25">
      <c r="A335" s="151"/>
      <c r="B335" s="152" t="s">
        <v>2163</v>
      </c>
      <c r="C335" s="153"/>
      <c r="D335" s="154"/>
      <c r="E335" s="154">
        <v>4</v>
      </c>
      <c r="F335" s="154">
        <v>1</v>
      </c>
      <c r="G335" s="154"/>
      <c r="H335" s="154"/>
      <c r="I335" s="154"/>
      <c r="J335" s="154"/>
      <c r="K335" s="154"/>
      <c r="L335" s="154"/>
      <c r="M335" s="154"/>
      <c r="N335" s="154"/>
      <c r="O335" s="154"/>
      <c r="P335" s="155"/>
      <c r="Q335" s="145"/>
    </row>
    <row r="336" spans="1:17" s="146" customFormat="1" ht="10.5" x14ac:dyDescent="0.25">
      <c r="A336" s="151"/>
      <c r="B336" s="152"/>
      <c r="C336" s="153"/>
      <c r="D336" s="154"/>
      <c r="E336" s="154"/>
      <c r="F336" s="154"/>
      <c r="G336" s="154"/>
      <c r="H336" s="154"/>
      <c r="I336" s="154"/>
      <c r="J336" s="154"/>
      <c r="K336" s="154"/>
      <c r="L336" s="154"/>
      <c r="M336" s="154"/>
      <c r="N336" s="154">
        <f>M334*E335*F335</f>
        <v>8</v>
      </c>
      <c r="O336" s="154"/>
      <c r="P336" s="155"/>
      <c r="Q336" s="145"/>
    </row>
    <row r="337" spans="1:17" s="146" customFormat="1" ht="10.5" x14ac:dyDescent="0.25">
      <c r="A337" s="151"/>
      <c r="B337" s="152"/>
      <c r="C337" s="153"/>
      <c r="D337" s="154"/>
      <c r="E337" s="154"/>
      <c r="F337" s="154"/>
      <c r="G337" s="154"/>
      <c r="H337" s="154"/>
      <c r="I337" s="154"/>
      <c r="J337" s="154"/>
      <c r="K337" s="154"/>
      <c r="L337" s="156"/>
      <c r="M337" s="154"/>
      <c r="N337" s="154"/>
      <c r="O337" s="154"/>
      <c r="P337" s="155"/>
      <c r="Q337" s="145"/>
    </row>
    <row r="338" spans="1:17" s="146" customFormat="1" ht="10.5" x14ac:dyDescent="0.25">
      <c r="A338" s="151"/>
      <c r="B338" s="157" t="s">
        <v>377</v>
      </c>
      <c r="C338" s="158" t="s">
        <v>402</v>
      </c>
      <c r="D338" s="158"/>
      <c r="E338" s="158"/>
      <c r="F338" s="158"/>
      <c r="G338" s="158"/>
      <c r="H338" s="158"/>
      <c r="I338" s="158"/>
      <c r="J338" s="158"/>
      <c r="K338" s="158"/>
      <c r="L338" s="158"/>
      <c r="M338" s="154"/>
      <c r="N338" s="158">
        <f>SUM(N335:N337)</f>
        <v>8</v>
      </c>
      <c r="O338" s="158"/>
      <c r="P338" s="159"/>
      <c r="Q338" s="145"/>
    </row>
    <row r="339" spans="1:17" s="150" customFormat="1" ht="21" x14ac:dyDescent="0.25">
      <c r="A339" s="147" t="str">
        <f>ORÇAMENTO!A93</f>
        <v>4.1.1.1.4</v>
      </c>
      <c r="B339" s="148" t="str">
        <f>VLOOKUP(A339,ORÇAMENTO!$A:$F,4,0)</f>
        <v>PASSARELA, EM MADEIRA, PARA COBERTA DE VALAS PARA PASSAGEM DE PEDESTRES.</v>
      </c>
      <c r="C339" s="149" t="str">
        <f>VLOOKUP(A339,ORÇAMENTO!$A:$F,5,0)</f>
        <v>M²</v>
      </c>
      <c r="D339" s="149">
        <f>SUM(E346:O346)</f>
        <v>8</v>
      </c>
      <c r="E339" s="149" t="s">
        <v>2149</v>
      </c>
      <c r="F339" s="149" t="s">
        <v>2150</v>
      </c>
      <c r="G339" s="149" t="s">
        <v>2151</v>
      </c>
      <c r="H339" s="149" t="s">
        <v>2152</v>
      </c>
      <c r="I339" s="149" t="s">
        <v>2153</v>
      </c>
      <c r="J339" s="149" t="s">
        <v>2154</v>
      </c>
      <c r="K339" s="149" t="s">
        <v>2155</v>
      </c>
      <c r="L339" s="149" t="s">
        <v>2156</v>
      </c>
      <c r="M339" s="149" t="s">
        <v>413</v>
      </c>
      <c r="N339" s="149" t="s">
        <v>2157</v>
      </c>
      <c r="O339" s="149" t="s">
        <v>2158</v>
      </c>
      <c r="P339" s="145"/>
      <c r="Q339" s="145"/>
    </row>
    <row r="340" spans="1:17" s="146" customFormat="1" ht="10.5" x14ac:dyDescent="0.25">
      <c r="A340" s="151"/>
      <c r="B340" s="152"/>
      <c r="C340" s="153"/>
      <c r="D340" s="154"/>
      <c r="E340" s="154"/>
      <c r="F340" s="154"/>
      <c r="G340" s="154"/>
      <c r="H340" s="154"/>
      <c r="I340" s="154"/>
      <c r="J340" s="154"/>
      <c r="K340" s="154"/>
      <c r="L340" s="154"/>
      <c r="M340" s="154"/>
      <c r="N340" s="154"/>
      <c r="O340" s="154"/>
      <c r="P340" s="155"/>
      <c r="Q340" s="145"/>
    </row>
    <row r="341" spans="1:17" s="146" customFormat="1" ht="10.5" x14ac:dyDescent="0.25">
      <c r="A341" s="151"/>
      <c r="B341" s="152" t="s">
        <v>2125</v>
      </c>
      <c r="C341" s="153"/>
      <c r="D341" s="154"/>
      <c r="E341" s="154">
        <f>E333</f>
        <v>752.1635551517752</v>
      </c>
      <c r="F341" s="154"/>
      <c r="G341" s="154"/>
      <c r="H341" s="154"/>
      <c r="I341" s="154"/>
      <c r="J341" s="154"/>
      <c r="K341" s="154"/>
      <c r="L341" s="154"/>
      <c r="M341" s="154"/>
      <c r="N341" s="154"/>
      <c r="O341" s="154"/>
      <c r="P341" s="155"/>
      <c r="Q341" s="145"/>
    </row>
    <row r="342" spans="1:17" s="146" customFormat="1" ht="10.5" x14ac:dyDescent="0.25">
      <c r="A342" s="151"/>
      <c r="B342" s="152" t="s">
        <v>2164</v>
      </c>
      <c r="C342" s="153"/>
      <c r="D342" s="154"/>
      <c r="E342" s="154"/>
      <c r="F342" s="154"/>
      <c r="G342" s="154"/>
      <c r="H342" s="154"/>
      <c r="I342" s="154"/>
      <c r="J342" s="154"/>
      <c r="K342" s="154"/>
      <c r="L342" s="154"/>
      <c r="M342" s="154">
        <f>ROUNDUP(E341/200,0)</f>
        <v>4</v>
      </c>
      <c r="N342" s="154"/>
      <c r="O342" s="154"/>
      <c r="P342" s="155"/>
      <c r="Q342" s="145"/>
    </row>
    <row r="343" spans="1:17" s="146" customFormat="1" ht="10.5" x14ac:dyDescent="0.25">
      <c r="A343" s="151"/>
      <c r="B343" s="152" t="s">
        <v>2165</v>
      </c>
      <c r="C343" s="153"/>
      <c r="D343" s="154"/>
      <c r="E343" s="154">
        <v>2</v>
      </c>
      <c r="F343" s="154">
        <v>1</v>
      </c>
      <c r="G343" s="154"/>
      <c r="H343" s="154"/>
      <c r="I343" s="154"/>
      <c r="J343" s="154"/>
      <c r="K343" s="154"/>
      <c r="L343" s="154"/>
      <c r="M343" s="154"/>
      <c r="N343" s="154"/>
      <c r="O343" s="154"/>
      <c r="P343" s="155"/>
      <c r="Q343" s="145"/>
    </row>
    <row r="344" spans="1:17" s="146" customFormat="1" ht="10.5" x14ac:dyDescent="0.25">
      <c r="A344" s="151"/>
      <c r="B344" s="152"/>
      <c r="C344" s="153"/>
      <c r="D344" s="154"/>
      <c r="E344" s="154"/>
      <c r="F344" s="154"/>
      <c r="G344" s="154"/>
      <c r="H344" s="154"/>
      <c r="I344" s="154"/>
      <c r="J344" s="154"/>
      <c r="K344" s="154"/>
      <c r="L344" s="154"/>
      <c r="M344" s="154"/>
      <c r="N344" s="154">
        <f>M342*E343*F343</f>
        <v>8</v>
      </c>
      <c r="O344" s="154"/>
      <c r="P344" s="155"/>
      <c r="Q344" s="145"/>
    </row>
    <row r="345" spans="1:17" s="146" customFormat="1" ht="10.5" x14ac:dyDescent="0.25">
      <c r="A345" s="151"/>
      <c r="B345" s="152"/>
      <c r="C345" s="153"/>
      <c r="D345" s="154"/>
      <c r="E345" s="154"/>
      <c r="F345" s="154"/>
      <c r="G345" s="154"/>
      <c r="H345" s="154"/>
      <c r="I345" s="154"/>
      <c r="J345" s="154"/>
      <c r="K345" s="154"/>
      <c r="L345" s="156"/>
      <c r="M345" s="154"/>
      <c r="N345" s="154"/>
      <c r="O345" s="154"/>
      <c r="P345" s="155"/>
      <c r="Q345" s="145"/>
    </row>
    <row r="346" spans="1:17" s="146" customFormat="1" ht="10.5" x14ac:dyDescent="0.25">
      <c r="A346" s="151"/>
      <c r="B346" s="157" t="s">
        <v>377</v>
      </c>
      <c r="C346" s="158" t="s">
        <v>402</v>
      </c>
      <c r="D346" s="158"/>
      <c r="E346" s="158"/>
      <c r="F346" s="158"/>
      <c r="G346" s="158"/>
      <c r="H346" s="158"/>
      <c r="I346" s="158"/>
      <c r="J346" s="158"/>
      <c r="K346" s="158"/>
      <c r="L346" s="158"/>
      <c r="M346" s="158"/>
      <c r="N346" s="158">
        <f>SUM(N343:N345)</f>
        <v>8</v>
      </c>
      <c r="O346" s="158"/>
      <c r="P346" s="159"/>
      <c r="Q346" s="145"/>
    </row>
    <row r="347" spans="1:17" s="150" customFormat="1" ht="21" x14ac:dyDescent="0.25">
      <c r="A347" s="147" t="str">
        <f>ORÇAMENTO!A94</f>
        <v>4.1.1.1.5</v>
      </c>
      <c r="B347" s="148" t="str">
        <f>VLOOKUP(A347,ORÇAMENTO!$A:$F,4,0)</f>
        <v>TELA TAPUME, COR LARANJA, COM SUPORTE A CADA 2M (FORNECIMENTO E INSTALAÇÃO)</v>
      </c>
      <c r="C347" s="149" t="str">
        <f>VLOOKUP(A347,ORÇAMENTO!$A:$F,5,0)</f>
        <v>M</v>
      </c>
      <c r="D347" s="149">
        <f>SUM(E352:O352)</f>
        <v>1504.3271103035504</v>
      </c>
      <c r="E347" s="149" t="s">
        <v>2149</v>
      </c>
      <c r="F347" s="149" t="s">
        <v>2150</v>
      </c>
      <c r="G347" s="149" t="s">
        <v>2151</v>
      </c>
      <c r="H347" s="149" t="s">
        <v>2152</v>
      </c>
      <c r="I347" s="149" t="s">
        <v>2153</v>
      </c>
      <c r="J347" s="149" t="s">
        <v>2154</v>
      </c>
      <c r="K347" s="149" t="s">
        <v>2155</v>
      </c>
      <c r="L347" s="149" t="s">
        <v>2156</v>
      </c>
      <c r="M347" s="149" t="s">
        <v>413</v>
      </c>
      <c r="N347" s="149" t="s">
        <v>2157</v>
      </c>
      <c r="O347" s="149" t="s">
        <v>2158</v>
      </c>
      <c r="P347" s="145"/>
      <c r="Q347" s="145"/>
    </row>
    <row r="348" spans="1:17" s="146" customFormat="1" ht="10.5" x14ac:dyDescent="0.25">
      <c r="A348" s="151"/>
      <c r="B348" s="152"/>
      <c r="C348" s="153"/>
      <c r="D348" s="154"/>
      <c r="E348" s="154"/>
      <c r="F348" s="154"/>
      <c r="G348" s="154"/>
      <c r="H348" s="154"/>
      <c r="I348" s="154"/>
      <c r="J348" s="154"/>
      <c r="K348" s="154"/>
      <c r="L348" s="154"/>
      <c r="M348" s="154"/>
      <c r="N348" s="154"/>
      <c r="O348" s="154"/>
      <c r="P348" s="155"/>
      <c r="Q348" s="145"/>
    </row>
    <row r="349" spans="1:17" s="146" customFormat="1" ht="10.5" x14ac:dyDescent="0.25">
      <c r="A349" s="151"/>
      <c r="B349" s="152" t="s">
        <v>2125</v>
      </c>
      <c r="C349" s="153"/>
      <c r="D349" s="154"/>
      <c r="E349" s="154">
        <f>E341</f>
        <v>752.1635551517752</v>
      </c>
      <c r="F349" s="154"/>
      <c r="G349" s="154"/>
      <c r="H349" s="154"/>
      <c r="I349" s="154"/>
      <c r="J349" s="154"/>
      <c r="K349" s="154"/>
      <c r="L349" s="154"/>
      <c r="M349" s="154"/>
      <c r="N349" s="154"/>
      <c r="O349" s="154"/>
      <c r="P349" s="155"/>
      <c r="Q349" s="145"/>
    </row>
    <row r="350" spans="1:17" s="146" customFormat="1" ht="10.5" x14ac:dyDescent="0.25">
      <c r="A350" s="151"/>
      <c r="B350" s="152" t="s">
        <v>2166</v>
      </c>
      <c r="C350" s="153"/>
      <c r="D350" s="154"/>
      <c r="E350" s="154">
        <f>E349*2</f>
        <v>1504.3271103035504</v>
      </c>
      <c r="F350" s="154"/>
      <c r="G350" s="154"/>
      <c r="H350" s="154"/>
      <c r="I350" s="154"/>
      <c r="J350" s="154"/>
      <c r="K350" s="154"/>
      <c r="L350" s="154"/>
      <c r="M350" s="154"/>
      <c r="N350" s="154"/>
      <c r="O350" s="154"/>
      <c r="P350" s="155"/>
      <c r="Q350" s="145"/>
    </row>
    <row r="351" spans="1:17" s="146" customFormat="1" ht="10.5" x14ac:dyDescent="0.25">
      <c r="A351" s="151"/>
      <c r="B351" s="152"/>
      <c r="C351" s="153"/>
      <c r="D351" s="154"/>
      <c r="E351" s="154"/>
      <c r="F351" s="154"/>
      <c r="G351" s="154"/>
      <c r="H351" s="154"/>
      <c r="I351" s="154"/>
      <c r="J351" s="154"/>
      <c r="K351" s="154"/>
      <c r="L351" s="156"/>
      <c r="M351" s="154"/>
      <c r="N351" s="154"/>
      <c r="O351" s="154"/>
      <c r="P351" s="155"/>
      <c r="Q351" s="145"/>
    </row>
    <row r="352" spans="1:17" s="146" customFormat="1" ht="10.5" x14ac:dyDescent="0.25">
      <c r="A352" s="151"/>
      <c r="B352" s="157" t="s">
        <v>377</v>
      </c>
      <c r="C352" s="158" t="s">
        <v>402</v>
      </c>
      <c r="D352" s="158"/>
      <c r="E352" s="158">
        <f>SUM(E350:E351)</f>
        <v>1504.3271103035504</v>
      </c>
      <c r="F352" s="158"/>
      <c r="G352" s="158"/>
      <c r="H352" s="158"/>
      <c r="I352" s="158"/>
      <c r="J352" s="158"/>
      <c r="K352" s="158"/>
      <c r="L352" s="158"/>
      <c r="M352" s="158"/>
      <c r="N352" s="158"/>
      <c r="O352" s="158"/>
      <c r="P352" s="159"/>
      <c r="Q352" s="145"/>
    </row>
    <row r="353" spans="1:17" s="150" customFormat="1" ht="21" x14ac:dyDescent="0.25">
      <c r="A353" s="147" t="str">
        <f>ORÇAMENTO!A95</f>
        <v>4.1.1.1.6</v>
      </c>
      <c r="B353" s="148" t="str">
        <f>VLOOKUP(A353,ORÇAMENTO!$A:$F,4,0)</f>
        <v>SINALIZADOR ELETRÔNICO</v>
      </c>
      <c r="C353" s="149" t="str">
        <f>VLOOKUP(A353,ORÇAMENTO!$A:$F,5,0)</f>
        <v>UN</v>
      </c>
      <c r="D353" s="149">
        <f>SUM(E358:O358)</f>
        <v>16</v>
      </c>
      <c r="E353" s="149" t="s">
        <v>2149</v>
      </c>
      <c r="F353" s="149" t="s">
        <v>2150</v>
      </c>
      <c r="G353" s="149" t="s">
        <v>2151</v>
      </c>
      <c r="H353" s="149" t="s">
        <v>2152</v>
      </c>
      <c r="I353" s="149" t="s">
        <v>2153</v>
      </c>
      <c r="J353" s="149" t="s">
        <v>2154</v>
      </c>
      <c r="K353" s="149" t="s">
        <v>2155</v>
      </c>
      <c r="L353" s="149" t="s">
        <v>2156</v>
      </c>
      <c r="M353" s="149" t="s">
        <v>413</v>
      </c>
      <c r="N353" s="149" t="s">
        <v>2157</v>
      </c>
      <c r="O353" s="149" t="s">
        <v>2158</v>
      </c>
      <c r="P353" s="145"/>
      <c r="Q353" s="145"/>
    </row>
    <row r="354" spans="1:17" s="146" customFormat="1" ht="10.5" x14ac:dyDescent="0.25">
      <c r="A354" s="151"/>
      <c r="B354" s="152"/>
      <c r="C354" s="153"/>
      <c r="D354" s="154"/>
      <c r="E354" s="154"/>
      <c r="F354" s="154"/>
      <c r="G354" s="154"/>
      <c r="H354" s="154"/>
      <c r="I354" s="154"/>
      <c r="J354" s="154"/>
      <c r="K354" s="154"/>
      <c r="L354" s="154"/>
      <c r="M354" s="154"/>
      <c r="N354" s="154"/>
      <c r="O354" s="154"/>
      <c r="P354" s="155"/>
      <c r="Q354" s="145"/>
    </row>
    <row r="355" spans="1:17" s="146" customFormat="1" ht="10.5" x14ac:dyDescent="0.25">
      <c r="A355" s="151"/>
      <c r="B355" s="152" t="s">
        <v>2125</v>
      </c>
      <c r="C355" s="153"/>
      <c r="D355" s="154"/>
      <c r="E355" s="154">
        <f>E349</f>
        <v>752.1635551517752</v>
      </c>
      <c r="F355" s="154"/>
      <c r="G355" s="154"/>
      <c r="H355" s="154"/>
      <c r="I355" s="154"/>
      <c r="J355" s="154"/>
      <c r="K355" s="154"/>
      <c r="L355" s="154"/>
      <c r="M355" s="154"/>
      <c r="N355" s="154"/>
      <c r="O355" s="154"/>
      <c r="P355" s="155"/>
      <c r="Q355" s="145"/>
    </row>
    <row r="356" spans="1:17" s="146" customFormat="1" ht="21" x14ac:dyDescent="0.25">
      <c r="A356" s="151"/>
      <c r="B356" s="152" t="s">
        <v>2167</v>
      </c>
      <c r="C356" s="153"/>
      <c r="D356" s="154"/>
      <c r="E356" s="154"/>
      <c r="F356" s="154"/>
      <c r="G356" s="154"/>
      <c r="H356" s="154"/>
      <c r="I356" s="154"/>
      <c r="J356" s="154"/>
      <c r="K356" s="154"/>
      <c r="L356" s="154"/>
      <c r="M356" s="154">
        <f>ROUNDUP(E355*0.2/10,0)</f>
        <v>16</v>
      </c>
      <c r="N356" s="154"/>
      <c r="O356" s="154"/>
      <c r="P356" s="155"/>
      <c r="Q356" s="145"/>
    </row>
    <row r="357" spans="1:17" s="146" customFormat="1" ht="10.5" x14ac:dyDescent="0.25">
      <c r="A357" s="151"/>
      <c r="B357" s="152"/>
      <c r="C357" s="153"/>
      <c r="D357" s="154"/>
      <c r="E357" s="154"/>
      <c r="F357" s="154"/>
      <c r="G357" s="154"/>
      <c r="H357" s="154"/>
      <c r="I357" s="154"/>
      <c r="J357" s="154"/>
      <c r="K357" s="154"/>
      <c r="L357" s="156"/>
      <c r="M357" s="154"/>
      <c r="N357" s="154"/>
      <c r="O357" s="154"/>
      <c r="P357" s="155"/>
      <c r="Q357" s="145"/>
    </row>
    <row r="358" spans="1:17" s="146" customFormat="1" ht="10.5" x14ac:dyDescent="0.25">
      <c r="A358" s="151"/>
      <c r="B358" s="157" t="s">
        <v>377</v>
      </c>
      <c r="C358" s="158" t="s">
        <v>402</v>
      </c>
      <c r="D358" s="158"/>
      <c r="E358" s="158"/>
      <c r="F358" s="158"/>
      <c r="G358" s="158"/>
      <c r="H358" s="158"/>
      <c r="I358" s="158"/>
      <c r="J358" s="158"/>
      <c r="K358" s="158"/>
      <c r="L358" s="158"/>
      <c r="M358" s="158">
        <f>SUM(M356:M357)</f>
        <v>16</v>
      </c>
      <c r="N358" s="158"/>
      <c r="O358" s="158"/>
      <c r="P358" s="159"/>
      <c r="Q358" s="145"/>
    </row>
    <row r="359" spans="1:17" s="150" customFormat="1" ht="42" x14ac:dyDescent="0.25">
      <c r="A359" s="147" t="str">
        <f>ORÇAMENTO!A96</f>
        <v>4.1.1.1.7</v>
      </c>
      <c r="B359" s="148" t="str">
        <f>VLOOKUP(A359,ORÇAMENTO!$A:$F,4,0)</f>
        <v>PLACA PARA SINALIZAÇÃO DE OBRAS MONTADA EM CAVALETE METÁLICO - 1,00 X 1,00 M - UTILIZAÇÃO DE 600 CICLOS - FORNECIMENTO, 01IMPLANTAÇÃO E 01 RETIRADA DIÁRIA</v>
      </c>
      <c r="C359" s="149" t="str">
        <f>VLOOKUP(A359,ORÇAMENTO!$A:$F,5,0)</f>
        <v>UN.DIA</v>
      </c>
      <c r="D359" s="149">
        <f>SUM(E364:O364)</f>
        <v>502</v>
      </c>
      <c r="E359" s="149" t="s">
        <v>2149</v>
      </c>
      <c r="F359" s="149" t="s">
        <v>2150</v>
      </c>
      <c r="G359" s="149" t="s">
        <v>2151</v>
      </c>
      <c r="H359" s="149" t="s">
        <v>2152</v>
      </c>
      <c r="I359" s="149" t="s">
        <v>2153</v>
      </c>
      <c r="J359" s="149" t="s">
        <v>2154</v>
      </c>
      <c r="K359" s="149" t="s">
        <v>2155</v>
      </c>
      <c r="L359" s="149" t="s">
        <v>2156</v>
      </c>
      <c r="M359" s="149" t="s">
        <v>413</v>
      </c>
      <c r="N359" s="149" t="s">
        <v>2157</v>
      </c>
      <c r="O359" s="149" t="s">
        <v>2158</v>
      </c>
      <c r="P359" s="145"/>
      <c r="Q359" s="145"/>
    </row>
    <row r="360" spans="1:17" s="146" customFormat="1" ht="10.5" x14ac:dyDescent="0.25">
      <c r="A360" s="151"/>
      <c r="B360" s="152"/>
      <c r="C360" s="153"/>
      <c r="D360" s="154"/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  <c r="O360" s="154"/>
      <c r="P360" s="155"/>
      <c r="Q360" s="145"/>
    </row>
    <row r="361" spans="1:17" s="146" customFormat="1" ht="10.5" x14ac:dyDescent="0.25">
      <c r="A361" s="151"/>
      <c r="B361" s="152"/>
      <c r="C361" s="153"/>
      <c r="D361" s="154"/>
      <c r="E361" s="154"/>
      <c r="F361" s="154"/>
      <c r="G361" s="154"/>
      <c r="H361" s="154"/>
      <c r="I361" s="154"/>
      <c r="J361" s="154"/>
      <c r="K361" s="154"/>
      <c r="L361" s="154"/>
      <c r="M361" s="154"/>
      <c r="N361" s="154"/>
      <c r="O361" s="154"/>
      <c r="P361" s="155"/>
      <c r="Q361" s="145"/>
    </row>
    <row r="362" spans="1:17" s="146" customFormat="1" ht="10.5" x14ac:dyDescent="0.25">
      <c r="A362" s="151"/>
      <c r="B362" s="152"/>
      <c r="C362" s="153"/>
      <c r="D362" s="154"/>
      <c r="E362" s="154"/>
      <c r="F362" s="154"/>
      <c r="G362" s="154"/>
      <c r="H362" s="154"/>
      <c r="I362" s="154"/>
      <c r="J362" s="154"/>
      <c r="K362" s="154"/>
      <c r="L362" s="154"/>
      <c r="M362" s="154">
        <v>502</v>
      </c>
      <c r="N362" s="154"/>
      <c r="O362" s="154"/>
      <c r="P362" s="155"/>
      <c r="Q362" s="145"/>
    </row>
    <row r="363" spans="1:17" s="146" customFormat="1" ht="10.5" x14ac:dyDescent="0.25">
      <c r="A363" s="151"/>
      <c r="B363" s="152"/>
      <c r="C363" s="153"/>
      <c r="D363" s="154"/>
      <c r="E363" s="154"/>
      <c r="F363" s="154"/>
      <c r="G363" s="154"/>
      <c r="H363" s="154"/>
      <c r="I363" s="154"/>
      <c r="J363" s="154"/>
      <c r="K363" s="154"/>
      <c r="L363" s="156"/>
      <c r="M363" s="154"/>
      <c r="N363" s="154"/>
      <c r="O363" s="154"/>
      <c r="P363" s="155"/>
      <c r="Q363" s="145"/>
    </row>
    <row r="364" spans="1:17" s="146" customFormat="1" ht="10.5" x14ac:dyDescent="0.25">
      <c r="A364" s="151"/>
      <c r="B364" s="157" t="s">
        <v>377</v>
      </c>
      <c r="C364" s="158" t="s">
        <v>402</v>
      </c>
      <c r="D364" s="158"/>
      <c r="E364" s="158"/>
      <c r="F364" s="158"/>
      <c r="G364" s="158"/>
      <c r="H364" s="158"/>
      <c r="I364" s="158"/>
      <c r="J364" s="158"/>
      <c r="K364" s="158"/>
      <c r="L364" s="158"/>
      <c r="M364" s="158">
        <f>SUM(M362:M363)</f>
        <v>502</v>
      </c>
      <c r="N364" s="158"/>
      <c r="O364" s="158"/>
      <c r="P364" s="159"/>
      <c r="Q364" s="145"/>
    </row>
    <row r="365" spans="1:17" s="150" customFormat="1" ht="52.5" x14ac:dyDescent="0.25">
      <c r="A365" s="147" t="str">
        <f>ORÇAMENTO!A97</f>
        <v>4.1.1.1.8</v>
      </c>
      <c r="B365" s="148" t="str">
        <f>VLOOKUP(A365,ORÇAMENTO!$A:$F,4,0)</f>
        <v>PLACA DE ADVERTÊNCIA PARA SINALIZAÇÃO DE OBRAS MONTADA EM SUPORTE METÁLICO MÓVEL, LADO 1,00 M - UTILIZAÇÃO DE 600 CICLOS - FORNECIMENTO, 01 IMPLANTAÇÃO E 01 RETIRADA DIÁRIA</v>
      </c>
      <c r="C365" s="149" t="str">
        <f>VLOOKUP(A365,ORÇAMENTO!$A:$F,5,0)</f>
        <v>UN.DIA</v>
      </c>
      <c r="D365" s="149">
        <f>SUM(E370:O370)</f>
        <v>335</v>
      </c>
      <c r="E365" s="149" t="s">
        <v>2149</v>
      </c>
      <c r="F365" s="149" t="s">
        <v>2150</v>
      </c>
      <c r="G365" s="149" t="s">
        <v>2151</v>
      </c>
      <c r="H365" s="149" t="s">
        <v>2152</v>
      </c>
      <c r="I365" s="149" t="s">
        <v>2153</v>
      </c>
      <c r="J365" s="149" t="s">
        <v>2154</v>
      </c>
      <c r="K365" s="149" t="s">
        <v>2155</v>
      </c>
      <c r="L365" s="149" t="s">
        <v>2156</v>
      </c>
      <c r="M365" s="149" t="s">
        <v>413</v>
      </c>
      <c r="N365" s="149" t="s">
        <v>2157</v>
      </c>
      <c r="O365" s="149" t="s">
        <v>2158</v>
      </c>
      <c r="P365" s="145"/>
      <c r="Q365" s="145"/>
    </row>
    <row r="366" spans="1:17" s="146" customFormat="1" ht="10.5" x14ac:dyDescent="0.25">
      <c r="A366" s="151"/>
      <c r="B366" s="152"/>
      <c r="C366" s="153"/>
      <c r="D366" s="154"/>
      <c r="E366" s="154"/>
      <c r="F366" s="154"/>
      <c r="G366" s="154"/>
      <c r="H366" s="154"/>
      <c r="I366" s="154"/>
      <c r="J366" s="154"/>
      <c r="K366" s="154"/>
      <c r="L366" s="154"/>
      <c r="M366" s="154"/>
      <c r="N366" s="154"/>
      <c r="O366" s="154"/>
      <c r="P366" s="155"/>
      <c r="Q366" s="145"/>
    </row>
    <row r="367" spans="1:17" s="146" customFormat="1" ht="10.5" x14ac:dyDescent="0.25">
      <c r="A367" s="151"/>
      <c r="B367" s="152"/>
      <c r="C367" s="153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5"/>
      <c r="Q367" s="145"/>
    </row>
    <row r="368" spans="1:17" s="146" customFormat="1" ht="10.5" x14ac:dyDescent="0.25">
      <c r="A368" s="151"/>
      <c r="B368" s="152"/>
      <c r="C368" s="153"/>
      <c r="D368" s="154"/>
      <c r="E368" s="154"/>
      <c r="F368" s="154"/>
      <c r="G368" s="154"/>
      <c r="H368" s="154"/>
      <c r="I368" s="154"/>
      <c r="J368" s="154"/>
      <c r="K368" s="154"/>
      <c r="L368" s="154"/>
      <c r="M368" s="154">
        <v>335</v>
      </c>
      <c r="N368" s="154"/>
      <c r="O368" s="154"/>
      <c r="P368" s="155"/>
      <c r="Q368" s="145"/>
    </row>
    <row r="369" spans="1:17" s="146" customFormat="1" ht="10.5" x14ac:dyDescent="0.25">
      <c r="A369" s="151"/>
      <c r="B369" s="152"/>
      <c r="C369" s="153"/>
      <c r="D369" s="154"/>
      <c r="E369" s="154"/>
      <c r="F369" s="154"/>
      <c r="G369" s="154"/>
      <c r="H369" s="154"/>
      <c r="I369" s="154"/>
      <c r="J369" s="154"/>
      <c r="K369" s="154"/>
      <c r="L369" s="156"/>
      <c r="M369" s="154"/>
      <c r="N369" s="154"/>
      <c r="O369" s="154"/>
      <c r="P369" s="155"/>
      <c r="Q369" s="145"/>
    </row>
    <row r="370" spans="1:17" s="146" customFormat="1" ht="10.5" x14ac:dyDescent="0.25">
      <c r="A370" s="151"/>
      <c r="B370" s="157" t="s">
        <v>377</v>
      </c>
      <c r="C370" s="158" t="s">
        <v>402</v>
      </c>
      <c r="D370" s="158"/>
      <c r="E370" s="158"/>
      <c r="F370" s="158"/>
      <c r="G370" s="158"/>
      <c r="H370" s="158"/>
      <c r="I370" s="158"/>
      <c r="J370" s="158"/>
      <c r="K370" s="158"/>
      <c r="L370" s="158"/>
      <c r="M370" s="158">
        <f>SUM(M368:M369)</f>
        <v>335</v>
      </c>
      <c r="N370" s="158"/>
      <c r="O370" s="158"/>
      <c r="P370" s="159"/>
      <c r="Q370" s="145"/>
    </row>
    <row r="371" spans="1:17" s="150" customFormat="1" ht="42" x14ac:dyDescent="0.25">
      <c r="A371" s="147" t="str">
        <f>ORÇAMENTO!A98</f>
        <v>4.1.1.1.9</v>
      </c>
      <c r="B371" s="148" t="str">
        <f>VLOOKUP(A371,ORÇAMENTO!$A:$F,4,0)</f>
        <v>BARREIRA DE SINALIZAÇÃO TIPO III DE DIRECIONAMENTO OU BLOQUEIO - UTILIZAÇÃO DE 150 CICLOS - FORNECIMENTO, 01 IMPLANTAÇÃO E 01 RETIRADA DIÁRIA</v>
      </c>
      <c r="C371" s="149" t="str">
        <f>VLOOKUP(A371,ORÇAMENTO!$A:$F,5,0)</f>
        <v>UN.DIA</v>
      </c>
      <c r="D371" s="149">
        <f>SUM(E376:O376)</f>
        <v>167</v>
      </c>
      <c r="E371" s="149" t="s">
        <v>2149</v>
      </c>
      <c r="F371" s="149" t="s">
        <v>2150</v>
      </c>
      <c r="G371" s="149" t="s">
        <v>2151</v>
      </c>
      <c r="H371" s="149" t="s">
        <v>2152</v>
      </c>
      <c r="I371" s="149" t="s">
        <v>2153</v>
      </c>
      <c r="J371" s="149" t="s">
        <v>2154</v>
      </c>
      <c r="K371" s="149" t="s">
        <v>2155</v>
      </c>
      <c r="L371" s="149" t="s">
        <v>2156</v>
      </c>
      <c r="M371" s="149" t="s">
        <v>413</v>
      </c>
      <c r="N371" s="149" t="s">
        <v>2157</v>
      </c>
      <c r="O371" s="149" t="s">
        <v>2158</v>
      </c>
      <c r="P371" s="145"/>
      <c r="Q371" s="145"/>
    </row>
    <row r="372" spans="1:17" s="146" customFormat="1" ht="10.5" x14ac:dyDescent="0.25">
      <c r="A372" s="151"/>
      <c r="B372" s="152"/>
      <c r="C372" s="153"/>
      <c r="D372" s="154"/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  <c r="O372" s="154"/>
      <c r="P372" s="155"/>
      <c r="Q372" s="145"/>
    </row>
    <row r="373" spans="1:17" s="146" customFormat="1" ht="10.5" x14ac:dyDescent="0.25">
      <c r="A373" s="151"/>
      <c r="B373" s="152"/>
      <c r="C373" s="153"/>
      <c r="D373" s="154"/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  <c r="O373" s="154"/>
      <c r="P373" s="155"/>
      <c r="Q373" s="145"/>
    </row>
    <row r="374" spans="1:17" s="146" customFormat="1" ht="10.5" x14ac:dyDescent="0.25">
      <c r="A374" s="151"/>
      <c r="B374" s="152"/>
      <c r="C374" s="153"/>
      <c r="D374" s="154"/>
      <c r="E374" s="154"/>
      <c r="F374" s="154"/>
      <c r="G374" s="154"/>
      <c r="H374" s="154"/>
      <c r="I374" s="154"/>
      <c r="J374" s="154"/>
      <c r="K374" s="154"/>
      <c r="L374" s="154"/>
      <c r="M374" s="154">
        <v>167</v>
      </c>
      <c r="N374" s="154"/>
      <c r="O374" s="154"/>
      <c r="P374" s="155"/>
      <c r="Q374" s="145"/>
    </row>
    <row r="375" spans="1:17" s="146" customFormat="1" ht="10.5" x14ac:dyDescent="0.25">
      <c r="A375" s="151"/>
      <c r="B375" s="152"/>
      <c r="C375" s="153"/>
      <c r="D375" s="154"/>
      <c r="E375" s="154"/>
      <c r="F375" s="154"/>
      <c r="G375" s="154"/>
      <c r="H375" s="154"/>
      <c r="I375" s="154"/>
      <c r="J375" s="154"/>
      <c r="K375" s="154"/>
      <c r="L375" s="156"/>
      <c r="M375" s="154"/>
      <c r="N375" s="154"/>
      <c r="O375" s="154"/>
      <c r="P375" s="155"/>
      <c r="Q375" s="145"/>
    </row>
    <row r="376" spans="1:17" s="146" customFormat="1" ht="10.5" x14ac:dyDescent="0.25">
      <c r="A376" s="151"/>
      <c r="B376" s="157" t="s">
        <v>377</v>
      </c>
      <c r="C376" s="158" t="s">
        <v>402</v>
      </c>
      <c r="D376" s="158"/>
      <c r="E376" s="158"/>
      <c r="F376" s="158"/>
      <c r="G376" s="158"/>
      <c r="H376" s="158"/>
      <c r="I376" s="158"/>
      <c r="J376" s="158"/>
      <c r="K376" s="158"/>
      <c r="L376" s="158"/>
      <c r="M376" s="158">
        <f>SUM(M374:M375)</f>
        <v>167</v>
      </c>
      <c r="N376" s="158"/>
      <c r="O376" s="158"/>
      <c r="P376" s="159"/>
      <c r="Q376" s="145"/>
    </row>
    <row r="377" spans="1:17" s="150" customFormat="1" ht="31.5" x14ac:dyDescent="0.25">
      <c r="A377" s="147" t="str">
        <f>ORÇAMENTO!A99</f>
        <v>4.1.1.1.10</v>
      </c>
      <c r="B377" s="148" t="str">
        <f>VLOOKUP(A377,ORÇAMENTO!$A:$F,4,0)</f>
        <v>CONE PLÁSTICO PARA CANALIZAÇÃO DE TRÂNSITO - UTILIZAÇÃO DE 150 CICLOS - FORNECIMENTO, 01 IMPLANTAÇÃO E 01 RETIRADA DIÁRIA</v>
      </c>
      <c r="C377" s="149" t="str">
        <f>VLOOKUP(A377,ORÇAMENTO!$A:$F,5,0)</f>
        <v>UN.DIA</v>
      </c>
      <c r="D377" s="149">
        <f>SUM(E382:O382)</f>
        <v>837</v>
      </c>
      <c r="E377" s="149" t="s">
        <v>2149</v>
      </c>
      <c r="F377" s="149" t="s">
        <v>2150</v>
      </c>
      <c r="G377" s="149" t="s">
        <v>2151</v>
      </c>
      <c r="H377" s="149" t="s">
        <v>2152</v>
      </c>
      <c r="I377" s="149" t="s">
        <v>2153</v>
      </c>
      <c r="J377" s="149" t="s">
        <v>2154</v>
      </c>
      <c r="K377" s="149" t="s">
        <v>2155</v>
      </c>
      <c r="L377" s="149" t="s">
        <v>2156</v>
      </c>
      <c r="M377" s="149" t="s">
        <v>413</v>
      </c>
      <c r="N377" s="149" t="s">
        <v>2157</v>
      </c>
      <c r="O377" s="149" t="s">
        <v>2158</v>
      </c>
      <c r="P377" s="145"/>
      <c r="Q377" s="145"/>
    </row>
    <row r="378" spans="1:17" s="146" customFormat="1" ht="10.5" x14ac:dyDescent="0.25">
      <c r="A378" s="151"/>
      <c r="B378" s="152"/>
      <c r="C378" s="153"/>
      <c r="D378" s="154"/>
      <c r="E378" s="154"/>
      <c r="F378" s="154"/>
      <c r="G378" s="154"/>
      <c r="H378" s="154"/>
      <c r="I378" s="154"/>
      <c r="J378" s="154"/>
      <c r="K378" s="154"/>
      <c r="L378" s="154"/>
      <c r="M378" s="154"/>
      <c r="N378" s="154"/>
      <c r="O378" s="154"/>
      <c r="P378" s="155"/>
      <c r="Q378" s="145"/>
    </row>
    <row r="379" spans="1:17" s="146" customFormat="1" ht="10.5" x14ac:dyDescent="0.25">
      <c r="A379" s="151"/>
      <c r="B379" s="152"/>
      <c r="C379" s="153"/>
      <c r="D379" s="154"/>
      <c r="E379" s="154"/>
      <c r="F379" s="154"/>
      <c r="G379" s="154"/>
      <c r="H379" s="154"/>
      <c r="I379" s="154"/>
      <c r="J379" s="154"/>
      <c r="K379" s="154"/>
      <c r="L379" s="154"/>
      <c r="M379" s="154"/>
      <c r="N379" s="154"/>
      <c r="O379" s="154"/>
      <c r="P379" s="155"/>
      <c r="Q379" s="145"/>
    </row>
    <row r="380" spans="1:17" s="146" customFormat="1" ht="10.5" x14ac:dyDescent="0.25">
      <c r="A380" s="151"/>
      <c r="B380" s="152"/>
      <c r="C380" s="153"/>
      <c r="D380" s="154"/>
      <c r="E380" s="154"/>
      <c r="F380" s="154"/>
      <c r="G380" s="154"/>
      <c r="H380" s="154"/>
      <c r="I380" s="154"/>
      <c r="J380" s="154"/>
      <c r="K380" s="154"/>
      <c r="L380" s="154"/>
      <c r="M380" s="154">
        <v>837</v>
      </c>
      <c r="N380" s="154"/>
      <c r="O380" s="154"/>
      <c r="P380" s="155"/>
      <c r="Q380" s="145"/>
    </row>
    <row r="381" spans="1:17" s="146" customFormat="1" ht="10.5" x14ac:dyDescent="0.25">
      <c r="A381" s="151"/>
      <c r="B381" s="152"/>
      <c r="C381" s="153"/>
      <c r="D381" s="154"/>
      <c r="E381" s="154"/>
      <c r="F381" s="154"/>
      <c r="G381" s="154"/>
      <c r="H381" s="154"/>
      <c r="I381" s="154"/>
      <c r="J381" s="154"/>
      <c r="K381" s="154"/>
      <c r="L381" s="156"/>
      <c r="M381" s="154"/>
      <c r="N381" s="154"/>
      <c r="O381" s="154"/>
      <c r="P381" s="155"/>
      <c r="Q381" s="145"/>
    </row>
    <row r="382" spans="1:17" s="146" customFormat="1" ht="10.5" x14ac:dyDescent="0.25">
      <c r="A382" s="151"/>
      <c r="B382" s="157" t="s">
        <v>377</v>
      </c>
      <c r="C382" s="158" t="s">
        <v>402</v>
      </c>
      <c r="D382" s="158"/>
      <c r="E382" s="158"/>
      <c r="F382" s="158"/>
      <c r="G382" s="158"/>
      <c r="H382" s="158"/>
      <c r="I382" s="158"/>
      <c r="J382" s="158"/>
      <c r="K382" s="158"/>
      <c r="L382" s="158"/>
      <c r="M382" s="158">
        <f>SUM(M380:M381)</f>
        <v>837</v>
      </c>
      <c r="N382" s="158"/>
      <c r="O382" s="158"/>
      <c r="P382" s="159"/>
      <c r="Q382" s="145"/>
    </row>
    <row r="383" spans="1:17" s="150" customFormat="1" ht="42" x14ac:dyDescent="0.25">
      <c r="A383" s="147" t="str">
        <f>ORÇAMENTO!A100</f>
        <v>4.1.1.1.11</v>
      </c>
      <c r="B383" s="148" t="str">
        <f>VLOOKUP(A383,ORÇAMENTO!$A:$F,4,0)</f>
        <v>BALIZADOR CÔNICO REFLETIVO EM POLIETILENO SEMIFLEXÍVEL DE 114 X 11 X 40 CM - UTILIZAÇÃO DE 150 CICLOS - FORNECIMENTO, 01 IMPLANTAÇÃO E 01 RETIRADA DIÁRIA</v>
      </c>
      <c r="C383" s="149" t="str">
        <f>VLOOKUP(A383,ORÇAMENTO!$A:$F,5,0)</f>
        <v>UN.DIA</v>
      </c>
      <c r="D383" s="149">
        <f>SUM(E388:O388)</f>
        <v>837</v>
      </c>
      <c r="E383" s="149" t="s">
        <v>2149</v>
      </c>
      <c r="F383" s="149" t="s">
        <v>2150</v>
      </c>
      <c r="G383" s="149" t="s">
        <v>2151</v>
      </c>
      <c r="H383" s="149" t="s">
        <v>2152</v>
      </c>
      <c r="I383" s="149" t="s">
        <v>2153</v>
      </c>
      <c r="J383" s="149" t="s">
        <v>2154</v>
      </c>
      <c r="K383" s="149" t="s">
        <v>2155</v>
      </c>
      <c r="L383" s="149" t="s">
        <v>2156</v>
      </c>
      <c r="M383" s="149" t="s">
        <v>413</v>
      </c>
      <c r="N383" s="149" t="s">
        <v>2157</v>
      </c>
      <c r="O383" s="149" t="s">
        <v>2158</v>
      </c>
      <c r="P383" s="145"/>
      <c r="Q383" s="145"/>
    </row>
    <row r="384" spans="1:17" s="146" customFormat="1" ht="10.5" x14ac:dyDescent="0.25">
      <c r="A384" s="151"/>
      <c r="B384" s="152"/>
      <c r="C384" s="153"/>
      <c r="D384" s="154"/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  <c r="O384" s="154"/>
      <c r="P384" s="155"/>
      <c r="Q384" s="145"/>
    </row>
    <row r="385" spans="1:17" s="146" customFormat="1" ht="10.5" x14ac:dyDescent="0.25">
      <c r="A385" s="151"/>
      <c r="B385" s="152"/>
      <c r="C385" s="153"/>
      <c r="D385" s="154"/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  <c r="O385" s="154"/>
      <c r="P385" s="155"/>
      <c r="Q385" s="145"/>
    </row>
    <row r="386" spans="1:17" s="146" customFormat="1" ht="10.5" x14ac:dyDescent="0.25">
      <c r="A386" s="151"/>
      <c r="B386" s="152"/>
      <c r="C386" s="153"/>
      <c r="D386" s="154"/>
      <c r="E386" s="154"/>
      <c r="F386" s="154"/>
      <c r="G386" s="154"/>
      <c r="H386" s="154"/>
      <c r="I386" s="154"/>
      <c r="J386" s="154"/>
      <c r="K386" s="154"/>
      <c r="L386" s="154"/>
      <c r="M386" s="154">
        <v>837</v>
      </c>
      <c r="N386" s="154"/>
      <c r="O386" s="154"/>
      <c r="P386" s="155"/>
      <c r="Q386" s="145"/>
    </row>
    <row r="387" spans="1:17" s="146" customFormat="1" ht="10.5" x14ac:dyDescent="0.25">
      <c r="A387" s="151"/>
      <c r="B387" s="152"/>
      <c r="C387" s="153"/>
      <c r="D387" s="154"/>
      <c r="E387" s="154"/>
      <c r="F387" s="154"/>
      <c r="G387" s="154"/>
      <c r="H387" s="154"/>
      <c r="I387" s="154"/>
      <c r="J387" s="154"/>
      <c r="K387" s="154"/>
      <c r="L387" s="156"/>
      <c r="M387" s="154"/>
      <c r="N387" s="154"/>
      <c r="O387" s="154"/>
      <c r="P387" s="155"/>
      <c r="Q387" s="145"/>
    </row>
    <row r="388" spans="1:17" s="146" customFormat="1" ht="10.5" x14ac:dyDescent="0.25">
      <c r="A388" s="151"/>
      <c r="B388" s="157" t="s">
        <v>377</v>
      </c>
      <c r="C388" s="158" t="s">
        <v>402</v>
      </c>
      <c r="D388" s="158"/>
      <c r="E388" s="158"/>
      <c r="F388" s="158"/>
      <c r="G388" s="158"/>
      <c r="H388" s="158"/>
      <c r="I388" s="158"/>
      <c r="J388" s="158"/>
      <c r="K388" s="158"/>
      <c r="L388" s="158"/>
      <c r="M388" s="158">
        <f>SUM(M386:M387)</f>
        <v>837</v>
      </c>
      <c r="N388" s="158"/>
      <c r="O388" s="158"/>
      <c r="P388" s="159"/>
      <c r="Q388" s="145"/>
    </row>
    <row r="389" spans="1:17" s="150" customFormat="1" ht="31.5" x14ac:dyDescent="0.25">
      <c r="A389" s="147" t="str">
        <f>ORÇAMENTO!A102</f>
        <v>4.1.1.2.1</v>
      </c>
      <c r="B389" s="148" t="str">
        <f>VLOOKUP(A389,ORÇAMENTO!$A:$F,4,0)</f>
        <v>DEMOLIÇÃO PARCIAL DE PAVIMENTO ASFÁLTICO, DE FORMA MECANIZADA, SEM REAPROVEITAMENTO. AF_09/2023</v>
      </c>
      <c r="C389" s="149" t="str">
        <f>VLOOKUP(A389,ORÇAMENTO!$A:$F,5,0)</f>
        <v>M²</v>
      </c>
      <c r="D389" s="149">
        <f>SUM(E395:O395)</f>
        <v>2087.2262652722693</v>
      </c>
      <c r="E389" s="149" t="s">
        <v>2149</v>
      </c>
      <c r="F389" s="149" t="s">
        <v>2150</v>
      </c>
      <c r="G389" s="149" t="s">
        <v>2151</v>
      </c>
      <c r="H389" s="149" t="s">
        <v>2152</v>
      </c>
      <c r="I389" s="149" t="s">
        <v>2153</v>
      </c>
      <c r="J389" s="149" t="s">
        <v>2154</v>
      </c>
      <c r="K389" s="149" t="s">
        <v>2155</v>
      </c>
      <c r="L389" s="149" t="s">
        <v>2156</v>
      </c>
      <c r="M389" s="149" t="s">
        <v>2160</v>
      </c>
      <c r="N389" s="149" t="s">
        <v>2157</v>
      </c>
      <c r="O389" s="149" t="s">
        <v>2158</v>
      </c>
      <c r="P389" s="145"/>
      <c r="Q389" s="145"/>
    </row>
    <row r="390" spans="1:17" s="146" customFormat="1" ht="10.5" x14ac:dyDescent="0.25">
      <c r="A390" s="151"/>
      <c r="B390" s="152" t="s">
        <v>2168</v>
      </c>
      <c r="C390" s="160"/>
      <c r="D390" s="161"/>
      <c r="E390" s="161"/>
      <c r="F390" s="161"/>
      <c r="G390" s="161"/>
      <c r="H390" s="161"/>
      <c r="I390" s="161"/>
      <c r="J390" s="161"/>
      <c r="K390" s="161"/>
      <c r="L390" s="161"/>
      <c r="M390" s="161"/>
      <c r="N390" s="161">
        <f>Quantitativos!AA29</f>
        <v>1558.3112652722696</v>
      </c>
      <c r="O390" s="161"/>
      <c r="P390" s="155"/>
      <c r="Q390" s="145"/>
    </row>
    <row r="391" spans="1:17" s="146" customFormat="1" ht="21" x14ac:dyDescent="0.25">
      <c r="A391" s="151"/>
      <c r="B391" s="152" t="s">
        <v>2169</v>
      </c>
      <c r="C391" s="160"/>
      <c r="D391" s="161"/>
      <c r="E391" s="161"/>
      <c r="F391" s="161"/>
      <c r="G391" s="161"/>
      <c r="H391" s="161"/>
      <c r="I391" s="161"/>
      <c r="J391" s="161"/>
      <c r="K391" s="161"/>
      <c r="L391" s="161"/>
      <c r="M391" s="161"/>
      <c r="N391" s="161">
        <f>QUANTBL!O69</f>
        <v>431.92999999999989</v>
      </c>
      <c r="O391" s="161"/>
      <c r="P391" s="155"/>
      <c r="Q391" s="145"/>
    </row>
    <row r="392" spans="1:17" s="146" customFormat="1" ht="21" x14ac:dyDescent="0.25">
      <c r="A392" s="151"/>
      <c r="B392" s="152" t="s">
        <v>2170</v>
      </c>
      <c r="C392" s="160"/>
      <c r="D392" s="161"/>
      <c r="E392" s="161"/>
      <c r="F392" s="161"/>
      <c r="G392" s="161"/>
      <c r="H392" s="161"/>
      <c r="I392" s="161"/>
      <c r="J392" s="161"/>
      <c r="K392" s="161"/>
      <c r="L392" s="161"/>
      <c r="M392" s="161"/>
      <c r="N392" s="163">
        <f>QUANTBL!CY69</f>
        <v>96.984999999999886</v>
      </c>
      <c r="O392" s="161"/>
      <c r="P392" s="155"/>
      <c r="Q392" s="145"/>
    </row>
    <row r="393" spans="1:17" s="146" customFormat="1" ht="10.5" x14ac:dyDescent="0.25">
      <c r="A393" s="151"/>
      <c r="B393" s="157" t="s">
        <v>2171</v>
      </c>
      <c r="C393" s="160"/>
      <c r="D393" s="161"/>
      <c r="E393" s="161"/>
      <c r="F393" s="161"/>
      <c r="G393" s="161"/>
      <c r="H393" s="161">
        <v>0.03</v>
      </c>
      <c r="I393" s="161"/>
      <c r="J393" s="161"/>
      <c r="K393" s="161"/>
      <c r="L393" s="161"/>
      <c r="M393" s="161"/>
      <c r="O393" s="161"/>
      <c r="P393" s="155"/>
      <c r="Q393" s="145"/>
    </row>
    <row r="394" spans="1:17" s="146" customFormat="1" ht="10.5" x14ac:dyDescent="0.25">
      <c r="A394" s="151"/>
      <c r="B394" s="152"/>
      <c r="C394" s="160"/>
      <c r="D394" s="161"/>
      <c r="E394" s="161"/>
      <c r="F394" s="161"/>
      <c r="G394" s="161"/>
      <c r="H394" s="161"/>
      <c r="I394" s="161"/>
      <c r="J394" s="161"/>
      <c r="K394" s="161"/>
      <c r="L394" s="162"/>
      <c r="M394" s="161"/>
      <c r="N394" s="161"/>
      <c r="O394" s="161"/>
      <c r="P394" s="155"/>
      <c r="Q394" s="145"/>
    </row>
    <row r="395" spans="1:17" s="146" customFormat="1" ht="10.5" x14ac:dyDescent="0.25">
      <c r="A395" s="151"/>
      <c r="B395" s="157" t="s">
        <v>377</v>
      </c>
      <c r="C395" s="158" t="s">
        <v>402</v>
      </c>
      <c r="D395" s="158"/>
      <c r="E395" s="158"/>
      <c r="F395" s="158"/>
      <c r="G395" s="158"/>
      <c r="H395" s="158"/>
      <c r="I395" s="158"/>
      <c r="J395" s="158"/>
      <c r="K395" s="158"/>
      <c r="L395" s="158"/>
      <c r="M395" s="158"/>
      <c r="N395" s="158">
        <f>SUM(N390:N394)</f>
        <v>2087.2262652722693</v>
      </c>
      <c r="O395" s="158"/>
      <c r="P395" s="159"/>
      <c r="Q395" s="145"/>
    </row>
    <row r="396" spans="1:17" s="150" customFormat="1" ht="52.5" x14ac:dyDescent="0.25">
      <c r="A396" s="147" t="str">
        <f>ORÇAMENTO!A103</f>
        <v>4.1.1.2.2</v>
      </c>
      <c r="B396" s="148" t="str">
        <f>VLOOKUP(A396,ORÇAMENTO!$A:$F,4,0)</f>
        <v>CARGA, MANOBRA E DESCARGA DE ENTULHO EM CAMINHÃO BASCULANTE 14 M³ - CARGA COM ESCAVADEIRA HIDRÁULICA  (CAÇAMBA DE 0,80 M³ / 111 HP) E DESCARGA LIVRE (UNIDADE: M3). AF_07/2020</v>
      </c>
      <c r="C396" s="149" t="str">
        <f>VLOOKUP(A396,ORÇAMENTO!$A:$F,5,0)</f>
        <v>M³</v>
      </c>
      <c r="D396" s="149">
        <f>SUM(E400:O400)</f>
        <v>62.616787958168075</v>
      </c>
      <c r="E396" s="149" t="s">
        <v>2149</v>
      </c>
      <c r="F396" s="149" t="s">
        <v>2150</v>
      </c>
      <c r="G396" s="149" t="s">
        <v>2151</v>
      </c>
      <c r="H396" s="149" t="s">
        <v>2152</v>
      </c>
      <c r="I396" s="149" t="s">
        <v>2153</v>
      </c>
      <c r="J396" s="149" t="s">
        <v>2154</v>
      </c>
      <c r="K396" s="149" t="s">
        <v>2172</v>
      </c>
      <c r="L396" s="149" t="s">
        <v>2173</v>
      </c>
      <c r="M396" s="149" t="s">
        <v>2160</v>
      </c>
      <c r="N396" s="149" t="s">
        <v>2157</v>
      </c>
      <c r="O396" s="149" t="s">
        <v>2158</v>
      </c>
      <c r="P396" s="145"/>
      <c r="Q396" s="145"/>
    </row>
    <row r="397" spans="1:17" s="146" customFormat="1" ht="10.5" x14ac:dyDescent="0.25">
      <c r="A397" s="151"/>
      <c r="B397" s="152" t="str">
        <f>B390</f>
        <v>ÁREA DE DEMOLIÇÃO ASFÁLTICA NA REDE</v>
      </c>
      <c r="C397" s="160"/>
      <c r="D397" s="161"/>
      <c r="E397" s="161"/>
      <c r="F397" s="161"/>
      <c r="G397" s="161"/>
      <c r="H397" s="161"/>
      <c r="I397" s="161"/>
      <c r="J397" s="161"/>
      <c r="K397" s="161"/>
      <c r="L397" s="161"/>
      <c r="M397" s="161"/>
      <c r="N397" s="161">
        <f>N395</f>
        <v>2087.2262652722693</v>
      </c>
      <c r="O397" s="161"/>
      <c r="P397" s="155"/>
      <c r="Q397" s="145"/>
    </row>
    <row r="398" spans="1:17" s="146" customFormat="1" ht="10.5" x14ac:dyDescent="0.25">
      <c r="A398" s="151"/>
      <c r="B398" s="157" t="str">
        <f>B393</f>
        <v>TIPO DE TRÁFEGO - LEVE</v>
      </c>
      <c r="C398" s="160"/>
      <c r="D398" s="161"/>
      <c r="E398" s="161"/>
      <c r="F398" s="161"/>
      <c r="G398" s="161"/>
      <c r="H398" s="161">
        <f>H393</f>
        <v>0.03</v>
      </c>
      <c r="I398" s="161"/>
      <c r="J398" s="161"/>
      <c r="K398" s="161"/>
      <c r="L398" s="161"/>
      <c r="M398" s="161"/>
      <c r="N398" s="161"/>
      <c r="O398" s="161">
        <f>N397*H398</f>
        <v>62.616787958168075</v>
      </c>
      <c r="P398" s="155"/>
      <c r="Q398" s="145"/>
    </row>
    <row r="399" spans="1:17" s="146" customFormat="1" ht="10.5" x14ac:dyDescent="0.25">
      <c r="A399" s="151"/>
      <c r="B399" s="152"/>
      <c r="C399" s="160"/>
      <c r="D399" s="161"/>
      <c r="E399" s="161"/>
      <c r="F399" s="161"/>
      <c r="G399" s="161"/>
      <c r="H399" s="161"/>
      <c r="I399" s="161"/>
      <c r="J399" s="161"/>
      <c r="K399" s="161"/>
      <c r="L399" s="162"/>
      <c r="M399" s="161"/>
      <c r="N399" s="161"/>
      <c r="O399" s="161"/>
      <c r="P399" s="155"/>
      <c r="Q399" s="145"/>
    </row>
    <row r="400" spans="1:17" s="146" customFormat="1" ht="10.5" x14ac:dyDescent="0.25">
      <c r="A400" s="151"/>
      <c r="B400" s="157" t="s">
        <v>377</v>
      </c>
      <c r="C400" s="158" t="s">
        <v>402</v>
      </c>
      <c r="D400" s="158"/>
      <c r="E400" s="158"/>
      <c r="F400" s="158"/>
      <c r="G400" s="158"/>
      <c r="H400" s="158"/>
      <c r="I400" s="158"/>
      <c r="J400" s="158"/>
      <c r="K400" s="158"/>
      <c r="L400" s="158"/>
      <c r="M400" s="158"/>
      <c r="N400" s="158"/>
      <c r="O400" s="158">
        <f>SUM(O398:O399)</f>
        <v>62.616787958168075</v>
      </c>
      <c r="P400" s="159"/>
      <c r="Q400" s="145"/>
    </row>
    <row r="401" spans="1:19" s="150" customFormat="1" ht="31.5" x14ac:dyDescent="0.25">
      <c r="A401" s="147" t="str">
        <f>ORÇAMENTO!A104</f>
        <v>4.1.1.2.3</v>
      </c>
      <c r="B401" s="148" t="str">
        <f>VLOOKUP(A401,ORÇAMENTO!$A:$F,4,0)</f>
        <v>TRANSPORTE COM CAMINHÃO BASCULANTE DE 14 M³, EM VIA URBANA PAVIMENTADA, DMT ATÉ 30 KM (UNIDADE: M3XKM). AF_07/2020</v>
      </c>
      <c r="C401" s="149" t="str">
        <f>VLOOKUP(A401,ORÇAMENTO!$A:$F,5,0)</f>
        <v>M3XKM</v>
      </c>
      <c r="D401" s="149">
        <f>SUM(E405:O405)</f>
        <v>1878.5036387450423</v>
      </c>
      <c r="E401" s="149" t="s">
        <v>2174</v>
      </c>
      <c r="F401" s="149" t="s">
        <v>2150</v>
      </c>
      <c r="G401" s="149" t="s">
        <v>2151</v>
      </c>
      <c r="H401" s="149" t="s">
        <v>2152</v>
      </c>
      <c r="I401" s="149" t="s">
        <v>2153</v>
      </c>
      <c r="J401" s="149" t="s">
        <v>2154</v>
      </c>
      <c r="K401" s="149" t="s">
        <v>2172</v>
      </c>
      <c r="L401" s="149" t="s">
        <v>2156</v>
      </c>
      <c r="M401" s="149" t="s">
        <v>2175</v>
      </c>
      <c r="N401" s="149" t="s">
        <v>2157</v>
      </c>
      <c r="O401" s="149" t="s">
        <v>2158</v>
      </c>
      <c r="P401" s="145"/>
      <c r="Q401" s="145"/>
    </row>
    <row r="402" spans="1:19" s="146" customFormat="1" ht="10.5" x14ac:dyDescent="0.25">
      <c r="A402" s="151"/>
      <c r="B402" s="152"/>
      <c r="C402" s="160"/>
      <c r="D402" s="161"/>
      <c r="E402" s="161"/>
      <c r="F402" s="161"/>
      <c r="G402" s="161"/>
      <c r="H402" s="161"/>
      <c r="I402" s="161"/>
      <c r="J402" s="154"/>
      <c r="K402" s="161"/>
      <c r="L402" s="161"/>
      <c r="M402" s="161"/>
      <c r="N402" s="161"/>
      <c r="O402" s="161"/>
      <c r="P402" s="155"/>
      <c r="Q402" s="145"/>
    </row>
    <row r="403" spans="1:19" s="146" customFormat="1" ht="10.5" x14ac:dyDescent="0.25">
      <c r="A403" s="151"/>
      <c r="B403" s="152" t="s">
        <v>2176</v>
      </c>
      <c r="C403" s="160"/>
      <c r="D403" s="161"/>
      <c r="E403" s="161">
        <v>30</v>
      </c>
      <c r="F403" s="161"/>
      <c r="G403" s="161"/>
      <c r="H403" s="161"/>
      <c r="I403" s="161"/>
      <c r="J403" s="154"/>
      <c r="K403" s="161"/>
      <c r="L403" s="161"/>
      <c r="M403" s="161">
        <f>E403*O403</f>
        <v>1878.5036387450423</v>
      </c>
      <c r="N403" s="161"/>
      <c r="O403" s="161">
        <f>O400</f>
        <v>62.616787958168075</v>
      </c>
      <c r="P403" s="155"/>
      <c r="Q403" s="145"/>
    </row>
    <row r="404" spans="1:19" s="146" customFormat="1" ht="10.5" x14ac:dyDescent="0.25">
      <c r="A404" s="151"/>
      <c r="B404" s="152"/>
      <c r="C404" s="160"/>
      <c r="D404" s="161"/>
      <c r="E404" s="161"/>
      <c r="F404" s="161"/>
      <c r="G404" s="161"/>
      <c r="H404" s="161"/>
      <c r="I404" s="161"/>
      <c r="J404" s="158"/>
      <c r="K404" s="161"/>
      <c r="L404" s="162"/>
      <c r="M404" s="161"/>
      <c r="N404" s="161"/>
      <c r="O404" s="161"/>
      <c r="P404" s="155"/>
      <c r="Q404" s="145"/>
    </row>
    <row r="405" spans="1:19" s="146" customFormat="1" ht="10.5" x14ac:dyDescent="0.25">
      <c r="A405" s="151"/>
      <c r="B405" s="157" t="s">
        <v>377</v>
      </c>
      <c r="C405" s="158" t="s">
        <v>402</v>
      </c>
      <c r="D405" s="158"/>
      <c r="E405" s="158"/>
      <c r="F405" s="158"/>
      <c r="G405" s="158"/>
      <c r="H405" s="158"/>
      <c r="I405" s="158"/>
      <c r="K405" s="158"/>
      <c r="L405" s="158"/>
      <c r="M405" s="158">
        <f>SUM(M403:M404)</f>
        <v>1878.5036387450423</v>
      </c>
      <c r="N405" s="158"/>
      <c r="O405" s="158"/>
      <c r="P405" s="159"/>
      <c r="Q405" s="145"/>
    </row>
    <row r="406" spans="1:19" s="164" customFormat="1" ht="42" x14ac:dyDescent="0.35">
      <c r="A406" s="147" t="str">
        <f>ORÇAMENTO!A105</f>
        <v>4.1.1.2.4</v>
      </c>
      <c r="B406" s="148" t="str">
        <f>VLOOKUP(A406,ORÇAMENTO!$A:$F,4,0)</f>
        <v>TRANSPORTE COM CAMINHÃO BASCULANTE DE 14 M³, EM VIA URBANA PAVIMENTADA, ADICIONAL PARA DMT EXCEDENTE A 30 KM (UNIDADE: M3XKM). AF_07/2020</v>
      </c>
      <c r="C406" s="149" t="str">
        <f>VLOOKUP(A406,ORÇAMENTO!$A:$F,5,0)</f>
        <v>M3XKM</v>
      </c>
      <c r="D406" s="149">
        <f>SUM(E409:O409)</f>
        <v>2805.2321005259296</v>
      </c>
      <c r="E406" s="149" t="s">
        <v>2177</v>
      </c>
      <c r="F406" s="149" t="s">
        <v>2150</v>
      </c>
      <c r="G406" s="149" t="s">
        <v>2151</v>
      </c>
      <c r="H406" s="149" t="s">
        <v>2152</v>
      </c>
      <c r="I406" s="149" t="s">
        <v>2153</v>
      </c>
      <c r="J406" s="149" t="s">
        <v>2154</v>
      </c>
      <c r="K406" s="149" t="s">
        <v>2172</v>
      </c>
      <c r="L406" s="149" t="s">
        <v>2178</v>
      </c>
      <c r="M406" s="149" t="s">
        <v>2175</v>
      </c>
      <c r="N406" s="149" t="s">
        <v>2157</v>
      </c>
      <c r="O406" s="149" t="s">
        <v>2158</v>
      </c>
      <c r="P406" s="145"/>
      <c r="Q406" s="145"/>
      <c r="R406" s="145"/>
      <c r="S406" s="145"/>
    </row>
    <row r="407" spans="1:19" s="146" customFormat="1" ht="10.5" x14ac:dyDescent="0.25">
      <c r="A407" s="151"/>
      <c r="B407" s="152" t="s">
        <v>2176</v>
      </c>
      <c r="C407" s="153"/>
      <c r="D407" s="154"/>
      <c r="E407" s="154">
        <f>74.8-E403</f>
        <v>44.8</v>
      </c>
      <c r="F407" s="154"/>
      <c r="G407" s="154"/>
      <c r="H407" s="154"/>
      <c r="I407" s="154"/>
      <c r="J407" s="154"/>
      <c r="K407" s="154"/>
      <c r="L407" s="165"/>
      <c r="M407" s="154">
        <f>E407*O407</f>
        <v>2805.2321005259296</v>
      </c>
      <c r="N407" s="154"/>
      <c r="O407" s="154">
        <f>O403</f>
        <v>62.616787958168075</v>
      </c>
      <c r="P407" s="155"/>
      <c r="Q407" s="145"/>
    </row>
    <row r="408" spans="1:19" s="146" customFormat="1" ht="10.5" x14ac:dyDescent="0.25">
      <c r="A408" s="151"/>
      <c r="B408" s="152"/>
      <c r="C408" s="153"/>
      <c r="D408" s="154"/>
      <c r="E408" s="154"/>
      <c r="F408" s="154"/>
      <c r="G408" s="154"/>
      <c r="H408" s="154"/>
      <c r="I408" s="154"/>
      <c r="J408" s="154"/>
      <c r="K408" s="154"/>
      <c r="L408" s="165"/>
      <c r="M408" s="154"/>
      <c r="N408" s="154"/>
      <c r="O408" s="154"/>
      <c r="P408" s="155"/>
      <c r="Q408" s="145"/>
    </row>
    <row r="409" spans="1:19" s="146" customFormat="1" ht="10.5" x14ac:dyDescent="0.25">
      <c r="A409" s="151"/>
      <c r="B409" s="157" t="s">
        <v>377</v>
      </c>
      <c r="C409" s="158" t="s">
        <v>402</v>
      </c>
      <c r="D409" s="158"/>
      <c r="E409" s="158"/>
      <c r="F409" s="158"/>
      <c r="G409" s="158"/>
      <c r="H409" s="158"/>
      <c r="I409" s="158"/>
      <c r="J409" s="158"/>
      <c r="K409" s="158"/>
      <c r="L409" s="158"/>
      <c r="M409" s="158">
        <f>SUM(M407)</f>
        <v>2805.2321005259296</v>
      </c>
      <c r="N409" s="158"/>
      <c r="O409" s="158"/>
      <c r="P409" s="159"/>
      <c r="Q409" s="145"/>
    </row>
    <row r="410" spans="1:19" s="150" customFormat="1" ht="21" x14ac:dyDescent="0.25">
      <c r="A410" s="147" t="str">
        <f>ORÇAMENTO!A107</f>
        <v>4.1.1.3.1</v>
      </c>
      <c r="B410" s="148" t="str">
        <f>VLOOKUP(A410,ORÇAMENTO!$A:$F,4,0)</f>
        <v>DEMOLIÇÃO MANUAL DE CONCRETO ARMADO</v>
      </c>
      <c r="C410" s="149" t="str">
        <f>VLOOKUP(A410,ORÇAMENTO!$A:$F,5,0)</f>
        <v>M³</v>
      </c>
      <c r="D410" s="149">
        <f>SUM(E414:O414)</f>
        <v>31.395091843104815</v>
      </c>
      <c r="E410" s="149" t="s">
        <v>2149</v>
      </c>
      <c r="F410" s="149" t="s">
        <v>2150</v>
      </c>
      <c r="G410" s="149" t="s">
        <v>2151</v>
      </c>
      <c r="H410" s="149" t="s">
        <v>2152</v>
      </c>
      <c r="I410" s="149" t="s">
        <v>2153</v>
      </c>
      <c r="J410" s="149" t="s">
        <v>2154</v>
      </c>
      <c r="K410" s="149" t="s">
        <v>2155</v>
      </c>
      <c r="L410" s="149" t="s">
        <v>2156</v>
      </c>
      <c r="M410" s="149" t="s">
        <v>2160</v>
      </c>
      <c r="N410" s="149" t="s">
        <v>2157</v>
      </c>
      <c r="O410" s="149" t="s">
        <v>2158</v>
      </c>
      <c r="P410" s="145"/>
      <c r="Q410" s="145"/>
    </row>
    <row r="411" spans="1:19" s="146" customFormat="1" ht="10.5" x14ac:dyDescent="0.25">
      <c r="A411" s="151"/>
      <c r="B411" s="152"/>
      <c r="C411" s="160"/>
      <c r="D411" s="161"/>
      <c r="E411" s="161"/>
      <c r="F411" s="161"/>
      <c r="G411" s="161"/>
      <c r="H411" s="161"/>
      <c r="I411" s="161"/>
      <c r="J411" s="161"/>
      <c r="K411" s="161"/>
      <c r="L411" s="161"/>
      <c r="M411" s="161"/>
      <c r="N411" s="161"/>
      <c r="O411" s="161"/>
      <c r="P411" s="155"/>
      <c r="Q411" s="145"/>
    </row>
    <row r="412" spans="1:19" s="146" customFormat="1" ht="21" x14ac:dyDescent="0.25">
      <c r="A412" s="151"/>
      <c r="B412" s="152" t="s">
        <v>2179</v>
      </c>
      <c r="C412" s="160"/>
      <c r="D412" s="161"/>
      <c r="E412" s="161"/>
      <c r="F412" s="161"/>
      <c r="G412" s="161"/>
      <c r="H412" s="161"/>
      <c r="I412" s="161"/>
      <c r="J412" s="161"/>
      <c r="K412" s="161"/>
      <c r="L412" s="161"/>
      <c r="M412" s="161"/>
      <c r="N412" s="161"/>
      <c r="O412" s="161">
        <f>'Planilha Hidráulica'!Y33</f>
        <v>31.395091843104815</v>
      </c>
      <c r="P412" s="155"/>
      <c r="Q412" s="145"/>
    </row>
    <row r="413" spans="1:19" s="146" customFormat="1" ht="10.5" x14ac:dyDescent="0.25">
      <c r="A413" s="151"/>
      <c r="B413" s="152"/>
      <c r="C413" s="160"/>
      <c r="D413" s="161"/>
      <c r="E413" s="161"/>
      <c r="F413" s="161"/>
      <c r="G413" s="161"/>
      <c r="H413" s="161"/>
      <c r="I413" s="161"/>
      <c r="J413" s="161"/>
      <c r="K413" s="161"/>
      <c r="L413" s="162"/>
      <c r="M413" s="161"/>
      <c r="N413" s="161"/>
      <c r="O413" s="161"/>
      <c r="P413" s="155"/>
      <c r="Q413" s="145"/>
    </row>
    <row r="414" spans="1:19" s="146" customFormat="1" ht="10.5" x14ac:dyDescent="0.25">
      <c r="A414" s="151"/>
      <c r="B414" s="157" t="s">
        <v>377</v>
      </c>
      <c r="C414" s="158" t="s">
        <v>402</v>
      </c>
      <c r="D414" s="158"/>
      <c r="E414" s="158"/>
      <c r="F414" s="158"/>
      <c r="G414" s="158"/>
      <c r="H414" s="158"/>
      <c r="I414" s="158"/>
      <c r="J414" s="158"/>
      <c r="K414" s="158"/>
      <c r="L414" s="158"/>
      <c r="M414" s="158"/>
      <c r="N414" s="158"/>
      <c r="O414" s="158">
        <f>SUM(O412:O413)</f>
        <v>31.395091843104815</v>
      </c>
      <c r="P414" s="159"/>
      <c r="Q414" s="145"/>
    </row>
    <row r="415" spans="1:19" s="150" customFormat="1" ht="52.5" x14ac:dyDescent="0.25">
      <c r="A415" s="147" t="str">
        <f>ORÇAMENTO!A108</f>
        <v>4.1.1.3.2</v>
      </c>
      <c r="B415" s="148" t="str">
        <f>VLOOKUP(A415,ORÇAMENTO!$A:$F,4,0)</f>
        <v>CARGA, MANOBRA E DESCARGA DE ENTULHO EM CAMINHÃO BASCULANTE 14 M³ - CARGA COM ESCAVADEIRA HIDRÁULICA  (CAÇAMBA DE 0,80 M³ / 111 HP) E DESCARGA LIVRE (UNIDADE: M3). AF_07/2020</v>
      </c>
      <c r="C415" s="149" t="str">
        <f>VLOOKUP(A415,ORÇAMENTO!$A:$F,5,0)</f>
        <v>M³</v>
      </c>
      <c r="D415" s="149">
        <f>SUM(E419:O419)</f>
        <v>31.395091843104815</v>
      </c>
      <c r="E415" s="149" t="s">
        <v>2149</v>
      </c>
      <c r="F415" s="149" t="s">
        <v>2150</v>
      </c>
      <c r="G415" s="149" t="s">
        <v>2151</v>
      </c>
      <c r="H415" s="149" t="s">
        <v>2152</v>
      </c>
      <c r="I415" s="149" t="s">
        <v>2153</v>
      </c>
      <c r="J415" s="149" t="s">
        <v>2154</v>
      </c>
      <c r="K415" s="149" t="s">
        <v>2172</v>
      </c>
      <c r="L415" s="149" t="s">
        <v>2180</v>
      </c>
      <c r="M415" s="149" t="s">
        <v>2160</v>
      </c>
      <c r="N415" s="149" t="s">
        <v>2157</v>
      </c>
      <c r="O415" s="149" t="s">
        <v>2158</v>
      </c>
      <c r="P415" s="145"/>
      <c r="Q415" s="145"/>
    </row>
    <row r="416" spans="1:19" s="146" customFormat="1" ht="10.5" x14ac:dyDescent="0.25">
      <c r="A416" s="151"/>
      <c r="B416" s="152"/>
      <c r="C416" s="160"/>
      <c r="D416" s="161"/>
      <c r="E416" s="161"/>
      <c r="F416" s="161"/>
      <c r="G416" s="161"/>
      <c r="H416" s="161"/>
      <c r="I416" s="161"/>
      <c r="J416" s="161"/>
      <c r="K416" s="161"/>
      <c r="L416" s="161"/>
      <c r="M416" s="161"/>
      <c r="N416" s="161"/>
      <c r="O416" s="161"/>
      <c r="P416" s="155"/>
      <c r="Q416" s="145"/>
    </row>
    <row r="417" spans="1:19" s="146" customFormat="1" ht="10.5" x14ac:dyDescent="0.25">
      <c r="A417" s="151"/>
      <c r="B417" s="152" t="s">
        <v>2161</v>
      </c>
      <c r="C417" s="160"/>
      <c r="D417" s="161"/>
      <c r="E417" s="161"/>
      <c r="F417" s="161"/>
      <c r="G417" s="161"/>
      <c r="H417" s="161"/>
      <c r="I417" s="166"/>
      <c r="J417" s="161"/>
      <c r="K417" s="161"/>
      <c r="L417" s="161"/>
      <c r="M417" s="161"/>
      <c r="N417" s="161"/>
      <c r="O417" s="161">
        <f>O412</f>
        <v>31.395091843104815</v>
      </c>
      <c r="P417" s="155"/>
      <c r="Q417" s="145"/>
    </row>
    <row r="418" spans="1:19" s="146" customFormat="1" ht="10.5" x14ac:dyDescent="0.25">
      <c r="A418" s="151"/>
      <c r="B418" s="152"/>
      <c r="C418" s="160"/>
      <c r="D418" s="161"/>
      <c r="E418" s="161"/>
      <c r="F418" s="161"/>
      <c r="G418" s="161"/>
      <c r="H418" s="161"/>
      <c r="I418" s="161"/>
      <c r="J418" s="161"/>
      <c r="K418" s="161"/>
      <c r="L418" s="162"/>
      <c r="M418" s="161"/>
      <c r="N418" s="161"/>
      <c r="O418" s="161"/>
      <c r="P418" s="155"/>
      <c r="Q418" s="145"/>
    </row>
    <row r="419" spans="1:19" s="146" customFormat="1" ht="10.5" x14ac:dyDescent="0.25">
      <c r="A419" s="151"/>
      <c r="B419" s="157" t="s">
        <v>377</v>
      </c>
      <c r="C419" s="158" t="s">
        <v>402</v>
      </c>
      <c r="D419" s="158"/>
      <c r="E419" s="158"/>
      <c r="F419" s="158"/>
      <c r="G419" s="158"/>
      <c r="H419" s="158"/>
      <c r="I419" s="158"/>
      <c r="J419" s="158"/>
      <c r="K419" s="158"/>
      <c r="L419" s="158"/>
      <c r="M419" s="158"/>
      <c r="N419" s="158"/>
      <c r="O419" s="158">
        <f>SUM(O417:O418)</f>
        <v>31.395091843104815</v>
      </c>
      <c r="P419" s="159"/>
      <c r="Q419" s="145"/>
    </row>
    <row r="420" spans="1:19" s="150" customFormat="1" ht="31.5" x14ac:dyDescent="0.25">
      <c r="A420" s="147" t="str">
        <f>ORÇAMENTO!A109</f>
        <v>4.1.1.3.3</v>
      </c>
      <c r="B420" s="148" t="str">
        <f>VLOOKUP(A420,ORÇAMENTO!$A:$F,4,0)</f>
        <v>TRANSPORTE COM CAMINHÃO BASCULANTE DE 14 M³, EM VIA URBANA PAVIMENTADA, DMT ATÉ 30 KM (UNIDADE: M3XKM). AF_07/2020</v>
      </c>
      <c r="C420" s="149" t="str">
        <f>VLOOKUP(A420,ORÇAMENTO!$A:$F,5,0)</f>
        <v>M3XKM</v>
      </c>
      <c r="D420" s="149">
        <f>SUM(E424:O424)</f>
        <v>941.85275529314447</v>
      </c>
      <c r="E420" s="149" t="s">
        <v>2174</v>
      </c>
      <c r="F420" s="149" t="s">
        <v>2150</v>
      </c>
      <c r="G420" s="149" t="s">
        <v>2151</v>
      </c>
      <c r="H420" s="149" t="s">
        <v>2152</v>
      </c>
      <c r="I420" s="149" t="s">
        <v>2153</v>
      </c>
      <c r="J420" s="149" t="s">
        <v>2154</v>
      </c>
      <c r="K420" s="149" t="s">
        <v>2172</v>
      </c>
      <c r="L420" s="149" t="s">
        <v>2156</v>
      </c>
      <c r="M420" s="149" t="s">
        <v>2175</v>
      </c>
      <c r="N420" s="149" t="s">
        <v>2157</v>
      </c>
      <c r="O420" s="149" t="s">
        <v>2158</v>
      </c>
      <c r="P420" s="145"/>
      <c r="Q420" s="145"/>
    </row>
    <row r="421" spans="1:19" s="146" customFormat="1" ht="10.5" x14ac:dyDescent="0.25">
      <c r="A421" s="151"/>
      <c r="B421" s="152"/>
      <c r="C421" s="160"/>
      <c r="D421" s="161"/>
      <c r="E421" s="161"/>
      <c r="F421" s="161"/>
      <c r="G421" s="161"/>
      <c r="H421" s="161"/>
      <c r="I421" s="161"/>
      <c r="J421" s="154"/>
      <c r="K421" s="161"/>
      <c r="L421" s="161"/>
      <c r="M421" s="161"/>
      <c r="N421" s="161"/>
      <c r="O421" s="161"/>
      <c r="P421" s="155"/>
      <c r="Q421" s="145"/>
    </row>
    <row r="422" spans="1:19" s="146" customFormat="1" ht="10.5" x14ac:dyDescent="0.25">
      <c r="A422" s="151"/>
      <c r="B422" s="152" t="s">
        <v>2176</v>
      </c>
      <c r="C422" s="160"/>
      <c r="D422" s="161"/>
      <c r="E422" s="161">
        <v>30</v>
      </c>
      <c r="F422" s="161"/>
      <c r="G422" s="161"/>
      <c r="H422" s="161"/>
      <c r="I422" s="161"/>
      <c r="J422" s="154"/>
      <c r="K422" s="161"/>
      <c r="L422" s="161"/>
      <c r="M422" s="161">
        <f>O422*E422</f>
        <v>941.85275529314447</v>
      </c>
      <c r="N422" s="161"/>
      <c r="O422" s="161">
        <f>O419</f>
        <v>31.395091843104815</v>
      </c>
      <c r="P422" s="155"/>
      <c r="Q422" s="145"/>
    </row>
    <row r="423" spans="1:19" s="146" customFormat="1" ht="10.5" x14ac:dyDescent="0.25">
      <c r="A423" s="151"/>
      <c r="B423" s="152"/>
      <c r="C423" s="160"/>
      <c r="D423" s="161"/>
      <c r="E423" s="161"/>
      <c r="F423" s="161"/>
      <c r="G423" s="161"/>
      <c r="H423" s="161"/>
      <c r="I423" s="161"/>
      <c r="J423" s="158"/>
      <c r="K423" s="161"/>
      <c r="L423" s="162"/>
      <c r="M423" s="161"/>
      <c r="N423" s="161"/>
      <c r="O423" s="161"/>
      <c r="P423" s="155"/>
      <c r="Q423" s="145"/>
    </row>
    <row r="424" spans="1:19" s="146" customFormat="1" ht="10.5" x14ac:dyDescent="0.25">
      <c r="A424" s="151"/>
      <c r="B424" s="157" t="s">
        <v>377</v>
      </c>
      <c r="C424" s="158" t="s">
        <v>402</v>
      </c>
      <c r="D424" s="158"/>
      <c r="E424" s="158"/>
      <c r="F424" s="158"/>
      <c r="G424" s="158"/>
      <c r="H424" s="158"/>
      <c r="I424" s="158"/>
      <c r="K424" s="158"/>
      <c r="L424" s="158"/>
      <c r="M424" s="158">
        <f>SUM(M422:M423)</f>
        <v>941.85275529314447</v>
      </c>
      <c r="N424" s="158"/>
      <c r="O424" s="158"/>
      <c r="P424" s="159"/>
      <c r="Q424" s="145"/>
    </row>
    <row r="425" spans="1:19" s="164" customFormat="1" ht="42" x14ac:dyDescent="0.35">
      <c r="A425" s="147" t="str">
        <f>ORÇAMENTO!A110</f>
        <v>4.1.1.3.4</v>
      </c>
      <c r="B425" s="148" t="str">
        <f>VLOOKUP(A425,ORÇAMENTO!$A:$F,4,0)</f>
        <v>TRANSPORTE COM CAMINHÃO BASCULANTE DE 14 M³, EM VIA URBANA PAVIMENTADA, ADICIONAL PARA DMT EXCEDENTE A 30 KM (UNIDADE: M3XKM). AF_07/2020</v>
      </c>
      <c r="C425" s="149" t="str">
        <f>VLOOKUP(A425,ORÇAMENTO!$A:$F,5,0)</f>
        <v>M3XKM</v>
      </c>
      <c r="D425" s="149">
        <f>SUM(E428:O428)</f>
        <v>1406.5001145710955</v>
      </c>
      <c r="E425" s="149" t="s">
        <v>2177</v>
      </c>
      <c r="F425" s="149" t="s">
        <v>2150</v>
      </c>
      <c r="G425" s="149" t="s">
        <v>2151</v>
      </c>
      <c r="H425" s="149" t="s">
        <v>2152</v>
      </c>
      <c r="I425" s="149" t="s">
        <v>2153</v>
      </c>
      <c r="J425" s="149" t="s">
        <v>2154</v>
      </c>
      <c r="K425" s="149" t="s">
        <v>2172</v>
      </c>
      <c r="L425" s="149" t="s">
        <v>2178</v>
      </c>
      <c r="M425" s="149" t="s">
        <v>2175</v>
      </c>
      <c r="N425" s="149" t="s">
        <v>2157</v>
      </c>
      <c r="O425" s="149" t="s">
        <v>2158</v>
      </c>
      <c r="P425" s="145"/>
      <c r="Q425" s="145"/>
      <c r="R425" s="145"/>
      <c r="S425" s="145"/>
    </row>
    <row r="426" spans="1:19" s="146" customFormat="1" ht="10.5" x14ac:dyDescent="0.25">
      <c r="A426" s="151"/>
      <c r="B426" s="152" t="s">
        <v>2176</v>
      </c>
      <c r="C426" s="153"/>
      <c r="D426" s="154"/>
      <c r="E426" s="154">
        <f>74.8-E422</f>
        <v>44.8</v>
      </c>
      <c r="F426" s="154"/>
      <c r="G426" s="154"/>
      <c r="H426" s="154"/>
      <c r="I426" s="154"/>
      <c r="J426" s="154"/>
      <c r="K426" s="154"/>
      <c r="L426" s="165"/>
      <c r="M426" s="154">
        <f>E426*O426</f>
        <v>1406.5001145710955</v>
      </c>
      <c r="N426" s="154"/>
      <c r="O426" s="154">
        <f>O422</f>
        <v>31.395091843104815</v>
      </c>
      <c r="P426" s="155"/>
      <c r="Q426" s="145"/>
    </row>
    <row r="427" spans="1:19" s="146" customFormat="1" ht="10.5" x14ac:dyDescent="0.25">
      <c r="A427" s="151"/>
      <c r="B427" s="152"/>
      <c r="C427" s="153"/>
      <c r="D427" s="154"/>
      <c r="E427" s="154"/>
      <c r="F427" s="154"/>
      <c r="G427" s="154"/>
      <c r="H427" s="154"/>
      <c r="I427" s="154"/>
      <c r="J427" s="154"/>
      <c r="K427" s="154"/>
      <c r="L427" s="165"/>
      <c r="M427" s="154"/>
      <c r="N427" s="154"/>
      <c r="O427" s="154"/>
      <c r="P427" s="155"/>
      <c r="Q427" s="145"/>
    </row>
    <row r="428" spans="1:19" s="146" customFormat="1" ht="10.5" x14ac:dyDescent="0.25">
      <c r="A428" s="151"/>
      <c r="B428" s="157" t="s">
        <v>377</v>
      </c>
      <c r="C428" s="158" t="s">
        <v>402</v>
      </c>
      <c r="D428" s="158"/>
      <c r="E428" s="158"/>
      <c r="F428" s="158"/>
      <c r="G428" s="158"/>
      <c r="H428" s="158"/>
      <c r="I428" s="158"/>
      <c r="J428" s="158"/>
      <c r="K428" s="158"/>
      <c r="L428" s="158"/>
      <c r="M428" s="158">
        <f>SUM(M426)</f>
        <v>1406.5001145710955</v>
      </c>
      <c r="N428" s="158"/>
      <c r="O428" s="158"/>
      <c r="P428" s="159"/>
      <c r="Q428" s="145"/>
    </row>
    <row r="429" spans="1:19" s="150" customFormat="1" ht="31.5" x14ac:dyDescent="0.25">
      <c r="A429" s="147" t="str">
        <f>ORÇAMENTO!A112</f>
        <v>4.1.1.4.1</v>
      </c>
      <c r="B429" s="148" t="str">
        <f>VLOOKUP(A429,ORÇAMENTO!$A:$F,4,0)</f>
        <v>DEMOLICAO MECANICA DE CONCRETO SIMPLES C/ COMPRESSOR E MARTELETE PNEUMATICO INCL. REMOCAO ECARREG. MANUAL DO EXPURGO</v>
      </c>
      <c r="C429" s="149" t="str">
        <f>VLOOKUP(A429,ORÇAMENTO!$A:$F,5,0)</f>
        <v>M³</v>
      </c>
      <c r="D429" s="149">
        <f>SUM(E433:O433)</f>
        <v>232.3551540509261</v>
      </c>
      <c r="E429" s="149" t="s">
        <v>2149</v>
      </c>
      <c r="F429" s="149" t="s">
        <v>2150</v>
      </c>
      <c r="G429" s="149" t="s">
        <v>2151</v>
      </c>
      <c r="H429" s="149" t="s">
        <v>2152</v>
      </c>
      <c r="I429" s="149" t="s">
        <v>2153</v>
      </c>
      <c r="J429" s="149" t="s">
        <v>2154</v>
      </c>
      <c r="K429" s="149" t="s">
        <v>2155</v>
      </c>
      <c r="L429" s="149" t="s">
        <v>2156</v>
      </c>
      <c r="M429" s="149" t="s">
        <v>2160</v>
      </c>
      <c r="N429" s="149" t="s">
        <v>2157</v>
      </c>
      <c r="O429" s="149" t="s">
        <v>2158</v>
      </c>
      <c r="P429" s="145"/>
      <c r="Q429" s="145"/>
    </row>
    <row r="430" spans="1:19" s="146" customFormat="1" ht="10.5" x14ac:dyDescent="0.25">
      <c r="A430" s="151"/>
      <c r="B430" s="152"/>
      <c r="C430" s="160"/>
      <c r="D430" s="161"/>
      <c r="E430" s="161"/>
      <c r="F430" s="161"/>
      <c r="G430" s="161"/>
      <c r="H430" s="161"/>
      <c r="I430" s="161"/>
      <c r="J430" s="161"/>
      <c r="K430" s="161"/>
      <c r="L430" s="161"/>
      <c r="M430" s="161"/>
      <c r="N430" s="161"/>
      <c r="O430" s="161"/>
      <c r="P430" s="155"/>
      <c r="Q430" s="145"/>
    </row>
    <row r="431" spans="1:19" s="146" customFormat="1" ht="10.5" x14ac:dyDescent="0.25">
      <c r="A431" s="151"/>
      <c r="B431" s="152" t="s">
        <v>2161</v>
      </c>
      <c r="C431" s="160"/>
      <c r="D431" s="161"/>
      <c r="E431" s="161"/>
      <c r="F431" s="161"/>
      <c r="G431" s="161"/>
      <c r="H431" s="161"/>
      <c r="I431" s="161"/>
      <c r="J431" s="161"/>
      <c r="K431" s="161"/>
      <c r="L431" s="161"/>
      <c r="M431" s="161"/>
      <c r="N431" s="161"/>
      <c r="O431" s="161">
        <f>'Planilha Hidráulica'!Z33</f>
        <v>232.3551540509261</v>
      </c>
      <c r="P431" s="155"/>
      <c r="Q431" s="145"/>
    </row>
    <row r="432" spans="1:19" s="146" customFormat="1" ht="10.5" x14ac:dyDescent="0.25">
      <c r="A432" s="151"/>
      <c r="B432" s="152"/>
      <c r="C432" s="160"/>
      <c r="D432" s="161"/>
      <c r="E432" s="161"/>
      <c r="F432" s="161"/>
      <c r="G432" s="161"/>
      <c r="H432" s="161"/>
      <c r="I432" s="161"/>
      <c r="J432" s="161"/>
      <c r="K432" s="161"/>
      <c r="L432" s="162"/>
      <c r="M432" s="161"/>
      <c r="N432" s="161"/>
      <c r="O432" s="161"/>
      <c r="P432" s="155"/>
      <c r="Q432" s="145"/>
    </row>
    <row r="433" spans="1:19" s="146" customFormat="1" ht="10.5" x14ac:dyDescent="0.25">
      <c r="A433" s="151"/>
      <c r="B433" s="157" t="s">
        <v>377</v>
      </c>
      <c r="C433" s="158" t="s">
        <v>402</v>
      </c>
      <c r="D433" s="158"/>
      <c r="E433" s="158"/>
      <c r="F433" s="158"/>
      <c r="G433" s="158"/>
      <c r="H433" s="158"/>
      <c r="I433" s="158"/>
      <c r="J433" s="158"/>
      <c r="K433" s="158"/>
      <c r="L433" s="158"/>
      <c r="M433" s="158"/>
      <c r="N433" s="158"/>
      <c r="O433" s="158">
        <f>SUM(O431:O432)</f>
        <v>232.3551540509261</v>
      </c>
      <c r="P433" s="159"/>
      <c r="Q433" s="145"/>
    </row>
    <row r="434" spans="1:19" s="150" customFormat="1" ht="52.5" x14ac:dyDescent="0.25">
      <c r="A434" s="147" t="str">
        <f>ORÇAMENTO!A113</f>
        <v>4.1.1.4.2</v>
      </c>
      <c r="B434" s="148" t="str">
        <f>VLOOKUP(A434,ORÇAMENTO!$A:$F,4,0)</f>
        <v>CARGA, MANOBRA E DESCARGA DE ENTULHO EM CAMINHÃO BASCULANTE 14 M³ - CARGA COM ESCAVADEIRA HIDRÁULICA  (CAÇAMBA DE 0,80 M³ / 111 HP) E DESCARGA LIVRE (UNIDADE: M3). AF_07/2020</v>
      </c>
      <c r="C434" s="149" t="str">
        <f>VLOOKUP(A434,ORÇAMENTO!$A:$F,5,0)</f>
        <v>M³</v>
      </c>
      <c r="D434" s="149">
        <f>SUM(E438:O438)</f>
        <v>232.3551540509261</v>
      </c>
      <c r="E434" s="149" t="s">
        <v>2149</v>
      </c>
      <c r="F434" s="149" t="s">
        <v>2150</v>
      </c>
      <c r="G434" s="149" t="s">
        <v>2151</v>
      </c>
      <c r="H434" s="149" t="s">
        <v>2152</v>
      </c>
      <c r="I434" s="149" t="s">
        <v>2153</v>
      </c>
      <c r="J434" s="149" t="s">
        <v>2154</v>
      </c>
      <c r="K434" s="149" t="s">
        <v>2172</v>
      </c>
      <c r="L434" s="149" t="s">
        <v>2180</v>
      </c>
      <c r="M434" s="149" t="s">
        <v>2160</v>
      </c>
      <c r="N434" s="149" t="s">
        <v>2157</v>
      </c>
      <c r="O434" s="149" t="s">
        <v>2158</v>
      </c>
      <c r="P434" s="145"/>
      <c r="Q434" s="145"/>
    </row>
    <row r="435" spans="1:19" s="146" customFormat="1" ht="10.5" x14ac:dyDescent="0.25">
      <c r="A435" s="151"/>
      <c r="B435" s="152"/>
      <c r="C435" s="160"/>
      <c r="D435" s="161"/>
      <c r="E435" s="161"/>
      <c r="F435" s="161"/>
      <c r="G435" s="161"/>
      <c r="H435" s="161"/>
      <c r="I435" s="161"/>
      <c r="J435" s="161"/>
      <c r="K435" s="161"/>
      <c r="L435" s="161"/>
      <c r="M435" s="161"/>
      <c r="N435" s="161"/>
      <c r="O435" s="161"/>
      <c r="P435" s="155"/>
      <c r="Q435" s="145"/>
    </row>
    <row r="436" spans="1:19" s="146" customFormat="1" ht="10.5" x14ac:dyDescent="0.25">
      <c r="A436" s="151"/>
      <c r="B436" s="152" t="s">
        <v>2161</v>
      </c>
      <c r="C436" s="160"/>
      <c r="D436" s="161"/>
      <c r="E436" s="161"/>
      <c r="F436" s="161"/>
      <c r="G436" s="161"/>
      <c r="H436" s="161"/>
      <c r="I436" s="161"/>
      <c r="J436" s="161"/>
      <c r="K436" s="161"/>
      <c r="L436" s="161"/>
      <c r="M436" s="161"/>
      <c r="N436" s="161"/>
      <c r="O436" s="161">
        <f>O433</f>
        <v>232.3551540509261</v>
      </c>
      <c r="P436" s="155"/>
      <c r="Q436" s="145"/>
    </row>
    <row r="437" spans="1:19" s="146" customFormat="1" ht="10.5" x14ac:dyDescent="0.25">
      <c r="A437" s="151"/>
      <c r="B437" s="152"/>
      <c r="C437" s="160"/>
      <c r="D437" s="161"/>
      <c r="E437" s="161"/>
      <c r="F437" s="161"/>
      <c r="G437" s="161"/>
      <c r="H437" s="161"/>
      <c r="I437" s="161"/>
      <c r="J437" s="161"/>
      <c r="K437" s="161"/>
      <c r="L437" s="162"/>
      <c r="M437" s="161"/>
      <c r="N437" s="161"/>
      <c r="O437" s="161"/>
      <c r="P437" s="155"/>
      <c r="Q437" s="145"/>
    </row>
    <row r="438" spans="1:19" s="146" customFormat="1" ht="10.5" x14ac:dyDescent="0.25">
      <c r="A438" s="151"/>
      <c r="B438" s="157" t="s">
        <v>377</v>
      </c>
      <c r="C438" s="158" t="s">
        <v>402</v>
      </c>
      <c r="D438" s="158"/>
      <c r="E438" s="158"/>
      <c r="F438" s="158"/>
      <c r="G438" s="158"/>
      <c r="H438" s="158"/>
      <c r="I438" s="158"/>
      <c r="J438" s="158"/>
      <c r="K438" s="158"/>
      <c r="L438" s="158"/>
      <c r="M438" s="158"/>
      <c r="N438" s="158"/>
      <c r="O438" s="158">
        <f>SUM(O436:O437)</f>
        <v>232.3551540509261</v>
      </c>
      <c r="P438" s="159"/>
      <c r="Q438" s="145"/>
    </row>
    <row r="439" spans="1:19" s="150" customFormat="1" ht="31.5" x14ac:dyDescent="0.25">
      <c r="A439" s="147" t="str">
        <f>ORÇAMENTO!A114</f>
        <v>4.1.1.4.3</v>
      </c>
      <c r="B439" s="148" t="str">
        <f>VLOOKUP(A439,ORÇAMENTO!$A:$F,4,0)</f>
        <v>TRANSPORTE COM CAMINHÃO BASCULANTE DE 14 M³, EM VIA URBANA PAVIMENTADA, DMT ATÉ 30 KM (UNIDADE: M3XKM). AF_07/2020</v>
      </c>
      <c r="C439" s="149" t="str">
        <f>VLOOKUP(A439,ORÇAMENTO!$A:$F,5,0)</f>
        <v>M3XKM</v>
      </c>
      <c r="D439" s="149">
        <f>SUM(E443:O443)</f>
        <v>6970.6546215277831</v>
      </c>
      <c r="E439" s="149" t="s">
        <v>2174</v>
      </c>
      <c r="F439" s="149" t="s">
        <v>2150</v>
      </c>
      <c r="G439" s="149" t="s">
        <v>2151</v>
      </c>
      <c r="H439" s="149" t="s">
        <v>2152</v>
      </c>
      <c r="I439" s="149" t="s">
        <v>2153</v>
      </c>
      <c r="J439" s="149" t="s">
        <v>2154</v>
      </c>
      <c r="K439" s="149" t="s">
        <v>2172</v>
      </c>
      <c r="L439" s="149" t="s">
        <v>2156</v>
      </c>
      <c r="M439" s="149" t="s">
        <v>2175</v>
      </c>
      <c r="N439" s="149" t="s">
        <v>2157</v>
      </c>
      <c r="O439" s="149" t="s">
        <v>2158</v>
      </c>
      <c r="P439" s="145"/>
      <c r="Q439" s="145"/>
    </row>
    <row r="440" spans="1:19" s="146" customFormat="1" ht="10.5" x14ac:dyDescent="0.25">
      <c r="A440" s="151"/>
      <c r="B440" s="152"/>
      <c r="C440" s="160"/>
      <c r="D440" s="161"/>
      <c r="E440" s="161"/>
      <c r="F440" s="161"/>
      <c r="G440" s="161"/>
      <c r="H440" s="161"/>
      <c r="I440" s="161"/>
      <c r="J440" s="154"/>
      <c r="K440" s="161"/>
      <c r="L440" s="161"/>
      <c r="M440" s="161"/>
      <c r="N440" s="161"/>
      <c r="O440" s="161"/>
      <c r="P440" s="155"/>
      <c r="Q440" s="145"/>
    </row>
    <row r="441" spans="1:19" s="146" customFormat="1" ht="10.5" x14ac:dyDescent="0.25">
      <c r="A441" s="151"/>
      <c r="B441" s="152" t="s">
        <v>2176</v>
      </c>
      <c r="C441" s="160"/>
      <c r="D441" s="161"/>
      <c r="E441" s="161">
        <v>30</v>
      </c>
      <c r="F441" s="161"/>
      <c r="G441" s="161"/>
      <c r="H441" s="161"/>
      <c r="I441" s="161"/>
      <c r="J441" s="154"/>
      <c r="K441" s="161"/>
      <c r="L441" s="161"/>
      <c r="M441" s="161">
        <f>O441*E441</f>
        <v>6970.6546215277831</v>
      </c>
      <c r="N441" s="161"/>
      <c r="O441" s="161">
        <f>O438</f>
        <v>232.3551540509261</v>
      </c>
      <c r="P441" s="155"/>
      <c r="Q441" s="145"/>
    </row>
    <row r="442" spans="1:19" s="146" customFormat="1" ht="10.5" x14ac:dyDescent="0.25">
      <c r="A442" s="151"/>
      <c r="B442" s="152"/>
      <c r="C442" s="160"/>
      <c r="D442" s="161"/>
      <c r="E442" s="161"/>
      <c r="F442" s="161"/>
      <c r="G442" s="161"/>
      <c r="H442" s="161"/>
      <c r="I442" s="161"/>
      <c r="J442" s="158"/>
      <c r="K442" s="161"/>
      <c r="L442" s="162"/>
      <c r="M442" s="161"/>
      <c r="N442" s="161"/>
      <c r="O442" s="161"/>
      <c r="P442" s="155"/>
      <c r="Q442" s="145"/>
    </row>
    <row r="443" spans="1:19" s="146" customFormat="1" ht="10.5" x14ac:dyDescent="0.25">
      <c r="A443" s="151"/>
      <c r="B443" s="157" t="s">
        <v>377</v>
      </c>
      <c r="C443" s="158" t="s">
        <v>402</v>
      </c>
      <c r="D443" s="158"/>
      <c r="E443" s="158"/>
      <c r="F443" s="158"/>
      <c r="G443" s="158"/>
      <c r="H443" s="158"/>
      <c r="I443" s="158"/>
      <c r="K443" s="158"/>
      <c r="L443" s="158"/>
      <c r="M443" s="158">
        <f>SUM(M441:M442)</f>
        <v>6970.6546215277831</v>
      </c>
      <c r="N443" s="158"/>
      <c r="O443" s="158"/>
      <c r="P443" s="159"/>
      <c r="Q443" s="145"/>
    </row>
    <row r="444" spans="1:19" s="164" customFormat="1" ht="42" x14ac:dyDescent="0.35">
      <c r="A444" s="147" t="str">
        <f>ORÇAMENTO!A115</f>
        <v>4.1.1.4.4</v>
      </c>
      <c r="B444" s="148" t="str">
        <f>VLOOKUP(A444,ORÇAMENTO!$A:$F,4,0)</f>
        <v>TRANSPORTE COM CAMINHÃO BASCULANTE DE 14 M³, EM VIA URBANA PAVIMENTADA, ADICIONAL PARA DMT EXCEDENTE A 30 KM (UNIDADE: M3XKM). AF_07/2020</v>
      </c>
      <c r="C444" s="149" t="str">
        <f>VLOOKUP(A444,ORÇAMENTO!$A:$F,5,0)</f>
        <v>M3XKM</v>
      </c>
      <c r="D444" s="149">
        <f>SUM(E447:O447)</f>
        <v>10409.510901481488</v>
      </c>
      <c r="E444" s="149" t="s">
        <v>2177</v>
      </c>
      <c r="F444" s="149" t="s">
        <v>2150</v>
      </c>
      <c r="G444" s="149" t="s">
        <v>2151</v>
      </c>
      <c r="H444" s="149" t="s">
        <v>2152</v>
      </c>
      <c r="I444" s="149" t="s">
        <v>2153</v>
      </c>
      <c r="J444" s="149" t="s">
        <v>2154</v>
      </c>
      <c r="K444" s="149" t="s">
        <v>2172</v>
      </c>
      <c r="L444" s="149" t="s">
        <v>2178</v>
      </c>
      <c r="M444" s="149" t="s">
        <v>2175</v>
      </c>
      <c r="N444" s="149" t="s">
        <v>2157</v>
      </c>
      <c r="O444" s="149" t="s">
        <v>2158</v>
      </c>
      <c r="P444" s="145"/>
      <c r="Q444" s="145"/>
      <c r="R444" s="145"/>
      <c r="S444" s="145"/>
    </row>
    <row r="445" spans="1:19" s="146" customFormat="1" ht="10.5" x14ac:dyDescent="0.25">
      <c r="A445" s="151"/>
      <c r="B445" s="152" t="s">
        <v>2176</v>
      </c>
      <c r="C445" s="153"/>
      <c r="D445" s="154"/>
      <c r="E445" s="154">
        <f>74.8-E441</f>
        <v>44.8</v>
      </c>
      <c r="F445" s="154"/>
      <c r="G445" s="154"/>
      <c r="H445" s="154"/>
      <c r="I445" s="154"/>
      <c r="J445" s="154"/>
      <c r="K445" s="154"/>
      <c r="L445" s="165"/>
      <c r="M445" s="154">
        <f>E445*O445</f>
        <v>10409.510901481488</v>
      </c>
      <c r="N445" s="154"/>
      <c r="O445" s="154">
        <f>O441</f>
        <v>232.3551540509261</v>
      </c>
      <c r="P445" s="155"/>
      <c r="Q445" s="145"/>
    </row>
    <row r="446" spans="1:19" s="146" customFormat="1" ht="10.5" x14ac:dyDescent="0.25">
      <c r="A446" s="151"/>
      <c r="B446" s="152"/>
      <c r="C446" s="153"/>
      <c r="D446" s="154"/>
      <c r="E446" s="154"/>
      <c r="F446" s="154"/>
      <c r="G446" s="154"/>
      <c r="H446" s="154"/>
      <c r="I446" s="154"/>
      <c r="J446" s="154"/>
      <c r="K446" s="154"/>
      <c r="L446" s="165"/>
      <c r="M446" s="154"/>
      <c r="N446" s="154"/>
      <c r="O446" s="154"/>
      <c r="P446" s="155"/>
      <c r="Q446" s="145"/>
    </row>
    <row r="447" spans="1:19" s="146" customFormat="1" ht="10.5" x14ac:dyDescent="0.25">
      <c r="A447" s="151"/>
      <c r="B447" s="157" t="s">
        <v>377</v>
      </c>
      <c r="C447" s="158" t="s">
        <v>402</v>
      </c>
      <c r="D447" s="158"/>
      <c r="E447" s="158"/>
      <c r="F447" s="158"/>
      <c r="G447" s="158"/>
      <c r="H447" s="158"/>
      <c r="I447" s="158"/>
      <c r="J447" s="158"/>
      <c r="K447" s="158"/>
      <c r="L447" s="158"/>
      <c r="M447" s="158">
        <f>SUM(M445)</f>
        <v>10409.510901481488</v>
      </c>
      <c r="N447" s="158"/>
      <c r="O447" s="158"/>
      <c r="P447" s="159"/>
      <c r="Q447" s="145"/>
    </row>
    <row r="448" spans="1:19" s="164" customFormat="1" x14ac:dyDescent="0.35">
      <c r="A448" s="147"/>
      <c r="B448" s="148" t="str">
        <f>ORÇAMENTO!D116</f>
        <v>DEMOLIÇÕES DE PASSEIOS E MEIO-FIO</v>
      </c>
      <c r="C448" s="149"/>
      <c r="D448" s="149"/>
      <c r="E448" s="149"/>
      <c r="F448" s="149"/>
      <c r="G448" s="149"/>
      <c r="H448" s="149"/>
      <c r="I448" s="149"/>
      <c r="J448" s="149"/>
      <c r="K448" s="149"/>
      <c r="L448" s="149"/>
      <c r="M448" s="149"/>
      <c r="N448" s="149"/>
      <c r="O448" s="149"/>
      <c r="P448" s="145"/>
      <c r="Q448" s="145"/>
      <c r="R448" s="145"/>
      <c r="S448" s="145"/>
    </row>
    <row r="449" spans="1:19" s="164" customFormat="1" ht="52.5" x14ac:dyDescent="0.35">
      <c r="A449" s="147" t="str">
        <f>ORÇAMENTO!A117</f>
        <v>4.1.1.5.1</v>
      </c>
      <c r="B449" s="148" t="str">
        <f>VLOOKUP(A449,ORÇAMENTO!$A:$F,4,0)</f>
        <v>DEMOLICAO COM EQUIPAMENTO DE AR COMPRIMIDO,DE PASSEIO CIMENT ADO COM ESPESSURA ATE 10CM,INCLUSIVE EMPILHAMENTO LATERAL DE NTRO DO CANTEIRO DE SERVICO 3%-DESGASTE DE FERRAMENTAS E EPI</v>
      </c>
      <c r="C449" s="149" t="str">
        <f>VLOOKUP(A449,ORÇAMENTO!$A:$F,5,0)</f>
        <v>M2</v>
      </c>
      <c r="D449" s="149">
        <f>SUM(E465:O465)</f>
        <v>348.56639999999999</v>
      </c>
      <c r="E449" s="149" t="s">
        <v>2149</v>
      </c>
      <c r="F449" s="149" t="s">
        <v>2150</v>
      </c>
      <c r="G449" s="149" t="s">
        <v>2151</v>
      </c>
      <c r="H449" s="149" t="s">
        <v>2152</v>
      </c>
      <c r="I449" s="149" t="s">
        <v>2153</v>
      </c>
      <c r="J449" s="149" t="s">
        <v>2154</v>
      </c>
      <c r="K449" s="149" t="s">
        <v>2181</v>
      </c>
      <c r="L449" s="149" t="s">
        <v>2178</v>
      </c>
      <c r="M449" s="149" t="s">
        <v>2175</v>
      </c>
      <c r="N449" s="149" t="s">
        <v>2157</v>
      </c>
      <c r="O449" s="149" t="s">
        <v>2158</v>
      </c>
      <c r="P449" s="145"/>
      <c r="Q449" s="145"/>
      <c r="R449" s="145"/>
      <c r="S449" s="145"/>
    </row>
    <row r="450" spans="1:19" s="146" customFormat="1" ht="31.5" x14ac:dyDescent="0.25">
      <c r="A450" s="151"/>
      <c r="B450" s="152" t="s">
        <v>2182</v>
      </c>
      <c r="C450" s="153"/>
      <c r="D450" s="154"/>
      <c r="E450" s="154"/>
      <c r="F450" s="154"/>
      <c r="G450" s="154"/>
      <c r="H450" s="154"/>
      <c r="I450" s="154"/>
      <c r="J450" s="154"/>
      <c r="K450" s="154"/>
      <c r="L450" s="165"/>
      <c r="M450" s="154"/>
      <c r="N450" s="154"/>
      <c r="O450" s="154"/>
      <c r="P450" s="155"/>
      <c r="Q450" s="145"/>
    </row>
    <row r="451" spans="1:19" s="146" customFormat="1" ht="10.5" x14ac:dyDescent="0.25">
      <c r="A451" s="151"/>
      <c r="B451" s="157" t="s">
        <v>2183</v>
      </c>
      <c r="C451" s="153"/>
      <c r="D451" s="154"/>
      <c r="E451" s="154"/>
      <c r="F451" s="154"/>
      <c r="G451" s="154"/>
      <c r="H451" s="154"/>
      <c r="I451" s="154"/>
      <c r="J451" s="154"/>
      <c r="K451" s="154"/>
      <c r="L451" s="165"/>
      <c r="M451" s="154"/>
      <c r="N451" s="154"/>
      <c r="O451" s="154"/>
      <c r="P451" s="155"/>
      <c r="Q451" s="145"/>
    </row>
    <row r="452" spans="1:19" s="146" customFormat="1" ht="21" x14ac:dyDescent="0.25">
      <c r="A452" s="151"/>
      <c r="B452" s="152" t="s">
        <v>2184</v>
      </c>
      <c r="C452" s="153"/>
      <c r="D452" s="154"/>
      <c r="E452" s="154">
        <f>2.38+0.5</f>
        <v>2.88</v>
      </c>
      <c r="F452" s="154">
        <f>1.18+0.5</f>
        <v>1.68</v>
      </c>
      <c r="G452" s="154"/>
      <c r="H452" s="154">
        <v>7.0000000000000007E-2</v>
      </c>
      <c r="I452" s="154"/>
      <c r="J452" s="154"/>
      <c r="K452" s="154">
        <f>'BOCA DE LOBO'!O2</f>
        <v>0</v>
      </c>
      <c r="L452" s="165"/>
      <c r="M452" s="154"/>
      <c r="N452" s="154">
        <f>E452*F452*K452</f>
        <v>0</v>
      </c>
      <c r="O452" s="154">
        <f t="shared" ref="O452:O463" si="0">E452*F452*H452*K452</f>
        <v>0</v>
      </c>
      <c r="P452" s="155"/>
      <c r="Q452" s="145"/>
    </row>
    <row r="453" spans="1:19" s="146" customFormat="1" ht="21" x14ac:dyDescent="0.25">
      <c r="A453" s="151"/>
      <c r="B453" s="152" t="s">
        <v>2185</v>
      </c>
      <c r="C453" s="153"/>
      <c r="D453" s="154"/>
      <c r="E453" s="154">
        <f>1.19+0.5</f>
        <v>1.69</v>
      </c>
      <c r="F453" s="154">
        <f>1.18+0.5</f>
        <v>1.68</v>
      </c>
      <c r="G453" s="154"/>
      <c r="H453" s="154">
        <v>7.0000000000000007E-2</v>
      </c>
      <c r="I453" s="154"/>
      <c r="J453" s="154"/>
      <c r="K453" s="154">
        <f>'BOCA DE LOBO'!O3</f>
        <v>0</v>
      </c>
      <c r="L453" s="165"/>
      <c r="M453" s="154"/>
      <c r="N453" s="154">
        <f t="shared" ref="N453:N463" si="1">E453*F453*K453</f>
        <v>0</v>
      </c>
      <c r="O453" s="154">
        <f t="shared" si="0"/>
        <v>0</v>
      </c>
      <c r="P453" s="155"/>
      <c r="Q453" s="145"/>
    </row>
    <row r="454" spans="1:19" s="146" customFormat="1" ht="21" x14ac:dyDescent="0.25">
      <c r="A454" s="151"/>
      <c r="B454" s="152" t="s">
        <v>2186</v>
      </c>
      <c r="C454" s="153"/>
      <c r="D454" s="154"/>
      <c r="E454" s="154">
        <f>3.54+0.5</f>
        <v>4.04</v>
      </c>
      <c r="F454" s="154">
        <f t="shared" ref="F454:F463" si="2">1.18+0.5</f>
        <v>1.68</v>
      </c>
      <c r="G454" s="154"/>
      <c r="H454" s="154">
        <v>7.0000000000000007E-2</v>
      </c>
      <c r="I454" s="154"/>
      <c r="J454" s="154"/>
      <c r="K454" s="154">
        <f>'BOCA DE LOBO'!O4</f>
        <v>0</v>
      </c>
      <c r="L454" s="165"/>
      <c r="M454" s="154"/>
      <c r="N454" s="154">
        <f t="shared" si="1"/>
        <v>0</v>
      </c>
      <c r="O454" s="154">
        <f t="shared" si="0"/>
        <v>0</v>
      </c>
      <c r="P454" s="155"/>
      <c r="Q454" s="145"/>
    </row>
    <row r="455" spans="1:19" s="146" customFormat="1" ht="21" x14ac:dyDescent="0.25">
      <c r="A455" s="151"/>
      <c r="B455" s="152" t="s">
        <v>2187</v>
      </c>
      <c r="C455" s="153"/>
      <c r="D455" s="154"/>
      <c r="E455" s="154">
        <f>1.19+0.5</f>
        <v>1.69</v>
      </c>
      <c r="F455" s="154">
        <f t="shared" si="2"/>
        <v>1.68</v>
      </c>
      <c r="G455" s="154"/>
      <c r="H455" s="154">
        <v>7.0000000000000007E-2</v>
      </c>
      <c r="I455" s="154"/>
      <c r="J455" s="154"/>
      <c r="K455" s="154">
        <f>'BOCA DE LOBO'!O5</f>
        <v>0</v>
      </c>
      <c r="L455" s="165"/>
      <c r="M455" s="154"/>
      <c r="N455" s="154">
        <f t="shared" si="1"/>
        <v>0</v>
      </c>
      <c r="O455" s="154">
        <f t="shared" si="0"/>
        <v>0</v>
      </c>
      <c r="P455" s="155"/>
      <c r="Q455" s="145"/>
    </row>
    <row r="456" spans="1:19" s="146" customFormat="1" ht="21" x14ac:dyDescent="0.25">
      <c r="A456" s="151"/>
      <c r="B456" s="152" t="s">
        <v>2188</v>
      </c>
      <c r="C456" s="153"/>
      <c r="D456" s="154"/>
      <c r="E456" s="154">
        <f>2.38+0.5</f>
        <v>2.88</v>
      </c>
      <c r="F456" s="154">
        <f t="shared" si="2"/>
        <v>1.68</v>
      </c>
      <c r="G456" s="154"/>
      <c r="H456" s="154">
        <v>7.0000000000000007E-2</v>
      </c>
      <c r="I456" s="154"/>
      <c r="J456" s="154"/>
      <c r="K456" s="154">
        <f>'BOCA DE LOBO'!O6</f>
        <v>0</v>
      </c>
      <c r="L456" s="165"/>
      <c r="M456" s="154"/>
      <c r="N456" s="154">
        <f t="shared" si="1"/>
        <v>0</v>
      </c>
      <c r="O456" s="154">
        <f t="shared" si="0"/>
        <v>0</v>
      </c>
      <c r="P456" s="155"/>
      <c r="Q456" s="145"/>
    </row>
    <row r="457" spans="1:19" s="146" customFormat="1" ht="21" x14ac:dyDescent="0.25">
      <c r="A457" s="151"/>
      <c r="B457" s="152" t="s">
        <v>2189</v>
      </c>
      <c r="C457" s="153"/>
      <c r="D457" s="154"/>
      <c r="E457" s="154">
        <f>3.54+0.5</f>
        <v>4.04</v>
      </c>
      <c r="F457" s="154">
        <f t="shared" si="2"/>
        <v>1.68</v>
      </c>
      <c r="G457" s="154"/>
      <c r="H457" s="154">
        <v>7.0000000000000007E-2</v>
      </c>
      <c r="I457" s="154"/>
      <c r="J457" s="154"/>
      <c r="K457" s="154">
        <f>'BOCA DE LOBO'!O7</f>
        <v>0</v>
      </c>
      <c r="L457" s="165"/>
      <c r="M457" s="154"/>
      <c r="N457" s="154">
        <f t="shared" si="1"/>
        <v>0</v>
      </c>
      <c r="O457" s="154">
        <f t="shared" si="0"/>
        <v>0</v>
      </c>
      <c r="P457" s="155"/>
      <c r="Q457" s="145"/>
    </row>
    <row r="458" spans="1:19" s="146" customFormat="1" ht="21" x14ac:dyDescent="0.25">
      <c r="A458" s="151"/>
      <c r="B458" s="152" t="s">
        <v>2190</v>
      </c>
      <c r="C458" s="153"/>
      <c r="D458" s="154"/>
      <c r="E458" s="154">
        <f>1.19+0.5</f>
        <v>1.69</v>
      </c>
      <c r="F458" s="154">
        <f t="shared" si="2"/>
        <v>1.68</v>
      </c>
      <c r="G458" s="154"/>
      <c r="H458" s="154">
        <v>7.0000000000000007E-2</v>
      </c>
      <c r="I458" s="154"/>
      <c r="J458" s="154"/>
      <c r="K458" s="154">
        <f>'BOCA DE LOBO'!O8</f>
        <v>0</v>
      </c>
      <c r="L458" s="165"/>
      <c r="M458" s="154"/>
      <c r="N458" s="154">
        <f t="shared" si="1"/>
        <v>0</v>
      </c>
      <c r="O458" s="154">
        <f t="shared" si="0"/>
        <v>0</v>
      </c>
      <c r="P458" s="155"/>
      <c r="Q458" s="145"/>
    </row>
    <row r="459" spans="1:19" s="146" customFormat="1" ht="21" x14ac:dyDescent="0.25">
      <c r="A459" s="151"/>
      <c r="B459" s="152" t="s">
        <v>2191</v>
      </c>
      <c r="C459" s="153"/>
      <c r="D459" s="154"/>
      <c r="E459" s="154">
        <f>2.38+0.5</f>
        <v>2.88</v>
      </c>
      <c r="F459" s="154">
        <f t="shared" si="2"/>
        <v>1.68</v>
      </c>
      <c r="G459" s="154"/>
      <c r="H459" s="154">
        <v>7.0000000000000007E-2</v>
      </c>
      <c r="I459" s="154"/>
      <c r="J459" s="154"/>
      <c r="K459" s="154">
        <f>'BOCA DE LOBO'!O11</f>
        <v>0</v>
      </c>
      <c r="L459" s="165"/>
      <c r="M459" s="154"/>
      <c r="N459" s="154">
        <f t="shared" si="1"/>
        <v>0</v>
      </c>
      <c r="O459" s="154">
        <f t="shared" si="0"/>
        <v>0</v>
      </c>
      <c r="P459" s="155"/>
      <c r="Q459" s="145"/>
    </row>
    <row r="460" spans="1:19" s="146" customFormat="1" ht="21" x14ac:dyDescent="0.25">
      <c r="A460" s="151"/>
      <c r="B460" s="152" t="s">
        <v>2192</v>
      </c>
      <c r="C460" s="153"/>
      <c r="D460" s="154"/>
      <c r="E460" s="154">
        <f>3.54+0.5</f>
        <v>4.04</v>
      </c>
      <c r="F460" s="154">
        <f t="shared" si="2"/>
        <v>1.68</v>
      </c>
      <c r="G460" s="154"/>
      <c r="H460" s="154">
        <v>7.0000000000000007E-2</v>
      </c>
      <c r="I460" s="154"/>
      <c r="J460" s="154"/>
      <c r="K460" s="154">
        <f>'BOCA DE LOBO'!O12</f>
        <v>49</v>
      </c>
      <c r="L460" s="165"/>
      <c r="M460" s="154"/>
      <c r="N460" s="154">
        <f t="shared" si="1"/>
        <v>332.57279999999997</v>
      </c>
      <c r="O460" s="154">
        <f t="shared" si="0"/>
        <v>23.280096</v>
      </c>
      <c r="P460" s="155"/>
      <c r="Q460" s="145"/>
    </row>
    <row r="461" spans="1:19" s="146" customFormat="1" ht="10.5" x14ac:dyDescent="0.25">
      <c r="A461" s="151"/>
      <c r="B461" s="152" t="s">
        <v>2193</v>
      </c>
      <c r="C461" s="153"/>
      <c r="D461" s="154"/>
      <c r="E461" s="154">
        <f>1.38+0.5+0.5</f>
        <v>2.38</v>
      </c>
      <c r="F461" s="154">
        <f t="shared" si="2"/>
        <v>1.68</v>
      </c>
      <c r="G461" s="154"/>
      <c r="H461" s="154">
        <v>7.0000000000000007E-2</v>
      </c>
      <c r="I461" s="154"/>
      <c r="J461" s="154"/>
      <c r="K461" s="154">
        <f>'BOCA DE LOBO'!O13</f>
        <v>4</v>
      </c>
      <c r="L461" s="165"/>
      <c r="M461" s="154"/>
      <c r="N461" s="154">
        <f t="shared" si="1"/>
        <v>15.993599999999999</v>
      </c>
      <c r="O461" s="154">
        <f t="shared" si="0"/>
        <v>1.1195520000000001</v>
      </c>
      <c r="P461" s="155"/>
      <c r="Q461" s="145"/>
    </row>
    <row r="462" spans="1:19" s="146" customFormat="1" ht="10.5" x14ac:dyDescent="0.25">
      <c r="A462" s="151"/>
      <c r="B462" s="152" t="s">
        <v>2194</v>
      </c>
      <c r="C462" s="153"/>
      <c r="D462" s="154"/>
      <c r="E462" s="154">
        <f>2.57+0.5+0.5</f>
        <v>3.57</v>
      </c>
      <c r="F462" s="154">
        <f t="shared" si="2"/>
        <v>1.68</v>
      </c>
      <c r="G462" s="154"/>
      <c r="H462" s="154">
        <v>7.0000000000000007E-2</v>
      </c>
      <c r="I462" s="154"/>
      <c r="J462" s="154"/>
      <c r="K462" s="154">
        <f>'BOCA DE LOBO'!O16</f>
        <v>0</v>
      </c>
      <c r="L462" s="165"/>
      <c r="M462" s="154"/>
      <c r="N462" s="154">
        <f t="shared" si="1"/>
        <v>0</v>
      </c>
      <c r="O462" s="154">
        <f t="shared" si="0"/>
        <v>0</v>
      </c>
      <c r="P462" s="155"/>
      <c r="Q462" s="145"/>
    </row>
    <row r="463" spans="1:19" s="146" customFormat="1" ht="10.5" x14ac:dyDescent="0.25">
      <c r="A463" s="151"/>
      <c r="B463" s="152" t="s">
        <v>2195</v>
      </c>
      <c r="C463" s="153"/>
      <c r="D463" s="154"/>
      <c r="E463" s="154">
        <f>3.76+0.5+0.5</f>
        <v>4.76</v>
      </c>
      <c r="F463" s="154">
        <f t="shared" si="2"/>
        <v>1.68</v>
      </c>
      <c r="G463" s="154"/>
      <c r="H463" s="154">
        <v>7.0000000000000007E-2</v>
      </c>
      <c r="I463" s="154"/>
      <c r="J463" s="154"/>
      <c r="K463" s="154">
        <f>'BOCA DE LOBO'!O17</f>
        <v>0</v>
      </c>
      <c r="L463" s="165"/>
      <c r="M463" s="154"/>
      <c r="N463" s="154">
        <f t="shared" si="1"/>
        <v>0</v>
      </c>
      <c r="O463" s="154">
        <f t="shared" si="0"/>
        <v>0</v>
      </c>
      <c r="P463" s="155"/>
      <c r="Q463" s="145"/>
    </row>
    <row r="464" spans="1:19" s="146" customFormat="1" ht="10.5" x14ac:dyDescent="0.25">
      <c r="A464" s="151"/>
      <c r="B464" s="152" t="s">
        <v>2991</v>
      </c>
      <c r="C464" s="153"/>
      <c r="D464" s="154"/>
      <c r="E464" s="154"/>
      <c r="F464" s="154"/>
      <c r="G464" s="154"/>
      <c r="H464" s="154"/>
      <c r="I464" s="154"/>
      <c r="J464" s="154"/>
      <c r="K464" s="154"/>
      <c r="L464" s="165"/>
      <c r="M464" s="154"/>
      <c r="N464" s="154"/>
      <c r="O464" s="154"/>
      <c r="P464" s="155"/>
      <c r="Q464" s="145"/>
    </row>
    <row r="465" spans="1:19" s="146" customFormat="1" ht="10.5" x14ac:dyDescent="0.25">
      <c r="A465" s="151"/>
      <c r="B465" s="157" t="s">
        <v>377</v>
      </c>
      <c r="C465" s="158" t="s">
        <v>402</v>
      </c>
      <c r="D465" s="158"/>
      <c r="E465" s="158"/>
      <c r="F465" s="158"/>
      <c r="G465" s="158"/>
      <c r="H465" s="158"/>
      <c r="I465" s="158"/>
      <c r="J465" s="158"/>
      <c r="K465" s="158"/>
      <c r="L465" s="158"/>
      <c r="M465" s="158"/>
      <c r="N465" s="158">
        <f>SUM(N452:N463)</f>
        <v>348.56639999999999</v>
      </c>
      <c r="O465" s="158"/>
      <c r="P465" s="159"/>
      <c r="Q465" s="145"/>
    </row>
    <row r="466" spans="1:19" s="164" customFormat="1" ht="42" x14ac:dyDescent="0.35">
      <c r="A466" s="147" t="str">
        <f>ORÇAMENTO!A118</f>
        <v>4.1.1.5.2</v>
      </c>
      <c r="B466" s="148" t="str">
        <f>VLOOKUP(A466,ORÇAMENTO!$A:$F,4,0)</f>
        <v>EXECUÇÃO DE PASSEIO (CALÇADA) OU PISO DE CONCRETO COM CONCRETO MOLDADO IN LOCO, FEITO EM OBRA, ACABAMENTO CONVENCIONAL, NÃO ARMADO. AF_08/2022</v>
      </c>
      <c r="C466" s="149" t="str">
        <f>VLOOKUP(A466,ORÇAMENTO!$A:$F,5,0)</f>
        <v>M³</v>
      </c>
      <c r="D466" s="149">
        <f>SUM(E482:O482)</f>
        <v>9.6158999999999963</v>
      </c>
      <c r="E466" s="149" t="s">
        <v>2149</v>
      </c>
      <c r="F466" s="149" t="s">
        <v>2150</v>
      </c>
      <c r="G466" s="149" t="s">
        <v>2151</v>
      </c>
      <c r="H466" s="149" t="s">
        <v>2152</v>
      </c>
      <c r="I466" s="149" t="s">
        <v>2153</v>
      </c>
      <c r="J466" s="149" t="s">
        <v>2154</v>
      </c>
      <c r="K466" s="149" t="s">
        <v>2181</v>
      </c>
      <c r="L466" s="149" t="s">
        <v>2178</v>
      </c>
      <c r="M466" s="149" t="s">
        <v>2175</v>
      </c>
      <c r="N466" s="149" t="s">
        <v>2157</v>
      </c>
      <c r="O466" s="149" t="s">
        <v>2158</v>
      </c>
      <c r="P466" s="145"/>
      <c r="Q466" s="145"/>
      <c r="R466" s="145"/>
      <c r="S466" s="145"/>
    </row>
    <row r="467" spans="1:19" s="146" customFormat="1" ht="21" x14ac:dyDescent="0.25">
      <c r="A467" s="151"/>
      <c r="B467" s="157" t="s">
        <v>2196</v>
      </c>
      <c r="C467" s="153"/>
      <c r="D467" s="154"/>
      <c r="E467" s="154"/>
      <c r="F467" s="154"/>
      <c r="G467" s="154"/>
      <c r="H467" s="154"/>
      <c r="I467" s="154"/>
      <c r="J467" s="154"/>
      <c r="K467" s="154"/>
      <c r="L467" s="165"/>
      <c r="M467" s="154"/>
      <c r="N467" s="154"/>
      <c r="O467" s="154"/>
      <c r="P467" s="155"/>
      <c r="Q467" s="145"/>
    </row>
    <row r="468" spans="1:19" s="146" customFormat="1" ht="10.5" x14ac:dyDescent="0.25">
      <c r="A468" s="151"/>
      <c r="B468" s="157" t="s">
        <v>2197</v>
      </c>
      <c r="C468" s="153"/>
      <c r="D468" s="154"/>
      <c r="E468" s="154"/>
      <c r="F468" s="154"/>
      <c r="G468" s="154"/>
      <c r="H468" s="154"/>
      <c r="I468" s="154"/>
      <c r="J468" s="154"/>
      <c r="K468" s="154"/>
      <c r="L468" s="165"/>
      <c r="M468" s="154"/>
      <c r="N468" s="154"/>
      <c r="O468" s="153">
        <f>SUM(O452:O463)</f>
        <v>24.399647999999999</v>
      </c>
      <c r="P468" s="155"/>
      <c r="Q468" s="145"/>
    </row>
    <row r="469" spans="1:19" s="146" customFormat="1" ht="21" x14ac:dyDescent="0.25">
      <c r="A469" s="151"/>
      <c r="B469" s="152" t="str">
        <f>B452</f>
        <v>BOCA DE LOBO SIMPLES EXISTENTE COM BOCA DE LOBO DUPLA PROJETADA</v>
      </c>
      <c r="C469" s="153"/>
      <c r="D469" s="154"/>
      <c r="E469" s="154">
        <f>2.38</f>
        <v>2.38</v>
      </c>
      <c r="F469" s="154">
        <f>1.18</f>
        <v>1.18</v>
      </c>
      <c r="G469" s="154"/>
      <c r="H469" s="154">
        <f>H452</f>
        <v>7.0000000000000007E-2</v>
      </c>
      <c r="I469" s="154"/>
      <c r="J469" s="154"/>
      <c r="K469" s="154">
        <f>K452</f>
        <v>0</v>
      </c>
      <c r="L469" s="165"/>
      <c r="M469" s="154"/>
      <c r="N469" s="154"/>
      <c r="O469" s="154">
        <f>-E469*F469*K469*H469</f>
        <v>0</v>
      </c>
      <c r="P469" s="155"/>
      <c r="Q469" s="145"/>
    </row>
    <row r="470" spans="1:19" s="146" customFormat="1" ht="21" x14ac:dyDescent="0.25">
      <c r="A470" s="151"/>
      <c r="B470" s="152" t="str">
        <f t="shared" ref="B470:B479" si="3">B453</f>
        <v>BOCA DE LOBO SIMPLES EXISTENTE COM BOCA DE LOBO SIMPLES PROJETADA</v>
      </c>
      <c r="C470" s="153"/>
      <c r="D470" s="154"/>
      <c r="E470" s="154">
        <f>1.19</f>
        <v>1.19</v>
      </c>
      <c r="F470" s="154">
        <f t="shared" ref="F470:F480" si="4">1.18</f>
        <v>1.18</v>
      </c>
      <c r="G470" s="154"/>
      <c r="H470" s="154">
        <f t="shared" ref="H470:H481" si="5">H453</f>
        <v>7.0000000000000007E-2</v>
      </c>
      <c r="I470" s="154"/>
      <c r="J470" s="154"/>
      <c r="K470" s="154">
        <f t="shared" ref="K470:K481" si="6">K453</f>
        <v>0</v>
      </c>
      <c r="L470" s="165"/>
      <c r="M470" s="154"/>
      <c r="N470" s="154"/>
      <c r="O470" s="154">
        <f t="shared" ref="O470:O481" si="7">-E470*F470*K470*H470</f>
        <v>0</v>
      </c>
      <c r="P470" s="155"/>
      <c r="Q470" s="145"/>
    </row>
    <row r="471" spans="1:19" s="146" customFormat="1" ht="21" x14ac:dyDescent="0.25">
      <c r="A471" s="151"/>
      <c r="B471" s="152" t="str">
        <f t="shared" si="3"/>
        <v>BOCA DE LOBO SIMPLES EXISTENTE COM BOCA DE LOBO TRIPLA PROJETADA</v>
      </c>
      <c r="C471" s="153"/>
      <c r="D471" s="154"/>
      <c r="E471" s="154">
        <f>3.54</f>
        <v>3.54</v>
      </c>
      <c r="F471" s="154">
        <f t="shared" si="4"/>
        <v>1.18</v>
      </c>
      <c r="G471" s="154"/>
      <c r="H471" s="154">
        <f t="shared" si="5"/>
        <v>7.0000000000000007E-2</v>
      </c>
      <c r="I471" s="154"/>
      <c r="J471" s="154"/>
      <c r="K471" s="154">
        <f t="shared" si="6"/>
        <v>0</v>
      </c>
      <c r="L471" s="165"/>
      <c r="M471" s="154"/>
      <c r="N471" s="154"/>
      <c r="O471" s="154">
        <f t="shared" si="7"/>
        <v>0</v>
      </c>
      <c r="P471" s="155"/>
      <c r="Q471" s="145"/>
    </row>
    <row r="472" spans="1:19" s="146" customFormat="1" ht="21" x14ac:dyDescent="0.25">
      <c r="A472" s="151"/>
      <c r="B472" s="152" t="str">
        <f t="shared" si="3"/>
        <v>BOCA DE LOBO DUPLA EXISTENTE COM BOCA DE LOBO SIMPLES PROJETADA</v>
      </c>
      <c r="C472" s="153"/>
      <c r="D472" s="154"/>
      <c r="E472" s="154">
        <f>1.19</f>
        <v>1.19</v>
      </c>
      <c r="F472" s="154">
        <f t="shared" si="4"/>
        <v>1.18</v>
      </c>
      <c r="G472" s="154"/>
      <c r="H472" s="154">
        <f t="shared" si="5"/>
        <v>7.0000000000000007E-2</v>
      </c>
      <c r="I472" s="154"/>
      <c r="J472" s="154"/>
      <c r="K472" s="154">
        <f t="shared" si="6"/>
        <v>0</v>
      </c>
      <c r="L472" s="165"/>
      <c r="M472" s="154"/>
      <c r="N472" s="154"/>
      <c r="O472" s="154">
        <f t="shared" si="7"/>
        <v>0</v>
      </c>
      <c r="P472" s="155"/>
      <c r="Q472" s="145"/>
    </row>
    <row r="473" spans="1:19" s="146" customFormat="1" ht="21" x14ac:dyDescent="0.25">
      <c r="A473" s="151"/>
      <c r="B473" s="152" t="str">
        <f t="shared" si="3"/>
        <v>BOCA DE LOBO DUPLA EXISTENTE COM BOCA DE LOBO DUPLA PROJETADA</v>
      </c>
      <c r="C473" s="153"/>
      <c r="D473" s="154"/>
      <c r="E473" s="154">
        <f>2.38</f>
        <v>2.38</v>
      </c>
      <c r="F473" s="154">
        <f t="shared" si="4"/>
        <v>1.18</v>
      </c>
      <c r="G473" s="154"/>
      <c r="H473" s="154">
        <f t="shared" si="5"/>
        <v>7.0000000000000007E-2</v>
      </c>
      <c r="I473" s="154"/>
      <c r="J473" s="154"/>
      <c r="K473" s="154">
        <f t="shared" si="6"/>
        <v>0</v>
      </c>
      <c r="L473" s="165"/>
      <c r="M473" s="154"/>
      <c r="N473" s="154"/>
      <c r="O473" s="154">
        <f t="shared" si="7"/>
        <v>0</v>
      </c>
      <c r="P473" s="155"/>
      <c r="Q473" s="145"/>
    </row>
    <row r="474" spans="1:19" s="146" customFormat="1" ht="21" x14ac:dyDescent="0.25">
      <c r="A474" s="151"/>
      <c r="B474" s="152" t="str">
        <f t="shared" si="3"/>
        <v>BOCA DE LOBO DUPLA EXISTENTE COM BOCA DE LOBO TRIPLA PROJETADA</v>
      </c>
      <c r="C474" s="153"/>
      <c r="D474" s="154"/>
      <c r="E474" s="154">
        <f>3.54</f>
        <v>3.54</v>
      </c>
      <c r="F474" s="154">
        <f t="shared" si="4"/>
        <v>1.18</v>
      </c>
      <c r="G474" s="154"/>
      <c r="H474" s="154">
        <f t="shared" si="5"/>
        <v>7.0000000000000007E-2</v>
      </c>
      <c r="I474" s="154"/>
      <c r="J474" s="154"/>
      <c r="K474" s="154">
        <f t="shared" si="6"/>
        <v>0</v>
      </c>
      <c r="L474" s="165"/>
      <c r="M474" s="154"/>
      <c r="N474" s="154"/>
      <c r="O474" s="154">
        <f t="shared" si="7"/>
        <v>0</v>
      </c>
      <c r="P474" s="155"/>
      <c r="Q474" s="145"/>
    </row>
    <row r="475" spans="1:19" s="146" customFormat="1" ht="21" x14ac:dyDescent="0.25">
      <c r="A475" s="151"/>
      <c r="B475" s="152" t="str">
        <f t="shared" si="3"/>
        <v>BOCA DE LOBO TRIPLA EXISTENTE COM BOCA DE LOBO SIMPLES PROJETADA</v>
      </c>
      <c r="C475" s="153"/>
      <c r="D475" s="154"/>
      <c r="E475" s="154">
        <f>1.19</f>
        <v>1.19</v>
      </c>
      <c r="F475" s="154">
        <f t="shared" si="4"/>
        <v>1.18</v>
      </c>
      <c r="G475" s="154"/>
      <c r="H475" s="154">
        <f t="shared" si="5"/>
        <v>7.0000000000000007E-2</v>
      </c>
      <c r="I475" s="154"/>
      <c r="J475" s="154"/>
      <c r="K475" s="154">
        <f t="shared" si="6"/>
        <v>0</v>
      </c>
      <c r="L475" s="165"/>
      <c r="M475" s="154"/>
      <c r="N475" s="154"/>
      <c r="O475" s="154">
        <f t="shared" si="7"/>
        <v>0</v>
      </c>
      <c r="P475" s="155"/>
      <c r="Q475" s="145"/>
    </row>
    <row r="476" spans="1:19" s="146" customFormat="1" ht="21" x14ac:dyDescent="0.25">
      <c r="A476" s="151"/>
      <c r="B476" s="152" t="str">
        <f t="shared" si="3"/>
        <v>BOCA DE LOBO TRIPLA EXISTENTE COM BOCA DE LOBO DUPLA PROJETADA</v>
      </c>
      <c r="C476" s="153"/>
      <c r="D476" s="154"/>
      <c r="E476" s="154">
        <f>2.38</f>
        <v>2.38</v>
      </c>
      <c r="F476" s="154">
        <f t="shared" si="4"/>
        <v>1.18</v>
      </c>
      <c r="G476" s="154"/>
      <c r="H476" s="154">
        <f t="shared" si="5"/>
        <v>7.0000000000000007E-2</v>
      </c>
      <c r="I476" s="154"/>
      <c r="J476" s="154"/>
      <c r="K476" s="154">
        <f t="shared" si="6"/>
        <v>0</v>
      </c>
      <c r="L476" s="165"/>
      <c r="M476" s="154"/>
      <c r="N476" s="154"/>
      <c r="O476" s="154">
        <f t="shared" si="7"/>
        <v>0</v>
      </c>
      <c r="P476" s="155"/>
      <c r="Q476" s="145"/>
    </row>
    <row r="477" spans="1:19" s="146" customFormat="1" ht="21" x14ac:dyDescent="0.25">
      <c r="A477" s="151"/>
      <c r="B477" s="152" t="str">
        <f t="shared" si="3"/>
        <v>BOCA DE LOBO TRIPLA EXISTENTE COM BOCA DE LOBO TRIPLA PROJETADA</v>
      </c>
      <c r="C477" s="153"/>
      <c r="D477" s="154"/>
      <c r="E477" s="154">
        <f>3.54</f>
        <v>3.54</v>
      </c>
      <c r="F477" s="154">
        <f t="shared" si="4"/>
        <v>1.18</v>
      </c>
      <c r="G477" s="154"/>
      <c r="H477" s="154">
        <f t="shared" si="5"/>
        <v>7.0000000000000007E-2</v>
      </c>
      <c r="I477" s="154"/>
      <c r="J477" s="154"/>
      <c r="K477" s="154">
        <f t="shared" si="6"/>
        <v>49</v>
      </c>
      <c r="L477" s="165"/>
      <c r="M477" s="154"/>
      <c r="N477" s="154"/>
      <c r="O477" s="154">
        <f t="shared" si="7"/>
        <v>-14.327796000000003</v>
      </c>
      <c r="P477" s="155"/>
      <c r="Q477" s="145"/>
    </row>
    <row r="478" spans="1:19" s="146" customFormat="1" ht="10.5" x14ac:dyDescent="0.25">
      <c r="A478" s="151"/>
      <c r="B478" s="152" t="str">
        <f t="shared" si="3"/>
        <v>BOCA DE LOBO PROJETADA SIMPLES</v>
      </c>
      <c r="C478" s="153"/>
      <c r="D478" s="154"/>
      <c r="E478" s="154">
        <f>1.38</f>
        <v>1.38</v>
      </c>
      <c r="F478" s="154">
        <f t="shared" si="4"/>
        <v>1.18</v>
      </c>
      <c r="G478" s="154"/>
      <c r="H478" s="154">
        <f t="shared" si="5"/>
        <v>7.0000000000000007E-2</v>
      </c>
      <c r="I478" s="154"/>
      <c r="J478" s="154"/>
      <c r="K478" s="154">
        <f t="shared" si="6"/>
        <v>4</v>
      </c>
      <c r="L478" s="165"/>
      <c r="M478" s="154"/>
      <c r="N478" s="154"/>
      <c r="O478" s="154">
        <f t="shared" si="7"/>
        <v>-0.45595200000000002</v>
      </c>
      <c r="P478" s="155"/>
      <c r="Q478" s="145"/>
    </row>
    <row r="479" spans="1:19" s="146" customFormat="1" ht="10.5" x14ac:dyDescent="0.25">
      <c r="A479" s="151"/>
      <c r="B479" s="152" t="str">
        <f t="shared" si="3"/>
        <v>BOCA DE LOBO PROJETADA DUPLA</v>
      </c>
      <c r="C479" s="153"/>
      <c r="D479" s="154"/>
      <c r="E479" s="154">
        <f>2.57</f>
        <v>2.57</v>
      </c>
      <c r="F479" s="154">
        <f t="shared" si="4"/>
        <v>1.18</v>
      </c>
      <c r="G479" s="154"/>
      <c r="H479" s="154">
        <f t="shared" si="5"/>
        <v>7.0000000000000007E-2</v>
      </c>
      <c r="I479" s="154"/>
      <c r="J479" s="154"/>
      <c r="K479" s="154">
        <f t="shared" si="6"/>
        <v>0</v>
      </c>
      <c r="L479" s="165"/>
      <c r="M479" s="154"/>
      <c r="N479" s="154"/>
      <c r="O479" s="154">
        <f t="shared" si="7"/>
        <v>0</v>
      </c>
      <c r="P479" s="155"/>
      <c r="Q479" s="145"/>
    </row>
    <row r="480" spans="1:19" s="146" customFormat="1" ht="10.5" x14ac:dyDescent="0.25">
      <c r="A480" s="151"/>
      <c r="B480" s="152" t="str">
        <f>B463</f>
        <v>BOCA DE LOBO PROJETADA TRIPLA</v>
      </c>
      <c r="C480" s="153"/>
      <c r="D480" s="154"/>
      <c r="E480" s="154">
        <f>3.76</f>
        <v>3.76</v>
      </c>
      <c r="F480" s="154">
        <f t="shared" si="4"/>
        <v>1.18</v>
      </c>
      <c r="G480" s="154"/>
      <c r="H480" s="154">
        <f t="shared" si="5"/>
        <v>7.0000000000000007E-2</v>
      </c>
      <c r="I480" s="154"/>
      <c r="J480" s="154"/>
      <c r="K480" s="154">
        <f t="shared" si="6"/>
        <v>0</v>
      </c>
      <c r="L480" s="165"/>
      <c r="M480" s="154"/>
      <c r="N480" s="154"/>
      <c r="O480" s="154">
        <f t="shared" si="7"/>
        <v>0</v>
      </c>
      <c r="P480" s="155"/>
      <c r="Q480" s="145"/>
    </row>
    <row r="481" spans="1:19" s="146" customFormat="1" ht="10.5" x14ac:dyDescent="0.25">
      <c r="A481" s="151"/>
      <c r="B481" s="152" t="str">
        <f>B464</f>
        <v>BOCA DE LOBO PROJETADA QUADRUPLA</v>
      </c>
      <c r="C481" s="153"/>
      <c r="D481" s="154"/>
      <c r="E481" s="418">
        <f>4.92+0.5+0.5</f>
        <v>5.92</v>
      </c>
      <c r="F481" s="418">
        <f t="shared" ref="F481" si="8">1.18+0.5</f>
        <v>1.68</v>
      </c>
      <c r="G481" s="154"/>
      <c r="H481" s="154">
        <f t="shared" si="5"/>
        <v>0</v>
      </c>
      <c r="I481" s="154"/>
      <c r="J481" s="154"/>
      <c r="K481" s="154">
        <f t="shared" si="6"/>
        <v>0</v>
      </c>
      <c r="L481" s="165"/>
      <c r="M481" s="154"/>
      <c r="N481" s="154"/>
      <c r="O481" s="154">
        <f t="shared" si="7"/>
        <v>0</v>
      </c>
      <c r="P481" s="155"/>
      <c r="Q481" s="145"/>
    </row>
    <row r="482" spans="1:19" s="146" customFormat="1" ht="10.5" x14ac:dyDescent="0.25">
      <c r="A482" s="151"/>
      <c r="B482" s="157" t="s">
        <v>377</v>
      </c>
      <c r="C482" s="158" t="s">
        <v>402</v>
      </c>
      <c r="D482" s="158"/>
      <c r="E482" s="158"/>
      <c r="F482" s="158"/>
      <c r="G482" s="158"/>
      <c r="H482" s="158"/>
      <c r="I482" s="158"/>
      <c r="J482" s="158"/>
      <c r="K482" s="158"/>
      <c r="L482" s="158"/>
      <c r="M482" s="158"/>
      <c r="N482" s="158"/>
      <c r="O482" s="158">
        <f>SUM(O468:O481)</f>
        <v>9.6158999999999963</v>
      </c>
      <c r="P482" s="159"/>
      <c r="Q482" s="145"/>
    </row>
    <row r="483" spans="1:19" s="164" customFormat="1" ht="21" x14ac:dyDescent="0.35">
      <c r="A483" s="147" t="str">
        <f>ORÇAMENTO!A119</f>
        <v>4.1.1.5.3</v>
      </c>
      <c r="B483" s="148" t="str">
        <f>VLOOKUP(A483,ORÇAMENTO!$A:$F,4,0)</f>
        <v>RETIRADA MEIO-FIO EM CONCRETO</v>
      </c>
      <c r="C483" s="149" t="str">
        <f>VLOOKUP(A483,ORÇAMENTO!$A:$F,5,0)</f>
        <v>M</v>
      </c>
      <c r="D483" s="149">
        <f>SUM(E498:O498)</f>
        <v>207.48000000000002</v>
      </c>
      <c r="E483" s="149" t="s">
        <v>2149</v>
      </c>
      <c r="F483" s="149" t="s">
        <v>2150</v>
      </c>
      <c r="G483" s="149" t="s">
        <v>2151</v>
      </c>
      <c r="H483" s="149" t="s">
        <v>2152</v>
      </c>
      <c r="I483" s="149" t="s">
        <v>2153</v>
      </c>
      <c r="J483" s="149" t="s">
        <v>2154</v>
      </c>
      <c r="K483" s="149" t="s">
        <v>2181</v>
      </c>
      <c r="L483" s="149" t="s">
        <v>2178</v>
      </c>
      <c r="M483" s="149" t="s">
        <v>2175</v>
      </c>
      <c r="N483" s="149" t="s">
        <v>2157</v>
      </c>
      <c r="O483" s="149" t="s">
        <v>2158</v>
      </c>
      <c r="P483" s="145"/>
      <c r="Q483" s="145"/>
      <c r="R483" s="145"/>
      <c r="S483" s="145"/>
    </row>
    <row r="484" spans="1:19" s="146" customFormat="1" ht="10.5" x14ac:dyDescent="0.25">
      <c r="A484" s="151"/>
      <c r="B484" s="157"/>
      <c r="C484" s="153"/>
      <c r="D484" s="154"/>
      <c r="E484" s="154"/>
      <c r="F484" s="154"/>
      <c r="G484" s="154"/>
      <c r="H484" s="154"/>
      <c r="I484" s="154"/>
      <c r="J484" s="154"/>
      <c r="K484" s="154"/>
      <c r="L484" s="165"/>
      <c r="M484" s="154"/>
      <c r="N484" s="154"/>
      <c r="O484" s="154"/>
      <c r="P484" s="155"/>
      <c r="Q484" s="145"/>
    </row>
    <row r="485" spans="1:19" s="146" customFormat="1" ht="21" x14ac:dyDescent="0.25">
      <c r="A485" s="151"/>
      <c r="B485" s="152" t="str">
        <f>B452</f>
        <v>BOCA DE LOBO SIMPLES EXISTENTE COM BOCA DE LOBO DUPLA PROJETADA</v>
      </c>
      <c r="C485" s="153"/>
      <c r="D485" s="154"/>
      <c r="E485" s="154">
        <f>E452</f>
        <v>2.88</v>
      </c>
      <c r="F485" s="154"/>
      <c r="G485" s="154"/>
      <c r="H485" s="154"/>
      <c r="I485" s="154"/>
      <c r="J485" s="154"/>
      <c r="K485" s="154">
        <f>K452</f>
        <v>0</v>
      </c>
      <c r="L485" s="165"/>
      <c r="M485" s="154"/>
      <c r="N485" s="154"/>
      <c r="O485" s="154"/>
      <c r="P485" s="155"/>
      <c r="Q485" s="145"/>
    </row>
    <row r="486" spans="1:19" s="146" customFormat="1" ht="21" x14ac:dyDescent="0.25">
      <c r="A486" s="151"/>
      <c r="B486" s="152" t="str">
        <f t="shared" ref="B486:B495" si="9">B453</f>
        <v>BOCA DE LOBO SIMPLES EXISTENTE COM BOCA DE LOBO SIMPLES PROJETADA</v>
      </c>
      <c r="C486" s="153"/>
      <c r="D486" s="154"/>
      <c r="E486" s="154">
        <f t="shared" ref="E486:E496" si="10">E453</f>
        <v>1.69</v>
      </c>
      <c r="F486" s="154"/>
      <c r="G486" s="154"/>
      <c r="H486" s="154"/>
      <c r="I486" s="154"/>
      <c r="J486" s="154"/>
      <c r="K486" s="154">
        <f t="shared" ref="K486:K496" si="11">K453</f>
        <v>0</v>
      </c>
      <c r="L486" s="165"/>
      <c r="M486" s="154"/>
      <c r="N486" s="154"/>
      <c r="O486" s="154"/>
      <c r="P486" s="155"/>
      <c r="Q486" s="145"/>
    </row>
    <row r="487" spans="1:19" s="146" customFormat="1" ht="21" x14ac:dyDescent="0.25">
      <c r="A487" s="151"/>
      <c r="B487" s="152" t="str">
        <f t="shared" si="9"/>
        <v>BOCA DE LOBO SIMPLES EXISTENTE COM BOCA DE LOBO TRIPLA PROJETADA</v>
      </c>
      <c r="C487" s="153"/>
      <c r="D487" s="154"/>
      <c r="E487" s="154">
        <f t="shared" si="10"/>
        <v>4.04</v>
      </c>
      <c r="F487" s="154"/>
      <c r="G487" s="154"/>
      <c r="H487" s="154"/>
      <c r="I487" s="154"/>
      <c r="J487" s="154"/>
      <c r="K487" s="154">
        <f t="shared" si="11"/>
        <v>0</v>
      </c>
      <c r="L487" s="165"/>
      <c r="M487" s="154"/>
      <c r="N487" s="154"/>
      <c r="O487" s="154"/>
      <c r="P487" s="155"/>
      <c r="Q487" s="145"/>
    </row>
    <row r="488" spans="1:19" s="146" customFormat="1" ht="21" x14ac:dyDescent="0.25">
      <c r="A488" s="151"/>
      <c r="B488" s="152" t="str">
        <f t="shared" si="9"/>
        <v>BOCA DE LOBO DUPLA EXISTENTE COM BOCA DE LOBO SIMPLES PROJETADA</v>
      </c>
      <c r="C488" s="153"/>
      <c r="D488" s="154"/>
      <c r="E488" s="154">
        <f t="shared" si="10"/>
        <v>1.69</v>
      </c>
      <c r="F488" s="154"/>
      <c r="G488" s="154"/>
      <c r="H488" s="154"/>
      <c r="I488" s="154"/>
      <c r="J488" s="154"/>
      <c r="K488" s="154">
        <f t="shared" si="11"/>
        <v>0</v>
      </c>
      <c r="L488" s="165"/>
      <c r="M488" s="154"/>
      <c r="N488" s="154"/>
      <c r="O488" s="154"/>
      <c r="P488" s="155"/>
      <c r="Q488" s="145"/>
    </row>
    <row r="489" spans="1:19" s="146" customFormat="1" ht="21" x14ac:dyDescent="0.25">
      <c r="A489" s="151"/>
      <c r="B489" s="152" t="str">
        <f t="shared" si="9"/>
        <v>BOCA DE LOBO DUPLA EXISTENTE COM BOCA DE LOBO DUPLA PROJETADA</v>
      </c>
      <c r="C489" s="153"/>
      <c r="D489" s="154"/>
      <c r="E489" s="154">
        <f t="shared" si="10"/>
        <v>2.88</v>
      </c>
      <c r="F489" s="154"/>
      <c r="G489" s="154"/>
      <c r="H489" s="154"/>
      <c r="I489" s="154"/>
      <c r="J489" s="154"/>
      <c r="K489" s="154">
        <f t="shared" si="11"/>
        <v>0</v>
      </c>
      <c r="L489" s="165"/>
      <c r="M489" s="154"/>
      <c r="N489" s="154"/>
      <c r="O489" s="154"/>
      <c r="P489" s="155"/>
      <c r="Q489" s="145"/>
    </row>
    <row r="490" spans="1:19" s="146" customFormat="1" ht="21" x14ac:dyDescent="0.25">
      <c r="A490" s="151"/>
      <c r="B490" s="152" t="str">
        <f t="shared" si="9"/>
        <v>BOCA DE LOBO DUPLA EXISTENTE COM BOCA DE LOBO TRIPLA PROJETADA</v>
      </c>
      <c r="C490" s="153"/>
      <c r="D490" s="154"/>
      <c r="E490" s="154">
        <f t="shared" si="10"/>
        <v>4.04</v>
      </c>
      <c r="F490" s="154"/>
      <c r="G490" s="154"/>
      <c r="H490" s="154"/>
      <c r="I490" s="154"/>
      <c r="J490" s="154"/>
      <c r="K490" s="154">
        <f t="shared" si="11"/>
        <v>0</v>
      </c>
      <c r="L490" s="165"/>
      <c r="M490" s="154"/>
      <c r="N490" s="154"/>
      <c r="O490" s="154"/>
      <c r="P490" s="155"/>
      <c r="Q490" s="145"/>
    </row>
    <row r="491" spans="1:19" s="146" customFormat="1" ht="21" x14ac:dyDescent="0.25">
      <c r="A491" s="151"/>
      <c r="B491" s="152" t="str">
        <f t="shared" si="9"/>
        <v>BOCA DE LOBO TRIPLA EXISTENTE COM BOCA DE LOBO SIMPLES PROJETADA</v>
      </c>
      <c r="C491" s="153"/>
      <c r="D491" s="154"/>
      <c r="E491" s="154">
        <f t="shared" si="10"/>
        <v>1.69</v>
      </c>
      <c r="F491" s="154"/>
      <c r="G491" s="154"/>
      <c r="H491" s="154"/>
      <c r="I491" s="154"/>
      <c r="J491" s="154"/>
      <c r="K491" s="154">
        <f t="shared" si="11"/>
        <v>0</v>
      </c>
      <c r="L491" s="165"/>
      <c r="M491" s="154"/>
      <c r="N491" s="154"/>
      <c r="O491" s="154"/>
      <c r="P491" s="155"/>
      <c r="Q491" s="145"/>
    </row>
    <row r="492" spans="1:19" s="146" customFormat="1" ht="21" x14ac:dyDescent="0.25">
      <c r="A492" s="151"/>
      <c r="B492" s="152" t="str">
        <f t="shared" si="9"/>
        <v>BOCA DE LOBO TRIPLA EXISTENTE COM BOCA DE LOBO DUPLA PROJETADA</v>
      </c>
      <c r="C492" s="153"/>
      <c r="D492" s="154"/>
      <c r="E492" s="154">
        <f t="shared" si="10"/>
        <v>2.88</v>
      </c>
      <c r="F492" s="154"/>
      <c r="G492" s="154"/>
      <c r="H492" s="154"/>
      <c r="I492" s="154"/>
      <c r="J492" s="154"/>
      <c r="K492" s="154">
        <f t="shared" si="11"/>
        <v>0</v>
      </c>
      <c r="L492" s="165"/>
      <c r="M492" s="154"/>
      <c r="N492" s="154"/>
      <c r="O492" s="154"/>
      <c r="P492" s="155"/>
      <c r="Q492" s="145"/>
    </row>
    <row r="493" spans="1:19" s="146" customFormat="1" ht="21" x14ac:dyDescent="0.25">
      <c r="A493" s="151"/>
      <c r="B493" s="152" t="str">
        <f t="shared" si="9"/>
        <v>BOCA DE LOBO TRIPLA EXISTENTE COM BOCA DE LOBO TRIPLA PROJETADA</v>
      </c>
      <c r="C493" s="153"/>
      <c r="D493" s="154"/>
      <c r="E493" s="154">
        <f t="shared" si="10"/>
        <v>4.04</v>
      </c>
      <c r="F493" s="154"/>
      <c r="G493" s="154"/>
      <c r="H493" s="154"/>
      <c r="I493" s="154"/>
      <c r="J493" s="154"/>
      <c r="K493" s="154">
        <f t="shared" si="11"/>
        <v>49</v>
      </c>
      <c r="L493" s="165"/>
      <c r="M493" s="154"/>
      <c r="N493" s="154"/>
      <c r="O493" s="154"/>
      <c r="P493" s="155"/>
      <c r="Q493" s="145"/>
    </row>
    <row r="494" spans="1:19" s="146" customFormat="1" ht="10.5" x14ac:dyDescent="0.25">
      <c r="A494" s="151"/>
      <c r="B494" s="152" t="str">
        <f t="shared" si="9"/>
        <v>BOCA DE LOBO PROJETADA SIMPLES</v>
      </c>
      <c r="C494" s="153"/>
      <c r="D494" s="154"/>
      <c r="E494" s="154">
        <f t="shared" si="10"/>
        <v>2.38</v>
      </c>
      <c r="F494" s="154"/>
      <c r="G494" s="154"/>
      <c r="H494" s="154"/>
      <c r="I494" s="154"/>
      <c r="J494" s="154"/>
      <c r="K494" s="154">
        <f t="shared" si="11"/>
        <v>4</v>
      </c>
      <c r="L494" s="165"/>
      <c r="M494" s="154"/>
      <c r="N494" s="154"/>
      <c r="O494" s="154"/>
      <c r="P494" s="155"/>
      <c r="Q494" s="145"/>
    </row>
    <row r="495" spans="1:19" s="146" customFormat="1" ht="10.5" x14ac:dyDescent="0.25">
      <c r="A495" s="151"/>
      <c r="B495" s="152" t="str">
        <f t="shared" si="9"/>
        <v>BOCA DE LOBO PROJETADA DUPLA</v>
      </c>
      <c r="C495" s="153"/>
      <c r="D495" s="154"/>
      <c r="E495" s="154">
        <f t="shared" si="10"/>
        <v>3.57</v>
      </c>
      <c r="F495" s="154"/>
      <c r="G495" s="154"/>
      <c r="H495" s="154"/>
      <c r="I495" s="154"/>
      <c r="J495" s="154"/>
      <c r="K495" s="154">
        <f t="shared" si="11"/>
        <v>0</v>
      </c>
      <c r="L495" s="165"/>
      <c r="M495" s="154"/>
      <c r="N495" s="154"/>
      <c r="O495" s="154"/>
      <c r="P495" s="155"/>
      <c r="Q495" s="145"/>
    </row>
    <row r="496" spans="1:19" s="146" customFormat="1" ht="10.5" x14ac:dyDescent="0.25">
      <c r="A496" s="151"/>
      <c r="B496" s="152" t="str">
        <f>B463</f>
        <v>BOCA DE LOBO PROJETADA TRIPLA</v>
      </c>
      <c r="C496" s="153"/>
      <c r="D496" s="154"/>
      <c r="E496" s="154">
        <f t="shared" si="10"/>
        <v>4.76</v>
      </c>
      <c r="F496" s="154"/>
      <c r="G496" s="154"/>
      <c r="H496" s="154"/>
      <c r="I496" s="154"/>
      <c r="J496" s="154"/>
      <c r="K496" s="154">
        <f t="shared" si="11"/>
        <v>0</v>
      </c>
      <c r="L496" s="165"/>
      <c r="M496" s="154"/>
      <c r="N496" s="154"/>
      <c r="O496" s="154"/>
      <c r="P496" s="155"/>
      <c r="Q496" s="145"/>
    </row>
    <row r="497" spans="1:19" s="146" customFormat="1" ht="10.5" x14ac:dyDescent="0.25">
      <c r="A497" s="151"/>
      <c r="B497" s="152"/>
      <c r="C497" s="153"/>
      <c r="D497" s="154"/>
      <c r="E497" s="154"/>
      <c r="F497" s="154"/>
      <c r="G497" s="154"/>
      <c r="H497" s="154"/>
      <c r="I497" s="154"/>
      <c r="J497" s="154"/>
      <c r="K497" s="154"/>
      <c r="L497" s="165"/>
      <c r="M497" s="154"/>
      <c r="N497" s="154"/>
      <c r="O497" s="154"/>
      <c r="P497" s="155"/>
      <c r="Q497" s="145"/>
    </row>
    <row r="498" spans="1:19" s="146" customFormat="1" ht="10.5" x14ac:dyDescent="0.25">
      <c r="A498" s="151"/>
      <c r="B498" s="157" t="s">
        <v>377</v>
      </c>
      <c r="C498" s="158" t="s">
        <v>402</v>
      </c>
      <c r="D498" s="158"/>
      <c r="E498" s="158">
        <f>SUMPRODUCT(E485:E496,K485:K496)</f>
        <v>207.48000000000002</v>
      </c>
      <c r="F498" s="158"/>
      <c r="G498" s="158"/>
      <c r="H498" s="158"/>
      <c r="I498" s="158"/>
      <c r="J498" s="158"/>
      <c r="K498" s="158"/>
      <c r="L498" s="158"/>
      <c r="M498" s="158"/>
      <c r="N498" s="158"/>
      <c r="O498" s="158"/>
      <c r="P498" s="159"/>
      <c r="Q498" s="145"/>
    </row>
    <row r="499" spans="1:19" s="164" customFormat="1" ht="21" x14ac:dyDescent="0.35">
      <c r="A499" s="147" t="str">
        <f>ORÇAMENTO!A120</f>
        <v>4.1.1.5.4</v>
      </c>
      <c r="B499" s="148" t="str">
        <f>VLOOKUP(A499,ORÇAMENTO!$A:$F,4,0)</f>
        <v>RECONSTRUCAO DE MEIO-FIO EM CONCRETO 10CM MOLDADO NO LOCAL</v>
      </c>
      <c r="C499" s="149" t="str">
        <f>VLOOKUP(A499,ORÇAMENTO!$A:$F,5,0)</f>
        <v>M</v>
      </c>
      <c r="D499" s="149">
        <f>SUM(E514:O514)</f>
        <v>28.5</v>
      </c>
      <c r="E499" s="149" t="s">
        <v>2149</v>
      </c>
      <c r="F499" s="149" t="s">
        <v>2150</v>
      </c>
      <c r="G499" s="149" t="s">
        <v>2151</v>
      </c>
      <c r="H499" s="149" t="s">
        <v>2152</v>
      </c>
      <c r="I499" s="149" t="s">
        <v>2153</v>
      </c>
      <c r="J499" s="149" t="s">
        <v>2154</v>
      </c>
      <c r="K499" s="149" t="s">
        <v>2181</v>
      </c>
      <c r="L499" s="149" t="s">
        <v>2178</v>
      </c>
      <c r="M499" s="149" t="s">
        <v>2175</v>
      </c>
      <c r="N499" s="149" t="s">
        <v>2157</v>
      </c>
      <c r="O499" s="149" t="s">
        <v>2158</v>
      </c>
      <c r="P499" s="145"/>
      <c r="Q499" s="145"/>
      <c r="R499" s="145"/>
      <c r="S499" s="145"/>
    </row>
    <row r="500" spans="1:19" s="146" customFormat="1" ht="10.5" x14ac:dyDescent="0.25">
      <c r="A500" s="151"/>
      <c r="B500" s="152"/>
      <c r="C500" s="153"/>
      <c r="D500" s="154"/>
      <c r="E500" s="154"/>
      <c r="F500" s="154"/>
      <c r="G500" s="154"/>
      <c r="H500" s="154"/>
      <c r="I500" s="154"/>
      <c r="J500" s="154"/>
      <c r="K500" s="154"/>
      <c r="L500" s="165"/>
      <c r="M500" s="154"/>
      <c r="N500" s="154"/>
      <c r="O500" s="154"/>
      <c r="P500" s="155"/>
      <c r="Q500" s="145"/>
    </row>
    <row r="501" spans="1:19" s="146" customFormat="1" ht="21" x14ac:dyDescent="0.25">
      <c r="A501" s="151"/>
      <c r="B501" s="152" t="str">
        <f>B485</f>
        <v>BOCA DE LOBO SIMPLES EXISTENTE COM BOCA DE LOBO DUPLA PROJETADA</v>
      </c>
      <c r="C501" s="153"/>
      <c r="D501" s="154"/>
      <c r="E501" s="154">
        <f>E485-E469</f>
        <v>0.5</v>
      </c>
      <c r="F501" s="154"/>
      <c r="G501" s="154"/>
      <c r="H501" s="154"/>
      <c r="I501" s="154"/>
      <c r="J501" s="154"/>
      <c r="K501" s="154">
        <f>K485</f>
        <v>0</v>
      </c>
      <c r="L501" s="165"/>
      <c r="M501" s="154"/>
      <c r="N501" s="154"/>
      <c r="O501" s="154"/>
      <c r="P501" s="155"/>
      <c r="Q501" s="145"/>
    </row>
    <row r="502" spans="1:19" s="146" customFormat="1" ht="21" x14ac:dyDescent="0.25">
      <c r="A502" s="151"/>
      <c r="B502" s="152" t="str">
        <f t="shared" ref="B502:B512" si="12">B486</f>
        <v>BOCA DE LOBO SIMPLES EXISTENTE COM BOCA DE LOBO SIMPLES PROJETADA</v>
      </c>
      <c r="C502" s="153"/>
      <c r="D502" s="154"/>
      <c r="E502" s="154">
        <f t="shared" ref="E502:E512" si="13">E486-E470</f>
        <v>0.5</v>
      </c>
      <c r="F502" s="154"/>
      <c r="G502" s="154"/>
      <c r="H502" s="154"/>
      <c r="I502" s="154"/>
      <c r="J502" s="154"/>
      <c r="K502" s="154">
        <f t="shared" ref="K502:K512" si="14">K486</f>
        <v>0</v>
      </c>
      <c r="L502" s="165"/>
      <c r="M502" s="154"/>
      <c r="N502" s="154"/>
      <c r="O502" s="154"/>
      <c r="P502" s="155"/>
      <c r="Q502" s="145"/>
    </row>
    <row r="503" spans="1:19" s="146" customFormat="1" ht="21" x14ac:dyDescent="0.25">
      <c r="A503" s="151"/>
      <c r="B503" s="152" t="str">
        <f t="shared" si="12"/>
        <v>BOCA DE LOBO SIMPLES EXISTENTE COM BOCA DE LOBO TRIPLA PROJETADA</v>
      </c>
      <c r="C503" s="153"/>
      <c r="D503" s="154"/>
      <c r="E503" s="154">
        <f t="shared" si="13"/>
        <v>0.5</v>
      </c>
      <c r="F503" s="154"/>
      <c r="G503" s="154"/>
      <c r="H503" s="154"/>
      <c r="I503" s="154"/>
      <c r="J503" s="154"/>
      <c r="K503" s="154">
        <f t="shared" si="14"/>
        <v>0</v>
      </c>
      <c r="L503" s="165"/>
      <c r="M503" s="154"/>
      <c r="N503" s="154"/>
      <c r="O503" s="154"/>
      <c r="P503" s="155"/>
      <c r="Q503" s="145"/>
    </row>
    <row r="504" spans="1:19" s="146" customFormat="1" ht="21" x14ac:dyDescent="0.25">
      <c r="A504" s="151"/>
      <c r="B504" s="152" t="str">
        <f t="shared" si="12"/>
        <v>BOCA DE LOBO DUPLA EXISTENTE COM BOCA DE LOBO SIMPLES PROJETADA</v>
      </c>
      <c r="C504" s="153"/>
      <c r="D504" s="154"/>
      <c r="E504" s="154">
        <f t="shared" si="13"/>
        <v>0.5</v>
      </c>
      <c r="F504" s="154"/>
      <c r="G504" s="154"/>
      <c r="H504" s="154"/>
      <c r="I504" s="154"/>
      <c r="J504" s="154"/>
      <c r="K504" s="154">
        <f t="shared" si="14"/>
        <v>0</v>
      </c>
      <c r="L504" s="165"/>
      <c r="M504" s="154"/>
      <c r="N504" s="154"/>
      <c r="O504" s="154"/>
      <c r="P504" s="155"/>
      <c r="Q504" s="145"/>
    </row>
    <row r="505" spans="1:19" s="146" customFormat="1" ht="21" x14ac:dyDescent="0.25">
      <c r="A505" s="151"/>
      <c r="B505" s="152" t="str">
        <f t="shared" si="12"/>
        <v>BOCA DE LOBO DUPLA EXISTENTE COM BOCA DE LOBO DUPLA PROJETADA</v>
      </c>
      <c r="C505" s="153"/>
      <c r="D505" s="154"/>
      <c r="E505" s="154">
        <f t="shared" si="13"/>
        <v>0.5</v>
      </c>
      <c r="F505" s="154"/>
      <c r="G505" s="154"/>
      <c r="H505" s="154"/>
      <c r="I505" s="154"/>
      <c r="J505" s="154"/>
      <c r="K505" s="154">
        <f t="shared" si="14"/>
        <v>0</v>
      </c>
      <c r="L505" s="165"/>
      <c r="M505" s="154"/>
      <c r="N505" s="154"/>
      <c r="O505" s="154"/>
      <c r="P505" s="155"/>
      <c r="Q505" s="145"/>
    </row>
    <row r="506" spans="1:19" s="146" customFormat="1" ht="21" x14ac:dyDescent="0.25">
      <c r="A506" s="151"/>
      <c r="B506" s="152" t="str">
        <f t="shared" si="12"/>
        <v>BOCA DE LOBO DUPLA EXISTENTE COM BOCA DE LOBO TRIPLA PROJETADA</v>
      </c>
      <c r="C506" s="153"/>
      <c r="D506" s="154"/>
      <c r="E506" s="154">
        <f t="shared" si="13"/>
        <v>0.5</v>
      </c>
      <c r="F506" s="154"/>
      <c r="G506" s="154"/>
      <c r="H506" s="154"/>
      <c r="I506" s="154"/>
      <c r="J506" s="154"/>
      <c r="K506" s="154">
        <f t="shared" si="14"/>
        <v>0</v>
      </c>
      <c r="L506" s="165"/>
      <c r="M506" s="154"/>
      <c r="N506" s="154"/>
      <c r="O506" s="154"/>
      <c r="P506" s="155"/>
      <c r="Q506" s="145"/>
    </row>
    <row r="507" spans="1:19" s="146" customFormat="1" ht="21" x14ac:dyDescent="0.25">
      <c r="A507" s="151"/>
      <c r="B507" s="152" t="str">
        <f t="shared" si="12"/>
        <v>BOCA DE LOBO TRIPLA EXISTENTE COM BOCA DE LOBO SIMPLES PROJETADA</v>
      </c>
      <c r="C507" s="153"/>
      <c r="D507" s="154"/>
      <c r="E507" s="154">
        <f t="shared" si="13"/>
        <v>0.5</v>
      </c>
      <c r="F507" s="154"/>
      <c r="G507" s="154"/>
      <c r="H507" s="154"/>
      <c r="I507" s="154"/>
      <c r="J507" s="154"/>
      <c r="K507" s="154">
        <f t="shared" si="14"/>
        <v>0</v>
      </c>
      <c r="L507" s="165"/>
      <c r="M507" s="154"/>
      <c r="N507" s="154"/>
      <c r="O507" s="154"/>
      <c r="P507" s="155"/>
      <c r="Q507" s="145"/>
    </row>
    <row r="508" spans="1:19" s="146" customFormat="1" ht="21" x14ac:dyDescent="0.25">
      <c r="A508" s="151"/>
      <c r="B508" s="152" t="str">
        <f t="shared" si="12"/>
        <v>BOCA DE LOBO TRIPLA EXISTENTE COM BOCA DE LOBO DUPLA PROJETADA</v>
      </c>
      <c r="C508" s="153"/>
      <c r="D508" s="154"/>
      <c r="E508" s="154">
        <f t="shared" si="13"/>
        <v>0.5</v>
      </c>
      <c r="F508" s="154"/>
      <c r="G508" s="154"/>
      <c r="H508" s="154"/>
      <c r="I508" s="154"/>
      <c r="J508" s="154"/>
      <c r="K508" s="154">
        <f t="shared" si="14"/>
        <v>0</v>
      </c>
      <c r="L508" s="165"/>
      <c r="M508" s="154"/>
      <c r="N508" s="154"/>
      <c r="O508" s="154"/>
      <c r="P508" s="155"/>
      <c r="Q508" s="145"/>
    </row>
    <row r="509" spans="1:19" s="146" customFormat="1" ht="21" x14ac:dyDescent="0.25">
      <c r="A509" s="151"/>
      <c r="B509" s="152" t="str">
        <f t="shared" si="12"/>
        <v>BOCA DE LOBO TRIPLA EXISTENTE COM BOCA DE LOBO TRIPLA PROJETADA</v>
      </c>
      <c r="C509" s="153"/>
      <c r="D509" s="154"/>
      <c r="E509" s="154">
        <f t="shared" si="13"/>
        <v>0.5</v>
      </c>
      <c r="F509" s="154"/>
      <c r="G509" s="154"/>
      <c r="H509" s="154"/>
      <c r="I509" s="154"/>
      <c r="J509" s="154"/>
      <c r="K509" s="154">
        <f t="shared" si="14"/>
        <v>49</v>
      </c>
      <c r="L509" s="165"/>
      <c r="M509" s="154"/>
      <c r="N509" s="154"/>
      <c r="O509" s="154"/>
      <c r="P509" s="155"/>
      <c r="Q509" s="145"/>
    </row>
    <row r="510" spans="1:19" s="146" customFormat="1" ht="10.5" x14ac:dyDescent="0.25">
      <c r="A510" s="151"/>
      <c r="B510" s="152" t="str">
        <f t="shared" si="12"/>
        <v>BOCA DE LOBO PROJETADA SIMPLES</v>
      </c>
      <c r="C510" s="153"/>
      <c r="D510" s="154"/>
      <c r="E510" s="154">
        <f t="shared" si="13"/>
        <v>1</v>
      </c>
      <c r="F510" s="154"/>
      <c r="G510" s="154"/>
      <c r="H510" s="154"/>
      <c r="I510" s="154"/>
      <c r="J510" s="154"/>
      <c r="K510" s="154">
        <f t="shared" si="14"/>
        <v>4</v>
      </c>
      <c r="L510" s="165"/>
      <c r="M510" s="154"/>
      <c r="N510" s="154"/>
      <c r="O510" s="154"/>
      <c r="P510" s="155"/>
      <c r="Q510" s="145"/>
    </row>
    <row r="511" spans="1:19" s="146" customFormat="1" ht="10.5" x14ac:dyDescent="0.25">
      <c r="A511" s="151"/>
      <c r="B511" s="152" t="str">
        <f t="shared" si="12"/>
        <v>BOCA DE LOBO PROJETADA DUPLA</v>
      </c>
      <c r="C511" s="153"/>
      <c r="D511" s="154"/>
      <c r="E511" s="154">
        <f t="shared" si="13"/>
        <v>1</v>
      </c>
      <c r="F511" s="154"/>
      <c r="G511" s="154"/>
      <c r="H511" s="154"/>
      <c r="I511" s="154"/>
      <c r="J511" s="154"/>
      <c r="K511" s="154">
        <f t="shared" si="14"/>
        <v>0</v>
      </c>
      <c r="L511" s="165"/>
      <c r="M511" s="154"/>
      <c r="N511" s="154"/>
      <c r="O511" s="154"/>
      <c r="P511" s="155"/>
      <c r="Q511" s="145"/>
    </row>
    <row r="512" spans="1:19" s="146" customFormat="1" ht="10.5" x14ac:dyDescent="0.25">
      <c r="A512" s="151"/>
      <c r="B512" s="152" t="str">
        <f t="shared" si="12"/>
        <v>BOCA DE LOBO PROJETADA TRIPLA</v>
      </c>
      <c r="C512" s="153"/>
      <c r="D512" s="154"/>
      <c r="E512" s="154">
        <f t="shared" si="13"/>
        <v>1</v>
      </c>
      <c r="F512" s="154"/>
      <c r="G512" s="154"/>
      <c r="H512" s="154"/>
      <c r="I512" s="154"/>
      <c r="J512" s="154"/>
      <c r="K512" s="154">
        <f t="shared" si="14"/>
        <v>0</v>
      </c>
      <c r="L512" s="165"/>
      <c r="M512" s="154"/>
      <c r="N512" s="154"/>
      <c r="O512" s="154"/>
      <c r="P512" s="155"/>
      <c r="Q512" s="145"/>
    </row>
    <row r="513" spans="1:19" s="146" customFormat="1" ht="10.5" x14ac:dyDescent="0.25">
      <c r="A513" s="151"/>
      <c r="B513" s="152"/>
      <c r="C513" s="153"/>
      <c r="D513" s="154"/>
      <c r="E513" s="154"/>
      <c r="F513" s="154"/>
      <c r="G513" s="154"/>
      <c r="H513" s="154"/>
      <c r="I513" s="154"/>
      <c r="J513" s="154"/>
      <c r="K513" s="154"/>
      <c r="L513" s="165"/>
      <c r="M513" s="154"/>
      <c r="N513" s="154"/>
      <c r="O513" s="154"/>
      <c r="P513" s="155"/>
      <c r="Q513" s="145"/>
    </row>
    <row r="514" spans="1:19" s="146" customFormat="1" ht="10.5" x14ac:dyDescent="0.25">
      <c r="A514" s="151"/>
      <c r="B514" s="157" t="s">
        <v>377</v>
      </c>
      <c r="C514" s="158" t="s">
        <v>402</v>
      </c>
      <c r="D514" s="158"/>
      <c r="E514" s="158">
        <f>SUMPRODUCT(E501:E513,K501:K513)</f>
        <v>28.5</v>
      </c>
      <c r="F514" s="158"/>
      <c r="G514" s="158"/>
      <c r="H514" s="158"/>
      <c r="I514" s="158"/>
      <c r="J514" s="158"/>
      <c r="K514" s="158"/>
      <c r="L514" s="158"/>
      <c r="M514" s="158"/>
      <c r="N514" s="158"/>
      <c r="O514" s="158"/>
      <c r="P514" s="159"/>
      <c r="Q514" s="145"/>
    </row>
    <row r="515" spans="1:19" s="164" customFormat="1" ht="52.5" x14ac:dyDescent="0.35">
      <c r="A515" s="147" t="str">
        <f>ORÇAMENTO!A121</f>
        <v>4.1.1.5.5</v>
      </c>
      <c r="B515" s="148" t="str">
        <f>VLOOKUP(A515,ORÇAMENTO!$A:$F,4,0)</f>
        <v>CARGA, MANOBRA E DESCARGA DE ENTULHO EM CAMINHÃO BASCULANTE 14 M³ - CARGA COM ESCAVADEIRA HIDRÁULICA  (CAÇAMBA DE 0,80 M³ / 111 HP) E DESCARGA LIVRE (UNIDADE: M3). AF_07/2020</v>
      </c>
      <c r="C515" s="149" t="str">
        <f>VLOOKUP(A515,ORÇAMENTO!$A:$F,5,0)</f>
        <v>M³</v>
      </c>
      <c r="D515" s="149">
        <f>SUM(E520:O520)</f>
        <v>27.511848000000001</v>
      </c>
      <c r="E515" s="149" t="s">
        <v>2149</v>
      </c>
      <c r="F515" s="149" t="s">
        <v>2150</v>
      </c>
      <c r="G515" s="149" t="s">
        <v>2151</v>
      </c>
      <c r="H515" s="149" t="s">
        <v>2152</v>
      </c>
      <c r="I515" s="149" t="s">
        <v>2153</v>
      </c>
      <c r="J515" s="149" t="s">
        <v>2154</v>
      </c>
      <c r="K515" s="149" t="s">
        <v>2181</v>
      </c>
      <c r="L515" s="149" t="s">
        <v>2178</v>
      </c>
      <c r="M515" s="149" t="s">
        <v>2175</v>
      </c>
      <c r="N515" s="149" t="s">
        <v>2157</v>
      </c>
      <c r="O515" s="149" t="s">
        <v>2158</v>
      </c>
      <c r="P515" s="145"/>
      <c r="Q515" s="145"/>
      <c r="R515" s="145"/>
      <c r="S515" s="145"/>
    </row>
    <row r="516" spans="1:19" s="146" customFormat="1" ht="10.5" x14ac:dyDescent="0.25">
      <c r="A516" s="151"/>
      <c r="B516" s="152"/>
      <c r="C516" s="153"/>
      <c r="D516" s="154"/>
      <c r="E516" s="154"/>
      <c r="F516" s="154"/>
      <c r="G516" s="154"/>
      <c r="H516" s="154"/>
      <c r="I516" s="154"/>
      <c r="J516" s="154"/>
      <c r="K516" s="154"/>
      <c r="L516" s="165"/>
      <c r="M516" s="154"/>
      <c r="N516" s="154"/>
      <c r="O516" s="154"/>
      <c r="P516" s="155"/>
      <c r="Q516" s="145"/>
    </row>
    <row r="517" spans="1:19" s="146" customFormat="1" ht="10.5" x14ac:dyDescent="0.25">
      <c r="A517" s="151"/>
      <c r="B517" s="152" t="s">
        <v>2197</v>
      </c>
      <c r="C517" s="153"/>
      <c r="D517" s="154"/>
      <c r="E517" s="154"/>
      <c r="F517" s="154"/>
      <c r="G517" s="154"/>
      <c r="H517" s="154"/>
      <c r="I517" s="154"/>
      <c r="J517" s="154"/>
      <c r="K517" s="154"/>
      <c r="L517" s="165"/>
      <c r="M517" s="154"/>
      <c r="N517" s="154"/>
      <c r="O517" s="154">
        <f>O468</f>
        <v>24.399647999999999</v>
      </c>
      <c r="P517" s="155"/>
      <c r="Q517" s="145"/>
    </row>
    <row r="518" spans="1:19" s="146" customFormat="1" ht="10.5" x14ac:dyDescent="0.25">
      <c r="A518" s="151"/>
      <c r="B518" s="152" t="s">
        <v>2198</v>
      </c>
      <c r="C518" s="153"/>
      <c r="D518" s="154"/>
      <c r="E518" s="154">
        <f>E498</f>
        <v>207.48000000000002</v>
      </c>
      <c r="F518" s="154">
        <v>0.1</v>
      </c>
      <c r="G518" s="154"/>
      <c r="H518" s="154">
        <v>0.15</v>
      </c>
      <c r="I518" s="154"/>
      <c r="J518" s="154"/>
      <c r="K518" s="154"/>
      <c r="L518" s="165"/>
      <c r="M518" s="154"/>
      <c r="N518" s="154"/>
      <c r="O518" s="154">
        <f>E518*F518*H518</f>
        <v>3.1122000000000005</v>
      </c>
      <c r="P518" s="155"/>
      <c r="Q518" s="145"/>
    </row>
    <row r="519" spans="1:19" s="146" customFormat="1" ht="10.5" x14ac:dyDescent="0.25">
      <c r="A519" s="151"/>
      <c r="B519" s="152"/>
      <c r="C519" s="153"/>
      <c r="D519" s="154"/>
      <c r="E519" s="154"/>
      <c r="F519" s="154"/>
      <c r="G519" s="154"/>
      <c r="H519" s="154"/>
      <c r="I519" s="154"/>
      <c r="J519" s="154"/>
      <c r="K519" s="154"/>
      <c r="L519" s="165"/>
      <c r="M519" s="154"/>
      <c r="N519" s="154"/>
      <c r="O519" s="154"/>
      <c r="P519" s="155"/>
      <c r="Q519" s="145"/>
    </row>
    <row r="520" spans="1:19" s="146" customFormat="1" ht="10.5" x14ac:dyDescent="0.25">
      <c r="A520" s="151"/>
      <c r="B520" s="157" t="s">
        <v>377</v>
      </c>
      <c r="C520" s="158" t="s">
        <v>402</v>
      </c>
      <c r="D520" s="158"/>
      <c r="E520" s="158"/>
      <c r="F520" s="158"/>
      <c r="G520" s="158"/>
      <c r="H520" s="158"/>
      <c r="I520" s="158"/>
      <c r="J520" s="158"/>
      <c r="K520" s="158"/>
      <c r="L520" s="158"/>
      <c r="M520" s="158"/>
      <c r="N520" s="158"/>
      <c r="O520" s="158">
        <f>SUM(O517:O519)</f>
        <v>27.511848000000001</v>
      </c>
      <c r="P520" s="159"/>
      <c r="Q520" s="145"/>
    </row>
    <row r="521" spans="1:19" s="164" customFormat="1" ht="31.5" x14ac:dyDescent="0.35">
      <c r="A521" s="147" t="str">
        <f>ORÇAMENTO!A122</f>
        <v>4.1.1.5.6</v>
      </c>
      <c r="B521" s="148" t="str">
        <f>VLOOKUP(A521,ORÇAMENTO!$A:$F,4,0)</f>
        <v>TRANSPORTE COM CAMINHÃO BASCULANTE DE 14 M³, EM VIA URBANA PAVIMENTADA, DMT ATÉ 30 KM (UNIDADE: M3XKM). AF_07/2020</v>
      </c>
      <c r="C521" s="149" t="str">
        <f>VLOOKUP(A521,ORÇAMENTO!$A:$F,5,0)</f>
        <v>M3XKM</v>
      </c>
      <c r="D521" s="149">
        <f>SUM(E525:O525)</f>
        <v>825.35544000000004</v>
      </c>
      <c r="E521" s="149" t="s">
        <v>2149</v>
      </c>
      <c r="F521" s="149" t="s">
        <v>2150</v>
      </c>
      <c r="G521" s="149" t="s">
        <v>2151</v>
      </c>
      <c r="H521" s="149" t="s">
        <v>2152</v>
      </c>
      <c r="I521" s="149" t="s">
        <v>2153</v>
      </c>
      <c r="J521" s="149" t="s">
        <v>2154</v>
      </c>
      <c r="K521" s="149" t="s">
        <v>2181</v>
      </c>
      <c r="L521" s="149" t="s">
        <v>2178</v>
      </c>
      <c r="M521" s="149" t="s">
        <v>2175</v>
      </c>
      <c r="N521" s="149" t="s">
        <v>2157</v>
      </c>
      <c r="O521" s="149" t="s">
        <v>2158</v>
      </c>
      <c r="P521" s="145"/>
      <c r="Q521" s="145"/>
      <c r="R521" s="145"/>
      <c r="S521" s="145"/>
    </row>
    <row r="522" spans="1:19" s="146" customFormat="1" ht="10.5" x14ac:dyDescent="0.25">
      <c r="A522" s="151"/>
      <c r="B522" s="152"/>
      <c r="C522" s="153"/>
      <c r="D522" s="154"/>
      <c r="E522" s="154"/>
      <c r="F522" s="154"/>
      <c r="G522" s="154"/>
      <c r="H522" s="154"/>
      <c r="I522" s="154"/>
      <c r="J522" s="154"/>
      <c r="K522" s="154"/>
      <c r="L522" s="165"/>
      <c r="M522" s="154"/>
      <c r="N522" s="154"/>
      <c r="O522" s="154"/>
      <c r="P522" s="155"/>
      <c r="Q522" s="145"/>
    </row>
    <row r="523" spans="1:19" s="146" customFormat="1" ht="10.5" x14ac:dyDescent="0.25">
      <c r="A523" s="151"/>
      <c r="B523" s="152" t="s">
        <v>2176</v>
      </c>
      <c r="C523" s="160"/>
      <c r="D523" s="161"/>
      <c r="E523" s="161">
        <v>30</v>
      </c>
      <c r="F523" s="154"/>
      <c r="G523" s="154"/>
      <c r="H523" s="154"/>
      <c r="I523" s="154"/>
      <c r="J523" s="154"/>
      <c r="K523" s="154"/>
      <c r="L523" s="165"/>
      <c r="M523" s="161">
        <f>O523*E523</f>
        <v>825.35544000000004</v>
      </c>
      <c r="N523" s="154"/>
      <c r="O523" s="154">
        <f>O520</f>
        <v>27.511848000000001</v>
      </c>
      <c r="P523" s="155"/>
      <c r="Q523" s="145"/>
    </row>
    <row r="524" spans="1:19" s="146" customFormat="1" ht="10.5" x14ac:dyDescent="0.25">
      <c r="A524" s="151"/>
      <c r="B524" s="152"/>
      <c r="C524" s="153"/>
      <c r="D524" s="154"/>
      <c r="E524" s="154"/>
      <c r="F524" s="154"/>
      <c r="G524" s="154"/>
      <c r="H524" s="154"/>
      <c r="I524" s="154"/>
      <c r="J524" s="154"/>
      <c r="K524" s="154"/>
      <c r="L524" s="165"/>
      <c r="M524" s="161"/>
      <c r="N524" s="154"/>
      <c r="O524" s="154"/>
      <c r="P524" s="155"/>
      <c r="Q524" s="145"/>
    </row>
    <row r="525" spans="1:19" s="146" customFormat="1" ht="10.5" x14ac:dyDescent="0.25">
      <c r="A525" s="151"/>
      <c r="B525" s="157" t="s">
        <v>377</v>
      </c>
      <c r="C525" s="158" t="s">
        <v>402</v>
      </c>
      <c r="D525" s="158"/>
      <c r="E525" s="158"/>
      <c r="F525" s="158"/>
      <c r="G525" s="158"/>
      <c r="H525" s="158"/>
      <c r="I525" s="158"/>
      <c r="J525" s="158"/>
      <c r="K525" s="158"/>
      <c r="L525" s="158"/>
      <c r="M525" s="158">
        <f>SUM(M523:M524)</f>
        <v>825.35544000000004</v>
      </c>
      <c r="N525" s="158"/>
      <c r="O525" s="158"/>
      <c r="P525" s="159"/>
      <c r="Q525" s="145"/>
    </row>
    <row r="526" spans="1:19" s="164" customFormat="1" ht="42" x14ac:dyDescent="0.35">
      <c r="A526" s="147" t="str">
        <f>ORÇAMENTO!A123</f>
        <v>4.1.1.5.7</v>
      </c>
      <c r="B526" s="148" t="str">
        <f>VLOOKUP(A526,ORÇAMENTO!$A:$F,4,0)</f>
        <v>TRANSPORTE COM CAMINHÃO BASCULANTE DE 14 M³, EM VIA URBANA PAVIMENTADA, ADICIONAL PARA DMT EXCEDENTE A 30 KM (UNIDADE: M3XKM). AF_07/2020</v>
      </c>
      <c r="C526" s="149" t="str">
        <f>VLOOKUP(A526,ORÇAMENTO!$A:$F,5,0)</f>
        <v>M3XKM</v>
      </c>
      <c r="D526" s="149">
        <f>SUM(E530:O530)</f>
        <v>1232.5307903999999</v>
      </c>
      <c r="E526" s="149" t="s">
        <v>2149</v>
      </c>
      <c r="F526" s="149" t="s">
        <v>2150</v>
      </c>
      <c r="G526" s="149" t="s">
        <v>2151</v>
      </c>
      <c r="H526" s="149" t="s">
        <v>2152</v>
      </c>
      <c r="I526" s="149" t="s">
        <v>2153</v>
      </c>
      <c r="J526" s="149" t="s">
        <v>2154</v>
      </c>
      <c r="K526" s="149" t="s">
        <v>2181</v>
      </c>
      <c r="L526" s="149" t="s">
        <v>2178</v>
      </c>
      <c r="M526" s="149" t="s">
        <v>2175</v>
      </c>
      <c r="N526" s="149" t="s">
        <v>2157</v>
      </c>
      <c r="O526" s="149" t="s">
        <v>2158</v>
      </c>
      <c r="P526" s="145"/>
      <c r="Q526" s="145"/>
      <c r="R526" s="145"/>
      <c r="S526" s="145"/>
    </row>
    <row r="527" spans="1:19" s="146" customFormat="1" ht="10.5" x14ac:dyDescent="0.25">
      <c r="A527" s="151"/>
      <c r="B527" s="152"/>
      <c r="C527" s="153"/>
      <c r="D527" s="154"/>
      <c r="E527" s="154"/>
      <c r="F527" s="154"/>
      <c r="G527" s="154"/>
      <c r="H527" s="154"/>
      <c r="I527" s="154"/>
      <c r="J527" s="154"/>
      <c r="K527" s="154"/>
      <c r="L527" s="165"/>
      <c r="M527" s="154"/>
      <c r="N527" s="154"/>
      <c r="O527" s="154"/>
      <c r="P527" s="155"/>
      <c r="Q527" s="145"/>
    </row>
    <row r="528" spans="1:19" s="146" customFormat="1" ht="10.5" x14ac:dyDescent="0.25">
      <c r="A528" s="151"/>
      <c r="B528" s="152" t="s">
        <v>2176</v>
      </c>
      <c r="C528" s="153"/>
      <c r="D528" s="154"/>
      <c r="E528" s="154">
        <f>74.8-E523</f>
        <v>44.8</v>
      </c>
      <c r="F528" s="154"/>
      <c r="G528" s="154"/>
      <c r="H528" s="154"/>
      <c r="I528" s="154"/>
      <c r="J528" s="154"/>
      <c r="K528" s="154"/>
      <c r="L528" s="165"/>
      <c r="M528" s="161">
        <f>O528*E528</f>
        <v>1232.5307903999999</v>
      </c>
      <c r="N528" s="154"/>
      <c r="O528" s="154">
        <f>O523</f>
        <v>27.511848000000001</v>
      </c>
      <c r="P528" s="155"/>
      <c r="Q528" s="145"/>
    </row>
    <row r="529" spans="1:19" s="146" customFormat="1" ht="10.5" x14ac:dyDescent="0.25">
      <c r="A529" s="151"/>
      <c r="B529" s="152"/>
      <c r="C529" s="153"/>
      <c r="D529" s="154"/>
      <c r="E529" s="154"/>
      <c r="F529" s="154"/>
      <c r="G529" s="154"/>
      <c r="H529" s="154"/>
      <c r="I529" s="154"/>
      <c r="J529" s="154"/>
      <c r="K529" s="154"/>
      <c r="L529" s="165"/>
      <c r="M529" s="161"/>
      <c r="N529" s="154"/>
      <c r="O529" s="154"/>
      <c r="P529" s="155"/>
      <c r="Q529" s="145"/>
    </row>
    <row r="530" spans="1:19" s="146" customFormat="1" ht="10.5" x14ac:dyDescent="0.25">
      <c r="A530" s="151"/>
      <c r="B530" s="157" t="s">
        <v>377</v>
      </c>
      <c r="C530" s="158" t="s">
        <v>402</v>
      </c>
      <c r="D530" s="158"/>
      <c r="E530" s="158"/>
      <c r="F530" s="158"/>
      <c r="G530" s="158"/>
      <c r="H530" s="158"/>
      <c r="I530" s="158"/>
      <c r="J530" s="158"/>
      <c r="K530" s="158"/>
      <c r="L530" s="158"/>
      <c r="M530" s="158">
        <f>SUM(M528:M529)</f>
        <v>1232.5307903999999</v>
      </c>
      <c r="N530" s="158"/>
      <c r="O530" s="158"/>
      <c r="P530" s="159"/>
      <c r="Q530" s="145"/>
    </row>
    <row r="531" spans="1:19" s="164" customFormat="1" ht="21" x14ac:dyDescent="0.35">
      <c r="A531" s="147"/>
      <c r="B531" s="148" t="str">
        <f>ORÇAMENTO!D124</f>
        <v>DEMOLIÇÕES DE PAREDES PARA AMPLIAÇÃO DE BOCA DE LOBO</v>
      </c>
      <c r="C531" s="149"/>
      <c r="D531" s="149"/>
      <c r="E531" s="149"/>
      <c r="F531" s="149"/>
      <c r="G531" s="149"/>
      <c r="H531" s="149"/>
      <c r="I531" s="149"/>
      <c r="J531" s="149"/>
      <c r="K531" s="149"/>
      <c r="L531" s="149"/>
      <c r="M531" s="149"/>
      <c r="N531" s="149"/>
      <c r="O531" s="149"/>
      <c r="P531" s="145"/>
      <c r="Q531" s="145"/>
      <c r="R531" s="145"/>
      <c r="S531" s="145"/>
    </row>
    <row r="532" spans="1:19" s="164" customFormat="1" ht="21" x14ac:dyDescent="0.35">
      <c r="A532" s="147" t="str">
        <f>ORÇAMENTO!A125</f>
        <v>4.1.1.6.1</v>
      </c>
      <c r="B532" s="148" t="str">
        <f>VLOOKUP(A532,ORÇAMENTO!$A:$F,4,0)</f>
        <v>DEMOLIÇÃO MANUAL DE CONCRETO ARMADO</v>
      </c>
      <c r="C532" s="149" t="str">
        <f>VLOOKUP(A532,ORÇAMENTO!$A:$F,5,0)</f>
        <v>M³</v>
      </c>
      <c r="D532" s="149">
        <f>SUM(E536:O536)</f>
        <v>0</v>
      </c>
      <c r="E532" s="149" t="s">
        <v>2149</v>
      </c>
      <c r="F532" s="149" t="s">
        <v>2150</v>
      </c>
      <c r="G532" s="149" t="s">
        <v>2151</v>
      </c>
      <c r="H532" s="149" t="s">
        <v>2152</v>
      </c>
      <c r="I532" s="149" t="s">
        <v>2153</v>
      </c>
      <c r="J532" s="149" t="s">
        <v>2154</v>
      </c>
      <c r="K532" s="149" t="s">
        <v>2181</v>
      </c>
      <c r="L532" s="149" t="s">
        <v>2178</v>
      </c>
      <c r="M532" s="149" t="s">
        <v>2175</v>
      </c>
      <c r="N532" s="149" t="s">
        <v>2157</v>
      </c>
      <c r="O532" s="149" t="s">
        <v>2158</v>
      </c>
      <c r="P532" s="145"/>
      <c r="Q532" s="145"/>
      <c r="R532" s="145"/>
      <c r="S532" s="145"/>
    </row>
    <row r="533" spans="1:19" s="146" customFormat="1" ht="10.5" x14ac:dyDescent="0.25">
      <c r="A533" s="151"/>
      <c r="B533" s="152"/>
      <c r="C533" s="153"/>
      <c r="D533" s="154"/>
      <c r="E533" s="154"/>
      <c r="F533" s="154"/>
      <c r="G533" s="154"/>
      <c r="H533" s="154"/>
      <c r="I533" s="154"/>
      <c r="J533" s="154"/>
      <c r="K533" s="154"/>
      <c r="L533" s="165"/>
      <c r="M533" s="154"/>
      <c r="N533" s="154"/>
      <c r="O533" s="154"/>
      <c r="P533" s="155"/>
      <c r="Q533" s="145"/>
    </row>
    <row r="534" spans="1:19" s="146" customFormat="1" ht="21" x14ac:dyDescent="0.25">
      <c r="A534" s="151"/>
      <c r="B534" s="152" t="s">
        <v>2199</v>
      </c>
      <c r="C534" s="153"/>
      <c r="D534" s="154"/>
      <c r="E534" s="154"/>
      <c r="F534" s="154"/>
      <c r="G534" s="154"/>
      <c r="H534" s="154"/>
      <c r="I534" s="154"/>
      <c r="J534" s="154"/>
      <c r="K534" s="154"/>
      <c r="L534" s="165"/>
      <c r="M534" s="154"/>
      <c r="N534" s="154"/>
      <c r="O534" s="154">
        <f>QUANTBL!CS69</f>
        <v>0</v>
      </c>
      <c r="P534" s="155"/>
      <c r="Q534" s="145"/>
    </row>
    <row r="535" spans="1:19" s="146" customFormat="1" ht="10.5" x14ac:dyDescent="0.25">
      <c r="A535" s="151"/>
      <c r="B535" s="152"/>
      <c r="C535" s="153"/>
      <c r="D535" s="154"/>
      <c r="E535" s="154"/>
      <c r="F535" s="154"/>
      <c r="G535" s="154"/>
      <c r="H535" s="154"/>
      <c r="I535" s="154"/>
      <c r="J535" s="154"/>
      <c r="K535" s="154"/>
      <c r="L535" s="165"/>
      <c r="M535" s="154"/>
      <c r="N535" s="154"/>
      <c r="O535" s="154"/>
      <c r="P535" s="155"/>
      <c r="Q535" s="145"/>
    </row>
    <row r="536" spans="1:19" s="146" customFormat="1" ht="10.5" x14ac:dyDescent="0.25">
      <c r="A536" s="151"/>
      <c r="B536" s="157" t="s">
        <v>377</v>
      </c>
      <c r="C536" s="158" t="s">
        <v>402</v>
      </c>
      <c r="D536" s="158"/>
      <c r="E536" s="158"/>
      <c r="F536" s="158"/>
      <c r="G536" s="158"/>
      <c r="H536" s="158"/>
      <c r="I536" s="158"/>
      <c r="J536" s="158"/>
      <c r="K536" s="158"/>
      <c r="L536" s="158"/>
      <c r="M536" s="158"/>
      <c r="N536" s="158"/>
      <c r="O536" s="158">
        <f>SUM(O534)</f>
        <v>0</v>
      </c>
      <c r="P536" s="159"/>
      <c r="Q536" s="145"/>
    </row>
    <row r="537" spans="1:19" s="164" customFormat="1" ht="31.5" x14ac:dyDescent="0.35">
      <c r="A537" s="147" t="str">
        <f>ORÇAMENTO!A126</f>
        <v>4.1.1.6.2</v>
      </c>
      <c r="B537" s="148" t="str">
        <f>VLOOKUP(A537,ORÇAMENTO!$A:$F,4,0)</f>
        <v>DEMOLIÇÃO DE ALVENARIA DE BLOCO FURADO, DE FORMA MANUAL, SEM REAPROVEITAMENTO. AF_09/2023</v>
      </c>
      <c r="C537" s="149" t="str">
        <f>VLOOKUP(A537,ORÇAMENTO!$A:$F,5,0)</f>
        <v>M³</v>
      </c>
      <c r="D537" s="149">
        <f>SUM(E541:O541)</f>
        <v>0</v>
      </c>
      <c r="E537" s="149" t="s">
        <v>2149</v>
      </c>
      <c r="F537" s="149" t="s">
        <v>2150</v>
      </c>
      <c r="G537" s="149" t="s">
        <v>2151</v>
      </c>
      <c r="H537" s="149" t="s">
        <v>2152</v>
      </c>
      <c r="I537" s="149" t="s">
        <v>2153</v>
      </c>
      <c r="J537" s="149" t="s">
        <v>2154</v>
      </c>
      <c r="K537" s="149" t="s">
        <v>2181</v>
      </c>
      <c r="L537" s="149" t="s">
        <v>2178</v>
      </c>
      <c r="M537" s="149" t="s">
        <v>2175</v>
      </c>
      <c r="N537" s="149" t="s">
        <v>2157</v>
      </c>
      <c r="O537" s="149" t="s">
        <v>2158</v>
      </c>
      <c r="P537" s="145"/>
      <c r="Q537" s="145"/>
      <c r="R537" s="145"/>
      <c r="S537" s="145"/>
    </row>
    <row r="538" spans="1:19" s="146" customFormat="1" ht="10.5" x14ac:dyDescent="0.25">
      <c r="A538" s="151"/>
      <c r="B538" s="152"/>
      <c r="C538" s="153"/>
      <c r="D538" s="154"/>
      <c r="E538" s="154"/>
      <c r="F538" s="154"/>
      <c r="G538" s="154"/>
      <c r="H538" s="154"/>
      <c r="I538" s="154"/>
      <c r="J538" s="154"/>
      <c r="K538" s="154"/>
      <c r="L538" s="165"/>
      <c r="M538" s="154"/>
      <c r="N538" s="154"/>
      <c r="O538" s="154"/>
      <c r="P538" s="155"/>
      <c r="Q538" s="145"/>
    </row>
    <row r="539" spans="1:19" s="146" customFormat="1" ht="21" x14ac:dyDescent="0.25">
      <c r="A539" s="151"/>
      <c r="B539" s="152" t="s">
        <v>2200</v>
      </c>
      <c r="C539" s="153"/>
      <c r="D539" s="154"/>
      <c r="E539" s="154"/>
      <c r="F539" s="154"/>
      <c r="G539" s="154"/>
      <c r="H539" s="154"/>
      <c r="I539" s="154"/>
      <c r="J539" s="154"/>
      <c r="K539" s="154"/>
      <c r="L539" s="165"/>
      <c r="M539" s="154"/>
      <c r="N539" s="154"/>
      <c r="O539" s="154">
        <f>QUANTBL!CR69</f>
        <v>0</v>
      </c>
      <c r="P539" s="155"/>
      <c r="Q539" s="145"/>
    </row>
    <row r="540" spans="1:19" s="146" customFormat="1" ht="10.5" x14ac:dyDescent="0.25">
      <c r="A540" s="151"/>
      <c r="B540" s="152"/>
      <c r="C540" s="153"/>
      <c r="D540" s="154"/>
      <c r="E540" s="154"/>
      <c r="F540" s="154"/>
      <c r="G540" s="154"/>
      <c r="H540" s="154"/>
      <c r="I540" s="154"/>
      <c r="J540" s="154"/>
      <c r="K540" s="154"/>
      <c r="L540" s="165"/>
      <c r="M540" s="154"/>
      <c r="N540" s="154"/>
      <c r="O540" s="154"/>
      <c r="P540" s="155"/>
      <c r="Q540" s="145"/>
    </row>
    <row r="541" spans="1:19" s="146" customFormat="1" ht="10.5" x14ac:dyDescent="0.25">
      <c r="A541" s="151"/>
      <c r="B541" s="157" t="s">
        <v>377</v>
      </c>
      <c r="C541" s="158" t="s">
        <v>402</v>
      </c>
      <c r="D541" s="158"/>
      <c r="E541" s="158"/>
      <c r="F541" s="158"/>
      <c r="G541" s="158"/>
      <c r="H541" s="158"/>
      <c r="I541" s="158"/>
      <c r="J541" s="158"/>
      <c r="K541" s="158"/>
      <c r="L541" s="158"/>
      <c r="M541" s="158"/>
      <c r="N541" s="158"/>
      <c r="O541" s="158">
        <f>SUM(O539)</f>
        <v>0</v>
      </c>
      <c r="P541" s="159"/>
      <c r="Q541" s="145"/>
    </row>
    <row r="542" spans="1:19" s="164" customFormat="1" ht="52.5" x14ac:dyDescent="0.35">
      <c r="A542" s="147" t="str">
        <f>ORÇAMENTO!A127</f>
        <v>4.1.1.6.3</v>
      </c>
      <c r="B542" s="148" t="str">
        <f>VLOOKUP(A542,ORÇAMENTO!$A:$F,4,0)</f>
        <v>CARGA, MANOBRA E DESCARGA DE ENTULHO EM CAMINHÃO BASCULANTE 14 M³ - CARGA COM ESCAVADEIRA HIDRÁULICA  (CAÇAMBA DE 0,80 M³ / 111 HP) E DESCARGA LIVRE (UNIDADE: M3). AF_07/2020</v>
      </c>
      <c r="C542" s="149" t="str">
        <f>VLOOKUP(A542,ORÇAMENTO!$A:$F,5,0)</f>
        <v>M³</v>
      </c>
      <c r="D542" s="149">
        <f>SUM(E547:O547)</f>
        <v>0</v>
      </c>
      <c r="E542" s="149" t="s">
        <v>2149</v>
      </c>
      <c r="F542" s="149" t="s">
        <v>2150</v>
      </c>
      <c r="G542" s="149" t="s">
        <v>2151</v>
      </c>
      <c r="H542" s="149" t="s">
        <v>2152</v>
      </c>
      <c r="I542" s="149" t="s">
        <v>2153</v>
      </c>
      <c r="J542" s="149" t="s">
        <v>2154</v>
      </c>
      <c r="K542" s="149" t="s">
        <v>2181</v>
      </c>
      <c r="L542" s="149" t="s">
        <v>2178</v>
      </c>
      <c r="M542" s="149" t="s">
        <v>2175</v>
      </c>
      <c r="N542" s="149" t="s">
        <v>2157</v>
      </c>
      <c r="O542" s="149" t="s">
        <v>2158</v>
      </c>
      <c r="P542" s="145"/>
      <c r="Q542" s="145"/>
      <c r="R542" s="145"/>
      <c r="S542" s="145"/>
    </row>
    <row r="543" spans="1:19" s="146" customFormat="1" ht="10.5" x14ac:dyDescent="0.25">
      <c r="A543" s="151"/>
      <c r="B543" s="152"/>
      <c r="C543" s="153"/>
      <c r="D543" s="154"/>
      <c r="E543" s="154"/>
      <c r="F543" s="154"/>
      <c r="G543" s="154"/>
      <c r="H543" s="154"/>
      <c r="I543" s="154"/>
      <c r="J543" s="154"/>
      <c r="K543" s="154"/>
      <c r="L543" s="165"/>
      <c r="M543" s="154"/>
      <c r="N543" s="154"/>
      <c r="O543" s="154"/>
      <c r="P543" s="155"/>
      <c r="Q543" s="145"/>
    </row>
    <row r="544" spans="1:19" s="146" customFormat="1" ht="10.5" x14ac:dyDescent="0.25">
      <c r="A544" s="151"/>
      <c r="B544" s="152" t="s">
        <v>2201</v>
      </c>
      <c r="C544" s="153"/>
      <c r="D544" s="154"/>
      <c r="E544" s="154"/>
      <c r="F544" s="154"/>
      <c r="G544" s="154"/>
      <c r="H544" s="154"/>
      <c r="I544" s="154"/>
      <c r="J544" s="154"/>
      <c r="K544" s="154"/>
      <c r="L544" s="165"/>
      <c r="M544" s="154"/>
      <c r="N544" s="154"/>
      <c r="O544" s="154">
        <f>O534</f>
        <v>0</v>
      </c>
      <c r="P544" s="155"/>
      <c r="Q544" s="145"/>
    </row>
    <row r="545" spans="1:19" s="146" customFormat="1" ht="10.5" x14ac:dyDescent="0.25">
      <c r="A545" s="151"/>
      <c r="B545" s="152" t="s">
        <v>2202</v>
      </c>
      <c r="C545" s="153"/>
      <c r="D545" s="154"/>
      <c r="E545" s="154"/>
      <c r="F545" s="154"/>
      <c r="G545" s="154"/>
      <c r="H545" s="154"/>
      <c r="I545" s="154"/>
      <c r="J545" s="154"/>
      <c r="K545" s="154"/>
      <c r="L545" s="165"/>
      <c r="M545" s="154"/>
      <c r="N545" s="154"/>
      <c r="O545" s="154">
        <f>O539</f>
        <v>0</v>
      </c>
      <c r="P545" s="155"/>
      <c r="Q545" s="145"/>
    </row>
    <row r="546" spans="1:19" s="146" customFormat="1" ht="10.5" x14ac:dyDescent="0.25">
      <c r="A546" s="151"/>
      <c r="B546" s="152"/>
      <c r="C546" s="153"/>
      <c r="D546" s="154"/>
      <c r="E546" s="154"/>
      <c r="F546" s="154"/>
      <c r="G546" s="154"/>
      <c r="H546" s="154"/>
      <c r="I546" s="154"/>
      <c r="J546" s="154"/>
      <c r="K546" s="154"/>
      <c r="L546" s="165"/>
      <c r="M546" s="154"/>
      <c r="N546" s="154"/>
      <c r="O546" s="154"/>
      <c r="P546" s="155"/>
      <c r="Q546" s="145"/>
    </row>
    <row r="547" spans="1:19" s="146" customFormat="1" ht="10.5" x14ac:dyDescent="0.25">
      <c r="A547" s="151"/>
      <c r="B547" s="157" t="s">
        <v>377</v>
      </c>
      <c r="C547" s="158" t="s">
        <v>402</v>
      </c>
      <c r="D547" s="158"/>
      <c r="E547" s="158"/>
      <c r="F547" s="158"/>
      <c r="G547" s="158"/>
      <c r="H547" s="158"/>
      <c r="I547" s="158"/>
      <c r="J547" s="158"/>
      <c r="K547" s="158"/>
      <c r="L547" s="158"/>
      <c r="M547" s="158"/>
      <c r="N547" s="158"/>
      <c r="O547" s="158">
        <f>SUM(O544:O546)</f>
        <v>0</v>
      </c>
      <c r="P547" s="159"/>
      <c r="Q547" s="145"/>
    </row>
    <row r="548" spans="1:19" s="164" customFormat="1" ht="31.5" x14ac:dyDescent="0.35">
      <c r="A548" s="147" t="str">
        <f>ORÇAMENTO!A128</f>
        <v>4.1.1.6.4</v>
      </c>
      <c r="B548" s="148" t="str">
        <f>VLOOKUP(A548,ORÇAMENTO!$A:$F,4,0)</f>
        <v>TRANSPORTE COM CAMINHÃO BASCULANTE DE 14 M³, EM VIA URBANA PAVIMENTADA, DMT ATÉ 30 KM (UNIDADE: M3XKM). AF_07/2020</v>
      </c>
      <c r="C548" s="149" t="str">
        <f>VLOOKUP(A548,ORÇAMENTO!$A:$F,5,0)</f>
        <v>M3XKM</v>
      </c>
      <c r="D548" s="149">
        <f>SUM(E552:O552)</f>
        <v>0</v>
      </c>
      <c r="E548" s="149" t="s">
        <v>2149</v>
      </c>
      <c r="F548" s="149" t="s">
        <v>2150</v>
      </c>
      <c r="G548" s="149" t="s">
        <v>2151</v>
      </c>
      <c r="H548" s="149" t="s">
        <v>2152</v>
      </c>
      <c r="I548" s="149" t="s">
        <v>2153</v>
      </c>
      <c r="J548" s="149" t="s">
        <v>2154</v>
      </c>
      <c r="K548" s="149" t="s">
        <v>2181</v>
      </c>
      <c r="L548" s="149" t="s">
        <v>2178</v>
      </c>
      <c r="M548" s="149" t="s">
        <v>2175</v>
      </c>
      <c r="N548" s="149" t="s">
        <v>2157</v>
      </c>
      <c r="O548" s="149" t="s">
        <v>2158</v>
      </c>
      <c r="P548" s="145"/>
      <c r="Q548" s="145"/>
      <c r="R548" s="145"/>
      <c r="S548" s="145"/>
    </row>
    <row r="549" spans="1:19" s="146" customFormat="1" ht="10.5" x14ac:dyDescent="0.25">
      <c r="A549" s="151"/>
      <c r="B549" s="152"/>
      <c r="C549" s="153"/>
      <c r="D549" s="154"/>
      <c r="E549" s="154"/>
      <c r="F549" s="154"/>
      <c r="G549" s="154"/>
      <c r="H549" s="154"/>
      <c r="I549" s="154"/>
      <c r="J549" s="154"/>
      <c r="K549" s="154"/>
      <c r="L549" s="165"/>
      <c r="M549" s="154"/>
      <c r="N549" s="154"/>
      <c r="O549" s="154"/>
      <c r="P549" s="155"/>
      <c r="Q549" s="145"/>
    </row>
    <row r="550" spans="1:19" s="146" customFormat="1" ht="10.5" x14ac:dyDescent="0.25">
      <c r="A550" s="151"/>
      <c r="B550" s="152" t="s">
        <v>2176</v>
      </c>
      <c r="C550" s="160"/>
      <c r="D550" s="161"/>
      <c r="E550" s="161">
        <v>30</v>
      </c>
      <c r="F550" s="154"/>
      <c r="G550" s="154"/>
      <c r="H550" s="154"/>
      <c r="I550" s="154"/>
      <c r="J550" s="154"/>
      <c r="K550" s="154"/>
      <c r="L550" s="165"/>
      <c r="M550" s="161">
        <f>O550*E550</f>
        <v>0</v>
      </c>
      <c r="N550" s="154"/>
      <c r="O550" s="154">
        <f>O547</f>
        <v>0</v>
      </c>
      <c r="P550" s="155"/>
      <c r="Q550" s="145"/>
    </row>
    <row r="551" spans="1:19" s="146" customFormat="1" ht="10.5" x14ac:dyDescent="0.25">
      <c r="A551" s="151"/>
      <c r="B551" s="152"/>
      <c r="C551" s="153"/>
      <c r="D551" s="154"/>
      <c r="E551" s="154"/>
      <c r="F551" s="154"/>
      <c r="G551" s="154"/>
      <c r="H551" s="154"/>
      <c r="I551" s="154"/>
      <c r="J551" s="154"/>
      <c r="K551" s="154"/>
      <c r="L551" s="165"/>
      <c r="M551" s="161"/>
      <c r="N551" s="154"/>
      <c r="O551" s="154"/>
      <c r="P551" s="155"/>
      <c r="Q551" s="145"/>
    </row>
    <row r="552" spans="1:19" s="146" customFormat="1" ht="10.5" x14ac:dyDescent="0.25">
      <c r="A552" s="151"/>
      <c r="B552" s="157" t="s">
        <v>377</v>
      </c>
      <c r="C552" s="158" t="s">
        <v>402</v>
      </c>
      <c r="D552" s="158"/>
      <c r="E552" s="158"/>
      <c r="F552" s="158"/>
      <c r="G552" s="158"/>
      <c r="H552" s="158"/>
      <c r="I552" s="158"/>
      <c r="J552" s="158"/>
      <c r="K552" s="158"/>
      <c r="L552" s="158"/>
      <c r="M552" s="158">
        <f>SUM(M550:M551)</f>
        <v>0</v>
      </c>
      <c r="N552" s="158"/>
      <c r="O552" s="158"/>
      <c r="P552" s="159"/>
      <c r="Q552" s="145"/>
    </row>
    <row r="553" spans="1:19" s="164" customFormat="1" ht="42" x14ac:dyDescent="0.35">
      <c r="A553" s="147" t="str">
        <f>ORÇAMENTO!A129</f>
        <v>4.1.1.6.5</v>
      </c>
      <c r="B553" s="148" t="str">
        <f>VLOOKUP(A553,ORÇAMENTO!$A:$F,4,0)</f>
        <v>TRANSPORTE COM CAMINHÃO BASCULANTE DE 14 M³, EM VIA URBANA PAVIMENTADA, ADICIONAL PARA DMT EXCEDENTE A 30 KM (UNIDADE: M3XKM). AF_07/2020</v>
      </c>
      <c r="C553" s="149" t="str">
        <f>VLOOKUP(A553,ORÇAMENTO!$A:$F,5,0)</f>
        <v>M3XKM</v>
      </c>
      <c r="D553" s="149">
        <f>SUM(E557:O557)</f>
        <v>0</v>
      </c>
      <c r="E553" s="149" t="s">
        <v>2149</v>
      </c>
      <c r="F553" s="149" t="s">
        <v>2150</v>
      </c>
      <c r="G553" s="149" t="s">
        <v>2151</v>
      </c>
      <c r="H553" s="149" t="s">
        <v>2152</v>
      </c>
      <c r="I553" s="149" t="s">
        <v>2153</v>
      </c>
      <c r="J553" s="149" t="s">
        <v>2154</v>
      </c>
      <c r="K553" s="149" t="s">
        <v>2181</v>
      </c>
      <c r="L553" s="149" t="s">
        <v>2178</v>
      </c>
      <c r="M553" s="149" t="s">
        <v>2175</v>
      </c>
      <c r="N553" s="149" t="s">
        <v>2157</v>
      </c>
      <c r="O553" s="149" t="s">
        <v>2158</v>
      </c>
      <c r="P553" s="145"/>
      <c r="Q553" s="145"/>
      <c r="R553" s="145"/>
      <c r="S553" s="145"/>
    </row>
    <row r="554" spans="1:19" s="146" customFormat="1" ht="10.5" x14ac:dyDescent="0.25">
      <c r="A554" s="151"/>
      <c r="B554" s="152"/>
      <c r="C554" s="153"/>
      <c r="D554" s="154"/>
      <c r="E554" s="154"/>
      <c r="F554" s="154"/>
      <c r="G554" s="154"/>
      <c r="H554" s="154"/>
      <c r="I554" s="154"/>
      <c r="J554" s="154"/>
      <c r="K554" s="154"/>
      <c r="L554" s="165"/>
      <c r="M554" s="154"/>
      <c r="N554" s="154"/>
      <c r="O554" s="154"/>
      <c r="P554" s="155"/>
      <c r="Q554" s="145"/>
    </row>
    <row r="555" spans="1:19" s="146" customFormat="1" ht="10.5" x14ac:dyDescent="0.25">
      <c r="A555" s="151"/>
      <c r="B555" s="152" t="s">
        <v>2176</v>
      </c>
      <c r="C555" s="153"/>
      <c r="D555" s="154"/>
      <c r="E555" s="154">
        <f>74.8-E550</f>
        <v>44.8</v>
      </c>
      <c r="F555" s="154"/>
      <c r="G555" s="154"/>
      <c r="H555" s="154"/>
      <c r="I555" s="154"/>
      <c r="J555" s="154"/>
      <c r="K555" s="154"/>
      <c r="L555" s="165"/>
      <c r="M555" s="161">
        <f>O555*E555</f>
        <v>0</v>
      </c>
      <c r="N555" s="154"/>
      <c r="O555" s="154">
        <f>O550</f>
        <v>0</v>
      </c>
      <c r="P555" s="155"/>
      <c r="Q555" s="145"/>
    </row>
    <row r="556" spans="1:19" s="146" customFormat="1" ht="10.5" x14ac:dyDescent="0.25">
      <c r="A556" s="151"/>
      <c r="B556" s="152"/>
      <c r="C556" s="153"/>
      <c r="D556" s="154"/>
      <c r="E556" s="154"/>
      <c r="F556" s="154"/>
      <c r="G556" s="154"/>
      <c r="H556" s="154"/>
      <c r="I556" s="154"/>
      <c r="J556" s="154"/>
      <c r="K556" s="154"/>
      <c r="L556" s="165"/>
      <c r="M556" s="161"/>
      <c r="N556" s="154"/>
      <c r="O556" s="154"/>
      <c r="P556" s="155"/>
      <c r="Q556" s="145"/>
    </row>
    <row r="557" spans="1:19" s="146" customFormat="1" ht="10.5" x14ac:dyDescent="0.25">
      <c r="A557" s="151"/>
      <c r="B557" s="157" t="s">
        <v>377</v>
      </c>
      <c r="C557" s="158" t="s">
        <v>402</v>
      </c>
      <c r="D557" s="158"/>
      <c r="E557" s="158"/>
      <c r="F557" s="158"/>
      <c r="G557" s="158"/>
      <c r="H557" s="158"/>
      <c r="I557" s="158"/>
      <c r="J557" s="158"/>
      <c r="K557" s="158"/>
      <c r="L557" s="158"/>
      <c r="M557" s="158">
        <f>SUM(M555:M556)</f>
        <v>0</v>
      </c>
      <c r="N557" s="158"/>
      <c r="O557" s="158"/>
      <c r="P557" s="159"/>
      <c r="Q557" s="145"/>
    </row>
    <row r="558" spans="1:19" s="164" customFormat="1" x14ac:dyDescent="0.35">
      <c r="A558" s="147"/>
      <c r="B558" s="148" t="str">
        <f>ORÇAMENTO!D130</f>
        <v>LIGAÇÃO DE BOCA DE LOBOS A PV EXISTENTES</v>
      </c>
      <c r="C558" s="149"/>
      <c r="D558" s="149"/>
      <c r="E558" s="149"/>
      <c r="F558" s="149"/>
      <c r="G558" s="149"/>
      <c r="H558" s="149"/>
      <c r="I558" s="149"/>
      <c r="J558" s="149"/>
      <c r="K558" s="149"/>
      <c r="L558" s="149"/>
      <c r="M558" s="149"/>
      <c r="N558" s="149"/>
      <c r="O558" s="149"/>
      <c r="P558" s="145"/>
      <c r="Q558" s="145"/>
      <c r="R558" s="145"/>
      <c r="S558" s="145"/>
    </row>
    <row r="559" spans="1:19" s="164" customFormat="1" ht="31.5" x14ac:dyDescent="0.35">
      <c r="A559" s="147" t="str">
        <f>ORÇAMENTO!A131</f>
        <v>4.1.1.7.1</v>
      </c>
      <c r="B559" s="148" t="str">
        <f>VLOOKUP(A559,ORÇAMENTO!$A:$F,4,0)</f>
        <v>DEMOLIÇÃO DE ALVENARIA DE BLOCO FURADO, DE FORMA MANUAL, SEM REAPROVEITAMENTO. AF_09/2023</v>
      </c>
      <c r="C559" s="149" t="str">
        <f>VLOOKUP(A559,ORÇAMENTO!$A:$F,5,0)</f>
        <v>M³</v>
      </c>
      <c r="D559" s="149">
        <f>SUM(E563:O563)</f>
        <v>0.83347081418267965</v>
      </c>
      <c r="E559" s="149" t="s">
        <v>2149</v>
      </c>
      <c r="F559" s="149" t="s">
        <v>2150</v>
      </c>
      <c r="G559" s="149" t="s">
        <v>2151</v>
      </c>
      <c r="H559" s="149" t="s">
        <v>2152</v>
      </c>
      <c r="I559" s="149" t="s">
        <v>2153</v>
      </c>
      <c r="J559" s="149" t="s">
        <v>2154</v>
      </c>
      <c r="K559" s="149" t="s">
        <v>2181</v>
      </c>
      <c r="L559" s="149" t="s">
        <v>2178</v>
      </c>
      <c r="M559" s="149" t="s">
        <v>2175</v>
      </c>
      <c r="N559" s="149" t="s">
        <v>2157</v>
      </c>
      <c r="O559" s="149" t="s">
        <v>2158</v>
      </c>
      <c r="P559" s="145"/>
      <c r="Q559" s="145"/>
      <c r="R559" s="145"/>
      <c r="S559" s="145"/>
    </row>
    <row r="560" spans="1:19" s="146" customFormat="1" ht="10.5" x14ac:dyDescent="0.25">
      <c r="A560" s="151"/>
      <c r="B560" s="152"/>
      <c r="C560" s="153"/>
      <c r="D560" s="154"/>
      <c r="E560" s="154"/>
      <c r="F560" s="154"/>
      <c r="G560" s="154"/>
      <c r="H560" s="154"/>
      <c r="I560" s="154"/>
      <c r="J560" s="154"/>
      <c r="K560" s="154"/>
      <c r="L560" s="165"/>
      <c r="M560" s="154"/>
      <c r="N560" s="154"/>
      <c r="O560" s="154"/>
      <c r="P560" s="155"/>
      <c r="Q560" s="145"/>
    </row>
    <row r="561" spans="1:19" s="146" customFormat="1" ht="10.5" x14ac:dyDescent="0.25">
      <c r="A561" s="151"/>
      <c r="B561" s="152" t="s">
        <v>2203</v>
      </c>
      <c r="C561" s="153"/>
      <c r="D561" s="154"/>
      <c r="E561" s="154"/>
      <c r="F561" s="154"/>
      <c r="G561" s="154"/>
      <c r="H561" s="154"/>
      <c r="I561" s="154"/>
      <c r="J561" s="154"/>
      <c r="K561" s="154"/>
      <c r="L561" s="165"/>
      <c r="M561" s="154"/>
      <c r="N561" s="154"/>
      <c r="O561" s="154">
        <f>QUANTBL!CZ69</f>
        <v>0.83347081418267965</v>
      </c>
      <c r="P561" s="155"/>
      <c r="Q561" s="145"/>
    </row>
    <row r="562" spans="1:19" s="146" customFormat="1" ht="10.5" x14ac:dyDescent="0.25">
      <c r="A562" s="151"/>
      <c r="B562" s="152"/>
      <c r="C562" s="153"/>
      <c r="D562" s="154"/>
      <c r="E562" s="154"/>
      <c r="F562" s="154"/>
      <c r="G562" s="154"/>
      <c r="H562" s="154"/>
      <c r="I562" s="154"/>
      <c r="J562" s="154"/>
      <c r="K562" s="154"/>
      <c r="L562" s="165"/>
      <c r="M562" s="154"/>
      <c r="N562" s="154"/>
      <c r="O562" s="154"/>
      <c r="P562" s="155"/>
      <c r="Q562" s="145"/>
    </row>
    <row r="563" spans="1:19" s="146" customFormat="1" ht="10.5" x14ac:dyDescent="0.25">
      <c r="A563" s="151"/>
      <c r="B563" s="157" t="s">
        <v>377</v>
      </c>
      <c r="C563" s="158" t="s">
        <v>402</v>
      </c>
      <c r="D563" s="158"/>
      <c r="E563" s="158"/>
      <c r="F563" s="158"/>
      <c r="G563" s="158"/>
      <c r="H563" s="158"/>
      <c r="I563" s="158"/>
      <c r="J563" s="158"/>
      <c r="K563" s="158"/>
      <c r="L563" s="158"/>
      <c r="M563" s="158"/>
      <c r="N563" s="158"/>
      <c r="O563" s="158">
        <f>SUM(O561)</f>
        <v>0.83347081418267965</v>
      </c>
      <c r="P563" s="159"/>
      <c r="Q563" s="145"/>
    </row>
    <row r="564" spans="1:19" s="164" customFormat="1" ht="52.5" x14ac:dyDescent="0.35">
      <c r="A564" s="147" t="str">
        <f>ORÇAMENTO!A132</f>
        <v>4.1.1.7.2</v>
      </c>
      <c r="B564" s="148" t="str">
        <f>VLOOKUP(A564,ORÇAMENTO!$A:$F,4,0)</f>
        <v>CARGA, MANOBRA E DESCARGA DE ENTULHO EM CAMINHÃO BASCULANTE 14 M³ - CARGA COM ESCAVADEIRA HIDRÁULICA  (CAÇAMBA DE 0,80 M³ / 111 HP) E DESCARGA LIVRE (UNIDADE: M3). AF_07/2020</v>
      </c>
      <c r="C564" s="149" t="str">
        <f>VLOOKUP(A564,ORÇAMENTO!$A:$F,5,0)</f>
        <v>M³</v>
      </c>
      <c r="D564" s="149">
        <f>SUM(E568:O568)</f>
        <v>0.83347081418267965</v>
      </c>
      <c r="E564" s="149" t="s">
        <v>2149</v>
      </c>
      <c r="F564" s="149" t="s">
        <v>2150</v>
      </c>
      <c r="G564" s="149" t="s">
        <v>2151</v>
      </c>
      <c r="H564" s="149" t="s">
        <v>2152</v>
      </c>
      <c r="I564" s="149" t="s">
        <v>2153</v>
      </c>
      <c r="J564" s="149" t="s">
        <v>2154</v>
      </c>
      <c r="K564" s="149" t="s">
        <v>2181</v>
      </c>
      <c r="L564" s="149" t="s">
        <v>2178</v>
      </c>
      <c r="M564" s="149" t="s">
        <v>2175</v>
      </c>
      <c r="N564" s="149" t="s">
        <v>2157</v>
      </c>
      <c r="O564" s="149" t="s">
        <v>2158</v>
      </c>
      <c r="P564" s="145"/>
      <c r="Q564" s="145"/>
      <c r="R564" s="145"/>
      <c r="S564" s="145"/>
    </row>
    <row r="565" spans="1:19" s="146" customFormat="1" ht="10.5" x14ac:dyDescent="0.25">
      <c r="A565" s="151"/>
      <c r="B565" s="152"/>
      <c r="C565" s="153"/>
      <c r="D565" s="154"/>
      <c r="E565" s="154"/>
      <c r="F565" s="154"/>
      <c r="G565" s="154"/>
      <c r="H565" s="154"/>
      <c r="I565" s="154"/>
      <c r="J565" s="154"/>
      <c r="K565" s="154"/>
      <c r="L565" s="165"/>
      <c r="M565" s="154"/>
      <c r="N565" s="154"/>
      <c r="O565" s="154"/>
      <c r="P565" s="155"/>
      <c r="Q565" s="145"/>
    </row>
    <row r="566" spans="1:19" s="146" customFormat="1" ht="10.5" x14ac:dyDescent="0.25">
      <c r="A566" s="151"/>
      <c r="B566" s="152" t="s">
        <v>2202</v>
      </c>
      <c r="C566" s="153"/>
      <c r="D566" s="154"/>
      <c r="E566" s="154"/>
      <c r="F566" s="154"/>
      <c r="G566" s="154"/>
      <c r="H566" s="154"/>
      <c r="I566" s="154"/>
      <c r="J566" s="154"/>
      <c r="K566" s="154"/>
      <c r="L566" s="165"/>
      <c r="M566" s="154"/>
      <c r="N566" s="154"/>
      <c r="O566" s="154">
        <f>O561</f>
        <v>0.83347081418267965</v>
      </c>
      <c r="P566" s="155"/>
      <c r="Q566" s="145"/>
    </row>
    <row r="567" spans="1:19" s="146" customFormat="1" ht="10.5" x14ac:dyDescent="0.25">
      <c r="A567" s="151"/>
      <c r="B567" s="152"/>
      <c r="C567" s="153"/>
      <c r="D567" s="154"/>
      <c r="E567" s="154"/>
      <c r="F567" s="154"/>
      <c r="G567" s="154"/>
      <c r="H567" s="154"/>
      <c r="I567" s="154"/>
      <c r="J567" s="154"/>
      <c r="K567" s="154"/>
      <c r="L567" s="165"/>
      <c r="M567" s="154"/>
      <c r="N567" s="154"/>
      <c r="O567" s="154"/>
      <c r="P567" s="155"/>
      <c r="Q567" s="145"/>
    </row>
    <row r="568" spans="1:19" s="146" customFormat="1" ht="10.5" x14ac:dyDescent="0.25">
      <c r="A568" s="151"/>
      <c r="B568" s="157" t="s">
        <v>377</v>
      </c>
      <c r="C568" s="158" t="s">
        <v>402</v>
      </c>
      <c r="D568" s="158"/>
      <c r="E568" s="158"/>
      <c r="F568" s="158"/>
      <c r="G568" s="158"/>
      <c r="H568" s="158"/>
      <c r="I568" s="158"/>
      <c r="J568" s="158"/>
      <c r="K568" s="158"/>
      <c r="L568" s="158"/>
      <c r="M568" s="158"/>
      <c r="N568" s="158"/>
      <c r="O568" s="158">
        <f>SUM(O566:O567)</f>
        <v>0.83347081418267965</v>
      </c>
      <c r="P568" s="159"/>
      <c r="Q568" s="145"/>
    </row>
    <row r="569" spans="1:19" s="164" customFormat="1" ht="31.5" x14ac:dyDescent="0.35">
      <c r="A569" s="147" t="str">
        <f>ORÇAMENTO!A133</f>
        <v>4.1.1.7.3</v>
      </c>
      <c r="B569" s="148" t="str">
        <f>VLOOKUP(A569,ORÇAMENTO!$A:$F,4,0)</f>
        <v>TRANSPORTE COM CAMINHÃO BASCULANTE DE 14 M³, EM VIA URBANA PAVIMENTADA, DMT ATÉ 30 KM (UNIDADE: M3XKM). AF_07/2020</v>
      </c>
      <c r="C569" s="149" t="str">
        <f>VLOOKUP(A569,ORÇAMENTO!$A:$F,5,0)</f>
        <v>M3XKM</v>
      </c>
      <c r="D569" s="149">
        <f>SUM(E573:O573)</f>
        <v>25.004124425480391</v>
      </c>
      <c r="E569" s="149" t="s">
        <v>2149</v>
      </c>
      <c r="F569" s="149" t="s">
        <v>2150</v>
      </c>
      <c r="G569" s="149" t="s">
        <v>2151</v>
      </c>
      <c r="H569" s="149" t="s">
        <v>2152</v>
      </c>
      <c r="I569" s="149" t="s">
        <v>2153</v>
      </c>
      <c r="J569" s="149" t="s">
        <v>2154</v>
      </c>
      <c r="K569" s="149" t="s">
        <v>2181</v>
      </c>
      <c r="L569" s="149" t="s">
        <v>2178</v>
      </c>
      <c r="M569" s="149" t="s">
        <v>2175</v>
      </c>
      <c r="N569" s="149" t="s">
        <v>2157</v>
      </c>
      <c r="O569" s="149" t="s">
        <v>2158</v>
      </c>
      <c r="P569" s="145"/>
      <c r="Q569" s="145"/>
      <c r="R569" s="145"/>
      <c r="S569" s="145"/>
    </row>
    <row r="570" spans="1:19" s="146" customFormat="1" ht="10.5" x14ac:dyDescent="0.25">
      <c r="A570" s="151"/>
      <c r="B570" s="152"/>
      <c r="C570" s="153"/>
      <c r="D570" s="154"/>
      <c r="E570" s="154"/>
      <c r="F570" s="154"/>
      <c r="G570" s="154"/>
      <c r="H570" s="154"/>
      <c r="I570" s="154"/>
      <c r="J570" s="154"/>
      <c r="K570" s="154"/>
      <c r="L570" s="165"/>
      <c r="M570" s="154"/>
      <c r="N570" s="154"/>
      <c r="O570" s="154"/>
      <c r="P570" s="155"/>
      <c r="Q570" s="145"/>
    </row>
    <row r="571" spans="1:19" s="146" customFormat="1" ht="10.5" x14ac:dyDescent="0.25">
      <c r="A571" s="151"/>
      <c r="B571" s="152" t="s">
        <v>2176</v>
      </c>
      <c r="C571" s="153"/>
      <c r="D571" s="154"/>
      <c r="E571" s="154">
        <v>30</v>
      </c>
      <c r="F571" s="154"/>
      <c r="G571" s="154"/>
      <c r="H571" s="154"/>
      <c r="I571" s="154"/>
      <c r="J571" s="154"/>
      <c r="K571" s="154"/>
      <c r="L571" s="165"/>
      <c r="M571" s="154">
        <f>O571*E571</f>
        <v>25.004124425480391</v>
      </c>
      <c r="N571" s="154"/>
      <c r="O571" s="154">
        <f>O568</f>
        <v>0.83347081418267965</v>
      </c>
      <c r="P571" s="155"/>
      <c r="Q571" s="145"/>
    </row>
    <row r="572" spans="1:19" s="146" customFormat="1" ht="10.5" x14ac:dyDescent="0.25">
      <c r="A572" s="151"/>
      <c r="B572" s="152"/>
      <c r="C572" s="153"/>
      <c r="D572" s="154"/>
      <c r="E572" s="154"/>
      <c r="F572" s="154"/>
      <c r="G572" s="154"/>
      <c r="H572" s="154"/>
      <c r="I572" s="154"/>
      <c r="J572" s="154"/>
      <c r="K572" s="154"/>
      <c r="L572" s="165"/>
      <c r="M572" s="154"/>
      <c r="N572" s="154"/>
      <c r="O572" s="154"/>
      <c r="P572" s="155"/>
      <c r="Q572" s="145"/>
    </row>
    <row r="573" spans="1:19" s="146" customFormat="1" ht="10.5" x14ac:dyDescent="0.25">
      <c r="A573" s="151"/>
      <c r="B573" s="157" t="s">
        <v>377</v>
      </c>
      <c r="C573" s="158" t="s">
        <v>402</v>
      </c>
      <c r="D573" s="158"/>
      <c r="E573" s="158"/>
      <c r="F573" s="158"/>
      <c r="G573" s="158"/>
      <c r="H573" s="158"/>
      <c r="I573" s="158"/>
      <c r="J573" s="158"/>
      <c r="K573" s="158"/>
      <c r="L573" s="158"/>
      <c r="M573" s="158">
        <f>SUM(M571:M572)</f>
        <v>25.004124425480391</v>
      </c>
      <c r="N573" s="158"/>
      <c r="O573" s="158"/>
      <c r="P573" s="159"/>
      <c r="Q573" s="145"/>
    </row>
    <row r="574" spans="1:19" s="164" customFormat="1" ht="42" x14ac:dyDescent="0.35">
      <c r="A574" s="147" t="str">
        <f>ORÇAMENTO!A134</f>
        <v>4.1.1.7.4</v>
      </c>
      <c r="B574" s="148" t="str">
        <f>VLOOKUP(A574,ORÇAMENTO!$A:$F,4,0)</f>
        <v>TRANSPORTE COM CAMINHÃO BASCULANTE DE 14 M³, EM VIA URBANA PAVIMENTADA, ADICIONAL PARA DMT EXCEDENTE A 30 KM (UNIDADE: M3XKM). AF_07/2020</v>
      </c>
      <c r="C574" s="149" t="str">
        <f>VLOOKUP(A574,ORÇAMENTO!$A:$F,5,0)</f>
        <v>M3XKM</v>
      </c>
      <c r="D574" s="149">
        <f>SUM(E578:O578)</f>
        <v>37.339492475384048</v>
      </c>
      <c r="E574" s="149" t="s">
        <v>2149</v>
      </c>
      <c r="F574" s="149" t="s">
        <v>2150</v>
      </c>
      <c r="G574" s="149" t="s">
        <v>2151</v>
      </c>
      <c r="H574" s="149" t="s">
        <v>2152</v>
      </c>
      <c r="I574" s="149" t="s">
        <v>2153</v>
      </c>
      <c r="J574" s="149" t="s">
        <v>2154</v>
      </c>
      <c r="K574" s="149" t="s">
        <v>2181</v>
      </c>
      <c r="L574" s="149" t="s">
        <v>2178</v>
      </c>
      <c r="M574" s="149" t="s">
        <v>2175</v>
      </c>
      <c r="N574" s="149" t="s">
        <v>2157</v>
      </c>
      <c r="O574" s="149" t="s">
        <v>2158</v>
      </c>
      <c r="P574" s="145"/>
      <c r="Q574" s="145"/>
      <c r="R574" s="145"/>
      <c r="S574" s="145"/>
    </row>
    <row r="575" spans="1:19" s="146" customFormat="1" ht="10.5" x14ac:dyDescent="0.25">
      <c r="A575" s="151"/>
      <c r="B575" s="152"/>
      <c r="C575" s="153"/>
      <c r="D575" s="154"/>
      <c r="E575" s="154"/>
      <c r="F575" s="154"/>
      <c r="G575" s="154"/>
      <c r="H575" s="154"/>
      <c r="I575" s="154"/>
      <c r="J575" s="154"/>
      <c r="K575" s="154"/>
      <c r="L575" s="165"/>
      <c r="M575" s="154"/>
      <c r="N575" s="154"/>
      <c r="O575" s="154"/>
      <c r="P575" s="155"/>
      <c r="Q575" s="145"/>
    </row>
    <row r="576" spans="1:19" s="146" customFormat="1" ht="10.5" x14ac:dyDescent="0.25">
      <c r="A576" s="151"/>
      <c r="B576" s="152" t="s">
        <v>2176</v>
      </c>
      <c r="C576" s="153"/>
      <c r="D576" s="154"/>
      <c r="E576" s="154">
        <f>74.8-E571</f>
        <v>44.8</v>
      </c>
      <c r="F576" s="154"/>
      <c r="G576" s="154"/>
      <c r="H576" s="154"/>
      <c r="I576" s="154"/>
      <c r="J576" s="154"/>
      <c r="K576" s="154"/>
      <c r="L576" s="165"/>
      <c r="M576" s="154">
        <f>O576*E576</f>
        <v>37.339492475384048</v>
      </c>
      <c r="N576" s="154"/>
      <c r="O576" s="154">
        <f>O571</f>
        <v>0.83347081418267965</v>
      </c>
      <c r="P576" s="155"/>
      <c r="Q576" s="145"/>
    </row>
    <row r="577" spans="1:19" s="146" customFormat="1" ht="10.5" x14ac:dyDescent="0.25">
      <c r="A577" s="151"/>
      <c r="B577" s="152"/>
      <c r="C577" s="153"/>
      <c r="D577" s="154"/>
      <c r="E577" s="154"/>
      <c r="F577" s="154"/>
      <c r="G577" s="154"/>
      <c r="H577" s="154"/>
      <c r="I577" s="154"/>
      <c r="J577" s="154"/>
      <c r="K577" s="154"/>
      <c r="L577" s="165"/>
      <c r="M577" s="154"/>
      <c r="N577" s="154"/>
      <c r="O577" s="154"/>
      <c r="P577" s="155"/>
      <c r="Q577" s="145"/>
    </row>
    <row r="578" spans="1:19" s="146" customFormat="1" ht="10.5" x14ac:dyDescent="0.25">
      <c r="A578" s="151"/>
      <c r="B578" s="157" t="s">
        <v>377</v>
      </c>
      <c r="C578" s="158" t="s">
        <v>402</v>
      </c>
      <c r="D578" s="158"/>
      <c r="E578" s="158"/>
      <c r="F578" s="158"/>
      <c r="G578" s="158"/>
      <c r="H578" s="158"/>
      <c r="I578" s="158"/>
      <c r="J578" s="158"/>
      <c r="K578" s="158"/>
      <c r="L578" s="158"/>
      <c r="M578" s="158">
        <f>SUM(M576:M577)</f>
        <v>37.339492475384048</v>
      </c>
      <c r="N578" s="158"/>
      <c r="O578" s="158"/>
      <c r="P578" s="159"/>
      <c r="Q578" s="145"/>
    </row>
    <row r="579" spans="1:19" s="146" customFormat="1" ht="10.5" x14ac:dyDescent="0.25">
      <c r="A579" s="141"/>
      <c r="B579" s="142" t="str">
        <f>ORÇAMENTO!D135</f>
        <v>ENSAIOS</v>
      </c>
      <c r="C579" s="143"/>
      <c r="D579" s="143"/>
      <c r="E579" s="144"/>
      <c r="F579" s="144"/>
      <c r="G579" s="144"/>
      <c r="H579" s="144"/>
      <c r="I579" s="144"/>
      <c r="J579" s="144"/>
      <c r="K579" s="144"/>
      <c r="L579" s="144"/>
      <c r="M579" s="144"/>
      <c r="N579" s="144"/>
      <c r="O579" s="144"/>
      <c r="P579" s="145"/>
      <c r="Q579" s="145"/>
    </row>
    <row r="580" spans="1:19" s="164" customFormat="1" ht="31.5" x14ac:dyDescent="0.35">
      <c r="A580" s="147" t="str">
        <f>ORÇAMENTO!A136</f>
        <v>4.1.1.8.1</v>
      </c>
      <c r="B580" s="148" t="str">
        <f>VLOOKUP(A580,ORÇAMENTO!$A:$F,4,0)</f>
        <v>DETERMINAÇÃO DA DENSIDADE IN SITU DAS MISTURAS ASFÁLTICAS COMPACTADAS (DNIT 431/2020-ME)</v>
      </c>
      <c r="C580" s="149" t="str">
        <f>VLOOKUP(A580,ORÇAMENTO!$A:$F,5,0)</f>
        <v>UN</v>
      </c>
      <c r="D580" s="149">
        <f>SUM(E584:O584)</f>
        <v>8</v>
      </c>
      <c r="E580" s="149" t="s">
        <v>2149</v>
      </c>
      <c r="F580" s="149" t="s">
        <v>2150</v>
      </c>
      <c r="G580" s="149" t="s">
        <v>2151</v>
      </c>
      <c r="H580" s="149" t="s">
        <v>2152</v>
      </c>
      <c r="I580" s="149" t="s">
        <v>2153</v>
      </c>
      <c r="J580" s="149" t="s">
        <v>2154</v>
      </c>
      <c r="K580" s="149" t="s">
        <v>2181</v>
      </c>
      <c r="L580" s="149" t="s">
        <v>2178</v>
      </c>
      <c r="M580" s="149" t="s">
        <v>2204</v>
      </c>
      <c r="N580" s="149" t="s">
        <v>2157</v>
      </c>
      <c r="O580" s="149" t="s">
        <v>2158</v>
      </c>
      <c r="P580" s="145"/>
      <c r="Q580" s="145"/>
      <c r="R580" s="145"/>
      <c r="S580" s="145"/>
    </row>
    <row r="581" spans="1:19" s="164" customFormat="1" x14ac:dyDescent="0.35">
      <c r="A581" s="151"/>
      <c r="B581" s="157" t="s">
        <v>2205</v>
      </c>
      <c r="C581" s="153"/>
      <c r="D581" s="153"/>
      <c r="E581" s="154"/>
      <c r="F581" s="154"/>
      <c r="G581" s="154"/>
      <c r="H581" s="154"/>
      <c r="I581" s="154"/>
      <c r="J581" s="154"/>
      <c r="K581" s="154"/>
      <c r="L581" s="154"/>
      <c r="M581" s="154"/>
      <c r="N581" s="154"/>
      <c r="O581" s="154"/>
      <c r="P581" s="145"/>
      <c r="Q581" s="145"/>
      <c r="R581" s="145"/>
      <c r="S581" s="145"/>
    </row>
    <row r="582" spans="1:19" s="164" customFormat="1" x14ac:dyDescent="0.35">
      <c r="A582" s="151"/>
      <c r="B582" s="157" t="s">
        <v>2206</v>
      </c>
      <c r="C582" s="153"/>
      <c r="D582" s="153"/>
      <c r="E582" s="154">
        <f>SUMIF(Quantitativos!$O$6:$O$28,"ASFALTO",Quantitativos!$F$6:$F$28)</f>
        <v>752.1635551517752</v>
      </c>
      <c r="F582" s="154"/>
      <c r="G582" s="154"/>
      <c r="H582" s="154"/>
      <c r="I582" s="154"/>
      <c r="J582" s="154"/>
      <c r="K582" s="154">
        <f>ROUND(E582/100,0)</f>
        <v>8</v>
      </c>
      <c r="L582" s="154"/>
      <c r="M582" s="154"/>
      <c r="N582" s="154"/>
      <c r="O582" s="154"/>
      <c r="P582" s="145"/>
      <c r="Q582" s="145"/>
      <c r="R582" s="145"/>
      <c r="S582" s="145"/>
    </row>
    <row r="583" spans="1:19" s="140" customFormat="1" x14ac:dyDescent="0.35">
      <c r="A583" s="151"/>
      <c r="B583" s="152"/>
      <c r="C583" s="154"/>
      <c r="D583" s="154"/>
      <c r="E583" s="154"/>
      <c r="F583" s="154"/>
      <c r="G583" s="154"/>
      <c r="H583" s="154"/>
      <c r="I583" s="154"/>
      <c r="J583" s="154"/>
      <c r="K583" s="154"/>
      <c r="L583" s="154"/>
      <c r="M583" s="154"/>
      <c r="N583" s="154"/>
      <c r="O583" s="167"/>
      <c r="P583" s="168"/>
      <c r="Q583" s="168"/>
      <c r="R583" s="168"/>
      <c r="S583" s="168"/>
    </row>
    <row r="584" spans="1:19" s="164" customFormat="1" x14ac:dyDescent="0.35">
      <c r="A584" s="169"/>
      <c r="B584" s="157" t="s">
        <v>377</v>
      </c>
      <c r="C584" s="158" t="s">
        <v>402</v>
      </c>
      <c r="D584" s="158"/>
      <c r="E584" s="158"/>
      <c r="F584" s="158"/>
      <c r="G584" s="158"/>
      <c r="H584" s="158"/>
      <c r="I584" s="158"/>
      <c r="J584" s="158"/>
      <c r="K584" s="170">
        <f>SUM(K581:K583)</f>
        <v>8</v>
      </c>
      <c r="L584" s="158"/>
      <c r="M584" s="158"/>
      <c r="N584" s="158"/>
      <c r="O584" s="170"/>
      <c r="P584" s="145"/>
      <c r="Q584" s="145"/>
      <c r="R584" s="145"/>
      <c r="S584" s="145"/>
    </row>
    <row r="585" spans="1:19" s="164" customFormat="1" ht="21" x14ac:dyDescent="0.35">
      <c r="A585" s="147" t="str">
        <f>ORÇAMENTO!A137</f>
        <v>4.1.1.8.2</v>
      </c>
      <c r="B585" s="148" t="str">
        <f>VLOOKUP(A585,ORÇAMENTO!$A:$F,4,0)</f>
        <v>ENSAIO QUIMICO COMPLETO DE CAL</v>
      </c>
      <c r="C585" s="149" t="str">
        <f>VLOOKUP(A585,ORÇAMENTO!$A:$F,5,0)</f>
        <v>UN</v>
      </c>
      <c r="D585" s="149">
        <f>SUM(E589:O589)</f>
        <v>8</v>
      </c>
      <c r="E585" s="149" t="s">
        <v>2149</v>
      </c>
      <c r="F585" s="149" t="s">
        <v>2150</v>
      </c>
      <c r="G585" s="149" t="s">
        <v>2151</v>
      </c>
      <c r="H585" s="149" t="s">
        <v>2152</v>
      </c>
      <c r="I585" s="149" t="s">
        <v>2153</v>
      </c>
      <c r="J585" s="149" t="s">
        <v>2154</v>
      </c>
      <c r="K585" s="149" t="s">
        <v>2181</v>
      </c>
      <c r="L585" s="149" t="s">
        <v>2178</v>
      </c>
      <c r="M585" s="149" t="s">
        <v>2204</v>
      </c>
      <c r="N585" s="149" t="s">
        <v>2157</v>
      </c>
      <c r="O585" s="149" t="s">
        <v>2158</v>
      </c>
      <c r="P585" s="145"/>
      <c r="Q585" s="145"/>
      <c r="R585" s="145"/>
      <c r="S585" s="145"/>
    </row>
    <row r="586" spans="1:19" s="164" customFormat="1" x14ac:dyDescent="0.35">
      <c r="A586" s="151"/>
      <c r="B586" s="157" t="str">
        <f>B581</f>
        <v>1 ENSAIO A CADA 100M</v>
      </c>
      <c r="C586" s="153"/>
      <c r="D586" s="153"/>
      <c r="E586" s="154"/>
      <c r="F586" s="154"/>
      <c r="G586" s="154"/>
      <c r="H586" s="154"/>
      <c r="I586" s="154"/>
      <c r="J586" s="154"/>
      <c r="K586" s="154"/>
      <c r="L586" s="154"/>
      <c r="M586" s="154"/>
      <c r="N586" s="154"/>
      <c r="O586" s="154"/>
      <c r="P586" s="145"/>
      <c r="Q586" s="145"/>
      <c r="R586" s="145"/>
      <c r="S586" s="145"/>
    </row>
    <row r="587" spans="1:19" s="164" customFormat="1" x14ac:dyDescent="0.35">
      <c r="A587" s="151"/>
      <c r="B587" s="157" t="str">
        <f>B582</f>
        <v>EXTENSÃO REDE ASFALTADA</v>
      </c>
      <c r="C587" s="153"/>
      <c r="D587" s="153"/>
      <c r="E587" s="154">
        <f>E582</f>
        <v>752.1635551517752</v>
      </c>
      <c r="F587" s="154"/>
      <c r="G587" s="154"/>
      <c r="H587" s="154"/>
      <c r="I587" s="154"/>
      <c r="J587" s="154"/>
      <c r="K587" s="154">
        <f>ROUND(E587/100,0)</f>
        <v>8</v>
      </c>
      <c r="L587" s="154"/>
      <c r="M587" s="154"/>
      <c r="N587" s="154"/>
      <c r="O587" s="154"/>
      <c r="P587" s="145"/>
      <c r="Q587" s="145"/>
      <c r="R587" s="145"/>
      <c r="S587" s="145"/>
    </row>
    <row r="588" spans="1:19" s="140" customFormat="1" x14ac:dyDescent="0.35">
      <c r="A588" s="151"/>
      <c r="B588" s="152"/>
      <c r="C588" s="154"/>
      <c r="D588" s="154"/>
      <c r="E588" s="154"/>
      <c r="F588" s="154"/>
      <c r="G588" s="154"/>
      <c r="H588" s="154"/>
      <c r="I588" s="154"/>
      <c r="J588" s="154"/>
      <c r="K588" s="154"/>
      <c r="L588" s="154"/>
      <c r="M588" s="154"/>
      <c r="N588" s="154"/>
      <c r="O588" s="167"/>
      <c r="P588" s="168"/>
      <c r="Q588" s="168"/>
      <c r="R588" s="168"/>
      <c r="S588" s="168"/>
    </row>
    <row r="589" spans="1:19" s="164" customFormat="1" x14ac:dyDescent="0.35">
      <c r="A589" s="169"/>
      <c r="B589" s="157" t="s">
        <v>377</v>
      </c>
      <c r="C589" s="158" t="s">
        <v>402</v>
      </c>
      <c r="D589" s="158"/>
      <c r="E589" s="158"/>
      <c r="F589" s="158"/>
      <c r="G589" s="158"/>
      <c r="H589" s="158"/>
      <c r="I589" s="158"/>
      <c r="J589" s="158"/>
      <c r="K589" s="170">
        <f>SUM(K586:K588)</f>
        <v>8</v>
      </c>
      <c r="L589" s="158"/>
      <c r="M589" s="158"/>
      <c r="N589" s="158"/>
      <c r="O589" s="170"/>
      <c r="P589" s="145"/>
      <c r="Q589" s="145"/>
      <c r="R589" s="145"/>
      <c r="S589" s="145"/>
    </row>
    <row r="590" spans="1:19" s="146" customFormat="1" ht="10.5" x14ac:dyDescent="0.25">
      <c r="A590" s="141" t="str">
        <f>ORÇAMENTO!A138</f>
        <v>4.1.2</v>
      </c>
      <c r="B590" s="142" t="str">
        <f>VLOOKUP(A590,ORÇAMENTO!$A:$F,4,0)</f>
        <v>REDES DE DRENAGEM DE ÁGUAS PLUVIAIS</v>
      </c>
      <c r="C590" s="143"/>
      <c r="D590" s="143"/>
      <c r="E590" s="144"/>
      <c r="F590" s="144"/>
      <c r="G590" s="144"/>
      <c r="H590" s="144"/>
      <c r="I590" s="144"/>
      <c r="J590" s="144"/>
      <c r="K590" s="144"/>
      <c r="L590" s="144"/>
      <c r="M590" s="144"/>
      <c r="N590" s="144"/>
      <c r="O590" s="144"/>
      <c r="P590" s="145"/>
      <c r="Q590" s="145"/>
    </row>
    <row r="591" spans="1:19" s="146" customFormat="1" ht="31.5" x14ac:dyDescent="0.25">
      <c r="A591" s="141" t="str">
        <f>ORÇAMENTO!A139</f>
        <v>4.1.2.1</v>
      </c>
      <c r="B591" s="142" t="str">
        <f>VLOOKUP(A591,ORÇAMENTO!$A:$F,4,0)</f>
        <v>ESCAVAÇÕES PARA SISTEMAS DESTRUTIVOS, COM DEPOSIÇÃO LATERAL PARA POSTERIOR REAPROVEITAMENTO</v>
      </c>
      <c r="C591" s="143"/>
      <c r="D591" s="143"/>
      <c r="E591" s="144"/>
      <c r="F591" s="144"/>
      <c r="G591" s="144"/>
      <c r="H591" s="144"/>
      <c r="I591" s="144"/>
      <c r="J591" s="144"/>
      <c r="K591" s="144"/>
      <c r="L591" s="144"/>
      <c r="M591" s="144"/>
      <c r="N591" s="144"/>
      <c r="O591" s="144"/>
      <c r="P591" s="145"/>
      <c r="Q591" s="145"/>
    </row>
    <row r="592" spans="1:19" s="150" customFormat="1" ht="63" x14ac:dyDescent="0.25">
      <c r="A592" s="147" t="str">
        <f>ORÇAMENTO!A140</f>
        <v>4.1.2.1.1</v>
      </c>
      <c r="B592" s="148" t="str">
        <f>VLOOKUP(A592,ORÇAMENTO!$A:$F,4,0)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C592" s="149" t="str">
        <f>VLOOKUP(A592,ORÇAMENTO!$A:$F,5,0)</f>
        <v>M³</v>
      </c>
      <c r="D592" s="149">
        <f>SUM(E596:O596)</f>
        <v>41.530452969423649</v>
      </c>
      <c r="E592" s="149" t="s">
        <v>2149</v>
      </c>
      <c r="F592" s="149" t="s">
        <v>2150</v>
      </c>
      <c r="G592" s="149" t="s">
        <v>2151</v>
      </c>
      <c r="H592" s="149" t="s">
        <v>2152</v>
      </c>
      <c r="I592" s="149" t="s">
        <v>2153</v>
      </c>
      <c r="J592" s="149" t="s">
        <v>2154</v>
      </c>
      <c r="K592" s="149" t="s">
        <v>2172</v>
      </c>
      <c r="L592" s="149" t="s">
        <v>2178</v>
      </c>
      <c r="M592" s="149" t="s">
        <v>2207</v>
      </c>
      <c r="N592" s="149" t="s">
        <v>2157</v>
      </c>
      <c r="O592" s="149" t="s">
        <v>2158</v>
      </c>
      <c r="P592" s="145"/>
      <c r="Q592" s="145"/>
    </row>
    <row r="593" spans="1:17" s="146" customFormat="1" ht="10.5" x14ac:dyDescent="0.25">
      <c r="A593" s="151"/>
      <c r="B593" s="152"/>
      <c r="C593" s="153"/>
      <c r="D593" s="154"/>
      <c r="E593" s="154"/>
      <c r="F593" s="154"/>
      <c r="G593" s="154"/>
      <c r="H593" s="154"/>
      <c r="I593" s="154"/>
      <c r="J593" s="154"/>
      <c r="K593" s="154"/>
      <c r="L593" s="154"/>
      <c r="M593" s="154"/>
      <c r="N593" s="154"/>
      <c r="O593" s="154"/>
      <c r="P593" s="155"/>
      <c r="Q593" s="145"/>
    </row>
    <row r="594" spans="1:17" s="146" customFormat="1" ht="10.5" x14ac:dyDescent="0.25">
      <c r="A594" s="151"/>
      <c r="B594" s="152" t="s">
        <v>2161</v>
      </c>
      <c r="C594" s="153"/>
      <c r="D594" s="154"/>
      <c r="E594" s="154"/>
      <c r="F594" s="154"/>
      <c r="G594" s="154"/>
      <c r="H594" s="154"/>
      <c r="I594" s="154"/>
      <c r="J594" s="154"/>
      <c r="K594" s="154"/>
      <c r="L594" s="154"/>
      <c r="M594" s="154"/>
      <c r="N594" s="154"/>
      <c r="O594" s="154">
        <f>Quantitativos!AD29</f>
        <v>41.530452969423649</v>
      </c>
      <c r="P594" s="155"/>
      <c r="Q594" s="145"/>
    </row>
    <row r="595" spans="1:17" s="146" customFormat="1" ht="10.5" x14ac:dyDescent="0.25">
      <c r="A595" s="151"/>
      <c r="B595" s="152"/>
      <c r="C595" s="153"/>
      <c r="D595" s="154"/>
      <c r="E595" s="154"/>
      <c r="F595" s="154"/>
      <c r="G595" s="154"/>
      <c r="H595" s="154"/>
      <c r="I595" s="154"/>
      <c r="J595" s="154"/>
      <c r="K595" s="154"/>
      <c r="L595" s="154"/>
      <c r="M595" s="154"/>
      <c r="N595" s="154"/>
      <c r="O595" s="154"/>
      <c r="P595" s="155"/>
      <c r="Q595" s="145"/>
    </row>
    <row r="596" spans="1:17" s="146" customFormat="1" ht="10.5" x14ac:dyDescent="0.25">
      <c r="A596" s="151"/>
      <c r="B596" s="157" t="s">
        <v>377</v>
      </c>
      <c r="C596" s="158" t="s">
        <v>402</v>
      </c>
      <c r="D596" s="158"/>
      <c r="E596" s="158"/>
      <c r="F596" s="158"/>
      <c r="G596" s="158"/>
      <c r="H596" s="158"/>
      <c r="I596" s="158"/>
      <c r="J596" s="158"/>
      <c r="K596" s="158"/>
      <c r="L596" s="158"/>
      <c r="M596" s="158"/>
      <c r="N596" s="158"/>
      <c r="O596" s="158">
        <f>SUM(O593:O595)</f>
        <v>41.530452969423649</v>
      </c>
      <c r="P596" s="159"/>
      <c r="Q596" s="145"/>
    </row>
    <row r="597" spans="1:17" s="150" customFormat="1" ht="63" x14ac:dyDescent="0.25">
      <c r="A597" s="147" t="str">
        <f>ORÇAMENTO!A141</f>
        <v>4.1.2.1.2</v>
      </c>
      <c r="B597" s="148" t="str">
        <f>VLOOKUP(A597,ORÇAMENTO!$A:$F,4,0)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C597" s="149" t="str">
        <f>VLOOKUP(A597,ORÇAMENTO!$A:$F,5,0)</f>
        <v>M³</v>
      </c>
      <c r="D597" s="149">
        <f>SUM(E601:O601)</f>
        <v>96.227535726438191</v>
      </c>
      <c r="E597" s="149" t="s">
        <v>2149</v>
      </c>
      <c r="F597" s="149" t="s">
        <v>2150</v>
      </c>
      <c r="G597" s="149" t="s">
        <v>2151</v>
      </c>
      <c r="H597" s="149" t="s">
        <v>2152</v>
      </c>
      <c r="I597" s="149" t="s">
        <v>2153</v>
      </c>
      <c r="J597" s="149" t="s">
        <v>2154</v>
      </c>
      <c r="K597" s="149" t="s">
        <v>2172</v>
      </c>
      <c r="L597" s="149" t="s">
        <v>2178</v>
      </c>
      <c r="M597" s="149" t="s">
        <v>2207</v>
      </c>
      <c r="N597" s="149" t="s">
        <v>2157</v>
      </c>
      <c r="O597" s="149" t="s">
        <v>2158</v>
      </c>
      <c r="P597" s="145"/>
      <c r="Q597" s="145"/>
    </row>
    <row r="598" spans="1:17" s="146" customFormat="1" ht="10.5" x14ac:dyDescent="0.25">
      <c r="A598" s="151"/>
      <c r="B598" s="152"/>
      <c r="C598" s="153"/>
      <c r="D598" s="154"/>
      <c r="E598" s="154"/>
      <c r="F598" s="154"/>
      <c r="G598" s="154"/>
      <c r="H598" s="154"/>
      <c r="I598" s="154"/>
      <c r="J598" s="154"/>
      <c r="K598" s="154"/>
      <c r="L598" s="154"/>
      <c r="M598" s="154"/>
      <c r="N598" s="154"/>
      <c r="O598" s="154"/>
      <c r="P598" s="155"/>
      <c r="Q598" s="145"/>
    </row>
    <row r="599" spans="1:17" s="146" customFormat="1" ht="10.5" x14ac:dyDescent="0.25">
      <c r="A599" s="151"/>
      <c r="B599" s="152" t="s">
        <v>2161</v>
      </c>
      <c r="C599" s="153"/>
      <c r="D599" s="154"/>
      <c r="E599" s="154"/>
      <c r="F599" s="154"/>
      <c r="G599" s="154"/>
      <c r="H599" s="154"/>
      <c r="I599" s="154"/>
      <c r="J599" s="154"/>
      <c r="K599" s="154"/>
      <c r="L599" s="154"/>
      <c r="M599" s="154"/>
      <c r="N599" s="154"/>
      <c r="O599" s="154">
        <f>Quantitativos!AE29</f>
        <v>96.227535726438191</v>
      </c>
      <c r="P599" s="155"/>
      <c r="Q599" s="145"/>
    </row>
    <row r="600" spans="1:17" s="146" customFormat="1" ht="10.5" x14ac:dyDescent="0.25">
      <c r="A600" s="151"/>
      <c r="B600" s="152"/>
      <c r="C600" s="153"/>
      <c r="D600" s="154"/>
      <c r="E600" s="154"/>
      <c r="F600" s="154"/>
      <c r="G600" s="154"/>
      <c r="H600" s="154"/>
      <c r="I600" s="154"/>
      <c r="J600" s="154"/>
      <c r="K600" s="154"/>
      <c r="L600" s="154"/>
      <c r="M600" s="154"/>
      <c r="N600" s="154"/>
      <c r="O600" s="154"/>
      <c r="P600" s="155"/>
      <c r="Q600" s="145"/>
    </row>
    <row r="601" spans="1:17" s="146" customFormat="1" ht="10.5" x14ac:dyDescent="0.25">
      <c r="A601" s="151"/>
      <c r="B601" s="157" t="s">
        <v>377</v>
      </c>
      <c r="C601" s="158" t="s">
        <v>402</v>
      </c>
      <c r="D601" s="158"/>
      <c r="E601" s="158"/>
      <c r="F601" s="158"/>
      <c r="G601" s="158"/>
      <c r="H601" s="158"/>
      <c r="I601" s="158"/>
      <c r="J601" s="158"/>
      <c r="K601" s="158"/>
      <c r="L601" s="158"/>
      <c r="M601" s="158"/>
      <c r="N601" s="158"/>
      <c r="O601" s="158">
        <f>SUM(O598:O600)</f>
        <v>96.227535726438191</v>
      </c>
      <c r="P601" s="159"/>
      <c r="Q601" s="145"/>
    </row>
    <row r="602" spans="1:17" s="150" customFormat="1" ht="63" x14ac:dyDescent="0.25">
      <c r="A602" s="147" t="str">
        <f>ORÇAMENTO!A142</f>
        <v>4.1.2.1.3</v>
      </c>
      <c r="B602" s="148" t="str">
        <f>VLOOKUP(A602,ORÇAMENTO!$A:$F,4,0)</f>
        <v>ESCAVAÇÃO MECANIZADA DE VALA COM PROF. ATÉ 1,5 M (MÉDIA MONTANTE E JUSANTE/UMA COMPOSIÇÃO POR TRECHO), ESCAVADEIRA (0,8 M3), LARG. MENOR QUE 1,5 M, EM SOLO DE 1A CATEGORIA, EM LOCAIS COM ALTO NÍVEL DE INTERFERÊNCIA. AF_09/2024</v>
      </c>
      <c r="C602" s="149" t="str">
        <f>VLOOKUP(A602,ORÇAMENTO!$A:$F,5,0)</f>
        <v>M³</v>
      </c>
      <c r="D602" s="149">
        <f>SUM(E606:O606)</f>
        <v>516.59245760948181</v>
      </c>
      <c r="E602" s="149" t="s">
        <v>2149</v>
      </c>
      <c r="F602" s="149" t="s">
        <v>2150</v>
      </c>
      <c r="G602" s="149" t="s">
        <v>2151</v>
      </c>
      <c r="H602" s="149" t="s">
        <v>2152</v>
      </c>
      <c r="I602" s="149" t="s">
        <v>2153</v>
      </c>
      <c r="J602" s="149" t="s">
        <v>2154</v>
      </c>
      <c r="K602" s="149" t="s">
        <v>2172</v>
      </c>
      <c r="L602" s="149" t="s">
        <v>2178</v>
      </c>
      <c r="M602" s="149" t="s">
        <v>2207</v>
      </c>
      <c r="N602" s="149" t="s">
        <v>2157</v>
      </c>
      <c r="O602" s="149" t="s">
        <v>2158</v>
      </c>
      <c r="P602" s="145"/>
      <c r="Q602" s="145"/>
    </row>
    <row r="603" spans="1:17" s="146" customFormat="1" ht="10.5" x14ac:dyDescent="0.25">
      <c r="A603" s="151"/>
      <c r="B603" s="152"/>
      <c r="C603" s="153"/>
      <c r="D603" s="154"/>
      <c r="E603" s="154"/>
      <c r="F603" s="154"/>
      <c r="G603" s="154"/>
      <c r="H603" s="154"/>
      <c r="I603" s="154"/>
      <c r="J603" s="154"/>
      <c r="K603" s="154"/>
      <c r="L603" s="154"/>
      <c r="M603" s="154"/>
      <c r="N603" s="154"/>
      <c r="O603" s="154"/>
      <c r="P603" s="155"/>
      <c r="Q603" s="145"/>
    </row>
    <row r="604" spans="1:17" s="146" customFormat="1" ht="10.5" x14ac:dyDescent="0.25">
      <c r="A604" s="151"/>
      <c r="B604" s="152" t="s">
        <v>2161</v>
      </c>
      <c r="C604" s="153"/>
      <c r="D604" s="154"/>
      <c r="E604" s="154"/>
      <c r="F604" s="154"/>
      <c r="G604" s="154"/>
      <c r="H604" s="154"/>
      <c r="I604" s="154"/>
      <c r="J604" s="154"/>
      <c r="K604" s="154"/>
      <c r="L604" s="154"/>
      <c r="M604" s="154"/>
      <c r="N604" s="154"/>
      <c r="O604" s="154">
        <f>Quantitativos!AJ29</f>
        <v>516.59245760948181</v>
      </c>
      <c r="P604" s="155"/>
      <c r="Q604" s="145"/>
    </row>
    <row r="605" spans="1:17" s="146" customFormat="1" ht="10.5" x14ac:dyDescent="0.25">
      <c r="A605" s="151"/>
      <c r="B605" s="152"/>
      <c r="C605" s="153"/>
      <c r="D605" s="154"/>
      <c r="E605" s="154"/>
      <c r="F605" s="154"/>
      <c r="G605" s="154"/>
      <c r="H605" s="154"/>
      <c r="I605" s="154"/>
      <c r="J605" s="154"/>
      <c r="K605" s="154"/>
      <c r="L605" s="154"/>
      <c r="M605" s="154"/>
      <c r="N605" s="154"/>
      <c r="O605" s="154"/>
      <c r="P605" s="155"/>
      <c r="Q605" s="145"/>
    </row>
    <row r="606" spans="1:17" s="146" customFormat="1" ht="10.5" x14ac:dyDescent="0.25">
      <c r="A606" s="151"/>
      <c r="B606" s="157" t="s">
        <v>377</v>
      </c>
      <c r="C606" s="158" t="s">
        <v>402</v>
      </c>
      <c r="D606" s="158"/>
      <c r="E606" s="158"/>
      <c r="F606" s="158"/>
      <c r="G606" s="158"/>
      <c r="H606" s="158"/>
      <c r="I606" s="158"/>
      <c r="J606" s="158"/>
      <c r="K606" s="158"/>
      <c r="L606" s="158"/>
      <c r="M606" s="158"/>
      <c r="N606" s="158"/>
      <c r="O606" s="158">
        <f>SUM(O603:O605)</f>
        <v>516.59245760948181</v>
      </c>
      <c r="P606" s="159"/>
      <c r="Q606" s="145"/>
    </row>
    <row r="607" spans="1:17" s="150" customFormat="1" ht="63" x14ac:dyDescent="0.25">
      <c r="A607" s="147" t="str">
        <f>ORÇAMENTO!A143</f>
        <v>4.1.2.1.4</v>
      </c>
      <c r="B607" s="148" t="str">
        <f>VLOOKUP(A607,ORÇAMENTO!$A:$F,4,0)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C607" s="149" t="str">
        <f>VLOOKUP(A607,ORÇAMENTO!$A:$F,5,0)</f>
        <v>M³</v>
      </c>
      <c r="D607" s="149">
        <f>SUM(E611:O611)</f>
        <v>430.65137137351712</v>
      </c>
      <c r="E607" s="149" t="s">
        <v>2149</v>
      </c>
      <c r="F607" s="149" t="s">
        <v>2150</v>
      </c>
      <c r="G607" s="149" t="s">
        <v>2151</v>
      </c>
      <c r="H607" s="149" t="s">
        <v>2152</v>
      </c>
      <c r="I607" s="149" t="s">
        <v>2153</v>
      </c>
      <c r="J607" s="149" t="s">
        <v>2154</v>
      </c>
      <c r="K607" s="149" t="s">
        <v>2172</v>
      </c>
      <c r="L607" s="149" t="s">
        <v>2178</v>
      </c>
      <c r="M607" s="149" t="s">
        <v>2207</v>
      </c>
      <c r="N607" s="149" t="s">
        <v>2157</v>
      </c>
      <c r="O607" s="149" t="s">
        <v>2158</v>
      </c>
      <c r="P607" s="145"/>
      <c r="Q607" s="145"/>
    </row>
    <row r="608" spans="1:17" s="146" customFormat="1" ht="10.5" x14ac:dyDescent="0.25">
      <c r="A608" s="151"/>
      <c r="B608" s="152"/>
      <c r="C608" s="153"/>
      <c r="D608" s="154"/>
      <c r="E608" s="154"/>
      <c r="F608" s="154"/>
      <c r="G608" s="154"/>
      <c r="H608" s="154"/>
      <c r="I608" s="154"/>
      <c r="J608" s="154"/>
      <c r="K608" s="154"/>
      <c r="L608" s="154"/>
      <c r="M608" s="154"/>
      <c r="N608" s="154"/>
      <c r="O608" s="154"/>
      <c r="P608" s="155"/>
      <c r="Q608" s="145"/>
    </row>
    <row r="609" spans="1:17" s="146" customFormat="1" ht="10.5" x14ac:dyDescent="0.25">
      <c r="A609" s="151"/>
      <c r="B609" s="152" t="s">
        <v>2161</v>
      </c>
      <c r="C609" s="153"/>
      <c r="D609" s="154"/>
      <c r="E609" s="154"/>
      <c r="F609" s="154"/>
      <c r="G609" s="154"/>
      <c r="H609" s="154"/>
      <c r="I609" s="154"/>
      <c r="J609" s="154"/>
      <c r="K609" s="154"/>
      <c r="L609" s="154"/>
      <c r="M609" s="154"/>
      <c r="N609" s="154"/>
      <c r="O609" s="154">
        <f>Quantitativos!AK29</f>
        <v>430.65137137351712</v>
      </c>
      <c r="P609" s="155"/>
      <c r="Q609" s="145"/>
    </row>
    <row r="610" spans="1:17" s="146" customFormat="1" ht="10.5" x14ac:dyDescent="0.25">
      <c r="A610" s="151"/>
      <c r="B610" s="152"/>
      <c r="C610" s="153"/>
      <c r="D610" s="154"/>
      <c r="E610" s="154"/>
      <c r="F610" s="154"/>
      <c r="G610" s="154"/>
      <c r="H610" s="154"/>
      <c r="I610" s="154"/>
      <c r="J610" s="154"/>
      <c r="K610" s="154"/>
      <c r="L610" s="154"/>
      <c r="M610" s="154"/>
      <c r="N610" s="154"/>
      <c r="O610" s="154"/>
      <c r="P610" s="155"/>
      <c r="Q610" s="145"/>
    </row>
    <row r="611" spans="1:17" s="146" customFormat="1" ht="10.5" x14ac:dyDescent="0.25">
      <c r="A611" s="151"/>
      <c r="B611" s="157" t="s">
        <v>377</v>
      </c>
      <c r="C611" s="158" t="s">
        <v>402</v>
      </c>
      <c r="D611" s="158"/>
      <c r="E611" s="158"/>
      <c r="F611" s="158"/>
      <c r="G611" s="158"/>
      <c r="H611" s="158"/>
      <c r="I611" s="158"/>
      <c r="J611" s="158"/>
      <c r="K611" s="158"/>
      <c r="L611" s="158"/>
      <c r="M611" s="158"/>
      <c r="N611" s="158"/>
      <c r="O611" s="158">
        <f>SUM(O608:O610)</f>
        <v>430.65137137351712</v>
      </c>
      <c r="P611" s="159"/>
      <c r="Q611" s="145"/>
    </row>
    <row r="612" spans="1:17" s="150" customFormat="1" ht="63" x14ac:dyDescent="0.25">
      <c r="A612" s="147" t="str">
        <f>ORÇAMENTO!A144</f>
        <v>4.1.2.1.5</v>
      </c>
      <c r="B612" s="148" t="str">
        <f>VLOOKUP(A612,ORÇAMENTO!$A:$F,4,0)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612" s="149" t="str">
        <f>VLOOKUP(A612,ORÇAMENTO!$A:$F,5,0)</f>
        <v>M³</v>
      </c>
      <c r="D612" s="149">
        <f>SUM(E616:O616)</f>
        <v>698.92244029892299</v>
      </c>
      <c r="E612" s="149" t="s">
        <v>2149</v>
      </c>
      <c r="F612" s="149" t="s">
        <v>2150</v>
      </c>
      <c r="G612" s="149" t="s">
        <v>2151</v>
      </c>
      <c r="H612" s="149" t="s">
        <v>2152</v>
      </c>
      <c r="I612" s="149" t="s">
        <v>2153</v>
      </c>
      <c r="J612" s="149" t="s">
        <v>2154</v>
      </c>
      <c r="K612" s="149" t="s">
        <v>2172</v>
      </c>
      <c r="L612" s="149" t="s">
        <v>2178</v>
      </c>
      <c r="M612" s="149" t="s">
        <v>2207</v>
      </c>
      <c r="N612" s="149" t="s">
        <v>2157</v>
      </c>
      <c r="O612" s="149" t="s">
        <v>2158</v>
      </c>
      <c r="P612" s="145"/>
      <c r="Q612" s="145"/>
    </row>
    <row r="613" spans="1:17" s="146" customFormat="1" ht="10.5" x14ac:dyDescent="0.25">
      <c r="A613" s="151"/>
      <c r="B613" s="152"/>
      <c r="C613" s="153"/>
      <c r="D613" s="154"/>
      <c r="E613" s="154"/>
      <c r="F613" s="154"/>
      <c r="G613" s="154"/>
      <c r="H613" s="154"/>
      <c r="I613" s="154"/>
      <c r="J613" s="154"/>
      <c r="K613" s="154"/>
      <c r="L613" s="154"/>
      <c r="M613" s="154"/>
      <c r="N613" s="154"/>
      <c r="O613" s="154"/>
      <c r="P613" s="155"/>
      <c r="Q613" s="145"/>
    </row>
    <row r="614" spans="1:17" s="146" customFormat="1" ht="10.5" x14ac:dyDescent="0.25">
      <c r="A614" s="151"/>
      <c r="B614" s="152" t="s">
        <v>2161</v>
      </c>
      <c r="C614" s="153"/>
      <c r="D614" s="154"/>
      <c r="E614" s="154"/>
      <c r="F614" s="154"/>
      <c r="G614" s="154"/>
      <c r="H614" s="154"/>
      <c r="I614" s="154"/>
      <c r="J614" s="154"/>
      <c r="K614" s="154"/>
      <c r="L614" s="154"/>
      <c r="M614" s="154"/>
      <c r="N614" s="154"/>
      <c r="O614" s="154">
        <f>Quantitativos!AL29</f>
        <v>698.92244029892299</v>
      </c>
      <c r="P614" s="155"/>
      <c r="Q614" s="145"/>
    </row>
    <row r="615" spans="1:17" s="146" customFormat="1" ht="10.5" x14ac:dyDescent="0.25">
      <c r="A615" s="151"/>
      <c r="B615" s="152"/>
      <c r="C615" s="153"/>
      <c r="D615" s="154"/>
      <c r="E615" s="154"/>
      <c r="F615" s="154"/>
      <c r="G615" s="154"/>
      <c r="H615" s="154"/>
      <c r="I615" s="154"/>
      <c r="J615" s="154"/>
      <c r="K615" s="154"/>
      <c r="L615" s="154"/>
      <c r="M615" s="154"/>
      <c r="N615" s="154"/>
      <c r="O615" s="154"/>
      <c r="P615" s="155"/>
      <c r="Q615" s="145"/>
    </row>
    <row r="616" spans="1:17" s="146" customFormat="1" ht="10.5" x14ac:dyDescent="0.25">
      <c r="A616" s="151"/>
      <c r="B616" s="157" t="s">
        <v>377</v>
      </c>
      <c r="C616" s="158" t="s">
        <v>402</v>
      </c>
      <c r="D616" s="158"/>
      <c r="E616" s="158"/>
      <c r="F616" s="158"/>
      <c r="G616" s="158"/>
      <c r="H616" s="158"/>
      <c r="I616" s="158"/>
      <c r="J616" s="158"/>
      <c r="K616" s="158"/>
      <c r="L616" s="158"/>
      <c r="M616" s="158"/>
      <c r="N616" s="158"/>
      <c r="O616" s="158">
        <f>SUM(O613:O615)</f>
        <v>698.92244029892299</v>
      </c>
      <c r="P616" s="159"/>
      <c r="Q616" s="145"/>
    </row>
    <row r="617" spans="1:17" s="150" customFormat="1" ht="63" x14ac:dyDescent="0.25">
      <c r="A617" s="147" t="str">
        <f>ORÇAMENTO!A145</f>
        <v>4.1.2.1.6</v>
      </c>
      <c r="B617" s="148" t="str">
        <f>VLOOKUP(A617,ORÇAMENTO!$A:$F,4,0)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C617" s="149" t="str">
        <f>VLOOKUP(A617,ORÇAMENTO!$A:$F,5,0)</f>
        <v>M³</v>
      </c>
      <c r="D617" s="149">
        <f>SUM(E621:O621)</f>
        <v>585.14180836753462</v>
      </c>
      <c r="E617" s="149" t="s">
        <v>2149</v>
      </c>
      <c r="F617" s="149" t="s">
        <v>2150</v>
      </c>
      <c r="G617" s="149" t="s">
        <v>2151</v>
      </c>
      <c r="H617" s="149" t="s">
        <v>2152</v>
      </c>
      <c r="I617" s="149" t="s">
        <v>2153</v>
      </c>
      <c r="J617" s="149" t="s">
        <v>2154</v>
      </c>
      <c r="K617" s="149" t="s">
        <v>2172</v>
      </c>
      <c r="L617" s="149" t="s">
        <v>2178</v>
      </c>
      <c r="M617" s="149" t="s">
        <v>2207</v>
      </c>
      <c r="N617" s="149" t="s">
        <v>2157</v>
      </c>
      <c r="O617" s="149" t="s">
        <v>2158</v>
      </c>
      <c r="P617" s="145"/>
      <c r="Q617" s="145"/>
    </row>
    <row r="618" spans="1:17" s="146" customFormat="1" ht="10.5" x14ac:dyDescent="0.25">
      <c r="A618" s="151"/>
      <c r="B618" s="152"/>
      <c r="C618" s="153"/>
      <c r="D618" s="154"/>
      <c r="E618" s="154"/>
      <c r="F618" s="154"/>
      <c r="G618" s="154"/>
      <c r="H618" s="154"/>
      <c r="I618" s="154"/>
      <c r="J618" s="154"/>
      <c r="K618" s="154"/>
      <c r="L618" s="154"/>
      <c r="M618" s="154"/>
      <c r="N618" s="154"/>
      <c r="O618" s="154"/>
      <c r="P618" s="155"/>
      <c r="Q618" s="145"/>
    </row>
    <row r="619" spans="1:17" s="146" customFormat="1" ht="10.5" x14ac:dyDescent="0.25">
      <c r="A619" s="151"/>
      <c r="B619" s="152" t="s">
        <v>2161</v>
      </c>
      <c r="C619" s="153"/>
      <c r="D619" s="154"/>
      <c r="E619" s="154"/>
      <c r="F619" s="154"/>
      <c r="G619" s="154"/>
      <c r="H619" s="154"/>
      <c r="I619" s="154"/>
      <c r="J619" s="154"/>
      <c r="K619" s="154"/>
      <c r="L619" s="154"/>
      <c r="M619" s="154"/>
      <c r="N619" s="154"/>
      <c r="O619" s="154">
        <f>Quantitativos!AM29</f>
        <v>585.14180836753462</v>
      </c>
      <c r="P619" s="155"/>
      <c r="Q619" s="145"/>
    </row>
    <row r="620" spans="1:17" s="146" customFormat="1" ht="10.5" x14ac:dyDescent="0.25">
      <c r="A620" s="151"/>
      <c r="B620" s="152"/>
      <c r="C620" s="153"/>
      <c r="D620" s="154"/>
      <c r="E620" s="154"/>
      <c r="F620" s="154"/>
      <c r="G620" s="154"/>
      <c r="H620" s="154"/>
      <c r="I620" s="154"/>
      <c r="J620" s="154"/>
      <c r="K620" s="154"/>
      <c r="L620" s="154"/>
      <c r="M620" s="154"/>
      <c r="N620" s="154"/>
      <c r="O620" s="154"/>
      <c r="P620" s="155"/>
      <c r="Q620" s="145"/>
    </row>
    <row r="621" spans="1:17" s="146" customFormat="1" ht="10.5" x14ac:dyDescent="0.25">
      <c r="A621" s="151"/>
      <c r="B621" s="157" t="s">
        <v>377</v>
      </c>
      <c r="C621" s="158" t="s">
        <v>402</v>
      </c>
      <c r="D621" s="158"/>
      <c r="E621" s="158"/>
      <c r="F621" s="158"/>
      <c r="G621" s="158"/>
      <c r="H621" s="158"/>
      <c r="I621" s="158"/>
      <c r="J621" s="158"/>
      <c r="K621" s="158"/>
      <c r="L621" s="158"/>
      <c r="M621" s="158"/>
      <c r="N621" s="158"/>
      <c r="O621" s="158">
        <f>SUM(O618:O620)</f>
        <v>585.14180836753462</v>
      </c>
      <c r="P621" s="159"/>
      <c r="Q621" s="145"/>
    </row>
    <row r="622" spans="1:17" s="150" customFormat="1" ht="63" x14ac:dyDescent="0.25">
      <c r="A622" s="147" t="str">
        <f>ORÇAMENTO!A146</f>
        <v>4.1.2.1.7</v>
      </c>
      <c r="B622" s="148" t="str">
        <f>VLOOKUP(A622,ORÇAMENTO!$A:$F,4,0)</f>
        <v>ESCAVAÇÃO MECANIZADA DE VALA COM PROF. DE 3,0 M ATÉ 4,5 M(MÉDIA MONTANTE E JUSANTE/UMA COMPOSIÇÃO POR TRECHO), ESCAVADEIRA (1,2 M3), LARG. DE 1,5 M A 2,5 M, EM SOLO DE 1A CATEGORIA, EM LOCAIS COM ALTO NÍVEL DE INTERFERÊNCIA. AF_09/2024</v>
      </c>
      <c r="C622" s="149" t="str">
        <f>VLOOKUP(A622,ORÇAMENTO!$A:$F,5,0)</f>
        <v>M³</v>
      </c>
      <c r="D622" s="149">
        <f>SUM(E626:O626)</f>
        <v>282.6731198127215</v>
      </c>
      <c r="E622" s="149" t="s">
        <v>2149</v>
      </c>
      <c r="F622" s="149" t="s">
        <v>2150</v>
      </c>
      <c r="G622" s="149" t="s">
        <v>2151</v>
      </c>
      <c r="H622" s="149" t="s">
        <v>2152</v>
      </c>
      <c r="I622" s="149" t="s">
        <v>2153</v>
      </c>
      <c r="J622" s="149" t="s">
        <v>2154</v>
      </c>
      <c r="K622" s="149" t="s">
        <v>2172</v>
      </c>
      <c r="L622" s="149" t="s">
        <v>2178</v>
      </c>
      <c r="M622" s="149" t="s">
        <v>2207</v>
      </c>
      <c r="N622" s="149" t="s">
        <v>2157</v>
      </c>
      <c r="O622" s="149" t="s">
        <v>2158</v>
      </c>
      <c r="P622" s="145"/>
      <c r="Q622" s="145"/>
    </row>
    <row r="623" spans="1:17" s="146" customFormat="1" ht="10.5" x14ac:dyDescent="0.25">
      <c r="A623" s="151"/>
      <c r="B623" s="152"/>
      <c r="C623" s="153"/>
      <c r="D623" s="154"/>
      <c r="E623" s="154"/>
      <c r="F623" s="154"/>
      <c r="G623" s="154"/>
      <c r="H623" s="154"/>
      <c r="I623" s="154"/>
      <c r="J623" s="154"/>
      <c r="K623" s="154"/>
      <c r="L623" s="154"/>
      <c r="M623" s="154"/>
      <c r="N623" s="154"/>
      <c r="O623" s="154"/>
      <c r="P623" s="155"/>
      <c r="Q623" s="145"/>
    </row>
    <row r="624" spans="1:17" s="146" customFormat="1" ht="10.5" x14ac:dyDescent="0.25">
      <c r="A624" s="151"/>
      <c r="B624" s="152" t="s">
        <v>2161</v>
      </c>
      <c r="C624" s="153"/>
      <c r="D624" s="154"/>
      <c r="E624" s="154"/>
      <c r="F624" s="154"/>
      <c r="G624" s="154"/>
      <c r="H624" s="154"/>
      <c r="I624" s="154"/>
      <c r="J624" s="154"/>
      <c r="K624" s="154"/>
      <c r="L624" s="154"/>
      <c r="M624" s="154"/>
      <c r="N624" s="154"/>
      <c r="O624" s="154">
        <f>Quantitativos!AN29</f>
        <v>282.6731198127215</v>
      </c>
      <c r="P624" s="155"/>
      <c r="Q624" s="145"/>
    </row>
    <row r="625" spans="1:17" s="146" customFormat="1" ht="10.5" x14ac:dyDescent="0.25">
      <c r="A625" s="151"/>
      <c r="B625" s="152"/>
      <c r="C625" s="153"/>
      <c r="D625" s="154"/>
      <c r="E625" s="154"/>
      <c r="F625" s="154"/>
      <c r="G625" s="154"/>
      <c r="H625" s="154"/>
      <c r="I625" s="154"/>
      <c r="J625" s="154"/>
      <c r="K625" s="154"/>
      <c r="L625" s="154"/>
      <c r="M625" s="154"/>
      <c r="N625" s="154"/>
      <c r="O625" s="154"/>
      <c r="P625" s="155"/>
      <c r="Q625" s="145"/>
    </row>
    <row r="626" spans="1:17" s="146" customFormat="1" ht="10.5" x14ac:dyDescent="0.25">
      <c r="A626" s="151"/>
      <c r="B626" s="157" t="s">
        <v>377</v>
      </c>
      <c r="C626" s="158" t="s">
        <v>402</v>
      </c>
      <c r="D626" s="158"/>
      <c r="E626" s="158"/>
      <c r="F626" s="158"/>
      <c r="G626" s="158"/>
      <c r="H626" s="158"/>
      <c r="I626" s="158"/>
      <c r="J626" s="158"/>
      <c r="K626" s="158"/>
      <c r="L626" s="158"/>
      <c r="M626" s="158"/>
      <c r="N626" s="158"/>
      <c r="O626" s="158">
        <f>SUM(O623:O625)</f>
        <v>282.6731198127215</v>
      </c>
      <c r="P626" s="159"/>
      <c r="Q626" s="145"/>
    </row>
    <row r="627" spans="1:17" s="150" customFormat="1" ht="31.5" x14ac:dyDescent="0.25">
      <c r="A627" s="147" t="str">
        <f>ORÇAMENTO!A147</f>
        <v>4.1.2.1.8</v>
      </c>
      <c r="B627" s="148" t="str">
        <f>VLOOKUP(A627,ORÇAMENTO!$A:$F,4,0)</f>
        <v>ESCAVAÇÃO MECANIZADA DE VALAS EM MATERIAL DE 1ª E/OU 2ª CATEGORIAS, LARGURA MAIOR QUE 2,5M E ATÉ 2,00 M DE PROFUNDIDADE</v>
      </c>
      <c r="C627" s="149" t="str">
        <f>VLOOKUP(A627,ORÇAMENTO!$A:$F,5,0)</f>
        <v>M³</v>
      </c>
      <c r="D627" s="149">
        <f>SUM(E631:O631)</f>
        <v>1495.9360000000001</v>
      </c>
      <c r="E627" s="149" t="s">
        <v>2149</v>
      </c>
      <c r="F627" s="149" t="s">
        <v>2150</v>
      </c>
      <c r="G627" s="149" t="s">
        <v>2151</v>
      </c>
      <c r="H627" s="149" t="s">
        <v>2152</v>
      </c>
      <c r="I627" s="149" t="s">
        <v>2153</v>
      </c>
      <c r="J627" s="149" t="s">
        <v>2154</v>
      </c>
      <c r="K627" s="149" t="s">
        <v>2172</v>
      </c>
      <c r="L627" s="149" t="s">
        <v>2178</v>
      </c>
      <c r="M627" s="149" t="s">
        <v>2207</v>
      </c>
      <c r="N627" s="149" t="s">
        <v>2157</v>
      </c>
      <c r="O627" s="149" t="s">
        <v>2158</v>
      </c>
      <c r="P627" s="145"/>
      <c r="Q627" s="145"/>
    </row>
    <row r="628" spans="1:17" s="146" customFormat="1" ht="10.5" x14ac:dyDescent="0.25">
      <c r="A628" s="151"/>
      <c r="B628" s="152"/>
      <c r="C628" s="153"/>
      <c r="D628" s="154"/>
      <c r="E628" s="154"/>
      <c r="F628" s="154"/>
      <c r="G628" s="154"/>
      <c r="H628" s="154"/>
      <c r="I628" s="154"/>
      <c r="J628" s="154"/>
      <c r="K628" s="154"/>
      <c r="L628" s="154"/>
      <c r="M628" s="154"/>
      <c r="N628" s="154"/>
      <c r="O628" s="154"/>
      <c r="P628" s="155"/>
      <c r="Q628" s="145"/>
    </row>
    <row r="629" spans="1:17" s="146" customFormat="1" ht="10.5" x14ac:dyDescent="0.25">
      <c r="A629" s="151"/>
      <c r="B629" s="152" t="s">
        <v>2161</v>
      </c>
      <c r="C629" s="153"/>
      <c r="D629" s="154"/>
      <c r="E629" s="154"/>
      <c r="F629" s="154"/>
      <c r="G629" s="154"/>
      <c r="H629" s="154"/>
      <c r="I629" s="154"/>
      <c r="J629" s="154"/>
      <c r="K629" s="154"/>
      <c r="L629" s="154"/>
      <c r="M629" s="154"/>
      <c r="N629" s="154"/>
      <c r="O629" s="154">
        <f>Quantitativos!AO29</f>
        <v>1495.9360000000001</v>
      </c>
      <c r="P629" s="155"/>
      <c r="Q629" s="145"/>
    </row>
    <row r="630" spans="1:17" s="146" customFormat="1" ht="10.5" x14ac:dyDescent="0.25">
      <c r="A630" s="151"/>
      <c r="B630" s="152"/>
      <c r="C630" s="153"/>
      <c r="D630" s="154"/>
      <c r="E630" s="154"/>
      <c r="F630" s="154"/>
      <c r="G630" s="154"/>
      <c r="H630" s="154"/>
      <c r="I630" s="154"/>
      <c r="J630" s="154"/>
      <c r="K630" s="154"/>
      <c r="L630" s="154"/>
      <c r="M630" s="154"/>
      <c r="N630" s="154"/>
      <c r="O630" s="154"/>
      <c r="P630" s="155"/>
      <c r="Q630" s="145"/>
    </row>
    <row r="631" spans="1:17" s="146" customFormat="1" ht="10.5" x14ac:dyDescent="0.25">
      <c r="A631" s="151"/>
      <c r="B631" s="157" t="s">
        <v>377</v>
      </c>
      <c r="C631" s="158" t="s">
        <v>402</v>
      </c>
      <c r="D631" s="158"/>
      <c r="E631" s="158"/>
      <c r="F631" s="158"/>
      <c r="G631" s="158"/>
      <c r="H631" s="158"/>
      <c r="I631" s="158"/>
      <c r="J631" s="158"/>
      <c r="K631" s="158"/>
      <c r="L631" s="158"/>
      <c r="M631" s="158"/>
      <c r="N631" s="158"/>
      <c r="O631" s="158">
        <f>SUM(O628:O630)</f>
        <v>1495.9360000000001</v>
      </c>
      <c r="P631" s="159"/>
      <c r="Q631" s="145"/>
    </row>
    <row r="632" spans="1:17" s="150" customFormat="1" ht="42" x14ac:dyDescent="0.25">
      <c r="A632" s="147" t="str">
        <f>ORÇAMENTO!A148</f>
        <v>4.1.2.1.9</v>
      </c>
      <c r="B632" s="148" t="str">
        <f>VLOOKUP(A632,ORÇAMENTO!$A:$F,4,0)</f>
        <v>ESCAVAÇÃO MECANIZADA DE VALAS EM MATERIAL DE 1ª E/OU 2ª CATEGORIAS, LARGURA MAIOR QUE 2,5M EACIMA DE 2,00 M  E ATÉ 4,00 M DE PROFUNDIDADE.</v>
      </c>
      <c r="C632" s="149" t="str">
        <f>VLOOKUP(A632,ORÇAMENTO!$A:$F,5,0)</f>
        <v>M³</v>
      </c>
      <c r="D632" s="149">
        <f>SUM(E636:O636)</f>
        <v>976.9048851495038</v>
      </c>
      <c r="E632" s="149" t="s">
        <v>2149</v>
      </c>
      <c r="F632" s="149" t="s">
        <v>2150</v>
      </c>
      <c r="G632" s="149" t="s">
        <v>2151</v>
      </c>
      <c r="H632" s="149" t="s">
        <v>2152</v>
      </c>
      <c r="I632" s="149" t="s">
        <v>2153</v>
      </c>
      <c r="J632" s="149" t="s">
        <v>2154</v>
      </c>
      <c r="K632" s="149" t="s">
        <v>2172</v>
      </c>
      <c r="L632" s="149" t="s">
        <v>2178</v>
      </c>
      <c r="M632" s="149" t="s">
        <v>2207</v>
      </c>
      <c r="N632" s="149" t="s">
        <v>2157</v>
      </c>
      <c r="O632" s="149" t="s">
        <v>2158</v>
      </c>
      <c r="P632" s="145"/>
      <c r="Q632" s="145"/>
    </row>
    <row r="633" spans="1:17" s="146" customFormat="1" ht="10.5" x14ac:dyDescent="0.25">
      <c r="A633" s="151"/>
      <c r="B633" s="152"/>
      <c r="C633" s="153"/>
      <c r="D633" s="154"/>
      <c r="E633" s="154"/>
      <c r="F633" s="154"/>
      <c r="G633" s="154"/>
      <c r="H633" s="154"/>
      <c r="I633" s="154"/>
      <c r="J633" s="154"/>
      <c r="K633" s="154"/>
      <c r="L633" s="154"/>
      <c r="M633" s="154"/>
      <c r="N633" s="154"/>
      <c r="O633" s="154"/>
      <c r="P633" s="155"/>
      <c r="Q633" s="145"/>
    </row>
    <row r="634" spans="1:17" s="146" customFormat="1" ht="10.5" x14ac:dyDescent="0.25">
      <c r="A634" s="151"/>
      <c r="B634" s="152" t="s">
        <v>2161</v>
      </c>
      <c r="C634" s="153"/>
      <c r="D634" s="154"/>
      <c r="E634" s="154"/>
      <c r="F634" s="154"/>
      <c r="G634" s="154"/>
      <c r="H634" s="154"/>
      <c r="I634" s="154"/>
      <c r="J634" s="154"/>
      <c r="K634" s="154"/>
      <c r="L634" s="154"/>
      <c r="M634" s="154"/>
      <c r="N634" s="154"/>
      <c r="O634" s="154">
        <f>Quantitativos!AP29</f>
        <v>976.9048851495038</v>
      </c>
      <c r="P634" s="155"/>
      <c r="Q634" s="145"/>
    </row>
    <row r="635" spans="1:17" s="146" customFormat="1" ht="10.5" x14ac:dyDescent="0.25">
      <c r="A635" s="151"/>
      <c r="B635" s="152"/>
      <c r="C635" s="153"/>
      <c r="D635" s="154"/>
      <c r="E635" s="154"/>
      <c r="F635" s="154"/>
      <c r="G635" s="154"/>
      <c r="H635" s="154"/>
      <c r="I635" s="154"/>
      <c r="J635" s="154"/>
      <c r="K635" s="154"/>
      <c r="L635" s="154"/>
      <c r="M635" s="154"/>
      <c r="N635" s="154"/>
      <c r="O635" s="154"/>
      <c r="P635" s="155"/>
      <c r="Q635" s="145"/>
    </row>
    <row r="636" spans="1:17" s="146" customFormat="1" ht="10.5" x14ac:dyDescent="0.25">
      <c r="A636" s="151"/>
      <c r="B636" s="157" t="s">
        <v>377</v>
      </c>
      <c r="C636" s="158" t="s">
        <v>402</v>
      </c>
      <c r="D636" s="158"/>
      <c r="E636" s="158"/>
      <c r="F636" s="158"/>
      <c r="G636" s="158"/>
      <c r="H636" s="158"/>
      <c r="I636" s="158"/>
      <c r="J636" s="158"/>
      <c r="K636" s="158"/>
      <c r="L636" s="158"/>
      <c r="M636" s="158"/>
      <c r="N636" s="158"/>
      <c r="O636" s="158">
        <f>SUM(O633:O635)</f>
        <v>976.9048851495038</v>
      </c>
      <c r="P636" s="159"/>
      <c r="Q636" s="145"/>
    </row>
    <row r="637" spans="1:17" s="150" customFormat="1" ht="31.5" x14ac:dyDescent="0.25">
      <c r="A637" s="147" t="str">
        <f>ORÇAMENTO!A149</f>
        <v>4.1.2.1.10</v>
      </c>
      <c r="B637" s="148" t="str">
        <f>VLOOKUP(A637,ORÇAMENTO!$A:$F,4,0)</f>
        <v>ESCAVAÇÃO DE VALA EM MATERIAL DE 3ª CATEGORIA COM ESCAVADEIRA E ROMPEDOR HIDRÁULICO DE 1700KG</v>
      </c>
      <c r="C637" s="149" t="str">
        <f>VLOOKUP(A637,ORÇAMENTO!$A:$F,5,0)</f>
        <v>M³</v>
      </c>
      <c r="D637" s="149">
        <f>SUM(E641:O641)</f>
        <v>1.96</v>
      </c>
      <c r="E637" s="149" t="s">
        <v>2149</v>
      </c>
      <c r="F637" s="149" t="s">
        <v>2150</v>
      </c>
      <c r="G637" s="149" t="s">
        <v>2151</v>
      </c>
      <c r="H637" s="149" t="s">
        <v>2152</v>
      </c>
      <c r="I637" s="149" t="s">
        <v>2153</v>
      </c>
      <c r="J637" s="149" t="s">
        <v>2154</v>
      </c>
      <c r="K637" s="149" t="s">
        <v>2172</v>
      </c>
      <c r="L637" s="149" t="s">
        <v>2178</v>
      </c>
      <c r="M637" s="149" t="s">
        <v>2207</v>
      </c>
      <c r="N637" s="149" t="s">
        <v>2157</v>
      </c>
      <c r="O637" s="149" t="s">
        <v>2158</v>
      </c>
      <c r="P637" s="145"/>
      <c r="Q637" s="145"/>
    </row>
    <row r="638" spans="1:17" s="146" customFormat="1" ht="10.5" x14ac:dyDescent="0.25">
      <c r="A638" s="151"/>
      <c r="B638" s="152"/>
      <c r="C638" s="153"/>
      <c r="D638" s="154"/>
      <c r="E638" s="154"/>
      <c r="F638" s="154"/>
      <c r="G638" s="154"/>
      <c r="H638" s="154"/>
      <c r="I638" s="154"/>
      <c r="J638" s="154"/>
      <c r="K638" s="154"/>
      <c r="L638" s="154"/>
      <c r="M638" s="154"/>
      <c r="N638" s="154"/>
      <c r="O638" s="154"/>
      <c r="P638" s="155"/>
      <c r="Q638" s="145"/>
    </row>
    <row r="639" spans="1:17" s="146" customFormat="1" ht="10.5" x14ac:dyDescent="0.25">
      <c r="A639" s="151"/>
      <c r="B639" s="152" t="s">
        <v>2161</v>
      </c>
      <c r="C639" s="153"/>
      <c r="D639" s="154"/>
      <c r="E639" s="154"/>
      <c r="F639" s="154"/>
      <c r="G639" s="154"/>
      <c r="H639" s="154"/>
      <c r="I639" s="154"/>
      <c r="J639" s="154"/>
      <c r="K639" s="154"/>
      <c r="L639" s="154"/>
      <c r="M639" s="154"/>
      <c r="N639" s="154"/>
      <c r="O639" s="154">
        <f>Quantitativos!AR29</f>
        <v>1.96</v>
      </c>
      <c r="P639" s="155"/>
      <c r="Q639" s="145"/>
    </row>
    <row r="640" spans="1:17" s="146" customFormat="1" ht="10.5" x14ac:dyDescent="0.25">
      <c r="A640" s="151"/>
      <c r="B640" s="152"/>
      <c r="C640" s="153"/>
      <c r="D640" s="154"/>
      <c r="E640" s="154"/>
      <c r="F640" s="154"/>
      <c r="G640" s="154"/>
      <c r="H640" s="154"/>
      <c r="I640" s="154"/>
      <c r="J640" s="154"/>
      <c r="K640" s="154"/>
      <c r="L640" s="154"/>
      <c r="M640" s="154"/>
      <c r="N640" s="154"/>
      <c r="O640" s="154"/>
      <c r="P640" s="155"/>
      <c r="Q640" s="145"/>
    </row>
    <row r="641" spans="1:19" s="146" customFormat="1" ht="10.5" x14ac:dyDescent="0.25">
      <c r="A641" s="151"/>
      <c r="B641" s="157" t="s">
        <v>377</v>
      </c>
      <c r="C641" s="158" t="s">
        <v>402</v>
      </c>
      <c r="D641" s="158"/>
      <c r="E641" s="158"/>
      <c r="F641" s="158"/>
      <c r="G641" s="158"/>
      <c r="H641" s="158"/>
      <c r="I641" s="158"/>
      <c r="J641" s="158"/>
      <c r="K641" s="158"/>
      <c r="L641" s="158"/>
      <c r="M641" s="158"/>
      <c r="N641" s="158"/>
      <c r="O641" s="158">
        <f>SUM(O638:O640)</f>
        <v>1.96</v>
      </c>
      <c r="P641" s="159"/>
      <c r="Q641" s="145"/>
    </row>
    <row r="642" spans="1:19" s="164" customFormat="1" ht="52.5" x14ac:dyDescent="0.35">
      <c r="A642" s="147" t="str">
        <f>ORÇAMENTO!A150</f>
        <v>4.1.2.1.11</v>
      </c>
      <c r="B642" s="148" t="str">
        <f>VLOOKUP(A642,ORÇAMENTO!$A:$F,4,0)</f>
        <v>CARGA, MANOBRA E DESCARGA DE SOLOS E MATERIAIS GRANULARES EM CAMINHÃO BASCULANTE 14 M³ - CARGA COM ESCAVADEIRA HIDRÁULICA (CAÇAMBA DE 1,20 M³ / 155 HP) E DESCARGA LIVRE (UNIDADE: M3). AF_07/2020</v>
      </c>
      <c r="C642" s="149" t="str">
        <f>VLOOKUP(A642,ORÇAMENTO!$A:$F,5,0)</f>
        <v>M³</v>
      </c>
      <c r="D642" s="149">
        <f>SUM(E645:O645)</f>
        <v>882.95071558587631</v>
      </c>
      <c r="E642" s="149" t="s">
        <v>2177</v>
      </c>
      <c r="F642" s="149" t="s">
        <v>2150</v>
      </c>
      <c r="G642" s="149" t="s">
        <v>2151</v>
      </c>
      <c r="H642" s="149" t="s">
        <v>2152</v>
      </c>
      <c r="I642" s="149" t="s">
        <v>2153</v>
      </c>
      <c r="J642" s="149" t="s">
        <v>2154</v>
      </c>
      <c r="K642" s="149" t="s">
        <v>2172</v>
      </c>
      <c r="L642" s="149" t="s">
        <v>2178</v>
      </c>
      <c r="M642" s="149" t="s">
        <v>2175</v>
      </c>
      <c r="N642" s="149" t="s">
        <v>2157</v>
      </c>
      <c r="O642" s="149" t="s">
        <v>2158</v>
      </c>
      <c r="P642" s="145"/>
      <c r="Q642" s="145"/>
      <c r="R642" s="145"/>
      <c r="S642" s="145"/>
    </row>
    <row r="643" spans="1:19" s="146" customFormat="1" ht="10.5" x14ac:dyDescent="0.25">
      <c r="A643" s="151"/>
      <c r="B643" s="152"/>
      <c r="C643" s="160"/>
      <c r="D643" s="161"/>
      <c r="E643" s="161"/>
      <c r="F643" s="161"/>
      <c r="G643" s="161"/>
      <c r="H643" s="161"/>
      <c r="I643" s="161"/>
      <c r="J643" s="161"/>
      <c r="K643" s="161"/>
      <c r="L643" s="171"/>
      <c r="M643" s="161"/>
      <c r="N643" s="161"/>
      <c r="O643" s="161"/>
      <c r="P643" s="155"/>
      <c r="Q643" s="145"/>
    </row>
    <row r="644" spans="1:19" s="146" customFormat="1" ht="10.5" x14ac:dyDescent="0.25">
      <c r="A644" s="151"/>
      <c r="B644" s="152" t="s">
        <v>2208</v>
      </c>
      <c r="C644" s="160"/>
      <c r="D644" s="161"/>
      <c r="E644" s="161"/>
      <c r="F644" s="161"/>
      <c r="G644" s="161"/>
      <c r="H644" s="161"/>
      <c r="I644" s="161"/>
      <c r="J644" s="161"/>
      <c r="K644" s="161"/>
      <c r="L644" s="171"/>
      <c r="M644" s="161"/>
      <c r="N644" s="161"/>
      <c r="O644" s="161">
        <f>Quantitativos!BL29</f>
        <v>882.95071558587631</v>
      </c>
      <c r="P644" s="155"/>
      <c r="Q644" s="145"/>
    </row>
    <row r="645" spans="1:19" s="146" customFormat="1" ht="10.5" x14ac:dyDescent="0.25">
      <c r="A645" s="151"/>
      <c r="B645" s="157" t="s">
        <v>377</v>
      </c>
      <c r="C645" s="158" t="s">
        <v>402</v>
      </c>
      <c r="D645" s="158"/>
      <c r="E645" s="158"/>
      <c r="F645" s="158"/>
      <c r="G645" s="158"/>
      <c r="H645" s="158"/>
      <c r="I645" s="158"/>
      <c r="J645" s="158"/>
      <c r="K645" s="158"/>
      <c r="L645" s="158"/>
      <c r="M645" s="158"/>
      <c r="N645" s="158"/>
      <c r="O645" s="158">
        <f>SUM(O644)</f>
        <v>882.95071558587631</v>
      </c>
      <c r="P645" s="159"/>
      <c r="Q645" s="145"/>
    </row>
    <row r="646" spans="1:19" s="164" customFormat="1" ht="31.5" x14ac:dyDescent="0.35">
      <c r="A646" s="147" t="str">
        <f>ORÇAMENTO!A151</f>
        <v>4.1.2.1.12</v>
      </c>
      <c r="B646" s="148" t="str">
        <f>VLOOKUP(A646,ORÇAMENTO!$A:$F,4,0)</f>
        <v>TRANSPORTE COM CAMINHÃO BASCULANTE DE 14 M³, EM VIA URBANA PAVIMENTADA, DMT ATÉ 30 KM (UNIDADE: M3XKM). AF_07/2020</v>
      </c>
      <c r="C646" s="149" t="str">
        <f>VLOOKUP(A646,ORÇAMENTO!$A:$F,5,0)</f>
        <v>M3XKM</v>
      </c>
      <c r="D646" s="149">
        <f>SUM(E650:O650)</f>
        <v>23084.880502543281</v>
      </c>
      <c r="E646" s="149" t="s">
        <v>2177</v>
      </c>
      <c r="F646" s="149" t="s">
        <v>2150</v>
      </c>
      <c r="G646" s="149" t="s">
        <v>2151</v>
      </c>
      <c r="H646" s="149" t="s">
        <v>2152</v>
      </c>
      <c r="I646" s="149" t="s">
        <v>2153</v>
      </c>
      <c r="J646" s="149" t="s">
        <v>2154</v>
      </c>
      <c r="K646" s="149" t="s">
        <v>2172</v>
      </c>
      <c r="L646" s="149" t="s">
        <v>2178</v>
      </c>
      <c r="M646" s="149" t="s">
        <v>2175</v>
      </c>
      <c r="N646" s="149" t="s">
        <v>2157</v>
      </c>
      <c r="O646" s="149" t="s">
        <v>2158</v>
      </c>
      <c r="P646" s="145"/>
      <c r="Q646" s="145"/>
      <c r="R646" s="145"/>
      <c r="S646" s="145"/>
    </row>
    <row r="647" spans="1:19" s="146" customFormat="1" ht="21" x14ac:dyDescent="0.25">
      <c r="A647" s="151"/>
      <c r="B647" s="152" t="s">
        <v>3774</v>
      </c>
      <c r="C647" s="153"/>
      <c r="D647" s="154"/>
      <c r="E647" s="154">
        <v>0.2</v>
      </c>
      <c r="F647" s="154"/>
      <c r="G647" s="154"/>
      <c r="H647" s="154"/>
      <c r="I647" s="154"/>
      <c r="J647" s="154"/>
      <c r="K647" s="154"/>
      <c r="L647" s="165"/>
      <c r="M647" s="154">
        <f>E647*O647</f>
        <v>22.843227953241641</v>
      </c>
      <c r="N647" s="154"/>
      <c r="O647" s="154">
        <f>QUANTBL!BA72*1.15</f>
        <v>114.2161397662082</v>
      </c>
      <c r="P647" s="155"/>
      <c r="Q647" s="145"/>
    </row>
    <row r="648" spans="1:19" s="146" customFormat="1" ht="21" x14ac:dyDescent="0.25">
      <c r="A648" s="151"/>
      <c r="B648" s="152" t="s">
        <v>2209</v>
      </c>
      <c r="C648" s="153"/>
      <c r="D648" s="154"/>
      <c r="E648" s="154">
        <v>30</v>
      </c>
      <c r="F648" s="154"/>
      <c r="G648" s="154"/>
      <c r="H648" s="154"/>
      <c r="I648" s="154"/>
      <c r="J648" s="154"/>
      <c r="K648" s="154"/>
      <c r="L648" s="165"/>
      <c r="M648" s="154">
        <f>E648*O648</f>
        <v>23003.237274590039</v>
      </c>
      <c r="N648" s="154"/>
      <c r="O648" s="154">
        <f>Quantitativos!BL31-O647</f>
        <v>766.77457581966803</v>
      </c>
      <c r="P648" s="155"/>
      <c r="Q648" s="145"/>
    </row>
    <row r="649" spans="1:19" s="146" customFormat="1" ht="21" x14ac:dyDescent="0.25">
      <c r="A649" s="151"/>
      <c r="B649" s="152" t="s">
        <v>2210</v>
      </c>
      <c r="C649" s="153"/>
      <c r="D649" s="154"/>
      <c r="E649" s="154">
        <v>30</v>
      </c>
      <c r="F649" s="154"/>
      <c r="G649" s="154"/>
      <c r="H649" s="154"/>
      <c r="I649" s="154"/>
      <c r="J649" s="154"/>
      <c r="K649" s="154"/>
      <c r="L649" s="165"/>
      <c r="M649" s="154">
        <f>E649*O649</f>
        <v>58.8</v>
      </c>
      <c r="N649" s="154"/>
      <c r="O649" s="154">
        <f>Quantitativos!BL30</f>
        <v>1.96</v>
      </c>
      <c r="P649" s="155"/>
      <c r="Q649" s="145"/>
    </row>
    <row r="650" spans="1:19" s="146" customFormat="1" ht="10.5" x14ac:dyDescent="0.25">
      <c r="A650" s="151"/>
      <c r="B650" s="157" t="s">
        <v>377</v>
      </c>
      <c r="C650" s="158" t="s">
        <v>402</v>
      </c>
      <c r="D650" s="158"/>
      <c r="E650" s="158"/>
      <c r="F650" s="158"/>
      <c r="G650" s="158"/>
      <c r="H650" s="158"/>
      <c r="I650" s="158"/>
      <c r="J650" s="158"/>
      <c r="K650" s="158"/>
      <c r="L650" s="158"/>
      <c r="M650" s="158">
        <f>SUM(M647:M649)</f>
        <v>23084.880502543281</v>
      </c>
      <c r="N650" s="158"/>
      <c r="O650" s="158"/>
      <c r="P650" s="159"/>
      <c r="Q650" s="145"/>
    </row>
    <row r="651" spans="1:19" s="164" customFormat="1" ht="42" x14ac:dyDescent="0.35">
      <c r="A651" s="147" t="str">
        <f>ORÇAMENTO!A152</f>
        <v>4.1.2.1.13</v>
      </c>
      <c r="B651" s="148" t="str">
        <f>VLOOKUP(A651,ORÇAMENTO!$A:$F,4,0)</f>
        <v>TRANSPORTE COM CAMINHÃO BASCULANTE DE 14 M³, EM VIA URBANA PAVIMENTADA, ADICIONAL PARA DMT EXCEDENTE A 30 KM (UNIDADE: M3XKM). AF_07/2020</v>
      </c>
      <c r="C651" s="149" t="str">
        <f>VLOOKUP(A651,ORÇAMENTO!$A:$F,5,0)</f>
        <v>M3XKM</v>
      </c>
      <c r="D651" s="149">
        <f>SUM(E654:O654)</f>
        <v>10976.006976639288</v>
      </c>
      <c r="E651" s="149" t="s">
        <v>2177</v>
      </c>
      <c r="F651" s="149" t="s">
        <v>2150</v>
      </c>
      <c r="G651" s="149" t="s">
        <v>2151</v>
      </c>
      <c r="H651" s="149" t="s">
        <v>2152</v>
      </c>
      <c r="I651" s="149" t="s">
        <v>2153</v>
      </c>
      <c r="J651" s="149" t="s">
        <v>2154</v>
      </c>
      <c r="K651" s="149" t="s">
        <v>2172</v>
      </c>
      <c r="L651" s="149" t="s">
        <v>2178</v>
      </c>
      <c r="M651" s="149" t="s">
        <v>2175</v>
      </c>
      <c r="N651" s="149" t="s">
        <v>2157</v>
      </c>
      <c r="O651" s="149" t="s">
        <v>2158</v>
      </c>
      <c r="P651" s="145"/>
      <c r="Q651" s="145"/>
      <c r="R651" s="145"/>
      <c r="S651" s="145"/>
    </row>
    <row r="652" spans="1:19" s="146" customFormat="1" ht="21" x14ac:dyDescent="0.25">
      <c r="A652" s="151"/>
      <c r="B652" s="152" t="str">
        <f>B648</f>
        <v>TRANSPORTE ATÉ ATERRO ESTRUTURAL - BOTA FORA - MATERIAL NÃO APROVEITADO</v>
      </c>
      <c r="C652" s="153"/>
      <c r="D652" s="154"/>
      <c r="E652" s="154">
        <f>44.2-E648</f>
        <v>14.200000000000003</v>
      </c>
      <c r="F652" s="154"/>
      <c r="G652" s="154"/>
      <c r="H652" s="154"/>
      <c r="I652" s="154"/>
      <c r="J652" s="154"/>
      <c r="K652" s="154"/>
      <c r="L652" s="165"/>
      <c r="M652" s="154">
        <f>E652*O652</f>
        <v>10888.198976639289</v>
      </c>
      <c r="N652" s="154"/>
      <c r="O652" s="154">
        <f>O648</f>
        <v>766.77457581966803</v>
      </c>
      <c r="P652" s="155"/>
      <c r="Q652" s="145"/>
    </row>
    <row r="653" spans="1:19" s="146" customFormat="1" ht="21" x14ac:dyDescent="0.25">
      <c r="A653" s="151"/>
      <c r="B653" s="152" t="str">
        <f>B649</f>
        <v>TRANSPORTE ATÉ ATERRO SAMAMBIA - BOTA FORA - ROCHA</v>
      </c>
      <c r="C653" s="153"/>
      <c r="D653" s="154"/>
      <c r="E653" s="154">
        <f>74.8-E649</f>
        <v>44.8</v>
      </c>
      <c r="F653" s="154"/>
      <c r="G653" s="154"/>
      <c r="H653" s="154"/>
      <c r="I653" s="154"/>
      <c r="J653" s="154"/>
      <c r="K653" s="154"/>
      <c r="L653" s="165"/>
      <c r="M653" s="154">
        <f>E653*O653</f>
        <v>87.807999999999993</v>
      </c>
      <c r="N653" s="154"/>
      <c r="O653" s="154">
        <f>O649</f>
        <v>1.96</v>
      </c>
      <c r="P653" s="155"/>
      <c r="Q653" s="145"/>
    </row>
    <row r="654" spans="1:19" s="146" customFormat="1" ht="10.5" x14ac:dyDescent="0.25">
      <c r="A654" s="151"/>
      <c r="B654" s="157" t="s">
        <v>377</v>
      </c>
      <c r="C654" s="158" t="s">
        <v>402</v>
      </c>
      <c r="D654" s="158"/>
      <c r="E654" s="158"/>
      <c r="F654" s="158"/>
      <c r="G654" s="158"/>
      <c r="H654" s="158"/>
      <c r="I654" s="158"/>
      <c r="J654" s="158"/>
      <c r="K654" s="158"/>
      <c r="L654" s="158"/>
      <c r="M654" s="158">
        <f>SUM(M652:M653)</f>
        <v>10976.006976639288</v>
      </c>
      <c r="N654" s="158"/>
      <c r="O654" s="158"/>
      <c r="P654" s="159"/>
      <c r="Q654" s="145"/>
    </row>
    <row r="655" spans="1:19" s="164" customFormat="1" ht="21" x14ac:dyDescent="0.35">
      <c r="A655" s="147" t="str">
        <f>ORÇAMENTO!A153</f>
        <v>4.1.2.1.14</v>
      </c>
      <c r="B655" s="148" t="str">
        <f>VLOOKUP(A655,ORÇAMENTO!$A:$F,4,0)</f>
        <v>ESPALHAMENTO DE MATERIAL COM TRATOR DE ESTEIRAS. AF_09/2024</v>
      </c>
      <c r="C655" s="149" t="str">
        <f>VLOOKUP(A655,ORÇAMENTO!$A:$F,5,0)</f>
        <v>M³</v>
      </c>
      <c r="D655" s="149">
        <f>SUM(E657:O657)</f>
        <v>882.95071558587631</v>
      </c>
      <c r="E655" s="149" t="s">
        <v>2177</v>
      </c>
      <c r="F655" s="149" t="s">
        <v>2150</v>
      </c>
      <c r="G655" s="149" t="s">
        <v>2151</v>
      </c>
      <c r="H655" s="149" t="s">
        <v>2152</v>
      </c>
      <c r="I655" s="149" t="s">
        <v>2153</v>
      </c>
      <c r="J655" s="149" t="s">
        <v>2154</v>
      </c>
      <c r="K655" s="149" t="s">
        <v>2172</v>
      </c>
      <c r="L655" s="149" t="s">
        <v>2178</v>
      </c>
      <c r="M655" s="149" t="s">
        <v>2175</v>
      </c>
      <c r="N655" s="149" t="s">
        <v>2157</v>
      </c>
      <c r="O655" s="149" t="s">
        <v>2158</v>
      </c>
      <c r="P655" s="145"/>
      <c r="Q655" s="145"/>
      <c r="R655" s="145"/>
      <c r="S655" s="145"/>
    </row>
    <row r="656" spans="1:19" s="146" customFormat="1" ht="10.5" x14ac:dyDescent="0.25">
      <c r="A656" s="151"/>
      <c r="B656" s="152" t="s">
        <v>2211</v>
      </c>
      <c r="C656" s="153"/>
      <c r="D656" s="154"/>
      <c r="E656" s="154"/>
      <c r="F656" s="154"/>
      <c r="G656" s="154"/>
      <c r="H656" s="154"/>
      <c r="I656" s="154"/>
      <c r="J656" s="154"/>
      <c r="K656" s="154"/>
      <c r="L656" s="165"/>
      <c r="M656" s="154"/>
      <c r="N656" s="154"/>
      <c r="O656" s="154">
        <f>Quantitativos!BL29</f>
        <v>882.95071558587631</v>
      </c>
      <c r="P656" s="155"/>
      <c r="Q656" s="145"/>
    </row>
    <row r="657" spans="1:17" s="146" customFormat="1" ht="10.5" x14ac:dyDescent="0.25">
      <c r="A657" s="151"/>
      <c r="B657" s="157" t="s">
        <v>377</v>
      </c>
      <c r="C657" s="158" t="s">
        <v>402</v>
      </c>
      <c r="D657" s="158"/>
      <c r="E657" s="158"/>
      <c r="F657" s="158"/>
      <c r="G657" s="158"/>
      <c r="H657" s="158"/>
      <c r="I657" s="158"/>
      <c r="J657" s="158"/>
      <c r="K657" s="158"/>
      <c r="L657" s="158"/>
      <c r="M657" s="158"/>
      <c r="N657" s="158"/>
      <c r="O657" s="158">
        <f>SUM(O656)</f>
        <v>882.95071558587631</v>
      </c>
      <c r="P657" s="159"/>
      <c r="Q657" s="145"/>
    </row>
    <row r="658" spans="1:17" s="146" customFormat="1" ht="21" x14ac:dyDescent="0.25">
      <c r="A658" s="141" t="str">
        <f>ORÇAMENTO!A156</f>
        <v>4.1.2.3</v>
      </c>
      <c r="B658" s="142" t="str">
        <f>VLOOKUP(A658,ORÇAMENTO!$A:$F,4,0)</f>
        <v>ESCORAMENTOS DE VALAS PARA REDE DE DRENAGEM</v>
      </c>
      <c r="C658" s="143"/>
      <c r="D658" s="143"/>
      <c r="E658" s="144"/>
      <c r="F658" s="144"/>
      <c r="G658" s="144"/>
      <c r="H658" s="144"/>
      <c r="I658" s="144"/>
      <c r="J658" s="144"/>
      <c r="K658" s="144"/>
      <c r="L658" s="144"/>
      <c r="M658" s="144"/>
      <c r="N658" s="144"/>
      <c r="O658" s="144"/>
      <c r="P658" s="145"/>
      <c r="Q658" s="145"/>
    </row>
    <row r="659" spans="1:17" s="150" customFormat="1" ht="42" x14ac:dyDescent="0.25">
      <c r="A659" s="147" t="str">
        <f>ORÇAMENTO!A157</f>
        <v>4.1.2.3.1</v>
      </c>
      <c r="B659" s="148" t="str">
        <f>VLOOKUP(A659,ORÇAMENTO!$A:$F,4,0)</f>
        <v>ESCORAMENTO DE VALA, TIPO BLINDAGEM, COM PROFUNDIDADE DE 0 A 1,5 M, LARGURA MENOR QUE 1,5 M - EXECUÇÃO E FORNECIMENTO, INCLUI MATERIAL (ESCAVAÇÃO EXTERNA AO BLINDADO)</v>
      </c>
      <c r="C659" s="149" t="str">
        <f>VLOOKUP(A659,ORÇAMENTO!$A:$F,5,0)</f>
        <v>M²</v>
      </c>
      <c r="D659" s="149">
        <f>SUM(E662:O662)</f>
        <v>737.98922515640265</v>
      </c>
      <c r="E659" s="149" t="s">
        <v>2149</v>
      </c>
      <c r="F659" s="149" t="s">
        <v>2150</v>
      </c>
      <c r="G659" s="149" t="s">
        <v>2151</v>
      </c>
      <c r="H659" s="149" t="s">
        <v>2152</v>
      </c>
      <c r="I659" s="149" t="s">
        <v>2153</v>
      </c>
      <c r="J659" s="149" t="s">
        <v>2154</v>
      </c>
      <c r="K659" s="149" t="s">
        <v>2155</v>
      </c>
      <c r="L659" s="149" t="s">
        <v>2178</v>
      </c>
      <c r="M659" s="149" t="s">
        <v>2160</v>
      </c>
      <c r="N659" s="149" t="s">
        <v>2157</v>
      </c>
      <c r="O659" s="149" t="s">
        <v>2158</v>
      </c>
      <c r="P659" s="145"/>
      <c r="Q659" s="145"/>
    </row>
    <row r="660" spans="1:17" s="146" customFormat="1" ht="10.5" x14ac:dyDescent="0.25">
      <c r="A660" s="151"/>
      <c r="B660" s="157" t="s">
        <v>2161</v>
      </c>
      <c r="C660" s="153"/>
      <c r="D660" s="154"/>
      <c r="E660" s="154"/>
      <c r="F660" s="154"/>
      <c r="G660" s="154"/>
      <c r="H660" s="154"/>
      <c r="I660" s="154"/>
      <c r="J660" s="154"/>
      <c r="K660" s="154"/>
      <c r="L660" s="154"/>
      <c r="M660" s="154"/>
      <c r="N660" s="154">
        <f>Quantitativos!DG29</f>
        <v>737.98922515640265</v>
      </c>
      <c r="O660" s="154"/>
      <c r="P660" s="145"/>
      <c r="Q660" s="145"/>
    </row>
    <row r="661" spans="1:17" s="146" customFormat="1" ht="10.5" x14ac:dyDescent="0.25">
      <c r="A661" s="151"/>
      <c r="B661" s="152"/>
      <c r="C661" s="153"/>
      <c r="D661" s="154"/>
      <c r="E661" s="154"/>
      <c r="F661" s="154"/>
      <c r="G661" s="154"/>
      <c r="H661" s="154"/>
      <c r="I661" s="154"/>
      <c r="J661" s="154"/>
      <c r="K661" s="154"/>
      <c r="L661" s="154"/>
      <c r="M661" s="154"/>
      <c r="N661" s="154"/>
      <c r="O661" s="154"/>
      <c r="P661" s="155"/>
      <c r="Q661" s="145"/>
    </row>
    <row r="662" spans="1:17" s="146" customFormat="1" ht="10.5" x14ac:dyDescent="0.25">
      <c r="A662" s="151"/>
      <c r="B662" s="157" t="s">
        <v>377</v>
      </c>
      <c r="C662" s="158" t="s">
        <v>402</v>
      </c>
      <c r="D662" s="158"/>
      <c r="E662" s="158"/>
      <c r="F662" s="158"/>
      <c r="G662" s="158"/>
      <c r="H662" s="158"/>
      <c r="I662" s="158"/>
      <c r="J662" s="158"/>
      <c r="K662" s="158"/>
      <c r="L662" s="158"/>
      <c r="M662" s="158"/>
      <c r="N662" s="158">
        <f>SUM(N660:N661)</f>
        <v>737.98922515640265</v>
      </c>
      <c r="O662" s="158"/>
      <c r="P662" s="159"/>
      <c r="Q662" s="145"/>
    </row>
    <row r="663" spans="1:17" s="150" customFormat="1" ht="42" x14ac:dyDescent="0.25">
      <c r="A663" s="147" t="str">
        <f>ORÇAMENTO!A158</f>
        <v>4.1.2.3.2</v>
      </c>
      <c r="B663" s="148" t="str">
        <f>VLOOKUP(A663,ORÇAMENTO!$A:$F,4,0)</f>
        <v>ESCORAMENTO DE VALA, TIPO BLINDAGEM, COM PROFUNDIDADE DE 1,5 A 3,0 M, LARGURA MENOR QUE 1,5 M - EXECUÇÃO E FORNECIMENTO, INCLUI MATERIAL (ESCAVAÇÃO INTERNA AO BLINDADO)</v>
      </c>
      <c r="C663" s="149" t="str">
        <f>VLOOKUP(A663,ORÇAMENTO!$A:$F,5,0)</f>
        <v>M²</v>
      </c>
      <c r="D663" s="149">
        <f>SUM(E666:O666)</f>
        <v>638.40573087480607</v>
      </c>
      <c r="E663" s="149" t="s">
        <v>2149</v>
      </c>
      <c r="F663" s="149" t="s">
        <v>2150</v>
      </c>
      <c r="G663" s="149" t="s">
        <v>2151</v>
      </c>
      <c r="H663" s="149" t="s">
        <v>2152</v>
      </c>
      <c r="I663" s="149" t="s">
        <v>2153</v>
      </c>
      <c r="J663" s="149" t="s">
        <v>2154</v>
      </c>
      <c r="K663" s="149" t="s">
        <v>2155</v>
      </c>
      <c r="L663" s="149" t="s">
        <v>2178</v>
      </c>
      <c r="M663" s="149" t="s">
        <v>2160</v>
      </c>
      <c r="N663" s="149" t="s">
        <v>2157</v>
      </c>
      <c r="O663" s="149" t="s">
        <v>2158</v>
      </c>
      <c r="P663" s="145"/>
      <c r="Q663" s="145"/>
    </row>
    <row r="664" spans="1:17" s="146" customFormat="1" ht="10.5" x14ac:dyDescent="0.25">
      <c r="A664" s="151"/>
      <c r="B664" s="157" t="s">
        <v>2161</v>
      </c>
      <c r="C664" s="153"/>
      <c r="D664" s="154"/>
      <c r="E664" s="154"/>
      <c r="F664" s="154"/>
      <c r="G664" s="154"/>
      <c r="H664" s="154"/>
      <c r="I664" s="154"/>
      <c r="J664" s="154"/>
      <c r="K664" s="154"/>
      <c r="L664" s="154"/>
      <c r="M664" s="154"/>
      <c r="N664" s="154">
        <f>Quantitativos!DH29</f>
        <v>638.40573087480607</v>
      </c>
      <c r="O664" s="154"/>
      <c r="P664" s="145"/>
      <c r="Q664" s="145"/>
    </row>
    <row r="665" spans="1:17" s="146" customFormat="1" ht="10.5" x14ac:dyDescent="0.25">
      <c r="A665" s="151"/>
      <c r="B665" s="152"/>
      <c r="C665" s="153"/>
      <c r="D665" s="154"/>
      <c r="E665" s="154"/>
      <c r="F665" s="154"/>
      <c r="G665" s="154"/>
      <c r="H665" s="154"/>
      <c r="I665" s="154"/>
      <c r="J665" s="154"/>
      <c r="K665" s="154"/>
      <c r="L665" s="154"/>
      <c r="M665" s="154"/>
      <c r="N665" s="158"/>
      <c r="O665" s="154"/>
      <c r="P665" s="155"/>
      <c r="Q665" s="145"/>
    </row>
    <row r="666" spans="1:17" s="146" customFormat="1" ht="10.5" x14ac:dyDescent="0.25">
      <c r="A666" s="151"/>
      <c r="B666" s="157" t="s">
        <v>377</v>
      </c>
      <c r="C666" s="158" t="s">
        <v>402</v>
      </c>
      <c r="D666" s="158"/>
      <c r="E666" s="158"/>
      <c r="F666" s="158"/>
      <c r="G666" s="158"/>
      <c r="H666" s="158"/>
      <c r="I666" s="158"/>
      <c r="J666" s="158"/>
      <c r="K666" s="158"/>
      <c r="L666" s="158"/>
      <c r="M666" s="158"/>
      <c r="N666" s="158">
        <f>SUM(N664:N665)</f>
        <v>638.40573087480607</v>
      </c>
      <c r="O666" s="158"/>
      <c r="P666" s="159"/>
      <c r="Q666" s="145"/>
    </row>
    <row r="667" spans="1:17" s="150" customFormat="1" ht="42" x14ac:dyDescent="0.25">
      <c r="A667" s="147" t="str">
        <f>ORÇAMENTO!A159</f>
        <v>4.1.2.3.3</v>
      </c>
      <c r="B667" s="148" t="str">
        <f>VLOOKUP(A667,ORÇAMENTO!$A:$F,4,0)</f>
        <v>ESCORAMENTO DE VALA, TIPO BLINDAGEM, COM PROFUNDIDADE DE 3,0 A 4,5 M, LARGURA MENOR QUE 1,5 M - EXECUÇÃO E FORNECIMENTO, INCLUI MATERIAL (ESCAVAÇÃO INTERNA AO BLINDADO)</v>
      </c>
      <c r="C667" s="149" t="str">
        <f>VLOOKUP(A667,ORÇAMENTO!$A:$F,5,0)</f>
        <v>M²</v>
      </c>
      <c r="D667" s="149">
        <f>SUM(E670:O670)</f>
        <v>56.592791800027655</v>
      </c>
      <c r="E667" s="149" t="s">
        <v>2149</v>
      </c>
      <c r="F667" s="149" t="s">
        <v>2150</v>
      </c>
      <c r="G667" s="149" t="s">
        <v>2151</v>
      </c>
      <c r="H667" s="149" t="s">
        <v>2152</v>
      </c>
      <c r="I667" s="149" t="s">
        <v>2153</v>
      </c>
      <c r="J667" s="149" t="s">
        <v>2154</v>
      </c>
      <c r="K667" s="149" t="s">
        <v>2155</v>
      </c>
      <c r="L667" s="149" t="s">
        <v>2178</v>
      </c>
      <c r="M667" s="149" t="s">
        <v>2160</v>
      </c>
      <c r="N667" s="149" t="s">
        <v>2157</v>
      </c>
      <c r="O667" s="149" t="s">
        <v>2158</v>
      </c>
      <c r="P667" s="145"/>
      <c r="Q667" s="145"/>
    </row>
    <row r="668" spans="1:17" s="146" customFormat="1" ht="10.5" x14ac:dyDescent="0.25">
      <c r="A668" s="151"/>
      <c r="B668" s="157" t="s">
        <v>2161</v>
      </c>
      <c r="C668" s="153"/>
      <c r="D668" s="154"/>
      <c r="E668" s="154"/>
      <c r="F668" s="154"/>
      <c r="G668" s="154"/>
      <c r="H668" s="154"/>
      <c r="I668" s="154"/>
      <c r="J668" s="154"/>
      <c r="K668" s="154"/>
      <c r="L668" s="154"/>
      <c r="M668" s="154"/>
      <c r="N668" s="154">
        <f>Quantitativos!DI29</f>
        <v>56.592791800027655</v>
      </c>
      <c r="O668" s="154"/>
      <c r="P668" s="145"/>
      <c r="Q668" s="145"/>
    </row>
    <row r="669" spans="1:17" s="146" customFormat="1" ht="10.5" x14ac:dyDescent="0.25">
      <c r="A669" s="151"/>
      <c r="B669" s="152"/>
      <c r="C669" s="153"/>
      <c r="D669" s="154"/>
      <c r="E669" s="154"/>
      <c r="F669" s="154"/>
      <c r="G669" s="154"/>
      <c r="H669" s="154"/>
      <c r="I669" s="154"/>
      <c r="J669" s="154"/>
      <c r="K669" s="154"/>
      <c r="L669" s="154"/>
      <c r="M669" s="154"/>
      <c r="N669" s="158"/>
      <c r="O669" s="154"/>
      <c r="P669" s="155"/>
      <c r="Q669" s="145"/>
    </row>
    <row r="670" spans="1:17" s="146" customFormat="1" ht="10.5" x14ac:dyDescent="0.25">
      <c r="A670" s="151"/>
      <c r="B670" s="157" t="s">
        <v>377</v>
      </c>
      <c r="C670" s="158" t="s">
        <v>402</v>
      </c>
      <c r="D670" s="158"/>
      <c r="E670" s="158"/>
      <c r="F670" s="158"/>
      <c r="G670" s="158"/>
      <c r="H670" s="158"/>
      <c r="I670" s="158"/>
      <c r="J670" s="158"/>
      <c r="K670" s="158"/>
      <c r="L670" s="158"/>
      <c r="M670" s="158"/>
      <c r="N670" s="158">
        <f>SUM(N668:N669)</f>
        <v>56.592791800027655</v>
      </c>
      <c r="O670" s="158"/>
      <c r="P670" s="159"/>
      <c r="Q670" s="145"/>
    </row>
    <row r="671" spans="1:17" s="150" customFormat="1" ht="52.5" x14ac:dyDescent="0.25">
      <c r="A671" s="147" t="str">
        <f>ORÇAMENTO!A160</f>
        <v>4.1.2.3.4</v>
      </c>
      <c r="B671" s="148" t="str">
        <f>VLOOKUP(A671,ORÇAMENTO!$A:$F,4,0)</f>
        <v>ESCORAMENTO DE VALA, TIPO BLINDADEM, COM PROFUNDIDADE DE 0 A 1,5 M, LARGURA MAIOR OU IGUAL A 1,5 M EMENOR QUE 2,5 M - EXECUÇÃO E FORNECIMENTO, INCLUI MATERIAL (ESCAVAÇÃO EXTERNA AO BLINDADO)</v>
      </c>
      <c r="C671" s="149" t="str">
        <f>VLOOKUP(A671,ORÇAMENTO!$A:$F,5,0)</f>
        <v>M²</v>
      </c>
      <c r="D671" s="149">
        <f>SUM(E674:O674)</f>
        <v>655.46144029892298</v>
      </c>
      <c r="E671" s="149" t="s">
        <v>2149</v>
      </c>
      <c r="F671" s="149" t="s">
        <v>2150</v>
      </c>
      <c r="G671" s="149" t="s">
        <v>2151</v>
      </c>
      <c r="H671" s="149" t="s">
        <v>2152</v>
      </c>
      <c r="I671" s="149" t="s">
        <v>2153</v>
      </c>
      <c r="J671" s="149" t="s">
        <v>2154</v>
      </c>
      <c r="K671" s="149" t="s">
        <v>2155</v>
      </c>
      <c r="L671" s="149" t="s">
        <v>2178</v>
      </c>
      <c r="M671" s="149" t="s">
        <v>2160</v>
      </c>
      <c r="N671" s="149" t="s">
        <v>2157</v>
      </c>
      <c r="O671" s="149" t="s">
        <v>2158</v>
      </c>
      <c r="P671" s="145"/>
      <c r="Q671" s="145"/>
    </row>
    <row r="672" spans="1:17" s="146" customFormat="1" ht="10.5" x14ac:dyDescent="0.25">
      <c r="A672" s="151"/>
      <c r="B672" s="157" t="s">
        <v>2161</v>
      </c>
      <c r="C672" s="160"/>
      <c r="D672" s="161"/>
      <c r="E672" s="161"/>
      <c r="F672" s="161"/>
      <c r="G672" s="161"/>
      <c r="H672" s="161"/>
      <c r="I672" s="161"/>
      <c r="J672" s="161"/>
      <c r="K672" s="161"/>
      <c r="L672" s="161"/>
      <c r="M672" s="161"/>
      <c r="N672" s="161">
        <f>Quantitativos!DJ29</f>
        <v>655.46144029892298</v>
      </c>
      <c r="O672" s="161"/>
      <c r="P672" s="145"/>
      <c r="Q672" s="145"/>
    </row>
    <row r="673" spans="1:17" s="146" customFormat="1" ht="10.5" x14ac:dyDescent="0.25">
      <c r="A673" s="151"/>
      <c r="B673" s="152"/>
      <c r="C673" s="160"/>
      <c r="D673" s="161"/>
      <c r="E673" s="161"/>
      <c r="F673" s="161"/>
      <c r="G673" s="161"/>
      <c r="H673" s="161"/>
      <c r="I673" s="161"/>
      <c r="J673" s="161"/>
      <c r="K673" s="161"/>
      <c r="L673" s="161"/>
      <c r="M673" s="161"/>
      <c r="N673" s="161"/>
      <c r="O673" s="161"/>
      <c r="P673" s="155"/>
      <c r="Q673" s="145"/>
    </row>
    <row r="674" spans="1:17" s="146" customFormat="1" ht="10.5" x14ac:dyDescent="0.25">
      <c r="A674" s="151"/>
      <c r="B674" s="157" t="s">
        <v>377</v>
      </c>
      <c r="C674" s="158" t="s">
        <v>402</v>
      </c>
      <c r="D674" s="158"/>
      <c r="E674" s="158"/>
      <c r="F674" s="158"/>
      <c r="G674" s="158"/>
      <c r="H674" s="158"/>
      <c r="I674" s="158"/>
      <c r="J674" s="158"/>
      <c r="K674" s="158"/>
      <c r="L674" s="158"/>
      <c r="M674" s="158"/>
      <c r="N674" s="158">
        <f>SUM(N672:N673)</f>
        <v>655.46144029892298</v>
      </c>
      <c r="O674" s="158"/>
      <c r="P674" s="159"/>
      <c r="Q674" s="145"/>
    </row>
    <row r="675" spans="1:17" s="150" customFormat="1" ht="42" x14ac:dyDescent="0.25">
      <c r="A675" s="147" t="str">
        <f>ORÇAMENTO!A161</f>
        <v>4.1.2.3.5</v>
      </c>
      <c r="B675" s="148" t="str">
        <f>VLOOKUP(A675,ORÇAMENTO!$A:$F,4,0)</f>
        <v>ESCORAMENTO DE VALA, TIPO BLINDAGEM, COM PROFUNDIDADE DE 1,5 A 3,0 M, LARGURA DE 1,5 A 2,5 M -EXECUÇÃO E FORNECIMENTO, INCLUI MATERIAL (ESCAVAÇÃO INTERNA AO BLINDADO)</v>
      </c>
      <c r="C675" s="149" t="str">
        <f>VLOOKUP(A675,ORÇAMENTO!$A:$F,5,0)</f>
        <v>M²</v>
      </c>
      <c r="D675" s="149">
        <f>SUM(E678:O678)</f>
        <v>655.46144029892298</v>
      </c>
      <c r="E675" s="149" t="s">
        <v>2149</v>
      </c>
      <c r="F675" s="149" t="s">
        <v>2150</v>
      </c>
      <c r="G675" s="149" t="s">
        <v>2151</v>
      </c>
      <c r="H675" s="149" t="s">
        <v>2152</v>
      </c>
      <c r="I675" s="149" t="s">
        <v>2153</v>
      </c>
      <c r="J675" s="149" t="s">
        <v>2154</v>
      </c>
      <c r="K675" s="149" t="s">
        <v>2155</v>
      </c>
      <c r="L675" s="149" t="s">
        <v>2178</v>
      </c>
      <c r="M675" s="149" t="s">
        <v>2160</v>
      </c>
      <c r="N675" s="149" t="s">
        <v>2157</v>
      </c>
      <c r="O675" s="149" t="s">
        <v>2158</v>
      </c>
      <c r="P675" s="145"/>
      <c r="Q675" s="145"/>
    </row>
    <row r="676" spans="1:17" s="146" customFormat="1" ht="10.5" x14ac:dyDescent="0.25">
      <c r="A676" s="151"/>
      <c r="B676" s="157" t="s">
        <v>2161</v>
      </c>
      <c r="C676" s="160"/>
      <c r="D676" s="161"/>
      <c r="E676" s="161"/>
      <c r="F676" s="161"/>
      <c r="G676" s="161"/>
      <c r="H676" s="161"/>
      <c r="I676" s="161"/>
      <c r="J676" s="161"/>
      <c r="K676" s="161"/>
      <c r="L676" s="161"/>
      <c r="M676" s="161"/>
      <c r="N676" s="161">
        <f>Quantitativos!DK29</f>
        <v>655.46144029892298</v>
      </c>
      <c r="O676" s="161"/>
      <c r="P676" s="145"/>
      <c r="Q676" s="145"/>
    </row>
    <row r="677" spans="1:17" s="146" customFormat="1" ht="10.5" x14ac:dyDescent="0.25">
      <c r="A677" s="151"/>
      <c r="B677" s="152"/>
      <c r="C677" s="160"/>
      <c r="D677" s="161"/>
      <c r="E677" s="161"/>
      <c r="F677" s="161"/>
      <c r="G677" s="161"/>
      <c r="H677" s="161"/>
      <c r="I677" s="161"/>
      <c r="J677" s="161"/>
      <c r="K677" s="161"/>
      <c r="L677" s="161"/>
      <c r="M677" s="161"/>
      <c r="N677" s="158"/>
      <c r="O677" s="161"/>
      <c r="P677" s="155"/>
      <c r="Q677" s="145"/>
    </row>
    <row r="678" spans="1:17" s="146" customFormat="1" ht="10.5" x14ac:dyDescent="0.25">
      <c r="A678" s="151"/>
      <c r="B678" s="157" t="s">
        <v>377</v>
      </c>
      <c r="C678" s="158" t="s">
        <v>402</v>
      </c>
      <c r="D678" s="158"/>
      <c r="E678" s="158"/>
      <c r="F678" s="158"/>
      <c r="G678" s="158"/>
      <c r="H678" s="158"/>
      <c r="I678" s="158"/>
      <c r="J678" s="158"/>
      <c r="K678" s="158"/>
      <c r="L678" s="158"/>
      <c r="M678" s="158"/>
      <c r="N678" s="158">
        <f>SUM(N676:N677)</f>
        <v>655.46144029892298</v>
      </c>
      <c r="O678" s="158"/>
      <c r="P678" s="159"/>
      <c r="Q678" s="145"/>
    </row>
    <row r="679" spans="1:17" s="150" customFormat="1" ht="52.5" x14ac:dyDescent="0.25">
      <c r="A679" s="147" t="str">
        <f>ORÇAMENTO!A162</f>
        <v>4.1.2.3.6</v>
      </c>
      <c r="B679" s="148" t="str">
        <f>VLOOKUP(A679,ORÇAMENTO!$A:$F,4,0)</f>
        <v>ESCORAMENTO DE VALA, TIPO BLINDAGEM, COM PROFUNDIDADE DE 3,0 A 4,5 M, LARGURA MAIOR OU IGUAL A 1,5 M EMENOR QUE 2,5 M - EXECUÇÃO E FORNECIMENTO, INCLUI MATERIAL (ESCAVAÇÃO EXTERNA AO BLINDADO)</v>
      </c>
      <c r="C679" s="149" t="str">
        <f>VLOOKUP(A679,ORÇAMENTO!$A:$F,5,0)</f>
        <v>M²</v>
      </c>
      <c r="D679" s="149">
        <f>SUM(E682:O682)</f>
        <v>288.30769353196393</v>
      </c>
      <c r="E679" s="149" t="s">
        <v>2149</v>
      </c>
      <c r="F679" s="149" t="s">
        <v>2150</v>
      </c>
      <c r="G679" s="149" t="s">
        <v>2151</v>
      </c>
      <c r="H679" s="149" t="s">
        <v>2152</v>
      </c>
      <c r="I679" s="149" t="s">
        <v>2153</v>
      </c>
      <c r="J679" s="149" t="s">
        <v>2154</v>
      </c>
      <c r="K679" s="149" t="s">
        <v>2155</v>
      </c>
      <c r="L679" s="149" t="s">
        <v>2178</v>
      </c>
      <c r="M679" s="149" t="s">
        <v>2160</v>
      </c>
      <c r="N679" s="149" t="s">
        <v>2157</v>
      </c>
      <c r="O679" s="149" t="s">
        <v>2158</v>
      </c>
      <c r="P679" s="145"/>
      <c r="Q679" s="145"/>
    </row>
    <row r="680" spans="1:17" s="146" customFormat="1" ht="10.5" x14ac:dyDescent="0.25">
      <c r="A680" s="151"/>
      <c r="B680" s="157"/>
      <c r="C680" s="160"/>
      <c r="D680" s="161"/>
      <c r="E680" s="161"/>
      <c r="F680" s="161"/>
      <c r="G680" s="161"/>
      <c r="H680" s="161"/>
      <c r="I680" s="161"/>
      <c r="J680" s="161"/>
      <c r="K680" s="161"/>
      <c r="L680" s="161"/>
      <c r="M680" s="161"/>
      <c r="N680" s="161">
        <f>Quantitativos!DL29</f>
        <v>288.30769353196393</v>
      </c>
      <c r="O680" s="161"/>
      <c r="P680" s="145"/>
      <c r="Q680" s="145"/>
    </row>
    <row r="681" spans="1:17" s="146" customFormat="1" ht="10.5" x14ac:dyDescent="0.25">
      <c r="A681" s="151"/>
      <c r="B681" s="152"/>
      <c r="C681" s="160"/>
      <c r="D681" s="161"/>
      <c r="E681" s="161"/>
      <c r="F681" s="161"/>
      <c r="G681" s="161"/>
      <c r="H681" s="161"/>
      <c r="I681" s="161"/>
      <c r="J681" s="161"/>
      <c r="K681" s="161"/>
      <c r="L681" s="161"/>
      <c r="M681" s="161"/>
      <c r="N681" s="161"/>
      <c r="O681" s="161"/>
      <c r="P681" s="155"/>
      <c r="Q681" s="145"/>
    </row>
    <row r="682" spans="1:17" s="146" customFormat="1" ht="10.5" x14ac:dyDescent="0.25">
      <c r="A682" s="151"/>
      <c r="B682" s="157" t="s">
        <v>377</v>
      </c>
      <c r="C682" s="158" t="s">
        <v>402</v>
      </c>
      <c r="D682" s="158"/>
      <c r="E682" s="158"/>
      <c r="F682" s="158"/>
      <c r="G682" s="158"/>
      <c r="H682" s="158"/>
      <c r="I682" s="158"/>
      <c r="J682" s="158"/>
      <c r="K682" s="158"/>
      <c r="L682" s="158"/>
      <c r="M682" s="158"/>
      <c r="N682" s="158">
        <f>SUM(N680:N681)</f>
        <v>288.30769353196393</v>
      </c>
      <c r="O682" s="158"/>
      <c r="P682" s="159"/>
      <c r="Q682" s="145"/>
    </row>
    <row r="683" spans="1:17" s="150" customFormat="1" ht="52.5" x14ac:dyDescent="0.25">
      <c r="A683" s="147" t="str">
        <f>ORÇAMENTO!A163</f>
        <v>4.1.2.3.7</v>
      </c>
      <c r="B683" s="148" t="str">
        <f>VLOOKUP(A683,ORÇAMENTO!$A:$F,4,0)</f>
        <v>ESCORAMENTO DE VALA, TIPO BLINDADEM, COM PROFUNDIDADE DE 0 A 1,5 M, LARGURA MAIOR OU IGUAL A 2,5 M EMENOR QUE 3,5 M - EXECUÇÃO E FORNECIMENTO, INCLUI MATERIAL (ESCAVAÇÃO EXTERNA AO BLINDADO)</v>
      </c>
      <c r="C683" s="149" t="str">
        <f>VLOOKUP(A683,ORÇAMENTO!$A:$F,5,0)</f>
        <v>M²</v>
      </c>
      <c r="D683" s="149">
        <f>SUM(E686:O686)</f>
        <v>863.04000000000019</v>
      </c>
      <c r="E683" s="149" t="s">
        <v>2149</v>
      </c>
      <c r="F683" s="149" t="s">
        <v>2150</v>
      </c>
      <c r="G683" s="149" t="s">
        <v>2151</v>
      </c>
      <c r="H683" s="149" t="s">
        <v>2152</v>
      </c>
      <c r="I683" s="149" t="s">
        <v>2153</v>
      </c>
      <c r="J683" s="149" t="s">
        <v>2154</v>
      </c>
      <c r="K683" s="149" t="s">
        <v>2155</v>
      </c>
      <c r="L683" s="149" t="s">
        <v>2178</v>
      </c>
      <c r="M683" s="149" t="s">
        <v>2160</v>
      </c>
      <c r="N683" s="149" t="s">
        <v>2157</v>
      </c>
      <c r="O683" s="149" t="s">
        <v>2158</v>
      </c>
      <c r="P683" s="145"/>
      <c r="Q683" s="145"/>
    </row>
    <row r="684" spans="1:17" s="146" customFormat="1" ht="10.5" x14ac:dyDescent="0.25">
      <c r="A684" s="151"/>
      <c r="B684" s="157"/>
      <c r="C684" s="160"/>
      <c r="D684" s="161"/>
      <c r="E684" s="161"/>
      <c r="F684" s="161"/>
      <c r="G684" s="161"/>
      <c r="H684" s="161"/>
      <c r="I684" s="161"/>
      <c r="J684" s="161"/>
      <c r="K684" s="161"/>
      <c r="L684" s="161"/>
      <c r="M684" s="161"/>
      <c r="N684" s="161">
        <f>Quantitativos!DM29</f>
        <v>863.04000000000019</v>
      </c>
      <c r="O684" s="161"/>
      <c r="P684" s="145"/>
      <c r="Q684" s="145"/>
    </row>
    <row r="685" spans="1:17" s="146" customFormat="1" ht="10.5" x14ac:dyDescent="0.25">
      <c r="A685" s="151"/>
      <c r="B685" s="152"/>
      <c r="C685" s="160"/>
      <c r="D685" s="161"/>
      <c r="E685" s="161"/>
      <c r="F685" s="161"/>
      <c r="G685" s="161"/>
      <c r="H685" s="161"/>
      <c r="I685" s="161"/>
      <c r="J685" s="161"/>
      <c r="K685" s="161"/>
      <c r="L685" s="161"/>
      <c r="M685" s="161"/>
      <c r="N685" s="161"/>
      <c r="O685" s="161"/>
      <c r="P685" s="155"/>
      <c r="Q685" s="145"/>
    </row>
    <row r="686" spans="1:17" s="146" customFormat="1" ht="10.5" x14ac:dyDescent="0.25">
      <c r="A686" s="151"/>
      <c r="B686" s="157" t="s">
        <v>377</v>
      </c>
      <c r="C686" s="158" t="s">
        <v>402</v>
      </c>
      <c r="D686" s="158"/>
      <c r="E686" s="158"/>
      <c r="F686" s="158"/>
      <c r="G686" s="158"/>
      <c r="H686" s="158"/>
      <c r="I686" s="158"/>
      <c r="J686" s="158"/>
      <c r="K686" s="158"/>
      <c r="L686" s="158"/>
      <c r="M686" s="158"/>
      <c r="N686" s="158">
        <f>SUM(N684:N685)</f>
        <v>863.04000000000019</v>
      </c>
      <c r="O686" s="158"/>
      <c r="P686" s="159"/>
      <c r="Q686" s="145"/>
    </row>
    <row r="687" spans="1:17" s="150" customFormat="1" ht="42" x14ac:dyDescent="0.25">
      <c r="A687" s="147" t="str">
        <f>ORÇAMENTO!A164</f>
        <v>4.1.2.3.8</v>
      </c>
      <c r="B687" s="148" t="str">
        <f>VLOOKUP(A687,ORÇAMENTO!$A:$F,4,0)</f>
        <v>ESCORAMENTO DE VALA, TIPO BLINDAGEM, COM PROFUNDIDADE DE 1,5 A 3,0 M, LARGURA DE 2,5 A 3,5 M -EXECUÇÃO E FORNECIMENTO, INCLUI MATERIAL (ESCAVAÇÃO INTERNA AO BLINDADO)</v>
      </c>
      <c r="C687" s="149" t="str">
        <f>VLOOKUP(A687,ORÇAMENTO!$A:$F,5,0)</f>
        <v>M²</v>
      </c>
      <c r="D687" s="149">
        <f>SUM(E690:O690)</f>
        <v>863.04000000000019</v>
      </c>
      <c r="E687" s="149" t="s">
        <v>2149</v>
      </c>
      <c r="F687" s="149" t="s">
        <v>2150</v>
      </c>
      <c r="G687" s="149" t="s">
        <v>2151</v>
      </c>
      <c r="H687" s="149" t="s">
        <v>2152</v>
      </c>
      <c r="I687" s="149" t="s">
        <v>2153</v>
      </c>
      <c r="J687" s="149" t="s">
        <v>2154</v>
      </c>
      <c r="K687" s="149" t="s">
        <v>2155</v>
      </c>
      <c r="L687" s="149" t="s">
        <v>2178</v>
      </c>
      <c r="M687" s="149" t="s">
        <v>2160</v>
      </c>
      <c r="N687" s="149" t="s">
        <v>2157</v>
      </c>
      <c r="O687" s="149" t="s">
        <v>2158</v>
      </c>
      <c r="P687" s="145"/>
      <c r="Q687" s="145"/>
    </row>
    <row r="688" spans="1:17" s="146" customFormat="1" ht="10.5" x14ac:dyDescent="0.25">
      <c r="A688" s="151"/>
      <c r="B688" s="157"/>
      <c r="C688" s="160"/>
      <c r="D688" s="161"/>
      <c r="E688" s="161"/>
      <c r="F688" s="161"/>
      <c r="G688" s="161"/>
      <c r="H688" s="161"/>
      <c r="I688" s="161"/>
      <c r="J688" s="161"/>
      <c r="K688" s="161"/>
      <c r="L688" s="161"/>
      <c r="M688" s="161"/>
      <c r="N688" s="161">
        <f>Quantitativos!DN29</f>
        <v>863.04000000000019</v>
      </c>
      <c r="O688" s="161"/>
      <c r="P688" s="145"/>
      <c r="Q688" s="145"/>
    </row>
    <row r="689" spans="1:17" s="146" customFormat="1" ht="10.5" x14ac:dyDescent="0.25">
      <c r="A689" s="151"/>
      <c r="B689" s="152"/>
      <c r="C689" s="160"/>
      <c r="D689" s="161"/>
      <c r="E689" s="161"/>
      <c r="F689" s="161"/>
      <c r="G689" s="161"/>
      <c r="H689" s="161"/>
      <c r="I689" s="161"/>
      <c r="J689" s="161"/>
      <c r="K689" s="161"/>
      <c r="L689" s="161"/>
      <c r="M689" s="161"/>
      <c r="N689" s="161"/>
      <c r="O689" s="161"/>
      <c r="P689" s="155"/>
      <c r="Q689" s="145"/>
    </row>
    <row r="690" spans="1:17" s="146" customFormat="1" ht="10.5" x14ac:dyDescent="0.25">
      <c r="A690" s="151"/>
      <c r="B690" s="157" t="s">
        <v>377</v>
      </c>
      <c r="C690" s="158" t="s">
        <v>402</v>
      </c>
      <c r="D690" s="158"/>
      <c r="E690" s="158"/>
      <c r="F690" s="158"/>
      <c r="G690" s="158"/>
      <c r="H690" s="158"/>
      <c r="I690" s="158"/>
      <c r="J690" s="158"/>
      <c r="K690" s="158"/>
      <c r="L690" s="158"/>
      <c r="M690" s="158"/>
      <c r="N690" s="158">
        <f>SUM(N688:N689)</f>
        <v>863.04000000000019</v>
      </c>
      <c r="O690" s="158"/>
      <c r="P690" s="159"/>
      <c r="Q690" s="145"/>
    </row>
    <row r="691" spans="1:17" s="150" customFormat="1" ht="52.5" x14ac:dyDescent="0.25">
      <c r="A691" s="147" t="str">
        <f>ORÇAMENTO!A165</f>
        <v>4.1.2.3.9</v>
      </c>
      <c r="B691" s="148" t="str">
        <f>VLOOKUP(A691,ORÇAMENTO!$A:$F,4,0)</f>
        <v>ESCORAMENTO DE VALA, TIPO BLINDAGEM, COM PROFUNDIDADE DE 3,0 A 4,5 M, LARGURA MAIOR OU IGUAL A 2,5 M EMENOR QUE 3,5 M - EXECUÇÃO E FORNECIMENTO, INCLUI MATERIAL (ESCAVAÇÃO EXTERNA AO BLINDADO)</v>
      </c>
      <c r="C691" s="149" t="str">
        <f>VLOOKUP(A691,ORÇAMENTO!$A:$F,5,0)</f>
        <v>M²</v>
      </c>
      <c r="D691" s="149">
        <f>SUM(E694:O694)</f>
        <v>426.38099999999997</v>
      </c>
      <c r="E691" s="149" t="s">
        <v>2149</v>
      </c>
      <c r="F691" s="149" t="s">
        <v>2150</v>
      </c>
      <c r="G691" s="149" t="s">
        <v>2151</v>
      </c>
      <c r="H691" s="149" t="s">
        <v>2152</v>
      </c>
      <c r="I691" s="149" t="s">
        <v>2153</v>
      </c>
      <c r="J691" s="149" t="s">
        <v>2154</v>
      </c>
      <c r="K691" s="149" t="s">
        <v>2155</v>
      </c>
      <c r="L691" s="149" t="s">
        <v>2178</v>
      </c>
      <c r="M691" s="149" t="s">
        <v>2160</v>
      </c>
      <c r="N691" s="149" t="s">
        <v>2157</v>
      </c>
      <c r="O691" s="149" t="s">
        <v>2158</v>
      </c>
      <c r="P691" s="145"/>
      <c r="Q691" s="145"/>
    </row>
    <row r="692" spans="1:17" s="146" customFormat="1" ht="10.5" x14ac:dyDescent="0.25">
      <c r="A692" s="151"/>
      <c r="B692" s="157"/>
      <c r="C692" s="160"/>
      <c r="D692" s="161"/>
      <c r="E692" s="161"/>
      <c r="F692" s="161"/>
      <c r="G692" s="161"/>
      <c r="H692" s="161"/>
      <c r="I692" s="161"/>
      <c r="J692" s="161"/>
      <c r="K692" s="161"/>
      <c r="L692" s="161"/>
      <c r="M692" s="161"/>
      <c r="N692" s="161">
        <f>Quantitativos!DO29</f>
        <v>426.38099999999997</v>
      </c>
      <c r="O692" s="161"/>
      <c r="P692" s="145"/>
      <c r="Q692" s="145"/>
    </row>
    <row r="693" spans="1:17" s="146" customFormat="1" ht="10.5" x14ac:dyDescent="0.25">
      <c r="A693" s="151"/>
      <c r="B693" s="152"/>
      <c r="C693" s="160"/>
      <c r="D693" s="161"/>
      <c r="E693" s="161"/>
      <c r="F693" s="161"/>
      <c r="G693" s="161"/>
      <c r="H693" s="161"/>
      <c r="I693" s="161"/>
      <c r="J693" s="161"/>
      <c r="K693" s="161"/>
      <c r="L693" s="161"/>
      <c r="M693" s="161"/>
      <c r="N693" s="161"/>
      <c r="O693" s="161"/>
      <c r="P693" s="155"/>
      <c r="Q693" s="145"/>
    </row>
    <row r="694" spans="1:17" s="146" customFormat="1" ht="10.5" x14ac:dyDescent="0.25">
      <c r="A694" s="151"/>
      <c r="B694" s="157" t="s">
        <v>377</v>
      </c>
      <c r="C694" s="158" t="s">
        <v>402</v>
      </c>
      <c r="D694" s="158"/>
      <c r="E694" s="158"/>
      <c r="F694" s="158"/>
      <c r="G694" s="158"/>
      <c r="H694" s="158"/>
      <c r="I694" s="158"/>
      <c r="J694" s="158"/>
      <c r="K694" s="158"/>
      <c r="L694" s="158"/>
      <c r="M694" s="158"/>
      <c r="N694" s="158">
        <f>SUM(N692:N693)</f>
        <v>426.38099999999997</v>
      </c>
      <c r="O694" s="158"/>
      <c r="P694" s="159"/>
      <c r="Q694" s="145"/>
    </row>
    <row r="695" spans="1:17" s="146" customFormat="1" ht="10.5" x14ac:dyDescent="0.25">
      <c r="A695" s="141" t="str">
        <f>ORÇAMENTO!A154</f>
        <v>4.1.2.2</v>
      </c>
      <c r="B695" s="142" t="str">
        <f>VLOOKUP(A695,ORÇAMENTO!$A:$F,4,0)</f>
        <v>ESGOTAMENTO DE VALAS</v>
      </c>
      <c r="C695" s="143"/>
      <c r="D695" s="143"/>
      <c r="E695" s="144"/>
      <c r="F695" s="144"/>
      <c r="G695" s="144"/>
      <c r="H695" s="144"/>
      <c r="I695" s="144"/>
      <c r="J695" s="144"/>
      <c r="K695" s="144"/>
      <c r="L695" s="144"/>
      <c r="M695" s="144"/>
      <c r="N695" s="144"/>
      <c r="O695" s="144"/>
      <c r="P695" s="145"/>
      <c r="Q695" s="145"/>
    </row>
    <row r="696" spans="1:17" s="150" customFormat="1" ht="21" x14ac:dyDescent="0.25">
      <c r="A696" s="147" t="str">
        <f>ORÇAMENTO!A155</f>
        <v>4.1.2.2.1</v>
      </c>
      <c r="B696" s="148" t="str">
        <f>VLOOKUP(A696,ORÇAMENTO!$A:$F,4,0)</f>
        <v>ESGOTAMENTO DE ÁGUA COM BOMBA SUBMERSA</v>
      </c>
      <c r="C696" s="149" t="str">
        <f>VLOOKUP(A696,ORÇAMENTO!$A:$F,5,0)</f>
        <v>H</v>
      </c>
      <c r="D696" s="149">
        <f>SUM(E699:O699)</f>
        <v>6.2122666666666194E-2</v>
      </c>
      <c r="E696" s="149" t="s">
        <v>2149</v>
      </c>
      <c r="F696" s="149" t="s">
        <v>2150</v>
      </c>
      <c r="G696" s="149" t="s">
        <v>2151</v>
      </c>
      <c r="H696" s="149" t="s">
        <v>2152</v>
      </c>
      <c r="I696" s="149" t="s">
        <v>2153</v>
      </c>
      <c r="J696" s="149" t="s">
        <v>2154</v>
      </c>
      <c r="K696" s="149" t="s">
        <v>2155</v>
      </c>
      <c r="L696" s="149" t="s">
        <v>2178</v>
      </c>
      <c r="M696" s="149" t="s">
        <v>2160</v>
      </c>
      <c r="N696" s="149" t="s">
        <v>2157</v>
      </c>
      <c r="O696" s="149" t="s">
        <v>2158</v>
      </c>
      <c r="P696" s="145"/>
      <c r="Q696" s="145"/>
    </row>
    <row r="697" spans="1:17" s="146" customFormat="1" ht="10.5" x14ac:dyDescent="0.25">
      <c r="A697" s="151"/>
      <c r="B697" s="157" t="str">
        <f>Quantitativos!AS4</f>
        <v>ESGOTAMENTO</v>
      </c>
      <c r="C697" s="160"/>
      <c r="D697" s="161"/>
      <c r="E697" s="161"/>
      <c r="F697" s="161"/>
      <c r="G697" s="161"/>
      <c r="H697" s="161"/>
      <c r="I697" s="161"/>
      <c r="J697" s="161"/>
      <c r="K697" s="161"/>
      <c r="L697" s="161"/>
      <c r="M697" s="161"/>
      <c r="N697" s="161"/>
      <c r="O697" s="161">
        <f>Quantitativos!AS29</f>
        <v>6.2122666666666194E-2</v>
      </c>
      <c r="P697" s="145"/>
      <c r="Q697" s="145"/>
    </row>
    <row r="698" spans="1:17" s="146" customFormat="1" ht="10.5" x14ac:dyDescent="0.25">
      <c r="A698" s="151"/>
      <c r="B698" s="152"/>
      <c r="C698" s="160"/>
      <c r="D698" s="161"/>
      <c r="E698" s="161"/>
      <c r="F698" s="161"/>
      <c r="G698" s="161"/>
      <c r="H698" s="161"/>
      <c r="I698" s="161"/>
      <c r="J698" s="161"/>
      <c r="K698" s="161"/>
      <c r="L698" s="161"/>
      <c r="M698" s="161"/>
      <c r="N698" s="161"/>
      <c r="O698" s="161"/>
      <c r="P698" s="155"/>
      <c r="Q698" s="145"/>
    </row>
    <row r="699" spans="1:17" s="146" customFormat="1" ht="10.5" x14ac:dyDescent="0.25">
      <c r="A699" s="151"/>
      <c r="B699" s="157" t="s">
        <v>377</v>
      </c>
      <c r="C699" s="158" t="s">
        <v>402</v>
      </c>
      <c r="D699" s="158"/>
      <c r="E699" s="158"/>
      <c r="F699" s="158"/>
      <c r="G699" s="158"/>
      <c r="H699" s="158"/>
      <c r="I699" s="158"/>
      <c r="J699" s="158"/>
      <c r="K699" s="158"/>
      <c r="L699" s="158"/>
      <c r="M699" s="158"/>
      <c r="N699" s="158"/>
      <c r="O699" s="158">
        <f>SUM(O697:O698)</f>
        <v>6.2122666666666194E-2</v>
      </c>
      <c r="P699" s="159"/>
      <c r="Q699" s="145"/>
    </row>
    <row r="700" spans="1:17" s="146" customFormat="1" ht="21" x14ac:dyDescent="0.25">
      <c r="A700" s="141" t="str">
        <f>ORÇAMENTO!A166</f>
        <v>4.1.2.4</v>
      </c>
      <c r="B700" s="142" t="str">
        <f>VLOOKUP(A700,ORÇAMENTO!$A:$F,4,0)</f>
        <v>PREENCHIMENTO DE VALAS E ASSENTAMENTO DE TUBOS</v>
      </c>
      <c r="C700" s="143"/>
      <c r="D700" s="143"/>
      <c r="E700" s="144"/>
      <c r="F700" s="144"/>
      <c r="G700" s="144"/>
      <c r="H700" s="144"/>
      <c r="I700" s="144"/>
      <c r="J700" s="144"/>
      <c r="K700" s="144"/>
      <c r="L700" s="144"/>
      <c r="M700" s="144"/>
      <c r="N700" s="144"/>
      <c r="O700" s="144"/>
      <c r="P700" s="145"/>
      <c r="Q700" s="145"/>
    </row>
    <row r="701" spans="1:17" s="150" customFormat="1" ht="31.5" x14ac:dyDescent="0.25">
      <c r="A701" s="147" t="str">
        <f>ORÇAMENTO!A167</f>
        <v>4.1.2.4.1</v>
      </c>
      <c r="B701" s="148" t="str">
        <f>VLOOKUP(A701,ORÇAMENTO!$A:$F,4,0)</f>
        <v>PREPARO DE FUNDO DE VALA COM LARGURA MENOR QUE 1,5 M, COM CAMADA DE BRITA, LANÇAMENTO MECANIZADO. AF_08/2020</v>
      </c>
      <c r="C701" s="149" t="str">
        <f>VLOOKUP(A701,ORÇAMENTO!$A:$F,5,0)</f>
        <v>M³</v>
      </c>
      <c r="D701" s="149">
        <f>SUM(E704:O704)</f>
        <v>34.439497173965457</v>
      </c>
      <c r="E701" s="149" t="s">
        <v>2149</v>
      </c>
      <c r="F701" s="149" t="s">
        <v>2150</v>
      </c>
      <c r="G701" s="149" t="s">
        <v>2151</v>
      </c>
      <c r="H701" s="149" t="s">
        <v>2152</v>
      </c>
      <c r="I701" s="149" t="s">
        <v>2153</v>
      </c>
      <c r="J701" s="149" t="s">
        <v>2154</v>
      </c>
      <c r="K701" s="149" t="s">
        <v>2155</v>
      </c>
      <c r="L701" s="149" t="s">
        <v>2178</v>
      </c>
      <c r="M701" s="149" t="s">
        <v>2160</v>
      </c>
      <c r="N701" s="149" t="s">
        <v>2157</v>
      </c>
      <c r="O701" s="149" t="s">
        <v>2158</v>
      </c>
      <c r="P701" s="145"/>
      <c r="Q701" s="145"/>
    </row>
    <row r="702" spans="1:17" s="146" customFormat="1" ht="10.5" x14ac:dyDescent="0.25">
      <c r="A702" s="151"/>
      <c r="B702" s="157" t="s">
        <v>2125</v>
      </c>
      <c r="C702" s="153"/>
      <c r="D702" s="154"/>
      <c r="E702" s="154"/>
      <c r="F702" s="154"/>
      <c r="G702" s="154"/>
      <c r="H702" s="154"/>
      <c r="I702" s="154"/>
      <c r="J702" s="154"/>
      <c r="K702" s="154"/>
      <c r="L702" s="154"/>
      <c r="M702" s="154"/>
      <c r="N702" s="154"/>
      <c r="O702" s="154">
        <f>Quantitativos!AU29</f>
        <v>34.439497173965457</v>
      </c>
      <c r="P702" s="145"/>
      <c r="Q702" s="145"/>
    </row>
    <row r="703" spans="1:17" s="146" customFormat="1" ht="10.5" x14ac:dyDescent="0.25">
      <c r="A703" s="151"/>
      <c r="B703" s="152"/>
      <c r="C703" s="153"/>
      <c r="D703" s="154"/>
      <c r="E703" s="154"/>
      <c r="F703" s="154"/>
      <c r="G703" s="154"/>
      <c r="H703" s="154"/>
      <c r="I703" s="154"/>
      <c r="J703" s="154"/>
      <c r="K703" s="154"/>
      <c r="L703" s="154"/>
      <c r="M703" s="154"/>
      <c r="N703" s="154"/>
      <c r="O703" s="154"/>
      <c r="P703" s="155"/>
      <c r="Q703" s="145"/>
    </row>
    <row r="704" spans="1:17" s="146" customFormat="1" ht="10.5" x14ac:dyDescent="0.25">
      <c r="A704" s="151"/>
      <c r="B704" s="157" t="s">
        <v>377</v>
      </c>
      <c r="C704" s="158" t="s">
        <v>402</v>
      </c>
      <c r="D704" s="158"/>
      <c r="E704" s="158"/>
      <c r="F704" s="158"/>
      <c r="G704" s="158"/>
      <c r="H704" s="158"/>
      <c r="I704" s="158"/>
      <c r="J704" s="158"/>
      <c r="K704" s="158"/>
      <c r="L704" s="158"/>
      <c r="M704" s="158"/>
      <c r="N704" s="158"/>
      <c r="O704" s="158">
        <f>SUM(O702:O703)</f>
        <v>34.439497173965457</v>
      </c>
      <c r="P704" s="159"/>
      <c r="Q704" s="145"/>
    </row>
    <row r="705" spans="1:17" s="150" customFormat="1" ht="42" x14ac:dyDescent="0.25">
      <c r="A705" s="147" t="str">
        <f>ORÇAMENTO!A168</f>
        <v>4.1.2.4.2</v>
      </c>
      <c r="B705" s="148" t="str">
        <f>VLOOKUP(A705,ORÇAMENTO!$A:$F,4,0)</f>
        <v>PREPARO DE FUNDO DE VALA COM LARGURA MAIOR OU IGUAL A 1,5 M E MENOR QUE 2,5 M, COM CAMADA DE BRITA, LANÇAMENTO MECANIZADO. AF_08/2020</v>
      </c>
      <c r="C705" s="149" t="str">
        <f>VLOOKUP(A705,ORÇAMENTO!$A:$F,5,0)</f>
        <v>M³</v>
      </c>
      <c r="D705" s="149">
        <f>SUM(E708:O708)</f>
        <v>219.48584402989229</v>
      </c>
      <c r="E705" s="149" t="s">
        <v>2149</v>
      </c>
      <c r="F705" s="149" t="s">
        <v>2150</v>
      </c>
      <c r="G705" s="149" t="s">
        <v>2151</v>
      </c>
      <c r="H705" s="149" t="s">
        <v>2152</v>
      </c>
      <c r="I705" s="149" t="s">
        <v>2153</v>
      </c>
      <c r="J705" s="149" t="s">
        <v>2154</v>
      </c>
      <c r="K705" s="149" t="s">
        <v>2155</v>
      </c>
      <c r="L705" s="149" t="s">
        <v>2178</v>
      </c>
      <c r="M705" s="149" t="s">
        <v>2160</v>
      </c>
      <c r="N705" s="149" t="s">
        <v>2157</v>
      </c>
      <c r="O705" s="149" t="s">
        <v>2158</v>
      </c>
      <c r="P705" s="145"/>
      <c r="Q705" s="145"/>
    </row>
    <row r="706" spans="1:17" s="146" customFormat="1" ht="10.5" x14ac:dyDescent="0.25">
      <c r="A706" s="151"/>
      <c r="B706" s="157" t="s">
        <v>2125</v>
      </c>
      <c r="C706" s="160"/>
      <c r="D706" s="161"/>
      <c r="E706" s="161"/>
      <c r="F706" s="161"/>
      <c r="G706" s="161"/>
      <c r="H706" s="161"/>
      <c r="I706" s="161"/>
      <c r="J706" s="161"/>
      <c r="K706" s="161"/>
      <c r="L706" s="161"/>
      <c r="M706" s="161"/>
      <c r="N706" s="161"/>
      <c r="O706" s="161">
        <f>Quantitativos!AV29</f>
        <v>219.48584402989229</v>
      </c>
      <c r="P706" s="145"/>
      <c r="Q706" s="145"/>
    </row>
    <row r="707" spans="1:17" s="146" customFormat="1" ht="10.5" x14ac:dyDescent="0.25">
      <c r="A707" s="151"/>
      <c r="B707" s="152"/>
      <c r="C707" s="160"/>
      <c r="D707" s="161"/>
      <c r="E707" s="161"/>
      <c r="F707" s="161"/>
      <c r="G707" s="161"/>
      <c r="H707" s="161"/>
      <c r="I707" s="161"/>
      <c r="J707" s="161"/>
      <c r="K707" s="161"/>
      <c r="L707" s="161"/>
      <c r="M707" s="161"/>
      <c r="N707" s="161"/>
      <c r="O707" s="161"/>
      <c r="P707" s="155"/>
      <c r="Q707" s="145"/>
    </row>
    <row r="708" spans="1:17" s="146" customFormat="1" ht="10.5" x14ac:dyDescent="0.25">
      <c r="A708" s="151"/>
      <c r="B708" s="157" t="s">
        <v>377</v>
      </c>
      <c r="C708" s="158" t="s">
        <v>402</v>
      </c>
      <c r="D708" s="158"/>
      <c r="E708" s="158"/>
      <c r="F708" s="158"/>
      <c r="G708" s="158"/>
      <c r="H708" s="158"/>
      <c r="I708" s="158"/>
      <c r="J708" s="158"/>
      <c r="K708" s="158"/>
      <c r="L708" s="158"/>
      <c r="M708" s="158"/>
      <c r="N708" s="158"/>
      <c r="O708" s="158">
        <f>SUM(O706:O707)</f>
        <v>219.48584402989229</v>
      </c>
      <c r="P708" s="159"/>
      <c r="Q708" s="145"/>
    </row>
    <row r="709" spans="1:17" s="150" customFormat="1" ht="52.5" x14ac:dyDescent="0.25">
      <c r="A709" s="147" t="str">
        <f>ORÇAMENTO!A169</f>
        <v>4.1.2.4.3</v>
      </c>
      <c r="B709" s="148" t="str">
        <f>VLOOKUP(A709,ORÇAMENTO!$A:$F,4,0)</f>
        <v>EXECUÇÃO E COMPACTAÇÃO DE BASE E OU SUB BASE PARA PAVIMENTAÇÃO DE SOLO (PREDOMINANTEMENTE ARENOSO) COM CAL (TEOR DE 4%) - EXCLUSIVE SOLO, ESCAVAÇÃO, CARGA E TRANSPORTE.</v>
      </c>
      <c r="C709" s="149" t="str">
        <f>VLOOKUP(A709,ORÇAMENTO!$A:$F,5,0)</f>
        <v>M³</v>
      </c>
      <c r="D709" s="149">
        <f>SUM(E712:O712)</f>
        <v>233.74668979084049</v>
      </c>
      <c r="E709" s="149" t="s">
        <v>2149</v>
      </c>
      <c r="F709" s="149" t="s">
        <v>2150</v>
      </c>
      <c r="G709" s="149" t="s">
        <v>2151</v>
      </c>
      <c r="H709" s="149" t="s">
        <v>2152</v>
      </c>
      <c r="I709" s="149" t="s">
        <v>2153</v>
      </c>
      <c r="J709" s="149" t="s">
        <v>2154</v>
      </c>
      <c r="K709" s="149" t="s">
        <v>2155</v>
      </c>
      <c r="L709" s="149" t="s">
        <v>2178</v>
      </c>
      <c r="M709" s="149" t="s">
        <v>2160</v>
      </c>
      <c r="N709" s="149" t="s">
        <v>2157</v>
      </c>
      <c r="O709" s="149" t="s">
        <v>2158</v>
      </c>
      <c r="P709" s="145"/>
      <c r="Q709" s="145"/>
    </row>
    <row r="710" spans="1:17" s="146" customFormat="1" ht="10.5" x14ac:dyDescent="0.25">
      <c r="A710" s="151"/>
      <c r="B710" s="157" t="s">
        <v>2125</v>
      </c>
      <c r="C710" s="160"/>
      <c r="D710" s="161"/>
      <c r="E710" s="161"/>
      <c r="F710" s="161"/>
      <c r="G710" s="161"/>
      <c r="H710" s="161"/>
      <c r="I710" s="161"/>
      <c r="J710" s="161"/>
      <c r="K710" s="161"/>
      <c r="L710" s="161"/>
      <c r="M710" s="161"/>
      <c r="N710" s="161"/>
      <c r="O710" s="161"/>
      <c r="P710" s="145"/>
      <c r="Q710" s="145"/>
    </row>
    <row r="711" spans="1:17" s="146" customFormat="1" ht="21" x14ac:dyDescent="0.25">
      <c r="A711" s="151"/>
      <c r="B711" s="152" t="s">
        <v>2212</v>
      </c>
      <c r="C711" s="160"/>
      <c r="D711" s="161"/>
      <c r="E711" s="161"/>
      <c r="F711" s="161"/>
      <c r="G711" s="161"/>
      <c r="H711" s="161"/>
      <c r="I711" s="161"/>
      <c r="J711" s="161"/>
      <c r="K711" s="161"/>
      <c r="L711" s="161"/>
      <c r="M711" s="161"/>
      <c r="N711" s="161"/>
      <c r="O711" s="161">
        <f>Quantitativos!BB29</f>
        <v>233.74668979084049</v>
      </c>
      <c r="P711" s="155"/>
      <c r="Q711" s="145"/>
    </row>
    <row r="712" spans="1:17" s="146" customFormat="1" ht="10.5" x14ac:dyDescent="0.25">
      <c r="A712" s="151"/>
      <c r="B712" s="157" t="s">
        <v>377</v>
      </c>
      <c r="C712" s="158" t="s">
        <v>402</v>
      </c>
      <c r="D712" s="158"/>
      <c r="E712" s="158"/>
      <c r="F712" s="158"/>
      <c r="G712" s="158"/>
      <c r="H712" s="158"/>
      <c r="I712" s="158"/>
      <c r="J712" s="158"/>
      <c r="K712" s="158"/>
      <c r="L712" s="158"/>
      <c r="M712" s="158"/>
      <c r="N712" s="158"/>
      <c r="O712" s="158">
        <f>SUM(O710:O711)</f>
        <v>233.74668979084049</v>
      </c>
      <c r="P712" s="159"/>
      <c r="Q712" s="145"/>
    </row>
    <row r="713" spans="1:17" s="150" customFormat="1" ht="21" x14ac:dyDescent="0.25">
      <c r="A713" s="147" t="str">
        <f>ORÇAMENTO!A170</f>
        <v>4.1.2.4.4</v>
      </c>
      <c r="B713" s="148" t="str">
        <f>VLOOKUP(A713,ORÇAMENTO!$A:$F,4,0)</f>
        <v>BASE OU SUB-BASE DE BRITA GRADUADA COM BRITA COMERCIAL</v>
      </c>
      <c r="C713" s="149" t="str">
        <f>VLOOKUP(A713,ORÇAMENTO!$A:$F,5,0)</f>
        <v>M³</v>
      </c>
      <c r="D713" s="149">
        <f>SUM(E716:O716)</f>
        <v>233.74668979084049</v>
      </c>
      <c r="E713" s="149" t="s">
        <v>2149</v>
      </c>
      <c r="F713" s="149" t="s">
        <v>2150</v>
      </c>
      <c r="G713" s="149" t="s">
        <v>2151</v>
      </c>
      <c r="H713" s="149" t="s">
        <v>2152</v>
      </c>
      <c r="I713" s="149" t="s">
        <v>2153</v>
      </c>
      <c r="J713" s="149" t="s">
        <v>2154</v>
      </c>
      <c r="K713" s="149" t="s">
        <v>2155</v>
      </c>
      <c r="L713" s="149" t="s">
        <v>2178</v>
      </c>
      <c r="M713" s="149" t="s">
        <v>2160</v>
      </c>
      <c r="N713" s="149" t="s">
        <v>2157</v>
      </c>
      <c r="O713" s="149" t="s">
        <v>2158</v>
      </c>
      <c r="P713" s="145"/>
      <c r="Q713" s="145"/>
    </row>
    <row r="714" spans="1:17" s="146" customFormat="1" ht="10.5" x14ac:dyDescent="0.25">
      <c r="A714" s="151"/>
      <c r="B714" s="157" t="s">
        <v>2125</v>
      </c>
      <c r="C714" s="160"/>
      <c r="D714" s="161"/>
      <c r="E714" s="161"/>
      <c r="F714" s="161"/>
      <c r="G714" s="161"/>
      <c r="H714" s="161"/>
      <c r="I714" s="161"/>
      <c r="J714" s="161"/>
      <c r="K714" s="161"/>
      <c r="L714" s="161"/>
      <c r="M714" s="161"/>
      <c r="N714" s="161"/>
      <c r="O714" s="161"/>
      <c r="P714" s="145"/>
      <c r="Q714" s="145"/>
    </row>
    <row r="715" spans="1:17" s="146" customFormat="1" ht="21" x14ac:dyDescent="0.25">
      <c r="A715" s="151"/>
      <c r="B715" s="152" t="s">
        <v>2212</v>
      </c>
      <c r="C715" s="160"/>
      <c r="D715" s="161"/>
      <c r="E715" s="161"/>
      <c r="F715" s="161"/>
      <c r="G715" s="161"/>
      <c r="H715" s="161"/>
      <c r="I715" s="161"/>
      <c r="J715" s="161"/>
      <c r="K715" s="161"/>
      <c r="L715" s="161"/>
      <c r="M715" s="161"/>
      <c r="N715" s="161"/>
      <c r="O715" s="161">
        <f>Quantitativos!BC29</f>
        <v>233.74668979084049</v>
      </c>
      <c r="P715" s="155"/>
      <c r="Q715" s="145"/>
    </row>
    <row r="716" spans="1:17" s="146" customFormat="1" ht="10.5" x14ac:dyDescent="0.25">
      <c r="A716" s="151"/>
      <c r="B716" s="157" t="s">
        <v>377</v>
      </c>
      <c r="C716" s="158" t="s">
        <v>402</v>
      </c>
      <c r="D716" s="158"/>
      <c r="E716" s="158"/>
      <c r="F716" s="158"/>
      <c r="G716" s="158"/>
      <c r="H716" s="158"/>
      <c r="I716" s="158"/>
      <c r="J716" s="158"/>
      <c r="K716" s="158"/>
      <c r="L716" s="158"/>
      <c r="M716" s="158"/>
      <c r="N716" s="158"/>
      <c r="O716" s="158">
        <f>SUM(O714:O715)</f>
        <v>233.74668979084049</v>
      </c>
      <c r="P716" s="159"/>
      <c r="Q716" s="145"/>
    </row>
    <row r="717" spans="1:17" s="150" customFormat="1" ht="21" x14ac:dyDescent="0.25">
      <c r="A717" s="147" t="str">
        <f>ORÇAMENTO!A171</f>
        <v>4.1.2.4.5</v>
      </c>
      <c r="B717" s="148" t="str">
        <f>VLOOKUP(A717,ORÇAMENTO!$A:$F,4,0)</f>
        <v>PINTURA DE LIGAÇÃO (SEM MATERIAL)</v>
      </c>
      <c r="C717" s="149" t="str">
        <f>VLOOKUP(A717,ORÇAMENTO!$A:$F,5,0)</f>
        <v>M²</v>
      </c>
      <c r="D717" s="149">
        <f>SUM(E720:O720)</f>
        <v>1558.3112652722696</v>
      </c>
      <c r="E717" s="149" t="s">
        <v>2149</v>
      </c>
      <c r="F717" s="149" t="s">
        <v>2150</v>
      </c>
      <c r="G717" s="149" t="s">
        <v>2151</v>
      </c>
      <c r="H717" s="149" t="s">
        <v>2152</v>
      </c>
      <c r="I717" s="149" t="s">
        <v>2153</v>
      </c>
      <c r="J717" s="149" t="s">
        <v>2154</v>
      </c>
      <c r="K717" s="149" t="s">
        <v>2155</v>
      </c>
      <c r="L717" s="149" t="s">
        <v>2178</v>
      </c>
      <c r="M717" s="149" t="s">
        <v>2160</v>
      </c>
      <c r="N717" s="149" t="s">
        <v>2157</v>
      </c>
      <c r="O717" s="149" t="s">
        <v>2158</v>
      </c>
      <c r="P717" s="145"/>
      <c r="Q717" s="145"/>
    </row>
    <row r="718" spans="1:17" s="146" customFormat="1" ht="10.5" x14ac:dyDescent="0.25">
      <c r="A718" s="151"/>
      <c r="B718" s="157" t="s">
        <v>2125</v>
      </c>
      <c r="C718" s="160"/>
      <c r="D718" s="161"/>
      <c r="E718" s="161"/>
      <c r="F718" s="161"/>
      <c r="G718" s="161"/>
      <c r="H718" s="161"/>
      <c r="I718" s="161"/>
      <c r="J718" s="161"/>
      <c r="K718" s="161"/>
      <c r="L718" s="161"/>
      <c r="M718" s="161"/>
      <c r="N718" s="161">
        <f>Quantitativos!AA29</f>
        <v>1558.3112652722696</v>
      </c>
      <c r="O718" s="161"/>
      <c r="P718" s="145"/>
      <c r="Q718" s="145"/>
    </row>
    <row r="719" spans="1:17" s="146" customFormat="1" ht="10.5" x14ac:dyDescent="0.25">
      <c r="A719" s="151"/>
      <c r="B719" s="152"/>
      <c r="C719" s="160"/>
      <c r="D719" s="161"/>
      <c r="E719" s="161"/>
      <c r="F719" s="161"/>
      <c r="G719" s="161"/>
      <c r="H719" s="161"/>
      <c r="I719" s="161"/>
      <c r="J719" s="161"/>
      <c r="K719" s="161"/>
      <c r="L719" s="161"/>
      <c r="M719" s="161"/>
      <c r="N719" s="161"/>
      <c r="O719" s="161"/>
      <c r="P719" s="155"/>
      <c r="Q719" s="145"/>
    </row>
    <row r="720" spans="1:17" s="146" customFormat="1" ht="10.5" x14ac:dyDescent="0.25">
      <c r="A720" s="151"/>
      <c r="B720" s="157" t="s">
        <v>377</v>
      </c>
      <c r="C720" s="158" t="s">
        <v>402</v>
      </c>
      <c r="D720" s="158"/>
      <c r="E720" s="158"/>
      <c r="F720" s="158"/>
      <c r="G720" s="158"/>
      <c r="H720" s="158"/>
      <c r="I720" s="158"/>
      <c r="J720" s="158"/>
      <c r="K720" s="158"/>
      <c r="L720" s="158"/>
      <c r="M720" s="158"/>
      <c r="N720" s="158">
        <f>SUM(N718:N719)</f>
        <v>1558.3112652722696</v>
      </c>
      <c r="O720" s="158"/>
      <c r="P720" s="159"/>
      <c r="Q720" s="145"/>
    </row>
    <row r="721" spans="1:17" s="150" customFormat="1" ht="21" x14ac:dyDescent="0.25">
      <c r="A721" s="147" t="str">
        <f>ORÇAMENTO!A172</f>
        <v>4.1.2.4.6</v>
      </c>
      <c r="B721" s="148" t="str">
        <f>VLOOKUP(A721,ORÇAMENTO!$A:$F,4,0)</f>
        <v>EMULSÃO ASFÁLTICA - RR-1C - FORNECIMENTO E TRANSPORTE</v>
      </c>
      <c r="C721" s="149" t="str">
        <f>VLOOKUP(A721,ORÇAMENTO!$A:$F,5,0)</f>
        <v>T</v>
      </c>
      <c r="D721" s="149">
        <f>ROUND(SUM(E726:O726),2)</f>
        <v>0.7</v>
      </c>
      <c r="E721" s="149" t="s">
        <v>2149</v>
      </c>
      <c r="F721" s="149" t="s">
        <v>2150</v>
      </c>
      <c r="G721" s="149" t="s">
        <v>2151</v>
      </c>
      <c r="H721" s="149" t="s">
        <v>2152</v>
      </c>
      <c r="I721" s="149" t="s">
        <v>2153</v>
      </c>
      <c r="J721" s="149" t="s">
        <v>2154</v>
      </c>
      <c r="K721" s="149" t="s">
        <v>2172</v>
      </c>
      <c r="L721" s="149" t="s">
        <v>2213</v>
      </c>
      <c r="M721" s="149" t="s">
        <v>413</v>
      </c>
      <c r="N721" s="149" t="s">
        <v>2214</v>
      </c>
      <c r="O721" s="149" t="s">
        <v>2158</v>
      </c>
      <c r="P721" s="145"/>
      <c r="Q721" s="145"/>
    </row>
    <row r="722" spans="1:17" s="146" customFormat="1" ht="21" x14ac:dyDescent="0.25">
      <c r="A722" s="151"/>
      <c r="B722" s="157" t="s">
        <v>2215</v>
      </c>
      <c r="C722" s="153"/>
      <c r="D722" s="154"/>
      <c r="E722" s="154"/>
      <c r="F722" s="154"/>
      <c r="G722" s="154"/>
      <c r="H722" s="154"/>
      <c r="I722" s="154"/>
      <c r="J722" s="154"/>
      <c r="K722" s="154"/>
      <c r="L722" s="154"/>
      <c r="M722" s="154"/>
      <c r="N722" s="154">
        <f>N718</f>
        <v>1558.3112652722696</v>
      </c>
      <c r="O722" s="154"/>
      <c r="P722" s="155"/>
      <c r="Q722" s="145"/>
    </row>
    <row r="723" spans="1:17" s="146" customFormat="1" ht="31.5" x14ac:dyDescent="0.25">
      <c r="A723" s="151"/>
      <c r="B723" s="152" t="s">
        <v>2216</v>
      </c>
      <c r="C723" s="153"/>
      <c r="D723" s="154"/>
      <c r="E723" s="154"/>
      <c r="F723" s="154"/>
      <c r="G723" s="154"/>
      <c r="H723" s="154"/>
      <c r="I723" s="154"/>
      <c r="J723" s="154"/>
      <c r="K723" s="154"/>
      <c r="L723" s="172">
        <v>4.4999999999999999E-4</v>
      </c>
      <c r="M723" s="154"/>
      <c r="N723" s="173"/>
      <c r="O723" s="154"/>
      <c r="P723" s="155"/>
      <c r="Q723" s="145"/>
    </row>
    <row r="724" spans="1:17" s="146" customFormat="1" ht="10.5" x14ac:dyDescent="0.25">
      <c r="A724" s="151"/>
      <c r="B724" s="152"/>
      <c r="C724" s="153"/>
      <c r="D724" s="154"/>
      <c r="E724" s="154"/>
      <c r="F724" s="154"/>
      <c r="G724" s="154"/>
      <c r="H724" s="154"/>
      <c r="I724" s="154"/>
      <c r="J724" s="154"/>
      <c r="K724" s="154">
        <f>L723*N722</f>
        <v>0.70124006937252126</v>
      </c>
      <c r="L724" s="154"/>
      <c r="M724" s="154"/>
      <c r="N724" s="173"/>
      <c r="O724" s="154"/>
      <c r="P724" s="155"/>
      <c r="Q724" s="145"/>
    </row>
    <row r="725" spans="1:17" s="146" customFormat="1" ht="10.5" x14ac:dyDescent="0.25">
      <c r="A725" s="151"/>
      <c r="B725" s="152"/>
      <c r="C725" s="153"/>
      <c r="D725" s="154"/>
      <c r="E725" s="154"/>
      <c r="F725" s="154"/>
      <c r="G725" s="154"/>
      <c r="H725" s="154"/>
      <c r="I725" s="154"/>
      <c r="J725" s="154"/>
      <c r="K725" s="154"/>
      <c r="L725" s="154"/>
      <c r="M725" s="154"/>
      <c r="N725" s="173"/>
      <c r="O725" s="154"/>
      <c r="P725" s="155"/>
      <c r="Q725" s="145"/>
    </row>
    <row r="726" spans="1:17" s="146" customFormat="1" ht="10.5" x14ac:dyDescent="0.25">
      <c r="A726" s="151"/>
      <c r="B726" s="157" t="s">
        <v>377</v>
      </c>
      <c r="C726" s="158" t="s">
        <v>402</v>
      </c>
      <c r="D726" s="158"/>
      <c r="E726" s="158"/>
      <c r="F726" s="158"/>
      <c r="G726" s="158"/>
      <c r="H726" s="158"/>
      <c r="I726" s="158"/>
      <c r="J726" s="158"/>
      <c r="K726" s="153">
        <f>SUM(K722:K725)</f>
        <v>0.70124006937252126</v>
      </c>
      <c r="L726" s="158"/>
      <c r="M726" s="158"/>
      <c r="N726" s="153"/>
      <c r="O726" s="153"/>
      <c r="P726" s="159"/>
      <c r="Q726" s="145"/>
    </row>
    <row r="727" spans="1:17" s="150" customFormat="1" ht="21" x14ac:dyDescent="0.25">
      <c r="A727" s="147" t="str">
        <f>ORÇAMENTO!A173</f>
        <v>4.1.2.4.7</v>
      </c>
      <c r="B727" s="148" t="str">
        <f>VLOOKUP(A727,ORÇAMENTO!$A:$F,4,0)</f>
        <v>IMPRIMAÇÃO COM EMULSÃO ASFÁLTICA (SEM MATERIAL)</v>
      </c>
      <c r="C727" s="149" t="str">
        <f>VLOOKUP(A727,ORÇAMENTO!$A:$F,5,0)</f>
        <v>M²</v>
      </c>
      <c r="D727" s="149">
        <f>SUM(E730:O730)</f>
        <v>1558.3112652722696</v>
      </c>
      <c r="E727" s="149" t="s">
        <v>2149</v>
      </c>
      <c r="F727" s="149" t="s">
        <v>2150</v>
      </c>
      <c r="G727" s="149" t="s">
        <v>2151</v>
      </c>
      <c r="H727" s="149" t="s">
        <v>2152</v>
      </c>
      <c r="I727" s="149" t="s">
        <v>2153</v>
      </c>
      <c r="J727" s="149" t="s">
        <v>2154</v>
      </c>
      <c r="K727" s="149" t="s">
        <v>2155</v>
      </c>
      <c r="L727" s="149" t="s">
        <v>2178</v>
      </c>
      <c r="M727" s="149" t="s">
        <v>2160</v>
      </c>
      <c r="N727" s="149" t="s">
        <v>2157</v>
      </c>
      <c r="O727" s="149" t="s">
        <v>2158</v>
      </c>
      <c r="P727" s="145"/>
      <c r="Q727" s="145"/>
    </row>
    <row r="728" spans="1:17" s="146" customFormat="1" ht="10.5" x14ac:dyDescent="0.25">
      <c r="A728" s="151"/>
      <c r="B728" s="157" t="s">
        <v>2125</v>
      </c>
      <c r="C728" s="160"/>
      <c r="D728" s="161"/>
      <c r="E728" s="161"/>
      <c r="F728" s="161"/>
      <c r="G728" s="161"/>
      <c r="H728" s="161"/>
      <c r="I728" s="161"/>
      <c r="J728" s="161"/>
      <c r="K728" s="161"/>
      <c r="L728" s="161"/>
      <c r="M728" s="161"/>
      <c r="N728" s="161">
        <f>N718</f>
        <v>1558.3112652722696</v>
      </c>
      <c r="O728" s="161"/>
      <c r="P728" s="145"/>
      <c r="Q728" s="145"/>
    </row>
    <row r="729" spans="1:17" s="146" customFormat="1" ht="10.5" x14ac:dyDescent="0.25">
      <c r="A729" s="151"/>
      <c r="B729" s="152"/>
      <c r="C729" s="160"/>
      <c r="D729" s="161"/>
      <c r="E729" s="161"/>
      <c r="F729" s="161"/>
      <c r="G729" s="161"/>
      <c r="H729" s="161"/>
      <c r="I729" s="161"/>
      <c r="J729" s="161"/>
      <c r="K729" s="161"/>
      <c r="L729" s="161"/>
      <c r="M729" s="161"/>
      <c r="N729" s="161"/>
      <c r="O729" s="161"/>
      <c r="P729" s="155"/>
      <c r="Q729" s="145"/>
    </row>
    <row r="730" spans="1:17" s="146" customFormat="1" ht="10.5" x14ac:dyDescent="0.25">
      <c r="A730" s="151"/>
      <c r="B730" s="157" t="s">
        <v>377</v>
      </c>
      <c r="C730" s="158" t="s">
        <v>402</v>
      </c>
      <c r="D730" s="158"/>
      <c r="E730" s="158"/>
      <c r="F730" s="158"/>
      <c r="G730" s="158"/>
      <c r="H730" s="158"/>
      <c r="I730" s="158"/>
      <c r="J730" s="158"/>
      <c r="K730" s="158"/>
      <c r="L730" s="158"/>
      <c r="M730" s="158"/>
      <c r="N730" s="158">
        <f>SUM(N728:N729)</f>
        <v>1558.3112652722696</v>
      </c>
      <c r="O730" s="158"/>
      <c r="P730" s="159"/>
      <c r="Q730" s="145"/>
    </row>
    <row r="731" spans="1:17" s="150" customFormat="1" ht="21" x14ac:dyDescent="0.25">
      <c r="A731" s="147" t="str">
        <f>ORÇAMENTO!A174</f>
        <v>4.1.2.4.8</v>
      </c>
      <c r="B731" s="148" t="str">
        <f>VLOOKUP(A731,ORÇAMENTO!$A:$F,4,0)</f>
        <v>EMULSÃO ASFÁLTICA PARA IMPRIMAÇÃO - FORNECIMENTO E TRANSPORTE</v>
      </c>
      <c r="C731" s="149" t="str">
        <f>VLOOKUP(A731,ORÇAMENTO!$A:$F,5,0)</f>
        <v>T</v>
      </c>
      <c r="D731" s="149">
        <f>ROUND(SUM(E736:O736),2)</f>
        <v>2.0299999999999998</v>
      </c>
      <c r="E731" s="149" t="s">
        <v>2149</v>
      </c>
      <c r="F731" s="149" t="s">
        <v>2150</v>
      </c>
      <c r="G731" s="149" t="s">
        <v>2151</v>
      </c>
      <c r="H731" s="149" t="s">
        <v>2152</v>
      </c>
      <c r="I731" s="149" t="s">
        <v>2153</v>
      </c>
      <c r="J731" s="149" t="s">
        <v>2154</v>
      </c>
      <c r="K731" s="149" t="s">
        <v>2172</v>
      </c>
      <c r="L731" s="149" t="s">
        <v>2213</v>
      </c>
      <c r="M731" s="149" t="s">
        <v>413</v>
      </c>
      <c r="N731" s="149" t="s">
        <v>2214</v>
      </c>
      <c r="O731" s="149" t="s">
        <v>2158</v>
      </c>
      <c r="P731" s="145"/>
      <c r="Q731" s="145"/>
    </row>
    <row r="732" spans="1:17" s="146" customFormat="1" ht="10.5" x14ac:dyDescent="0.25">
      <c r="A732" s="151"/>
      <c r="B732" s="157" t="s">
        <v>2217</v>
      </c>
      <c r="C732" s="153"/>
      <c r="D732" s="154"/>
      <c r="E732" s="154"/>
      <c r="F732" s="154"/>
      <c r="G732" s="154"/>
      <c r="H732" s="154"/>
      <c r="I732" s="154"/>
      <c r="J732" s="154"/>
      <c r="K732" s="154"/>
      <c r="L732" s="154"/>
      <c r="M732" s="154"/>
      <c r="N732" s="154">
        <f>N728</f>
        <v>1558.3112652722696</v>
      </c>
      <c r="O732" s="154"/>
      <c r="P732" s="155"/>
      <c r="Q732" s="145"/>
    </row>
    <row r="733" spans="1:17" s="146" customFormat="1" ht="42" x14ac:dyDescent="0.25">
      <c r="A733" s="151"/>
      <c r="B733" s="152" t="s">
        <v>2218</v>
      </c>
      <c r="C733" s="153"/>
      <c r="D733" s="154"/>
      <c r="E733" s="154"/>
      <c r="F733" s="154"/>
      <c r="G733" s="154"/>
      <c r="H733" s="154"/>
      <c r="I733" s="154"/>
      <c r="J733" s="154"/>
      <c r="K733" s="154"/>
      <c r="L733" s="172">
        <v>1.2999999999999999E-3</v>
      </c>
      <c r="M733" s="154"/>
      <c r="N733" s="173"/>
      <c r="O733" s="154"/>
      <c r="P733" s="155"/>
      <c r="Q733" s="145"/>
    </row>
    <row r="734" spans="1:17" s="146" customFormat="1" ht="10.5" x14ac:dyDescent="0.25">
      <c r="A734" s="151"/>
      <c r="B734" s="152"/>
      <c r="C734" s="153"/>
      <c r="D734" s="154"/>
      <c r="E734" s="154"/>
      <c r="F734" s="154"/>
      <c r="G734" s="154"/>
      <c r="H734" s="154"/>
      <c r="I734" s="154"/>
      <c r="J734" s="154"/>
      <c r="K734" s="154">
        <f>L733*N732</f>
        <v>2.0258046448539502</v>
      </c>
      <c r="L734" s="154"/>
      <c r="M734" s="154"/>
      <c r="N734" s="173"/>
      <c r="O734" s="154"/>
      <c r="P734" s="155"/>
      <c r="Q734" s="145"/>
    </row>
    <row r="735" spans="1:17" s="146" customFormat="1" ht="10.5" x14ac:dyDescent="0.25">
      <c r="A735" s="151"/>
      <c r="B735" s="152"/>
      <c r="C735" s="153"/>
      <c r="D735" s="154"/>
      <c r="E735" s="154"/>
      <c r="F735" s="154"/>
      <c r="G735" s="154"/>
      <c r="H735" s="154"/>
      <c r="I735" s="154"/>
      <c r="J735" s="154"/>
      <c r="K735" s="154"/>
      <c r="L735" s="154"/>
      <c r="M735" s="154"/>
      <c r="N735" s="173"/>
      <c r="O735" s="154"/>
      <c r="P735" s="155"/>
      <c r="Q735" s="145"/>
    </row>
    <row r="736" spans="1:17" s="146" customFormat="1" ht="10.5" x14ac:dyDescent="0.25">
      <c r="A736" s="151"/>
      <c r="B736" s="157" t="s">
        <v>377</v>
      </c>
      <c r="C736" s="158" t="s">
        <v>402</v>
      </c>
      <c r="D736" s="158"/>
      <c r="E736" s="158"/>
      <c r="F736" s="158"/>
      <c r="G736" s="158"/>
      <c r="H736" s="158"/>
      <c r="I736" s="158"/>
      <c r="J736" s="158"/>
      <c r="K736" s="153">
        <f>SUM(K732:K735)</f>
        <v>2.0258046448539502</v>
      </c>
      <c r="L736" s="158"/>
      <c r="M736" s="158"/>
      <c r="N736" s="153"/>
      <c r="O736" s="153"/>
      <c r="P736" s="159"/>
      <c r="Q736" s="145"/>
    </row>
    <row r="737" spans="1:17" s="150" customFormat="1" ht="21" x14ac:dyDescent="0.25">
      <c r="A737" s="147" t="str">
        <f>ORÇAMENTO!A175</f>
        <v>4.1.2.4.9</v>
      </c>
      <c r="B737" s="148" t="str">
        <f>VLOOKUP(A737,ORÇAMENTO!$A:$F,4,0)</f>
        <v>CAL HIDRATADA - A GRANEL</v>
      </c>
      <c r="C737" s="149" t="str">
        <f>VLOOKUP(A737,ORÇAMENTO!$A:$F,5,0)</f>
        <v>KG</v>
      </c>
      <c r="D737" s="149">
        <f>SUM(E740:O740)</f>
        <v>30656.566068722681</v>
      </c>
      <c r="E737" s="149" t="s">
        <v>2149</v>
      </c>
      <c r="F737" s="149" t="s">
        <v>2150</v>
      </c>
      <c r="G737" s="149" t="s">
        <v>2151</v>
      </c>
      <c r="H737" s="149" t="s">
        <v>2152</v>
      </c>
      <c r="I737" s="149" t="s">
        <v>2153</v>
      </c>
      <c r="J737" s="149" t="s">
        <v>2154</v>
      </c>
      <c r="K737" s="149" t="s">
        <v>2155</v>
      </c>
      <c r="L737" s="149" t="s">
        <v>2178</v>
      </c>
      <c r="M737" s="149" t="s">
        <v>2160</v>
      </c>
      <c r="N737" s="149" t="s">
        <v>2157</v>
      </c>
      <c r="O737" s="149" t="s">
        <v>2158</v>
      </c>
      <c r="P737" s="145"/>
      <c r="Q737" s="145"/>
    </row>
    <row r="738" spans="1:17" s="146" customFormat="1" ht="10.5" x14ac:dyDescent="0.25">
      <c r="A738" s="151"/>
      <c r="B738" s="157" t="s">
        <v>2125</v>
      </c>
      <c r="C738" s="160"/>
      <c r="D738" s="161"/>
      <c r="E738" s="161"/>
      <c r="F738" s="161"/>
      <c r="G738" s="161"/>
      <c r="H738" s="161"/>
      <c r="I738" s="161"/>
      <c r="J738" s="161"/>
      <c r="K738" s="161"/>
      <c r="L738" s="161"/>
      <c r="M738" s="161"/>
      <c r="N738" s="161"/>
      <c r="O738" s="161">
        <f>Quantitativos!BM29</f>
        <v>14.860187139468096</v>
      </c>
      <c r="P738" s="145"/>
      <c r="Q738" s="145"/>
    </row>
    <row r="739" spans="1:17" s="146" customFormat="1" ht="31.5" x14ac:dyDescent="0.25">
      <c r="A739" s="151"/>
      <c r="B739" s="152" t="s">
        <v>2219</v>
      </c>
      <c r="C739" s="160"/>
      <c r="D739" s="161"/>
      <c r="E739" s="161"/>
      <c r="F739" s="161"/>
      <c r="G739" s="161"/>
      <c r="H739" s="161"/>
      <c r="I739" s="161"/>
      <c r="J739" s="161"/>
      <c r="K739" s="161">
        <f>L739*O738</f>
        <v>30656.566068722681</v>
      </c>
      <c r="L739" s="161">
        <f>82.52/0.04</f>
        <v>2063</v>
      </c>
      <c r="M739" s="161"/>
      <c r="N739" s="161"/>
      <c r="O739" s="161"/>
      <c r="P739" s="155"/>
      <c r="Q739" s="145"/>
    </row>
    <row r="740" spans="1:17" s="146" customFormat="1" ht="10.5" x14ac:dyDescent="0.25">
      <c r="A740" s="151"/>
      <c r="B740" s="157" t="s">
        <v>377</v>
      </c>
      <c r="C740" s="158" t="s">
        <v>402</v>
      </c>
      <c r="D740" s="158"/>
      <c r="E740" s="158"/>
      <c r="F740" s="158"/>
      <c r="G740" s="158"/>
      <c r="H740" s="158"/>
      <c r="I740" s="158"/>
      <c r="J740" s="158"/>
      <c r="K740" s="158">
        <f>SUM(K738:K739)</f>
        <v>30656.566068722681</v>
      </c>
      <c r="L740" s="158"/>
      <c r="M740" s="158"/>
      <c r="N740" s="158"/>
      <c r="O740" s="158"/>
      <c r="P740" s="159"/>
      <c r="Q740" s="145"/>
    </row>
    <row r="741" spans="1:17" s="150" customFormat="1" ht="52.5" x14ac:dyDescent="0.25">
      <c r="A741" s="147" t="str">
        <f>ORÇAMENTO!A176</f>
        <v>4.1.2.4.10</v>
      </c>
      <c r="B741" s="148" t="str">
        <f>VLOOKUP(A741,ORÇAMENTO!$A:$F,4,0)</f>
        <v>CONSTRUÇÃO DE PAVIMENTO COM APLICAÇÃO CONCRETO BETUMINOSO USINADO A QUENTE (CBUQ), CAMADA DE ROLAMENTO - EXCLUSIVE TRANSPORTE E CARGA  AF_03/2017 (SEM MATERIAL)</v>
      </c>
      <c r="C741" s="149" t="str">
        <f>VLOOKUP(A741,ORÇAMENTO!$A:$F,5,0)</f>
        <v>M³</v>
      </c>
      <c r="D741" s="149">
        <f>SUM(E745:O745)</f>
        <v>62.616787958168075</v>
      </c>
      <c r="E741" s="149" t="s">
        <v>2149</v>
      </c>
      <c r="F741" s="149" t="s">
        <v>2150</v>
      </c>
      <c r="G741" s="149" t="s">
        <v>2151</v>
      </c>
      <c r="H741" s="149" t="s">
        <v>2152</v>
      </c>
      <c r="I741" s="149" t="s">
        <v>2153</v>
      </c>
      <c r="J741" s="149" t="s">
        <v>2154</v>
      </c>
      <c r="K741" s="149" t="s">
        <v>2155</v>
      </c>
      <c r="L741" s="149" t="s">
        <v>2220</v>
      </c>
      <c r="M741" s="149" t="s">
        <v>2160</v>
      </c>
      <c r="N741" s="149" t="s">
        <v>2157</v>
      </c>
      <c r="O741" s="149" t="s">
        <v>2158</v>
      </c>
      <c r="P741" s="145"/>
      <c r="Q741" s="145"/>
    </row>
    <row r="742" spans="1:17" s="146" customFormat="1" ht="10.5" x14ac:dyDescent="0.25">
      <c r="A742" s="151"/>
      <c r="B742" s="157" t="s">
        <v>2171</v>
      </c>
      <c r="C742" s="160"/>
      <c r="D742" s="161"/>
      <c r="E742" s="161"/>
      <c r="F742" s="161"/>
      <c r="G742" s="161"/>
      <c r="H742" s="161"/>
      <c r="I742" s="161"/>
      <c r="J742" s="161"/>
      <c r="K742" s="161"/>
      <c r="L742" s="161"/>
      <c r="M742" s="161"/>
      <c r="N742" s="161"/>
      <c r="O742" s="161"/>
      <c r="P742" s="155"/>
      <c r="Q742" s="145"/>
    </row>
    <row r="743" spans="1:17" s="146" customFormat="1" ht="10.5" x14ac:dyDescent="0.25">
      <c r="A743" s="151"/>
      <c r="B743" s="152" t="s">
        <v>2221</v>
      </c>
      <c r="C743" s="160"/>
      <c r="D743" s="161"/>
      <c r="E743" s="161"/>
      <c r="F743" s="161"/>
      <c r="G743" s="161"/>
      <c r="H743" s="161">
        <f>H398</f>
        <v>0.03</v>
      </c>
      <c r="I743" s="161"/>
      <c r="J743" s="161"/>
      <c r="K743" s="161"/>
      <c r="L743" s="161"/>
      <c r="M743" s="161"/>
      <c r="N743" s="161">
        <f>N397</f>
        <v>2087.2262652722693</v>
      </c>
      <c r="O743" s="161">
        <f>N743*H743</f>
        <v>62.616787958168075</v>
      </c>
      <c r="P743" s="155"/>
      <c r="Q743" s="145"/>
    </row>
    <row r="744" spans="1:17" s="146" customFormat="1" ht="10.5" x14ac:dyDescent="0.25">
      <c r="A744" s="151"/>
      <c r="B744" s="152"/>
      <c r="C744" s="160"/>
      <c r="D744" s="161"/>
      <c r="E744" s="161"/>
      <c r="F744" s="161"/>
      <c r="G744" s="161"/>
      <c r="H744" s="161"/>
      <c r="I744" s="161"/>
      <c r="J744" s="161"/>
      <c r="K744" s="161"/>
      <c r="L744" s="162"/>
      <c r="M744" s="161"/>
      <c r="N744" s="161"/>
      <c r="O744" s="161"/>
      <c r="P744" s="155"/>
      <c r="Q744" s="145"/>
    </row>
    <row r="745" spans="1:17" s="146" customFormat="1" ht="10.5" x14ac:dyDescent="0.25">
      <c r="A745" s="151"/>
      <c r="B745" s="157" t="s">
        <v>377</v>
      </c>
      <c r="C745" s="158" t="s">
        <v>402</v>
      </c>
      <c r="D745" s="158"/>
      <c r="E745" s="158"/>
      <c r="F745" s="158"/>
      <c r="G745" s="158"/>
      <c r="H745" s="158"/>
      <c r="I745" s="158"/>
      <c r="J745" s="158"/>
      <c r="K745" s="158"/>
      <c r="L745" s="158"/>
      <c r="M745" s="158"/>
      <c r="N745" s="158"/>
      <c r="O745" s="158">
        <f>SUM(O743:O744)</f>
        <v>62.616787958168075</v>
      </c>
      <c r="P745" s="159"/>
      <c r="Q745" s="145"/>
    </row>
    <row r="746" spans="1:17" s="150" customFormat="1" ht="21" x14ac:dyDescent="0.25">
      <c r="A746" s="147" t="str">
        <f>ORÇAMENTO!A177</f>
        <v>4.1.2.4.11</v>
      </c>
      <c r="B746" s="148" t="str">
        <f>VLOOKUP(A746,ORÇAMENTO!$A:$F,4,0)</f>
        <v>USINAGEM DE CBUQ SEM  CAP 50/70, PARA CAPA DE ROLAMENTO (SEM MATERIAL  E TRANSPORTE)</v>
      </c>
      <c r="C746" s="149" t="str">
        <f>VLOOKUP(A746,ORÇAMENTO!$A:$F,5,0)</f>
        <v>T</v>
      </c>
      <c r="D746" s="149">
        <f>SUM(E751:O751)</f>
        <v>150.28029109960337</v>
      </c>
      <c r="E746" s="149" t="s">
        <v>2149</v>
      </c>
      <c r="F746" s="149" t="s">
        <v>2150</v>
      </c>
      <c r="G746" s="149" t="s">
        <v>2151</v>
      </c>
      <c r="H746" s="149" t="s">
        <v>2152</v>
      </c>
      <c r="I746" s="149" t="s">
        <v>2153</v>
      </c>
      <c r="J746" s="149" t="s">
        <v>2154</v>
      </c>
      <c r="K746" s="149" t="s">
        <v>2172</v>
      </c>
      <c r="L746" s="149" t="s">
        <v>2178</v>
      </c>
      <c r="M746" s="149" t="s">
        <v>2160</v>
      </c>
      <c r="N746" s="149" t="s">
        <v>2157</v>
      </c>
      <c r="O746" s="149" t="s">
        <v>2158</v>
      </c>
      <c r="P746" s="145"/>
      <c r="Q746" s="145"/>
    </row>
    <row r="747" spans="1:17" s="146" customFormat="1" ht="10.5" x14ac:dyDescent="0.25">
      <c r="A747" s="151"/>
      <c r="B747" s="157" t="s">
        <v>2171</v>
      </c>
      <c r="C747" s="160"/>
      <c r="D747" s="161"/>
      <c r="E747" s="161"/>
      <c r="F747" s="161"/>
      <c r="G747" s="161"/>
      <c r="H747" s="161"/>
      <c r="I747" s="161"/>
      <c r="J747" s="161"/>
      <c r="K747" s="161"/>
      <c r="L747" s="161"/>
      <c r="M747" s="161"/>
      <c r="N747" s="161"/>
      <c r="O747" s="161"/>
      <c r="P747" s="155"/>
      <c r="Q747" s="145"/>
    </row>
    <row r="748" spans="1:17" s="146" customFormat="1" ht="10.5" x14ac:dyDescent="0.25">
      <c r="A748" s="151"/>
      <c r="B748" s="152" t="s">
        <v>2222</v>
      </c>
      <c r="C748" s="160"/>
      <c r="D748" s="161"/>
      <c r="E748" s="161"/>
      <c r="F748" s="161"/>
      <c r="G748" s="161"/>
      <c r="H748" s="161"/>
      <c r="I748" s="161"/>
      <c r="J748" s="161"/>
      <c r="K748" s="161"/>
      <c r="L748" s="161">
        <v>2.4</v>
      </c>
      <c r="M748" s="161"/>
      <c r="N748" s="161"/>
      <c r="O748" s="161"/>
      <c r="P748" s="155"/>
      <c r="Q748" s="145"/>
    </row>
    <row r="749" spans="1:17" s="146" customFormat="1" ht="10.5" x14ac:dyDescent="0.25">
      <c r="A749" s="151"/>
      <c r="B749" s="152" t="str">
        <f>B743</f>
        <v>CONCRETO BETUMINOSO USINADO A QUENTE</v>
      </c>
      <c r="C749" s="160"/>
      <c r="D749" s="161"/>
      <c r="E749" s="161"/>
      <c r="F749" s="161"/>
      <c r="G749" s="161"/>
      <c r="H749" s="161">
        <f>H743</f>
        <v>0.03</v>
      </c>
      <c r="I749" s="161"/>
      <c r="J749" s="161"/>
      <c r="K749" s="161">
        <f>L748*O749</f>
        <v>150.28029109960337</v>
      </c>
      <c r="L749" s="161"/>
      <c r="M749" s="161"/>
      <c r="N749" s="161"/>
      <c r="O749" s="161">
        <f>O743</f>
        <v>62.616787958168075</v>
      </c>
      <c r="P749" s="155"/>
      <c r="Q749" s="145"/>
    </row>
    <row r="750" spans="1:17" s="146" customFormat="1" ht="10.5" x14ac:dyDescent="0.25">
      <c r="A750" s="151"/>
      <c r="B750" s="152"/>
      <c r="C750" s="160"/>
      <c r="D750" s="161"/>
      <c r="E750" s="161"/>
      <c r="F750" s="161"/>
      <c r="G750" s="161"/>
      <c r="H750" s="161"/>
      <c r="I750" s="161"/>
      <c r="J750" s="161"/>
      <c r="K750" s="161"/>
      <c r="L750" s="162"/>
      <c r="M750" s="161"/>
      <c r="N750" s="161"/>
      <c r="O750" s="161"/>
      <c r="P750" s="155"/>
      <c r="Q750" s="145"/>
    </row>
    <row r="751" spans="1:17" s="146" customFormat="1" ht="10.5" x14ac:dyDescent="0.25">
      <c r="A751" s="151"/>
      <c r="B751" s="157" t="s">
        <v>377</v>
      </c>
      <c r="C751" s="158" t="s">
        <v>402</v>
      </c>
      <c r="D751" s="158"/>
      <c r="E751" s="158"/>
      <c r="F751" s="158"/>
      <c r="G751" s="158"/>
      <c r="H751" s="158"/>
      <c r="I751" s="158"/>
      <c r="J751" s="158"/>
      <c r="K751" s="158">
        <f>SUM(K749:K750)</f>
        <v>150.28029109960337</v>
      </c>
      <c r="L751" s="158"/>
      <c r="M751" s="158"/>
      <c r="N751" s="158"/>
      <c r="O751" s="158"/>
      <c r="P751" s="159"/>
      <c r="Q751" s="145"/>
    </row>
    <row r="752" spans="1:17" s="150" customFormat="1" ht="21" x14ac:dyDescent="0.25">
      <c r="A752" s="147" t="str">
        <f>ORÇAMENTO!A178</f>
        <v>4.1.2.4.12</v>
      </c>
      <c r="B752" s="148" t="str">
        <f>VLOOKUP(A752,ORÇAMENTO!$A:$F,4,0)</f>
        <v>CIMENTO ASFÁLTICO DE PETRÓLEO - CAP 50/70 FORNECIMENTO E TRANSPORTE</v>
      </c>
      <c r="C752" s="149" t="str">
        <f>VLOOKUP(A752,ORÇAMENTO!$A:$F,5,0)</f>
        <v>T</v>
      </c>
      <c r="D752" s="149">
        <f>SUM(E757:O757)</f>
        <v>9.5022228062279197</v>
      </c>
      <c r="E752" s="149" t="s">
        <v>2149</v>
      </c>
      <c r="F752" s="149" t="s">
        <v>2150</v>
      </c>
      <c r="G752" s="149" t="s">
        <v>2151</v>
      </c>
      <c r="H752" s="149" t="s">
        <v>2152</v>
      </c>
      <c r="I752" s="149" t="s">
        <v>2153</v>
      </c>
      <c r="J752" s="149" t="s">
        <v>2154</v>
      </c>
      <c r="K752" s="149" t="s">
        <v>2172</v>
      </c>
      <c r="L752" s="149" t="s">
        <v>2213</v>
      </c>
      <c r="M752" s="149" t="s">
        <v>2160</v>
      </c>
      <c r="N752" s="149" t="s">
        <v>2157</v>
      </c>
      <c r="O752" s="149" t="s">
        <v>2158</v>
      </c>
      <c r="P752" s="145"/>
      <c r="Q752" s="145"/>
    </row>
    <row r="753" spans="1:19" s="146" customFormat="1" ht="10.5" x14ac:dyDescent="0.25">
      <c r="A753" s="151"/>
      <c r="B753" s="152" t="str">
        <f>B749</f>
        <v>CONCRETO BETUMINOSO USINADO A QUENTE</v>
      </c>
      <c r="C753" s="160"/>
      <c r="D753" s="161"/>
      <c r="E753" s="161"/>
      <c r="F753" s="161"/>
      <c r="G753" s="161"/>
      <c r="H753" s="161"/>
      <c r="I753" s="161"/>
      <c r="J753" s="161"/>
      <c r="K753" s="161">
        <f>K749</f>
        <v>150.28029109960337</v>
      </c>
      <c r="L753" s="161"/>
      <c r="M753" s="161"/>
      <c r="N753" s="161"/>
      <c r="O753" s="161"/>
      <c r="P753" s="155"/>
      <c r="Q753" s="145"/>
    </row>
    <row r="754" spans="1:19" s="146" customFormat="1" ht="10.5" x14ac:dyDescent="0.25">
      <c r="A754" s="151"/>
      <c r="B754" s="152" t="s">
        <v>2223</v>
      </c>
      <c r="C754" s="160"/>
      <c r="D754" s="161"/>
      <c r="E754" s="161"/>
      <c r="F754" s="161"/>
      <c r="G754" s="161"/>
      <c r="H754" s="161"/>
      <c r="I754" s="161"/>
      <c r="J754" s="161"/>
      <c r="K754" s="161"/>
      <c r="L754" s="174">
        <v>6.3229999999999995E-2</v>
      </c>
      <c r="M754" s="161"/>
      <c r="N754" s="161"/>
      <c r="O754" s="161"/>
      <c r="P754" s="155"/>
      <c r="Q754" s="145"/>
    </row>
    <row r="755" spans="1:19" s="146" customFormat="1" ht="10.5" x14ac:dyDescent="0.25">
      <c r="A755" s="151"/>
      <c r="B755" s="152"/>
      <c r="C755" s="160"/>
      <c r="D755" s="161"/>
      <c r="E755" s="161"/>
      <c r="F755" s="161"/>
      <c r="G755" s="161"/>
      <c r="H755" s="161"/>
      <c r="I755" s="161"/>
      <c r="J755" s="161"/>
      <c r="K755" s="161">
        <f>K753*L754</f>
        <v>9.5022228062279197</v>
      </c>
      <c r="L755" s="161"/>
      <c r="M755" s="161"/>
      <c r="N755" s="161"/>
      <c r="O755" s="161"/>
      <c r="P755" s="155"/>
      <c r="Q755" s="145"/>
    </row>
    <row r="756" spans="1:19" s="146" customFormat="1" ht="10.5" x14ac:dyDescent="0.25">
      <c r="A756" s="151"/>
      <c r="B756" s="152"/>
      <c r="C756" s="160"/>
      <c r="D756" s="161"/>
      <c r="E756" s="161"/>
      <c r="F756" s="161"/>
      <c r="G756" s="161"/>
      <c r="H756" s="161"/>
      <c r="I756" s="161"/>
      <c r="J756" s="161"/>
      <c r="K756" s="161"/>
      <c r="L756" s="162"/>
      <c r="M756" s="161"/>
      <c r="N756" s="161"/>
      <c r="O756" s="161"/>
      <c r="P756" s="155"/>
      <c r="Q756" s="145"/>
    </row>
    <row r="757" spans="1:19" s="146" customFormat="1" ht="10.5" x14ac:dyDescent="0.25">
      <c r="A757" s="151"/>
      <c r="B757" s="157" t="s">
        <v>377</v>
      </c>
      <c r="C757" s="158" t="s">
        <v>402</v>
      </c>
      <c r="D757" s="158"/>
      <c r="E757" s="158"/>
      <c r="F757" s="158"/>
      <c r="G757" s="158"/>
      <c r="H757" s="158"/>
      <c r="I757" s="158"/>
      <c r="J757" s="158"/>
      <c r="K757" s="158">
        <f>SUM(K755:K756)</f>
        <v>9.5022228062279197</v>
      </c>
      <c r="L757" s="158"/>
      <c r="M757" s="158"/>
      <c r="N757" s="158"/>
      <c r="O757" s="158"/>
      <c r="P757" s="159"/>
      <c r="Q757" s="145"/>
    </row>
    <row r="758" spans="1:19" s="150" customFormat="1" ht="21" x14ac:dyDescent="0.25">
      <c r="A758" s="147" t="str">
        <f>ORÇAMENTO!A179</f>
        <v>4.1.2.4.13</v>
      </c>
      <c r="B758" s="148" t="str">
        <f>VLOOKUP(A758,ORÇAMENTO!$A:$F,4,0)</f>
        <v>REATERRO MANUAL APILOADO COM SOQUETE</v>
      </c>
      <c r="C758" s="149" t="str">
        <f>VLOOKUP(A758,ORÇAMENTO!$A:$F,5,0)</f>
        <v>M³</v>
      </c>
      <c r="D758" s="149">
        <f>SUM(E761:O761)</f>
        <v>137.75798869586183</v>
      </c>
      <c r="E758" s="149" t="s">
        <v>2149</v>
      </c>
      <c r="F758" s="149" t="s">
        <v>2150</v>
      </c>
      <c r="G758" s="149" t="s">
        <v>2151</v>
      </c>
      <c r="H758" s="149" t="s">
        <v>2152</v>
      </c>
      <c r="I758" s="149" t="s">
        <v>2153</v>
      </c>
      <c r="J758" s="149" t="s">
        <v>2154</v>
      </c>
      <c r="K758" s="149" t="s">
        <v>2155</v>
      </c>
      <c r="L758" s="149" t="s">
        <v>2178</v>
      </c>
      <c r="M758" s="149" t="s">
        <v>2160</v>
      </c>
      <c r="N758" s="149" t="s">
        <v>2157</v>
      </c>
      <c r="O758" s="149" t="s">
        <v>2158</v>
      </c>
      <c r="P758" s="145"/>
      <c r="Q758" s="145"/>
    </row>
    <row r="759" spans="1:19" s="146" customFormat="1" ht="10.5" x14ac:dyDescent="0.25">
      <c r="A759" s="151"/>
      <c r="B759" s="152" t="s">
        <v>2224</v>
      </c>
      <c r="C759" s="160"/>
      <c r="D759" s="161"/>
      <c r="E759" s="161"/>
      <c r="F759" s="161"/>
      <c r="G759" s="161"/>
      <c r="H759" s="161"/>
      <c r="I759" s="161"/>
      <c r="J759" s="161"/>
      <c r="K759" s="161"/>
      <c r="L759" s="161"/>
      <c r="M759" s="161"/>
      <c r="N759" s="161"/>
      <c r="O759" s="161">
        <f>Quantitativos!AW29</f>
        <v>137.75798869586183</v>
      </c>
      <c r="P759" s="145"/>
      <c r="Q759" s="145"/>
    </row>
    <row r="760" spans="1:19" s="146" customFormat="1" ht="10.5" x14ac:dyDescent="0.25">
      <c r="A760" s="151"/>
      <c r="B760" s="152"/>
      <c r="C760" s="160"/>
      <c r="D760" s="161"/>
      <c r="E760" s="161"/>
      <c r="F760" s="161"/>
      <c r="G760" s="161"/>
      <c r="H760" s="161"/>
      <c r="I760" s="161"/>
      <c r="J760" s="161"/>
      <c r="K760" s="161"/>
      <c r="L760" s="161"/>
      <c r="M760" s="161"/>
      <c r="N760" s="161"/>
      <c r="O760" s="161"/>
      <c r="P760" s="155"/>
      <c r="Q760" s="145"/>
    </row>
    <row r="761" spans="1:19" s="146" customFormat="1" ht="10.5" x14ac:dyDescent="0.25">
      <c r="A761" s="151"/>
      <c r="B761" s="157" t="s">
        <v>377</v>
      </c>
      <c r="C761" s="158" t="s">
        <v>402</v>
      </c>
      <c r="D761" s="158"/>
      <c r="E761" s="158"/>
      <c r="F761" s="158"/>
      <c r="G761" s="158"/>
      <c r="H761" s="158"/>
      <c r="I761" s="158"/>
      <c r="J761" s="158"/>
      <c r="K761" s="158"/>
      <c r="L761" s="158"/>
      <c r="M761" s="158"/>
      <c r="N761" s="158"/>
      <c r="O761" s="158">
        <f>SUM(O759:O760)</f>
        <v>137.75798869586183</v>
      </c>
      <c r="P761" s="159"/>
      <c r="Q761" s="145"/>
    </row>
    <row r="762" spans="1:19" s="150" customFormat="1" ht="31.5" x14ac:dyDescent="0.25">
      <c r="A762" s="147" t="str">
        <f>ORÇAMENTO!A180</f>
        <v>4.1.2.4.14</v>
      </c>
      <c r="B762" s="148" t="str">
        <f>VLOOKUP(A762,ORÇAMENTO!$A:$F,4,0)</f>
        <v>REATERRO COMPACTADO MECANICAMENTE EM CAMADAS DE 0,20 M COM APROVEITAMENTO DO MATERIAL ESCAVADO.</v>
      </c>
      <c r="C762" s="149" t="str">
        <f>VLOOKUP(A762,ORÇAMENTO!$A:$F,5,0)</f>
        <v>M³</v>
      </c>
      <c r="D762" s="149">
        <f>SUM(E767:O767)</f>
        <v>2483.6584606680481</v>
      </c>
      <c r="E762" s="149" t="s">
        <v>2149</v>
      </c>
      <c r="F762" s="149" t="s">
        <v>2150</v>
      </c>
      <c r="G762" s="149" t="s">
        <v>2151</v>
      </c>
      <c r="H762" s="149" t="s">
        <v>2152</v>
      </c>
      <c r="I762" s="149" t="s">
        <v>2153</v>
      </c>
      <c r="J762" s="149" t="s">
        <v>2154</v>
      </c>
      <c r="K762" s="149" t="s">
        <v>2155</v>
      </c>
      <c r="L762" s="149" t="s">
        <v>2178</v>
      </c>
      <c r="M762" s="149" t="s">
        <v>2160</v>
      </c>
      <c r="N762" s="149" t="s">
        <v>2157</v>
      </c>
      <c r="O762" s="149" t="s">
        <v>2158</v>
      </c>
      <c r="P762" s="145"/>
      <c r="Q762" s="145"/>
    </row>
    <row r="763" spans="1:19" s="146" customFormat="1" ht="10.5" x14ac:dyDescent="0.25">
      <c r="A763" s="151"/>
      <c r="B763" s="152" t="s">
        <v>2224</v>
      </c>
      <c r="C763" s="160"/>
      <c r="D763" s="161"/>
      <c r="E763" s="161"/>
      <c r="F763" s="161"/>
      <c r="G763" s="161"/>
      <c r="H763" s="161"/>
      <c r="I763" s="161"/>
      <c r="J763" s="161"/>
      <c r="K763" s="161"/>
      <c r="L763" s="161"/>
      <c r="M763" s="161"/>
      <c r="N763" s="161"/>
      <c r="O763" s="161">
        <f>Quantitativos!BG29</f>
        <v>2345.9004719721861</v>
      </c>
      <c r="P763" s="145"/>
      <c r="Q763" s="145"/>
    </row>
    <row r="764" spans="1:19" s="146" customFormat="1" ht="21" x14ac:dyDescent="0.25">
      <c r="A764" s="151"/>
      <c r="B764" s="152" t="s">
        <v>2225</v>
      </c>
      <c r="C764" s="160"/>
      <c r="D764" s="161"/>
      <c r="E764" s="161"/>
      <c r="F764" s="161"/>
      <c r="G764" s="161"/>
      <c r="H764" s="161"/>
      <c r="I764" s="161"/>
      <c r="J764" s="161"/>
      <c r="K764" s="161"/>
      <c r="L764" s="161"/>
      <c r="M764" s="161"/>
      <c r="N764" s="161"/>
      <c r="O764" s="161">
        <f>Quantitativos!BJ29</f>
        <v>0</v>
      </c>
      <c r="P764" s="155"/>
      <c r="Q764" s="145"/>
    </row>
    <row r="765" spans="1:19" s="146" customFormat="1" ht="10.5" x14ac:dyDescent="0.25">
      <c r="A765" s="151"/>
      <c r="B765" s="152" t="s">
        <v>2226</v>
      </c>
      <c r="C765" s="160"/>
      <c r="D765" s="161"/>
      <c r="E765" s="161"/>
      <c r="F765" s="161"/>
      <c r="G765" s="161"/>
      <c r="H765" s="161"/>
      <c r="I765" s="161"/>
      <c r="J765" s="161"/>
      <c r="K765" s="161"/>
      <c r="L765" s="161"/>
      <c r="M765" s="161"/>
      <c r="N765" s="161"/>
      <c r="O765" s="161">
        <f>Quantitativos!BK29</f>
        <v>0</v>
      </c>
      <c r="P765" s="155"/>
      <c r="Q765" s="145"/>
    </row>
    <row r="766" spans="1:19" s="146" customFormat="1" ht="10.5" x14ac:dyDescent="0.25">
      <c r="A766" s="151"/>
      <c r="B766" s="152" t="s">
        <v>2227</v>
      </c>
      <c r="C766" s="160"/>
      <c r="D766" s="161"/>
      <c r="E766" s="161"/>
      <c r="F766" s="161"/>
      <c r="G766" s="161"/>
      <c r="H766" s="161"/>
      <c r="I766" s="161"/>
      <c r="J766" s="161"/>
      <c r="K766" s="161"/>
      <c r="L766" s="161"/>
      <c r="M766" s="161"/>
      <c r="N766" s="161"/>
      <c r="O766" s="161">
        <f>Quantitativos!AW29</f>
        <v>137.75798869586183</v>
      </c>
      <c r="P766" s="155"/>
      <c r="Q766" s="145"/>
    </row>
    <row r="767" spans="1:19" s="146" customFormat="1" ht="10.5" x14ac:dyDescent="0.25">
      <c r="A767" s="151"/>
      <c r="B767" s="157" t="s">
        <v>377</v>
      </c>
      <c r="C767" s="158" t="s">
        <v>402</v>
      </c>
      <c r="D767" s="158"/>
      <c r="E767" s="158"/>
      <c r="F767" s="158"/>
      <c r="G767" s="158"/>
      <c r="H767" s="158"/>
      <c r="I767" s="158"/>
      <c r="J767" s="158"/>
      <c r="K767" s="158"/>
      <c r="L767" s="158"/>
      <c r="M767" s="158"/>
      <c r="N767" s="158"/>
      <c r="O767" s="158">
        <f>SUM(O763:O766)</f>
        <v>2483.6584606680481</v>
      </c>
      <c r="P767" s="159"/>
      <c r="Q767" s="145"/>
    </row>
    <row r="768" spans="1:19" s="164" customFormat="1" ht="52.5" x14ac:dyDescent="0.35">
      <c r="A768" s="147" t="str">
        <f>ORÇAMENTO!A181</f>
        <v>4.1.2.4.15</v>
      </c>
      <c r="B768" s="148" t="str">
        <f>VLOOKUP(A768,ORÇAMENTO!$A:$F,4,0)</f>
        <v>CARGA, MANOBRA E DESCARGA DE SOLOS E MATERIAIS GRANULARES EM CAMINHÃO BASCULANTE 14 M³ - CARGA COM ESCAVADEIRA HIDRÁULICA (CAÇAMBA DE 1,20 M³ / 155 HP) E DESCARGA LIVRE (UNIDADE: M3). AF_07/2020</v>
      </c>
      <c r="C768" s="149" t="str">
        <f>VLOOKUP(A768,ORÇAMENTO!$A:$F,5,0)</f>
        <v>M³</v>
      </c>
      <c r="D768" s="149">
        <f>SUM(E773:O773)</f>
        <v>253.92534120385776</v>
      </c>
      <c r="E768" s="149" t="s">
        <v>2177</v>
      </c>
      <c r="F768" s="149" t="s">
        <v>2150</v>
      </c>
      <c r="G768" s="149" t="s">
        <v>2151</v>
      </c>
      <c r="H768" s="149" t="s">
        <v>2152</v>
      </c>
      <c r="I768" s="149" t="s">
        <v>2153</v>
      </c>
      <c r="J768" s="149" t="s">
        <v>2154</v>
      </c>
      <c r="K768" s="149" t="s">
        <v>2172</v>
      </c>
      <c r="L768" s="149" t="s">
        <v>2178</v>
      </c>
      <c r="M768" s="149" t="s">
        <v>2160</v>
      </c>
      <c r="N768" s="149" t="s">
        <v>2157</v>
      </c>
      <c r="O768" s="149" t="s">
        <v>2158</v>
      </c>
      <c r="P768" s="145"/>
      <c r="Q768" s="145"/>
      <c r="R768" s="145"/>
      <c r="S768" s="145"/>
    </row>
    <row r="769" spans="1:17" s="146" customFormat="1" ht="21" x14ac:dyDescent="0.25">
      <c r="A769" s="151"/>
      <c r="B769" s="152" t="s">
        <v>2228</v>
      </c>
      <c r="C769" s="160"/>
      <c r="D769" s="161"/>
      <c r="E769" s="161"/>
      <c r="F769" s="161"/>
      <c r="G769" s="161"/>
      <c r="H769" s="161"/>
      <c r="I769" s="161"/>
      <c r="J769" s="161"/>
      <c r="K769" s="161"/>
      <c r="L769" s="171"/>
      <c r="M769" s="161"/>
      <c r="N769" s="161"/>
      <c r="O769" s="161">
        <f>O775+O776+O777</f>
        <v>0</v>
      </c>
      <c r="P769" s="155"/>
      <c r="Q769" s="145"/>
    </row>
    <row r="770" spans="1:17" s="146" customFormat="1" ht="21" x14ac:dyDescent="0.25">
      <c r="A770" s="151"/>
      <c r="B770" s="152" t="s">
        <v>2229</v>
      </c>
      <c r="C770" s="160"/>
      <c r="D770" s="161"/>
      <c r="E770" s="161"/>
      <c r="F770" s="161"/>
      <c r="G770" s="161"/>
      <c r="H770" s="161"/>
      <c r="I770" s="161"/>
      <c r="J770" s="161"/>
      <c r="K770" s="161"/>
      <c r="L770" s="171"/>
      <c r="M770" s="161"/>
      <c r="N770" s="161"/>
      <c r="O770" s="161">
        <f>O704</f>
        <v>34.439497173965457</v>
      </c>
      <c r="P770" s="155"/>
      <c r="Q770" s="145"/>
    </row>
    <row r="771" spans="1:17" s="146" customFormat="1" ht="31.5" x14ac:dyDescent="0.25">
      <c r="A771" s="151"/>
      <c r="B771" s="152" t="s">
        <v>2230</v>
      </c>
      <c r="C771" s="160"/>
      <c r="D771" s="161"/>
      <c r="E771" s="161"/>
      <c r="F771" s="161"/>
      <c r="G771" s="161"/>
      <c r="H771" s="161"/>
      <c r="I771" s="161"/>
      <c r="J771" s="161"/>
      <c r="K771" s="161"/>
      <c r="L771" s="171"/>
      <c r="M771" s="161"/>
      <c r="N771" s="161"/>
      <c r="O771" s="161">
        <f>O708</f>
        <v>219.48584402989229</v>
      </c>
      <c r="P771" s="155"/>
      <c r="Q771" s="145"/>
    </row>
    <row r="772" spans="1:17" s="146" customFormat="1" ht="10.5" x14ac:dyDescent="0.25">
      <c r="A772" s="151"/>
      <c r="B772" s="152"/>
      <c r="C772" s="160"/>
      <c r="D772" s="161"/>
      <c r="E772" s="161"/>
      <c r="F772" s="161"/>
      <c r="G772" s="161"/>
      <c r="H772" s="161"/>
      <c r="I772" s="161"/>
      <c r="J772" s="161"/>
      <c r="K772" s="161"/>
      <c r="L772" s="171"/>
      <c r="M772" s="161"/>
      <c r="N772" s="161"/>
      <c r="O772" s="161"/>
      <c r="P772" s="155"/>
      <c r="Q772" s="145"/>
    </row>
    <row r="773" spans="1:17" s="146" customFormat="1" ht="10.5" x14ac:dyDescent="0.25">
      <c r="A773" s="151"/>
      <c r="B773" s="157" t="s">
        <v>377</v>
      </c>
      <c r="C773" s="158" t="s">
        <v>402</v>
      </c>
      <c r="D773" s="158"/>
      <c r="E773" s="158"/>
      <c r="F773" s="158"/>
      <c r="G773" s="158"/>
      <c r="H773" s="158"/>
      <c r="I773" s="158"/>
      <c r="J773" s="158"/>
      <c r="K773" s="158"/>
      <c r="L773" s="158"/>
      <c r="M773" s="160"/>
      <c r="N773" s="158"/>
      <c r="O773" s="158">
        <f>SUM(O769:O772)</f>
        <v>253.92534120385776</v>
      </c>
      <c r="P773" s="159"/>
      <c r="Q773" s="145"/>
    </row>
    <row r="774" spans="1:17" s="150" customFormat="1" ht="31.5" x14ac:dyDescent="0.25">
      <c r="A774" s="147" t="str">
        <f>ORÇAMENTO!A182</f>
        <v>4.1.2.4.16</v>
      </c>
      <c r="B774" s="148" t="str">
        <f>VLOOKUP(A774,ORÇAMENTO!$A:$F,4,0)</f>
        <v>TRANSPORTE COM CAMINHÃO BASCULANTE DE 14 M³, EM VIA URBANA PAVIMENTADA, DMT ATÉ 30 KM (UNIDADE: M3XKM). AF_07/2020</v>
      </c>
      <c r="C774" s="149" t="str">
        <f>VLOOKUP(A774,ORÇAMENTO!$A:$F,5,0)</f>
        <v>M3XKM</v>
      </c>
      <c r="D774" s="149">
        <f>SUM(E780:O780)</f>
        <v>6500.4887348187585</v>
      </c>
      <c r="E774" s="149" t="s">
        <v>2174</v>
      </c>
      <c r="F774" s="149" t="s">
        <v>2150</v>
      </c>
      <c r="G774" s="149" t="s">
        <v>2151</v>
      </c>
      <c r="H774" s="149" t="s">
        <v>2152</v>
      </c>
      <c r="I774" s="149" t="s">
        <v>2153</v>
      </c>
      <c r="J774" s="149" t="s">
        <v>2154</v>
      </c>
      <c r="K774" s="149" t="s">
        <v>2155</v>
      </c>
      <c r="L774" s="149" t="s">
        <v>2178</v>
      </c>
      <c r="M774" s="149" t="s">
        <v>2175</v>
      </c>
      <c r="N774" s="149" t="s">
        <v>2157</v>
      </c>
      <c r="O774" s="149" t="s">
        <v>2158</v>
      </c>
      <c r="P774" s="145"/>
      <c r="Q774" s="145"/>
    </row>
    <row r="775" spans="1:17" s="146" customFormat="1" ht="21" x14ac:dyDescent="0.25">
      <c r="A775" s="151"/>
      <c r="B775" s="152" t="s">
        <v>2231</v>
      </c>
      <c r="C775" s="160"/>
      <c r="D775" s="161"/>
      <c r="E775" s="161">
        <v>0.2</v>
      </c>
      <c r="F775" s="161"/>
      <c r="G775" s="161"/>
      <c r="H775" s="161"/>
      <c r="I775" s="161"/>
      <c r="J775" s="161"/>
      <c r="K775" s="161"/>
      <c r="L775" s="161"/>
      <c r="M775" s="161">
        <f>O775*E775</f>
        <v>0</v>
      </c>
      <c r="N775" s="161"/>
      <c r="O775" s="161">
        <f>O764</f>
        <v>0</v>
      </c>
      <c r="P775" s="145"/>
      <c r="Q775" s="145"/>
    </row>
    <row r="776" spans="1:17" s="146" customFormat="1" ht="31.5" x14ac:dyDescent="0.25">
      <c r="A776" s="151"/>
      <c r="B776" s="152" t="s">
        <v>2232</v>
      </c>
      <c r="C776" s="160"/>
      <c r="D776" s="161"/>
      <c r="E776" s="161">
        <v>0.2</v>
      </c>
      <c r="F776" s="161"/>
      <c r="G776" s="161"/>
      <c r="H776" s="161"/>
      <c r="I776" s="161"/>
      <c r="J776" s="161"/>
      <c r="K776" s="161"/>
      <c r="L776" s="161"/>
      <c r="M776" s="161">
        <f>O776*E776</f>
        <v>0</v>
      </c>
      <c r="N776" s="161"/>
      <c r="O776" s="161">
        <f>Quantitativos!AX29</f>
        <v>0</v>
      </c>
      <c r="P776" s="145"/>
      <c r="Q776" s="145"/>
    </row>
    <row r="777" spans="1:17" s="146" customFormat="1" ht="31.5" x14ac:dyDescent="0.25">
      <c r="A777" s="151"/>
      <c r="B777" s="152" t="s">
        <v>2233</v>
      </c>
      <c r="C777" s="160"/>
      <c r="D777" s="161"/>
      <c r="E777" s="161">
        <v>0.2</v>
      </c>
      <c r="F777" s="161"/>
      <c r="G777" s="161"/>
      <c r="H777" s="161"/>
      <c r="I777" s="161"/>
      <c r="J777" s="161"/>
      <c r="K777" s="161"/>
      <c r="L777" s="161"/>
      <c r="M777" s="161">
        <f>O777*E777</f>
        <v>0</v>
      </c>
      <c r="N777" s="161"/>
      <c r="O777" s="161">
        <f>Quantitativos!BA29</f>
        <v>0</v>
      </c>
      <c r="P777" s="155"/>
      <c r="Q777" s="145"/>
    </row>
    <row r="778" spans="1:17" s="146" customFormat="1" ht="31.5" x14ac:dyDescent="0.25">
      <c r="A778" s="151"/>
      <c r="B778" s="152" t="s">
        <v>2234</v>
      </c>
      <c r="C778" s="160"/>
      <c r="D778" s="161"/>
      <c r="E778" s="161">
        <v>25.6</v>
      </c>
      <c r="F778" s="161"/>
      <c r="G778" s="161"/>
      <c r="H778" s="161"/>
      <c r="I778" s="161"/>
      <c r="J778" s="161"/>
      <c r="K778" s="161"/>
      <c r="L778" s="161"/>
      <c r="M778" s="161">
        <f t="shared" ref="M778:M779" si="15">O778*E778</f>
        <v>881.65112765351569</v>
      </c>
      <c r="N778" s="161"/>
      <c r="O778" s="161">
        <f>O770</f>
        <v>34.439497173965457</v>
      </c>
      <c r="P778" s="155"/>
      <c r="Q778" s="145"/>
    </row>
    <row r="779" spans="1:17" s="146" customFormat="1" ht="31.5" x14ac:dyDescent="0.25">
      <c r="A779" s="151"/>
      <c r="B779" s="152" t="s">
        <v>2235</v>
      </c>
      <c r="C779" s="160"/>
      <c r="D779" s="161"/>
      <c r="E779" s="161">
        <v>25.6</v>
      </c>
      <c r="F779" s="161"/>
      <c r="G779" s="161"/>
      <c r="H779" s="161"/>
      <c r="I779" s="161"/>
      <c r="J779" s="161"/>
      <c r="K779" s="161"/>
      <c r="L779" s="161"/>
      <c r="M779" s="161">
        <f t="shared" si="15"/>
        <v>5618.8376071652428</v>
      </c>
      <c r="N779" s="161"/>
      <c r="O779" s="161">
        <f>O771</f>
        <v>219.48584402989229</v>
      </c>
      <c r="P779" s="155"/>
      <c r="Q779" s="145"/>
    </row>
    <row r="780" spans="1:17" s="146" customFormat="1" ht="10.5" x14ac:dyDescent="0.25">
      <c r="A780" s="151"/>
      <c r="B780" s="157" t="s">
        <v>377</v>
      </c>
      <c r="C780" s="158" t="s">
        <v>402</v>
      </c>
      <c r="D780" s="158"/>
      <c r="E780" s="158"/>
      <c r="F780" s="158"/>
      <c r="G780" s="158"/>
      <c r="H780" s="158"/>
      <c r="I780" s="158"/>
      <c r="J780" s="158"/>
      <c r="K780" s="158"/>
      <c r="L780" s="158"/>
      <c r="M780" s="158">
        <f>SUM(M775:M779)</f>
        <v>6500.4887348187585</v>
      </c>
      <c r="N780" s="158"/>
      <c r="O780" s="158"/>
      <c r="P780" s="159"/>
      <c r="Q780" s="145"/>
    </row>
    <row r="781" spans="1:17" s="150" customFormat="1" ht="52.5" x14ac:dyDescent="0.25">
      <c r="A781" s="147" t="str">
        <f>ORÇAMENTO!A183</f>
        <v>4.1.2.4.17</v>
      </c>
      <c r="B781" s="148" t="str">
        <f>VLOOKUP(A781,ORÇAMENTO!$A:$F,4,0)</f>
        <v>ASSENTAMENTO DE TUBO DE CONCRETO PARA REDES COLETORAS DE ÁGUAS PLUVIAIS, DIÂMETRO DE 600 MM, JUNTA RÍGIDA, INSTALADO EM LOCAL COM ALTO NÍVEL DE INTERFERÊNCIAS (NÃO INCLUI FORNECIMENTO). AF_03/2024</v>
      </c>
      <c r="C781" s="149" t="str">
        <f>VLOOKUP(A781,ORÇAMENTO!$A:$F,5,0)</f>
        <v>M</v>
      </c>
      <c r="D781" s="149">
        <f>SUM(E784:O784)</f>
        <v>245.99640838546759</v>
      </c>
      <c r="E781" s="149" t="s">
        <v>2149</v>
      </c>
      <c r="F781" s="149" t="s">
        <v>2150</v>
      </c>
      <c r="G781" s="149" t="s">
        <v>2151</v>
      </c>
      <c r="H781" s="149" t="s">
        <v>2152</v>
      </c>
      <c r="I781" s="149" t="s">
        <v>2153</v>
      </c>
      <c r="J781" s="149" t="s">
        <v>2154</v>
      </c>
      <c r="K781" s="149" t="s">
        <v>2155</v>
      </c>
      <c r="L781" s="149" t="s">
        <v>2178</v>
      </c>
      <c r="M781" s="149" t="s">
        <v>2160</v>
      </c>
      <c r="N781" s="149" t="s">
        <v>2157</v>
      </c>
      <c r="O781" s="149" t="s">
        <v>2158</v>
      </c>
      <c r="P781" s="145"/>
      <c r="Q781" s="145"/>
    </row>
    <row r="782" spans="1:17" s="146" customFormat="1" ht="10.5" x14ac:dyDescent="0.25">
      <c r="A782" s="151"/>
      <c r="B782" s="157"/>
      <c r="C782" s="160"/>
      <c r="D782" s="161"/>
      <c r="E782" s="161">
        <f>Quantitativos!BU33</f>
        <v>245.99640838546759</v>
      </c>
      <c r="F782" s="161"/>
      <c r="G782" s="161"/>
      <c r="H782" s="161"/>
      <c r="I782" s="161"/>
      <c r="J782" s="161"/>
      <c r="K782" s="161"/>
      <c r="L782" s="161"/>
      <c r="M782" s="161"/>
      <c r="N782" s="161"/>
      <c r="O782" s="161"/>
      <c r="P782" s="145"/>
      <c r="Q782" s="145"/>
    </row>
    <row r="783" spans="1:17" s="146" customFormat="1" ht="10.5" x14ac:dyDescent="0.25">
      <c r="A783" s="151"/>
      <c r="B783" s="152"/>
      <c r="C783" s="160"/>
      <c r="D783" s="161"/>
      <c r="E783" s="161"/>
      <c r="F783" s="161"/>
      <c r="G783" s="161"/>
      <c r="H783" s="161"/>
      <c r="I783" s="161"/>
      <c r="J783" s="161"/>
      <c r="K783" s="161"/>
      <c r="L783" s="161"/>
      <c r="M783" s="161"/>
      <c r="N783" s="161"/>
      <c r="O783" s="161"/>
      <c r="P783" s="155"/>
      <c r="Q783" s="145"/>
    </row>
    <row r="784" spans="1:17" s="146" customFormat="1" ht="10.5" x14ac:dyDescent="0.25">
      <c r="A784" s="151"/>
      <c r="B784" s="157" t="s">
        <v>377</v>
      </c>
      <c r="C784" s="158" t="s">
        <v>402</v>
      </c>
      <c r="D784" s="158"/>
      <c r="E784" s="158">
        <f>SUM(E782:E783)</f>
        <v>245.99640838546759</v>
      </c>
      <c r="F784" s="158"/>
      <c r="G784" s="158"/>
      <c r="H784" s="158"/>
      <c r="I784" s="158"/>
      <c r="J784" s="158"/>
      <c r="K784" s="158"/>
      <c r="L784" s="158"/>
      <c r="M784" s="158"/>
      <c r="N784" s="158"/>
      <c r="O784" s="158"/>
      <c r="P784" s="159"/>
      <c r="Q784" s="145"/>
    </row>
    <row r="785" spans="1:17" s="150" customFormat="1" ht="52.5" x14ac:dyDescent="0.25">
      <c r="A785" s="147" t="str">
        <f>ORÇAMENTO!A184</f>
        <v>4.1.2.4.18</v>
      </c>
      <c r="B785" s="148" t="str">
        <f>VLOOKUP(A785,ORÇAMENTO!$A:$F,4,0)</f>
        <v>ASSENTAMENTO DE TUBO DE CONCRETO PARA REDES COLETORAS DE ÁGUAS PLUVIAIS, DIÂMETRO DE 1000 MM, JUNTA RÍGIDA, INSTALADO EM LOCAL COM ALTO NÍVEL DE INTERFERÊNCIAS (NÃO INCLUI FORNECIMENTO). AF_03/2024</v>
      </c>
      <c r="C785" s="149" t="str">
        <f>VLOOKUP(A785,ORÇAMENTO!$A:$F,5,0)</f>
        <v>M</v>
      </c>
      <c r="D785" s="149">
        <f>SUM(E788:O788)</f>
        <v>73.617146766307656</v>
      </c>
      <c r="E785" s="149" t="s">
        <v>2149</v>
      </c>
      <c r="F785" s="149" t="s">
        <v>2150</v>
      </c>
      <c r="G785" s="149" t="s">
        <v>2151</v>
      </c>
      <c r="H785" s="149" t="s">
        <v>2152</v>
      </c>
      <c r="I785" s="149" t="s">
        <v>2153</v>
      </c>
      <c r="J785" s="149" t="s">
        <v>2154</v>
      </c>
      <c r="K785" s="149" t="s">
        <v>2155</v>
      </c>
      <c r="L785" s="149" t="s">
        <v>2178</v>
      </c>
      <c r="M785" s="149" t="s">
        <v>2160</v>
      </c>
      <c r="N785" s="149" t="s">
        <v>2157</v>
      </c>
      <c r="O785" s="149" t="s">
        <v>2158</v>
      </c>
      <c r="P785" s="145"/>
      <c r="Q785" s="145"/>
    </row>
    <row r="786" spans="1:17" s="146" customFormat="1" ht="10.5" x14ac:dyDescent="0.25">
      <c r="A786" s="151"/>
      <c r="B786" s="157"/>
      <c r="C786" s="160"/>
      <c r="D786" s="161"/>
      <c r="E786" s="161">
        <f>Quantitativos!CC33</f>
        <v>73.617146766307656</v>
      </c>
      <c r="F786" s="161"/>
      <c r="G786" s="161"/>
      <c r="H786" s="161"/>
      <c r="I786" s="161"/>
      <c r="J786" s="161"/>
      <c r="K786" s="161"/>
      <c r="L786" s="161"/>
      <c r="M786" s="161"/>
      <c r="N786" s="161"/>
      <c r="O786" s="161"/>
      <c r="P786" s="145"/>
      <c r="Q786" s="145"/>
    </row>
    <row r="787" spans="1:17" s="146" customFormat="1" ht="10.5" x14ac:dyDescent="0.25">
      <c r="A787" s="151"/>
      <c r="B787" s="152"/>
      <c r="C787" s="160"/>
      <c r="D787" s="161"/>
      <c r="E787" s="161"/>
      <c r="F787" s="161"/>
      <c r="G787" s="161"/>
      <c r="H787" s="161"/>
      <c r="I787" s="161"/>
      <c r="J787" s="161"/>
      <c r="K787" s="161"/>
      <c r="L787" s="161"/>
      <c r="M787" s="161"/>
      <c r="N787" s="161"/>
      <c r="O787" s="161"/>
      <c r="P787" s="155"/>
      <c r="Q787" s="145"/>
    </row>
    <row r="788" spans="1:17" s="146" customFormat="1" ht="10.5" x14ac:dyDescent="0.25">
      <c r="A788" s="151"/>
      <c r="B788" s="157" t="s">
        <v>377</v>
      </c>
      <c r="C788" s="158" t="s">
        <v>402</v>
      </c>
      <c r="D788" s="158"/>
      <c r="E788" s="158">
        <f>SUM(E786:E787)</f>
        <v>73.617146766307656</v>
      </c>
      <c r="F788" s="158"/>
      <c r="G788" s="158"/>
      <c r="H788" s="158"/>
      <c r="I788" s="158"/>
      <c r="J788" s="158"/>
      <c r="K788" s="158"/>
      <c r="L788" s="158"/>
      <c r="M788" s="158"/>
      <c r="N788" s="158"/>
      <c r="O788" s="158"/>
      <c r="P788" s="159"/>
      <c r="Q788" s="145"/>
    </row>
    <row r="789" spans="1:17" s="150" customFormat="1" ht="52.5" x14ac:dyDescent="0.25">
      <c r="A789" s="147" t="str">
        <f>ORÇAMENTO!A185</f>
        <v>4.1.2.4.19</v>
      </c>
      <c r="B789" s="148" t="str">
        <f>VLOOKUP(A789,ORÇAMENTO!$A:$F,4,0)</f>
        <v>ASSENTAMENTO DE TUBO DE CONCRETO PARA REDES COLETORAS DE ÁGUAS PLUVIAIS, DIÂMETRO DE 1200 MM, JUNTA RÍGIDA, INSTALADO EM LOCAL COM ALTO NÍVEL DE INTERFERÊNCIAS (NÃO INCLUI FORNECIMENTO). AF_03/2024</v>
      </c>
      <c r="C789" s="149" t="str">
        <f>VLOOKUP(A789,ORÇAMENTO!$A:$F,5,0)</f>
        <v>M</v>
      </c>
      <c r="D789" s="149">
        <f>SUM(E792:O792)</f>
        <v>144.87</v>
      </c>
      <c r="E789" s="149" t="s">
        <v>2149</v>
      </c>
      <c r="F789" s="149" t="s">
        <v>2150</v>
      </c>
      <c r="G789" s="149" t="s">
        <v>2151</v>
      </c>
      <c r="H789" s="149" t="s">
        <v>2152</v>
      </c>
      <c r="I789" s="149" t="s">
        <v>2153</v>
      </c>
      <c r="J789" s="149" t="s">
        <v>2154</v>
      </c>
      <c r="K789" s="149" t="s">
        <v>2155</v>
      </c>
      <c r="L789" s="149" t="s">
        <v>2178</v>
      </c>
      <c r="M789" s="149" t="s">
        <v>2160</v>
      </c>
      <c r="N789" s="149" t="s">
        <v>2157</v>
      </c>
      <c r="O789" s="149" t="s">
        <v>2158</v>
      </c>
      <c r="P789" s="145"/>
      <c r="Q789" s="145"/>
    </row>
    <row r="790" spans="1:17" s="146" customFormat="1" ht="10.5" x14ac:dyDescent="0.25">
      <c r="A790" s="151"/>
      <c r="B790" s="157"/>
      <c r="C790" s="160"/>
      <c r="D790" s="161"/>
      <c r="E790" s="161">
        <f>Quantitativos!CG33</f>
        <v>144.87</v>
      </c>
      <c r="F790" s="161"/>
      <c r="G790" s="161"/>
      <c r="H790" s="161"/>
      <c r="I790" s="161"/>
      <c r="J790" s="161"/>
      <c r="K790" s="161"/>
      <c r="L790" s="161"/>
      <c r="M790" s="161"/>
      <c r="N790" s="161"/>
      <c r="O790" s="161"/>
      <c r="P790" s="145"/>
      <c r="Q790" s="145"/>
    </row>
    <row r="791" spans="1:17" s="146" customFormat="1" ht="10.5" x14ac:dyDescent="0.25">
      <c r="A791" s="151"/>
      <c r="B791" s="152"/>
      <c r="C791" s="160"/>
      <c r="D791" s="161"/>
      <c r="E791" s="161"/>
      <c r="F791" s="161"/>
      <c r="G791" s="161"/>
      <c r="H791" s="161"/>
      <c r="I791" s="161"/>
      <c r="J791" s="161"/>
      <c r="K791" s="161"/>
      <c r="L791" s="161"/>
      <c r="M791" s="161"/>
      <c r="N791" s="161"/>
      <c r="O791" s="161"/>
      <c r="P791" s="155"/>
      <c r="Q791" s="145"/>
    </row>
    <row r="792" spans="1:17" s="146" customFormat="1" ht="10.5" x14ac:dyDescent="0.25">
      <c r="A792" s="151"/>
      <c r="B792" s="157" t="s">
        <v>377</v>
      </c>
      <c r="C792" s="158" t="s">
        <v>402</v>
      </c>
      <c r="D792" s="158"/>
      <c r="E792" s="158">
        <f>SUM(E790:E791)</f>
        <v>144.87</v>
      </c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59"/>
      <c r="Q792" s="145"/>
    </row>
    <row r="793" spans="1:17" s="150" customFormat="1" ht="52.5" x14ac:dyDescent="0.25">
      <c r="A793" s="147" t="str">
        <f>ORÇAMENTO!A186</f>
        <v>4.1.2.4.20</v>
      </c>
      <c r="B793" s="148" t="str">
        <f>VLOOKUP(A793,ORÇAMENTO!$A:$F,4,0)</f>
        <v>ASSENTAMENTO DE TUBO DE CONCRETO PARA REDES COLETORAS DE ÁGUAS PLUVIAIS, DIÂMETRO DE 1500 MM, JUNTA RÍGIDA, INSTALADO EM LOCAL COM ALTO NÍVEL DE INTERFERÊNCIAS (NÃO INCLUI FORNECIMENTO). AF_03/2024</v>
      </c>
      <c r="C793" s="149" t="str">
        <f>VLOOKUP(A793,ORÇAMENTO!$A:$F,5,0)</f>
        <v>M</v>
      </c>
      <c r="D793" s="149">
        <f>SUM(E796:O796)</f>
        <v>287.67999999999995</v>
      </c>
      <c r="E793" s="149" t="s">
        <v>2149</v>
      </c>
      <c r="F793" s="149" t="s">
        <v>2150</v>
      </c>
      <c r="G793" s="149" t="s">
        <v>2151</v>
      </c>
      <c r="H793" s="149" t="s">
        <v>2152</v>
      </c>
      <c r="I793" s="149" t="s">
        <v>2153</v>
      </c>
      <c r="J793" s="149" t="s">
        <v>2154</v>
      </c>
      <c r="K793" s="149" t="s">
        <v>2155</v>
      </c>
      <c r="L793" s="149" t="s">
        <v>2178</v>
      </c>
      <c r="M793" s="149" t="s">
        <v>2160</v>
      </c>
      <c r="N793" s="149" t="s">
        <v>2157</v>
      </c>
      <c r="O793" s="149" t="s">
        <v>2158</v>
      </c>
      <c r="P793" s="145"/>
      <c r="Q793" s="145"/>
    </row>
    <row r="794" spans="1:17" s="146" customFormat="1" ht="10.5" x14ac:dyDescent="0.25">
      <c r="A794" s="151"/>
      <c r="B794" s="157"/>
      <c r="C794" s="160"/>
      <c r="D794" s="161"/>
      <c r="E794" s="161">
        <f>Quantitativos!CK33</f>
        <v>287.67999999999995</v>
      </c>
      <c r="F794" s="161"/>
      <c r="G794" s="161"/>
      <c r="H794" s="161"/>
      <c r="I794" s="161"/>
      <c r="J794" s="161"/>
      <c r="K794" s="161"/>
      <c r="L794" s="161"/>
      <c r="M794" s="161"/>
      <c r="N794" s="161"/>
      <c r="O794" s="161"/>
      <c r="P794" s="145"/>
      <c r="Q794" s="145"/>
    </row>
    <row r="795" spans="1:17" s="146" customFormat="1" ht="10.5" x14ac:dyDescent="0.25">
      <c r="A795" s="151"/>
      <c r="B795" s="152"/>
      <c r="C795" s="160"/>
      <c r="D795" s="161"/>
      <c r="E795" s="161"/>
      <c r="F795" s="161"/>
      <c r="G795" s="161"/>
      <c r="H795" s="161"/>
      <c r="I795" s="161"/>
      <c r="J795" s="161"/>
      <c r="K795" s="161"/>
      <c r="L795" s="161"/>
      <c r="M795" s="161"/>
      <c r="N795" s="161"/>
      <c r="O795" s="161"/>
      <c r="P795" s="155"/>
      <c r="Q795" s="145"/>
    </row>
    <row r="796" spans="1:17" s="146" customFormat="1" ht="10.5" x14ac:dyDescent="0.25">
      <c r="A796" s="151"/>
      <c r="B796" s="157" t="s">
        <v>377</v>
      </c>
      <c r="C796" s="158" t="s">
        <v>402</v>
      </c>
      <c r="D796" s="158"/>
      <c r="E796" s="158">
        <f>SUM(E794:E795)</f>
        <v>287.67999999999995</v>
      </c>
      <c r="F796" s="158"/>
      <c r="G796" s="158"/>
      <c r="H796" s="158"/>
      <c r="I796" s="158"/>
      <c r="J796" s="158"/>
      <c r="K796" s="158"/>
      <c r="L796" s="158"/>
      <c r="M796" s="158"/>
      <c r="N796" s="158"/>
      <c r="O796" s="158"/>
      <c r="P796" s="159"/>
      <c r="Q796" s="145"/>
    </row>
    <row r="797" spans="1:17" s="150" customFormat="1" ht="10.5" x14ac:dyDescent="0.25">
      <c r="A797" s="147" t="str">
        <f>ORÇAMENTO!A187</f>
        <v>4.1.2.5</v>
      </c>
      <c r="B797" s="148" t="str">
        <f>VLOOKUP(A797,ORÇAMENTO!$A:$F,4,0)</f>
        <v>FORNECIMENTO DE TUBOS</v>
      </c>
      <c r="C797" s="149"/>
      <c r="D797" s="149"/>
      <c r="E797" s="149"/>
      <c r="F797" s="149"/>
      <c r="G797" s="149"/>
      <c r="H797" s="149"/>
      <c r="I797" s="149"/>
      <c r="J797" s="149"/>
      <c r="K797" s="149"/>
      <c r="L797" s="149"/>
      <c r="M797" s="149"/>
      <c r="N797" s="149"/>
      <c r="O797" s="149"/>
      <c r="P797" s="145"/>
      <c r="Q797" s="145"/>
    </row>
    <row r="798" spans="1:17" s="150" customFormat="1" ht="42" x14ac:dyDescent="0.25">
      <c r="A798" s="147" t="str">
        <f>ORÇAMENTO!A188</f>
        <v>4.1.2.5.1</v>
      </c>
      <c r="B798" s="148" t="str">
        <f>VLOOKUP(A798,ORÇAMENTO!$A:$F,4,0)</f>
        <v>TRANSPORTE COM CAMINHÃO CARROCERIA COM GUINDAUTO (MUNCK),  MOMENTO MÁXIMO DE CARGA 11,7 TM, EM VIA URBANA PAVIMENTADA, DMT ATÉ 30KM (UNIDADE: TXKM). AF_07/2020</v>
      </c>
      <c r="C798" s="149" t="str">
        <f>VLOOKUP(A798,ORÇAMENTO!$A:$F,5,0)</f>
        <v>TXKM</v>
      </c>
      <c r="D798" s="149">
        <f>SUM(E801:O801)</f>
        <v>34268.592053569897</v>
      </c>
      <c r="E798" s="149" t="s">
        <v>2174</v>
      </c>
      <c r="F798" s="149" t="s">
        <v>2150</v>
      </c>
      <c r="G798" s="149" t="s">
        <v>2151</v>
      </c>
      <c r="H798" s="149" t="s">
        <v>2152</v>
      </c>
      <c r="I798" s="149" t="s">
        <v>2153</v>
      </c>
      <c r="J798" s="149" t="s">
        <v>2154</v>
      </c>
      <c r="K798" s="149" t="s">
        <v>2172</v>
      </c>
      <c r="L798" s="149" t="s">
        <v>2236</v>
      </c>
      <c r="M798" s="149" t="s">
        <v>2160</v>
      </c>
      <c r="N798" s="149" t="s">
        <v>2157</v>
      </c>
      <c r="O798" s="149" t="s">
        <v>2158</v>
      </c>
      <c r="P798" s="145"/>
      <c r="Q798" s="145"/>
    </row>
    <row r="799" spans="1:17" s="146" customFormat="1" ht="21" x14ac:dyDescent="0.25">
      <c r="A799" s="151"/>
      <c r="B799" s="157" t="s">
        <v>2237</v>
      </c>
      <c r="C799" s="160"/>
      <c r="D799" s="161"/>
      <c r="E799" s="161">
        <v>40</v>
      </c>
      <c r="F799" s="161"/>
      <c r="G799" s="161"/>
      <c r="H799" s="161"/>
      <c r="I799" s="161"/>
      <c r="J799" s="161"/>
      <c r="K799" s="161">
        <f>K805+K817+K825+K833</f>
        <v>856.71480133924751</v>
      </c>
      <c r="L799" s="161"/>
      <c r="M799" s="161">
        <f>K799*E799</f>
        <v>34268.592053569897</v>
      </c>
      <c r="N799" s="161"/>
      <c r="O799" s="161"/>
      <c r="P799" s="145"/>
      <c r="Q799" s="145"/>
    </row>
    <row r="800" spans="1:17" s="146" customFormat="1" ht="10.5" x14ac:dyDescent="0.25">
      <c r="A800" s="151"/>
      <c r="B800" s="152"/>
      <c r="C800" s="160"/>
      <c r="D800" s="161"/>
      <c r="E800" s="161"/>
      <c r="F800" s="161"/>
      <c r="G800" s="161"/>
      <c r="H800" s="161"/>
      <c r="I800" s="161"/>
      <c r="J800" s="161"/>
      <c r="K800" s="161"/>
      <c r="L800" s="161"/>
      <c r="M800" s="161"/>
      <c r="N800" s="161"/>
      <c r="O800" s="161"/>
      <c r="P800" s="155"/>
      <c r="Q800" s="145"/>
    </row>
    <row r="801" spans="1:17" s="146" customFormat="1" ht="10.5" x14ac:dyDescent="0.25">
      <c r="A801" s="151"/>
      <c r="B801" s="157" t="s">
        <v>377</v>
      </c>
      <c r="C801" s="158" t="s">
        <v>402</v>
      </c>
      <c r="D801" s="158"/>
      <c r="E801" s="158"/>
      <c r="F801" s="158"/>
      <c r="G801" s="158"/>
      <c r="H801" s="158"/>
      <c r="I801" s="158"/>
      <c r="J801" s="158"/>
      <c r="K801" s="158"/>
      <c r="L801" s="158"/>
      <c r="M801" s="158">
        <f>SUM(M799:M800)</f>
        <v>34268.592053569897</v>
      </c>
      <c r="N801" s="158"/>
      <c r="O801" s="158">
        <f>SUM(O800:O800)</f>
        <v>0</v>
      </c>
      <c r="P801" s="159"/>
      <c r="Q801" s="145"/>
    </row>
    <row r="802" spans="1:17" s="150" customFormat="1" ht="42" x14ac:dyDescent="0.25">
      <c r="A802" s="147" t="str">
        <f>ORÇAMENTO!A189</f>
        <v>4.1.2.5.2</v>
      </c>
      <c r="B802" s="148" t="str">
        <f>VLOOKUP(A802,ORÇAMENTO!$A:$F,4,0)</f>
        <v>CARGA, MANOBRA E DESCARGA DE TUBOS DE CONCRETO, DN 600 MM, EM CAMINHÃO CARROCERIA COM GUINDAUTO (MUNCK) 11,7 TM. AF_07/2020</v>
      </c>
      <c r="C802" s="149" t="str">
        <f>VLOOKUP(A802,ORÇAMENTO!$A:$F,5,0)</f>
        <v>T</v>
      </c>
      <c r="D802" s="149">
        <f>SUM(E805:O805)</f>
        <v>108.23841968960573</v>
      </c>
      <c r="E802" s="149" t="s">
        <v>2149</v>
      </c>
      <c r="F802" s="149" t="s">
        <v>2150</v>
      </c>
      <c r="G802" s="149" t="s">
        <v>2151</v>
      </c>
      <c r="H802" s="149" t="s">
        <v>2152</v>
      </c>
      <c r="I802" s="149" t="s">
        <v>2153</v>
      </c>
      <c r="J802" s="149" t="s">
        <v>2154</v>
      </c>
      <c r="K802" s="149" t="s">
        <v>2172</v>
      </c>
      <c r="L802" s="149" t="s">
        <v>2236</v>
      </c>
      <c r="M802" s="149" t="s">
        <v>2160</v>
      </c>
      <c r="N802" s="149" t="s">
        <v>2157</v>
      </c>
      <c r="O802" s="149" t="s">
        <v>2158</v>
      </c>
      <c r="P802" s="145"/>
      <c r="Q802" s="145"/>
    </row>
    <row r="803" spans="1:17" s="146" customFormat="1" ht="31.5" x14ac:dyDescent="0.25">
      <c r="A803" s="151"/>
      <c r="B803" s="157" t="s">
        <v>2238</v>
      </c>
      <c r="C803" s="160"/>
      <c r="D803" s="161"/>
      <c r="E803" s="161">
        <f>E807+E811</f>
        <v>245.99640838546759</v>
      </c>
      <c r="F803" s="161"/>
      <c r="G803" s="161"/>
      <c r="H803" s="161"/>
      <c r="I803" s="161"/>
      <c r="J803" s="161"/>
      <c r="K803" s="161">
        <f>L803*E803</f>
        <v>108.23841968960573</v>
      </c>
      <c r="L803" s="161">
        <v>0.44</v>
      </c>
      <c r="M803" s="161"/>
      <c r="N803" s="161"/>
      <c r="O803" s="161"/>
      <c r="P803" s="145"/>
      <c r="Q803" s="145"/>
    </row>
    <row r="804" spans="1:17" s="146" customFormat="1" ht="10.5" x14ac:dyDescent="0.25">
      <c r="A804" s="151"/>
      <c r="B804" s="152"/>
      <c r="C804" s="160"/>
      <c r="D804" s="161"/>
      <c r="E804" s="161"/>
      <c r="F804" s="161"/>
      <c r="G804" s="161"/>
      <c r="H804" s="161"/>
      <c r="I804" s="161"/>
      <c r="J804" s="161"/>
      <c r="K804" s="161"/>
      <c r="L804" s="161"/>
      <c r="M804" s="161"/>
      <c r="N804" s="161"/>
      <c r="O804" s="161"/>
      <c r="P804" s="155"/>
      <c r="Q804" s="145"/>
    </row>
    <row r="805" spans="1:17" s="146" customFormat="1" ht="10.5" x14ac:dyDescent="0.25">
      <c r="A805" s="151"/>
      <c r="B805" s="157" t="s">
        <v>377</v>
      </c>
      <c r="C805" s="158" t="s">
        <v>402</v>
      </c>
      <c r="D805" s="158"/>
      <c r="E805" s="158"/>
      <c r="F805" s="158"/>
      <c r="G805" s="158"/>
      <c r="H805" s="158"/>
      <c r="I805" s="158"/>
      <c r="J805" s="158"/>
      <c r="K805" s="158">
        <f>SUM(K803:K804)</f>
        <v>108.23841968960573</v>
      </c>
      <c r="L805" s="158"/>
      <c r="M805" s="158"/>
      <c r="N805" s="158"/>
      <c r="O805" s="158">
        <f>SUM(O804:O804)</f>
        <v>0</v>
      </c>
      <c r="P805" s="159"/>
      <c r="Q805" s="145"/>
    </row>
    <row r="806" spans="1:17" s="150" customFormat="1" ht="31.5" x14ac:dyDescent="0.25">
      <c r="A806" s="147" t="str">
        <f>ORÇAMENTO!A190</f>
        <v>4.1.2.5.3</v>
      </c>
      <c r="B806" s="148" t="str">
        <f>VLOOKUP(A806,ORÇAMENTO!$A:$F,4,0)</f>
        <v>TUBO DE CONCRETO ARMADO PARA AGUAS PLUVIAIS, CLASSE PA-1, COM ENCAIXE PONTA E BOLSA, DIAMETRO NOMINAL DE = 600 MM</v>
      </c>
      <c r="C806" s="149" t="str">
        <f>VLOOKUP(A806,ORÇAMENTO!$A:$F,5,0)</f>
        <v>M</v>
      </c>
      <c r="D806" s="149">
        <f>SUM(E809:O809)</f>
        <v>129.17524667224592</v>
      </c>
      <c r="E806" s="149" t="s">
        <v>2149</v>
      </c>
      <c r="F806" s="149" t="s">
        <v>2150</v>
      </c>
      <c r="G806" s="149" t="s">
        <v>2151</v>
      </c>
      <c r="H806" s="149" t="s">
        <v>2152</v>
      </c>
      <c r="I806" s="149" t="s">
        <v>2153</v>
      </c>
      <c r="J806" s="149" t="s">
        <v>2154</v>
      </c>
      <c r="K806" s="149" t="s">
        <v>2172</v>
      </c>
      <c r="L806" s="149" t="s">
        <v>2236</v>
      </c>
      <c r="M806" s="149" t="s">
        <v>2160</v>
      </c>
      <c r="N806" s="149" t="s">
        <v>2157</v>
      </c>
      <c r="O806" s="149" t="s">
        <v>2158</v>
      </c>
      <c r="P806" s="145"/>
      <c r="Q806" s="145"/>
    </row>
    <row r="807" spans="1:17" s="146" customFormat="1" ht="10.5" x14ac:dyDescent="0.25">
      <c r="A807" s="151"/>
      <c r="B807" s="157"/>
      <c r="C807" s="153"/>
      <c r="D807" s="154"/>
      <c r="E807" s="154">
        <f>Quantitativos!BU31</f>
        <v>129.17524667224592</v>
      </c>
      <c r="F807" s="154"/>
      <c r="G807" s="154"/>
      <c r="H807" s="154"/>
      <c r="I807" s="154"/>
      <c r="J807" s="154"/>
      <c r="K807" s="154"/>
      <c r="L807" s="154"/>
      <c r="M807" s="154"/>
      <c r="N807" s="154"/>
      <c r="O807" s="154"/>
      <c r="P807" s="145"/>
      <c r="Q807" s="145"/>
    </row>
    <row r="808" spans="1:17" s="146" customFormat="1" ht="10.5" x14ac:dyDescent="0.25">
      <c r="A808" s="151"/>
      <c r="B808" s="152"/>
      <c r="C808" s="153"/>
      <c r="D808" s="154"/>
      <c r="E808" s="154"/>
      <c r="F808" s="154"/>
      <c r="G808" s="154"/>
      <c r="H808" s="154"/>
      <c r="I808" s="154"/>
      <c r="J808" s="154"/>
      <c r="K808" s="154"/>
      <c r="L808" s="154"/>
      <c r="M808" s="154"/>
      <c r="N808" s="154"/>
      <c r="O808" s="154"/>
      <c r="P808" s="155"/>
      <c r="Q808" s="145"/>
    </row>
    <row r="809" spans="1:17" s="146" customFormat="1" ht="10.5" x14ac:dyDescent="0.25">
      <c r="A809" s="151"/>
      <c r="B809" s="157" t="s">
        <v>377</v>
      </c>
      <c r="C809" s="158" t="s">
        <v>402</v>
      </c>
      <c r="D809" s="158"/>
      <c r="E809" s="158">
        <f>SUM(E807:E808)</f>
        <v>129.17524667224592</v>
      </c>
      <c r="F809" s="158"/>
      <c r="G809" s="158"/>
      <c r="H809" s="158"/>
      <c r="I809" s="158"/>
      <c r="J809" s="158"/>
      <c r="K809" s="158"/>
      <c r="L809" s="158"/>
      <c r="M809" s="158"/>
      <c r="N809" s="158"/>
      <c r="O809" s="158"/>
      <c r="P809" s="159"/>
      <c r="Q809" s="145"/>
    </row>
    <row r="810" spans="1:17" s="150" customFormat="1" ht="31.5" x14ac:dyDescent="0.25">
      <c r="A810" s="147" t="str">
        <f>ORÇAMENTO!A191</f>
        <v>4.1.2.5.4</v>
      </c>
      <c r="B810" s="148" t="str">
        <f>VLOOKUP(A810,ORÇAMENTO!$A:$F,4,0)</f>
        <v>TUBO DE CONCRETO ARMADO PARA AGUAS PLUVIAIS, CLASSE PA-2, COM ENCAIXE PONTA E BOLSA, DIAMETRO NOMINAL DE 600 MM</v>
      </c>
      <c r="C810" s="149" t="str">
        <f>VLOOKUP(A810,ORÇAMENTO!$A:$F,5,0)</f>
        <v>M</v>
      </c>
      <c r="D810" s="149">
        <f>SUM(E813:O813)</f>
        <v>116.82116171322166</v>
      </c>
      <c r="E810" s="149" t="s">
        <v>2149</v>
      </c>
      <c r="F810" s="149" t="s">
        <v>2150</v>
      </c>
      <c r="G810" s="149" t="s">
        <v>2151</v>
      </c>
      <c r="H810" s="149" t="s">
        <v>2152</v>
      </c>
      <c r="I810" s="149" t="s">
        <v>2153</v>
      </c>
      <c r="J810" s="149" t="s">
        <v>2154</v>
      </c>
      <c r="K810" s="149" t="s">
        <v>2172</v>
      </c>
      <c r="L810" s="149" t="s">
        <v>2236</v>
      </c>
      <c r="M810" s="149" t="s">
        <v>2160</v>
      </c>
      <c r="N810" s="149" t="s">
        <v>2157</v>
      </c>
      <c r="O810" s="149" t="s">
        <v>2158</v>
      </c>
      <c r="P810" s="145"/>
      <c r="Q810" s="145"/>
    </row>
    <row r="811" spans="1:17" s="146" customFormat="1" ht="10.5" x14ac:dyDescent="0.25">
      <c r="A811" s="151"/>
      <c r="B811" s="157"/>
      <c r="C811" s="153"/>
      <c r="D811" s="154"/>
      <c r="E811" s="154">
        <f>Quantitativos!BV31</f>
        <v>116.82116171322166</v>
      </c>
      <c r="F811" s="154"/>
      <c r="G811" s="154"/>
      <c r="H811" s="154"/>
      <c r="I811" s="154"/>
      <c r="J811" s="154"/>
      <c r="K811" s="154"/>
      <c r="L811" s="154"/>
      <c r="M811" s="154"/>
      <c r="N811" s="154"/>
      <c r="O811" s="154"/>
      <c r="P811" s="145"/>
      <c r="Q811" s="145"/>
    </row>
    <row r="812" spans="1:17" s="146" customFormat="1" ht="10.5" x14ac:dyDescent="0.25">
      <c r="A812" s="151"/>
      <c r="B812" s="152"/>
      <c r="C812" s="153"/>
      <c r="D812" s="154"/>
      <c r="E812" s="154"/>
      <c r="F812" s="154"/>
      <c r="G812" s="154"/>
      <c r="H812" s="154"/>
      <c r="I812" s="154"/>
      <c r="J812" s="154"/>
      <c r="K812" s="154"/>
      <c r="L812" s="154"/>
      <c r="M812" s="154"/>
      <c r="N812" s="154"/>
      <c r="O812" s="154"/>
      <c r="P812" s="155"/>
      <c r="Q812" s="145"/>
    </row>
    <row r="813" spans="1:17" s="146" customFormat="1" ht="10.5" x14ac:dyDescent="0.25">
      <c r="A813" s="151"/>
      <c r="B813" s="157" t="s">
        <v>377</v>
      </c>
      <c r="C813" s="158" t="s">
        <v>402</v>
      </c>
      <c r="D813" s="158"/>
      <c r="E813" s="158">
        <f>SUM(E811:E812)</f>
        <v>116.82116171322166</v>
      </c>
      <c r="F813" s="158"/>
      <c r="G813" s="158"/>
      <c r="H813" s="158"/>
      <c r="I813" s="158"/>
      <c r="J813" s="158"/>
      <c r="K813" s="158"/>
      <c r="L813" s="158"/>
      <c r="M813" s="158"/>
      <c r="N813" s="158"/>
      <c r="O813" s="158"/>
      <c r="P813" s="159"/>
      <c r="Q813" s="145"/>
    </row>
    <row r="814" spans="1:17" s="150" customFormat="1" ht="42" x14ac:dyDescent="0.25">
      <c r="A814" s="147" t="str">
        <f>ORÇAMENTO!A192</f>
        <v>4.1.2.5.5</v>
      </c>
      <c r="B814" s="148" t="str">
        <f>VLOOKUP(A814,ORÇAMENTO!$A:$F,4,0)</f>
        <v>CARGA, MANOBRA E DESCARGA DE TUBOS DE CONCRETO, DN 1000 MM, EM CAMINHÃO CARROCERIA COM GUINDAUTO (MUNCK) 11,7 TM. AF_07/2020</v>
      </c>
      <c r="C814" s="149" t="str">
        <f>VLOOKUP(A814,ORÇAMENTO!$A:$F,5,0)</f>
        <v>T</v>
      </c>
      <c r="D814" s="149">
        <f>SUM(E817:O817)</f>
        <v>74.110381649641909</v>
      </c>
      <c r="E814" s="149" t="s">
        <v>2149</v>
      </c>
      <c r="F814" s="149" t="s">
        <v>2150</v>
      </c>
      <c r="G814" s="149" t="s">
        <v>2151</v>
      </c>
      <c r="H814" s="149" t="s">
        <v>2152</v>
      </c>
      <c r="I814" s="149" t="s">
        <v>2153</v>
      </c>
      <c r="J814" s="149" t="s">
        <v>2154</v>
      </c>
      <c r="K814" s="149" t="s">
        <v>2172</v>
      </c>
      <c r="L814" s="149" t="s">
        <v>2236</v>
      </c>
      <c r="M814" s="149" t="s">
        <v>2160</v>
      </c>
      <c r="N814" s="149" t="s">
        <v>2157</v>
      </c>
      <c r="O814" s="149" t="s">
        <v>2158</v>
      </c>
      <c r="P814" s="145"/>
      <c r="Q814" s="145"/>
    </row>
    <row r="815" spans="1:17" s="146" customFormat="1" ht="31.5" x14ac:dyDescent="0.25">
      <c r="A815" s="151"/>
      <c r="B815" s="157" t="s">
        <v>2238</v>
      </c>
      <c r="C815" s="160"/>
      <c r="D815" s="161"/>
      <c r="E815" s="161">
        <f>E819</f>
        <v>73.617146766307656</v>
      </c>
      <c r="F815" s="161"/>
      <c r="G815" s="161"/>
      <c r="H815" s="161"/>
      <c r="I815" s="161"/>
      <c r="J815" s="161"/>
      <c r="K815" s="161">
        <f>L815*E815</f>
        <v>74.110381649641909</v>
      </c>
      <c r="L815" s="161">
        <v>1.0066999999999999</v>
      </c>
      <c r="M815" s="161"/>
      <c r="N815" s="161"/>
      <c r="O815" s="161"/>
      <c r="P815" s="145"/>
      <c r="Q815" s="145"/>
    </row>
    <row r="816" spans="1:17" s="146" customFormat="1" ht="10.5" x14ac:dyDescent="0.25">
      <c r="A816" s="151"/>
      <c r="B816" s="152"/>
      <c r="C816" s="160"/>
      <c r="D816" s="161"/>
      <c r="E816" s="161"/>
      <c r="F816" s="161"/>
      <c r="G816" s="161"/>
      <c r="H816" s="161"/>
      <c r="I816" s="161"/>
      <c r="J816" s="161"/>
      <c r="K816" s="161"/>
      <c r="L816" s="161"/>
      <c r="M816" s="161"/>
      <c r="N816" s="161"/>
      <c r="O816" s="161"/>
      <c r="P816" s="155"/>
      <c r="Q816" s="145"/>
    </row>
    <row r="817" spans="1:17" s="146" customFormat="1" ht="10.5" x14ac:dyDescent="0.25">
      <c r="A817" s="151"/>
      <c r="B817" s="157" t="s">
        <v>377</v>
      </c>
      <c r="C817" s="158" t="s">
        <v>402</v>
      </c>
      <c r="D817" s="158"/>
      <c r="E817" s="158"/>
      <c r="F817" s="158"/>
      <c r="G817" s="158"/>
      <c r="H817" s="158"/>
      <c r="I817" s="158"/>
      <c r="J817" s="158"/>
      <c r="K817" s="158">
        <f>SUM(K815:K816)</f>
        <v>74.110381649641909</v>
      </c>
      <c r="L817" s="158"/>
      <c r="M817" s="158"/>
      <c r="N817" s="158"/>
      <c r="O817" s="158"/>
      <c r="P817" s="159"/>
      <c r="Q817" s="145"/>
    </row>
    <row r="818" spans="1:17" s="150" customFormat="1" ht="31.5" x14ac:dyDescent="0.25">
      <c r="A818" s="147" t="str">
        <f>ORÇAMENTO!A193</f>
        <v>4.1.2.5.6</v>
      </c>
      <c r="B818" s="148" t="str">
        <f>VLOOKUP(A818,ORÇAMENTO!$A:$F,4,0)</f>
        <v>TUBO DE CONCRETO ARMADO PARA AGUAS PLUVIAIS, CLASSE PA-2, COM ENCAIXE PONTA E BOLSA, DIAMETRO NOMINAL DE 1000 MM</v>
      </c>
      <c r="C818" s="149" t="str">
        <f>VLOOKUP(A818,ORÇAMENTO!$A:$F,5,0)</f>
        <v>M</v>
      </c>
      <c r="D818" s="149">
        <f>SUM(E821:O821)</f>
        <v>73.617146766307656</v>
      </c>
      <c r="E818" s="149" t="s">
        <v>2149</v>
      </c>
      <c r="F818" s="149" t="s">
        <v>2150</v>
      </c>
      <c r="G818" s="149" t="s">
        <v>2151</v>
      </c>
      <c r="H818" s="149" t="s">
        <v>2152</v>
      </c>
      <c r="I818" s="149" t="s">
        <v>2153</v>
      </c>
      <c r="J818" s="149" t="s">
        <v>2154</v>
      </c>
      <c r="K818" s="149" t="s">
        <v>2155</v>
      </c>
      <c r="L818" s="149" t="s">
        <v>2178</v>
      </c>
      <c r="M818" s="149" t="s">
        <v>2160</v>
      </c>
      <c r="N818" s="149" t="s">
        <v>2157</v>
      </c>
      <c r="O818" s="149" t="s">
        <v>2158</v>
      </c>
      <c r="P818" s="145"/>
      <c r="Q818" s="145"/>
    </row>
    <row r="819" spans="1:17" s="146" customFormat="1" ht="10.5" x14ac:dyDescent="0.25">
      <c r="A819" s="151"/>
      <c r="B819" s="157"/>
      <c r="C819" s="160"/>
      <c r="D819" s="161"/>
      <c r="E819" s="161">
        <f>Quantitativos!CD31</f>
        <v>73.617146766307656</v>
      </c>
      <c r="F819" s="161"/>
      <c r="G819" s="161"/>
      <c r="H819" s="161"/>
      <c r="I819" s="161"/>
      <c r="J819" s="161"/>
      <c r="K819" s="161"/>
      <c r="L819" s="161"/>
      <c r="M819" s="161"/>
      <c r="N819" s="161"/>
      <c r="O819" s="161"/>
      <c r="P819" s="145"/>
      <c r="Q819" s="145"/>
    </row>
    <row r="820" spans="1:17" s="146" customFormat="1" ht="10.5" x14ac:dyDescent="0.25">
      <c r="A820" s="151"/>
      <c r="B820" s="152"/>
      <c r="C820" s="160"/>
      <c r="D820" s="161"/>
      <c r="E820" s="161"/>
      <c r="F820" s="161"/>
      <c r="G820" s="161"/>
      <c r="H820" s="161"/>
      <c r="I820" s="161"/>
      <c r="J820" s="161"/>
      <c r="K820" s="161"/>
      <c r="L820" s="161"/>
      <c r="M820" s="161"/>
      <c r="N820" s="161"/>
      <c r="O820" s="161"/>
      <c r="P820" s="155"/>
      <c r="Q820" s="145"/>
    </row>
    <row r="821" spans="1:17" s="146" customFormat="1" ht="15" customHeight="1" x14ac:dyDescent="0.25">
      <c r="A821" s="151"/>
      <c r="B821" s="157" t="s">
        <v>377</v>
      </c>
      <c r="C821" s="158" t="s">
        <v>402</v>
      </c>
      <c r="D821" s="158"/>
      <c r="E821" s="158">
        <f>SUM(E819:E820)</f>
        <v>73.617146766307656</v>
      </c>
      <c r="F821" s="158"/>
      <c r="G821" s="158"/>
      <c r="H821" s="158"/>
      <c r="I821" s="158"/>
      <c r="J821" s="158"/>
      <c r="K821" s="158"/>
      <c r="L821" s="158"/>
      <c r="M821" s="158"/>
      <c r="N821" s="158"/>
      <c r="O821" s="158">
        <f>SUM(O820:O820)</f>
        <v>0</v>
      </c>
      <c r="P821" s="159"/>
      <c r="Q821" s="145"/>
    </row>
    <row r="822" spans="1:17" s="150" customFormat="1" ht="42" x14ac:dyDescent="0.25">
      <c r="A822" s="147" t="str">
        <f>ORÇAMENTO!A194</f>
        <v>4.1.2.5.7</v>
      </c>
      <c r="B822" s="148" t="str">
        <f>VLOOKUP(A822,ORÇAMENTO!$A:$F,4,0)</f>
        <v>CARGA, MANOBRA E DESCARGA DE TUBOS DE CONCRETO, DN 1200 MM, EM CAMINHÃO CARROCERIA COM GUINDAUTO (MUNCK) 11,7 TM. AF_07/2020</v>
      </c>
      <c r="C822" s="149" t="str">
        <f>VLOOKUP(A822,ORÇAMENTO!$A:$F,5,0)</f>
        <v>T</v>
      </c>
      <c r="D822" s="149">
        <f>SUM(E825:O825)</f>
        <v>168.04919999999998</v>
      </c>
      <c r="E822" s="149" t="s">
        <v>2149</v>
      </c>
      <c r="F822" s="149" t="s">
        <v>2150</v>
      </c>
      <c r="G822" s="149" t="s">
        <v>2151</v>
      </c>
      <c r="H822" s="149" t="s">
        <v>2152</v>
      </c>
      <c r="I822" s="149" t="s">
        <v>2153</v>
      </c>
      <c r="J822" s="149" t="s">
        <v>2154</v>
      </c>
      <c r="K822" s="149" t="s">
        <v>2172</v>
      </c>
      <c r="L822" s="149" t="s">
        <v>2236</v>
      </c>
      <c r="M822" s="149" t="s">
        <v>2160</v>
      </c>
      <c r="N822" s="149" t="s">
        <v>2157</v>
      </c>
      <c r="O822" s="149" t="s">
        <v>2158</v>
      </c>
      <c r="P822" s="145"/>
      <c r="Q822" s="145"/>
    </row>
    <row r="823" spans="1:17" s="146" customFormat="1" ht="31.5" x14ac:dyDescent="0.25">
      <c r="A823" s="151"/>
      <c r="B823" s="157" t="s">
        <v>2238</v>
      </c>
      <c r="C823" s="160"/>
      <c r="D823" s="161"/>
      <c r="E823" s="161">
        <f>E827</f>
        <v>144.87</v>
      </c>
      <c r="F823" s="161"/>
      <c r="G823" s="161"/>
      <c r="H823" s="161"/>
      <c r="I823" s="161"/>
      <c r="J823" s="161"/>
      <c r="K823" s="161">
        <f>L823*E823</f>
        <v>168.04919999999998</v>
      </c>
      <c r="L823" s="161">
        <v>1.1599999999999999</v>
      </c>
      <c r="M823" s="161"/>
      <c r="N823" s="161"/>
      <c r="O823" s="161"/>
      <c r="P823" s="145"/>
      <c r="Q823" s="145"/>
    </row>
    <row r="824" spans="1:17" s="146" customFormat="1" ht="10.5" x14ac:dyDescent="0.25">
      <c r="A824" s="151"/>
      <c r="B824" s="152"/>
      <c r="C824" s="160"/>
      <c r="D824" s="161"/>
      <c r="E824" s="161"/>
      <c r="F824" s="161"/>
      <c r="G824" s="161"/>
      <c r="H824" s="161"/>
      <c r="I824" s="161"/>
      <c r="J824" s="161"/>
      <c r="K824" s="161"/>
      <c r="L824" s="161"/>
      <c r="M824" s="161"/>
      <c r="N824" s="161"/>
      <c r="O824" s="161"/>
      <c r="P824" s="155"/>
      <c r="Q824" s="145"/>
    </row>
    <row r="825" spans="1:17" s="146" customFormat="1" ht="10.5" x14ac:dyDescent="0.25">
      <c r="A825" s="151"/>
      <c r="B825" s="157" t="s">
        <v>377</v>
      </c>
      <c r="C825" s="158" t="s">
        <v>402</v>
      </c>
      <c r="D825" s="158"/>
      <c r="E825" s="158"/>
      <c r="F825" s="158"/>
      <c r="G825" s="158"/>
      <c r="H825" s="158"/>
      <c r="I825" s="158"/>
      <c r="J825" s="158"/>
      <c r="K825" s="158">
        <f>SUM(K823:K824)</f>
        <v>168.04919999999998</v>
      </c>
      <c r="L825" s="158"/>
      <c r="M825" s="158"/>
      <c r="N825" s="158"/>
      <c r="O825" s="158">
        <f>SUM(O824:O824)</f>
        <v>0</v>
      </c>
      <c r="P825" s="159"/>
      <c r="Q825" s="145"/>
    </row>
    <row r="826" spans="1:17" s="150" customFormat="1" ht="31.5" x14ac:dyDescent="0.25">
      <c r="A826" s="147" t="str">
        <f>ORÇAMENTO!A195</f>
        <v>4.1.2.5.8</v>
      </c>
      <c r="B826" s="148" t="str">
        <f>VLOOKUP(A826,ORÇAMENTO!$A:$F,4,0)</f>
        <v>TUBO DE CONCRETO ARMADO PARA AGUAS PLUVIAIS, CLASSE PA-2, COM ENCAIXE PONTA E BOLSA, DIAMETRO NOMINAL DE 1200 MM</v>
      </c>
      <c r="C826" s="149" t="str">
        <f>VLOOKUP(A826,ORÇAMENTO!$A:$F,5,0)</f>
        <v>M</v>
      </c>
      <c r="D826" s="149">
        <f>SUM(E829:O829)</f>
        <v>144.87</v>
      </c>
      <c r="E826" s="149" t="s">
        <v>2149</v>
      </c>
      <c r="F826" s="149" t="s">
        <v>2150</v>
      </c>
      <c r="G826" s="149" t="s">
        <v>2151</v>
      </c>
      <c r="H826" s="149" t="s">
        <v>2152</v>
      </c>
      <c r="I826" s="149" t="s">
        <v>2153</v>
      </c>
      <c r="J826" s="149" t="s">
        <v>2154</v>
      </c>
      <c r="K826" s="149" t="s">
        <v>2155</v>
      </c>
      <c r="L826" s="149" t="s">
        <v>2178</v>
      </c>
      <c r="M826" s="149" t="s">
        <v>2160</v>
      </c>
      <c r="N826" s="149" t="s">
        <v>2157</v>
      </c>
      <c r="O826" s="149" t="s">
        <v>2158</v>
      </c>
      <c r="P826" s="145"/>
      <c r="Q826" s="145"/>
    </row>
    <row r="827" spans="1:17" s="146" customFormat="1" ht="10.5" x14ac:dyDescent="0.25">
      <c r="A827" s="151"/>
      <c r="B827" s="157"/>
      <c r="C827" s="160"/>
      <c r="D827" s="161"/>
      <c r="E827" s="161">
        <f>Quantitativos!CH31</f>
        <v>144.87</v>
      </c>
      <c r="F827" s="161"/>
      <c r="G827" s="161"/>
      <c r="H827" s="161"/>
      <c r="I827" s="161"/>
      <c r="J827" s="161"/>
      <c r="K827" s="161"/>
      <c r="L827" s="161"/>
      <c r="M827" s="161"/>
      <c r="N827" s="161"/>
      <c r="O827" s="161"/>
      <c r="P827" s="145"/>
      <c r="Q827" s="145"/>
    </row>
    <row r="828" spans="1:17" s="146" customFormat="1" ht="10.5" x14ac:dyDescent="0.25">
      <c r="A828" s="151"/>
      <c r="B828" s="152"/>
      <c r="C828" s="160"/>
      <c r="D828" s="161"/>
      <c r="E828" s="161"/>
      <c r="F828" s="161"/>
      <c r="G828" s="161"/>
      <c r="H828" s="161"/>
      <c r="I828" s="161"/>
      <c r="J828" s="161"/>
      <c r="K828" s="161"/>
      <c r="L828" s="161"/>
      <c r="M828" s="161"/>
      <c r="N828" s="161"/>
      <c r="O828" s="161"/>
      <c r="P828" s="155"/>
      <c r="Q828" s="145"/>
    </row>
    <row r="829" spans="1:17" s="146" customFormat="1" ht="15" customHeight="1" x14ac:dyDescent="0.25">
      <c r="A829" s="151"/>
      <c r="B829" s="157" t="s">
        <v>377</v>
      </c>
      <c r="C829" s="158" t="s">
        <v>402</v>
      </c>
      <c r="D829" s="158"/>
      <c r="E829" s="158">
        <f>SUM(E827:E828)</f>
        <v>144.87</v>
      </c>
      <c r="F829" s="158"/>
      <c r="G829" s="158"/>
      <c r="H829" s="158"/>
      <c r="I829" s="158"/>
      <c r="J829" s="158"/>
      <c r="K829" s="158"/>
      <c r="L829" s="158"/>
      <c r="M829" s="158"/>
      <c r="N829" s="158"/>
      <c r="O829" s="158">
        <f>SUM(O828:O828)</f>
        <v>0</v>
      </c>
      <c r="P829" s="159"/>
      <c r="Q829" s="145"/>
    </row>
    <row r="830" spans="1:17" s="150" customFormat="1" ht="31.5" x14ac:dyDescent="0.25">
      <c r="A830" s="147" t="str">
        <f>ORÇAMENTO!A196</f>
        <v>4.1.2.5.9</v>
      </c>
      <c r="B830" s="148" t="str">
        <f>VLOOKUP(A830,ORÇAMENTO!$A:$F,4,0)</f>
        <v>CARGA, MANOBRA E DESCARGA DE TUBOS DE CONCRETO, DN 1500 MM, EM CAMINHÃO CARROCERIA COM GUINDAUTO (MUNCK) 11,7 TM.</v>
      </c>
      <c r="C830" s="149" t="str">
        <f>VLOOKUP(A830,ORÇAMENTO!$A:$F,5,0)</f>
        <v>T</v>
      </c>
      <c r="D830" s="149">
        <f>SUM(E833:O833)</f>
        <v>506.31679999999989</v>
      </c>
      <c r="E830" s="149" t="s">
        <v>2149</v>
      </c>
      <c r="F830" s="149" t="s">
        <v>2150</v>
      </c>
      <c r="G830" s="149" t="s">
        <v>2151</v>
      </c>
      <c r="H830" s="149" t="s">
        <v>2152</v>
      </c>
      <c r="I830" s="149" t="s">
        <v>2153</v>
      </c>
      <c r="J830" s="149" t="s">
        <v>2154</v>
      </c>
      <c r="K830" s="149" t="s">
        <v>2172</v>
      </c>
      <c r="L830" s="149" t="s">
        <v>2236</v>
      </c>
      <c r="M830" s="149" t="s">
        <v>2160</v>
      </c>
      <c r="N830" s="149" t="s">
        <v>2157</v>
      </c>
      <c r="O830" s="149" t="s">
        <v>2158</v>
      </c>
      <c r="P830" s="145"/>
      <c r="Q830" s="145"/>
    </row>
    <row r="831" spans="1:17" s="146" customFormat="1" ht="31.5" x14ac:dyDescent="0.25">
      <c r="A831" s="151"/>
      <c r="B831" s="157" t="s">
        <v>2238</v>
      </c>
      <c r="C831" s="160"/>
      <c r="D831" s="161"/>
      <c r="E831" s="161">
        <f>E835</f>
        <v>287.67999999999995</v>
      </c>
      <c r="F831" s="161"/>
      <c r="G831" s="161"/>
      <c r="H831" s="161"/>
      <c r="I831" s="161"/>
      <c r="J831" s="161"/>
      <c r="K831" s="161">
        <f>L831*E831</f>
        <v>506.31679999999989</v>
      </c>
      <c r="L831" s="161">
        <v>1.76</v>
      </c>
      <c r="M831" s="161"/>
      <c r="N831" s="161"/>
      <c r="O831" s="161"/>
      <c r="P831" s="145"/>
      <c r="Q831" s="145"/>
    </row>
    <row r="832" spans="1:17" s="146" customFormat="1" ht="10.5" x14ac:dyDescent="0.25">
      <c r="A832" s="151"/>
      <c r="B832" s="152"/>
      <c r="C832" s="160"/>
      <c r="D832" s="161"/>
      <c r="E832" s="161"/>
      <c r="F832" s="161"/>
      <c r="G832" s="161"/>
      <c r="H832" s="161"/>
      <c r="I832" s="161"/>
      <c r="J832" s="161"/>
      <c r="K832" s="161"/>
      <c r="L832" s="161"/>
      <c r="M832" s="161"/>
      <c r="N832" s="161"/>
      <c r="O832" s="161"/>
      <c r="P832" s="155"/>
      <c r="Q832" s="145"/>
    </row>
    <row r="833" spans="1:17" s="146" customFormat="1" ht="10.5" x14ac:dyDescent="0.25">
      <c r="A833" s="151"/>
      <c r="B833" s="157" t="s">
        <v>377</v>
      </c>
      <c r="C833" s="158" t="s">
        <v>402</v>
      </c>
      <c r="D833" s="158"/>
      <c r="E833" s="158"/>
      <c r="F833" s="158"/>
      <c r="G833" s="158"/>
      <c r="H833" s="158"/>
      <c r="I833" s="158"/>
      <c r="J833" s="158"/>
      <c r="K833" s="158">
        <f>SUM(K831:K832)</f>
        <v>506.31679999999989</v>
      </c>
      <c r="L833" s="158"/>
      <c r="M833" s="158"/>
      <c r="N833" s="158"/>
      <c r="O833" s="158">
        <f>SUM(O832:O832)</f>
        <v>0</v>
      </c>
      <c r="P833" s="159"/>
      <c r="Q833" s="145"/>
    </row>
    <row r="834" spans="1:17" s="150" customFormat="1" ht="31.5" x14ac:dyDescent="0.25">
      <c r="A834" s="147" t="str">
        <f>ORÇAMENTO!A197</f>
        <v>4.1.2.5.10</v>
      </c>
      <c r="B834" s="148" t="str">
        <f>VLOOKUP(A834,ORÇAMENTO!$A:$F,4,0)</f>
        <v>TUBO DE CONCRETO ARMADO PARA AGUAS PLUVIAIS, CLASSE PA-2, COM ENCAIXE PONTA E BOLSA, DIAMETRO NOMINAL DE 1500 MM</v>
      </c>
      <c r="C834" s="149" t="str">
        <f>VLOOKUP(A834,ORÇAMENTO!$A:$F,5,0)</f>
        <v>M</v>
      </c>
      <c r="D834" s="149">
        <f>SUM(E837:O837)</f>
        <v>287.67999999999995</v>
      </c>
      <c r="E834" s="149" t="s">
        <v>2149</v>
      </c>
      <c r="F834" s="149" t="s">
        <v>2150</v>
      </c>
      <c r="G834" s="149" t="s">
        <v>2151</v>
      </c>
      <c r="H834" s="149" t="s">
        <v>2152</v>
      </c>
      <c r="I834" s="149" t="s">
        <v>2153</v>
      </c>
      <c r="J834" s="149" t="s">
        <v>2154</v>
      </c>
      <c r="K834" s="149" t="s">
        <v>2155</v>
      </c>
      <c r="L834" s="149" t="s">
        <v>2178</v>
      </c>
      <c r="M834" s="149" t="s">
        <v>2160</v>
      </c>
      <c r="N834" s="149" t="s">
        <v>2157</v>
      </c>
      <c r="O834" s="149" t="s">
        <v>2158</v>
      </c>
      <c r="P834" s="145"/>
      <c r="Q834" s="145"/>
    </row>
    <row r="835" spans="1:17" s="146" customFormat="1" ht="10.5" x14ac:dyDescent="0.25">
      <c r="A835" s="151"/>
      <c r="B835" s="157"/>
      <c r="C835" s="160"/>
      <c r="D835" s="161"/>
      <c r="E835" s="161">
        <f>Quantitativos!CL31</f>
        <v>287.67999999999995</v>
      </c>
      <c r="F835" s="161"/>
      <c r="G835" s="161"/>
      <c r="H835" s="161"/>
      <c r="I835" s="161"/>
      <c r="J835" s="161"/>
      <c r="K835" s="161"/>
      <c r="L835" s="161"/>
      <c r="M835" s="161"/>
      <c r="N835" s="161"/>
      <c r="O835" s="161"/>
      <c r="P835" s="145"/>
      <c r="Q835" s="145"/>
    </row>
    <row r="836" spans="1:17" s="146" customFormat="1" ht="10.5" x14ac:dyDescent="0.25">
      <c r="A836" s="151"/>
      <c r="B836" s="152"/>
      <c r="C836" s="160"/>
      <c r="D836" s="161"/>
      <c r="E836" s="161"/>
      <c r="F836" s="161"/>
      <c r="G836" s="161"/>
      <c r="H836" s="161"/>
      <c r="I836" s="161"/>
      <c r="J836" s="161"/>
      <c r="K836" s="161"/>
      <c r="L836" s="161"/>
      <c r="M836" s="161"/>
      <c r="N836" s="161"/>
      <c r="O836" s="161"/>
      <c r="P836" s="155"/>
      <c r="Q836" s="145"/>
    </row>
    <row r="837" spans="1:17" s="146" customFormat="1" ht="15" customHeight="1" x14ac:dyDescent="0.25">
      <c r="A837" s="151"/>
      <c r="B837" s="157" t="s">
        <v>377</v>
      </c>
      <c r="C837" s="158" t="s">
        <v>402</v>
      </c>
      <c r="D837" s="158"/>
      <c r="E837" s="158">
        <f>SUM(E835:E836)</f>
        <v>287.67999999999995</v>
      </c>
      <c r="F837" s="158"/>
      <c r="G837" s="158"/>
      <c r="H837" s="158"/>
      <c r="I837" s="158"/>
      <c r="J837" s="158"/>
      <c r="K837" s="158"/>
      <c r="L837" s="158"/>
      <c r="M837" s="158"/>
      <c r="N837" s="158"/>
      <c r="O837" s="158">
        <f>SUM(O836:O836)</f>
        <v>0</v>
      </c>
      <c r="P837" s="159"/>
      <c r="Q837" s="145"/>
    </row>
    <row r="838" spans="1:17" s="146" customFormat="1" ht="15" customHeight="1" x14ac:dyDescent="0.25">
      <c r="A838" s="141" t="str">
        <f>ORÇAMENTO!A198</f>
        <v>4.1.2.6</v>
      </c>
      <c r="B838" s="142" t="str">
        <f>VLOOKUP(A838,ORÇAMENTO!$A:$F,4,0)</f>
        <v>BOCAS DE LOBO</v>
      </c>
      <c r="C838" s="143"/>
      <c r="D838" s="143"/>
      <c r="E838" s="144"/>
      <c r="F838" s="144"/>
      <c r="G838" s="144"/>
      <c r="H838" s="144"/>
      <c r="I838" s="144"/>
      <c r="J838" s="144"/>
      <c r="K838" s="144"/>
      <c r="L838" s="144"/>
      <c r="M838" s="144"/>
      <c r="N838" s="144"/>
      <c r="O838" s="144"/>
      <c r="P838" s="145"/>
      <c r="Q838" s="145"/>
    </row>
    <row r="839" spans="1:17" s="150" customFormat="1" ht="21" x14ac:dyDescent="0.25">
      <c r="A839" s="147" t="str">
        <f>ORÇAMENTO!A199</f>
        <v>4.1.2.6.1</v>
      </c>
      <c r="B839" s="148" t="str">
        <f>VLOOKUP(A839,ORÇAMENTO!$A:$F,4,0)</f>
        <v>LOCAÇÃO DE REDE DE DRENAGEM</v>
      </c>
      <c r="C839" s="149" t="str">
        <f>VLOOKUP(A839,ORÇAMENTO!$A:$F,5,0)</f>
        <v>M</v>
      </c>
      <c r="D839" s="149">
        <f>ROUND(SUM(E842:O842),2)</f>
        <v>431.93</v>
      </c>
      <c r="E839" s="149" t="s">
        <v>2149</v>
      </c>
      <c r="F839" s="149" t="s">
        <v>2150</v>
      </c>
      <c r="G839" s="149" t="s">
        <v>2151</v>
      </c>
      <c r="H839" s="149" t="s">
        <v>2152</v>
      </c>
      <c r="I839" s="149" t="s">
        <v>2153</v>
      </c>
      <c r="J839" s="149" t="s">
        <v>2154</v>
      </c>
      <c r="K839" s="149" t="s">
        <v>2155</v>
      </c>
      <c r="L839" s="149" t="s">
        <v>2239</v>
      </c>
      <c r="M839" s="149" t="s">
        <v>413</v>
      </c>
      <c r="N839" s="149" t="s">
        <v>2240</v>
      </c>
      <c r="O839" s="149" t="s">
        <v>2158</v>
      </c>
      <c r="P839" s="145"/>
      <c r="Q839" s="145"/>
    </row>
    <row r="840" spans="1:17" s="146" customFormat="1" ht="10.5" x14ac:dyDescent="0.25">
      <c r="A840" s="151"/>
      <c r="B840" s="152" t="s">
        <v>2241</v>
      </c>
      <c r="C840" s="153"/>
      <c r="D840" s="154"/>
      <c r="E840" s="154">
        <f>QUANTBL!O69/1</f>
        <v>431.92999999999989</v>
      </c>
      <c r="F840" s="154"/>
      <c r="G840" s="154"/>
      <c r="H840" s="154"/>
      <c r="I840" s="154"/>
      <c r="J840" s="154"/>
      <c r="K840" s="154"/>
      <c r="L840" s="154"/>
      <c r="M840" s="154"/>
      <c r="N840" s="173"/>
      <c r="O840" s="154"/>
      <c r="P840" s="155"/>
      <c r="Q840" s="145"/>
    </row>
    <row r="841" spans="1:17" s="146" customFormat="1" ht="15" customHeight="1" x14ac:dyDescent="0.25">
      <c r="A841" s="151"/>
      <c r="B841" s="152"/>
      <c r="C841" s="153"/>
      <c r="D841" s="154"/>
      <c r="E841" s="154"/>
      <c r="F841" s="154"/>
      <c r="G841" s="154"/>
      <c r="H841" s="154"/>
      <c r="I841" s="154"/>
      <c r="J841" s="154"/>
      <c r="K841" s="154"/>
      <c r="L841" s="154"/>
      <c r="M841" s="154"/>
      <c r="N841" s="173"/>
      <c r="O841" s="154"/>
      <c r="P841" s="155"/>
      <c r="Q841" s="145"/>
    </row>
    <row r="842" spans="1:17" s="146" customFormat="1" ht="15" customHeight="1" x14ac:dyDescent="0.25">
      <c r="A842" s="151"/>
      <c r="B842" s="157" t="s">
        <v>377</v>
      </c>
      <c r="C842" s="158" t="s">
        <v>402</v>
      </c>
      <c r="D842" s="158"/>
      <c r="E842" s="153">
        <f>SUM(E840:E840)</f>
        <v>431.92999999999989</v>
      </c>
      <c r="F842" s="158"/>
      <c r="G842" s="158"/>
      <c r="H842" s="158"/>
      <c r="I842" s="158"/>
      <c r="J842" s="158"/>
      <c r="K842" s="154"/>
      <c r="L842" s="158"/>
      <c r="M842" s="158"/>
      <c r="N842" s="153"/>
      <c r="O842" s="153"/>
      <c r="P842" s="159"/>
      <c r="Q842" s="145"/>
    </row>
    <row r="843" spans="1:17" s="150" customFormat="1" ht="21" x14ac:dyDescent="0.25">
      <c r="A843" s="147" t="str">
        <f>ORÇAMENTO!A200</f>
        <v>4.1.2.6.2</v>
      </c>
      <c r="B843" s="148" t="s">
        <v>2130</v>
      </c>
      <c r="C843" s="149" t="str">
        <f>VLOOKUP(A843,ORÇAMENTO!$A:$F,5,0)</f>
        <v>M²</v>
      </c>
      <c r="D843" s="149">
        <f>ROUND(SUM(E846:O846),2)</f>
        <v>4</v>
      </c>
      <c r="E843" s="149" t="s">
        <v>2149</v>
      </c>
      <c r="F843" s="149" t="s">
        <v>2150</v>
      </c>
      <c r="G843" s="149" t="s">
        <v>2151</v>
      </c>
      <c r="H843" s="149" t="s">
        <v>2152</v>
      </c>
      <c r="I843" s="149" t="s">
        <v>2153</v>
      </c>
      <c r="J843" s="149" t="s">
        <v>2154</v>
      </c>
      <c r="K843" s="149" t="s">
        <v>2155</v>
      </c>
      <c r="L843" s="149" t="s">
        <v>2239</v>
      </c>
      <c r="M843" s="149" t="s">
        <v>413</v>
      </c>
      <c r="N843" s="149" t="s">
        <v>2157</v>
      </c>
      <c r="O843" s="149" t="s">
        <v>2158</v>
      </c>
      <c r="P843" s="145"/>
      <c r="Q843" s="145"/>
    </row>
    <row r="844" spans="1:17" s="146" customFormat="1" ht="10.5" x14ac:dyDescent="0.25">
      <c r="A844" s="151"/>
      <c r="B844" s="152" t="s">
        <v>2164</v>
      </c>
      <c r="C844" s="153"/>
      <c r="D844" s="154"/>
      <c r="E844" s="154">
        <f>E842</f>
        <v>431.92999999999989</v>
      </c>
      <c r="F844" s="154">
        <v>2</v>
      </c>
      <c r="G844" s="154">
        <v>1</v>
      </c>
      <c r="H844" s="154"/>
      <c r="I844" s="154"/>
      <c r="J844" s="154"/>
      <c r="K844" s="154"/>
      <c r="L844" s="154"/>
      <c r="M844" s="154">
        <f>ROUND(E844/200,0)</f>
        <v>2</v>
      </c>
      <c r="N844" s="173">
        <f>M844*G844*F844</f>
        <v>4</v>
      </c>
      <c r="O844" s="154"/>
      <c r="P844" s="155"/>
      <c r="Q844" s="145"/>
    </row>
    <row r="845" spans="1:17" s="146" customFormat="1" ht="15" customHeight="1" x14ac:dyDescent="0.25">
      <c r="A845" s="151"/>
      <c r="B845" s="152"/>
      <c r="C845" s="153"/>
      <c r="D845" s="154"/>
      <c r="E845" s="154"/>
      <c r="F845" s="154"/>
      <c r="G845" s="154"/>
      <c r="H845" s="154"/>
      <c r="I845" s="154"/>
      <c r="J845" s="154"/>
      <c r="K845" s="154"/>
      <c r="L845" s="154"/>
      <c r="M845" s="154"/>
      <c r="N845" s="173"/>
      <c r="O845" s="154"/>
      <c r="P845" s="155"/>
      <c r="Q845" s="145"/>
    </row>
    <row r="846" spans="1:17" s="146" customFormat="1" ht="15" customHeight="1" x14ac:dyDescent="0.25">
      <c r="A846" s="151"/>
      <c r="B846" s="157" t="s">
        <v>377</v>
      </c>
      <c r="C846" s="158" t="s">
        <v>402</v>
      </c>
      <c r="D846" s="158"/>
      <c r="E846" s="153"/>
      <c r="F846" s="158"/>
      <c r="G846" s="158"/>
      <c r="H846" s="158"/>
      <c r="I846" s="158"/>
      <c r="J846" s="158"/>
      <c r="K846" s="154"/>
      <c r="L846" s="158"/>
      <c r="M846" s="158"/>
      <c r="N846" s="153">
        <f>SUM(N844:N844)</f>
        <v>4</v>
      </c>
      <c r="O846" s="153"/>
      <c r="P846" s="159"/>
      <c r="Q846" s="145"/>
    </row>
    <row r="847" spans="1:17" s="150" customFormat="1" ht="21" x14ac:dyDescent="0.25">
      <c r="A847" s="147" t="str">
        <f>ORÇAMENTO!A201</f>
        <v>4.1.2.6.3</v>
      </c>
      <c r="B847" s="148" t="str">
        <f>VLOOKUP(A847,ORÇAMENTO!$A:$F,4,0)</f>
        <v>TELA TAPUME, COR LARANJA, COM SUPORTE A CADA 2M (FORNECIMENTO E INSTALAÇÃO)</v>
      </c>
      <c r="C847" s="149" t="str">
        <f>VLOOKUP(A847,ORÇAMENTO!$A:$F,5,0)</f>
        <v>M</v>
      </c>
      <c r="D847" s="149">
        <f>ROUND(SUM(E850:O850),2)</f>
        <v>863.86</v>
      </c>
      <c r="E847" s="149" t="s">
        <v>2149</v>
      </c>
      <c r="F847" s="149" t="s">
        <v>2150</v>
      </c>
      <c r="G847" s="149" t="s">
        <v>2151</v>
      </c>
      <c r="H847" s="149" t="s">
        <v>2152</v>
      </c>
      <c r="I847" s="149" t="s">
        <v>2153</v>
      </c>
      <c r="J847" s="149" t="s">
        <v>2154</v>
      </c>
      <c r="K847" s="149" t="s">
        <v>2155</v>
      </c>
      <c r="L847" s="149" t="s">
        <v>2239</v>
      </c>
      <c r="M847" s="149" t="s">
        <v>413</v>
      </c>
      <c r="N847" s="149" t="s">
        <v>2157</v>
      </c>
      <c r="O847" s="149" t="s">
        <v>2158</v>
      </c>
      <c r="P847" s="145"/>
      <c r="Q847" s="145"/>
    </row>
    <row r="848" spans="1:17" s="146" customFormat="1" ht="10.5" x14ac:dyDescent="0.25">
      <c r="A848" s="151"/>
      <c r="B848" s="152" t="s">
        <v>2166</v>
      </c>
      <c r="C848" s="153"/>
      <c r="D848" s="154"/>
      <c r="E848" s="154">
        <f>2*E844</f>
        <v>863.85999999999979</v>
      </c>
      <c r="F848" s="154"/>
      <c r="G848" s="154"/>
      <c r="H848" s="154"/>
      <c r="I848" s="154"/>
      <c r="J848" s="154"/>
      <c r="K848" s="154"/>
      <c r="L848" s="154"/>
      <c r="M848" s="154"/>
      <c r="N848" s="173"/>
      <c r="O848" s="154"/>
      <c r="P848" s="155"/>
      <c r="Q848" s="145"/>
    </row>
    <row r="849" spans="1:17" s="146" customFormat="1" ht="15" customHeight="1" x14ac:dyDescent="0.25">
      <c r="A849" s="151"/>
      <c r="B849" s="152"/>
      <c r="C849" s="153"/>
      <c r="D849" s="154"/>
      <c r="E849" s="154"/>
      <c r="F849" s="154"/>
      <c r="G849" s="154"/>
      <c r="H849" s="154"/>
      <c r="I849" s="154"/>
      <c r="J849" s="154"/>
      <c r="K849" s="154"/>
      <c r="L849" s="154"/>
      <c r="M849" s="154"/>
      <c r="N849" s="173"/>
      <c r="O849" s="154"/>
      <c r="P849" s="155"/>
      <c r="Q849" s="145"/>
    </row>
    <row r="850" spans="1:17" s="146" customFormat="1" ht="15" customHeight="1" x14ac:dyDescent="0.25">
      <c r="A850" s="151"/>
      <c r="B850" s="157" t="s">
        <v>377</v>
      </c>
      <c r="C850" s="158" t="s">
        <v>402</v>
      </c>
      <c r="D850" s="158"/>
      <c r="E850" s="153">
        <f>SUM(E848:E848)</f>
        <v>863.85999999999979</v>
      </c>
      <c r="F850" s="158"/>
      <c r="G850" s="158"/>
      <c r="H850" s="158"/>
      <c r="I850" s="158"/>
      <c r="J850" s="158"/>
      <c r="K850" s="154"/>
      <c r="L850" s="158"/>
      <c r="M850" s="158"/>
      <c r="N850" s="153"/>
      <c r="O850" s="153"/>
      <c r="P850" s="159"/>
      <c r="Q850" s="145"/>
    </row>
    <row r="851" spans="1:17" s="150" customFormat="1" ht="31.5" x14ac:dyDescent="0.25">
      <c r="A851" s="147" t="str">
        <f>ORÇAMENTO!A202</f>
        <v>4.1.2.6.4</v>
      </c>
      <c r="B851" s="148" t="str">
        <f>VLOOKUP(A851,ORÇAMENTO!$A:$F,4,0)</f>
        <v>PLACA DE SINALIZAÇÃO E ADVERTÊNCIA EM CHAPA DE AÇO GALVANIZADA Nº 16 (FORNECIMENTO E FIXAÇÃO)</v>
      </c>
      <c r="C851" s="149" t="str">
        <f>VLOOKUP(A851,ORÇAMENTO!$A:$F,5,0)</f>
        <v>UN</v>
      </c>
      <c r="D851" s="149">
        <f>ROUND(SUM(E854:O854),2)</f>
        <v>9</v>
      </c>
      <c r="E851" s="149" t="s">
        <v>2149</v>
      </c>
      <c r="F851" s="149" t="s">
        <v>2150</v>
      </c>
      <c r="G851" s="149" t="s">
        <v>2151</v>
      </c>
      <c r="H851" s="149" t="s">
        <v>2152</v>
      </c>
      <c r="I851" s="149" t="s">
        <v>2153</v>
      </c>
      <c r="J851" s="149" t="s">
        <v>2154</v>
      </c>
      <c r="K851" s="149" t="s">
        <v>2155</v>
      </c>
      <c r="L851" s="149" t="s">
        <v>2239</v>
      </c>
      <c r="M851" s="149" t="s">
        <v>413</v>
      </c>
      <c r="N851" s="149" t="s">
        <v>2157</v>
      </c>
      <c r="O851" s="149" t="s">
        <v>2158</v>
      </c>
      <c r="P851" s="145"/>
      <c r="Q851" s="145"/>
    </row>
    <row r="852" spans="1:17" s="146" customFormat="1" ht="10.5" x14ac:dyDescent="0.25">
      <c r="A852" s="151"/>
      <c r="B852" s="152" t="s">
        <v>2242</v>
      </c>
      <c r="C852" s="153"/>
      <c r="D852" s="154"/>
      <c r="E852" s="154">
        <f>E848</f>
        <v>863.85999999999979</v>
      </c>
      <c r="F852" s="154"/>
      <c r="G852" s="154"/>
      <c r="H852" s="154"/>
      <c r="I852" s="154"/>
      <c r="J852" s="154"/>
      <c r="K852" s="154"/>
      <c r="L852" s="154"/>
      <c r="M852" s="154">
        <f>ROUND(E852/100,0)</f>
        <v>9</v>
      </c>
      <c r="N852" s="173"/>
      <c r="O852" s="154"/>
      <c r="P852" s="155"/>
      <c r="Q852" s="145"/>
    </row>
    <row r="853" spans="1:17" s="146" customFormat="1" ht="15" customHeight="1" x14ac:dyDescent="0.25">
      <c r="A853" s="151"/>
      <c r="B853" s="152"/>
      <c r="C853" s="153"/>
      <c r="D853" s="154"/>
      <c r="E853" s="154"/>
      <c r="F853" s="154"/>
      <c r="G853" s="154"/>
      <c r="H853" s="154"/>
      <c r="I853" s="154"/>
      <c r="J853" s="154"/>
      <c r="K853" s="154"/>
      <c r="L853" s="154"/>
      <c r="M853" s="154"/>
      <c r="N853" s="173"/>
      <c r="O853" s="154"/>
      <c r="P853" s="155"/>
      <c r="Q853" s="145"/>
    </row>
    <row r="854" spans="1:17" s="146" customFormat="1" ht="15" customHeight="1" x14ac:dyDescent="0.25">
      <c r="A854" s="151"/>
      <c r="B854" s="157" t="s">
        <v>377</v>
      </c>
      <c r="C854" s="158" t="s">
        <v>402</v>
      </c>
      <c r="D854" s="158"/>
      <c r="E854" s="153"/>
      <c r="F854" s="158"/>
      <c r="G854" s="158"/>
      <c r="H854" s="158"/>
      <c r="I854" s="158"/>
      <c r="J854" s="158"/>
      <c r="K854" s="154"/>
      <c r="L854" s="158"/>
      <c r="M854" s="153">
        <f>SUM(M852:M852)</f>
        <v>9</v>
      </c>
      <c r="N854" s="153"/>
      <c r="O854" s="153"/>
      <c r="P854" s="159"/>
      <c r="Q854" s="145"/>
    </row>
    <row r="855" spans="1:17" s="150" customFormat="1" ht="21" x14ac:dyDescent="0.25">
      <c r="A855" s="147" t="str">
        <f>ORÇAMENTO!A203</f>
        <v>4.1.2.6.5</v>
      </c>
      <c r="B855" s="148" t="str">
        <f>VLOOKUP(A855,ORÇAMENTO!$A:$F,4,0)</f>
        <v>SINALIZADOR ELETRÔNICO</v>
      </c>
      <c r="C855" s="149" t="str">
        <f>VLOOKUP(A855,ORÇAMENTO!$A:$F,5,0)</f>
        <v>UN</v>
      </c>
      <c r="D855" s="149">
        <f>ROUND(SUM(E858:O858),2)</f>
        <v>9</v>
      </c>
      <c r="E855" s="149" t="s">
        <v>2149</v>
      </c>
      <c r="F855" s="149" t="s">
        <v>2150</v>
      </c>
      <c r="G855" s="149" t="s">
        <v>2151</v>
      </c>
      <c r="H855" s="149" t="s">
        <v>2152</v>
      </c>
      <c r="I855" s="149" t="s">
        <v>2153</v>
      </c>
      <c r="J855" s="149" t="s">
        <v>2154</v>
      </c>
      <c r="K855" s="149" t="s">
        <v>2155</v>
      </c>
      <c r="L855" s="149" t="s">
        <v>2239</v>
      </c>
      <c r="M855" s="149" t="s">
        <v>413</v>
      </c>
      <c r="N855" s="149" t="s">
        <v>2157</v>
      </c>
      <c r="O855" s="149" t="s">
        <v>2158</v>
      </c>
      <c r="P855" s="145"/>
      <c r="Q855" s="145"/>
    </row>
    <row r="856" spans="1:17" s="146" customFormat="1" ht="21" x14ac:dyDescent="0.25">
      <c r="A856" s="151"/>
      <c r="B856" s="152" t="s">
        <v>2167</v>
      </c>
      <c r="C856" s="153"/>
      <c r="D856" s="154"/>
      <c r="E856" s="154">
        <f>E844</f>
        <v>431.92999999999989</v>
      </c>
      <c r="F856" s="154"/>
      <c r="G856" s="154"/>
      <c r="H856" s="154"/>
      <c r="I856" s="154"/>
      <c r="J856" s="154"/>
      <c r="K856" s="154"/>
      <c r="L856" s="154"/>
      <c r="M856" s="154">
        <f>ROUND(E856*0.2/10,0)</f>
        <v>9</v>
      </c>
      <c r="N856" s="173"/>
      <c r="O856" s="154"/>
      <c r="P856" s="155"/>
      <c r="Q856" s="145"/>
    </row>
    <row r="857" spans="1:17" s="146" customFormat="1" ht="15" customHeight="1" x14ac:dyDescent="0.25">
      <c r="A857" s="151"/>
      <c r="B857" s="152"/>
      <c r="C857" s="153"/>
      <c r="D857" s="154"/>
      <c r="E857" s="154"/>
      <c r="F857" s="154"/>
      <c r="G857" s="154"/>
      <c r="H857" s="154"/>
      <c r="I857" s="154"/>
      <c r="J857" s="154"/>
      <c r="K857" s="154"/>
      <c r="L857" s="154"/>
      <c r="M857" s="154"/>
      <c r="N857" s="173"/>
      <c r="O857" s="154"/>
      <c r="P857" s="155"/>
      <c r="Q857" s="145"/>
    </row>
    <row r="858" spans="1:17" s="146" customFormat="1" ht="15" customHeight="1" x14ac:dyDescent="0.25">
      <c r="A858" s="151"/>
      <c r="B858" s="157" t="s">
        <v>377</v>
      </c>
      <c r="C858" s="158" t="s">
        <v>402</v>
      </c>
      <c r="D858" s="158"/>
      <c r="E858" s="153"/>
      <c r="F858" s="158"/>
      <c r="G858" s="158"/>
      <c r="H858" s="158"/>
      <c r="I858" s="158"/>
      <c r="J858" s="158"/>
      <c r="K858" s="154"/>
      <c r="L858" s="158"/>
      <c r="M858" s="153">
        <f>SUM(M856:M856)</f>
        <v>9</v>
      </c>
      <c r="N858" s="153"/>
      <c r="O858" s="153"/>
      <c r="P858" s="159"/>
      <c r="Q858" s="145"/>
    </row>
    <row r="859" spans="1:17" s="150" customFormat="1" ht="63" x14ac:dyDescent="0.25">
      <c r="A859" s="147" t="str">
        <f>ORÇAMENTO!A204</f>
        <v>4.1.2.6.6</v>
      </c>
      <c r="B859" s="148" t="s">
        <v>299</v>
      </c>
      <c r="C859" s="149" t="s">
        <v>227</v>
      </c>
      <c r="D859" s="149">
        <f>ROUND(SUM(E864:O864),2)</f>
        <v>123.47</v>
      </c>
      <c r="E859" s="149" t="s">
        <v>2149</v>
      </c>
      <c r="F859" s="149" t="s">
        <v>2150</v>
      </c>
      <c r="G859" s="149" t="s">
        <v>2151</v>
      </c>
      <c r="H859" s="149" t="s">
        <v>2152</v>
      </c>
      <c r="I859" s="149" t="s">
        <v>2153</v>
      </c>
      <c r="J859" s="149" t="s">
        <v>2154</v>
      </c>
      <c r="K859" s="149" t="s">
        <v>2155</v>
      </c>
      <c r="L859" s="149" t="s">
        <v>2239</v>
      </c>
      <c r="M859" s="149" t="s">
        <v>413</v>
      </c>
      <c r="N859" s="149" t="s">
        <v>2240</v>
      </c>
      <c r="O859" s="149" t="s">
        <v>2158</v>
      </c>
      <c r="P859" s="145"/>
      <c r="Q859" s="145"/>
    </row>
    <row r="860" spans="1:17" s="146" customFormat="1" ht="10.5" x14ac:dyDescent="0.25">
      <c r="A860" s="151"/>
      <c r="B860" s="152"/>
      <c r="C860" s="153"/>
      <c r="D860" s="154"/>
      <c r="E860" s="154"/>
      <c r="F860" s="154"/>
      <c r="G860" s="154"/>
      <c r="H860" s="154"/>
      <c r="I860" s="154"/>
      <c r="J860" s="154"/>
      <c r="K860" s="154"/>
      <c r="L860" s="154"/>
      <c r="M860" s="154"/>
      <c r="N860" s="173"/>
      <c r="O860" s="154"/>
      <c r="P860" s="155"/>
      <c r="Q860" s="145"/>
    </row>
    <row r="861" spans="1:17" s="146" customFormat="1" ht="21" x14ac:dyDescent="0.25">
      <c r="A861" s="151"/>
      <c r="B861" s="152" t="s">
        <v>2243</v>
      </c>
      <c r="C861" s="153"/>
      <c r="D861" s="154"/>
      <c r="E861" s="154"/>
      <c r="F861" s="154"/>
      <c r="G861" s="154"/>
      <c r="H861" s="154"/>
      <c r="I861" s="154"/>
      <c r="J861" s="154"/>
      <c r="K861" s="154"/>
      <c r="L861" s="154"/>
      <c r="M861" s="154"/>
      <c r="N861" s="173"/>
      <c r="O861" s="154">
        <f>QUANTBL!AC69</f>
        <v>123.465</v>
      </c>
      <c r="P861" s="155"/>
      <c r="Q861" s="145"/>
    </row>
    <row r="862" spans="1:17" s="146" customFormat="1" ht="15" customHeight="1" x14ac:dyDescent="0.25">
      <c r="A862" s="151"/>
      <c r="B862" s="152"/>
      <c r="C862" s="153"/>
      <c r="D862" s="154"/>
      <c r="E862" s="154"/>
      <c r="F862" s="154"/>
      <c r="G862" s="154"/>
      <c r="H862" s="154"/>
      <c r="I862" s="154"/>
      <c r="J862" s="154"/>
      <c r="K862" s="154"/>
      <c r="L862" s="154"/>
      <c r="M862" s="154"/>
      <c r="N862" s="173"/>
      <c r="O862" s="154"/>
      <c r="P862" s="155"/>
      <c r="Q862" s="145"/>
    </row>
    <row r="863" spans="1:17" s="146" customFormat="1" ht="15" customHeight="1" x14ac:dyDescent="0.25">
      <c r="A863" s="151"/>
      <c r="B863" s="152"/>
      <c r="C863" s="153"/>
      <c r="D863" s="154"/>
      <c r="E863" s="154"/>
      <c r="F863" s="154"/>
      <c r="G863" s="154"/>
      <c r="H863" s="154"/>
      <c r="I863" s="154"/>
      <c r="J863" s="154"/>
      <c r="K863" s="154"/>
      <c r="L863" s="154"/>
      <c r="M863" s="154"/>
      <c r="N863" s="173"/>
      <c r="O863" s="154"/>
      <c r="P863" s="155"/>
      <c r="Q863" s="145"/>
    </row>
    <row r="864" spans="1:17" s="146" customFormat="1" ht="15" customHeight="1" x14ac:dyDescent="0.25">
      <c r="A864" s="151"/>
      <c r="B864" s="157" t="s">
        <v>377</v>
      </c>
      <c r="C864" s="158" t="s">
        <v>402</v>
      </c>
      <c r="D864" s="158"/>
      <c r="E864" s="158"/>
      <c r="F864" s="158"/>
      <c r="G864" s="158"/>
      <c r="H864" s="158"/>
      <c r="I864" s="158"/>
      <c r="J864" s="158"/>
      <c r="K864" s="154"/>
      <c r="L864" s="158"/>
      <c r="M864" s="158"/>
      <c r="N864" s="153"/>
      <c r="O864" s="153">
        <f>SUM(O860:O861)</f>
        <v>123.465</v>
      </c>
      <c r="P864" s="159"/>
      <c r="Q864" s="145"/>
    </row>
    <row r="865" spans="1:17" s="150" customFormat="1" ht="63" x14ac:dyDescent="0.25">
      <c r="A865" s="147" t="str">
        <f>ORÇAMENTO!A205</f>
        <v>4.1.2.6.7</v>
      </c>
      <c r="B865" s="148" t="str">
        <f>VLOOKUP(A865,ORÇAMENTO!$A:$F,4,0)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C865" s="149" t="str">
        <f>VLOOKUP(A865,ORÇAMENTO!$A:$F,5,0)</f>
        <v>M³</v>
      </c>
      <c r="D865" s="149">
        <f>ROUND(SUM(E870:O870),2)</f>
        <v>106.85</v>
      </c>
      <c r="E865" s="149" t="s">
        <v>2149</v>
      </c>
      <c r="F865" s="149" t="s">
        <v>2150</v>
      </c>
      <c r="G865" s="149" t="s">
        <v>2151</v>
      </c>
      <c r="H865" s="149" t="s">
        <v>2152</v>
      </c>
      <c r="I865" s="149" t="s">
        <v>2153</v>
      </c>
      <c r="J865" s="149" t="s">
        <v>2154</v>
      </c>
      <c r="K865" s="149" t="s">
        <v>2155</v>
      </c>
      <c r="L865" s="149" t="s">
        <v>2239</v>
      </c>
      <c r="M865" s="149" t="s">
        <v>413</v>
      </c>
      <c r="N865" s="149" t="s">
        <v>2240</v>
      </c>
      <c r="O865" s="149" t="s">
        <v>2158</v>
      </c>
      <c r="P865" s="145"/>
      <c r="Q865" s="145"/>
    </row>
    <row r="866" spans="1:17" s="146" customFormat="1" ht="10.5" x14ac:dyDescent="0.25">
      <c r="A866" s="151"/>
      <c r="B866" s="152"/>
      <c r="C866" s="153"/>
      <c r="D866" s="154"/>
      <c r="E866" s="154"/>
      <c r="F866" s="154"/>
      <c r="G866" s="154"/>
      <c r="H866" s="154"/>
      <c r="I866" s="154"/>
      <c r="J866" s="154"/>
      <c r="K866" s="154"/>
      <c r="L866" s="154"/>
      <c r="M866" s="154"/>
      <c r="N866" s="173"/>
      <c r="O866" s="154"/>
      <c r="P866" s="155"/>
      <c r="Q866" s="145"/>
    </row>
    <row r="867" spans="1:17" s="146" customFormat="1" ht="21" x14ac:dyDescent="0.25">
      <c r="A867" s="151"/>
      <c r="B867" s="152" t="s">
        <v>2243</v>
      </c>
      <c r="C867" s="153"/>
      <c r="D867" s="154"/>
      <c r="E867" s="154"/>
      <c r="F867" s="154"/>
      <c r="G867" s="154"/>
      <c r="H867" s="154"/>
      <c r="I867" s="154"/>
      <c r="J867" s="154"/>
      <c r="K867" s="154"/>
      <c r="L867" s="154"/>
      <c r="M867" s="154"/>
      <c r="N867" s="173"/>
      <c r="O867" s="154">
        <f>QUANTBL!AD69</f>
        <v>106.84728199999999</v>
      </c>
      <c r="P867" s="155"/>
      <c r="Q867" s="145"/>
    </row>
    <row r="868" spans="1:17" s="146" customFormat="1" ht="15" customHeight="1" x14ac:dyDescent="0.25">
      <c r="A868" s="151"/>
      <c r="B868" s="152"/>
      <c r="C868" s="153"/>
      <c r="D868" s="154"/>
      <c r="E868" s="154"/>
      <c r="F868" s="154"/>
      <c r="G868" s="154"/>
      <c r="H868" s="154"/>
      <c r="I868" s="154"/>
      <c r="J868" s="154"/>
      <c r="K868" s="154"/>
      <c r="L868" s="154"/>
      <c r="M868" s="154"/>
      <c r="N868" s="173"/>
      <c r="O868" s="154"/>
      <c r="P868" s="155"/>
      <c r="Q868" s="145"/>
    </row>
    <row r="869" spans="1:17" s="146" customFormat="1" ht="15" customHeight="1" x14ac:dyDescent="0.25">
      <c r="A869" s="151"/>
      <c r="B869" s="152"/>
      <c r="C869" s="153"/>
      <c r="D869" s="154"/>
      <c r="E869" s="154"/>
      <c r="F869" s="154"/>
      <c r="G869" s="154"/>
      <c r="H869" s="154"/>
      <c r="I869" s="154"/>
      <c r="J869" s="154"/>
      <c r="K869" s="154"/>
      <c r="L869" s="154"/>
      <c r="M869" s="154"/>
      <c r="N869" s="173"/>
      <c r="O869" s="154"/>
      <c r="P869" s="155"/>
      <c r="Q869" s="145"/>
    </row>
    <row r="870" spans="1:17" s="146" customFormat="1" ht="15" customHeight="1" x14ac:dyDescent="0.25">
      <c r="A870" s="151"/>
      <c r="B870" s="157" t="s">
        <v>377</v>
      </c>
      <c r="C870" s="158" t="s">
        <v>402</v>
      </c>
      <c r="D870" s="158"/>
      <c r="E870" s="158"/>
      <c r="F870" s="158"/>
      <c r="G870" s="158"/>
      <c r="H870" s="158"/>
      <c r="I870" s="158"/>
      <c r="J870" s="158"/>
      <c r="K870" s="154"/>
      <c r="L870" s="158"/>
      <c r="M870" s="158"/>
      <c r="N870" s="153"/>
      <c r="O870" s="153">
        <f>SUM(O866:O867)</f>
        <v>106.84728199999999</v>
      </c>
      <c r="P870" s="159"/>
      <c r="Q870" s="145"/>
    </row>
    <row r="871" spans="1:17" s="150" customFormat="1" ht="63" x14ac:dyDescent="0.25">
      <c r="A871" s="147" t="str">
        <f>ORÇAMENTO!A206</f>
        <v>4.1.2.6.8</v>
      </c>
      <c r="B871" s="148" t="str">
        <f>VLOOKUP(A871,ORÇAMENTO!$A:$F,4,0)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C871" s="149" t="str">
        <f>VLOOKUP(A871,ORÇAMENTO!$A:$F,5,0)</f>
        <v>M³</v>
      </c>
      <c r="D871" s="149">
        <f>ROUND(SUM(E876:O876),2)</f>
        <v>9.67</v>
      </c>
      <c r="E871" s="149" t="s">
        <v>2149</v>
      </c>
      <c r="F871" s="149" t="s">
        <v>2150</v>
      </c>
      <c r="G871" s="149" t="s">
        <v>2151</v>
      </c>
      <c r="H871" s="149" t="s">
        <v>2152</v>
      </c>
      <c r="I871" s="149" t="s">
        <v>2153</v>
      </c>
      <c r="J871" s="149" t="s">
        <v>2154</v>
      </c>
      <c r="K871" s="149" t="s">
        <v>2155</v>
      </c>
      <c r="L871" s="149" t="s">
        <v>2239</v>
      </c>
      <c r="M871" s="149" t="s">
        <v>413</v>
      </c>
      <c r="N871" s="149" t="s">
        <v>2240</v>
      </c>
      <c r="O871" s="149" t="s">
        <v>2158</v>
      </c>
      <c r="P871" s="145"/>
      <c r="Q871" s="145"/>
    </row>
    <row r="872" spans="1:17" s="146" customFormat="1" ht="10.5" x14ac:dyDescent="0.25">
      <c r="A872" s="151"/>
      <c r="B872" s="152"/>
      <c r="C872" s="153"/>
      <c r="D872" s="154"/>
      <c r="E872" s="154"/>
      <c r="F872" s="154"/>
      <c r="G872" s="154"/>
      <c r="H872" s="154"/>
      <c r="I872" s="154"/>
      <c r="J872" s="154"/>
      <c r="K872" s="154"/>
      <c r="L872" s="154"/>
      <c r="M872" s="154"/>
      <c r="N872" s="173"/>
      <c r="O872" s="154"/>
      <c r="P872" s="155"/>
      <c r="Q872" s="145"/>
    </row>
    <row r="873" spans="1:17" s="146" customFormat="1" ht="21" x14ac:dyDescent="0.25">
      <c r="A873" s="151"/>
      <c r="B873" s="152" t="s">
        <v>2243</v>
      </c>
      <c r="C873" s="153"/>
      <c r="D873" s="154"/>
      <c r="E873" s="154"/>
      <c r="F873" s="154"/>
      <c r="G873" s="154"/>
      <c r="H873" s="154"/>
      <c r="I873" s="154"/>
      <c r="J873" s="154"/>
      <c r="K873" s="154"/>
      <c r="L873" s="154"/>
      <c r="M873" s="154"/>
      <c r="N873" s="173"/>
      <c r="O873" s="154">
        <f>QUANTBL!AE69</f>
        <v>9.6700249999999084</v>
      </c>
      <c r="P873" s="155"/>
      <c r="Q873" s="145"/>
    </row>
    <row r="874" spans="1:17" s="146" customFormat="1" ht="15" customHeight="1" x14ac:dyDescent="0.25">
      <c r="A874" s="151"/>
      <c r="B874" s="152"/>
      <c r="C874" s="153"/>
      <c r="D874" s="154"/>
      <c r="E874" s="154"/>
      <c r="F874" s="154"/>
      <c r="G874" s="154"/>
      <c r="H874" s="154"/>
      <c r="I874" s="154"/>
      <c r="J874" s="154"/>
      <c r="K874" s="154"/>
      <c r="L874" s="154"/>
      <c r="M874" s="154"/>
      <c r="N874" s="173"/>
      <c r="O874" s="154"/>
      <c r="P874" s="155"/>
      <c r="Q874" s="145"/>
    </row>
    <row r="875" spans="1:17" s="146" customFormat="1" ht="15" customHeight="1" x14ac:dyDescent="0.25">
      <c r="A875" s="151"/>
      <c r="B875" s="152"/>
      <c r="C875" s="153"/>
      <c r="D875" s="154"/>
      <c r="E875" s="154"/>
      <c r="F875" s="154"/>
      <c r="G875" s="154"/>
      <c r="H875" s="154"/>
      <c r="I875" s="154"/>
      <c r="J875" s="154"/>
      <c r="K875" s="154"/>
      <c r="L875" s="154"/>
      <c r="M875" s="154"/>
      <c r="N875" s="173"/>
      <c r="O875" s="154"/>
      <c r="P875" s="155"/>
      <c r="Q875" s="145"/>
    </row>
    <row r="876" spans="1:17" s="146" customFormat="1" ht="15" customHeight="1" x14ac:dyDescent="0.25">
      <c r="A876" s="151"/>
      <c r="B876" s="157" t="s">
        <v>377</v>
      </c>
      <c r="C876" s="158" t="s">
        <v>402</v>
      </c>
      <c r="D876" s="158"/>
      <c r="E876" s="158"/>
      <c r="F876" s="158"/>
      <c r="G876" s="158"/>
      <c r="H876" s="158"/>
      <c r="I876" s="158"/>
      <c r="J876" s="158"/>
      <c r="K876" s="154"/>
      <c r="L876" s="158"/>
      <c r="M876" s="158"/>
      <c r="N876" s="153"/>
      <c r="O876" s="153">
        <f>SUM(O872:O873)</f>
        <v>9.6700249999999084</v>
      </c>
      <c r="P876" s="159"/>
      <c r="Q876" s="145"/>
    </row>
    <row r="877" spans="1:17" s="150" customFormat="1" ht="63" x14ac:dyDescent="0.25">
      <c r="A877" s="147" t="str">
        <f>ORÇAMENTO!A207</f>
        <v>4.1.2.6.9</v>
      </c>
      <c r="B877" s="148" t="str">
        <f>VLOOKUP(A877,ORÇAMENTO!$A:$F,4,0)</f>
        <v>ESCAVAÇÃO MECANIZADA DE VALA COM PROF. ATÉ 1,5 M (MÉDIA MONTANTE E JUSANTE/UMA COMPOSIÇÃO POR TRECHO), ESCAVADEIRA (0,8 M3), LARG. DE 1,5 M A 2,5 M, EM SOLO MOLE, EM LOCAIS COM ALTO NÍVEL DE INTERFERÊNCIA. AF_09/2024</v>
      </c>
      <c r="C877" s="149" t="str">
        <f>VLOOKUP(A877,ORÇAMENTO!$A:$F,5,0)</f>
        <v>M³</v>
      </c>
      <c r="D877" s="149">
        <f>ROUND(SUM(E881:O881),2)</f>
        <v>108.96</v>
      </c>
      <c r="E877" s="149" t="s">
        <v>2149</v>
      </c>
      <c r="F877" s="149" t="s">
        <v>2150</v>
      </c>
      <c r="G877" s="149" t="s">
        <v>2151</v>
      </c>
      <c r="H877" s="149" t="s">
        <v>2152</v>
      </c>
      <c r="I877" s="149" t="s">
        <v>2153</v>
      </c>
      <c r="J877" s="149" t="s">
        <v>2154</v>
      </c>
      <c r="K877" s="149" t="s">
        <v>2155</v>
      </c>
      <c r="L877" s="149" t="s">
        <v>2239</v>
      </c>
      <c r="M877" s="149" t="s">
        <v>413</v>
      </c>
      <c r="N877" s="149" t="s">
        <v>2244</v>
      </c>
      <c r="O877" s="149" t="s">
        <v>2158</v>
      </c>
      <c r="P877" s="145"/>
      <c r="Q877" s="145"/>
    </row>
    <row r="878" spans="1:17" s="146" customFormat="1" ht="10.5" x14ac:dyDescent="0.25">
      <c r="A878" s="151"/>
      <c r="B878" s="152"/>
      <c r="C878" s="153"/>
      <c r="D878" s="154"/>
      <c r="E878" s="154"/>
      <c r="F878" s="154"/>
      <c r="G878" s="154"/>
      <c r="H878" s="154"/>
      <c r="I878" s="154"/>
      <c r="J878" s="154"/>
      <c r="K878" s="154"/>
      <c r="L878" s="154"/>
      <c r="M878" s="154"/>
      <c r="N878" s="173"/>
      <c r="O878" s="154"/>
      <c r="P878" s="155"/>
      <c r="Q878" s="145"/>
    </row>
    <row r="879" spans="1:17" s="146" customFormat="1" ht="10.5" x14ac:dyDescent="0.25">
      <c r="A879" s="151"/>
      <c r="B879" s="152" t="s">
        <v>2245</v>
      </c>
      <c r="C879" s="153"/>
      <c r="D879" s="154"/>
      <c r="E879" s="154"/>
      <c r="F879" s="154"/>
      <c r="G879" s="154"/>
      <c r="H879" s="154"/>
      <c r="I879" s="154"/>
      <c r="J879" s="154"/>
      <c r="K879" s="154"/>
      <c r="L879" s="154"/>
      <c r="M879" s="154"/>
      <c r="N879" s="173"/>
      <c r="O879" s="154">
        <f>QUANTBL!CE69</f>
        <v>108.9564</v>
      </c>
      <c r="P879" s="155"/>
      <c r="Q879" s="145"/>
    </row>
    <row r="880" spans="1:17" s="146" customFormat="1" ht="10.5" x14ac:dyDescent="0.25">
      <c r="A880" s="151"/>
      <c r="B880" s="152"/>
      <c r="C880" s="153"/>
      <c r="D880" s="154"/>
      <c r="E880" s="154"/>
      <c r="F880" s="154"/>
      <c r="G880" s="154"/>
      <c r="H880" s="154"/>
      <c r="I880" s="154"/>
      <c r="J880" s="154"/>
      <c r="K880" s="154"/>
      <c r="L880" s="154"/>
      <c r="M880" s="154"/>
      <c r="N880" s="173"/>
      <c r="O880" s="154"/>
      <c r="P880" s="155"/>
      <c r="Q880" s="145"/>
    </row>
    <row r="881" spans="1:17" s="146" customFormat="1" ht="15" customHeight="1" x14ac:dyDescent="0.25">
      <c r="A881" s="151"/>
      <c r="B881" s="157" t="s">
        <v>377</v>
      </c>
      <c r="C881" s="158" t="s">
        <v>402</v>
      </c>
      <c r="D881" s="158"/>
      <c r="E881" s="158"/>
      <c r="F881" s="158"/>
      <c r="G881" s="158"/>
      <c r="H881" s="158"/>
      <c r="I881" s="158"/>
      <c r="J881" s="158"/>
      <c r="K881" s="154"/>
      <c r="L881" s="158"/>
      <c r="M881" s="158"/>
      <c r="N881" s="153"/>
      <c r="O881" s="153">
        <f>SUM(O878:O880)</f>
        <v>108.9564</v>
      </c>
      <c r="P881" s="159"/>
      <c r="Q881" s="145"/>
    </row>
    <row r="882" spans="1:17" s="150" customFormat="1" ht="63" x14ac:dyDescent="0.25">
      <c r="A882" s="147" t="str">
        <f>ORÇAMENTO!A208</f>
        <v>4.1.2.6.10</v>
      </c>
      <c r="B882" s="148" t="str">
        <f>VLOOKUP(A882,ORÇAMENTO!$A:$F,4,0)</f>
        <v>ESCAVAÇÃO MECANIZADA DE VALA COM PROF. MAIOR QUE 1,5 M ATÉ 3,0 M (MÉDIA MONTANTE E JUSANTE/UMA COMPOSIÇÃO POR TRECHO),COM ESCAVADEIRA (1,2 M3),LARG. DE 1,5 M A 2,5 M, EM SOLO MOLE, EM LOCAIS COM ALTO NÍVEL DE INTERFERÊNCIA. AF_09/2024</v>
      </c>
      <c r="C882" s="149" t="str">
        <f>VLOOKUP(A882,ORÇAMENTO!$A:$F,5,0)</f>
        <v>M³</v>
      </c>
      <c r="D882" s="149">
        <f>ROUND(SUM(E886:O886),2)</f>
        <v>70.61</v>
      </c>
      <c r="E882" s="149" t="s">
        <v>2149</v>
      </c>
      <c r="F882" s="149" t="s">
        <v>2150</v>
      </c>
      <c r="G882" s="149" t="s">
        <v>2151</v>
      </c>
      <c r="H882" s="149" t="s">
        <v>2152</v>
      </c>
      <c r="I882" s="149" t="s">
        <v>2153</v>
      </c>
      <c r="J882" s="149" t="s">
        <v>2154</v>
      </c>
      <c r="K882" s="149" t="s">
        <v>2155</v>
      </c>
      <c r="L882" s="149" t="s">
        <v>2239</v>
      </c>
      <c r="M882" s="149" t="s">
        <v>413</v>
      </c>
      <c r="N882" s="149" t="s">
        <v>2244</v>
      </c>
      <c r="O882" s="149" t="s">
        <v>2158</v>
      </c>
      <c r="P882" s="145"/>
      <c r="Q882" s="145"/>
    </row>
    <row r="883" spans="1:17" s="146" customFormat="1" ht="10.5" x14ac:dyDescent="0.25">
      <c r="A883" s="151"/>
      <c r="B883" s="152"/>
      <c r="C883" s="153"/>
      <c r="D883" s="154"/>
      <c r="E883" s="154"/>
      <c r="F883" s="154"/>
      <c r="G883" s="154"/>
      <c r="H883" s="154"/>
      <c r="I883" s="154"/>
      <c r="J883" s="154"/>
      <c r="K883" s="154"/>
      <c r="L883" s="154"/>
      <c r="M883" s="154"/>
      <c r="N883" s="173"/>
      <c r="O883" s="154"/>
      <c r="P883" s="155"/>
      <c r="Q883" s="145"/>
    </row>
    <row r="884" spans="1:17" s="146" customFormat="1" ht="10.5" x14ac:dyDescent="0.25">
      <c r="A884" s="151"/>
      <c r="B884" s="152" t="s">
        <v>2245</v>
      </c>
      <c r="C884" s="153"/>
      <c r="D884" s="154"/>
      <c r="E884" s="154"/>
      <c r="F884" s="154"/>
      <c r="G884" s="154"/>
      <c r="H884" s="154"/>
      <c r="I884" s="154"/>
      <c r="J884" s="154"/>
      <c r="K884" s="154"/>
      <c r="L884" s="154"/>
      <c r="M884" s="154"/>
      <c r="N884" s="173"/>
      <c r="O884" s="154">
        <f>QUANTBL!CF69</f>
        <v>70.611010959999987</v>
      </c>
      <c r="P884" s="155"/>
      <c r="Q884" s="145"/>
    </row>
    <row r="885" spans="1:17" s="146" customFormat="1" ht="10.5" x14ac:dyDescent="0.25">
      <c r="A885" s="151"/>
      <c r="B885" s="152"/>
      <c r="C885" s="153"/>
      <c r="D885" s="154"/>
      <c r="E885" s="154"/>
      <c r="F885" s="154"/>
      <c r="G885" s="154"/>
      <c r="H885" s="154"/>
      <c r="I885" s="154"/>
      <c r="J885" s="154"/>
      <c r="K885" s="154"/>
      <c r="L885" s="154"/>
      <c r="M885" s="154"/>
      <c r="N885" s="173"/>
      <c r="O885" s="154"/>
      <c r="P885" s="155"/>
      <c r="Q885" s="145"/>
    </row>
    <row r="886" spans="1:17" s="146" customFormat="1" ht="15" customHeight="1" x14ac:dyDescent="0.25">
      <c r="A886" s="151"/>
      <c r="B886" s="157" t="s">
        <v>377</v>
      </c>
      <c r="C886" s="158" t="s">
        <v>402</v>
      </c>
      <c r="D886" s="158"/>
      <c r="E886" s="158"/>
      <c r="F886" s="158"/>
      <c r="G886" s="158"/>
      <c r="H886" s="158"/>
      <c r="I886" s="158"/>
      <c r="J886" s="158"/>
      <c r="K886" s="154"/>
      <c r="L886" s="158"/>
      <c r="M886" s="158"/>
      <c r="N886" s="153"/>
      <c r="O886" s="153">
        <f>SUM(O883:O885)</f>
        <v>70.611010959999987</v>
      </c>
      <c r="P886" s="159"/>
      <c r="Q886" s="145"/>
    </row>
    <row r="887" spans="1:17" s="150" customFormat="1" ht="63" x14ac:dyDescent="0.25">
      <c r="A887" s="147" t="str">
        <f>ORÇAMENTO!A209</f>
        <v>4.1.2.6.11</v>
      </c>
      <c r="B887" s="148" t="str">
        <f>VLOOKUP(A887,ORÇAMENTO!$A:$F,4,0)</f>
        <v>ESCAVAÇÃO MECANIZADA DE VALA COM PROF. ATÉ 1,5 M (MÉDIA MONTANTE E JUSANTE/UMA COMPOSIÇÃO POR TRECHO), ESCAVADEIRA (0,8 M3), LARG. MENOR QUE 1,5 M, EM SOLO DE 1A CATEGORIA, EM LOCAIS COM ALTO NÍVEL DE INTERFERÊNCIA. AF_09/2024</v>
      </c>
      <c r="C887" s="149" t="str">
        <f>VLOOKUP(A887,ORÇAMENTO!$A:$F,5,0)</f>
        <v>M³</v>
      </c>
      <c r="D887" s="149">
        <f>ROUND(SUM(E892:O892),2)</f>
        <v>521.65</v>
      </c>
      <c r="E887" s="149" t="s">
        <v>2149</v>
      </c>
      <c r="F887" s="149" t="s">
        <v>2150</v>
      </c>
      <c r="G887" s="149" t="s">
        <v>2151</v>
      </c>
      <c r="H887" s="149" t="s">
        <v>2152</v>
      </c>
      <c r="I887" s="149" t="s">
        <v>2153</v>
      </c>
      <c r="J887" s="149" t="s">
        <v>2154</v>
      </c>
      <c r="K887" s="149" t="s">
        <v>2155</v>
      </c>
      <c r="L887" s="149" t="s">
        <v>2239</v>
      </c>
      <c r="M887" s="149" t="s">
        <v>413</v>
      </c>
      <c r="N887" s="149" t="s">
        <v>2240</v>
      </c>
      <c r="O887" s="149" t="s">
        <v>2158</v>
      </c>
      <c r="P887" s="145"/>
      <c r="Q887" s="145"/>
    </row>
    <row r="888" spans="1:17" s="146" customFormat="1" ht="10.5" x14ac:dyDescent="0.25">
      <c r="A888" s="151"/>
      <c r="B888" s="152"/>
      <c r="C888" s="153"/>
      <c r="D888" s="154"/>
      <c r="E888" s="154"/>
      <c r="F888" s="154"/>
      <c r="G888" s="154"/>
      <c r="H888" s="154"/>
      <c r="I888" s="154"/>
      <c r="J888" s="154"/>
      <c r="K888" s="154"/>
      <c r="L888" s="154"/>
      <c r="M888" s="154"/>
      <c r="N888" s="173"/>
      <c r="O888" s="154"/>
      <c r="P888" s="155"/>
      <c r="Q888" s="145"/>
    </row>
    <row r="889" spans="1:17" s="146" customFormat="1" ht="21" x14ac:dyDescent="0.25">
      <c r="A889" s="151"/>
      <c r="B889" s="152" t="s">
        <v>2243</v>
      </c>
      <c r="C889" s="153"/>
      <c r="D889" s="154"/>
      <c r="E889" s="154"/>
      <c r="F889" s="154"/>
      <c r="G889" s="154"/>
      <c r="H889" s="154"/>
      <c r="I889" s="154"/>
      <c r="J889" s="154"/>
      <c r="K889" s="154"/>
      <c r="L889" s="154"/>
      <c r="M889" s="154"/>
      <c r="N889" s="173"/>
      <c r="O889" s="154">
        <f>QUANTBL!AF69</f>
        <v>521.65330999999981</v>
      </c>
      <c r="P889" s="155"/>
      <c r="Q889" s="145"/>
    </row>
    <row r="890" spans="1:17" s="146" customFormat="1" ht="15" customHeight="1" x14ac:dyDescent="0.25">
      <c r="A890" s="151"/>
      <c r="B890" s="152" t="s">
        <v>2245</v>
      </c>
      <c r="C890" s="153"/>
      <c r="D890" s="154"/>
      <c r="E890" s="154"/>
      <c r="F890" s="154"/>
      <c r="G890" s="154"/>
      <c r="H890" s="154"/>
      <c r="I890" s="154"/>
      <c r="J890" s="154"/>
      <c r="K890" s="154"/>
      <c r="L890" s="154"/>
      <c r="M890" s="154"/>
      <c r="N890" s="173"/>
      <c r="O890" s="154"/>
      <c r="P890" s="155"/>
      <c r="Q890" s="145"/>
    </row>
    <row r="891" spans="1:17" s="146" customFormat="1" ht="15" customHeight="1" x14ac:dyDescent="0.25">
      <c r="A891" s="151"/>
      <c r="B891" s="152"/>
      <c r="C891" s="153"/>
      <c r="D891" s="154"/>
      <c r="E891" s="154"/>
      <c r="F891" s="154"/>
      <c r="G891" s="154"/>
      <c r="H891" s="154"/>
      <c r="I891" s="154"/>
      <c r="J891" s="154"/>
      <c r="K891" s="154"/>
      <c r="L891" s="154"/>
      <c r="M891" s="154"/>
      <c r="N891" s="173"/>
      <c r="O891" s="154"/>
      <c r="P891" s="155"/>
      <c r="Q891" s="145"/>
    </row>
    <row r="892" spans="1:17" s="146" customFormat="1" ht="15" customHeight="1" x14ac:dyDescent="0.25">
      <c r="A892" s="151"/>
      <c r="B892" s="157" t="s">
        <v>377</v>
      </c>
      <c r="C892" s="158" t="s">
        <v>402</v>
      </c>
      <c r="D892" s="158"/>
      <c r="E892" s="158"/>
      <c r="F892" s="158"/>
      <c r="G892" s="158"/>
      <c r="H892" s="158"/>
      <c r="I892" s="158"/>
      <c r="J892" s="158"/>
      <c r="K892" s="154"/>
      <c r="L892" s="158"/>
      <c r="M892" s="158"/>
      <c r="N892" s="153"/>
      <c r="O892" s="153">
        <f>SUM(O888:O889)</f>
        <v>521.65330999999981</v>
      </c>
      <c r="P892" s="159"/>
      <c r="Q892" s="145"/>
    </row>
    <row r="893" spans="1:17" s="150" customFormat="1" ht="63" x14ac:dyDescent="0.25">
      <c r="A893" s="147" t="str">
        <f>ORÇAMENTO!A210</f>
        <v>4.1.2.6.12</v>
      </c>
      <c r="B893" s="148" t="str">
        <f>VLOOKUP(A893,ORÇAMENTO!$A:$F,4,0)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C893" s="149" t="str">
        <f>VLOOKUP(A893,ORÇAMENTO!$A:$F,5,0)</f>
        <v>M³</v>
      </c>
      <c r="D893" s="149">
        <f>ROUND(SUM(E898:O898),2)</f>
        <v>279.39999999999998</v>
      </c>
      <c r="E893" s="149" t="s">
        <v>2149</v>
      </c>
      <c r="F893" s="149" t="s">
        <v>2150</v>
      </c>
      <c r="G893" s="149" t="s">
        <v>2151</v>
      </c>
      <c r="H893" s="149" t="s">
        <v>2152</v>
      </c>
      <c r="I893" s="149" t="s">
        <v>2153</v>
      </c>
      <c r="J893" s="149" t="s">
        <v>2154</v>
      </c>
      <c r="K893" s="149" t="s">
        <v>2155</v>
      </c>
      <c r="L893" s="149" t="s">
        <v>2239</v>
      </c>
      <c r="M893" s="149" t="s">
        <v>413</v>
      </c>
      <c r="N893" s="149" t="s">
        <v>2240</v>
      </c>
      <c r="O893" s="149" t="s">
        <v>2158</v>
      </c>
      <c r="P893" s="145"/>
      <c r="Q893" s="145"/>
    </row>
    <row r="894" spans="1:17" s="146" customFormat="1" ht="10.5" x14ac:dyDescent="0.25">
      <c r="A894" s="151"/>
      <c r="B894" s="152"/>
      <c r="C894" s="153"/>
      <c r="D894" s="154"/>
      <c r="E894" s="154"/>
      <c r="F894" s="154"/>
      <c r="G894" s="154"/>
      <c r="H894" s="154"/>
      <c r="I894" s="154"/>
      <c r="J894" s="154"/>
      <c r="K894" s="154"/>
      <c r="L894" s="154"/>
      <c r="M894" s="154"/>
      <c r="N894" s="173"/>
      <c r="O894" s="154"/>
      <c r="P894" s="155"/>
      <c r="Q894" s="145"/>
    </row>
    <row r="895" spans="1:17" s="146" customFormat="1" ht="21" x14ac:dyDescent="0.25">
      <c r="A895" s="151"/>
      <c r="B895" s="152" t="s">
        <v>2243</v>
      </c>
      <c r="C895" s="153"/>
      <c r="D895" s="154"/>
      <c r="E895" s="154"/>
      <c r="F895" s="154"/>
      <c r="G895" s="154"/>
      <c r="H895" s="154"/>
      <c r="I895" s="154"/>
      <c r="J895" s="154"/>
      <c r="K895" s="154"/>
      <c r="L895" s="154"/>
      <c r="M895" s="154"/>
      <c r="N895" s="173"/>
      <c r="O895" s="154">
        <f>QUANTBL!AG69</f>
        <v>279.39758344000006</v>
      </c>
      <c r="P895" s="155"/>
      <c r="Q895" s="145"/>
    </row>
    <row r="896" spans="1:17" s="146" customFormat="1" ht="15" customHeight="1" x14ac:dyDescent="0.25">
      <c r="A896" s="151"/>
      <c r="B896" s="152"/>
      <c r="C896" s="153"/>
      <c r="D896" s="154"/>
      <c r="E896" s="154"/>
      <c r="F896" s="154"/>
      <c r="G896" s="154"/>
      <c r="H896" s="154"/>
      <c r="I896" s="154"/>
      <c r="J896" s="154"/>
      <c r="K896" s="154"/>
      <c r="L896" s="154"/>
      <c r="M896" s="154"/>
      <c r="N896" s="173"/>
      <c r="O896" s="154"/>
      <c r="P896" s="155"/>
      <c r="Q896" s="145"/>
    </row>
    <row r="897" spans="1:17" s="146" customFormat="1" ht="15" customHeight="1" x14ac:dyDescent="0.25">
      <c r="A897" s="151"/>
      <c r="B897" s="152"/>
      <c r="C897" s="153"/>
      <c r="D897" s="154"/>
      <c r="E897" s="154"/>
      <c r="F897" s="154"/>
      <c r="G897" s="154"/>
      <c r="H897" s="154"/>
      <c r="I897" s="154"/>
      <c r="J897" s="154"/>
      <c r="K897" s="154"/>
      <c r="L897" s="154"/>
      <c r="M897" s="154"/>
      <c r="N897" s="173"/>
      <c r="O897" s="154"/>
      <c r="P897" s="155"/>
      <c r="Q897" s="145"/>
    </row>
    <row r="898" spans="1:17" s="146" customFormat="1" ht="15" customHeight="1" x14ac:dyDescent="0.25">
      <c r="A898" s="151"/>
      <c r="B898" s="157" t="s">
        <v>377</v>
      </c>
      <c r="C898" s="158" t="s">
        <v>402</v>
      </c>
      <c r="D898" s="158"/>
      <c r="E898" s="158"/>
      <c r="F898" s="158"/>
      <c r="G898" s="158"/>
      <c r="H898" s="158"/>
      <c r="I898" s="158"/>
      <c r="J898" s="158"/>
      <c r="K898" s="154"/>
      <c r="L898" s="158"/>
      <c r="M898" s="158"/>
      <c r="N898" s="153"/>
      <c r="O898" s="153">
        <f>SUM(O894:O895)</f>
        <v>279.39758344000006</v>
      </c>
      <c r="P898" s="159"/>
      <c r="Q898" s="145"/>
    </row>
    <row r="899" spans="1:17" s="150" customFormat="1" ht="63" x14ac:dyDescent="0.25">
      <c r="A899" s="147" t="str">
        <f>ORÇAMENTO!A211</f>
        <v>4.1.2.6.13</v>
      </c>
      <c r="B899" s="148" t="str">
        <f>VLOOKUP(A899,ORÇAMENTO!$A:$F,4,0)</f>
        <v>ESCAVAÇÃO MECANIZADA DE VALA COM PROF. MAIOR QUE 3,0 M ATÉ 4,5 M(MÉDIA MONTANTE E JUSANTE/UMA COMPOSIÇÃO POR TRECHO), ESCAVADEIRA (0,8 M3), LARG. MENOR QUE 1,5 M, EM SOLO DE 1A CATEGORIA, EM LOCAIS COM ALTO NÍVEL DE INTERFERÊNCIA. AF_09/2024</v>
      </c>
      <c r="C899" s="149" t="str">
        <f>VLOOKUP(A899,ORÇAMENTO!$A:$F,5,0)</f>
        <v>M³</v>
      </c>
      <c r="D899" s="149">
        <f>ROUND(SUM(E904:O904),2)</f>
        <v>12.01</v>
      </c>
      <c r="E899" s="149" t="s">
        <v>2149</v>
      </c>
      <c r="F899" s="149" t="s">
        <v>2150</v>
      </c>
      <c r="G899" s="149" t="s">
        <v>2151</v>
      </c>
      <c r="H899" s="149" t="s">
        <v>2152</v>
      </c>
      <c r="I899" s="149" t="s">
        <v>2153</v>
      </c>
      <c r="J899" s="149" t="s">
        <v>2154</v>
      </c>
      <c r="K899" s="149" t="s">
        <v>2155</v>
      </c>
      <c r="L899" s="149" t="s">
        <v>2239</v>
      </c>
      <c r="M899" s="149" t="s">
        <v>413</v>
      </c>
      <c r="N899" s="149" t="s">
        <v>2240</v>
      </c>
      <c r="O899" s="149" t="s">
        <v>2158</v>
      </c>
      <c r="P899" s="145"/>
      <c r="Q899" s="145"/>
    </row>
    <row r="900" spans="1:17" s="146" customFormat="1" ht="10.5" x14ac:dyDescent="0.25">
      <c r="A900" s="151"/>
      <c r="B900" s="152"/>
      <c r="C900" s="153"/>
      <c r="D900" s="154"/>
      <c r="E900" s="154"/>
      <c r="F900" s="154"/>
      <c r="G900" s="154"/>
      <c r="H900" s="154"/>
      <c r="I900" s="154"/>
      <c r="J900" s="154"/>
      <c r="K900" s="154"/>
      <c r="L900" s="154"/>
      <c r="M900" s="154"/>
      <c r="N900" s="173"/>
      <c r="O900" s="154"/>
      <c r="P900" s="155"/>
      <c r="Q900" s="145"/>
    </row>
    <row r="901" spans="1:17" s="146" customFormat="1" ht="21" x14ac:dyDescent="0.25">
      <c r="A901" s="151"/>
      <c r="B901" s="152" t="s">
        <v>2243</v>
      </c>
      <c r="C901" s="153"/>
      <c r="D901" s="154"/>
      <c r="E901" s="154"/>
      <c r="F901" s="154"/>
      <c r="G901" s="154"/>
      <c r="H901" s="154"/>
      <c r="I901" s="154"/>
      <c r="J901" s="154"/>
      <c r="K901" s="154"/>
      <c r="L901" s="154"/>
      <c r="M901" s="154"/>
      <c r="N901" s="173"/>
      <c r="O901" s="154">
        <f>QUANTBL!AH69</f>
        <v>12.013460000000173</v>
      </c>
      <c r="P901" s="155"/>
      <c r="Q901" s="145"/>
    </row>
    <row r="902" spans="1:17" s="146" customFormat="1" ht="15" customHeight="1" x14ac:dyDescent="0.25">
      <c r="A902" s="151"/>
      <c r="B902" s="152"/>
      <c r="C902" s="153"/>
      <c r="D902" s="154"/>
      <c r="E902" s="154"/>
      <c r="F902" s="154"/>
      <c r="G902" s="154"/>
      <c r="H902" s="154"/>
      <c r="I902" s="154"/>
      <c r="J902" s="154"/>
      <c r="K902" s="154"/>
      <c r="L902" s="154"/>
      <c r="M902" s="154"/>
      <c r="N902" s="173"/>
      <c r="O902" s="154"/>
      <c r="P902" s="155"/>
      <c r="Q902" s="145"/>
    </row>
    <row r="903" spans="1:17" s="146" customFormat="1" ht="10.5" x14ac:dyDescent="0.25">
      <c r="A903" s="151"/>
      <c r="B903" s="152"/>
      <c r="C903" s="153"/>
      <c r="D903" s="154"/>
      <c r="E903" s="154"/>
      <c r="F903" s="154"/>
      <c r="G903" s="154"/>
      <c r="H903" s="154"/>
      <c r="I903" s="154"/>
      <c r="J903" s="154"/>
      <c r="K903" s="154"/>
      <c r="L903" s="154"/>
      <c r="M903" s="154"/>
      <c r="N903" s="173"/>
      <c r="O903" s="154"/>
      <c r="P903" s="155"/>
      <c r="Q903" s="145"/>
    </row>
    <row r="904" spans="1:17" s="146" customFormat="1" ht="15" customHeight="1" x14ac:dyDescent="0.25">
      <c r="A904" s="151"/>
      <c r="B904" s="157" t="s">
        <v>377</v>
      </c>
      <c r="C904" s="158" t="s">
        <v>402</v>
      </c>
      <c r="D904" s="158"/>
      <c r="E904" s="158"/>
      <c r="F904" s="158"/>
      <c r="G904" s="158"/>
      <c r="H904" s="158"/>
      <c r="I904" s="158"/>
      <c r="J904" s="158"/>
      <c r="K904" s="154"/>
      <c r="L904" s="158"/>
      <c r="M904" s="158"/>
      <c r="N904" s="153"/>
      <c r="O904" s="153">
        <f>SUM(O900:O901)</f>
        <v>12.013460000000173</v>
      </c>
      <c r="P904" s="159"/>
      <c r="Q904" s="145"/>
    </row>
    <row r="905" spans="1:17" s="150" customFormat="1" ht="63" x14ac:dyDescent="0.25">
      <c r="A905" s="147" t="str">
        <f>ORÇAMENTO!A212</f>
        <v>4.1.2.6.14</v>
      </c>
      <c r="B905" s="148" t="str">
        <f>VLOOKUP(A905,ORÇAMENTO!$A:$F,4,0)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905" s="149" t="str">
        <f>VLOOKUP(A905,ORÇAMENTO!$A:$F,5,0)</f>
        <v>M³</v>
      </c>
      <c r="D905" s="149">
        <f>ROUND(SUM(E909:O909),2)</f>
        <v>507.64</v>
      </c>
      <c r="E905" s="149" t="s">
        <v>2149</v>
      </c>
      <c r="F905" s="149" t="s">
        <v>2150</v>
      </c>
      <c r="G905" s="149" t="s">
        <v>2151</v>
      </c>
      <c r="H905" s="149" t="s">
        <v>2152</v>
      </c>
      <c r="I905" s="149" t="s">
        <v>2153</v>
      </c>
      <c r="J905" s="149" t="s">
        <v>2154</v>
      </c>
      <c r="K905" s="149" t="s">
        <v>2155</v>
      </c>
      <c r="L905" s="149" t="s">
        <v>2239</v>
      </c>
      <c r="M905" s="149" t="s">
        <v>413</v>
      </c>
      <c r="N905" s="149" t="s">
        <v>2240</v>
      </c>
      <c r="O905" s="149" t="s">
        <v>2158</v>
      </c>
      <c r="P905" s="145"/>
      <c r="Q905" s="145"/>
    </row>
    <row r="906" spans="1:17" s="146" customFormat="1" ht="10.5" x14ac:dyDescent="0.25">
      <c r="A906" s="151"/>
      <c r="B906" s="152"/>
      <c r="C906" s="153"/>
      <c r="D906" s="154"/>
      <c r="E906" s="154"/>
      <c r="F906" s="154"/>
      <c r="G906" s="154"/>
      <c r="H906" s="154"/>
      <c r="I906" s="154"/>
      <c r="J906" s="154"/>
      <c r="K906" s="154"/>
      <c r="L906" s="154"/>
      <c r="M906" s="154"/>
      <c r="N906" s="173"/>
      <c r="O906" s="154"/>
      <c r="P906" s="155"/>
      <c r="Q906" s="145"/>
    </row>
    <row r="907" spans="1:17" s="146" customFormat="1" ht="15" customHeight="1" x14ac:dyDescent="0.25">
      <c r="A907" s="151"/>
      <c r="B907" s="152" t="s">
        <v>2245</v>
      </c>
      <c r="C907" s="153"/>
      <c r="D907" s="154"/>
      <c r="E907" s="154"/>
      <c r="F907" s="154"/>
      <c r="G907" s="154"/>
      <c r="H907" s="154"/>
      <c r="I907" s="154"/>
      <c r="J907" s="154"/>
      <c r="K907" s="154"/>
      <c r="L907" s="154"/>
      <c r="M907" s="154"/>
      <c r="N907" s="173"/>
      <c r="O907" s="154">
        <f>QUANTBL!CC69</f>
        <v>507.6408385999996</v>
      </c>
      <c r="P907" s="155"/>
      <c r="Q907" s="145"/>
    </row>
    <row r="908" spans="1:17" s="146" customFormat="1" ht="10.5" x14ac:dyDescent="0.25">
      <c r="A908" s="151"/>
      <c r="B908" s="152"/>
      <c r="C908" s="153"/>
      <c r="D908" s="154"/>
      <c r="E908" s="154"/>
      <c r="F908" s="154"/>
      <c r="G908" s="154"/>
      <c r="H908" s="154"/>
      <c r="I908" s="154"/>
      <c r="J908" s="154"/>
      <c r="K908" s="154"/>
      <c r="L908" s="154"/>
      <c r="M908" s="154"/>
      <c r="N908" s="173"/>
      <c r="O908" s="154"/>
      <c r="P908" s="155"/>
      <c r="Q908" s="145"/>
    </row>
    <row r="909" spans="1:17" s="146" customFormat="1" ht="15" customHeight="1" x14ac:dyDescent="0.25">
      <c r="A909" s="151"/>
      <c r="B909" s="157" t="s">
        <v>377</v>
      </c>
      <c r="C909" s="158" t="s">
        <v>402</v>
      </c>
      <c r="D909" s="158"/>
      <c r="E909" s="158"/>
      <c r="F909" s="158"/>
      <c r="G909" s="158"/>
      <c r="H909" s="158"/>
      <c r="I909" s="158"/>
      <c r="J909" s="158"/>
      <c r="K909" s="154"/>
      <c r="L909" s="158"/>
      <c r="M909" s="158"/>
      <c r="N909" s="153"/>
      <c r="O909" s="153">
        <f>SUM(O907:O908)</f>
        <v>507.6408385999996</v>
      </c>
      <c r="P909" s="159"/>
      <c r="Q909" s="145"/>
    </row>
    <row r="910" spans="1:17" s="150" customFormat="1" ht="63" x14ac:dyDescent="0.25">
      <c r="A910" s="147" t="str">
        <f>ORÇAMENTO!A213</f>
        <v>4.1.2.6.15</v>
      </c>
      <c r="B910" s="148" t="str">
        <f>VLOOKUP(A910,ORÇAMENTO!$A:$F,4,0)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C910" s="149" t="str">
        <f>VLOOKUP(A910,ORÇAMENTO!$A:$F,5,0)</f>
        <v>M³</v>
      </c>
      <c r="D910" s="149">
        <f>ROUND(SUM(E914:O914),2)</f>
        <v>158.68</v>
      </c>
      <c r="E910" s="149" t="s">
        <v>2149</v>
      </c>
      <c r="F910" s="149" t="s">
        <v>2150</v>
      </c>
      <c r="G910" s="149" t="s">
        <v>2151</v>
      </c>
      <c r="H910" s="149" t="s">
        <v>2152</v>
      </c>
      <c r="I910" s="149" t="s">
        <v>2153</v>
      </c>
      <c r="J910" s="149" t="s">
        <v>2154</v>
      </c>
      <c r="K910" s="149" t="s">
        <v>2155</v>
      </c>
      <c r="L910" s="149" t="s">
        <v>2239</v>
      </c>
      <c r="M910" s="149" t="s">
        <v>413</v>
      </c>
      <c r="N910" s="149" t="s">
        <v>2244</v>
      </c>
      <c r="O910" s="149" t="s">
        <v>2158</v>
      </c>
      <c r="P910" s="145"/>
      <c r="Q910" s="145"/>
    </row>
    <row r="911" spans="1:17" s="146" customFormat="1" ht="10.5" x14ac:dyDescent="0.25">
      <c r="A911" s="151"/>
      <c r="B911" s="152"/>
      <c r="C911" s="153"/>
      <c r="D911" s="154"/>
      <c r="E911" s="154"/>
      <c r="F911" s="154"/>
      <c r="G911" s="154"/>
      <c r="H911" s="154"/>
      <c r="I911" s="154"/>
      <c r="J911" s="154"/>
      <c r="K911" s="154"/>
      <c r="L911" s="154"/>
      <c r="M911" s="154"/>
      <c r="N911" s="173"/>
      <c r="O911" s="154"/>
      <c r="P911" s="155"/>
      <c r="Q911" s="145"/>
    </row>
    <row r="912" spans="1:17" s="146" customFormat="1" ht="10.5" x14ac:dyDescent="0.25">
      <c r="A912" s="151"/>
      <c r="B912" s="152" t="s">
        <v>2245</v>
      </c>
      <c r="C912" s="153"/>
      <c r="D912" s="154"/>
      <c r="E912" s="154"/>
      <c r="F912" s="154"/>
      <c r="G912" s="154"/>
      <c r="H912" s="154"/>
      <c r="I912" s="154"/>
      <c r="J912" s="154"/>
      <c r="K912" s="154"/>
      <c r="L912" s="154"/>
      <c r="M912" s="154"/>
      <c r="N912" s="173"/>
      <c r="O912" s="154">
        <f>QUANTBL!CD69</f>
        <v>158.67891255999987</v>
      </c>
      <c r="P912" s="155"/>
      <c r="Q912" s="145"/>
    </row>
    <row r="913" spans="1:17" s="146" customFormat="1" ht="10.5" x14ac:dyDescent="0.25">
      <c r="A913" s="151"/>
      <c r="B913" s="152"/>
      <c r="C913" s="153"/>
      <c r="D913" s="154"/>
      <c r="E913" s="154"/>
      <c r="F913" s="154"/>
      <c r="G913" s="154"/>
      <c r="H913" s="154"/>
      <c r="I913" s="154"/>
      <c r="J913" s="154"/>
      <c r="K913" s="154"/>
      <c r="L913" s="154"/>
      <c r="M913" s="154"/>
      <c r="N913" s="173"/>
      <c r="O913" s="154"/>
      <c r="P913" s="155"/>
      <c r="Q913" s="145"/>
    </row>
    <row r="914" spans="1:17" s="146" customFormat="1" ht="15" customHeight="1" x14ac:dyDescent="0.25">
      <c r="A914" s="151"/>
      <c r="B914" s="157" t="s">
        <v>377</v>
      </c>
      <c r="C914" s="158" t="s">
        <v>402</v>
      </c>
      <c r="D914" s="158"/>
      <c r="E914" s="158"/>
      <c r="F914" s="158"/>
      <c r="G914" s="158"/>
      <c r="H914" s="158"/>
      <c r="I914" s="158"/>
      <c r="J914" s="158"/>
      <c r="K914" s="154"/>
      <c r="L914" s="158"/>
      <c r="M914" s="158"/>
      <c r="N914" s="153"/>
      <c r="O914" s="153">
        <f>SUM(O911:O913)</f>
        <v>158.67891255999987</v>
      </c>
      <c r="P914" s="159"/>
      <c r="Q914" s="145"/>
    </row>
    <row r="915" spans="1:17" s="150" customFormat="1" ht="31.5" x14ac:dyDescent="0.25">
      <c r="A915" s="147" t="str">
        <f>ORÇAMENTO!A214</f>
        <v>4.1.2.6.16</v>
      </c>
      <c r="B915" s="148" t="str">
        <f>VLOOKUP(A915,ORÇAMENTO!$A:$F,4,0)</f>
        <v>ESCAVAÇÃO DE VALA EM MATERIAL DE 3ª CATEGORIA COM ESCAVADEIRA E ROMPEDOR HIDRÁULICO DE 1700KG</v>
      </c>
      <c r="C915" s="149" t="str">
        <f>VLOOKUP(A915,ORÇAMENTO!$A:$F,5,0)</f>
        <v>M³</v>
      </c>
      <c r="D915" s="149">
        <f>ROUND(SUM(E920:O920),2)</f>
        <v>7.26</v>
      </c>
      <c r="E915" s="149" t="s">
        <v>2149</v>
      </c>
      <c r="F915" s="149" t="s">
        <v>2150</v>
      </c>
      <c r="G915" s="149" t="s">
        <v>2151</v>
      </c>
      <c r="H915" s="149" t="s">
        <v>2152</v>
      </c>
      <c r="I915" s="149" t="s">
        <v>2153</v>
      </c>
      <c r="J915" s="149" t="s">
        <v>2154</v>
      </c>
      <c r="K915" s="149" t="s">
        <v>2155</v>
      </c>
      <c r="L915" s="149" t="s">
        <v>2239</v>
      </c>
      <c r="M915" s="149" t="s">
        <v>413</v>
      </c>
      <c r="N915" s="149" t="s">
        <v>2240</v>
      </c>
      <c r="O915" s="149" t="s">
        <v>2158</v>
      </c>
      <c r="P915" s="145"/>
      <c r="Q915" s="145"/>
    </row>
    <row r="916" spans="1:17" s="146" customFormat="1" ht="10.5" x14ac:dyDescent="0.25">
      <c r="A916" s="151"/>
      <c r="B916" s="152"/>
      <c r="C916" s="153"/>
      <c r="D916" s="154"/>
      <c r="E916" s="154"/>
      <c r="F916" s="154"/>
      <c r="G916" s="154"/>
      <c r="H916" s="154"/>
      <c r="I916" s="154"/>
      <c r="J916" s="154"/>
      <c r="K916" s="154"/>
      <c r="L916" s="154"/>
      <c r="M916" s="154"/>
      <c r="N916" s="173"/>
      <c r="O916" s="154"/>
      <c r="P916" s="155"/>
      <c r="Q916" s="145"/>
    </row>
    <row r="917" spans="1:17" s="146" customFormat="1" ht="21" x14ac:dyDescent="0.25">
      <c r="A917" s="151"/>
      <c r="B917" s="152" t="s">
        <v>2243</v>
      </c>
      <c r="C917" s="153"/>
      <c r="D917" s="154"/>
      <c r="E917" s="154"/>
      <c r="F917" s="154"/>
      <c r="G917" s="154"/>
      <c r="H917" s="154"/>
      <c r="I917" s="154"/>
      <c r="J917" s="154"/>
      <c r="K917" s="154"/>
      <c r="L917" s="154"/>
      <c r="M917" s="154"/>
      <c r="N917" s="173"/>
      <c r="O917" s="154">
        <f>QUANTBL!AJ69</f>
        <v>0</v>
      </c>
      <c r="P917" s="155"/>
      <c r="Q917" s="145"/>
    </row>
    <row r="918" spans="1:17" s="146" customFormat="1" ht="10.5" x14ac:dyDescent="0.25">
      <c r="A918" s="151"/>
      <c r="B918" s="152" t="s">
        <v>2245</v>
      </c>
      <c r="C918" s="153"/>
      <c r="D918" s="154"/>
      <c r="E918" s="154"/>
      <c r="F918" s="154"/>
      <c r="G918" s="154"/>
      <c r="H918" s="154"/>
      <c r="I918" s="154"/>
      <c r="J918" s="154"/>
      <c r="K918" s="154"/>
      <c r="L918" s="154"/>
      <c r="M918" s="154"/>
      <c r="N918" s="173"/>
      <c r="O918" s="154">
        <f>QUANTBL!CG69</f>
        <v>7.2637599999999996</v>
      </c>
      <c r="P918" s="155"/>
      <c r="Q918" s="145"/>
    </row>
    <row r="919" spans="1:17" s="146" customFormat="1" ht="10.5" x14ac:dyDescent="0.25">
      <c r="A919" s="151"/>
      <c r="B919" s="152"/>
      <c r="C919" s="153"/>
      <c r="D919" s="154"/>
      <c r="E919" s="154"/>
      <c r="F919" s="154"/>
      <c r="G919" s="154"/>
      <c r="H919" s="154"/>
      <c r="I919" s="154"/>
      <c r="J919" s="154"/>
      <c r="K919" s="154"/>
      <c r="L919" s="154"/>
      <c r="M919" s="154"/>
      <c r="N919" s="173"/>
      <c r="O919" s="154"/>
      <c r="P919" s="155"/>
      <c r="Q919" s="145"/>
    </row>
    <row r="920" spans="1:17" s="146" customFormat="1" ht="15" customHeight="1" x14ac:dyDescent="0.25">
      <c r="A920" s="151"/>
      <c r="B920" s="157" t="s">
        <v>377</v>
      </c>
      <c r="C920" s="158" t="s">
        <v>402</v>
      </c>
      <c r="D920" s="158"/>
      <c r="E920" s="158"/>
      <c r="F920" s="158"/>
      <c r="G920" s="158"/>
      <c r="H920" s="158"/>
      <c r="I920" s="158"/>
      <c r="J920" s="158"/>
      <c r="K920" s="154"/>
      <c r="L920" s="158"/>
      <c r="M920" s="158"/>
      <c r="N920" s="153"/>
      <c r="O920" s="153">
        <f>SUM(O916:O919)</f>
        <v>7.2637599999999996</v>
      </c>
      <c r="P920" s="159"/>
      <c r="Q920" s="145"/>
    </row>
    <row r="921" spans="1:17" s="150" customFormat="1" ht="42" x14ac:dyDescent="0.25">
      <c r="A921" s="147" t="str">
        <f>ORÇAMENTO!A215</f>
        <v>4.1.2.6.17</v>
      </c>
      <c r="B921" s="148" t="str">
        <f>VLOOKUP(A921,ORÇAMENTO!$A:$F,4,0)</f>
        <v>ESCORAMENTO DE VALA, TIPO BLINDAGEM, COM PROFUNDIDADE DE 0 A 1,5 M, LARGURA MENOR QUE 1,5 M - EXECUÇÃO E FORNECIMENTO, INCLUI MATERIAL (ESCAVAÇÃO EXTERNA AO BLINDADO)</v>
      </c>
      <c r="C921" s="149" t="str">
        <f>VLOOKUP(A921,ORÇAMENTO!$A:$F,5,0)</f>
        <v>M²</v>
      </c>
      <c r="D921" s="149">
        <f>ROUND(SUM(E925:O925),2)</f>
        <v>1421.79</v>
      </c>
      <c r="E921" s="149" t="s">
        <v>2149</v>
      </c>
      <c r="F921" s="149" t="s">
        <v>2150</v>
      </c>
      <c r="G921" s="149" t="s">
        <v>2151</v>
      </c>
      <c r="H921" s="149" t="s">
        <v>2152</v>
      </c>
      <c r="I921" s="149" t="s">
        <v>2153</v>
      </c>
      <c r="J921" s="149" t="s">
        <v>2154</v>
      </c>
      <c r="K921" s="149" t="s">
        <v>2155</v>
      </c>
      <c r="L921" s="149" t="s">
        <v>2239</v>
      </c>
      <c r="M921" s="149" t="s">
        <v>413</v>
      </c>
      <c r="N921" s="149" t="s">
        <v>2214</v>
      </c>
      <c r="O921" s="149" t="s">
        <v>2158</v>
      </c>
      <c r="P921" s="145"/>
      <c r="Q921" s="145"/>
    </row>
    <row r="922" spans="1:17" s="146" customFormat="1" ht="10.5" x14ac:dyDescent="0.25">
      <c r="A922" s="151"/>
      <c r="B922" s="152"/>
      <c r="C922" s="153"/>
      <c r="D922" s="154"/>
      <c r="E922" s="154"/>
      <c r="F922" s="154"/>
      <c r="G922" s="154"/>
      <c r="H922" s="154"/>
      <c r="I922" s="154"/>
      <c r="J922" s="154"/>
      <c r="K922" s="154"/>
      <c r="L922" s="154"/>
      <c r="M922" s="154"/>
      <c r="N922" s="173"/>
      <c r="O922" s="154"/>
      <c r="P922" s="155"/>
      <c r="Q922" s="145"/>
    </row>
    <row r="923" spans="1:17" s="146" customFormat="1" ht="10.5" x14ac:dyDescent="0.25">
      <c r="A923" s="151"/>
      <c r="B923" s="152" t="s">
        <v>2246</v>
      </c>
      <c r="C923" s="153"/>
      <c r="D923" s="154"/>
      <c r="E923" s="154"/>
      <c r="F923" s="154"/>
      <c r="G923" s="154"/>
      <c r="H923" s="154"/>
      <c r="I923" s="154"/>
      <c r="J923" s="154"/>
      <c r="K923" s="154"/>
      <c r="L923" s="154"/>
      <c r="M923" s="154"/>
      <c r="N923" s="154">
        <f>QUANTBL!BQ69</f>
        <v>1421.7866199999996</v>
      </c>
      <c r="O923" s="154"/>
      <c r="P923" s="155"/>
      <c r="Q923" s="145"/>
    </row>
    <row r="924" spans="1:17" s="146" customFormat="1" ht="10.5" x14ac:dyDescent="0.25">
      <c r="A924" s="151"/>
      <c r="B924" s="152"/>
      <c r="C924" s="153"/>
      <c r="D924" s="154"/>
      <c r="E924" s="154"/>
      <c r="F924" s="154"/>
      <c r="G924" s="154"/>
      <c r="H924" s="154"/>
      <c r="I924" s="154"/>
      <c r="J924" s="154"/>
      <c r="K924" s="154"/>
      <c r="L924" s="154"/>
      <c r="M924" s="154"/>
      <c r="N924" s="173"/>
      <c r="O924" s="154"/>
      <c r="P924" s="155"/>
      <c r="Q924" s="145"/>
    </row>
    <row r="925" spans="1:17" s="146" customFormat="1" ht="15" customHeight="1" x14ac:dyDescent="0.25">
      <c r="A925" s="151"/>
      <c r="B925" s="157" t="s">
        <v>377</v>
      </c>
      <c r="C925" s="158" t="s">
        <v>402</v>
      </c>
      <c r="D925" s="158"/>
      <c r="E925" s="158"/>
      <c r="F925" s="158"/>
      <c r="G925" s="158"/>
      <c r="H925" s="158"/>
      <c r="I925" s="158"/>
      <c r="J925" s="158"/>
      <c r="K925" s="154"/>
      <c r="L925" s="158"/>
      <c r="M925" s="158"/>
      <c r="N925" s="153">
        <f>SUM(N922:N924)</f>
        <v>1421.7866199999996</v>
      </c>
      <c r="O925" s="153"/>
      <c r="P925" s="159"/>
      <c r="Q925" s="145"/>
    </row>
    <row r="926" spans="1:17" s="150" customFormat="1" ht="42" x14ac:dyDescent="0.25">
      <c r="A926" s="147" t="str">
        <f>ORÇAMENTO!A216</f>
        <v>4.1.2.6.18</v>
      </c>
      <c r="B926" s="148" t="str">
        <f>VLOOKUP(A926,ORÇAMENTO!$A:$F,4,0)</f>
        <v>ESCORAMENTO DE VALA, TIPO BLINDAGEM, COM PROFUNDIDADE DE 1,5 A 3,0 M, LARGURA MENOR QUE 1,5 M - EXECUÇÃO E FORNECIMENTO, INCLUI MATERIAL (ESCAVAÇÃO INTERNA AO BLINDADO)</v>
      </c>
      <c r="C926" s="149" t="str">
        <f>VLOOKUP(A926,ORÇAMENTO!$A:$F,5,0)</f>
        <v>M²</v>
      </c>
      <c r="D926" s="149">
        <f>ROUND(SUM(E930:O930),2)</f>
        <v>913.02</v>
      </c>
      <c r="E926" s="149" t="s">
        <v>2149</v>
      </c>
      <c r="F926" s="149" t="s">
        <v>2150</v>
      </c>
      <c r="G926" s="149" t="s">
        <v>2151</v>
      </c>
      <c r="H926" s="149" t="s">
        <v>2152</v>
      </c>
      <c r="I926" s="149" t="s">
        <v>2153</v>
      </c>
      <c r="J926" s="149" t="s">
        <v>2154</v>
      </c>
      <c r="K926" s="149" t="s">
        <v>2155</v>
      </c>
      <c r="L926" s="149" t="s">
        <v>2239</v>
      </c>
      <c r="M926" s="149" t="s">
        <v>413</v>
      </c>
      <c r="N926" s="149" t="s">
        <v>2214</v>
      </c>
      <c r="O926" s="149" t="s">
        <v>2158</v>
      </c>
      <c r="P926" s="145"/>
      <c r="Q926" s="145"/>
    </row>
    <row r="927" spans="1:17" s="146" customFormat="1" ht="10.5" x14ac:dyDescent="0.25">
      <c r="A927" s="151"/>
      <c r="B927" s="152"/>
      <c r="C927" s="153"/>
      <c r="D927" s="154"/>
      <c r="E927" s="154"/>
      <c r="F927" s="154"/>
      <c r="G927" s="154"/>
      <c r="H927" s="154"/>
      <c r="I927" s="154"/>
      <c r="J927" s="154"/>
      <c r="K927" s="154"/>
      <c r="L927" s="154"/>
      <c r="M927" s="154"/>
      <c r="N927" s="173"/>
      <c r="O927" s="154"/>
      <c r="P927" s="155"/>
      <c r="Q927" s="145"/>
    </row>
    <row r="928" spans="1:17" s="146" customFormat="1" ht="10.5" x14ac:dyDescent="0.25">
      <c r="A928" s="151"/>
      <c r="B928" s="152" t="s">
        <v>2246</v>
      </c>
      <c r="C928" s="153"/>
      <c r="D928" s="154"/>
      <c r="E928" s="154"/>
      <c r="F928" s="154"/>
      <c r="G928" s="154"/>
      <c r="H928" s="154"/>
      <c r="I928" s="154"/>
      <c r="J928" s="154"/>
      <c r="K928" s="154"/>
      <c r="L928" s="154"/>
      <c r="M928" s="154"/>
      <c r="N928" s="173">
        <f>QUANTBL!BR69</f>
        <v>913.01957488000028</v>
      </c>
      <c r="O928" s="154"/>
      <c r="P928" s="155"/>
      <c r="Q928" s="145"/>
    </row>
    <row r="929" spans="1:17" s="146" customFormat="1" ht="10.5" x14ac:dyDescent="0.25">
      <c r="A929" s="151"/>
      <c r="B929" s="152"/>
      <c r="C929" s="153"/>
      <c r="D929" s="154"/>
      <c r="E929" s="154"/>
      <c r="F929" s="154"/>
      <c r="G929" s="154"/>
      <c r="H929" s="154"/>
      <c r="I929" s="154"/>
      <c r="J929" s="154"/>
      <c r="K929" s="154"/>
      <c r="L929" s="154"/>
      <c r="M929" s="154"/>
      <c r="N929" s="173"/>
      <c r="O929" s="154"/>
      <c r="P929" s="155"/>
      <c r="Q929" s="145"/>
    </row>
    <row r="930" spans="1:17" s="146" customFormat="1" ht="15" customHeight="1" x14ac:dyDescent="0.25">
      <c r="A930" s="151"/>
      <c r="B930" s="157" t="s">
        <v>377</v>
      </c>
      <c r="C930" s="158" t="s">
        <v>402</v>
      </c>
      <c r="D930" s="158"/>
      <c r="E930" s="158"/>
      <c r="F930" s="158"/>
      <c r="G930" s="158"/>
      <c r="H930" s="158"/>
      <c r="I930" s="158"/>
      <c r="J930" s="158"/>
      <c r="K930" s="154"/>
      <c r="L930" s="158"/>
      <c r="M930" s="158"/>
      <c r="N930" s="153">
        <f>SUM(N927:N929)</f>
        <v>913.01957488000028</v>
      </c>
      <c r="O930" s="153"/>
      <c r="P930" s="159"/>
      <c r="Q930" s="145"/>
    </row>
    <row r="931" spans="1:17" s="150" customFormat="1" ht="42" x14ac:dyDescent="0.25">
      <c r="A931" s="147" t="str">
        <f>ORÇAMENTO!A217</f>
        <v>4.1.2.6.19</v>
      </c>
      <c r="B931" s="148" t="str">
        <f>VLOOKUP(A931,ORÇAMENTO!$A:$F,4,0)</f>
        <v>ESCORAMENTO DE VALA, TIPO BLINDAGEM, COM PROFUNDIDADE DE 3,0 A 4,5 M, LARGURA MENOR QUE 1,5 M -EXECUÇÃO E FORNECIMENTO, INCLUI MATERIAL (ESCAVAÇÃO EXTERNA AO BLINDADO)</v>
      </c>
      <c r="C931" s="149" t="str">
        <f>VLOOKUP(A931,ORÇAMENTO!$A:$F,5,0)</f>
        <v>M²</v>
      </c>
      <c r="D931" s="149">
        <f>ROUND(SUM(E935:O935),2)</f>
        <v>65.569999999999993</v>
      </c>
      <c r="E931" s="149" t="s">
        <v>2149</v>
      </c>
      <c r="F931" s="149" t="s">
        <v>2150</v>
      </c>
      <c r="G931" s="149" t="s">
        <v>2151</v>
      </c>
      <c r="H931" s="149" t="s">
        <v>2152</v>
      </c>
      <c r="I931" s="149" t="s">
        <v>2153</v>
      </c>
      <c r="J931" s="149" t="s">
        <v>2154</v>
      </c>
      <c r="K931" s="149" t="s">
        <v>2155</v>
      </c>
      <c r="L931" s="149" t="s">
        <v>2239</v>
      </c>
      <c r="M931" s="149" t="s">
        <v>413</v>
      </c>
      <c r="N931" s="149" t="s">
        <v>2214</v>
      </c>
      <c r="O931" s="149" t="s">
        <v>2158</v>
      </c>
      <c r="P931" s="145"/>
      <c r="Q931" s="145"/>
    </row>
    <row r="932" spans="1:17" s="146" customFormat="1" ht="10.5" x14ac:dyDescent="0.25">
      <c r="A932" s="151"/>
      <c r="B932" s="152"/>
      <c r="C932" s="153"/>
      <c r="D932" s="154"/>
      <c r="E932" s="154"/>
      <c r="F932" s="154"/>
      <c r="G932" s="154"/>
      <c r="H932" s="154"/>
      <c r="I932" s="154"/>
      <c r="J932" s="154"/>
      <c r="K932" s="154"/>
      <c r="L932" s="154"/>
      <c r="M932" s="154"/>
      <c r="N932" s="173"/>
      <c r="O932" s="154"/>
      <c r="P932" s="155"/>
      <c r="Q932" s="145"/>
    </row>
    <row r="933" spans="1:17" s="146" customFormat="1" ht="10.5" x14ac:dyDescent="0.25">
      <c r="A933" s="151"/>
      <c r="B933" s="152" t="s">
        <v>2246</v>
      </c>
      <c r="C933" s="153"/>
      <c r="D933" s="154"/>
      <c r="E933" s="154"/>
      <c r="F933" s="154"/>
      <c r="G933" s="154"/>
      <c r="H933" s="154"/>
      <c r="I933" s="154"/>
      <c r="J933" s="154"/>
      <c r="K933" s="154"/>
      <c r="L933" s="154"/>
      <c r="M933" s="154"/>
      <c r="N933" s="173">
        <f>QUANTBL!BS69</f>
        <v>65.568826000000158</v>
      </c>
      <c r="O933" s="154"/>
      <c r="P933" s="155"/>
      <c r="Q933" s="145"/>
    </row>
    <row r="934" spans="1:17" s="146" customFormat="1" ht="10.5" x14ac:dyDescent="0.25">
      <c r="A934" s="151"/>
      <c r="B934" s="152"/>
      <c r="C934" s="153"/>
      <c r="D934" s="154"/>
      <c r="E934" s="154"/>
      <c r="F934" s="154"/>
      <c r="G934" s="154"/>
      <c r="H934" s="154"/>
      <c r="I934" s="154"/>
      <c r="J934" s="154"/>
      <c r="K934" s="154"/>
      <c r="L934" s="154"/>
      <c r="M934" s="154"/>
      <c r="N934" s="173"/>
      <c r="O934" s="154"/>
      <c r="P934" s="155"/>
      <c r="Q934" s="145"/>
    </row>
    <row r="935" spans="1:17" s="146" customFormat="1" ht="15" customHeight="1" x14ac:dyDescent="0.25">
      <c r="A935" s="151"/>
      <c r="B935" s="157" t="s">
        <v>377</v>
      </c>
      <c r="C935" s="158" t="s">
        <v>402</v>
      </c>
      <c r="D935" s="158"/>
      <c r="E935" s="158"/>
      <c r="F935" s="158"/>
      <c r="G935" s="158"/>
      <c r="H935" s="158"/>
      <c r="I935" s="158"/>
      <c r="J935" s="158"/>
      <c r="K935" s="154"/>
      <c r="L935" s="158"/>
      <c r="M935" s="158"/>
      <c r="N935" s="153">
        <f>SUM(N932:N934)</f>
        <v>65.568826000000158</v>
      </c>
      <c r="O935" s="153"/>
      <c r="P935" s="159"/>
      <c r="Q935" s="145"/>
    </row>
    <row r="936" spans="1:17" s="150" customFormat="1" ht="52.5" x14ac:dyDescent="0.25">
      <c r="A936" s="147" t="str">
        <f>ORÇAMENTO!A218</f>
        <v>4.1.2.6.20</v>
      </c>
      <c r="B936" s="148" t="str">
        <f>VLOOKUP(A936,ORÇAMENTO!$A:$F,4,0)</f>
        <v>ESCORAMENTO DE VALA, TIPO BLINDADEM, COM PROFUNDIDADE DE 0 A 1,5 M, LARGURA MAIOR OU IGUAL A 1,5 M EMENOR QUE 2,5 M - EXECUÇÃO E FORNECIMENTO, INCLUI MATERIAL (ESCAVAÇÃO EXTERNA AO BLINDADO)</v>
      </c>
      <c r="C936" s="149" t="str">
        <f>VLOOKUP(A936,ORÇAMENTO!$A:$F,5,0)</f>
        <v>M²</v>
      </c>
      <c r="D936" s="149">
        <f>ROUND(SUM(E940:O940),2)</f>
        <v>565.69000000000005</v>
      </c>
      <c r="E936" s="149" t="s">
        <v>2149</v>
      </c>
      <c r="F936" s="149" t="s">
        <v>2150</v>
      </c>
      <c r="G936" s="149" t="s">
        <v>2151</v>
      </c>
      <c r="H936" s="149" t="s">
        <v>2152</v>
      </c>
      <c r="I936" s="149" t="s">
        <v>2153</v>
      </c>
      <c r="J936" s="149" t="s">
        <v>2154</v>
      </c>
      <c r="K936" s="149" t="s">
        <v>2155</v>
      </c>
      <c r="L936" s="149" t="s">
        <v>2239</v>
      </c>
      <c r="M936" s="149" t="s">
        <v>413</v>
      </c>
      <c r="N936" s="149" t="s">
        <v>2214</v>
      </c>
      <c r="O936" s="149" t="s">
        <v>2158</v>
      </c>
      <c r="P936" s="145"/>
      <c r="Q936" s="145"/>
    </row>
    <row r="937" spans="1:17" s="146" customFormat="1" ht="10.5" x14ac:dyDescent="0.25">
      <c r="A937" s="151"/>
      <c r="B937" s="152"/>
      <c r="C937" s="153"/>
      <c r="D937" s="154"/>
      <c r="E937" s="154"/>
      <c r="F937" s="154"/>
      <c r="G937" s="154"/>
      <c r="H937" s="154"/>
      <c r="I937" s="154"/>
      <c r="J937" s="154"/>
      <c r="K937" s="154"/>
      <c r="L937" s="154"/>
      <c r="M937" s="154"/>
      <c r="N937" s="173"/>
      <c r="O937" s="154"/>
      <c r="P937" s="155"/>
      <c r="Q937" s="145"/>
    </row>
    <row r="938" spans="1:17" s="146" customFormat="1" ht="10.5" x14ac:dyDescent="0.25">
      <c r="A938" s="151"/>
      <c r="B938" s="152" t="s">
        <v>2144</v>
      </c>
      <c r="C938" s="153"/>
      <c r="D938" s="154"/>
      <c r="E938" s="154"/>
      <c r="F938" s="154"/>
      <c r="G938" s="154"/>
      <c r="H938" s="154"/>
      <c r="I938" s="154"/>
      <c r="J938" s="154"/>
      <c r="K938" s="154"/>
      <c r="L938" s="154"/>
      <c r="M938" s="154"/>
      <c r="N938" s="173">
        <f>QUANTBL!CP69</f>
        <v>565.68553999999926</v>
      </c>
      <c r="O938" s="154"/>
      <c r="P938" s="155"/>
      <c r="Q938" s="145"/>
    </row>
    <row r="939" spans="1:17" s="146" customFormat="1" ht="10.5" x14ac:dyDescent="0.25">
      <c r="A939" s="151"/>
      <c r="B939" s="152"/>
      <c r="C939" s="153"/>
      <c r="D939" s="154"/>
      <c r="E939" s="154"/>
      <c r="F939" s="154"/>
      <c r="G939" s="154"/>
      <c r="H939" s="154"/>
      <c r="I939" s="154"/>
      <c r="J939" s="154"/>
      <c r="K939" s="154"/>
      <c r="L939" s="154"/>
      <c r="M939" s="154"/>
      <c r="N939" s="173"/>
      <c r="O939" s="154"/>
      <c r="P939" s="155"/>
      <c r="Q939" s="145"/>
    </row>
    <row r="940" spans="1:17" s="146" customFormat="1" ht="15" customHeight="1" x14ac:dyDescent="0.25">
      <c r="A940" s="151"/>
      <c r="B940" s="157" t="s">
        <v>377</v>
      </c>
      <c r="C940" s="158" t="s">
        <v>402</v>
      </c>
      <c r="D940" s="158"/>
      <c r="E940" s="158"/>
      <c r="F940" s="158"/>
      <c r="G940" s="158"/>
      <c r="H940" s="158"/>
      <c r="I940" s="158"/>
      <c r="J940" s="158"/>
      <c r="K940" s="154"/>
      <c r="L940" s="158"/>
      <c r="M940" s="158"/>
      <c r="N940" s="153">
        <f>SUM(N937:N939)</f>
        <v>565.68553999999926</v>
      </c>
      <c r="O940" s="153"/>
      <c r="P940" s="159"/>
      <c r="Q940" s="145"/>
    </row>
    <row r="941" spans="1:17" s="150" customFormat="1" ht="42" x14ac:dyDescent="0.25">
      <c r="A941" s="147" t="str">
        <f>ORÇAMENTO!A219</f>
        <v>4.1.2.6.21</v>
      </c>
      <c r="B941" s="148" t="str">
        <f>VLOOKUP(A941,ORÇAMENTO!$A:$F,4,0)</f>
        <v>ESCORAMENTO DE VALA, TIPO BLINDAGEM, COM PROFUNDIDADE DE 1,5 A 3,0 M, LARGURA DE 1,5 A 2,5 M -EXECUÇÃO E FORNECIMENTO, INCLUI MATERIAL (ESCAVAÇÃO INTERNA AO BLINDADO)</v>
      </c>
      <c r="C941" s="149" t="str">
        <f>VLOOKUP(A941,ORÇAMENTO!$A:$F,5,0)</f>
        <v>M²</v>
      </c>
      <c r="D941" s="149">
        <f>ROUND(SUM(E945:O945),2)</f>
        <v>217.02</v>
      </c>
      <c r="E941" s="149" t="s">
        <v>2149</v>
      </c>
      <c r="F941" s="149" t="s">
        <v>2150</v>
      </c>
      <c r="G941" s="149" t="s">
        <v>2151</v>
      </c>
      <c r="H941" s="149" t="s">
        <v>2152</v>
      </c>
      <c r="I941" s="149" t="s">
        <v>2153</v>
      </c>
      <c r="J941" s="149" t="s">
        <v>2154</v>
      </c>
      <c r="K941" s="149" t="s">
        <v>2155</v>
      </c>
      <c r="L941" s="149" t="s">
        <v>2239</v>
      </c>
      <c r="M941" s="149" t="s">
        <v>413</v>
      </c>
      <c r="N941" s="149" t="s">
        <v>2214</v>
      </c>
      <c r="O941" s="149" t="s">
        <v>2158</v>
      </c>
      <c r="P941" s="145"/>
      <c r="Q941" s="145"/>
    </row>
    <row r="942" spans="1:17" s="146" customFormat="1" ht="10.5" x14ac:dyDescent="0.25">
      <c r="A942" s="151"/>
      <c r="B942" s="152"/>
      <c r="C942" s="153"/>
      <c r="D942" s="154"/>
      <c r="E942" s="154"/>
      <c r="F942" s="154"/>
      <c r="G942" s="154"/>
      <c r="H942" s="154"/>
      <c r="I942" s="154"/>
      <c r="J942" s="154"/>
      <c r="K942" s="154"/>
      <c r="L942" s="154"/>
      <c r="M942" s="154"/>
      <c r="N942" s="173"/>
      <c r="O942" s="154"/>
      <c r="P942" s="155"/>
      <c r="Q942" s="145"/>
    </row>
    <row r="943" spans="1:17" s="146" customFormat="1" ht="10.5" x14ac:dyDescent="0.25">
      <c r="A943" s="151"/>
      <c r="B943" s="152" t="s">
        <v>2144</v>
      </c>
      <c r="C943" s="153"/>
      <c r="D943" s="154"/>
      <c r="E943" s="154"/>
      <c r="F943" s="154"/>
      <c r="G943" s="154"/>
      <c r="H943" s="154"/>
      <c r="I943" s="154"/>
      <c r="J943" s="154"/>
      <c r="K943" s="154"/>
      <c r="L943" s="154"/>
      <c r="M943" s="154"/>
      <c r="N943" s="173">
        <f>QUANTBL!CQ69</f>
        <v>217.02172799999983</v>
      </c>
      <c r="O943" s="154"/>
      <c r="P943" s="155"/>
      <c r="Q943" s="145"/>
    </row>
    <row r="944" spans="1:17" s="146" customFormat="1" ht="10.5" x14ac:dyDescent="0.25">
      <c r="A944" s="151"/>
      <c r="B944" s="152"/>
      <c r="C944" s="153"/>
      <c r="D944" s="154"/>
      <c r="E944" s="154"/>
      <c r="F944" s="154"/>
      <c r="G944" s="154"/>
      <c r="H944" s="154"/>
      <c r="I944" s="154"/>
      <c r="J944" s="154"/>
      <c r="K944" s="154"/>
      <c r="L944" s="154"/>
      <c r="M944" s="154"/>
      <c r="N944" s="173"/>
      <c r="O944" s="154"/>
      <c r="P944" s="155"/>
      <c r="Q944" s="145"/>
    </row>
    <row r="945" spans="1:17" s="146" customFormat="1" ht="15" customHeight="1" x14ac:dyDescent="0.25">
      <c r="A945" s="151"/>
      <c r="B945" s="157" t="s">
        <v>377</v>
      </c>
      <c r="C945" s="158" t="s">
        <v>402</v>
      </c>
      <c r="D945" s="158"/>
      <c r="E945" s="158"/>
      <c r="F945" s="158"/>
      <c r="G945" s="158"/>
      <c r="H945" s="158"/>
      <c r="I945" s="158"/>
      <c r="J945" s="158"/>
      <c r="K945" s="154"/>
      <c r="L945" s="158"/>
      <c r="M945" s="158"/>
      <c r="N945" s="153">
        <f>SUM(N942:N944)</f>
        <v>217.02172799999983</v>
      </c>
      <c r="O945" s="153"/>
      <c r="P945" s="159"/>
      <c r="Q945" s="145"/>
    </row>
    <row r="946" spans="1:17" s="150" customFormat="1" ht="21" x14ac:dyDescent="0.25">
      <c r="A946" s="147" t="str">
        <f>ORÇAMENTO!A220</f>
        <v>4.1.2.6.22</v>
      </c>
      <c r="B946" s="148" t="str">
        <f>VLOOKUP(A946,ORÇAMENTO!$A:$F,4,0)</f>
        <v>ESGOTAMENTO DE ÁGUA COM BOMBA SUBMERSA</v>
      </c>
      <c r="C946" s="149" t="str">
        <f>VLOOKUP(A946,ORÇAMENTO!$A:$F,5,0)</f>
        <v>H</v>
      </c>
      <c r="D946" s="149">
        <f>ROUND(SUM(E950:O950),2)</f>
        <v>0.37</v>
      </c>
      <c r="E946" s="149" t="s">
        <v>2149</v>
      </c>
      <c r="F946" s="149" t="s">
        <v>2150</v>
      </c>
      <c r="G946" s="149" t="s">
        <v>2151</v>
      </c>
      <c r="H946" s="149" t="s">
        <v>2152</v>
      </c>
      <c r="I946" s="149" t="s">
        <v>2153</v>
      </c>
      <c r="J946" s="149" t="s">
        <v>2154</v>
      </c>
      <c r="K946" s="149" t="s">
        <v>2155</v>
      </c>
      <c r="L946" s="149" t="s">
        <v>2239</v>
      </c>
      <c r="M946" s="149" t="s">
        <v>413</v>
      </c>
      <c r="N946" s="149" t="s">
        <v>2214</v>
      </c>
      <c r="O946" s="149" t="s">
        <v>2158</v>
      </c>
      <c r="P946" s="145"/>
      <c r="Q946" s="145"/>
    </row>
    <row r="947" spans="1:17" s="146" customFormat="1" ht="10.5" x14ac:dyDescent="0.25">
      <c r="A947" s="151"/>
      <c r="B947" s="152"/>
      <c r="C947" s="153"/>
      <c r="D947" s="154"/>
      <c r="E947" s="154"/>
      <c r="F947" s="154"/>
      <c r="G947" s="154"/>
      <c r="H947" s="154"/>
      <c r="I947" s="154"/>
      <c r="J947" s="154"/>
      <c r="K947" s="154"/>
      <c r="L947" s="154"/>
      <c r="M947" s="154"/>
      <c r="N947" s="173"/>
      <c r="O947" s="154"/>
      <c r="P947" s="155"/>
      <c r="Q947" s="145"/>
    </row>
    <row r="948" spans="1:17" s="146" customFormat="1" ht="10.5" x14ac:dyDescent="0.25">
      <c r="A948" s="151"/>
      <c r="B948" s="152" t="s">
        <v>2144</v>
      </c>
      <c r="C948" s="153"/>
      <c r="D948" s="154"/>
      <c r="E948" s="154"/>
      <c r="F948" s="154"/>
      <c r="G948" s="154"/>
      <c r="H948" s="154"/>
      <c r="I948" s="154"/>
      <c r="J948" s="154"/>
      <c r="K948" s="154"/>
      <c r="L948" s="154"/>
      <c r="M948" s="154"/>
      <c r="N948" s="173"/>
      <c r="O948" s="154">
        <f>QUANTBL!AK69</f>
        <v>0.36659899999999879</v>
      </c>
      <c r="P948" s="155"/>
      <c r="Q948" s="145"/>
    </row>
    <row r="949" spans="1:17" s="146" customFormat="1" ht="10.5" x14ac:dyDescent="0.25">
      <c r="A949" s="151"/>
      <c r="B949" s="152"/>
      <c r="C949" s="153"/>
      <c r="D949" s="154"/>
      <c r="E949" s="154"/>
      <c r="F949" s="154"/>
      <c r="G949" s="154"/>
      <c r="H949" s="154"/>
      <c r="I949" s="154"/>
      <c r="J949" s="154"/>
      <c r="K949" s="154"/>
      <c r="L949" s="154"/>
      <c r="M949" s="154"/>
      <c r="N949" s="173"/>
      <c r="O949" s="154"/>
      <c r="P949" s="155"/>
      <c r="Q949" s="145"/>
    </row>
    <row r="950" spans="1:17" s="146" customFormat="1" ht="15" customHeight="1" x14ac:dyDescent="0.25">
      <c r="A950" s="151"/>
      <c r="B950" s="157" t="s">
        <v>377</v>
      </c>
      <c r="C950" s="158" t="s">
        <v>402</v>
      </c>
      <c r="D950" s="158"/>
      <c r="E950" s="158"/>
      <c r="F950" s="158"/>
      <c r="G950" s="158"/>
      <c r="H950" s="158"/>
      <c r="I950" s="158"/>
      <c r="J950" s="158"/>
      <c r="K950" s="154"/>
      <c r="L950" s="158"/>
      <c r="M950" s="158"/>
      <c r="N950" s="153"/>
      <c r="O950" s="153">
        <f>SUM(O947:O949)</f>
        <v>0.36659899999999879</v>
      </c>
      <c r="P950" s="159"/>
      <c r="Q950" s="145"/>
    </row>
    <row r="951" spans="1:17" s="150" customFormat="1" ht="31.5" x14ac:dyDescent="0.25">
      <c r="A951" s="147" t="str">
        <f>ORÇAMENTO!A221</f>
        <v>4.1.2.6.23</v>
      </c>
      <c r="B951" s="148" t="str">
        <f>VLOOKUP(A951,ORÇAMENTO!$A:$F,4,0)</f>
        <v>PREPARO DE FUNDO DE VALA COM LARGURA MENOR QUE 1,5 M, COM CAMADA DE BRITA, LANÇAMENTO MECANIZADO. AF_08/2020</v>
      </c>
      <c r="C951" s="149" t="str">
        <f>VLOOKUP(A951,ORÇAMENTO!$A:$F,5,0)</f>
        <v>M³</v>
      </c>
      <c r="D951" s="149">
        <f>ROUND(SUM(E954:O954),2)</f>
        <v>21.6</v>
      </c>
      <c r="E951" s="149" t="s">
        <v>2149</v>
      </c>
      <c r="F951" s="149" t="s">
        <v>2150</v>
      </c>
      <c r="G951" s="149" t="s">
        <v>2151</v>
      </c>
      <c r="H951" s="149" t="s">
        <v>2152</v>
      </c>
      <c r="I951" s="149" t="s">
        <v>2153</v>
      </c>
      <c r="J951" s="149" t="s">
        <v>2154</v>
      </c>
      <c r="K951" s="149" t="s">
        <v>2155</v>
      </c>
      <c r="L951" s="149" t="s">
        <v>2239</v>
      </c>
      <c r="M951" s="149" t="s">
        <v>413</v>
      </c>
      <c r="N951" s="149" t="s">
        <v>2214</v>
      </c>
      <c r="O951" s="149" t="s">
        <v>2158</v>
      </c>
      <c r="P951" s="145"/>
      <c r="Q951" s="145"/>
    </row>
    <row r="952" spans="1:17" s="146" customFormat="1" ht="15" customHeight="1" x14ac:dyDescent="0.25">
      <c r="A952" s="151"/>
      <c r="B952" s="152" t="s">
        <v>2247</v>
      </c>
      <c r="C952" s="153"/>
      <c r="D952" s="154"/>
      <c r="E952" s="154"/>
      <c r="F952" s="154"/>
      <c r="G952" s="154"/>
      <c r="H952" s="154"/>
      <c r="I952" s="154"/>
      <c r="J952" s="154"/>
      <c r="K952" s="154"/>
      <c r="L952" s="154"/>
      <c r="M952" s="154"/>
      <c r="N952" s="173"/>
      <c r="O952" s="154">
        <f>QUANTBL!AM69</f>
        <v>21.596499999999995</v>
      </c>
      <c r="P952" s="155"/>
      <c r="Q952" s="145"/>
    </row>
    <row r="953" spans="1:17" s="146" customFormat="1" ht="10.5" x14ac:dyDescent="0.25">
      <c r="A953" s="151"/>
      <c r="B953" s="152"/>
      <c r="C953" s="153"/>
      <c r="D953" s="154"/>
      <c r="E953" s="154"/>
      <c r="F953" s="154"/>
      <c r="G953" s="154"/>
      <c r="H953" s="154"/>
      <c r="I953" s="154"/>
      <c r="J953" s="154"/>
      <c r="K953" s="154"/>
      <c r="L953" s="154"/>
      <c r="M953" s="154"/>
      <c r="N953" s="173"/>
      <c r="O953" s="154"/>
      <c r="P953" s="155"/>
      <c r="Q953" s="145"/>
    </row>
    <row r="954" spans="1:17" s="146" customFormat="1" ht="15" customHeight="1" x14ac:dyDescent="0.25">
      <c r="A954" s="151"/>
      <c r="B954" s="157" t="s">
        <v>377</v>
      </c>
      <c r="C954" s="158" t="s">
        <v>402</v>
      </c>
      <c r="D954" s="158"/>
      <c r="E954" s="158"/>
      <c r="F954" s="158"/>
      <c r="G954" s="158"/>
      <c r="H954" s="158"/>
      <c r="I954" s="158"/>
      <c r="J954" s="158"/>
      <c r="K954" s="154"/>
      <c r="L954" s="158"/>
      <c r="M954" s="158"/>
      <c r="N954" s="153"/>
      <c r="O954" s="153">
        <f>SUM(O952:O953)</f>
        <v>21.596499999999995</v>
      </c>
      <c r="P954" s="159"/>
      <c r="Q954" s="145"/>
    </row>
    <row r="955" spans="1:17" s="150" customFormat="1" ht="52.5" x14ac:dyDescent="0.25">
      <c r="A955" s="147" t="str">
        <f>ORÇAMENTO!A222</f>
        <v>4.1.2.6.24</v>
      </c>
      <c r="B955" s="148" t="str">
        <f>VLOOKUP(A955,ORÇAMENTO!$A:$F,4,0)</f>
        <v>CONSTRUÇÃO DE PAVIMENTO COM APLICAÇÃO CONCRETO BETUMINOSO USINADO A QUENTE (CBUQ), CAMADA DE ROLAMENTO - EXCLUSIVE TRANSPORTE E CARGA  AF_03/2017 (SEM MATERIAL)</v>
      </c>
      <c r="C955" s="149" t="str">
        <f>VLOOKUP(A955,ORÇAMENTO!$A:$F,5,0)</f>
        <v>M³</v>
      </c>
      <c r="D955" s="149">
        <f>ROUND(SUM(E958:O958),2)</f>
        <v>12.96</v>
      </c>
      <c r="E955" s="149" t="s">
        <v>2149</v>
      </c>
      <c r="F955" s="149" t="s">
        <v>2150</v>
      </c>
      <c r="G955" s="149" t="s">
        <v>2151</v>
      </c>
      <c r="H955" s="149" t="s">
        <v>2152</v>
      </c>
      <c r="I955" s="149" t="s">
        <v>2153</v>
      </c>
      <c r="J955" s="149" t="s">
        <v>2154</v>
      </c>
      <c r="K955" s="149" t="s">
        <v>2155</v>
      </c>
      <c r="L955" s="149" t="s">
        <v>2239</v>
      </c>
      <c r="M955" s="149" t="s">
        <v>413</v>
      </c>
      <c r="N955" s="149" t="s">
        <v>2214</v>
      </c>
      <c r="O955" s="149" t="s">
        <v>2158</v>
      </c>
      <c r="P955" s="145"/>
      <c r="Q955" s="145"/>
    </row>
    <row r="956" spans="1:17" s="146" customFormat="1" ht="15" customHeight="1" x14ac:dyDescent="0.25">
      <c r="A956" s="151"/>
      <c r="B956" s="152" t="s">
        <v>2221</v>
      </c>
      <c r="C956" s="153"/>
      <c r="D956" s="154"/>
      <c r="E956" s="154"/>
      <c r="F956" s="154"/>
      <c r="G956" s="154"/>
      <c r="H956" s="154"/>
      <c r="I956" s="154"/>
      <c r="J956" s="154"/>
      <c r="K956" s="154"/>
      <c r="L956" s="154"/>
      <c r="M956" s="154"/>
      <c r="N956" s="154">
        <f>QUANTBL!O69</f>
        <v>431.92999999999989</v>
      </c>
      <c r="O956" s="154">
        <f>QUANTBL!AV69</f>
        <v>12.957900000000002</v>
      </c>
      <c r="P956" s="155"/>
      <c r="Q956" s="145"/>
    </row>
    <row r="957" spans="1:17" s="146" customFormat="1" ht="10.5" x14ac:dyDescent="0.25">
      <c r="A957" s="151"/>
      <c r="B957" s="152"/>
      <c r="C957" s="153"/>
      <c r="D957" s="154"/>
      <c r="E957" s="154"/>
      <c r="F957" s="154"/>
      <c r="G957" s="154"/>
      <c r="H957" s="154"/>
      <c r="I957" s="154"/>
      <c r="J957" s="154"/>
      <c r="K957" s="154"/>
      <c r="L957" s="154"/>
      <c r="M957" s="154"/>
      <c r="N957" s="173"/>
      <c r="O957" s="154"/>
      <c r="P957" s="155"/>
      <c r="Q957" s="145"/>
    </row>
    <row r="958" spans="1:17" s="146" customFormat="1" ht="15" customHeight="1" x14ac:dyDescent="0.25">
      <c r="A958" s="151"/>
      <c r="B958" s="157" t="s">
        <v>377</v>
      </c>
      <c r="C958" s="158" t="s">
        <v>402</v>
      </c>
      <c r="D958" s="158"/>
      <c r="E958" s="158"/>
      <c r="F958" s="158"/>
      <c r="G958" s="158"/>
      <c r="H958" s="158"/>
      <c r="I958" s="158"/>
      <c r="J958" s="158"/>
      <c r="K958" s="154"/>
      <c r="L958" s="158"/>
      <c r="M958" s="158"/>
      <c r="N958" s="153"/>
      <c r="O958" s="153">
        <f>SUM(O956:O957)</f>
        <v>12.957900000000002</v>
      </c>
      <c r="P958" s="159"/>
      <c r="Q958" s="145"/>
    </row>
    <row r="959" spans="1:17" s="150" customFormat="1" ht="21" x14ac:dyDescent="0.25">
      <c r="A959" s="147" t="str">
        <f>ORÇAMENTO!A223</f>
        <v>4.1.2.6.25</v>
      </c>
      <c r="B959" s="148" t="str">
        <f>VLOOKUP(A959,ORÇAMENTO!$A:$F,4,0)</f>
        <v>PINTURA DE LIGAÇÃO (SEM MATERIAL)</v>
      </c>
      <c r="C959" s="149" t="str">
        <f>VLOOKUP(A959,ORÇAMENTO!$A:$F,5,0)</f>
        <v>M²</v>
      </c>
      <c r="D959" s="149">
        <f>ROUND(SUM(E962:O962),2)</f>
        <v>431.93</v>
      </c>
      <c r="E959" s="149" t="s">
        <v>2149</v>
      </c>
      <c r="F959" s="149" t="s">
        <v>2150</v>
      </c>
      <c r="G959" s="149" t="s">
        <v>2151</v>
      </c>
      <c r="H959" s="149" t="s">
        <v>2152</v>
      </c>
      <c r="I959" s="149" t="s">
        <v>2153</v>
      </c>
      <c r="J959" s="149" t="s">
        <v>2154</v>
      </c>
      <c r="K959" s="149" t="s">
        <v>2155</v>
      </c>
      <c r="L959" s="149" t="s">
        <v>2239</v>
      </c>
      <c r="M959" s="149" t="s">
        <v>413</v>
      </c>
      <c r="N959" s="149" t="s">
        <v>2214</v>
      </c>
      <c r="O959" s="149" t="s">
        <v>2158</v>
      </c>
      <c r="P959" s="145"/>
      <c r="Q959" s="145"/>
    </row>
    <row r="960" spans="1:17" s="146" customFormat="1" ht="15" customHeight="1" x14ac:dyDescent="0.25">
      <c r="A960" s="151"/>
      <c r="B960" s="152" t="str">
        <f>B952</f>
        <v>VALAS DO TUBO DE LIGAÇÃO DN 400MM</v>
      </c>
      <c r="C960" s="153"/>
      <c r="D960" s="154"/>
      <c r="E960" s="154"/>
      <c r="F960" s="154"/>
      <c r="G960" s="154"/>
      <c r="H960" s="154"/>
      <c r="I960" s="154"/>
      <c r="J960" s="154"/>
      <c r="K960" s="154"/>
      <c r="L960" s="154"/>
      <c r="M960" s="154"/>
      <c r="N960" s="154">
        <f>N956</f>
        <v>431.92999999999989</v>
      </c>
      <c r="O960" s="154"/>
      <c r="P960" s="155"/>
      <c r="Q960" s="145"/>
    </row>
    <row r="961" spans="1:17" s="146" customFormat="1" ht="10.5" x14ac:dyDescent="0.25">
      <c r="A961" s="151"/>
      <c r="B961" s="152"/>
      <c r="C961" s="153"/>
      <c r="D961" s="154"/>
      <c r="E961" s="154"/>
      <c r="F961" s="154"/>
      <c r="G961" s="154"/>
      <c r="H961" s="154"/>
      <c r="I961" s="154"/>
      <c r="J961" s="154"/>
      <c r="K961" s="154"/>
      <c r="L961" s="154"/>
      <c r="M961" s="154"/>
      <c r="N961" s="173"/>
      <c r="O961" s="154"/>
      <c r="P961" s="155"/>
      <c r="Q961" s="145"/>
    </row>
    <row r="962" spans="1:17" s="146" customFormat="1" ht="15" customHeight="1" x14ac:dyDescent="0.25">
      <c r="A962" s="151"/>
      <c r="B962" s="157" t="s">
        <v>377</v>
      </c>
      <c r="C962" s="158" t="s">
        <v>402</v>
      </c>
      <c r="D962" s="158"/>
      <c r="E962" s="158"/>
      <c r="F962" s="158"/>
      <c r="G962" s="158"/>
      <c r="H962" s="158"/>
      <c r="I962" s="158"/>
      <c r="J962" s="158"/>
      <c r="K962" s="154"/>
      <c r="L962" s="158"/>
      <c r="M962" s="158"/>
      <c r="N962" s="153">
        <f>SUM(N960:N961)</f>
        <v>431.92999999999989</v>
      </c>
      <c r="O962" s="153"/>
      <c r="P962" s="159"/>
      <c r="Q962" s="145"/>
    </row>
    <row r="963" spans="1:17" s="150" customFormat="1" ht="21" x14ac:dyDescent="0.25">
      <c r="A963" s="147" t="str">
        <f>ORÇAMENTO!A224</f>
        <v>4.1.2.6.26</v>
      </c>
      <c r="B963" s="148" t="str">
        <f>VLOOKUP(A963,ORÇAMENTO!$A:$F,4,0)</f>
        <v>EMULSÃO ASFÁLTICA - RR-1C - FORNECIMENTO E TRANSPORTE</v>
      </c>
      <c r="C963" s="149" t="str">
        <f>VLOOKUP(A963,ORÇAMENTO!$A:$F,5,0)</f>
        <v>T</v>
      </c>
      <c r="D963" s="149">
        <f>ROUND(SUM(E968:O968),2)</f>
        <v>0.19</v>
      </c>
      <c r="E963" s="149" t="s">
        <v>2149</v>
      </c>
      <c r="F963" s="149" t="s">
        <v>2150</v>
      </c>
      <c r="G963" s="149" t="s">
        <v>2151</v>
      </c>
      <c r="H963" s="149" t="s">
        <v>2152</v>
      </c>
      <c r="I963" s="149" t="s">
        <v>2153</v>
      </c>
      <c r="J963" s="149" t="s">
        <v>2154</v>
      </c>
      <c r="K963" s="149" t="s">
        <v>2172</v>
      </c>
      <c r="L963" s="149" t="s">
        <v>2213</v>
      </c>
      <c r="M963" s="149" t="s">
        <v>413</v>
      </c>
      <c r="N963" s="149" t="s">
        <v>2214</v>
      </c>
      <c r="O963" s="149" t="s">
        <v>2158</v>
      </c>
      <c r="P963" s="145"/>
      <c r="Q963" s="145"/>
    </row>
    <row r="964" spans="1:17" s="146" customFormat="1" ht="21" x14ac:dyDescent="0.25">
      <c r="A964" s="151"/>
      <c r="B964" s="157" t="s">
        <v>2215</v>
      </c>
      <c r="C964" s="153"/>
      <c r="D964" s="154"/>
      <c r="E964" s="154"/>
      <c r="F964" s="154"/>
      <c r="G964" s="154"/>
      <c r="H964" s="154"/>
      <c r="I964" s="154"/>
      <c r="J964" s="154"/>
      <c r="K964" s="154"/>
      <c r="L964" s="154"/>
      <c r="M964" s="154"/>
      <c r="N964" s="154">
        <f>N960</f>
        <v>431.92999999999989</v>
      </c>
      <c r="O964" s="154"/>
      <c r="P964" s="155"/>
      <c r="Q964" s="145"/>
    </row>
    <row r="965" spans="1:17" s="146" customFormat="1" ht="31.5" x14ac:dyDescent="0.25">
      <c r="A965" s="151"/>
      <c r="B965" s="152" t="s">
        <v>2216</v>
      </c>
      <c r="C965" s="153"/>
      <c r="D965" s="154"/>
      <c r="E965" s="154"/>
      <c r="F965" s="154"/>
      <c r="G965" s="154"/>
      <c r="H965" s="154"/>
      <c r="I965" s="154"/>
      <c r="J965" s="154"/>
      <c r="K965" s="154"/>
      <c r="L965" s="172">
        <v>4.4999999999999999E-4</v>
      </c>
      <c r="M965" s="154"/>
      <c r="N965" s="173"/>
      <c r="O965" s="154"/>
      <c r="P965" s="155"/>
      <c r="Q965" s="145"/>
    </row>
    <row r="966" spans="1:17" s="146" customFormat="1" ht="10.5" x14ac:dyDescent="0.25">
      <c r="A966" s="151"/>
      <c r="B966" s="152"/>
      <c r="C966" s="153"/>
      <c r="D966" s="154"/>
      <c r="E966" s="154"/>
      <c r="F966" s="154"/>
      <c r="G966" s="154"/>
      <c r="H966" s="154"/>
      <c r="I966" s="154"/>
      <c r="J966" s="154"/>
      <c r="K966" s="154">
        <f>L965*N964</f>
        <v>0.19436849999999994</v>
      </c>
      <c r="L966" s="154"/>
      <c r="M966" s="154"/>
      <c r="N966" s="173"/>
      <c r="O966" s="154"/>
      <c r="P966" s="155"/>
      <c r="Q966" s="145"/>
    </row>
    <row r="967" spans="1:17" s="146" customFormat="1" ht="10.5" x14ac:dyDescent="0.25">
      <c r="A967" s="151"/>
      <c r="B967" s="152"/>
      <c r="C967" s="153"/>
      <c r="D967" s="154"/>
      <c r="E967" s="154"/>
      <c r="F967" s="154"/>
      <c r="G967" s="154"/>
      <c r="H967" s="154"/>
      <c r="I967" s="154"/>
      <c r="J967" s="154"/>
      <c r="K967" s="154"/>
      <c r="L967" s="154"/>
      <c r="M967" s="154"/>
      <c r="N967" s="173"/>
      <c r="O967" s="154"/>
      <c r="P967" s="155"/>
      <c r="Q967" s="145"/>
    </row>
    <row r="968" spans="1:17" s="146" customFormat="1" ht="10.5" x14ac:dyDescent="0.25">
      <c r="A968" s="151"/>
      <c r="B968" s="157" t="s">
        <v>377</v>
      </c>
      <c r="C968" s="158" t="s">
        <v>402</v>
      </c>
      <c r="D968" s="158"/>
      <c r="E968" s="158"/>
      <c r="F968" s="158"/>
      <c r="G968" s="158"/>
      <c r="H968" s="158"/>
      <c r="I968" s="158"/>
      <c r="J968" s="158"/>
      <c r="K968" s="153">
        <f>SUM(K964:K967)</f>
        <v>0.19436849999999994</v>
      </c>
      <c r="L968" s="158"/>
      <c r="M968" s="158"/>
      <c r="N968" s="153"/>
      <c r="O968" s="153"/>
      <c r="P968" s="159"/>
      <c r="Q968" s="145"/>
    </row>
    <row r="969" spans="1:17" s="150" customFormat="1" ht="21" x14ac:dyDescent="0.25">
      <c r="A969" s="147" t="str">
        <f>ORÇAMENTO!A225</f>
        <v>4.1.2.6.27</v>
      </c>
      <c r="B969" s="148" t="str">
        <f>VLOOKUP(A969,ORÇAMENTO!$A:$F,4,0)</f>
        <v>IMPRIMAÇÃO COM EMULSÃO ASFÁLTICA (SEM MATERIAL)</v>
      </c>
      <c r="C969" s="149" t="str">
        <f>VLOOKUP(A969,ORÇAMENTO!$A:$F,5,0)</f>
        <v>M²</v>
      </c>
      <c r="D969" s="149">
        <f>ROUND(SUM(E972:O972),2)</f>
        <v>431.93</v>
      </c>
      <c r="E969" s="149" t="s">
        <v>2149</v>
      </c>
      <c r="F969" s="149" t="s">
        <v>2150</v>
      </c>
      <c r="G969" s="149" t="s">
        <v>2151</v>
      </c>
      <c r="H969" s="149" t="s">
        <v>2152</v>
      </c>
      <c r="I969" s="149" t="s">
        <v>2153</v>
      </c>
      <c r="J969" s="149" t="s">
        <v>2154</v>
      </c>
      <c r="K969" s="149" t="s">
        <v>2155</v>
      </c>
      <c r="L969" s="149" t="s">
        <v>2239</v>
      </c>
      <c r="M969" s="149" t="s">
        <v>413</v>
      </c>
      <c r="N969" s="149" t="s">
        <v>2214</v>
      </c>
      <c r="O969" s="149" t="s">
        <v>2158</v>
      </c>
      <c r="P969" s="145"/>
      <c r="Q969" s="145"/>
    </row>
    <row r="970" spans="1:17" s="146" customFormat="1" ht="15" customHeight="1" x14ac:dyDescent="0.25">
      <c r="A970" s="151"/>
      <c r="B970" s="152" t="str">
        <f>B960</f>
        <v>VALAS DO TUBO DE LIGAÇÃO DN 400MM</v>
      </c>
      <c r="C970" s="153"/>
      <c r="D970" s="154"/>
      <c r="E970" s="154"/>
      <c r="F970" s="154"/>
      <c r="G970" s="154"/>
      <c r="H970" s="154"/>
      <c r="I970" s="154"/>
      <c r="J970" s="154"/>
      <c r="K970" s="154"/>
      <c r="L970" s="154"/>
      <c r="M970" s="154"/>
      <c r="N970" s="154">
        <f>N960</f>
        <v>431.92999999999989</v>
      </c>
      <c r="O970" s="154"/>
      <c r="P970" s="155"/>
      <c r="Q970" s="145"/>
    </row>
    <row r="971" spans="1:17" s="146" customFormat="1" ht="10.5" x14ac:dyDescent="0.25">
      <c r="A971" s="151"/>
      <c r="B971" s="152"/>
      <c r="C971" s="153"/>
      <c r="D971" s="154"/>
      <c r="E971" s="154"/>
      <c r="F971" s="154"/>
      <c r="G971" s="154"/>
      <c r="H971" s="154"/>
      <c r="I971" s="154"/>
      <c r="J971" s="154"/>
      <c r="K971" s="154"/>
      <c r="L971" s="154"/>
      <c r="M971" s="154"/>
      <c r="N971" s="173"/>
      <c r="O971" s="154"/>
      <c r="P971" s="155"/>
      <c r="Q971" s="145"/>
    </row>
    <row r="972" spans="1:17" s="146" customFormat="1" ht="15" customHeight="1" x14ac:dyDescent="0.25">
      <c r="A972" s="151"/>
      <c r="B972" s="157" t="s">
        <v>377</v>
      </c>
      <c r="C972" s="158" t="s">
        <v>402</v>
      </c>
      <c r="D972" s="158"/>
      <c r="E972" s="158"/>
      <c r="F972" s="158"/>
      <c r="G972" s="158"/>
      <c r="H972" s="158"/>
      <c r="I972" s="158"/>
      <c r="J972" s="158"/>
      <c r="K972" s="154"/>
      <c r="L972" s="158"/>
      <c r="M972" s="158"/>
      <c r="N972" s="153">
        <f>SUM(N970:N971)</f>
        <v>431.92999999999989</v>
      </c>
      <c r="O972" s="153"/>
      <c r="P972" s="159"/>
      <c r="Q972" s="145"/>
    </row>
    <row r="973" spans="1:17" s="150" customFormat="1" ht="21" x14ac:dyDescent="0.25">
      <c r="A973" s="147" t="str">
        <f>ORÇAMENTO!A226</f>
        <v>4.1.2.6.28</v>
      </c>
      <c r="B973" s="148" t="str">
        <f>VLOOKUP(A973,ORÇAMENTO!$A:$F,4,0)</f>
        <v>EMULSÃO ASFÁLTICA PARA IMPRIMAÇÃO - FORNECIMENTO E TRANSPORTE</v>
      </c>
      <c r="C973" s="149" t="str">
        <f>VLOOKUP(A973,ORÇAMENTO!$A:$F,5,0)</f>
        <v>T</v>
      </c>
      <c r="D973" s="149">
        <f>ROUND(SUM(E978:O978),2)</f>
        <v>0.56000000000000005</v>
      </c>
      <c r="E973" s="149" t="s">
        <v>2149</v>
      </c>
      <c r="F973" s="149" t="s">
        <v>2150</v>
      </c>
      <c r="G973" s="149" t="s">
        <v>2151</v>
      </c>
      <c r="H973" s="149" t="s">
        <v>2152</v>
      </c>
      <c r="I973" s="149" t="s">
        <v>2153</v>
      </c>
      <c r="J973" s="149" t="s">
        <v>2154</v>
      </c>
      <c r="K973" s="149" t="s">
        <v>2172</v>
      </c>
      <c r="L973" s="149" t="s">
        <v>2213</v>
      </c>
      <c r="M973" s="149" t="s">
        <v>413</v>
      </c>
      <c r="N973" s="149" t="s">
        <v>2214</v>
      </c>
      <c r="O973" s="149" t="s">
        <v>2158</v>
      </c>
      <c r="P973" s="145"/>
      <c r="Q973" s="145"/>
    </row>
    <row r="974" spans="1:17" s="146" customFormat="1" ht="10.5" x14ac:dyDescent="0.25">
      <c r="A974" s="151"/>
      <c r="B974" s="157" t="s">
        <v>2217</v>
      </c>
      <c r="C974" s="153"/>
      <c r="D974" s="154"/>
      <c r="E974" s="154"/>
      <c r="F974" s="154"/>
      <c r="G974" s="154"/>
      <c r="H974" s="154"/>
      <c r="I974" s="154"/>
      <c r="J974" s="154"/>
      <c r="K974" s="154"/>
      <c r="L974" s="154"/>
      <c r="M974" s="154"/>
      <c r="N974" s="154">
        <f>N970</f>
        <v>431.92999999999989</v>
      </c>
      <c r="O974" s="154"/>
      <c r="P974" s="155"/>
      <c r="Q974" s="145"/>
    </row>
    <row r="975" spans="1:17" s="146" customFormat="1" ht="42" x14ac:dyDescent="0.25">
      <c r="A975" s="151"/>
      <c r="B975" s="152" t="s">
        <v>2218</v>
      </c>
      <c r="C975" s="153"/>
      <c r="D975" s="154"/>
      <c r="E975" s="154"/>
      <c r="F975" s="154"/>
      <c r="G975" s="154"/>
      <c r="H975" s="154"/>
      <c r="I975" s="154"/>
      <c r="J975" s="154"/>
      <c r="K975" s="154"/>
      <c r="L975" s="172">
        <v>1.2999999999999999E-3</v>
      </c>
      <c r="M975" s="154"/>
      <c r="N975" s="173"/>
      <c r="O975" s="154"/>
      <c r="P975" s="155"/>
      <c r="Q975" s="145"/>
    </row>
    <row r="976" spans="1:17" s="146" customFormat="1" ht="10.5" x14ac:dyDescent="0.25">
      <c r="A976" s="151"/>
      <c r="B976" s="152"/>
      <c r="C976" s="153"/>
      <c r="D976" s="154"/>
      <c r="E976" s="154"/>
      <c r="F976" s="154"/>
      <c r="G976" s="154"/>
      <c r="H976" s="154"/>
      <c r="I976" s="154"/>
      <c r="J976" s="154"/>
      <c r="K976" s="154">
        <f>L975*N974</f>
        <v>0.56150899999999981</v>
      </c>
      <c r="L976" s="154"/>
      <c r="M976" s="154"/>
      <c r="N976" s="173"/>
      <c r="O976" s="154"/>
      <c r="P976" s="155"/>
      <c r="Q976" s="145"/>
    </row>
    <row r="977" spans="1:17" s="146" customFormat="1" ht="10.5" x14ac:dyDescent="0.25">
      <c r="A977" s="151"/>
      <c r="B977" s="152"/>
      <c r="C977" s="153"/>
      <c r="D977" s="154"/>
      <c r="E977" s="154"/>
      <c r="F977" s="154"/>
      <c r="G977" s="154"/>
      <c r="H977" s="154"/>
      <c r="I977" s="154"/>
      <c r="J977" s="154"/>
      <c r="K977" s="154"/>
      <c r="L977" s="154"/>
      <c r="M977" s="154"/>
      <c r="N977" s="173"/>
      <c r="O977" s="154"/>
      <c r="P977" s="155"/>
      <c r="Q977" s="145"/>
    </row>
    <row r="978" spans="1:17" s="146" customFormat="1" ht="10.5" x14ac:dyDescent="0.25">
      <c r="A978" s="151"/>
      <c r="B978" s="157" t="s">
        <v>377</v>
      </c>
      <c r="C978" s="158" t="s">
        <v>402</v>
      </c>
      <c r="D978" s="158"/>
      <c r="E978" s="158"/>
      <c r="F978" s="158"/>
      <c r="G978" s="158"/>
      <c r="H978" s="158"/>
      <c r="I978" s="158"/>
      <c r="J978" s="158"/>
      <c r="K978" s="153">
        <f>SUM(K974:K977)</f>
        <v>0.56150899999999981</v>
      </c>
      <c r="L978" s="158"/>
      <c r="M978" s="158"/>
      <c r="N978" s="153"/>
      <c r="O978" s="153"/>
      <c r="P978" s="159"/>
      <c r="Q978" s="145"/>
    </row>
    <row r="979" spans="1:17" s="150" customFormat="1" ht="21" x14ac:dyDescent="0.25">
      <c r="A979" s="147" t="str">
        <f>ORÇAMENTO!A227</f>
        <v>4.1.2.6.29</v>
      </c>
      <c r="B979" s="148" t="str">
        <f>VLOOKUP(A979,ORÇAMENTO!$A:$F,4,0)</f>
        <v>USINAGEM DE CBUQ SEM  CAP 50/70, PARA CAPA DE ROLAMENTO (SEM MATERIAL  E TRANSPORTE)</v>
      </c>
      <c r="C979" s="149" t="str">
        <f>VLOOKUP(A979,ORÇAMENTO!$A:$F,5,0)</f>
        <v>T</v>
      </c>
      <c r="D979" s="149">
        <f>ROUND(SUM(E984:O984),2)</f>
        <v>31.1</v>
      </c>
      <c r="E979" s="149" t="s">
        <v>2149</v>
      </c>
      <c r="F979" s="149" t="s">
        <v>2150</v>
      </c>
      <c r="G979" s="149" t="s">
        <v>2151</v>
      </c>
      <c r="H979" s="149" t="s">
        <v>2152</v>
      </c>
      <c r="I979" s="149" t="s">
        <v>2153</v>
      </c>
      <c r="J979" s="149" t="s">
        <v>2154</v>
      </c>
      <c r="K979" s="149" t="s">
        <v>2172</v>
      </c>
      <c r="L979" s="149" t="s">
        <v>2239</v>
      </c>
      <c r="M979" s="149" t="s">
        <v>413</v>
      </c>
      <c r="N979" s="149" t="s">
        <v>2214</v>
      </c>
      <c r="O979" s="149" t="s">
        <v>2158</v>
      </c>
      <c r="P979" s="145"/>
      <c r="Q979" s="145"/>
    </row>
    <row r="980" spans="1:17" s="146" customFormat="1" ht="10.5" x14ac:dyDescent="0.25">
      <c r="A980" s="151"/>
      <c r="B980" s="157" t="s">
        <v>2171</v>
      </c>
      <c r="C980" s="160"/>
      <c r="D980" s="161"/>
      <c r="E980" s="161"/>
      <c r="F980" s="161"/>
      <c r="G980" s="161"/>
      <c r="H980" s="161"/>
      <c r="I980" s="161"/>
      <c r="J980" s="161"/>
      <c r="K980" s="161"/>
      <c r="L980" s="161"/>
      <c r="M980" s="161"/>
      <c r="N980" s="161"/>
      <c r="O980" s="161"/>
      <c r="P980" s="155"/>
      <c r="Q980" s="145"/>
    </row>
    <row r="981" spans="1:17" s="146" customFormat="1" ht="10.5" x14ac:dyDescent="0.25">
      <c r="A981" s="151"/>
      <c r="B981" s="152" t="s">
        <v>2222</v>
      </c>
      <c r="C981" s="160"/>
      <c r="D981" s="161"/>
      <c r="E981" s="161"/>
      <c r="F981" s="161"/>
      <c r="G981" s="161"/>
      <c r="H981" s="161"/>
      <c r="I981" s="161"/>
      <c r="J981" s="161"/>
      <c r="K981" s="161"/>
      <c r="L981" s="161">
        <v>2.4</v>
      </c>
      <c r="M981" s="161"/>
      <c r="N981" s="161"/>
      <c r="O981" s="161"/>
      <c r="P981" s="155"/>
      <c r="Q981" s="145"/>
    </row>
    <row r="982" spans="1:17" s="146" customFormat="1" ht="10.5" x14ac:dyDescent="0.25">
      <c r="A982" s="151"/>
      <c r="B982" s="152" t="str">
        <f>B956</f>
        <v>CONCRETO BETUMINOSO USINADO A QUENTE</v>
      </c>
      <c r="C982" s="160"/>
      <c r="D982" s="161"/>
      <c r="E982" s="161"/>
      <c r="F982" s="161"/>
      <c r="G982" s="161"/>
      <c r="H982" s="161"/>
      <c r="I982" s="161"/>
      <c r="J982" s="161"/>
      <c r="K982" s="161">
        <f>L981*O982</f>
        <v>31.098960000000005</v>
      </c>
      <c r="L982" s="161"/>
      <c r="M982" s="161"/>
      <c r="N982" s="161"/>
      <c r="O982" s="161">
        <f>O958</f>
        <v>12.957900000000002</v>
      </c>
      <c r="P982" s="155"/>
      <c r="Q982" s="145"/>
    </row>
    <row r="983" spans="1:17" s="146" customFormat="1" ht="10.5" x14ac:dyDescent="0.25">
      <c r="A983" s="151"/>
      <c r="B983" s="152"/>
      <c r="C983" s="153"/>
      <c r="D983" s="154"/>
      <c r="E983" s="154"/>
      <c r="F983" s="154"/>
      <c r="G983" s="154"/>
      <c r="H983" s="154"/>
      <c r="I983" s="154"/>
      <c r="J983" s="154"/>
      <c r="K983" s="154"/>
      <c r="L983" s="154"/>
      <c r="M983" s="154"/>
      <c r="N983" s="173"/>
      <c r="O983" s="154"/>
      <c r="P983" s="155"/>
      <c r="Q983" s="145"/>
    </row>
    <row r="984" spans="1:17" s="146" customFormat="1" ht="15" customHeight="1" x14ac:dyDescent="0.25">
      <c r="A984" s="151"/>
      <c r="B984" s="157" t="s">
        <v>377</v>
      </c>
      <c r="C984" s="158" t="s">
        <v>402</v>
      </c>
      <c r="D984" s="158"/>
      <c r="E984" s="158"/>
      <c r="F984" s="158"/>
      <c r="G984" s="158"/>
      <c r="H984" s="158"/>
      <c r="I984" s="158"/>
      <c r="J984" s="158"/>
      <c r="K984" s="153">
        <f>SUM(K980:K983)</f>
        <v>31.098960000000005</v>
      </c>
      <c r="L984" s="158"/>
      <c r="M984" s="158"/>
      <c r="N984" s="153"/>
      <c r="O984" s="153"/>
      <c r="P984" s="159"/>
      <c r="Q984" s="145"/>
    </row>
    <row r="985" spans="1:17" s="150" customFormat="1" ht="21" x14ac:dyDescent="0.25">
      <c r="A985" s="147" t="str">
        <f>ORÇAMENTO!A228</f>
        <v>4.1.2.6.30</v>
      </c>
      <c r="B985" s="148" t="str">
        <f>VLOOKUP(A985,ORÇAMENTO!$A:$F,4,0)</f>
        <v>CIMENTO ASFÁLTICO DE PETRÓLEO - CAP 50/70 FORNECIMENTO E TRANSPORTE</v>
      </c>
      <c r="C985" s="149" t="str">
        <f>VLOOKUP(A985,ORÇAMENTO!$A:$F,5,0)</f>
        <v>T</v>
      </c>
      <c r="D985" s="149">
        <f>ROUND(SUM(E989:O989),2)</f>
        <v>1.97</v>
      </c>
      <c r="E985" s="149" t="s">
        <v>2149</v>
      </c>
      <c r="F985" s="149" t="s">
        <v>2150</v>
      </c>
      <c r="G985" s="149" t="s">
        <v>2151</v>
      </c>
      <c r="H985" s="149" t="s">
        <v>2152</v>
      </c>
      <c r="I985" s="149" t="s">
        <v>2153</v>
      </c>
      <c r="J985" s="149" t="s">
        <v>2154</v>
      </c>
      <c r="K985" s="149" t="s">
        <v>2172</v>
      </c>
      <c r="L985" s="149" t="s">
        <v>2178</v>
      </c>
      <c r="M985" s="149" t="s">
        <v>2160</v>
      </c>
      <c r="N985" s="149" t="s">
        <v>2157</v>
      </c>
      <c r="O985" s="149" t="s">
        <v>2158</v>
      </c>
      <c r="P985" s="145"/>
      <c r="Q985" s="145"/>
    </row>
    <row r="986" spans="1:17" s="146" customFormat="1" ht="10.5" x14ac:dyDescent="0.25">
      <c r="A986" s="151"/>
      <c r="B986" s="152" t="str">
        <f>B982</f>
        <v>CONCRETO BETUMINOSO USINADO A QUENTE</v>
      </c>
      <c r="C986" s="160"/>
      <c r="D986" s="161"/>
      <c r="E986" s="161"/>
      <c r="F986" s="161"/>
      <c r="G986" s="161"/>
      <c r="H986" s="161"/>
      <c r="I986" s="161"/>
      <c r="J986" s="161"/>
      <c r="K986" s="161">
        <f>K982</f>
        <v>31.098960000000005</v>
      </c>
      <c r="L986" s="161"/>
      <c r="M986" s="161"/>
      <c r="N986" s="161"/>
      <c r="O986" s="161"/>
      <c r="P986" s="155"/>
      <c r="Q986" s="145"/>
    </row>
    <row r="987" spans="1:17" s="146" customFormat="1" ht="10.5" x14ac:dyDescent="0.25">
      <c r="A987" s="151"/>
      <c r="B987" s="152" t="s">
        <v>2223</v>
      </c>
      <c r="C987" s="160"/>
      <c r="D987" s="161"/>
      <c r="E987" s="161"/>
      <c r="F987" s="161"/>
      <c r="G987" s="161"/>
      <c r="H987" s="161"/>
      <c r="I987" s="161"/>
      <c r="J987" s="161"/>
      <c r="K987" s="161"/>
      <c r="L987" s="174">
        <v>6.3229999999999995E-2</v>
      </c>
      <c r="M987" s="161"/>
      <c r="N987" s="161"/>
      <c r="O987" s="161"/>
      <c r="P987" s="155"/>
      <c r="Q987" s="145"/>
    </row>
    <row r="988" spans="1:17" s="146" customFormat="1" ht="10.5" x14ac:dyDescent="0.25">
      <c r="A988" s="151"/>
      <c r="B988" s="152"/>
      <c r="C988" s="160"/>
      <c r="D988" s="161"/>
      <c r="E988" s="161"/>
      <c r="F988" s="161"/>
      <c r="G988" s="161"/>
      <c r="H988" s="161"/>
      <c r="I988" s="161"/>
      <c r="J988" s="161"/>
      <c r="K988" s="161">
        <f>K986*L987</f>
        <v>1.9663872408000003</v>
      </c>
      <c r="L988" s="161"/>
      <c r="M988" s="161"/>
      <c r="N988" s="161"/>
      <c r="O988" s="161"/>
      <c r="P988" s="155"/>
      <c r="Q988" s="145"/>
    </row>
    <row r="989" spans="1:17" s="146" customFormat="1" ht="15" customHeight="1" x14ac:dyDescent="0.25">
      <c r="A989" s="151"/>
      <c r="B989" s="157" t="s">
        <v>377</v>
      </c>
      <c r="C989" s="158" t="s">
        <v>402</v>
      </c>
      <c r="D989" s="158"/>
      <c r="E989" s="158"/>
      <c r="F989" s="158"/>
      <c r="G989" s="158"/>
      <c r="H989" s="158"/>
      <c r="I989" s="158"/>
      <c r="J989" s="158"/>
      <c r="K989" s="153">
        <f>SUM(K988)</f>
        <v>1.9663872408000003</v>
      </c>
      <c r="L989" s="158"/>
      <c r="M989" s="158"/>
      <c r="N989" s="153"/>
      <c r="O989" s="153"/>
      <c r="P989" s="159"/>
      <c r="Q989" s="145"/>
    </row>
    <row r="990" spans="1:17" s="150" customFormat="1" ht="52.5" x14ac:dyDescent="0.25">
      <c r="A990" s="147" t="str">
        <f>ORÇAMENTO!A229</f>
        <v>4.1.2.6.31</v>
      </c>
      <c r="B990" s="148" t="str">
        <f>VLOOKUP(A990,ORÇAMENTO!$A:$F,4,0)</f>
        <v>EXECUÇÃO E COMPACTAÇÃO DE BASE E OU SUB BASE PARA PAVIMENTAÇÃO DE SOLO (PREDOMINANTEMENTE ARENOSO) COM CAL (TEOR DE 4%) - EXCLUSIVE SOLO, ESCAVAÇÃO, CARGA E TRANSPORTE.</v>
      </c>
      <c r="C990" s="149" t="str">
        <f>VLOOKUP(A990,ORÇAMENTO!$A:$F,5,0)</f>
        <v>M³</v>
      </c>
      <c r="D990" s="149">
        <f>ROUND(SUM(E994:O994),2)</f>
        <v>64.790000000000006</v>
      </c>
      <c r="E990" s="149" t="s">
        <v>2149</v>
      </c>
      <c r="F990" s="149" t="s">
        <v>2150</v>
      </c>
      <c r="G990" s="149" t="s">
        <v>2151</v>
      </c>
      <c r="H990" s="149" t="s">
        <v>2152</v>
      </c>
      <c r="I990" s="149" t="s">
        <v>2153</v>
      </c>
      <c r="J990" s="149" t="s">
        <v>2154</v>
      </c>
      <c r="K990" s="149" t="s">
        <v>2155</v>
      </c>
      <c r="L990" s="149" t="s">
        <v>2239</v>
      </c>
      <c r="M990" s="149" t="s">
        <v>413</v>
      </c>
      <c r="N990" s="149" t="s">
        <v>2214</v>
      </c>
      <c r="O990" s="149" t="s">
        <v>2158</v>
      </c>
      <c r="P990" s="145"/>
      <c r="Q990" s="145"/>
    </row>
    <row r="991" spans="1:17" s="146" customFormat="1" ht="10.5" x14ac:dyDescent="0.25">
      <c r="A991" s="151"/>
      <c r="B991" s="152" t="s">
        <v>2247</v>
      </c>
      <c r="C991" s="153"/>
      <c r="D991" s="154"/>
      <c r="E991" s="154"/>
      <c r="F991" s="154"/>
      <c r="G991" s="154"/>
      <c r="H991" s="154"/>
      <c r="I991" s="154"/>
      <c r="J991" s="154"/>
      <c r="K991" s="154"/>
      <c r="L991" s="154"/>
      <c r="M991" s="154"/>
      <c r="N991" s="173"/>
      <c r="O991" s="154">
        <f>QUANTBL!AT69</f>
        <v>64.789500000000004</v>
      </c>
      <c r="P991" s="155"/>
      <c r="Q991" s="145"/>
    </row>
    <row r="992" spans="1:17" s="146" customFormat="1" ht="10.5" x14ac:dyDescent="0.25">
      <c r="A992" s="151"/>
      <c r="B992" s="152"/>
      <c r="C992" s="153"/>
      <c r="D992" s="154"/>
      <c r="E992" s="154"/>
      <c r="F992" s="154"/>
      <c r="G992" s="154"/>
      <c r="H992" s="154"/>
      <c r="I992" s="154"/>
      <c r="J992" s="154"/>
      <c r="K992" s="154"/>
      <c r="L992" s="154"/>
      <c r="M992" s="154"/>
      <c r="N992" s="173"/>
      <c r="O992" s="154"/>
      <c r="P992" s="155"/>
      <c r="Q992" s="145"/>
    </row>
    <row r="993" spans="1:17" s="146" customFormat="1" ht="10.5" x14ac:dyDescent="0.25">
      <c r="A993" s="151"/>
      <c r="B993" s="152"/>
      <c r="C993" s="153"/>
      <c r="D993" s="154"/>
      <c r="E993" s="154"/>
      <c r="F993" s="154"/>
      <c r="G993" s="154"/>
      <c r="H993" s="154"/>
      <c r="I993" s="154"/>
      <c r="J993" s="154"/>
      <c r="K993" s="154"/>
      <c r="L993" s="154"/>
      <c r="M993" s="154"/>
      <c r="N993" s="173"/>
      <c r="O993" s="154"/>
      <c r="P993" s="155"/>
      <c r="Q993" s="145"/>
    </row>
    <row r="994" spans="1:17" s="146" customFormat="1" ht="15" customHeight="1" x14ac:dyDescent="0.25">
      <c r="A994" s="151"/>
      <c r="B994" s="157" t="s">
        <v>377</v>
      </c>
      <c r="C994" s="158" t="s">
        <v>402</v>
      </c>
      <c r="D994" s="158"/>
      <c r="E994" s="158"/>
      <c r="F994" s="158"/>
      <c r="G994" s="158"/>
      <c r="H994" s="158"/>
      <c r="I994" s="158"/>
      <c r="J994" s="158"/>
      <c r="K994" s="154"/>
      <c r="L994" s="158"/>
      <c r="M994" s="158"/>
      <c r="N994" s="153"/>
      <c r="O994" s="153">
        <f>SUM(O991:O993)</f>
        <v>64.789500000000004</v>
      </c>
      <c r="P994" s="159"/>
      <c r="Q994" s="145"/>
    </row>
    <row r="995" spans="1:17" s="150" customFormat="1" ht="21" x14ac:dyDescent="0.25">
      <c r="A995" s="147" t="str">
        <f>ORÇAMENTO!A230</f>
        <v>4.1.2.6.32</v>
      </c>
      <c r="B995" s="148" t="str">
        <f>VLOOKUP(A995,ORÇAMENTO!$A:$F,4,0)</f>
        <v>BASE OU SUB-BASE DE BRITA GRADUADA COM BRITA COMERCIAL</v>
      </c>
      <c r="C995" s="149" t="str">
        <f>VLOOKUP(A995,ORÇAMENTO!$A:$F,5,0)</f>
        <v>M³</v>
      </c>
      <c r="D995" s="149">
        <f>ROUND(SUM(E999:O999),2)</f>
        <v>64.790000000000006</v>
      </c>
      <c r="E995" s="149" t="s">
        <v>2149</v>
      </c>
      <c r="F995" s="149" t="s">
        <v>2150</v>
      </c>
      <c r="G995" s="149" t="s">
        <v>2151</v>
      </c>
      <c r="H995" s="149" t="s">
        <v>2152</v>
      </c>
      <c r="I995" s="149" t="s">
        <v>2153</v>
      </c>
      <c r="J995" s="149" t="s">
        <v>2154</v>
      </c>
      <c r="K995" s="149" t="s">
        <v>2155</v>
      </c>
      <c r="L995" s="149" t="s">
        <v>2239</v>
      </c>
      <c r="M995" s="149" t="s">
        <v>413</v>
      </c>
      <c r="N995" s="149" t="s">
        <v>2214</v>
      </c>
      <c r="O995" s="149" t="s">
        <v>2158</v>
      </c>
      <c r="P995" s="145"/>
      <c r="Q995" s="145"/>
    </row>
    <row r="996" spans="1:17" s="146" customFormat="1" ht="10.5" x14ac:dyDescent="0.25">
      <c r="A996" s="151"/>
      <c r="B996" s="152" t="s">
        <v>2247</v>
      </c>
      <c r="C996" s="153"/>
      <c r="D996" s="154"/>
      <c r="E996" s="154"/>
      <c r="F996" s="154"/>
      <c r="G996" s="154"/>
      <c r="H996" s="154"/>
      <c r="I996" s="154"/>
      <c r="J996" s="154"/>
      <c r="K996" s="154"/>
      <c r="L996" s="154"/>
      <c r="M996" s="154"/>
      <c r="N996" s="173"/>
      <c r="O996" s="154">
        <f>QUANTBL!AU69</f>
        <v>64.789500000000004</v>
      </c>
      <c r="P996" s="155"/>
      <c r="Q996" s="145"/>
    </row>
    <row r="997" spans="1:17" s="146" customFormat="1" ht="10.5" x14ac:dyDescent="0.25">
      <c r="A997" s="151"/>
      <c r="B997" s="152"/>
      <c r="C997" s="153"/>
      <c r="D997" s="154"/>
      <c r="E997" s="154"/>
      <c r="F997" s="154"/>
      <c r="G997" s="154"/>
      <c r="H997" s="154"/>
      <c r="I997" s="154"/>
      <c r="J997" s="154"/>
      <c r="K997" s="154"/>
      <c r="L997" s="154"/>
      <c r="M997" s="154"/>
      <c r="N997" s="173"/>
      <c r="O997" s="154"/>
      <c r="P997" s="155"/>
      <c r="Q997" s="145"/>
    </row>
    <row r="998" spans="1:17" s="146" customFormat="1" ht="10.5" x14ac:dyDescent="0.25">
      <c r="A998" s="151"/>
      <c r="B998" s="152"/>
      <c r="C998" s="153"/>
      <c r="D998" s="154"/>
      <c r="E998" s="154"/>
      <c r="F998" s="154"/>
      <c r="G998" s="154"/>
      <c r="H998" s="154"/>
      <c r="I998" s="154"/>
      <c r="J998" s="154"/>
      <c r="K998" s="154"/>
      <c r="L998" s="154"/>
      <c r="M998" s="154"/>
      <c r="N998" s="173"/>
      <c r="O998" s="154"/>
      <c r="P998" s="155"/>
      <c r="Q998" s="145"/>
    </row>
    <row r="999" spans="1:17" s="146" customFormat="1" ht="13.5" customHeight="1" x14ac:dyDescent="0.25">
      <c r="A999" s="151"/>
      <c r="B999" s="157" t="s">
        <v>377</v>
      </c>
      <c r="C999" s="158" t="s">
        <v>402</v>
      </c>
      <c r="D999" s="158"/>
      <c r="E999" s="158"/>
      <c r="F999" s="158"/>
      <c r="G999" s="158"/>
      <c r="H999" s="158"/>
      <c r="I999" s="158"/>
      <c r="J999" s="158"/>
      <c r="K999" s="154"/>
      <c r="L999" s="158"/>
      <c r="M999" s="158"/>
      <c r="N999" s="153"/>
      <c r="O999" s="153">
        <f>SUM(O996:O998)</f>
        <v>64.789500000000004</v>
      </c>
      <c r="P999" s="159"/>
      <c r="Q999" s="145"/>
    </row>
    <row r="1000" spans="1:17" s="150" customFormat="1" ht="21" x14ac:dyDescent="0.25">
      <c r="A1000" s="147" t="str">
        <f>ORÇAMENTO!A231</f>
        <v>4.1.2.6.33</v>
      </c>
      <c r="B1000" s="148" t="str">
        <f>VLOOKUP(A1000,ORÇAMENTO!$A:$F,4,0)</f>
        <v>CAL HIDRATADA - A GRANEL</v>
      </c>
      <c r="C1000" s="149" t="str">
        <f>VLOOKUP(A1000,ORÇAMENTO!$A:$F,5,0)</f>
        <v>KG</v>
      </c>
      <c r="D1000" s="149">
        <f>ROUND(SUM(E1004:O1004),2)</f>
        <v>11060.35</v>
      </c>
      <c r="E1000" s="149" t="s">
        <v>2149</v>
      </c>
      <c r="F1000" s="149" t="s">
        <v>2150</v>
      </c>
      <c r="G1000" s="149" t="s">
        <v>2151</v>
      </c>
      <c r="H1000" s="149" t="s">
        <v>2152</v>
      </c>
      <c r="I1000" s="149" t="s">
        <v>2153</v>
      </c>
      <c r="J1000" s="149" t="s">
        <v>2154</v>
      </c>
      <c r="K1000" s="149" t="s">
        <v>2155</v>
      </c>
      <c r="L1000" s="149" t="s">
        <v>2178</v>
      </c>
      <c r="M1000" s="149" t="s">
        <v>413</v>
      </c>
      <c r="N1000" s="149" t="s">
        <v>2214</v>
      </c>
      <c r="O1000" s="149" t="s">
        <v>2158</v>
      </c>
      <c r="P1000" s="145"/>
      <c r="Q1000" s="145"/>
    </row>
    <row r="1001" spans="1:17" s="146" customFormat="1" ht="15" customHeight="1" x14ac:dyDescent="0.25">
      <c r="A1001" s="151"/>
      <c r="B1001" s="157" t="s">
        <v>2248</v>
      </c>
      <c r="C1001" s="153"/>
      <c r="D1001" s="154"/>
      <c r="E1001" s="154"/>
      <c r="F1001" s="154"/>
      <c r="G1001" s="154"/>
      <c r="H1001" s="154"/>
      <c r="I1001" s="154"/>
      <c r="J1001" s="154"/>
      <c r="K1001" s="154"/>
      <c r="L1001" s="154"/>
      <c r="M1001" s="154"/>
      <c r="N1001" s="173"/>
      <c r="O1001" s="154">
        <f>QUANTBL!BD69</f>
        <v>3.9085400000000003</v>
      </c>
      <c r="P1001" s="155"/>
      <c r="Q1001" s="145"/>
    </row>
    <row r="1002" spans="1:17" s="146" customFormat="1" ht="15" customHeight="1" x14ac:dyDescent="0.25">
      <c r="A1002" s="151"/>
      <c r="B1002" s="157" t="s">
        <v>295</v>
      </c>
      <c r="C1002" s="153"/>
      <c r="D1002" s="154"/>
      <c r="E1002" s="154"/>
      <c r="F1002" s="154"/>
      <c r="G1002" s="154"/>
      <c r="H1002" s="154"/>
      <c r="I1002" s="154"/>
      <c r="J1002" s="154"/>
      <c r="K1002" s="154"/>
      <c r="L1002" s="154"/>
      <c r="M1002" s="154"/>
      <c r="N1002" s="173"/>
      <c r="O1002" s="154">
        <f>QUANTBL!CM69</f>
        <v>1.4527519999999998</v>
      </c>
      <c r="P1002" s="155"/>
      <c r="Q1002" s="145"/>
    </row>
    <row r="1003" spans="1:17" s="146" customFormat="1" ht="31.5" x14ac:dyDescent="0.25">
      <c r="A1003" s="151"/>
      <c r="B1003" s="152" t="s">
        <v>2219</v>
      </c>
      <c r="C1003" s="153"/>
      <c r="D1003" s="154"/>
      <c r="E1003" s="154"/>
      <c r="F1003" s="154"/>
      <c r="G1003" s="154"/>
      <c r="H1003" s="154"/>
      <c r="I1003" s="154"/>
      <c r="J1003" s="154"/>
      <c r="K1003" s="154">
        <f>L1003*O1001+L1003*O1002</f>
        <v>11060.345396000001</v>
      </c>
      <c r="L1003" s="154">
        <f>82.52/0.04</f>
        <v>2063</v>
      </c>
      <c r="M1003" s="154"/>
      <c r="N1003" s="173"/>
      <c r="O1003" s="154"/>
      <c r="P1003" s="155"/>
      <c r="Q1003" s="145"/>
    </row>
    <row r="1004" spans="1:17" s="146" customFormat="1" ht="15" customHeight="1" x14ac:dyDescent="0.25">
      <c r="A1004" s="151"/>
      <c r="B1004" s="157" t="s">
        <v>377</v>
      </c>
      <c r="C1004" s="158" t="s">
        <v>402</v>
      </c>
      <c r="D1004" s="158"/>
      <c r="E1004" s="158"/>
      <c r="F1004" s="158"/>
      <c r="G1004" s="158"/>
      <c r="H1004" s="158"/>
      <c r="I1004" s="158"/>
      <c r="J1004" s="158"/>
      <c r="K1004" s="153">
        <f>SUM(K1001:K1003)</f>
        <v>11060.345396000001</v>
      </c>
      <c r="L1004" s="158"/>
      <c r="M1004" s="158"/>
      <c r="N1004" s="153"/>
      <c r="O1004" s="153"/>
      <c r="P1004" s="159"/>
      <c r="Q1004" s="145"/>
    </row>
    <row r="1005" spans="1:17" s="150" customFormat="1" ht="21" x14ac:dyDescent="0.25">
      <c r="A1005" s="147" t="str">
        <f>ORÇAMENTO!A232</f>
        <v>4.1.2.6.34</v>
      </c>
      <c r="B1005" s="148" t="str">
        <f>VLOOKUP(A1005,ORÇAMENTO!$A:$F,4,0)</f>
        <v>REATERRO MANUAL APILOADO COM SOQUETE</v>
      </c>
      <c r="C1005" s="149" t="str">
        <f>VLOOKUP(A1005,ORÇAMENTO!$A:$F,5,0)</f>
        <v>M³</v>
      </c>
      <c r="D1005" s="149">
        <f>ROUND(SUM(E1008:O1008),2)</f>
        <v>248.07</v>
      </c>
      <c r="E1005" s="149" t="s">
        <v>2149</v>
      </c>
      <c r="F1005" s="149" t="s">
        <v>2150</v>
      </c>
      <c r="G1005" s="149" t="s">
        <v>2151</v>
      </c>
      <c r="H1005" s="149" t="s">
        <v>2152</v>
      </c>
      <c r="I1005" s="149" t="s">
        <v>2153</v>
      </c>
      <c r="J1005" s="149" t="s">
        <v>2154</v>
      </c>
      <c r="K1005" s="149" t="s">
        <v>2155</v>
      </c>
      <c r="L1005" s="149" t="s">
        <v>2178</v>
      </c>
      <c r="M1005" s="149" t="s">
        <v>413</v>
      </c>
      <c r="N1005" s="149" t="s">
        <v>2214</v>
      </c>
      <c r="O1005" s="149" t="s">
        <v>2158</v>
      </c>
      <c r="P1005" s="145"/>
      <c r="Q1005" s="145"/>
    </row>
    <row r="1006" spans="1:17" s="146" customFormat="1" ht="15" customHeight="1" x14ac:dyDescent="0.25">
      <c r="A1006" s="151"/>
      <c r="B1006" s="157" t="s">
        <v>2248</v>
      </c>
      <c r="C1006" s="153"/>
      <c r="D1006" s="154"/>
      <c r="E1006" s="154"/>
      <c r="F1006" s="154"/>
      <c r="G1006" s="154"/>
      <c r="H1006" s="154"/>
      <c r="I1006" s="154"/>
      <c r="J1006" s="154"/>
      <c r="K1006" s="154"/>
      <c r="L1006" s="154"/>
      <c r="M1006" s="154"/>
      <c r="N1006" s="173"/>
      <c r="O1006" s="154"/>
      <c r="P1006" s="155"/>
      <c r="Q1006" s="145"/>
    </row>
    <row r="1007" spans="1:17" s="146" customFormat="1" ht="15" customHeight="1" x14ac:dyDescent="0.25">
      <c r="A1007" s="151"/>
      <c r="B1007" s="152" t="s">
        <v>2224</v>
      </c>
      <c r="C1007" s="153"/>
      <c r="D1007" s="154"/>
      <c r="E1007" s="154"/>
      <c r="F1007" s="154"/>
      <c r="G1007" s="154"/>
      <c r="H1007" s="154"/>
      <c r="I1007" s="154"/>
      <c r="J1007" s="154"/>
      <c r="K1007" s="154"/>
      <c r="L1007" s="154"/>
      <c r="M1007" s="154"/>
      <c r="N1007" s="173"/>
      <c r="O1007" s="154">
        <f>QUANTBL!AR69</f>
        <v>248.07307540539844</v>
      </c>
      <c r="P1007" s="155"/>
      <c r="Q1007" s="145"/>
    </row>
    <row r="1008" spans="1:17" s="146" customFormat="1" ht="15" customHeight="1" x14ac:dyDescent="0.25">
      <c r="A1008" s="151"/>
      <c r="B1008" s="157" t="s">
        <v>377</v>
      </c>
      <c r="C1008" s="158" t="s">
        <v>402</v>
      </c>
      <c r="D1008" s="158"/>
      <c r="E1008" s="158"/>
      <c r="F1008" s="158"/>
      <c r="G1008" s="158"/>
      <c r="H1008" s="158"/>
      <c r="I1008" s="158"/>
      <c r="J1008" s="158"/>
      <c r="K1008" s="153"/>
      <c r="L1008" s="158"/>
      <c r="M1008" s="158"/>
      <c r="N1008" s="153"/>
      <c r="O1008" s="153">
        <f>SUM(O1007:O1007)</f>
        <v>248.07307540539844</v>
      </c>
      <c r="P1008" s="159"/>
      <c r="Q1008" s="145"/>
    </row>
    <row r="1009" spans="1:17" s="150" customFormat="1" ht="31.5" x14ac:dyDescent="0.25">
      <c r="A1009" s="147" t="str">
        <f>ORÇAMENTO!A233</f>
        <v>4.1.2.6.35</v>
      </c>
      <c r="B1009" s="148" t="str">
        <f>VLOOKUP(A1009,ORÇAMENTO!$A:$F,4,0)</f>
        <v>REATERRO COMPACTADO MECANICAMENTE EM CAMADAS DE 0,20 M COM APROVEITAMENTO DO MATERIAL ESCAVADO.</v>
      </c>
      <c r="C1009" s="149" t="str">
        <f>VLOOKUP(A1009,ORÇAMENTO!$A:$F,5,0)</f>
        <v>M³</v>
      </c>
      <c r="D1009" s="149">
        <f>ROUND(SUM(E1016:O1016),2)</f>
        <v>984.81</v>
      </c>
      <c r="E1009" s="149" t="s">
        <v>2149</v>
      </c>
      <c r="F1009" s="149" t="s">
        <v>2150</v>
      </c>
      <c r="G1009" s="149" t="s">
        <v>2151</v>
      </c>
      <c r="H1009" s="149" t="s">
        <v>2152</v>
      </c>
      <c r="I1009" s="149" t="s">
        <v>2153</v>
      </c>
      <c r="J1009" s="149" t="s">
        <v>2154</v>
      </c>
      <c r="K1009" s="149" t="s">
        <v>2155</v>
      </c>
      <c r="L1009" s="149" t="s">
        <v>2178</v>
      </c>
      <c r="M1009" s="149" t="s">
        <v>413</v>
      </c>
      <c r="N1009" s="149" t="s">
        <v>2214</v>
      </c>
      <c r="O1009" s="149" t="s">
        <v>2158</v>
      </c>
      <c r="P1009" s="145"/>
      <c r="Q1009" s="145"/>
    </row>
    <row r="1010" spans="1:17" s="146" customFormat="1" ht="15" customHeight="1" x14ac:dyDescent="0.25">
      <c r="A1010" s="151"/>
      <c r="B1010" s="157" t="s">
        <v>2248</v>
      </c>
      <c r="C1010" s="153"/>
      <c r="D1010" s="154"/>
      <c r="E1010" s="154"/>
      <c r="F1010" s="154"/>
      <c r="G1010" s="154"/>
      <c r="H1010" s="154"/>
      <c r="I1010" s="154"/>
      <c r="J1010" s="154"/>
      <c r="K1010" s="154"/>
      <c r="L1010" s="154"/>
      <c r="M1010" s="154"/>
      <c r="N1010" s="173"/>
      <c r="O1010" s="154"/>
      <c r="P1010" s="155"/>
      <c r="Q1010" s="145"/>
    </row>
    <row r="1011" spans="1:17" s="146" customFormat="1" ht="15" customHeight="1" x14ac:dyDescent="0.25">
      <c r="A1011" s="151"/>
      <c r="B1011" s="152" t="s">
        <v>2224</v>
      </c>
      <c r="C1011" s="153"/>
      <c r="D1011" s="154"/>
      <c r="E1011" s="154"/>
      <c r="F1011" s="154"/>
      <c r="G1011" s="154"/>
      <c r="H1011" s="154"/>
      <c r="I1011" s="154"/>
      <c r="J1011" s="154"/>
      <c r="K1011" s="154"/>
      <c r="L1011" s="154"/>
      <c r="M1011" s="154"/>
      <c r="N1011" s="173"/>
      <c r="O1011" s="154">
        <f>QUANTBL!AY69</f>
        <v>353.41923309267918</v>
      </c>
      <c r="P1011" s="155"/>
      <c r="Q1011" s="145"/>
    </row>
    <row r="1012" spans="1:17" s="146" customFormat="1" ht="15" customHeight="1" x14ac:dyDescent="0.25">
      <c r="A1012" s="151"/>
      <c r="B1012" s="152" t="s">
        <v>2249</v>
      </c>
      <c r="C1012" s="153"/>
      <c r="D1012" s="154"/>
      <c r="E1012" s="154"/>
      <c r="F1012" s="154"/>
      <c r="G1012" s="154"/>
      <c r="H1012" s="154"/>
      <c r="I1012" s="154"/>
      <c r="J1012" s="154"/>
      <c r="K1012" s="154"/>
      <c r="L1012" s="154"/>
      <c r="M1012" s="154"/>
      <c r="N1012" s="173"/>
      <c r="O1012" s="154">
        <f>QUANTBL!BA69</f>
        <v>113.85854494192243</v>
      </c>
      <c r="P1012" s="155"/>
      <c r="Q1012" s="145"/>
    </row>
    <row r="1013" spans="1:17" s="146" customFormat="1" ht="15" customHeight="1" x14ac:dyDescent="0.25">
      <c r="A1013" s="151"/>
      <c r="B1013" s="152" t="s">
        <v>2227</v>
      </c>
      <c r="C1013" s="153"/>
      <c r="D1013" s="154"/>
      <c r="E1013" s="154"/>
      <c r="F1013" s="154"/>
      <c r="G1013" s="154"/>
      <c r="H1013" s="154"/>
      <c r="I1013" s="154"/>
      <c r="J1013" s="154"/>
      <c r="K1013" s="154"/>
      <c r="L1013" s="154"/>
      <c r="M1013" s="154"/>
      <c r="N1013" s="173"/>
      <c r="O1013" s="154">
        <f>QUANTBL!AO69</f>
        <v>32.923999999999999</v>
      </c>
      <c r="P1013" s="155"/>
      <c r="Q1013" s="145"/>
    </row>
    <row r="1014" spans="1:17" s="146" customFormat="1" ht="15" customHeight="1" x14ac:dyDescent="0.25">
      <c r="A1014" s="151"/>
      <c r="B1014" s="157" t="s">
        <v>295</v>
      </c>
      <c r="C1014" s="153"/>
      <c r="D1014" s="154"/>
      <c r="E1014" s="154"/>
      <c r="F1014" s="154"/>
      <c r="G1014" s="154"/>
      <c r="H1014" s="154"/>
      <c r="I1014" s="154"/>
      <c r="J1014" s="154"/>
      <c r="K1014" s="154"/>
      <c r="L1014" s="154"/>
      <c r="M1014" s="154"/>
      <c r="N1014" s="173"/>
      <c r="O1014" s="154"/>
      <c r="P1014" s="155"/>
      <c r="Q1014" s="145"/>
    </row>
    <row r="1015" spans="1:17" s="146" customFormat="1" ht="15" customHeight="1" x14ac:dyDescent="0.25">
      <c r="A1015" s="151"/>
      <c r="B1015" s="152" t="s">
        <v>2224</v>
      </c>
      <c r="C1015" s="153"/>
      <c r="D1015" s="154"/>
      <c r="E1015" s="154"/>
      <c r="F1015" s="154"/>
      <c r="G1015" s="154"/>
      <c r="H1015" s="154"/>
      <c r="I1015" s="154"/>
      <c r="J1015" s="154"/>
      <c r="K1015" s="154"/>
      <c r="L1015" s="154"/>
      <c r="M1015" s="154"/>
      <c r="N1015" s="173"/>
      <c r="O1015" s="154">
        <f>QUANTBL!CK69</f>
        <v>484.6098219999995</v>
      </c>
      <c r="P1015" s="155"/>
      <c r="Q1015" s="145"/>
    </row>
    <row r="1016" spans="1:17" s="146" customFormat="1" ht="15" customHeight="1" x14ac:dyDescent="0.25">
      <c r="A1016" s="151"/>
      <c r="B1016" s="157" t="s">
        <v>377</v>
      </c>
      <c r="C1016" s="158" t="s">
        <v>402</v>
      </c>
      <c r="D1016" s="158"/>
      <c r="E1016" s="158"/>
      <c r="F1016" s="158"/>
      <c r="G1016" s="158"/>
      <c r="H1016" s="158"/>
      <c r="I1016" s="158"/>
      <c r="J1016" s="158"/>
      <c r="K1016" s="153"/>
      <c r="L1016" s="158"/>
      <c r="M1016" s="158"/>
      <c r="N1016" s="153"/>
      <c r="O1016" s="153">
        <f>SUM(O1011:O1015)</f>
        <v>984.81160003460104</v>
      </c>
      <c r="P1016" s="159"/>
      <c r="Q1016" s="145"/>
    </row>
    <row r="1017" spans="1:17" s="150" customFormat="1" ht="52.5" x14ac:dyDescent="0.25">
      <c r="A1017" s="147" t="str">
        <f>ORÇAMENTO!A234</f>
        <v>4.1.2.6.36</v>
      </c>
      <c r="B1017" s="148" t="str">
        <f>VLOOKUP(A1017,ORÇAMENTO!$A:$F,4,0)</f>
        <v>CARGA, MANOBRA E DESCARGA DE SOLOS E MATERIAIS GRANULARES EM CAMINHÃO BASCULANTE 14 M³ - CARGA COM ESCAVADEIRA HIDRÁULICA (CAÇAMBA DE 1,20 M³ / 155 HP) E DESCARGA LIVRE (UNIDADE: M3). AF_07/2020</v>
      </c>
      <c r="C1017" s="149" t="str">
        <f>VLOOKUP(A1017,ORÇAMENTO!$A:$F,5,0)</f>
        <v>M³</v>
      </c>
      <c r="D1017" s="149">
        <f>ROUND(SUM(E1032:O1032),2)</f>
        <v>824.18</v>
      </c>
      <c r="E1017" s="149" t="s">
        <v>2149</v>
      </c>
      <c r="F1017" s="149" t="s">
        <v>2150</v>
      </c>
      <c r="G1017" s="149" t="s">
        <v>2151</v>
      </c>
      <c r="H1017" s="149" t="s">
        <v>2152</v>
      </c>
      <c r="I1017" s="149" t="s">
        <v>2153</v>
      </c>
      <c r="J1017" s="149" t="s">
        <v>2154</v>
      </c>
      <c r="K1017" s="149" t="s">
        <v>2155</v>
      </c>
      <c r="L1017" s="149" t="s">
        <v>2239</v>
      </c>
      <c r="M1017" s="149" t="s">
        <v>413</v>
      </c>
      <c r="N1017" s="149" t="s">
        <v>2244</v>
      </c>
      <c r="O1017" s="149" t="s">
        <v>2158</v>
      </c>
      <c r="P1017" s="145"/>
      <c r="Q1017" s="145"/>
    </row>
    <row r="1018" spans="1:17" s="150" customFormat="1" ht="15" customHeight="1" x14ac:dyDescent="0.25">
      <c r="A1018" s="175"/>
      <c r="B1018" s="157" t="s">
        <v>2208</v>
      </c>
      <c r="C1018" s="153"/>
      <c r="D1018" s="153"/>
      <c r="E1018" s="153"/>
      <c r="F1018" s="153"/>
      <c r="G1018" s="153"/>
      <c r="H1018" s="153"/>
      <c r="I1018" s="153"/>
      <c r="J1018" s="153"/>
      <c r="K1018" s="153"/>
      <c r="L1018" s="153"/>
      <c r="M1018" s="153"/>
      <c r="N1018" s="176"/>
      <c r="O1018" s="153"/>
      <c r="P1018" s="155"/>
      <c r="Q1018" s="145"/>
    </row>
    <row r="1019" spans="1:17" s="150" customFormat="1" ht="15" customHeight="1" x14ac:dyDescent="0.25">
      <c r="A1019" s="175"/>
      <c r="B1019" s="157" t="str">
        <f>B1010</f>
        <v>LIGAÇÃO BOCA - PV</v>
      </c>
      <c r="C1019" s="153"/>
      <c r="D1019" s="153"/>
      <c r="E1019" s="153"/>
      <c r="F1019" s="153"/>
      <c r="G1019" s="153"/>
      <c r="H1019" s="153"/>
      <c r="I1019" s="153"/>
      <c r="J1019" s="153"/>
      <c r="K1019" s="153"/>
      <c r="L1019" s="153"/>
      <c r="M1019" s="153"/>
      <c r="N1019" s="176"/>
      <c r="O1019" s="153"/>
      <c r="P1019" s="155"/>
      <c r="Q1019" s="145"/>
    </row>
    <row r="1020" spans="1:17" s="146" customFormat="1" ht="15" customHeight="1" x14ac:dyDescent="0.25">
      <c r="A1020" s="151"/>
      <c r="B1020" s="152" t="s">
        <v>2141</v>
      </c>
      <c r="C1020" s="153"/>
      <c r="D1020" s="154"/>
      <c r="E1020" s="154"/>
      <c r="F1020" s="154"/>
      <c r="G1020" s="154"/>
      <c r="H1020" s="154"/>
      <c r="I1020" s="154"/>
      <c r="J1020" s="154"/>
      <c r="K1020" s="154"/>
      <c r="L1020" s="154"/>
      <c r="M1020" s="154"/>
      <c r="N1020" s="173"/>
      <c r="O1020" s="154">
        <f>QUANTBL!BC71</f>
        <v>239.98230699999988</v>
      </c>
      <c r="P1020" s="155"/>
      <c r="Q1020" s="145"/>
    </row>
    <row r="1021" spans="1:17" s="146" customFormat="1" ht="15" customHeight="1" x14ac:dyDescent="0.25">
      <c r="A1021" s="151"/>
      <c r="B1021" s="177" t="s">
        <v>2140</v>
      </c>
      <c r="C1021" s="153"/>
      <c r="D1021" s="154"/>
      <c r="E1021" s="154"/>
      <c r="F1021" s="154"/>
      <c r="G1021" s="154"/>
      <c r="H1021" s="154"/>
      <c r="I1021" s="154"/>
      <c r="J1021" s="154"/>
      <c r="K1021" s="154"/>
      <c r="L1021" s="154"/>
      <c r="M1021" s="154"/>
      <c r="N1021" s="173"/>
      <c r="O1021" s="154">
        <f>QUANTBL!BC70</f>
        <v>0</v>
      </c>
      <c r="P1021" s="155"/>
      <c r="Q1021" s="145"/>
    </row>
    <row r="1022" spans="1:17" s="150" customFormat="1" ht="15" customHeight="1" x14ac:dyDescent="0.25">
      <c r="A1022" s="175"/>
      <c r="B1022" s="178" t="str">
        <f>B1014</f>
        <v>BOCAS DE LOBO</v>
      </c>
      <c r="C1022" s="153"/>
      <c r="D1022" s="153"/>
      <c r="E1022" s="153"/>
      <c r="F1022" s="153"/>
      <c r="G1022" s="153"/>
      <c r="H1022" s="153"/>
      <c r="I1022" s="153"/>
      <c r="J1022" s="153"/>
      <c r="K1022" s="153"/>
      <c r="L1022" s="153"/>
      <c r="M1022" s="153"/>
      <c r="N1022" s="176"/>
      <c r="O1022" s="153"/>
      <c r="P1022" s="155"/>
      <c r="Q1022" s="145"/>
    </row>
    <row r="1023" spans="1:17" s="146" customFormat="1" ht="15" customHeight="1" x14ac:dyDescent="0.25">
      <c r="A1023" s="151"/>
      <c r="B1023" s="152" t="s">
        <v>2141</v>
      </c>
      <c r="C1023" s="153"/>
      <c r="D1023" s="154"/>
      <c r="E1023" s="154"/>
      <c r="F1023" s="154"/>
      <c r="G1023" s="154"/>
      <c r="H1023" s="154"/>
      <c r="I1023" s="154"/>
      <c r="J1023" s="154"/>
      <c r="K1023" s="154"/>
      <c r="L1023" s="154"/>
      <c r="M1023" s="154"/>
      <c r="N1023" s="173"/>
      <c r="O1023" s="154">
        <f>QUANTBL!CM72</f>
        <v>361.27734011999996</v>
      </c>
      <c r="P1023" s="155"/>
      <c r="Q1023" s="145"/>
    </row>
    <row r="1024" spans="1:17" s="146" customFormat="1" ht="15" customHeight="1" x14ac:dyDescent="0.25">
      <c r="A1024" s="151"/>
      <c r="B1024" s="177" t="s">
        <v>2140</v>
      </c>
      <c r="C1024" s="153"/>
      <c r="D1024" s="154"/>
      <c r="E1024" s="154"/>
      <c r="F1024" s="154"/>
      <c r="G1024" s="154"/>
      <c r="H1024" s="154"/>
      <c r="I1024" s="154"/>
      <c r="J1024" s="154"/>
      <c r="K1024" s="154"/>
      <c r="L1024" s="154"/>
      <c r="M1024" s="154"/>
      <c r="N1024" s="173"/>
      <c r="O1024" s="154">
        <f>QUANTBL!CM71</f>
        <v>7.2637599999999996</v>
      </c>
      <c r="P1024" s="155"/>
      <c r="Q1024" s="145"/>
    </row>
    <row r="1025" spans="1:19" s="146" customFormat="1" ht="15" customHeight="1" x14ac:dyDescent="0.25">
      <c r="A1025" s="151"/>
      <c r="B1025" s="177"/>
      <c r="C1025" s="153"/>
      <c r="D1025" s="154"/>
      <c r="E1025" s="154"/>
      <c r="F1025" s="154"/>
      <c r="G1025" s="154"/>
      <c r="H1025" s="154"/>
      <c r="I1025" s="154"/>
      <c r="J1025" s="154"/>
      <c r="K1025" s="154"/>
      <c r="L1025" s="154"/>
      <c r="M1025" s="154"/>
      <c r="N1025" s="173"/>
      <c r="O1025" s="154"/>
      <c r="P1025" s="155"/>
      <c r="Q1025" s="145"/>
    </row>
    <row r="1026" spans="1:19" s="150" customFormat="1" ht="15" customHeight="1" x14ac:dyDescent="0.25">
      <c r="A1026" s="175"/>
      <c r="B1026" s="178" t="s">
        <v>2250</v>
      </c>
      <c r="C1026" s="153"/>
      <c r="D1026" s="153"/>
      <c r="E1026" s="153"/>
      <c r="F1026" s="153"/>
      <c r="G1026" s="153"/>
      <c r="H1026" s="153"/>
      <c r="I1026" s="153"/>
      <c r="J1026" s="153"/>
      <c r="K1026" s="153"/>
      <c r="L1026" s="153"/>
      <c r="M1026" s="153"/>
      <c r="N1026" s="176"/>
      <c r="O1026" s="153"/>
      <c r="P1026" s="155"/>
      <c r="Q1026" s="145"/>
    </row>
    <row r="1027" spans="1:19" s="146" customFormat="1" ht="15" customHeight="1" x14ac:dyDescent="0.25">
      <c r="A1027" s="151"/>
      <c r="B1027" s="177" t="s">
        <v>2251</v>
      </c>
      <c r="C1027" s="153"/>
      <c r="D1027" s="154"/>
      <c r="E1027" s="154"/>
      <c r="F1027" s="154"/>
      <c r="G1027" s="154"/>
      <c r="H1027" s="154"/>
      <c r="I1027" s="154"/>
      <c r="J1027" s="154"/>
      <c r="K1027" s="154"/>
      <c r="L1027" s="154"/>
      <c r="M1027" s="154"/>
      <c r="N1027" s="173"/>
      <c r="O1027" s="154">
        <f>QUANTBL!AP69</f>
        <v>32.923999999999999</v>
      </c>
      <c r="P1027" s="155"/>
      <c r="Q1027" s="145"/>
    </row>
    <row r="1028" spans="1:19" s="146" customFormat="1" ht="15" customHeight="1" x14ac:dyDescent="0.25">
      <c r="A1028" s="151"/>
      <c r="B1028" s="177" t="s">
        <v>2252</v>
      </c>
      <c r="C1028" s="153"/>
      <c r="D1028" s="154"/>
      <c r="E1028" s="154"/>
      <c r="F1028" s="154"/>
      <c r="G1028" s="154"/>
      <c r="H1028" s="154"/>
      <c r="I1028" s="154"/>
      <c r="J1028" s="154"/>
      <c r="K1028" s="154"/>
      <c r="L1028" s="154"/>
      <c r="M1028" s="154"/>
      <c r="N1028" s="173"/>
      <c r="O1028" s="154">
        <f>QUANTBL!AS69</f>
        <v>47.273620347320957</v>
      </c>
      <c r="P1028" s="155"/>
      <c r="Q1028" s="145"/>
    </row>
    <row r="1029" spans="1:19" s="146" customFormat="1" ht="15" customHeight="1" x14ac:dyDescent="0.25">
      <c r="A1029" s="151"/>
      <c r="B1029" s="177" t="s">
        <v>2253</v>
      </c>
      <c r="C1029" s="153"/>
      <c r="D1029" s="154"/>
      <c r="E1029" s="154"/>
      <c r="F1029" s="154"/>
      <c r="G1029" s="154"/>
      <c r="H1029" s="154"/>
      <c r="I1029" s="154"/>
      <c r="J1029" s="154"/>
      <c r="K1029" s="154"/>
      <c r="L1029" s="154"/>
      <c r="M1029" s="154"/>
      <c r="N1029" s="173"/>
      <c r="O1029" s="154">
        <f>QUANTBL!BA69</f>
        <v>113.85854494192243</v>
      </c>
      <c r="P1029" s="155"/>
      <c r="Q1029" s="145"/>
    </row>
    <row r="1030" spans="1:19" s="146" customFormat="1" ht="21" x14ac:dyDescent="0.25">
      <c r="A1030" s="151"/>
      <c r="B1030" s="152" t="s">
        <v>2229</v>
      </c>
      <c r="C1030" s="153"/>
      <c r="D1030" s="154"/>
      <c r="E1030" s="154"/>
      <c r="F1030" s="154"/>
      <c r="G1030" s="154"/>
      <c r="H1030" s="154"/>
      <c r="I1030" s="154"/>
      <c r="J1030" s="154"/>
      <c r="K1030" s="154"/>
      <c r="L1030" s="154"/>
      <c r="M1030" s="154"/>
      <c r="N1030" s="173"/>
      <c r="O1030" s="154">
        <f>O954</f>
        <v>21.596499999999995</v>
      </c>
      <c r="P1030" s="155"/>
      <c r="Q1030" s="145"/>
    </row>
    <row r="1031" spans="1:19" s="146" customFormat="1" ht="10.5" x14ac:dyDescent="0.25">
      <c r="A1031" s="151"/>
      <c r="B1031" s="152"/>
      <c r="C1031" s="153"/>
      <c r="D1031" s="154"/>
      <c r="E1031" s="154"/>
      <c r="F1031" s="154"/>
      <c r="G1031" s="154"/>
      <c r="H1031" s="154"/>
      <c r="I1031" s="154"/>
      <c r="J1031" s="154"/>
      <c r="K1031" s="154"/>
      <c r="L1031" s="154"/>
      <c r="M1031" s="154"/>
      <c r="N1031" s="173"/>
      <c r="O1031" s="154"/>
      <c r="P1031" s="155"/>
      <c r="Q1031" s="145"/>
    </row>
    <row r="1032" spans="1:19" s="146" customFormat="1" ht="15" customHeight="1" x14ac:dyDescent="0.25">
      <c r="A1032" s="151"/>
      <c r="B1032" s="157" t="s">
        <v>377</v>
      </c>
      <c r="C1032" s="158" t="s">
        <v>402</v>
      </c>
      <c r="D1032" s="158"/>
      <c r="E1032" s="158"/>
      <c r="F1032" s="158"/>
      <c r="G1032" s="158"/>
      <c r="H1032" s="158"/>
      <c r="I1032" s="158"/>
      <c r="J1032" s="158"/>
      <c r="K1032" s="154"/>
      <c r="L1032" s="158"/>
      <c r="M1032" s="158"/>
      <c r="N1032" s="153"/>
      <c r="O1032" s="153">
        <f>SUM(O1018:O1031)</f>
        <v>824.17607240924326</v>
      </c>
      <c r="P1032" s="159"/>
      <c r="Q1032" s="145"/>
    </row>
    <row r="1033" spans="1:19" s="164" customFormat="1" ht="31.5" x14ac:dyDescent="0.35">
      <c r="A1033" s="147" t="str">
        <f>ORÇAMENTO!A235</f>
        <v>4.1.2.6.37</v>
      </c>
      <c r="B1033" s="148" t="str">
        <f>VLOOKUP(A1033,ORÇAMENTO!$A:$F,4,0)</f>
        <v>TRANSPORTE COM CAMINHÃO BASCULANTE DE 14 M³, EM VIA URBANA PAVIMENTADA, DMT ATÉ 30 KM (UNIDADE: M3XKM). AF_07/2020</v>
      </c>
      <c r="C1033" s="149" t="str">
        <f>VLOOKUP(A1033,ORÇAMENTO!$A:$F,5,0)</f>
        <v>M3XKM</v>
      </c>
      <c r="D1033" s="149">
        <f>SUM(E1039:O1039)</f>
        <v>18847.383846657842</v>
      </c>
      <c r="E1033" s="149" t="s">
        <v>2177</v>
      </c>
      <c r="F1033" s="149" t="s">
        <v>2150</v>
      </c>
      <c r="G1033" s="149" t="s">
        <v>2151</v>
      </c>
      <c r="H1033" s="149" t="s">
        <v>2152</v>
      </c>
      <c r="I1033" s="149" t="s">
        <v>2153</v>
      </c>
      <c r="J1033" s="149" t="s">
        <v>2154</v>
      </c>
      <c r="K1033" s="149" t="s">
        <v>2172</v>
      </c>
      <c r="L1033" s="149" t="s">
        <v>2178</v>
      </c>
      <c r="M1033" s="149" t="s">
        <v>2175</v>
      </c>
      <c r="N1033" s="149" t="s">
        <v>2157</v>
      </c>
      <c r="O1033" s="149" t="s">
        <v>2158</v>
      </c>
      <c r="P1033" s="145"/>
      <c r="Q1033" s="145"/>
      <c r="R1033" s="145"/>
      <c r="S1033" s="145"/>
    </row>
    <row r="1034" spans="1:19" s="146" customFormat="1" ht="21" x14ac:dyDescent="0.25">
      <c r="A1034" s="151"/>
      <c r="B1034" s="152" t="s">
        <v>2209</v>
      </c>
      <c r="C1034" s="153"/>
      <c r="D1034" s="154"/>
      <c r="E1034" s="154">
        <v>30</v>
      </c>
      <c r="F1034" s="154"/>
      <c r="G1034" s="154"/>
      <c r="H1034" s="154"/>
      <c r="I1034" s="154"/>
      <c r="J1034" s="154"/>
      <c r="K1034" s="154"/>
      <c r="L1034" s="165"/>
      <c r="M1034" s="154">
        <f>E1034*O1034</f>
        <v>18037.789413599996</v>
      </c>
      <c r="N1034" s="154"/>
      <c r="O1034" s="154">
        <f>O1020+O1023</f>
        <v>601.25964711999984</v>
      </c>
      <c r="P1034" s="155"/>
      <c r="Q1034" s="145"/>
    </row>
    <row r="1035" spans="1:19" s="146" customFormat="1" ht="21" x14ac:dyDescent="0.25">
      <c r="A1035" s="151"/>
      <c r="B1035" s="152" t="s">
        <v>2210</v>
      </c>
      <c r="C1035" s="153"/>
      <c r="D1035" s="154"/>
      <c r="E1035" s="154">
        <v>30</v>
      </c>
      <c r="F1035" s="154"/>
      <c r="G1035" s="154"/>
      <c r="H1035" s="154"/>
      <c r="I1035" s="154"/>
      <c r="J1035" s="154"/>
      <c r="K1035" s="154"/>
      <c r="L1035" s="165"/>
      <c r="M1035" s="154">
        <f>E1035*O1035</f>
        <v>217.91279999999998</v>
      </c>
      <c r="N1035" s="154"/>
      <c r="O1035" s="154">
        <f>O1021+O1024</f>
        <v>7.2637599999999996</v>
      </c>
      <c r="P1035" s="155"/>
      <c r="Q1035" s="145"/>
    </row>
    <row r="1036" spans="1:19" s="146" customFormat="1" ht="10.5" x14ac:dyDescent="0.25">
      <c r="A1036" s="151"/>
      <c r="B1036" s="152"/>
      <c r="C1036" s="153"/>
      <c r="D1036" s="154"/>
      <c r="E1036" s="154"/>
      <c r="F1036" s="154"/>
      <c r="G1036" s="154"/>
      <c r="H1036" s="154"/>
      <c r="I1036" s="154"/>
      <c r="J1036" s="154"/>
      <c r="K1036" s="154"/>
      <c r="L1036" s="165"/>
      <c r="M1036" s="154"/>
      <c r="N1036" s="154"/>
      <c r="O1036" s="154"/>
      <c r="P1036" s="155"/>
      <c r="Q1036" s="145"/>
    </row>
    <row r="1037" spans="1:19" s="146" customFormat="1" ht="21" x14ac:dyDescent="0.25">
      <c r="A1037" s="151"/>
      <c r="B1037" s="152" t="s">
        <v>2231</v>
      </c>
      <c r="C1037" s="153"/>
      <c r="D1037" s="154"/>
      <c r="E1037" s="154">
        <v>0.2</v>
      </c>
      <c r="F1037" s="154"/>
      <c r="G1037" s="154"/>
      <c r="H1037" s="154"/>
      <c r="I1037" s="154"/>
      <c r="J1037" s="154"/>
      <c r="K1037" s="154"/>
      <c r="L1037" s="165"/>
      <c r="M1037" s="154">
        <f>E1037*O1037</f>
        <v>38.811233057848682</v>
      </c>
      <c r="N1037" s="154"/>
      <c r="O1037" s="154">
        <f>SUM(O1027:O1029)</f>
        <v>194.05616528924338</v>
      </c>
      <c r="P1037" s="155"/>
      <c r="Q1037" s="145"/>
    </row>
    <row r="1038" spans="1:19" s="146" customFormat="1" ht="31.5" x14ac:dyDescent="0.25">
      <c r="A1038" s="151"/>
      <c r="B1038" s="152" t="s">
        <v>2234</v>
      </c>
      <c r="C1038" s="160"/>
      <c r="D1038" s="161"/>
      <c r="E1038" s="161">
        <v>25.6</v>
      </c>
      <c r="F1038" s="154"/>
      <c r="G1038" s="154"/>
      <c r="H1038" s="154"/>
      <c r="I1038" s="154"/>
      <c r="J1038" s="154"/>
      <c r="K1038" s="154"/>
      <c r="L1038" s="165"/>
      <c r="M1038" s="154">
        <f>E1038*O1038</f>
        <v>552.8703999999999</v>
      </c>
      <c r="N1038" s="154"/>
      <c r="O1038" s="154">
        <f>O1030</f>
        <v>21.596499999999995</v>
      </c>
      <c r="P1038" s="155"/>
      <c r="Q1038" s="145"/>
    </row>
    <row r="1039" spans="1:19" s="146" customFormat="1" ht="15" customHeight="1" x14ac:dyDescent="0.25">
      <c r="A1039" s="151"/>
      <c r="B1039" s="157" t="s">
        <v>377</v>
      </c>
      <c r="C1039" s="158" t="s">
        <v>402</v>
      </c>
      <c r="D1039" s="158"/>
      <c r="E1039" s="158"/>
      <c r="F1039" s="158"/>
      <c r="G1039" s="158"/>
      <c r="H1039" s="158"/>
      <c r="I1039" s="158"/>
      <c r="J1039" s="158"/>
      <c r="K1039" s="158"/>
      <c r="L1039" s="158"/>
      <c r="M1039" s="158">
        <f>SUM(M1034:M1038)</f>
        <v>18847.383846657842</v>
      </c>
      <c r="N1039" s="158"/>
      <c r="O1039" s="158"/>
      <c r="P1039" s="159"/>
      <c r="Q1039" s="145"/>
    </row>
    <row r="1040" spans="1:19" s="164" customFormat="1" ht="42" x14ac:dyDescent="0.35">
      <c r="A1040" s="147" t="str">
        <f>ORÇAMENTO!A236</f>
        <v>4.1.2.6.38</v>
      </c>
      <c r="B1040" s="148" t="str">
        <f>VLOOKUP(A1040,ORÇAMENTO!$A:$F,4,0)</f>
        <v>TRANSPORTE COM CAMINHÃO BASCULANTE DE 14 M³, EM VIA URBANA PAVIMENTADA, ADICIONAL PARA DMT EXCEDENTE A 30 KM (UNIDADE: M3XKM). AF_07/2020</v>
      </c>
      <c r="C1040" s="149" t="str">
        <f>VLOOKUP(A1040,ORÇAMENTO!$A:$F,5,0)</f>
        <v>M3XKM</v>
      </c>
      <c r="D1040" s="149">
        <f>SUM(E1043:O1043)</f>
        <v>8863.3034371039994</v>
      </c>
      <c r="E1040" s="149" t="s">
        <v>2177</v>
      </c>
      <c r="F1040" s="149" t="s">
        <v>2150</v>
      </c>
      <c r="G1040" s="149" t="s">
        <v>2151</v>
      </c>
      <c r="H1040" s="149" t="s">
        <v>2152</v>
      </c>
      <c r="I1040" s="149" t="s">
        <v>2153</v>
      </c>
      <c r="J1040" s="149" t="s">
        <v>2154</v>
      </c>
      <c r="K1040" s="149" t="s">
        <v>2172</v>
      </c>
      <c r="L1040" s="149" t="s">
        <v>2178</v>
      </c>
      <c r="M1040" s="149" t="s">
        <v>2175</v>
      </c>
      <c r="N1040" s="149" t="s">
        <v>2157</v>
      </c>
      <c r="O1040" s="149" t="s">
        <v>2158</v>
      </c>
      <c r="P1040" s="145"/>
      <c r="Q1040" s="145"/>
      <c r="R1040" s="145"/>
      <c r="S1040" s="145"/>
    </row>
    <row r="1041" spans="1:19" s="146" customFormat="1" ht="21" x14ac:dyDescent="0.25">
      <c r="A1041" s="151"/>
      <c r="B1041" s="152" t="str">
        <f>B1034</f>
        <v>TRANSPORTE ATÉ ATERRO ESTRUTURAL - BOTA FORA - MATERIAL NÃO APROVEITADO</v>
      </c>
      <c r="C1041" s="153"/>
      <c r="D1041" s="154"/>
      <c r="E1041" s="154">
        <f>44.2-E1034</f>
        <v>14.200000000000003</v>
      </c>
      <c r="F1041" s="154"/>
      <c r="G1041" s="154"/>
      <c r="H1041" s="154"/>
      <c r="I1041" s="154"/>
      <c r="J1041" s="154"/>
      <c r="K1041" s="154"/>
      <c r="L1041" s="165"/>
      <c r="M1041" s="154">
        <f>E1041*O1041</f>
        <v>8537.8869891039994</v>
      </c>
      <c r="N1041" s="154"/>
      <c r="O1041" s="154">
        <f>O1034</f>
        <v>601.25964711999984</v>
      </c>
      <c r="P1041" s="155"/>
      <c r="Q1041" s="145"/>
    </row>
    <row r="1042" spans="1:19" s="146" customFormat="1" ht="21" x14ac:dyDescent="0.25">
      <c r="A1042" s="151"/>
      <c r="B1042" s="152" t="str">
        <f>B1035</f>
        <v>TRANSPORTE ATÉ ATERRO SAMAMBIA - BOTA FORA - ROCHA</v>
      </c>
      <c r="C1042" s="153"/>
      <c r="D1042" s="154"/>
      <c r="E1042" s="154">
        <f>74.8-E1035</f>
        <v>44.8</v>
      </c>
      <c r="F1042" s="154"/>
      <c r="G1042" s="154"/>
      <c r="H1042" s="154"/>
      <c r="I1042" s="154"/>
      <c r="J1042" s="154"/>
      <c r="K1042" s="154"/>
      <c r="L1042" s="165"/>
      <c r="M1042" s="154">
        <f>E1042*O1042</f>
        <v>325.41644799999995</v>
      </c>
      <c r="N1042" s="154"/>
      <c r="O1042" s="154">
        <f>O1035</f>
        <v>7.2637599999999996</v>
      </c>
      <c r="P1042" s="155"/>
      <c r="Q1042" s="145"/>
    </row>
    <row r="1043" spans="1:19" s="146" customFormat="1" ht="15" customHeight="1" x14ac:dyDescent="0.25">
      <c r="A1043" s="151"/>
      <c r="B1043" s="157" t="s">
        <v>377</v>
      </c>
      <c r="C1043" s="158" t="s">
        <v>402</v>
      </c>
      <c r="D1043" s="158"/>
      <c r="E1043" s="158"/>
      <c r="F1043" s="158"/>
      <c r="G1043" s="158"/>
      <c r="H1043" s="158"/>
      <c r="I1043" s="158"/>
      <c r="J1043" s="158"/>
      <c r="K1043" s="158"/>
      <c r="L1043" s="158"/>
      <c r="M1043" s="158">
        <f>SUM(M1041:M1042)</f>
        <v>8863.3034371039994</v>
      </c>
      <c r="N1043" s="158"/>
      <c r="O1043" s="158"/>
      <c r="P1043" s="159"/>
      <c r="Q1043" s="145"/>
    </row>
    <row r="1044" spans="1:19" s="164" customFormat="1" ht="21" x14ac:dyDescent="0.35">
      <c r="A1044" s="147" t="str">
        <f>ORÇAMENTO!A237</f>
        <v>4.1.2.6.39</v>
      </c>
      <c r="B1044" s="148" t="str">
        <f>VLOOKUP(A1044,ORÇAMENTO!$A:$F,4,0)</f>
        <v>ESPALHAMENTO DE MATERIAL COM TRATOR DE ESTEIRAS. AF_09/2024</v>
      </c>
      <c r="C1044" s="149" t="str">
        <f>VLOOKUP(A1044,ORÇAMENTO!$A:$F,5,0)</f>
        <v>M³</v>
      </c>
      <c r="D1044" s="149">
        <f>SUM(E1046:O1046)</f>
        <v>608.52340711999989</v>
      </c>
      <c r="E1044" s="149" t="s">
        <v>2177</v>
      </c>
      <c r="F1044" s="149" t="s">
        <v>2150</v>
      </c>
      <c r="G1044" s="149" t="s">
        <v>2151</v>
      </c>
      <c r="H1044" s="149" t="s">
        <v>2152</v>
      </c>
      <c r="I1044" s="149" t="s">
        <v>2153</v>
      </c>
      <c r="J1044" s="149" t="s">
        <v>2154</v>
      </c>
      <c r="K1044" s="149" t="s">
        <v>2172</v>
      </c>
      <c r="L1044" s="149" t="s">
        <v>2178</v>
      </c>
      <c r="M1044" s="149" t="s">
        <v>2175</v>
      </c>
      <c r="N1044" s="149" t="s">
        <v>2157</v>
      </c>
      <c r="O1044" s="149" t="s">
        <v>2158</v>
      </c>
      <c r="P1044" s="145"/>
      <c r="Q1044" s="145"/>
      <c r="R1044" s="145"/>
      <c r="S1044" s="145"/>
    </row>
    <row r="1045" spans="1:19" s="146" customFormat="1" ht="15" customHeight="1" x14ac:dyDescent="0.25">
      <c r="A1045" s="151"/>
      <c r="B1045" s="152" t="s">
        <v>2211</v>
      </c>
      <c r="C1045" s="153"/>
      <c r="D1045" s="154"/>
      <c r="E1045" s="154"/>
      <c r="F1045" s="154"/>
      <c r="G1045" s="154"/>
      <c r="H1045" s="154"/>
      <c r="I1045" s="154"/>
      <c r="J1045" s="154"/>
      <c r="K1045" s="154"/>
      <c r="L1045" s="165"/>
      <c r="M1045" s="154"/>
      <c r="N1045" s="154"/>
      <c r="O1045" s="154">
        <f>SUM(O1041:O1042)</f>
        <v>608.52340711999989</v>
      </c>
      <c r="P1045" s="155"/>
      <c r="Q1045" s="145"/>
    </row>
    <row r="1046" spans="1:19" s="146" customFormat="1" ht="15" customHeight="1" x14ac:dyDescent="0.25">
      <c r="A1046" s="151"/>
      <c r="B1046" s="157" t="s">
        <v>377</v>
      </c>
      <c r="C1046" s="158" t="s">
        <v>402</v>
      </c>
      <c r="D1046" s="158"/>
      <c r="E1046" s="158"/>
      <c r="F1046" s="158"/>
      <c r="G1046" s="158"/>
      <c r="H1046" s="158"/>
      <c r="I1046" s="158"/>
      <c r="J1046" s="158"/>
      <c r="K1046" s="158"/>
      <c r="L1046" s="158"/>
      <c r="M1046" s="158"/>
      <c r="N1046" s="158"/>
      <c r="O1046" s="158">
        <f>SUM(O1045)</f>
        <v>608.52340711999989</v>
      </c>
      <c r="P1046" s="159"/>
      <c r="Q1046" s="145"/>
    </row>
    <row r="1047" spans="1:19" s="150" customFormat="1" ht="31.5" x14ac:dyDescent="0.25">
      <c r="A1047" s="147" t="str">
        <f>ORÇAMENTO!A238</f>
        <v>4.1.2.6.40</v>
      </c>
      <c r="B1047" s="148" t="str">
        <f>VLOOKUP(A1047,ORÇAMENTO!$A:$F,4,0)</f>
        <v>EXECUÇÃO DE SARJETA DE CONCRETO USINADO, MOLDADA  IN LOCO  EM TRECHO RETO, 60 CM BASE X 15 CM ALTURA. AF_01/2024</v>
      </c>
      <c r="C1047" s="149" t="str">
        <f>VLOOKUP(A1047,ORÇAMENTO!$A:$F,5,0)</f>
        <v>M</v>
      </c>
      <c r="D1047" s="149">
        <f>ROUND(SUM(E1050:O1050),2)</f>
        <v>193.97</v>
      </c>
      <c r="E1047" s="149" t="s">
        <v>2149</v>
      </c>
      <c r="F1047" s="149" t="s">
        <v>2150</v>
      </c>
      <c r="G1047" s="149" t="s">
        <v>2151</v>
      </c>
      <c r="H1047" s="149" t="s">
        <v>2152</v>
      </c>
      <c r="I1047" s="149" t="s">
        <v>2153</v>
      </c>
      <c r="J1047" s="149" t="s">
        <v>2154</v>
      </c>
      <c r="K1047" s="149" t="s">
        <v>2155</v>
      </c>
      <c r="L1047" s="149" t="s">
        <v>2239</v>
      </c>
      <c r="M1047" s="149" t="s">
        <v>413</v>
      </c>
      <c r="N1047" s="149" t="s">
        <v>2244</v>
      </c>
      <c r="O1047" s="149" t="s">
        <v>2158</v>
      </c>
      <c r="P1047" s="145"/>
      <c r="Q1047" s="145"/>
    </row>
    <row r="1048" spans="1:19" s="146" customFormat="1" ht="10.5" x14ac:dyDescent="0.25">
      <c r="A1048" s="151"/>
      <c r="B1048" s="152"/>
      <c r="C1048" s="153"/>
      <c r="D1048" s="154"/>
      <c r="E1048" s="154">
        <f>QUANTBL!CX69</f>
        <v>193.96999999999977</v>
      </c>
      <c r="F1048" s="154"/>
      <c r="G1048" s="154"/>
      <c r="H1048" s="154"/>
      <c r="I1048" s="154"/>
      <c r="J1048" s="154"/>
      <c r="K1048" s="154"/>
      <c r="L1048" s="154"/>
      <c r="M1048" s="154"/>
      <c r="N1048" s="173"/>
      <c r="O1048" s="154"/>
      <c r="P1048" s="155"/>
      <c r="Q1048" s="145"/>
    </row>
    <row r="1049" spans="1:19" s="146" customFormat="1" ht="10.5" x14ac:dyDescent="0.25">
      <c r="A1049" s="151"/>
      <c r="B1049" s="152"/>
      <c r="C1049" s="153"/>
      <c r="D1049" s="154"/>
      <c r="E1049" s="154"/>
      <c r="F1049" s="154"/>
      <c r="G1049" s="154"/>
      <c r="H1049" s="154"/>
      <c r="I1049" s="154"/>
      <c r="J1049" s="154"/>
      <c r="K1049" s="154"/>
      <c r="L1049" s="154"/>
      <c r="M1049" s="154"/>
      <c r="N1049" s="173"/>
      <c r="O1049" s="154"/>
      <c r="P1049" s="155"/>
      <c r="Q1049" s="145"/>
    </row>
    <row r="1050" spans="1:19" s="146" customFormat="1" ht="10.5" x14ac:dyDescent="0.25">
      <c r="A1050" s="151"/>
      <c r="B1050" s="157" t="s">
        <v>377</v>
      </c>
      <c r="C1050" s="158"/>
      <c r="D1050" s="158"/>
      <c r="E1050" s="158">
        <f>SUM(E1048:E1049)</f>
        <v>193.96999999999977</v>
      </c>
      <c r="F1050" s="158"/>
      <c r="G1050" s="158"/>
      <c r="H1050" s="158"/>
      <c r="I1050" s="158"/>
      <c r="J1050" s="158"/>
      <c r="K1050" s="153"/>
      <c r="L1050" s="158"/>
      <c r="M1050" s="158"/>
      <c r="N1050" s="153"/>
      <c r="O1050" s="153"/>
      <c r="P1050" s="159"/>
      <c r="Q1050" s="145"/>
    </row>
    <row r="1051" spans="1:19" s="150" customFormat="1" ht="42" x14ac:dyDescent="0.25">
      <c r="A1051" s="147" t="str">
        <f>ORÇAMENTO!A239</f>
        <v>4.1.2.6.41</v>
      </c>
      <c r="B1051" s="148" t="str">
        <f>VLOOKUP(A1051,ORÇAMENTO!$A:$F,4,0)</f>
        <v>CONCRETO MAGRO PARA LASTRO, TRAÇO 1:4,5:4,5 (EM MASSA SECA DE CIMENTO/ AREIA MÉDIA/ BRITA 1) - PREPARO MECÂNICO COM BETONEIRA 600 L. AF_05/2021</v>
      </c>
      <c r="C1051" s="149" t="str">
        <f>VLOOKUP(A1051,ORÇAMENTO!$A:$F,5,0)</f>
        <v>M³</v>
      </c>
      <c r="D1051" s="149">
        <f>ROUND(SUM(E1054:O1054),2)</f>
        <v>18.02</v>
      </c>
      <c r="E1051" s="149" t="s">
        <v>2149</v>
      </c>
      <c r="F1051" s="149" t="s">
        <v>2150</v>
      </c>
      <c r="G1051" s="149" t="s">
        <v>2151</v>
      </c>
      <c r="H1051" s="149" t="s">
        <v>2152</v>
      </c>
      <c r="I1051" s="149" t="s">
        <v>2153</v>
      </c>
      <c r="J1051" s="149" t="s">
        <v>2154</v>
      </c>
      <c r="K1051" s="149" t="s">
        <v>2155</v>
      </c>
      <c r="L1051" s="149" t="s">
        <v>2239</v>
      </c>
      <c r="M1051" s="149" t="s">
        <v>413</v>
      </c>
      <c r="N1051" s="149" t="s">
        <v>2244</v>
      </c>
      <c r="O1051" s="149" t="s">
        <v>2158</v>
      </c>
      <c r="P1051" s="145"/>
      <c r="Q1051" s="145"/>
    </row>
    <row r="1052" spans="1:19" s="146" customFormat="1" ht="15" customHeight="1" x14ac:dyDescent="0.25">
      <c r="A1052" s="151"/>
      <c r="B1052" s="152" t="s">
        <v>2254</v>
      </c>
      <c r="C1052" s="153"/>
      <c r="D1052" s="154"/>
      <c r="E1052" s="154"/>
      <c r="F1052" s="154"/>
      <c r="G1052" s="154"/>
      <c r="H1052" s="154"/>
      <c r="I1052" s="154"/>
      <c r="J1052" s="154"/>
      <c r="K1052" s="154"/>
      <c r="L1052" s="154"/>
      <c r="M1052" s="154"/>
      <c r="N1052" s="173"/>
      <c r="O1052" s="154">
        <f>QUANTBL!CT69</f>
        <v>18.015730000000005</v>
      </c>
      <c r="P1052" s="155"/>
      <c r="Q1052" s="145"/>
    </row>
    <row r="1053" spans="1:19" s="146" customFormat="1" ht="15" customHeight="1" x14ac:dyDescent="0.25">
      <c r="A1053" s="151"/>
      <c r="B1053" s="152"/>
      <c r="C1053" s="153"/>
      <c r="D1053" s="154"/>
      <c r="E1053" s="154"/>
      <c r="F1053" s="154"/>
      <c r="G1053" s="154"/>
      <c r="H1053" s="154"/>
      <c r="I1053" s="154"/>
      <c r="J1053" s="154"/>
      <c r="K1053" s="154"/>
      <c r="L1053" s="154"/>
      <c r="M1053" s="154"/>
      <c r="N1053" s="173"/>
      <c r="O1053" s="154"/>
      <c r="P1053" s="155"/>
      <c r="Q1053" s="145"/>
    </row>
    <row r="1054" spans="1:19" s="146" customFormat="1" ht="15" customHeight="1" x14ac:dyDescent="0.25">
      <c r="A1054" s="151"/>
      <c r="B1054" s="157" t="s">
        <v>377</v>
      </c>
      <c r="C1054" s="158" t="s">
        <v>402</v>
      </c>
      <c r="D1054" s="158"/>
      <c r="E1054" s="158"/>
      <c r="F1054" s="158"/>
      <c r="G1054" s="158"/>
      <c r="H1054" s="158"/>
      <c r="I1054" s="158"/>
      <c r="J1054" s="158"/>
      <c r="K1054" s="153"/>
      <c r="L1054" s="158"/>
      <c r="M1054" s="158"/>
      <c r="N1054" s="153"/>
      <c r="O1054" s="153">
        <f>SUM(O1052:O1053)</f>
        <v>18.015730000000005</v>
      </c>
      <c r="P1054" s="159"/>
      <c r="Q1054" s="145"/>
    </row>
    <row r="1055" spans="1:19" s="150" customFormat="1" ht="21" x14ac:dyDescent="0.25">
      <c r="A1055" s="147" t="str">
        <f>ORÇAMENTO!A240</f>
        <v>4.1.2.6.42</v>
      </c>
      <c r="B1055" s="148" t="str">
        <f>VLOOKUP(A1055,ORÇAMENTO!$A:$F,4,0)</f>
        <v>ARMAÇÃO EM AÇO CA-50 - FORNECIMENTO, PREPARO E COLOCAÇÃO</v>
      </c>
      <c r="C1055" s="149" t="str">
        <f>VLOOKUP(A1055,ORÇAMENTO!$A:$F,5,0)</f>
        <v>KG</v>
      </c>
      <c r="D1055" s="149">
        <f>ROUND(SUM(E1070:O1070),2)</f>
        <v>1632</v>
      </c>
      <c r="E1055" s="149" t="s">
        <v>2149</v>
      </c>
      <c r="F1055" s="149" t="s">
        <v>2150</v>
      </c>
      <c r="G1055" s="149" t="s">
        <v>2151</v>
      </c>
      <c r="H1055" s="149" t="s">
        <v>2152</v>
      </c>
      <c r="I1055" s="149" t="s">
        <v>2153</v>
      </c>
      <c r="J1055" s="149" t="s">
        <v>2154</v>
      </c>
      <c r="K1055" s="149" t="s">
        <v>2155</v>
      </c>
      <c r="L1055" s="149" t="s">
        <v>2239</v>
      </c>
      <c r="M1055" s="149" t="s">
        <v>413</v>
      </c>
      <c r="N1055" s="149" t="s">
        <v>2255</v>
      </c>
      <c r="O1055" s="149" t="s">
        <v>2158</v>
      </c>
      <c r="P1055" s="145"/>
      <c r="Q1055" s="145"/>
    </row>
    <row r="1056" spans="1:19" s="146" customFormat="1" ht="10.5" x14ac:dyDescent="0.25">
      <c r="A1056" s="151"/>
      <c r="B1056" s="152" t="s">
        <v>2256</v>
      </c>
      <c r="C1056" s="153"/>
      <c r="D1056" s="154"/>
      <c r="E1056" s="154"/>
      <c r="F1056" s="154"/>
      <c r="G1056" s="154"/>
      <c r="H1056" s="154"/>
      <c r="I1056" s="154"/>
      <c r="J1056" s="154"/>
      <c r="K1056" s="154"/>
      <c r="L1056" s="154"/>
      <c r="M1056" s="154"/>
      <c r="N1056" s="173"/>
      <c r="O1056" s="154"/>
      <c r="P1056" s="155"/>
      <c r="Q1056" s="145"/>
    </row>
    <row r="1057" spans="1:17" s="146" customFormat="1" ht="21" x14ac:dyDescent="0.25">
      <c r="A1057" s="151"/>
      <c r="B1057" s="152" t="str">
        <f t="shared" ref="B1057:B1068" si="16">B452</f>
        <v>BOCA DE LOBO SIMPLES EXISTENTE COM BOCA DE LOBO DUPLA PROJETADA</v>
      </c>
      <c r="C1057" s="153"/>
      <c r="D1057" s="154"/>
      <c r="E1057" s="154"/>
      <c r="F1057" s="154"/>
      <c r="G1057" s="154"/>
      <c r="H1057" s="154"/>
      <c r="I1057" s="154"/>
      <c r="J1057" s="154"/>
      <c r="K1057" s="154">
        <v>24</v>
      </c>
      <c r="L1057" s="154"/>
      <c r="M1057" s="154">
        <f t="shared" ref="M1057:M1068" si="17">K452</f>
        <v>0</v>
      </c>
      <c r="N1057" s="173">
        <f t="shared" ref="N1057:N1068" si="18">M1057*K1057</f>
        <v>0</v>
      </c>
      <c r="O1057" s="154"/>
      <c r="P1057" s="155"/>
      <c r="Q1057" s="145"/>
    </row>
    <row r="1058" spans="1:17" s="146" customFormat="1" ht="21" x14ac:dyDescent="0.25">
      <c r="A1058" s="151"/>
      <c r="B1058" s="152" t="str">
        <f t="shared" si="16"/>
        <v>BOCA DE LOBO SIMPLES EXISTENTE COM BOCA DE LOBO SIMPLES PROJETADA</v>
      </c>
      <c r="C1058" s="153"/>
      <c r="D1058" s="154"/>
      <c r="E1058" s="154"/>
      <c r="F1058" s="154"/>
      <c r="G1058" s="154"/>
      <c r="H1058" s="154"/>
      <c r="I1058" s="154"/>
      <c r="J1058" s="154"/>
      <c r="K1058" s="154">
        <v>16</v>
      </c>
      <c r="L1058" s="154"/>
      <c r="M1058" s="154">
        <f t="shared" si="17"/>
        <v>0</v>
      </c>
      <c r="N1058" s="173">
        <f t="shared" si="18"/>
        <v>0</v>
      </c>
      <c r="O1058" s="154"/>
      <c r="P1058" s="155"/>
      <c r="Q1058" s="145"/>
    </row>
    <row r="1059" spans="1:17" s="146" customFormat="1" ht="21" x14ac:dyDescent="0.25">
      <c r="A1059" s="151"/>
      <c r="B1059" s="152" t="str">
        <f t="shared" si="16"/>
        <v>BOCA DE LOBO SIMPLES EXISTENTE COM BOCA DE LOBO TRIPLA PROJETADA</v>
      </c>
      <c r="C1059" s="153"/>
      <c r="D1059" s="154"/>
      <c r="E1059" s="154"/>
      <c r="F1059" s="154"/>
      <c r="G1059" s="154"/>
      <c r="H1059" s="154"/>
      <c r="I1059" s="154"/>
      <c r="J1059" s="154"/>
      <c r="K1059" s="154">
        <v>32</v>
      </c>
      <c r="L1059" s="154"/>
      <c r="M1059" s="154">
        <f t="shared" si="17"/>
        <v>0</v>
      </c>
      <c r="N1059" s="173">
        <f t="shared" si="18"/>
        <v>0</v>
      </c>
      <c r="O1059" s="154"/>
      <c r="P1059" s="155"/>
      <c r="Q1059" s="145"/>
    </row>
    <row r="1060" spans="1:17" s="146" customFormat="1" ht="21" x14ac:dyDescent="0.25">
      <c r="A1060" s="151"/>
      <c r="B1060" s="152" t="str">
        <f t="shared" si="16"/>
        <v>BOCA DE LOBO DUPLA EXISTENTE COM BOCA DE LOBO SIMPLES PROJETADA</v>
      </c>
      <c r="C1060" s="153"/>
      <c r="D1060" s="154"/>
      <c r="E1060" s="154"/>
      <c r="F1060" s="154"/>
      <c r="G1060" s="154"/>
      <c r="H1060" s="154"/>
      <c r="I1060" s="154"/>
      <c r="J1060" s="154"/>
      <c r="K1060" s="154">
        <v>16</v>
      </c>
      <c r="L1060" s="154"/>
      <c r="M1060" s="154">
        <f t="shared" si="17"/>
        <v>0</v>
      </c>
      <c r="N1060" s="173">
        <f t="shared" si="18"/>
        <v>0</v>
      </c>
      <c r="O1060" s="154"/>
      <c r="P1060" s="155"/>
      <c r="Q1060" s="145"/>
    </row>
    <row r="1061" spans="1:17" s="146" customFormat="1" ht="21" x14ac:dyDescent="0.25">
      <c r="A1061" s="151"/>
      <c r="B1061" s="152" t="str">
        <f t="shared" si="16"/>
        <v>BOCA DE LOBO DUPLA EXISTENTE COM BOCA DE LOBO DUPLA PROJETADA</v>
      </c>
      <c r="C1061" s="153"/>
      <c r="D1061" s="154"/>
      <c r="E1061" s="154"/>
      <c r="F1061" s="154"/>
      <c r="G1061" s="154"/>
      <c r="H1061" s="154"/>
      <c r="I1061" s="154"/>
      <c r="J1061" s="154"/>
      <c r="K1061" s="154">
        <v>24</v>
      </c>
      <c r="L1061" s="154"/>
      <c r="M1061" s="154">
        <f t="shared" si="17"/>
        <v>0</v>
      </c>
      <c r="N1061" s="173">
        <f t="shared" si="18"/>
        <v>0</v>
      </c>
      <c r="O1061" s="154"/>
      <c r="P1061" s="155"/>
      <c r="Q1061" s="145"/>
    </row>
    <row r="1062" spans="1:17" s="146" customFormat="1" ht="21" x14ac:dyDescent="0.25">
      <c r="A1062" s="151"/>
      <c r="B1062" s="152" t="str">
        <f t="shared" si="16"/>
        <v>BOCA DE LOBO DUPLA EXISTENTE COM BOCA DE LOBO TRIPLA PROJETADA</v>
      </c>
      <c r="C1062" s="153"/>
      <c r="D1062" s="154"/>
      <c r="E1062" s="154"/>
      <c r="F1062" s="154"/>
      <c r="G1062" s="154"/>
      <c r="H1062" s="154"/>
      <c r="I1062" s="154"/>
      <c r="J1062" s="154"/>
      <c r="K1062" s="154">
        <v>32</v>
      </c>
      <c r="L1062" s="154"/>
      <c r="M1062" s="154">
        <f t="shared" si="17"/>
        <v>0</v>
      </c>
      <c r="N1062" s="173">
        <f t="shared" si="18"/>
        <v>0</v>
      </c>
      <c r="O1062" s="154"/>
      <c r="P1062" s="155"/>
      <c r="Q1062" s="145"/>
    </row>
    <row r="1063" spans="1:17" s="146" customFormat="1" ht="21" x14ac:dyDescent="0.25">
      <c r="A1063" s="151"/>
      <c r="B1063" s="152" t="str">
        <f t="shared" si="16"/>
        <v>BOCA DE LOBO TRIPLA EXISTENTE COM BOCA DE LOBO SIMPLES PROJETADA</v>
      </c>
      <c r="C1063" s="153"/>
      <c r="D1063" s="154"/>
      <c r="E1063" s="154"/>
      <c r="F1063" s="154"/>
      <c r="G1063" s="154"/>
      <c r="H1063" s="154"/>
      <c r="I1063" s="154"/>
      <c r="J1063" s="154"/>
      <c r="K1063" s="154">
        <v>16</v>
      </c>
      <c r="L1063" s="154"/>
      <c r="M1063" s="154">
        <f t="shared" si="17"/>
        <v>0</v>
      </c>
      <c r="N1063" s="173">
        <f t="shared" si="18"/>
        <v>0</v>
      </c>
      <c r="O1063" s="154"/>
      <c r="P1063" s="155"/>
      <c r="Q1063" s="145"/>
    </row>
    <row r="1064" spans="1:17" s="146" customFormat="1" ht="21" x14ac:dyDescent="0.25">
      <c r="A1064" s="151"/>
      <c r="B1064" s="152" t="str">
        <f t="shared" si="16"/>
        <v>BOCA DE LOBO TRIPLA EXISTENTE COM BOCA DE LOBO DUPLA PROJETADA</v>
      </c>
      <c r="C1064" s="153"/>
      <c r="D1064" s="154"/>
      <c r="E1064" s="154"/>
      <c r="F1064" s="154"/>
      <c r="G1064" s="154"/>
      <c r="H1064" s="154"/>
      <c r="I1064" s="154"/>
      <c r="J1064" s="154"/>
      <c r="K1064" s="154">
        <v>24</v>
      </c>
      <c r="L1064" s="154"/>
      <c r="M1064" s="154">
        <f t="shared" si="17"/>
        <v>0</v>
      </c>
      <c r="N1064" s="173">
        <f t="shared" si="18"/>
        <v>0</v>
      </c>
      <c r="O1064" s="154"/>
      <c r="P1064" s="155"/>
      <c r="Q1064" s="145"/>
    </row>
    <row r="1065" spans="1:17" s="146" customFormat="1" ht="21" x14ac:dyDescent="0.25">
      <c r="A1065" s="151"/>
      <c r="B1065" s="152" t="str">
        <f t="shared" si="16"/>
        <v>BOCA DE LOBO TRIPLA EXISTENTE COM BOCA DE LOBO TRIPLA PROJETADA</v>
      </c>
      <c r="C1065" s="153"/>
      <c r="D1065" s="154"/>
      <c r="E1065" s="154"/>
      <c r="F1065" s="154"/>
      <c r="G1065" s="154"/>
      <c r="H1065" s="154"/>
      <c r="I1065" s="154"/>
      <c r="J1065" s="154"/>
      <c r="K1065" s="154">
        <v>32</v>
      </c>
      <c r="L1065" s="154"/>
      <c r="M1065" s="154">
        <f t="shared" si="17"/>
        <v>49</v>
      </c>
      <c r="N1065" s="173">
        <f t="shared" si="18"/>
        <v>1568</v>
      </c>
      <c r="O1065" s="154"/>
      <c r="P1065" s="155"/>
      <c r="Q1065" s="145"/>
    </row>
    <row r="1066" spans="1:17" s="146" customFormat="1" ht="10.5" x14ac:dyDescent="0.25">
      <c r="A1066" s="151"/>
      <c r="B1066" s="152" t="str">
        <f t="shared" si="16"/>
        <v>BOCA DE LOBO PROJETADA SIMPLES</v>
      </c>
      <c r="C1066" s="153"/>
      <c r="D1066" s="154"/>
      <c r="E1066" s="154"/>
      <c r="F1066" s="154"/>
      <c r="G1066" s="154"/>
      <c r="H1066" s="154"/>
      <c r="I1066" s="154"/>
      <c r="J1066" s="154"/>
      <c r="K1066" s="154">
        <v>16</v>
      </c>
      <c r="L1066" s="154"/>
      <c r="M1066" s="154">
        <f t="shared" si="17"/>
        <v>4</v>
      </c>
      <c r="N1066" s="173">
        <f t="shared" si="18"/>
        <v>64</v>
      </c>
      <c r="O1066" s="154"/>
      <c r="P1066" s="155"/>
      <c r="Q1066" s="145"/>
    </row>
    <row r="1067" spans="1:17" s="146" customFormat="1" ht="10.5" x14ac:dyDescent="0.25">
      <c r="A1067" s="151"/>
      <c r="B1067" s="152" t="str">
        <f t="shared" si="16"/>
        <v>BOCA DE LOBO PROJETADA DUPLA</v>
      </c>
      <c r="C1067" s="153"/>
      <c r="D1067" s="154"/>
      <c r="E1067" s="154"/>
      <c r="F1067" s="154"/>
      <c r="G1067" s="154"/>
      <c r="H1067" s="154"/>
      <c r="I1067" s="154"/>
      <c r="J1067" s="154"/>
      <c r="K1067" s="154">
        <v>24</v>
      </c>
      <c r="L1067" s="154"/>
      <c r="M1067" s="154">
        <f t="shared" si="17"/>
        <v>0</v>
      </c>
      <c r="N1067" s="173">
        <f t="shared" si="18"/>
        <v>0</v>
      </c>
      <c r="O1067" s="154"/>
      <c r="P1067" s="155"/>
      <c r="Q1067" s="145"/>
    </row>
    <row r="1068" spans="1:17" s="146" customFormat="1" ht="10.5" x14ac:dyDescent="0.25">
      <c r="A1068" s="151"/>
      <c r="B1068" s="152" t="str">
        <f t="shared" si="16"/>
        <v>BOCA DE LOBO PROJETADA TRIPLA</v>
      </c>
      <c r="C1068" s="153"/>
      <c r="D1068" s="154"/>
      <c r="E1068" s="154"/>
      <c r="F1068" s="154"/>
      <c r="G1068" s="154"/>
      <c r="H1068" s="154"/>
      <c r="I1068" s="154"/>
      <c r="J1068" s="154"/>
      <c r="K1068" s="154">
        <v>32</v>
      </c>
      <c r="L1068" s="154"/>
      <c r="M1068" s="154">
        <f t="shared" si="17"/>
        <v>0</v>
      </c>
      <c r="N1068" s="173">
        <f t="shared" si="18"/>
        <v>0</v>
      </c>
      <c r="O1068" s="154"/>
      <c r="P1068" s="155"/>
      <c r="Q1068" s="145"/>
    </row>
    <row r="1069" spans="1:17" s="146" customFormat="1" ht="10.5" x14ac:dyDescent="0.25">
      <c r="A1069" s="151"/>
      <c r="B1069" s="152"/>
      <c r="C1069" s="153"/>
      <c r="D1069" s="154"/>
      <c r="E1069" s="154"/>
      <c r="F1069" s="154"/>
      <c r="G1069" s="154"/>
      <c r="H1069" s="154"/>
      <c r="I1069" s="154"/>
      <c r="J1069" s="154"/>
      <c r="K1069" s="154"/>
      <c r="L1069" s="154"/>
      <c r="M1069" s="154"/>
      <c r="N1069" s="173"/>
      <c r="O1069" s="154"/>
      <c r="P1069" s="155"/>
      <c r="Q1069" s="145"/>
    </row>
    <row r="1070" spans="1:17" s="146" customFormat="1" ht="15" customHeight="1" x14ac:dyDescent="0.25">
      <c r="A1070" s="151"/>
      <c r="B1070" s="157" t="s">
        <v>377</v>
      </c>
      <c r="C1070" s="158" t="s">
        <v>402</v>
      </c>
      <c r="D1070" s="158"/>
      <c r="E1070" s="158"/>
      <c r="F1070" s="158"/>
      <c r="G1070" s="158"/>
      <c r="H1070" s="158"/>
      <c r="I1070" s="158"/>
      <c r="J1070" s="158"/>
      <c r="K1070" s="153"/>
      <c r="L1070" s="158"/>
      <c r="M1070" s="158"/>
      <c r="N1070" s="153">
        <f>SUM(N1056:N1069)</f>
        <v>1632</v>
      </c>
      <c r="O1070" s="158"/>
      <c r="P1070" s="159"/>
      <c r="Q1070" s="145"/>
    </row>
    <row r="1071" spans="1:17" s="150" customFormat="1" ht="42" x14ac:dyDescent="0.25">
      <c r="A1071" s="147" t="str">
        <f>ORÇAMENTO!A241</f>
        <v>4.1.2.6.43</v>
      </c>
      <c r="B1071" s="148" t="str">
        <f>VLOOKUP(A1071,ORÇAMENTO!$A:$F,4,0)</f>
        <v>ALVENARIA DE VEDAÇÃO DE BLOCOS VAZADOS DE CONCRETO DE 19X19X39 CM (ESPESSURA 19 CM) E ARGAMASSA DE ASSENTAMENTO COM PREPARO EM BETONEIRA. AF_12/2021</v>
      </c>
      <c r="C1071" s="149" t="str">
        <f>VLOOKUP(A1071,ORÇAMENTO!$A:$F,5,0)</f>
        <v>M²</v>
      </c>
      <c r="D1071" s="149">
        <f>ROUND(SUM(E1074:O1074),2)</f>
        <v>547.41</v>
      </c>
      <c r="E1071" s="149" t="s">
        <v>2149</v>
      </c>
      <c r="F1071" s="149" t="s">
        <v>2150</v>
      </c>
      <c r="G1071" s="149" t="s">
        <v>2151</v>
      </c>
      <c r="H1071" s="149" t="s">
        <v>2152</v>
      </c>
      <c r="I1071" s="149" t="s">
        <v>2153</v>
      </c>
      <c r="J1071" s="149" t="s">
        <v>2154</v>
      </c>
      <c r="K1071" s="149" t="s">
        <v>2155</v>
      </c>
      <c r="L1071" s="149" t="s">
        <v>2239</v>
      </c>
      <c r="M1071" s="149" t="s">
        <v>413</v>
      </c>
      <c r="N1071" s="149" t="s">
        <v>2257</v>
      </c>
      <c r="O1071" s="149" t="s">
        <v>2158</v>
      </c>
      <c r="P1071" s="145"/>
      <c r="Q1071" s="145"/>
    </row>
    <row r="1072" spans="1:17" s="146" customFormat="1" ht="15" customHeight="1" x14ac:dyDescent="0.25">
      <c r="A1072" s="151"/>
      <c r="B1072" s="152" t="s">
        <v>2258</v>
      </c>
      <c r="C1072" s="153"/>
      <c r="D1072" s="154"/>
      <c r="E1072" s="154"/>
      <c r="F1072" s="154"/>
      <c r="G1072" s="154"/>
      <c r="H1072" s="154"/>
      <c r="I1072" s="154"/>
      <c r="J1072" s="154"/>
      <c r="K1072" s="154"/>
      <c r="L1072" s="154"/>
      <c r="M1072" s="154"/>
      <c r="N1072" s="173">
        <f>QUANTBL!CU69</f>
        <v>547.40791999999954</v>
      </c>
      <c r="O1072" s="154"/>
      <c r="P1072" s="155"/>
      <c r="Q1072" s="145"/>
    </row>
    <row r="1073" spans="1:17" s="146" customFormat="1" ht="15" customHeight="1" x14ac:dyDescent="0.25">
      <c r="A1073" s="151"/>
      <c r="B1073" s="152"/>
      <c r="C1073" s="153"/>
      <c r="D1073" s="154"/>
      <c r="E1073" s="154"/>
      <c r="F1073" s="154"/>
      <c r="G1073" s="154"/>
      <c r="H1073" s="154"/>
      <c r="I1073" s="154"/>
      <c r="J1073" s="154"/>
      <c r="K1073" s="154"/>
      <c r="L1073" s="154"/>
      <c r="M1073" s="154"/>
      <c r="N1073" s="173"/>
      <c r="O1073" s="154"/>
      <c r="P1073" s="155"/>
      <c r="Q1073" s="145"/>
    </row>
    <row r="1074" spans="1:17" s="146" customFormat="1" ht="15" customHeight="1" x14ac:dyDescent="0.25">
      <c r="A1074" s="151"/>
      <c r="B1074" s="157" t="s">
        <v>377</v>
      </c>
      <c r="C1074" s="158" t="s">
        <v>402</v>
      </c>
      <c r="D1074" s="158"/>
      <c r="E1074" s="158"/>
      <c r="F1074" s="158"/>
      <c r="G1074" s="158"/>
      <c r="H1074" s="158"/>
      <c r="I1074" s="158"/>
      <c r="J1074" s="158"/>
      <c r="K1074" s="154"/>
      <c r="L1074" s="158"/>
      <c r="M1074" s="158"/>
      <c r="N1074" s="153">
        <f>SUM(N1072:N1073)</f>
        <v>547.40791999999954</v>
      </c>
      <c r="O1074" s="158"/>
      <c r="P1074" s="159"/>
      <c r="Q1074" s="145"/>
    </row>
    <row r="1075" spans="1:17" s="150" customFormat="1" ht="31.5" x14ac:dyDescent="0.25">
      <c r="A1075" s="147" t="str">
        <f>ORÇAMENTO!A242</f>
        <v>4.1.2.6.44</v>
      </c>
      <c r="B1075" s="148" t="str">
        <f>VLOOKUP(A1075,ORÇAMENTO!$A:$F,4,0)</f>
        <v>FÔRMAS DE COMPENSADO RESINADO 12 MM - USO GERAL - UTILIZAÇÃO DE 2 VEZES - CONFECÇÃO, INSTALAÇÃO E RETIRADA</v>
      </c>
      <c r="C1075" s="149" t="str">
        <f>VLOOKUP(A1075,ORÇAMENTO!$A:$F,5,0)</f>
        <v>M²</v>
      </c>
      <c r="D1075" s="149">
        <f>ROUND(SUM(E1077:O1077),2)</f>
        <v>1022.99</v>
      </c>
      <c r="E1075" s="149" t="s">
        <v>2149</v>
      </c>
      <c r="F1075" s="149" t="s">
        <v>2150</v>
      </c>
      <c r="G1075" s="149" t="s">
        <v>2151</v>
      </c>
      <c r="H1075" s="149" t="s">
        <v>2152</v>
      </c>
      <c r="I1075" s="149" t="s">
        <v>2153</v>
      </c>
      <c r="J1075" s="149" t="s">
        <v>2154</v>
      </c>
      <c r="K1075" s="149" t="s">
        <v>2155</v>
      </c>
      <c r="L1075" s="149" t="s">
        <v>2239</v>
      </c>
      <c r="M1075" s="149" t="s">
        <v>413</v>
      </c>
      <c r="N1075" s="149" t="s">
        <v>2257</v>
      </c>
      <c r="O1075" s="149" t="s">
        <v>2158</v>
      </c>
      <c r="P1075" s="145"/>
      <c r="Q1075" s="145"/>
    </row>
    <row r="1076" spans="1:17" s="146" customFormat="1" ht="15" customHeight="1" x14ac:dyDescent="0.25">
      <c r="A1076" s="151"/>
      <c r="B1076" s="152" t="s">
        <v>2258</v>
      </c>
      <c r="C1076" s="153"/>
      <c r="D1076" s="154"/>
      <c r="E1076" s="154"/>
      <c r="F1076" s="154"/>
      <c r="G1076" s="154"/>
      <c r="H1076" s="154"/>
      <c r="I1076" s="154"/>
      <c r="J1076" s="154"/>
      <c r="K1076" s="154"/>
      <c r="L1076" s="154"/>
      <c r="M1076" s="154"/>
      <c r="N1076" s="173">
        <f>QUANTBL!CW69</f>
        <v>1022.9869839999993</v>
      </c>
      <c r="O1076" s="154"/>
      <c r="P1076" s="155"/>
      <c r="Q1076" s="145"/>
    </row>
    <row r="1077" spans="1:17" s="146" customFormat="1" ht="15" customHeight="1" x14ac:dyDescent="0.25">
      <c r="A1077" s="151"/>
      <c r="B1077" s="157" t="s">
        <v>377</v>
      </c>
      <c r="C1077" s="158" t="s">
        <v>402</v>
      </c>
      <c r="D1077" s="158"/>
      <c r="E1077" s="158"/>
      <c r="F1077" s="158"/>
      <c r="G1077" s="158"/>
      <c r="H1077" s="158"/>
      <c r="I1077" s="158"/>
      <c r="J1077" s="158"/>
      <c r="K1077" s="154"/>
      <c r="L1077" s="158"/>
      <c r="M1077" s="158"/>
      <c r="N1077" s="153">
        <f>SUM(N1076)</f>
        <v>1022.9869839999993</v>
      </c>
      <c r="O1077" s="153"/>
      <c r="P1077" s="159"/>
      <c r="Q1077" s="145"/>
    </row>
    <row r="1078" spans="1:17" s="150" customFormat="1" ht="42" x14ac:dyDescent="0.25">
      <c r="A1078" s="147" t="str">
        <f>ORÇAMENTO!A243</f>
        <v>4.1.2.6.45</v>
      </c>
      <c r="B1078" s="148" t="str">
        <f>VLOOKUP(A1078,ORÇAMENTO!$A:$F,4,0)</f>
        <v>CONCRETO FCK = 25MPA, TRAÇO 1:2,3:2,7 (EM MASSA SECA DE CIMENTO/ AREIA MÉDIA/ BRITA 1) - PREPARO MECÂNICO COM BETONEIRA 600 L. AF_05/2021</v>
      </c>
      <c r="C1078" s="149" t="str">
        <f>VLOOKUP(A1078,ORÇAMENTO!$A:$F,5,0)</f>
        <v>M³</v>
      </c>
      <c r="D1078" s="149">
        <f>ROUND(SUM(E1080:O1080),2)</f>
        <v>68.91</v>
      </c>
      <c r="E1078" s="149" t="s">
        <v>2149</v>
      </c>
      <c r="F1078" s="149" t="s">
        <v>2150</v>
      </c>
      <c r="G1078" s="149" t="s">
        <v>2151</v>
      </c>
      <c r="H1078" s="149" t="s">
        <v>2152</v>
      </c>
      <c r="I1078" s="149" t="s">
        <v>2153</v>
      </c>
      <c r="J1078" s="149" t="s">
        <v>2154</v>
      </c>
      <c r="K1078" s="149" t="s">
        <v>2155</v>
      </c>
      <c r="L1078" s="149" t="s">
        <v>2239</v>
      </c>
      <c r="M1078" s="149" t="s">
        <v>413</v>
      </c>
      <c r="N1078" s="149" t="s">
        <v>2244</v>
      </c>
      <c r="O1078" s="149" t="s">
        <v>2158</v>
      </c>
      <c r="P1078" s="145"/>
      <c r="Q1078" s="145"/>
    </row>
    <row r="1079" spans="1:17" s="146" customFormat="1" ht="15" customHeight="1" x14ac:dyDescent="0.25">
      <c r="A1079" s="151"/>
      <c r="B1079" s="152" t="s">
        <v>2259</v>
      </c>
      <c r="C1079" s="153"/>
      <c r="D1079" s="154"/>
      <c r="E1079" s="154"/>
      <c r="F1079" s="154"/>
      <c r="G1079" s="154"/>
      <c r="H1079" s="154"/>
      <c r="I1079" s="154"/>
      <c r="J1079" s="154"/>
      <c r="K1079" s="154"/>
      <c r="L1079" s="154"/>
      <c r="M1079" s="154"/>
      <c r="N1079" s="173"/>
      <c r="O1079" s="154">
        <f>QUANTBL!CV69</f>
        <v>68.909175299999944</v>
      </c>
      <c r="P1079" s="155"/>
      <c r="Q1079" s="145"/>
    </row>
    <row r="1080" spans="1:17" s="146" customFormat="1" ht="15" customHeight="1" x14ac:dyDescent="0.25">
      <c r="A1080" s="151"/>
      <c r="B1080" s="157" t="s">
        <v>377</v>
      </c>
      <c r="C1080" s="158" t="s">
        <v>402</v>
      </c>
      <c r="D1080" s="158"/>
      <c r="E1080" s="158"/>
      <c r="F1080" s="158"/>
      <c r="G1080" s="158"/>
      <c r="H1080" s="158"/>
      <c r="I1080" s="158"/>
      <c r="J1080" s="158"/>
      <c r="K1080" s="154"/>
      <c r="L1080" s="158"/>
      <c r="M1080" s="158"/>
      <c r="N1080" s="153"/>
      <c r="O1080" s="153">
        <f>SUM(O1079)</f>
        <v>68.909175299999944</v>
      </c>
      <c r="P1080" s="159"/>
      <c r="Q1080" s="145"/>
    </row>
    <row r="1081" spans="1:17" s="150" customFormat="1" ht="31.5" x14ac:dyDescent="0.25">
      <c r="A1081" s="147" t="str">
        <f>ORÇAMENTO!A244</f>
        <v>4.1.2.6.46</v>
      </c>
      <c r="B1081" s="148" t="str">
        <f>VLOOKUP(A1081,ORÇAMENTO!$A:$F,4,0)</f>
        <v>LANÇAMENTO COM USO DE BALDES, ADENSAMENTO E ACABAMENTO DE CONCRETO EM ESTRUTURAS. AF_02/2022</v>
      </c>
      <c r="C1081" s="149" t="str">
        <f>VLOOKUP(A1081,ORÇAMENTO!$A:$F,5,0)</f>
        <v>M³</v>
      </c>
      <c r="D1081" s="149">
        <f>ROUND(SUM(E1085:O1085),2)</f>
        <v>86.92</v>
      </c>
      <c r="E1081" s="149" t="s">
        <v>2149</v>
      </c>
      <c r="F1081" s="149" t="s">
        <v>2150</v>
      </c>
      <c r="G1081" s="149" t="s">
        <v>2151</v>
      </c>
      <c r="H1081" s="149" t="s">
        <v>2152</v>
      </c>
      <c r="I1081" s="149" t="s">
        <v>2153</v>
      </c>
      <c r="J1081" s="149" t="s">
        <v>2154</v>
      </c>
      <c r="K1081" s="149" t="s">
        <v>2155</v>
      </c>
      <c r="L1081" s="149" t="s">
        <v>2239</v>
      </c>
      <c r="M1081" s="149" t="s">
        <v>413</v>
      </c>
      <c r="N1081" s="149" t="s">
        <v>2244</v>
      </c>
      <c r="O1081" s="149" t="s">
        <v>2158</v>
      </c>
      <c r="P1081" s="145"/>
      <c r="Q1081" s="145"/>
    </row>
    <row r="1082" spans="1:17" s="146" customFormat="1" ht="42" x14ac:dyDescent="0.25">
      <c r="A1082" s="151"/>
      <c r="B1082" s="152" t="str">
        <f>B1051</f>
        <v>CONCRETO MAGRO PARA LASTRO, TRAÇO 1:4,5:4,5 (EM MASSA SECA DE CIMENTO/ AREIA MÉDIA/ BRITA 1) - PREPARO MECÂNICO COM BETONEIRA 600 L. AF_05/2021</v>
      </c>
      <c r="C1082" s="153"/>
      <c r="D1082" s="154"/>
      <c r="E1082" s="154"/>
      <c r="F1082" s="154"/>
      <c r="G1082" s="154"/>
      <c r="H1082" s="154"/>
      <c r="I1082" s="154"/>
      <c r="J1082" s="154"/>
      <c r="K1082" s="154"/>
      <c r="L1082" s="154"/>
      <c r="M1082" s="154"/>
      <c r="N1082" s="173"/>
      <c r="O1082" s="154">
        <f>O1054</f>
        <v>18.015730000000005</v>
      </c>
      <c r="P1082" s="155"/>
      <c r="Q1082" s="145"/>
    </row>
    <row r="1083" spans="1:17" s="146" customFormat="1" ht="15" customHeight="1" x14ac:dyDescent="0.25">
      <c r="A1083" s="151"/>
      <c r="B1083" s="152" t="str">
        <f>B1078</f>
        <v>CONCRETO FCK = 25MPA, TRAÇO 1:2,3:2,7 (EM MASSA SECA DE CIMENTO/ AREIA MÉDIA/ BRITA 1) - PREPARO MECÂNICO COM BETONEIRA 600 L. AF_05/2021</v>
      </c>
      <c r="C1083" s="153"/>
      <c r="D1083" s="154"/>
      <c r="E1083" s="154"/>
      <c r="F1083" s="154"/>
      <c r="G1083" s="154"/>
      <c r="H1083" s="154"/>
      <c r="I1083" s="154"/>
      <c r="J1083" s="154"/>
      <c r="K1083" s="154"/>
      <c r="L1083" s="154"/>
      <c r="M1083" s="154"/>
      <c r="N1083" s="173"/>
      <c r="O1083" s="154">
        <f>O1080</f>
        <v>68.909175299999944</v>
      </c>
      <c r="P1083" s="155"/>
      <c r="Q1083" s="145"/>
    </row>
    <row r="1084" spans="1:17" s="146" customFormat="1" ht="15" customHeight="1" x14ac:dyDescent="0.25">
      <c r="A1084" s="151"/>
      <c r="B1084" s="152"/>
      <c r="C1084" s="153"/>
      <c r="D1084" s="154"/>
      <c r="E1084" s="154"/>
      <c r="F1084" s="154"/>
      <c r="G1084" s="154"/>
      <c r="H1084" s="154"/>
      <c r="I1084" s="154"/>
      <c r="J1084" s="154"/>
      <c r="K1084" s="154"/>
      <c r="L1084" s="154"/>
      <c r="M1084" s="154"/>
      <c r="N1084" s="173"/>
      <c r="O1084" s="154"/>
      <c r="P1084" s="155"/>
      <c r="Q1084" s="145"/>
    </row>
    <row r="1085" spans="1:17" s="146" customFormat="1" ht="15" customHeight="1" x14ac:dyDescent="0.25">
      <c r="A1085" s="151"/>
      <c r="B1085" s="157" t="s">
        <v>377</v>
      </c>
      <c r="C1085" s="158" t="s">
        <v>402</v>
      </c>
      <c r="D1085" s="158"/>
      <c r="E1085" s="158"/>
      <c r="F1085" s="158"/>
      <c r="G1085" s="158"/>
      <c r="H1085" s="158"/>
      <c r="I1085" s="158"/>
      <c r="J1085" s="158"/>
      <c r="K1085" s="153"/>
      <c r="L1085" s="158"/>
      <c r="M1085" s="158"/>
      <c r="N1085" s="153"/>
      <c r="O1085" s="153">
        <f>SUM(O1082:O1084)</f>
        <v>86.924905299999949</v>
      </c>
      <c r="P1085" s="159"/>
      <c r="Q1085" s="145"/>
    </row>
    <row r="1086" spans="1:17" s="150" customFormat="1" ht="31.5" x14ac:dyDescent="0.25">
      <c r="A1086" s="147" t="str">
        <f>ORÇAMENTO!A245</f>
        <v>4.1.2.6.47</v>
      </c>
      <c r="B1086" s="148" t="str">
        <f>VLOOKUP(A1086,ORÇAMENTO!$A:$F,4,0)</f>
        <v>TUBO DE CONCRETO SIMPLES PARA AGUAS PLUVIAIS, CLASSE PS1, COM ENCAIXE PONTA E BOLSA, DIAMETRO NOMINAL DE 400 MM</v>
      </c>
      <c r="C1086" s="149" t="str">
        <f>VLOOKUP(A1086,ORÇAMENTO!$A:$F,5,0)</f>
        <v>M</v>
      </c>
      <c r="D1086" s="149">
        <f>ROUND(SUM(E1089:O1089),2)</f>
        <v>80.11</v>
      </c>
      <c r="E1086" s="149" t="s">
        <v>2149</v>
      </c>
      <c r="F1086" s="149" t="s">
        <v>2150</v>
      </c>
      <c r="G1086" s="149" t="s">
        <v>2151</v>
      </c>
      <c r="H1086" s="149" t="s">
        <v>2152</v>
      </c>
      <c r="I1086" s="149" t="s">
        <v>2153</v>
      </c>
      <c r="J1086" s="149" t="s">
        <v>2154</v>
      </c>
      <c r="K1086" s="149" t="s">
        <v>2155</v>
      </c>
      <c r="L1086" s="149" t="s">
        <v>2239</v>
      </c>
      <c r="M1086" s="149" t="s">
        <v>413</v>
      </c>
      <c r="N1086" s="149" t="s">
        <v>2244</v>
      </c>
      <c r="O1086" s="149" t="s">
        <v>2158</v>
      </c>
      <c r="P1086" s="145"/>
      <c r="Q1086" s="145"/>
    </row>
    <row r="1087" spans="1:17" s="146" customFormat="1" ht="15" customHeight="1" x14ac:dyDescent="0.25">
      <c r="A1087" s="151"/>
      <c r="B1087" s="152" t="s">
        <v>2260</v>
      </c>
      <c r="C1087" s="153"/>
      <c r="D1087" s="154"/>
      <c r="E1087" s="154">
        <f>QUANTBL!BF71</f>
        <v>80.11</v>
      </c>
      <c r="F1087" s="154"/>
      <c r="G1087" s="154"/>
      <c r="H1087" s="154"/>
      <c r="I1087" s="154"/>
      <c r="J1087" s="154"/>
      <c r="K1087" s="154"/>
      <c r="L1087" s="154"/>
      <c r="M1087" s="154"/>
      <c r="N1087" s="173"/>
      <c r="O1087" s="154"/>
      <c r="P1087" s="155"/>
      <c r="Q1087" s="145"/>
    </row>
    <row r="1088" spans="1:17" s="146" customFormat="1" ht="10.5" x14ac:dyDescent="0.25">
      <c r="A1088" s="151"/>
      <c r="B1088" s="152"/>
      <c r="C1088" s="153"/>
      <c r="D1088" s="154"/>
      <c r="E1088" s="154"/>
      <c r="F1088" s="154"/>
      <c r="G1088" s="154"/>
      <c r="H1088" s="154"/>
      <c r="I1088" s="154"/>
      <c r="J1088" s="154"/>
      <c r="K1088" s="154"/>
      <c r="L1088" s="154"/>
      <c r="M1088" s="154"/>
      <c r="N1088" s="173"/>
      <c r="O1088" s="154"/>
      <c r="P1088" s="155"/>
      <c r="Q1088" s="145"/>
    </row>
    <row r="1089" spans="1:17" s="146" customFormat="1" ht="15" customHeight="1" x14ac:dyDescent="0.25">
      <c r="A1089" s="151"/>
      <c r="B1089" s="157" t="s">
        <v>377</v>
      </c>
      <c r="C1089" s="158" t="s">
        <v>402</v>
      </c>
      <c r="D1089" s="158"/>
      <c r="E1089" s="153">
        <f>SUM(E1087:E1088)</f>
        <v>80.11</v>
      </c>
      <c r="F1089" s="158"/>
      <c r="G1089" s="158"/>
      <c r="H1089" s="158"/>
      <c r="I1089" s="158"/>
      <c r="J1089" s="158"/>
      <c r="K1089" s="153"/>
      <c r="L1089" s="158"/>
      <c r="M1089" s="158"/>
      <c r="N1089" s="153"/>
      <c r="O1089" s="153"/>
      <c r="P1089" s="159"/>
      <c r="Q1089" s="145"/>
    </row>
    <row r="1090" spans="1:17" s="150" customFormat="1" ht="31.5" x14ac:dyDescent="0.25">
      <c r="A1090" s="147" t="str">
        <f>ORÇAMENTO!A246</f>
        <v>4.1.2.6.48</v>
      </c>
      <c r="B1090" s="148" t="str">
        <f>VLOOKUP(A1090,ORÇAMENTO!$A:$F,4,0)</f>
        <v>TUBO DE CONCRETO SIMPLES PARA AGUAS PLUVIAIS, CLASSE PS2, COM ENCAIXE PONTA E BOLSA, DIAMETRO NOMINAL DE 400 MM</v>
      </c>
      <c r="C1090" s="149" t="str">
        <f>VLOOKUP(A1090,ORÇAMENTO!$A:$F,5,0)</f>
        <v>M</v>
      </c>
      <c r="D1090" s="149">
        <f>ROUND(SUM(E1093:O1093),2)</f>
        <v>263.35000000000002</v>
      </c>
      <c r="E1090" s="149" t="s">
        <v>2149</v>
      </c>
      <c r="F1090" s="149" t="s">
        <v>2150</v>
      </c>
      <c r="G1090" s="149" t="s">
        <v>2151</v>
      </c>
      <c r="H1090" s="149" t="s">
        <v>2152</v>
      </c>
      <c r="I1090" s="149" t="s">
        <v>2153</v>
      </c>
      <c r="J1090" s="149" t="s">
        <v>2154</v>
      </c>
      <c r="K1090" s="149" t="s">
        <v>2155</v>
      </c>
      <c r="L1090" s="149" t="s">
        <v>2239</v>
      </c>
      <c r="M1090" s="149" t="s">
        <v>413</v>
      </c>
      <c r="N1090" s="149" t="s">
        <v>2244</v>
      </c>
      <c r="O1090" s="149" t="s">
        <v>2158</v>
      </c>
      <c r="P1090" s="145"/>
      <c r="Q1090" s="145"/>
    </row>
    <row r="1091" spans="1:17" s="146" customFormat="1" ht="15" customHeight="1" x14ac:dyDescent="0.25">
      <c r="A1091" s="151"/>
      <c r="B1091" s="152" t="s">
        <v>2261</v>
      </c>
      <c r="C1091" s="153"/>
      <c r="D1091" s="154"/>
      <c r="E1091" s="154">
        <f>QUANTBL!BG71</f>
        <v>263.34999999999997</v>
      </c>
      <c r="F1091" s="154"/>
      <c r="G1091" s="154"/>
      <c r="H1091" s="154"/>
      <c r="I1091" s="154"/>
      <c r="J1091" s="154"/>
      <c r="K1091" s="154"/>
      <c r="L1091" s="154"/>
      <c r="M1091" s="154"/>
      <c r="N1091" s="173"/>
      <c r="O1091" s="154"/>
      <c r="P1091" s="155"/>
      <c r="Q1091" s="145"/>
    </row>
    <row r="1092" spans="1:17" s="146" customFormat="1" ht="15" customHeight="1" x14ac:dyDescent="0.25">
      <c r="A1092" s="151"/>
      <c r="B1092" s="152"/>
      <c r="C1092" s="153"/>
      <c r="D1092" s="154"/>
      <c r="E1092" s="154"/>
      <c r="F1092" s="154"/>
      <c r="G1092" s="154"/>
      <c r="H1092" s="154"/>
      <c r="I1092" s="154"/>
      <c r="J1092" s="154"/>
      <c r="K1092" s="154"/>
      <c r="L1092" s="154"/>
      <c r="M1092" s="154"/>
      <c r="N1092" s="173"/>
      <c r="O1092" s="154"/>
      <c r="P1092" s="155"/>
      <c r="Q1092" s="145"/>
    </row>
    <row r="1093" spans="1:17" s="146" customFormat="1" ht="15" customHeight="1" x14ac:dyDescent="0.25">
      <c r="A1093" s="151"/>
      <c r="B1093" s="157" t="s">
        <v>377</v>
      </c>
      <c r="C1093" s="158" t="s">
        <v>402</v>
      </c>
      <c r="D1093" s="158"/>
      <c r="E1093" s="153">
        <f>SUM(E1091:E1092)</f>
        <v>263.34999999999997</v>
      </c>
      <c r="F1093" s="158"/>
      <c r="G1093" s="158"/>
      <c r="H1093" s="158"/>
      <c r="I1093" s="158"/>
      <c r="J1093" s="158"/>
      <c r="K1093" s="153"/>
      <c r="L1093" s="158"/>
      <c r="M1093" s="158"/>
      <c r="N1093" s="153"/>
      <c r="O1093" s="153"/>
      <c r="P1093" s="159"/>
      <c r="Q1093" s="145"/>
    </row>
    <row r="1094" spans="1:17" s="150" customFormat="1" ht="15" customHeight="1" x14ac:dyDescent="0.25">
      <c r="A1094" s="147" t="str">
        <f>ORÇAMENTO!A247</f>
        <v>4.1.2.6.49</v>
      </c>
      <c r="B1094" s="148" t="str">
        <f>VLOOKUP(A1094,ORÇAMENTO!$A:$F,4,0)</f>
        <v>ASSENTAMENTO DE TUBO DE CONCRETO PARA REDES COLETORAS DE ÁGUAS PLUVIAIS, DIÂMETRO DE 400 MM, JUNTA RÍGIDA, INSTALADO EM LOCAL COM ALTO NÍVEL DE INTERFERÊNCIAS (NÃO INCLUI FORNECIMENTO). AF_03/2024</v>
      </c>
      <c r="C1094" s="149" t="str">
        <f>VLOOKUP(A1094,ORÇAMENTO!$A:$F,5,0)</f>
        <v>M</v>
      </c>
      <c r="D1094" s="149">
        <f>ROUND(SUM(E1097:O1097),2)</f>
        <v>343.46</v>
      </c>
      <c r="E1094" s="149" t="s">
        <v>2149</v>
      </c>
      <c r="F1094" s="149" t="s">
        <v>2150</v>
      </c>
      <c r="G1094" s="149" t="s">
        <v>2151</v>
      </c>
      <c r="H1094" s="149" t="s">
        <v>2152</v>
      </c>
      <c r="I1094" s="149" t="s">
        <v>2153</v>
      </c>
      <c r="J1094" s="149" t="s">
        <v>2154</v>
      </c>
      <c r="K1094" s="149" t="s">
        <v>2155</v>
      </c>
      <c r="L1094" s="149" t="s">
        <v>2239</v>
      </c>
      <c r="M1094" s="149" t="s">
        <v>413</v>
      </c>
      <c r="N1094" s="149" t="s">
        <v>2244</v>
      </c>
      <c r="O1094" s="149" t="s">
        <v>2158</v>
      </c>
      <c r="P1094" s="145"/>
      <c r="Q1094" s="145"/>
    </row>
    <row r="1095" spans="1:17" s="146" customFormat="1" ht="15" customHeight="1" x14ac:dyDescent="0.25">
      <c r="A1095" s="151"/>
      <c r="B1095" s="152" t="s">
        <v>2262</v>
      </c>
      <c r="C1095" s="153"/>
      <c r="D1095" s="154"/>
      <c r="E1095" s="154">
        <f>E1093+E1089</f>
        <v>343.46</v>
      </c>
      <c r="F1095" s="154"/>
      <c r="G1095" s="154"/>
      <c r="H1095" s="154"/>
      <c r="I1095" s="154"/>
      <c r="J1095" s="154"/>
      <c r="K1095" s="154"/>
      <c r="L1095" s="154"/>
      <c r="M1095" s="154"/>
      <c r="N1095" s="173"/>
      <c r="O1095" s="154"/>
      <c r="P1095" s="155"/>
      <c r="Q1095" s="145"/>
    </row>
    <row r="1096" spans="1:17" s="146" customFormat="1" ht="15" customHeight="1" x14ac:dyDescent="0.25">
      <c r="A1096" s="151"/>
      <c r="B1096" s="152"/>
      <c r="C1096" s="153"/>
      <c r="D1096" s="154"/>
      <c r="E1096" s="154"/>
      <c r="F1096" s="154"/>
      <c r="G1096" s="154"/>
      <c r="H1096" s="154"/>
      <c r="I1096" s="154"/>
      <c r="J1096" s="154"/>
      <c r="K1096" s="154"/>
      <c r="L1096" s="154"/>
      <c r="M1096" s="154"/>
      <c r="N1096" s="173"/>
      <c r="O1096" s="154"/>
      <c r="P1096" s="155"/>
      <c r="Q1096" s="145"/>
    </row>
    <row r="1097" spans="1:17" s="146" customFormat="1" ht="15" customHeight="1" x14ac:dyDescent="0.25">
      <c r="A1097" s="151"/>
      <c r="B1097" s="157" t="s">
        <v>377</v>
      </c>
      <c r="C1097" s="158" t="s">
        <v>402</v>
      </c>
      <c r="D1097" s="158"/>
      <c r="E1097" s="153">
        <f>SUM(E1095:E1096)</f>
        <v>343.46</v>
      </c>
      <c r="F1097" s="158"/>
      <c r="G1097" s="158"/>
      <c r="H1097" s="158"/>
      <c r="I1097" s="158"/>
      <c r="J1097" s="158"/>
      <c r="K1097" s="153"/>
      <c r="L1097" s="158"/>
      <c r="M1097" s="158"/>
      <c r="N1097" s="153"/>
      <c r="O1097" s="153"/>
      <c r="P1097" s="159"/>
      <c r="Q1097" s="145"/>
    </row>
    <row r="1098" spans="1:17" s="146" customFormat="1" ht="10.5" x14ac:dyDescent="0.25">
      <c r="A1098" s="141" t="str">
        <f>ORÇAMENTO!A248</f>
        <v>4.1.2.7</v>
      </c>
      <c r="B1098" s="142" t="str">
        <f>VLOOKUP(A1098,ORÇAMENTO!$A:$F,4,0)</f>
        <v>POÇOS DE VISITA</v>
      </c>
      <c r="C1098" s="143"/>
      <c r="D1098" s="143"/>
      <c r="E1098" s="144"/>
      <c r="F1098" s="144"/>
      <c r="G1098" s="144"/>
      <c r="H1098" s="144"/>
      <c r="I1098" s="144"/>
      <c r="J1098" s="144"/>
      <c r="K1098" s="144"/>
      <c r="L1098" s="144"/>
      <c r="M1098" s="144"/>
      <c r="N1098" s="144"/>
      <c r="O1098" s="144"/>
      <c r="P1098" s="145"/>
      <c r="Q1098" s="145"/>
    </row>
    <row r="1099" spans="1:17" s="150" customFormat="1" ht="21.75" customHeight="1" x14ac:dyDescent="0.25">
      <c r="A1099" s="147" t="str">
        <f>ORÇAMENTO!A249</f>
        <v>4.1.2.7.1</v>
      </c>
      <c r="B1099" s="148" t="str">
        <f>VLOOKUP(A1099,ORÇAMENTO!$A:$F,4,0)</f>
        <v>REVEST. PRIMARIO C CASCALHO OU SAIBRO C\ COMPACTACAO</v>
      </c>
      <c r="C1099" s="149" t="str">
        <f>VLOOKUP(A1099,ORÇAMENTO!$A:$F,5,0)</f>
        <v>M³</v>
      </c>
      <c r="D1099" s="149">
        <f>ROUND(SUM(E1107:O1107),2)</f>
        <v>10.029999999999999</v>
      </c>
      <c r="E1099" s="149" t="s">
        <v>2149</v>
      </c>
      <c r="F1099" s="149" t="s">
        <v>2150</v>
      </c>
      <c r="G1099" s="149" t="s">
        <v>2151</v>
      </c>
      <c r="H1099" s="149" t="s">
        <v>2152</v>
      </c>
      <c r="I1099" s="149" t="s">
        <v>2153</v>
      </c>
      <c r="J1099" s="149" t="s">
        <v>2154</v>
      </c>
      <c r="K1099" s="149" t="s">
        <v>2155</v>
      </c>
      <c r="L1099" s="149" t="s">
        <v>2239</v>
      </c>
      <c r="M1099" s="149" t="s">
        <v>413</v>
      </c>
      <c r="N1099" s="149" t="s">
        <v>2244</v>
      </c>
      <c r="O1099" s="149" t="s">
        <v>2158</v>
      </c>
      <c r="P1099" s="145"/>
      <c r="Q1099" s="145"/>
    </row>
    <row r="1100" spans="1:17" s="146" customFormat="1" ht="10.5" x14ac:dyDescent="0.25">
      <c r="A1100" s="151"/>
      <c r="B1100" s="152" t="s">
        <v>2263</v>
      </c>
      <c r="C1100" s="160"/>
      <c r="D1100" s="161"/>
      <c r="E1100" s="161"/>
      <c r="F1100" s="161"/>
      <c r="G1100" s="161"/>
      <c r="H1100" s="161"/>
      <c r="I1100" s="161"/>
      <c r="J1100" s="161"/>
      <c r="K1100" s="161"/>
      <c r="L1100" s="161"/>
      <c r="M1100" s="161"/>
      <c r="N1100" s="179"/>
      <c r="O1100" s="161"/>
      <c r="P1100" s="155"/>
      <c r="Q1100" s="145"/>
    </row>
    <row r="1101" spans="1:17" s="146" customFormat="1" ht="10.5" x14ac:dyDescent="0.25">
      <c r="A1101" s="151"/>
      <c r="B1101" s="152" t="s">
        <v>2264</v>
      </c>
      <c r="C1101" s="160"/>
      <c r="D1101" s="161"/>
      <c r="E1101" s="161">
        <v>1.48</v>
      </c>
      <c r="F1101" s="161">
        <v>1.48</v>
      </c>
      <c r="G1101" s="161"/>
      <c r="H1101" s="161">
        <v>0.1</v>
      </c>
      <c r="I1101" s="161"/>
      <c r="J1101" s="161"/>
      <c r="K1101" s="161"/>
      <c r="L1101" s="161"/>
      <c r="M1101" s="161">
        <f>'Planilha Hidráulica'!AF33</f>
        <v>7</v>
      </c>
      <c r="N1101" s="179"/>
      <c r="O1101" s="161">
        <f>M1101*E1101*F1101*H1101</f>
        <v>1.53328</v>
      </c>
      <c r="P1101" s="155"/>
      <c r="Q1101" s="145"/>
    </row>
    <row r="1102" spans="1:17" s="146" customFormat="1" ht="10.5" x14ac:dyDescent="0.25">
      <c r="A1102" s="151"/>
      <c r="B1102" s="152" t="s">
        <v>2265</v>
      </c>
      <c r="C1102" s="160"/>
      <c r="D1102" s="161"/>
      <c r="E1102" s="161">
        <v>1.9</v>
      </c>
      <c r="F1102" s="161">
        <v>1.9</v>
      </c>
      <c r="G1102" s="161"/>
      <c r="H1102" s="161">
        <v>0.1</v>
      </c>
      <c r="I1102" s="161"/>
      <c r="J1102" s="161"/>
      <c r="K1102" s="161"/>
      <c r="L1102" s="161"/>
      <c r="M1102" s="161">
        <f>'Planilha Hidráulica'!AG33</f>
        <v>0</v>
      </c>
      <c r="N1102" s="179"/>
      <c r="O1102" s="161">
        <f t="shared" ref="O1102:O1105" si="19">M1102*E1102*F1102*H1102</f>
        <v>0</v>
      </c>
      <c r="P1102" s="155"/>
      <c r="Q1102" s="145"/>
    </row>
    <row r="1103" spans="1:17" s="146" customFormat="1" ht="10.5" x14ac:dyDescent="0.25">
      <c r="A1103" s="151"/>
      <c r="B1103" s="152" t="s">
        <v>2266</v>
      </c>
      <c r="C1103" s="160"/>
      <c r="D1103" s="161"/>
      <c r="E1103" s="161">
        <v>2.14</v>
      </c>
      <c r="F1103" s="161">
        <v>2.14</v>
      </c>
      <c r="G1103" s="161"/>
      <c r="H1103" s="161">
        <v>0.1</v>
      </c>
      <c r="I1103" s="161"/>
      <c r="J1103" s="161"/>
      <c r="K1103" s="161"/>
      <c r="L1103" s="161"/>
      <c r="M1103" s="161">
        <f>'Planilha Hidráulica'!AH33</f>
        <v>2</v>
      </c>
      <c r="N1103" s="179"/>
      <c r="O1103" s="161">
        <f t="shared" si="19"/>
        <v>0.91592000000000007</v>
      </c>
      <c r="P1103" s="155"/>
      <c r="Q1103" s="145"/>
    </row>
    <row r="1104" spans="1:17" s="146" customFormat="1" ht="10.5" x14ac:dyDescent="0.25">
      <c r="A1104" s="151"/>
      <c r="B1104" s="152" t="s">
        <v>2267</v>
      </c>
      <c r="C1104" s="160"/>
      <c r="D1104" s="161"/>
      <c r="E1104" s="161">
        <v>2.2400000000000002</v>
      </c>
      <c r="F1104" s="161">
        <v>2.2400000000000002</v>
      </c>
      <c r="G1104" s="161"/>
      <c r="H1104" s="161">
        <v>0.1</v>
      </c>
      <c r="I1104" s="161"/>
      <c r="J1104" s="161"/>
      <c r="K1104" s="161"/>
      <c r="L1104" s="161"/>
      <c r="M1104" s="161">
        <f>'Planilha Hidráulica'!AI33</f>
        <v>4</v>
      </c>
      <c r="N1104" s="179"/>
      <c r="O1104" s="161">
        <f t="shared" si="19"/>
        <v>2.0070400000000004</v>
      </c>
      <c r="P1104" s="155"/>
      <c r="Q1104" s="145"/>
    </row>
    <row r="1105" spans="1:17" s="146" customFormat="1" ht="10.5" x14ac:dyDescent="0.25">
      <c r="A1105" s="151"/>
      <c r="B1105" s="152" t="s">
        <v>2268</v>
      </c>
      <c r="C1105" s="160"/>
      <c r="D1105" s="161"/>
      <c r="E1105" s="161">
        <v>2.64</v>
      </c>
      <c r="F1105" s="161">
        <v>2.64</v>
      </c>
      <c r="G1105" s="161"/>
      <c r="H1105" s="161">
        <v>0.1</v>
      </c>
      <c r="I1105" s="161"/>
      <c r="J1105" s="161"/>
      <c r="K1105" s="161"/>
      <c r="L1105" s="161"/>
      <c r="M1105" s="161">
        <f>'Planilha Hidráulica'!AJ33</f>
        <v>8</v>
      </c>
      <c r="N1105" s="179"/>
      <c r="O1105" s="161">
        <f t="shared" si="19"/>
        <v>5.5756800000000011</v>
      </c>
      <c r="P1105" s="155"/>
      <c r="Q1105" s="145"/>
    </row>
    <row r="1106" spans="1:17" s="146" customFormat="1" ht="10.5" x14ac:dyDescent="0.25">
      <c r="A1106" s="151"/>
      <c r="B1106" s="152"/>
      <c r="C1106" s="160"/>
      <c r="D1106" s="161"/>
      <c r="E1106" s="161"/>
      <c r="F1106" s="161"/>
      <c r="G1106" s="161"/>
      <c r="H1106" s="161"/>
      <c r="I1106" s="161"/>
      <c r="J1106" s="161"/>
      <c r="K1106" s="161"/>
      <c r="L1106" s="161"/>
      <c r="M1106" s="161"/>
      <c r="N1106" s="179"/>
      <c r="O1106" s="161"/>
      <c r="P1106" s="155"/>
      <c r="Q1106" s="145"/>
    </row>
    <row r="1107" spans="1:17" s="146" customFormat="1" ht="10.5" x14ac:dyDescent="0.25">
      <c r="A1107" s="151"/>
      <c r="B1107" s="157" t="s">
        <v>377</v>
      </c>
      <c r="C1107" s="158" t="s">
        <v>402</v>
      </c>
      <c r="D1107" s="158"/>
      <c r="E1107" s="158"/>
      <c r="F1107" s="158"/>
      <c r="G1107" s="158"/>
      <c r="H1107" s="158"/>
      <c r="I1107" s="158"/>
      <c r="J1107" s="158"/>
      <c r="K1107" s="161"/>
      <c r="L1107" s="158"/>
      <c r="M1107" s="158"/>
      <c r="N1107" s="160"/>
      <c r="O1107" s="160">
        <f>SUM(O1101:O1105)</f>
        <v>10.031920000000003</v>
      </c>
      <c r="P1107" s="159"/>
      <c r="Q1107" s="145"/>
    </row>
    <row r="1108" spans="1:17" s="150" customFormat="1" ht="21.75" customHeight="1" x14ac:dyDescent="0.25">
      <c r="A1108" s="147" t="str">
        <f>ORÇAMENTO!A250</f>
        <v>4.1.2.7.2</v>
      </c>
      <c r="B1108" s="148" t="str">
        <f>VLOOKUP(A1108,ORÇAMENTO!$A:$F,4,0)</f>
        <v>PEÇA RETANGULAR PRÉ-MOLDADA, VOLUME DE CONCRETO DE ATÉ 10 LITROS, TAXA DE AÇO APROXIMADA DE 30KG/M³. AF_03/2024</v>
      </c>
      <c r="C1108" s="149" t="str">
        <f>VLOOKUP(A1108,ORÇAMENTO!$A:$F,5,0)</f>
        <v>M³</v>
      </c>
      <c r="D1108" s="149">
        <f>ROUND(SUM(E1113:O1113),2)</f>
        <v>1.1499999999999999</v>
      </c>
      <c r="E1108" s="149" t="s">
        <v>2149</v>
      </c>
      <c r="F1108" s="149" t="s">
        <v>2150</v>
      </c>
      <c r="G1108" s="149" t="s">
        <v>2151</v>
      </c>
      <c r="H1108" s="149" t="s">
        <v>2152</v>
      </c>
      <c r="I1108" s="149" t="s">
        <v>2153</v>
      </c>
      <c r="J1108" s="149" t="s">
        <v>2154</v>
      </c>
      <c r="K1108" s="149" t="s">
        <v>2155</v>
      </c>
      <c r="L1108" s="149" t="s">
        <v>2239</v>
      </c>
      <c r="M1108" s="149" t="s">
        <v>413</v>
      </c>
      <c r="N1108" s="149" t="s">
        <v>2244</v>
      </c>
      <c r="O1108" s="149" t="s">
        <v>2158</v>
      </c>
      <c r="P1108" s="145"/>
      <c r="Q1108" s="145"/>
    </row>
    <row r="1109" spans="1:17" s="146" customFormat="1" ht="10.5" x14ac:dyDescent="0.25">
      <c r="A1109" s="151"/>
      <c r="B1109" s="152" t="str">
        <f>B1100</f>
        <v>CONFORME DESENHO TIPO</v>
      </c>
      <c r="C1109" s="160"/>
      <c r="D1109" s="161"/>
      <c r="E1109" s="161"/>
      <c r="F1109" s="161"/>
      <c r="G1109" s="161"/>
      <c r="H1109" s="161"/>
      <c r="I1109" s="161"/>
      <c r="J1109" s="161"/>
      <c r="K1109" s="161"/>
      <c r="L1109" s="161"/>
      <c r="M1109" s="161"/>
      <c r="N1109" s="179"/>
      <c r="O1109" s="161"/>
      <c r="P1109" s="155"/>
      <c r="Q1109" s="145"/>
    </row>
    <row r="1110" spans="1:17" s="146" customFormat="1" ht="10.5" x14ac:dyDescent="0.25">
      <c r="A1110" s="151"/>
      <c r="B1110" s="152" t="str">
        <f t="shared" ref="B1110:B1111" si="20">B1101</f>
        <v>PV DN 600</v>
      </c>
      <c r="C1110" s="160"/>
      <c r="D1110" s="161"/>
      <c r="E1110" s="161">
        <f>E1101-0.2</f>
        <v>1.28</v>
      </c>
      <c r="F1110" s="161">
        <f>F1101-0.2</f>
        <v>1.28</v>
      </c>
      <c r="G1110" s="161"/>
      <c r="H1110" s="161">
        <v>0.1</v>
      </c>
      <c r="I1110" s="161"/>
      <c r="J1110" s="161"/>
      <c r="K1110" s="161"/>
      <c r="L1110" s="161"/>
      <c r="M1110" s="161">
        <f>M1101</f>
        <v>7</v>
      </c>
      <c r="N1110" s="179"/>
      <c r="O1110" s="161">
        <f t="shared" ref="O1110:O1111" si="21">M1110*E1110*F1110*H1110</f>
        <v>1.1468800000000001</v>
      </c>
      <c r="P1110" s="155"/>
      <c r="Q1110" s="145"/>
    </row>
    <row r="1111" spans="1:17" s="146" customFormat="1" ht="10.5" x14ac:dyDescent="0.25">
      <c r="A1111" s="151"/>
      <c r="B1111" s="152" t="str">
        <f t="shared" si="20"/>
        <v>PV DN 800</v>
      </c>
      <c r="C1111" s="160"/>
      <c r="D1111" s="161"/>
      <c r="E1111" s="161">
        <f>E1102-0.2*2</f>
        <v>1.5</v>
      </c>
      <c r="F1111" s="161">
        <f>F1102-0.2*2</f>
        <v>1.5</v>
      </c>
      <c r="G1111" s="161"/>
      <c r="H1111" s="161">
        <v>0.1</v>
      </c>
      <c r="I1111" s="161"/>
      <c r="J1111" s="161"/>
      <c r="K1111" s="161"/>
      <c r="L1111" s="161"/>
      <c r="M1111" s="161">
        <f t="shared" ref="M1111" si="22">M1102</f>
        <v>0</v>
      </c>
      <c r="N1111" s="179"/>
      <c r="O1111" s="161">
        <f t="shared" si="21"/>
        <v>0</v>
      </c>
      <c r="P1111" s="155"/>
      <c r="Q1111" s="145"/>
    </row>
    <row r="1112" spans="1:17" s="146" customFormat="1" ht="10.5" x14ac:dyDescent="0.25">
      <c r="A1112" s="151"/>
      <c r="B1112" s="152"/>
      <c r="C1112" s="160"/>
      <c r="D1112" s="161"/>
      <c r="E1112" s="161"/>
      <c r="F1112" s="161"/>
      <c r="G1112" s="161"/>
      <c r="H1112" s="161"/>
      <c r="I1112" s="161"/>
      <c r="J1112" s="161"/>
      <c r="K1112" s="161"/>
      <c r="L1112" s="161"/>
      <c r="M1112" s="161"/>
      <c r="N1112" s="179"/>
      <c r="O1112" s="161"/>
      <c r="P1112" s="155"/>
      <c r="Q1112" s="145"/>
    </row>
    <row r="1113" spans="1:17" s="146" customFormat="1" ht="10.5" x14ac:dyDescent="0.25">
      <c r="A1113" s="151"/>
      <c r="B1113" s="157" t="s">
        <v>377</v>
      </c>
      <c r="C1113" s="158" t="s">
        <v>402</v>
      </c>
      <c r="D1113" s="158"/>
      <c r="E1113" s="158"/>
      <c r="F1113" s="158"/>
      <c r="G1113" s="158"/>
      <c r="H1113" s="158"/>
      <c r="I1113" s="158"/>
      <c r="J1113" s="158"/>
      <c r="K1113" s="161"/>
      <c r="L1113" s="158"/>
      <c r="M1113" s="158"/>
      <c r="N1113" s="160"/>
      <c r="O1113" s="160">
        <f>SUM(O1109:O1112)</f>
        <v>1.1468800000000001</v>
      </c>
      <c r="P1113" s="159"/>
      <c r="Q1113" s="145"/>
    </row>
    <row r="1114" spans="1:17" s="150" customFormat="1" ht="21.75" customHeight="1" x14ac:dyDescent="0.25">
      <c r="A1114" s="147" t="str">
        <f>ORÇAMENTO!A251</f>
        <v>4.1.2.7.3</v>
      </c>
      <c r="B1114" s="148" t="str">
        <f>VLOOKUP(A1114,ORÇAMENTO!$A:$F,4,0)</f>
        <v>ALVENARIA DE VEDAÇÃO DE BLOCOS VAZADOS DE CONCRETO DE 19X19X39 CM (ESPESSURA 19 CM) E ARGAMASSA DE ASSENTAMENTO COM PREPARO EM BETONEIRA. AF_12/2021</v>
      </c>
      <c r="C1114" s="149" t="str">
        <f>VLOOKUP(A1114,ORÇAMENTO!$A:$F,5,0)</f>
        <v>M²</v>
      </c>
      <c r="D1114" s="149">
        <f>ROUND(SUM(E1119:O1119),2)</f>
        <v>38.81</v>
      </c>
      <c r="E1114" s="149" t="s">
        <v>2149</v>
      </c>
      <c r="F1114" s="149" t="s">
        <v>2150</v>
      </c>
      <c r="G1114" s="149" t="s">
        <v>2151</v>
      </c>
      <c r="H1114" s="149" t="s">
        <v>2152</v>
      </c>
      <c r="I1114" s="149" t="s">
        <v>2153</v>
      </c>
      <c r="J1114" s="149" t="s">
        <v>2154</v>
      </c>
      <c r="K1114" s="149" t="s">
        <v>2155</v>
      </c>
      <c r="L1114" s="149" t="s">
        <v>2239</v>
      </c>
      <c r="M1114" s="149" t="s">
        <v>413</v>
      </c>
      <c r="N1114" s="149" t="s">
        <v>2257</v>
      </c>
      <c r="O1114" s="149" t="s">
        <v>2158</v>
      </c>
      <c r="P1114" s="145"/>
      <c r="Q1114" s="145"/>
    </row>
    <row r="1115" spans="1:17" s="146" customFormat="1" ht="10.5" x14ac:dyDescent="0.25">
      <c r="A1115" s="151"/>
      <c r="B1115" s="152" t="str">
        <f>B1109</f>
        <v>CONFORME DESENHO TIPO</v>
      </c>
      <c r="C1115" s="160"/>
      <c r="D1115" s="161"/>
      <c r="E1115" s="161"/>
      <c r="F1115" s="161"/>
      <c r="G1115" s="161"/>
      <c r="H1115" s="161"/>
      <c r="I1115" s="161"/>
      <c r="J1115" s="161"/>
      <c r="K1115" s="161"/>
      <c r="L1115" s="161"/>
      <c r="M1115" s="161"/>
      <c r="N1115" s="179"/>
      <c r="O1115" s="161"/>
      <c r="P1115" s="155"/>
      <c r="Q1115" s="145"/>
    </row>
    <row r="1116" spans="1:17" s="146" customFormat="1" ht="10.5" x14ac:dyDescent="0.25">
      <c r="A1116" s="151"/>
      <c r="B1116" s="152" t="str">
        <f>B1110</f>
        <v>PV DN 600</v>
      </c>
      <c r="C1116" s="160"/>
      <c r="D1116" s="161"/>
      <c r="E1116" s="161">
        <f>E1110-0.1*2</f>
        <v>1.08</v>
      </c>
      <c r="F1116" s="161">
        <f>F1110-0.1*2</f>
        <v>1.08</v>
      </c>
      <c r="G1116" s="161">
        <v>1.4</v>
      </c>
      <c r="H1116" s="161">
        <v>0.09</v>
      </c>
      <c r="I1116" s="161">
        <f>2*(E1116+F1116-2*H1116)</f>
        <v>3.9600000000000004</v>
      </c>
      <c r="J1116" s="161"/>
      <c r="K1116" s="161"/>
      <c r="L1116" s="161"/>
      <c r="M1116" s="161">
        <f>M1110</f>
        <v>7</v>
      </c>
      <c r="N1116" s="179">
        <f>M1116*I1116*G1116</f>
        <v>38.808</v>
      </c>
      <c r="O1116" s="161"/>
      <c r="P1116" s="155"/>
      <c r="Q1116" s="145"/>
    </row>
    <row r="1117" spans="1:17" s="146" customFormat="1" ht="10.5" x14ac:dyDescent="0.25">
      <c r="A1117" s="151"/>
      <c r="B1117" s="152" t="str">
        <f>B1111</f>
        <v>PV DN 800</v>
      </c>
      <c r="C1117" s="160"/>
      <c r="D1117" s="161"/>
      <c r="E1117" s="161">
        <f>E1111</f>
        <v>1.5</v>
      </c>
      <c r="F1117" s="161">
        <f>F1111</f>
        <v>1.5</v>
      </c>
      <c r="G1117" s="161">
        <v>1.4</v>
      </c>
      <c r="H1117" s="161">
        <v>0.2</v>
      </c>
      <c r="I1117" s="161">
        <f>2*(E1117+F1117-2*H1117)</f>
        <v>5.2</v>
      </c>
      <c r="J1117" s="161"/>
      <c r="K1117" s="161"/>
      <c r="L1117" s="161"/>
      <c r="M1117" s="161">
        <f>M1111</f>
        <v>0</v>
      </c>
      <c r="N1117" s="179">
        <f>M1117*I1117*G1117</f>
        <v>0</v>
      </c>
      <c r="O1117" s="161"/>
      <c r="P1117" s="155"/>
      <c r="Q1117" s="145"/>
    </row>
    <row r="1118" spans="1:17" s="146" customFormat="1" ht="10.5" x14ac:dyDescent="0.25">
      <c r="A1118" s="151"/>
      <c r="B1118" s="152"/>
      <c r="C1118" s="160"/>
      <c r="D1118" s="161"/>
      <c r="E1118" s="161"/>
      <c r="F1118" s="161"/>
      <c r="G1118" s="161"/>
      <c r="H1118" s="161"/>
      <c r="I1118" s="161"/>
      <c r="J1118" s="161"/>
      <c r="K1118" s="161"/>
      <c r="L1118" s="161"/>
      <c r="M1118" s="161"/>
      <c r="N1118" s="179"/>
      <c r="O1118" s="161"/>
      <c r="P1118" s="155"/>
      <c r="Q1118" s="145"/>
    </row>
    <row r="1119" spans="1:17" s="146" customFormat="1" ht="10.5" x14ac:dyDescent="0.25">
      <c r="A1119" s="151"/>
      <c r="B1119" s="157" t="s">
        <v>377</v>
      </c>
      <c r="C1119" s="158" t="s">
        <v>402</v>
      </c>
      <c r="D1119" s="158"/>
      <c r="E1119" s="158"/>
      <c r="F1119" s="158"/>
      <c r="G1119" s="158"/>
      <c r="H1119" s="158"/>
      <c r="I1119" s="158"/>
      <c r="J1119" s="158"/>
      <c r="K1119" s="161"/>
      <c r="L1119" s="158"/>
      <c r="M1119" s="158"/>
      <c r="N1119" s="160">
        <f>SUM(N1115:N1118)</f>
        <v>38.808</v>
      </c>
      <c r="O1119" s="158"/>
      <c r="P1119" s="159"/>
      <c r="Q1119" s="145"/>
    </row>
    <row r="1120" spans="1:17" s="150" customFormat="1" ht="42" x14ac:dyDescent="0.25">
      <c r="A1120" s="147" t="str">
        <f>ORÇAMENTO!A252</f>
        <v>4.1.2.7.4</v>
      </c>
      <c r="B1120" s="148" t="str">
        <f>VLOOKUP(A1120,ORÇAMENTO!$A:$F,4,0)</f>
        <v>CONCRETO FCK = 15MPA, TRAÇO 1:3,4:3,5 (EM MASSA SECA DE CIMENTO/ AREIA MÉDIA/ BRITA 1) - PREPARO MECÂNICO COM BETONEIRA 600 L. AF_05/2021</v>
      </c>
      <c r="C1120" s="149" t="str">
        <f>VLOOKUP(A1120,ORÇAMENTO!$A:$F,5,0)</f>
        <v>M³</v>
      </c>
      <c r="D1120" s="149">
        <f>ROUND(SUM(E1134:O1134),2)</f>
        <v>21.86</v>
      </c>
      <c r="E1120" s="149" t="s">
        <v>2149</v>
      </c>
      <c r="F1120" s="149" t="s">
        <v>2150</v>
      </c>
      <c r="G1120" s="149" t="s">
        <v>2151</v>
      </c>
      <c r="H1120" s="149" t="s">
        <v>2152</v>
      </c>
      <c r="I1120" s="149" t="s">
        <v>2153</v>
      </c>
      <c r="J1120" s="149" t="s">
        <v>2154</v>
      </c>
      <c r="K1120" s="149" t="s">
        <v>2155</v>
      </c>
      <c r="L1120" s="149" t="s">
        <v>2239</v>
      </c>
      <c r="M1120" s="149" t="s">
        <v>413</v>
      </c>
      <c r="N1120" s="149" t="s">
        <v>2257</v>
      </c>
      <c r="O1120" s="149" t="s">
        <v>2158</v>
      </c>
      <c r="P1120" s="145"/>
      <c r="Q1120" s="145"/>
    </row>
    <row r="1121" spans="1:17" s="146" customFormat="1" ht="10.5" x14ac:dyDescent="0.25">
      <c r="A1121" s="151"/>
      <c r="B1121" s="152" t="str">
        <f>B1136</f>
        <v>CONFORME DESENHO TIPO</v>
      </c>
      <c r="C1121" s="153"/>
      <c r="D1121" s="154"/>
      <c r="E1121" s="154"/>
      <c r="F1121" s="154"/>
      <c r="G1121" s="154"/>
      <c r="H1121" s="154"/>
      <c r="I1121" s="154"/>
      <c r="J1121" s="154"/>
      <c r="K1121" s="154"/>
      <c r="L1121" s="154"/>
      <c r="M1121" s="154"/>
      <c r="N1121" s="173"/>
      <c r="O1121" s="154"/>
      <c r="P1121" s="155"/>
      <c r="Q1121" s="145"/>
    </row>
    <row r="1122" spans="1:17" s="150" customFormat="1" ht="10.5" x14ac:dyDescent="0.25">
      <c r="A1122" s="175"/>
      <c r="B1122" s="157" t="str">
        <f>B1103</f>
        <v>PV DN 1000</v>
      </c>
      <c r="C1122" s="153"/>
      <c r="D1122" s="153"/>
      <c r="E1122" s="153"/>
      <c r="F1122" s="153"/>
      <c r="G1122" s="153"/>
      <c r="H1122" s="153"/>
      <c r="I1122" s="153"/>
      <c r="J1122" s="153"/>
      <c r="K1122" s="153"/>
      <c r="L1122" s="153"/>
      <c r="M1122" s="153"/>
      <c r="N1122" s="176"/>
      <c r="O1122" s="153"/>
      <c r="P1122" s="155"/>
      <c r="Q1122" s="145"/>
    </row>
    <row r="1123" spans="1:17" s="146" customFormat="1" ht="10.5" x14ac:dyDescent="0.25">
      <c r="A1123" s="151"/>
      <c r="B1123" s="152" t="s">
        <v>2269</v>
      </c>
      <c r="C1123" s="153"/>
      <c r="D1123" s="154"/>
      <c r="E1123" s="154">
        <f>E1142</f>
        <v>1.74</v>
      </c>
      <c r="F1123" s="154">
        <f>F1142</f>
        <v>1.74</v>
      </c>
      <c r="G1123" s="154"/>
      <c r="H1123" s="154">
        <v>0.05</v>
      </c>
      <c r="I1123" s="154"/>
      <c r="J1123" s="154"/>
      <c r="K1123" s="154"/>
      <c r="L1123" s="154"/>
      <c r="M1123" s="154">
        <f>M1103</f>
        <v>2</v>
      </c>
      <c r="N1123" s="173"/>
      <c r="O1123" s="154">
        <f>M1123*E1123*F1123*H1123</f>
        <v>0.30276000000000003</v>
      </c>
      <c r="P1123" s="155"/>
      <c r="Q1123" s="145"/>
    </row>
    <row r="1124" spans="1:17" s="146" customFormat="1" ht="10.5" x14ac:dyDescent="0.25">
      <c r="A1124" s="151"/>
      <c r="B1124" s="152" t="s">
        <v>2270</v>
      </c>
      <c r="C1124" s="153"/>
      <c r="D1124" s="154"/>
      <c r="E1124" s="154">
        <f>F1143</f>
        <v>1.5</v>
      </c>
      <c r="F1124" s="154">
        <f>F1143</f>
        <v>1.5</v>
      </c>
      <c r="G1124" s="154"/>
      <c r="H1124" s="154">
        <v>0.23</v>
      </c>
      <c r="I1124" s="154"/>
      <c r="J1124" s="154"/>
      <c r="K1124" s="154"/>
      <c r="L1124" s="154"/>
      <c r="M1124" s="154">
        <f>M1123</f>
        <v>2</v>
      </c>
      <c r="N1124" s="173"/>
      <c r="O1124" s="154">
        <f>M1124*E1124*F1124*H1124</f>
        <v>1.0350000000000001</v>
      </c>
      <c r="P1124" s="155"/>
      <c r="Q1124" s="145"/>
    </row>
    <row r="1125" spans="1:17" s="146" customFormat="1" ht="10.5" x14ac:dyDescent="0.25">
      <c r="A1125" s="151"/>
      <c r="B1125" s="152"/>
      <c r="C1125" s="153"/>
      <c r="D1125" s="154"/>
      <c r="E1125" s="154"/>
      <c r="F1125" s="154"/>
      <c r="G1125" s="154"/>
      <c r="H1125" s="154"/>
      <c r="I1125" s="154"/>
      <c r="J1125" s="154"/>
      <c r="K1125" s="154"/>
      <c r="L1125" s="154"/>
      <c r="M1125" s="154"/>
      <c r="N1125" s="173"/>
      <c r="O1125" s="154"/>
      <c r="P1125" s="155"/>
      <c r="Q1125" s="145"/>
    </row>
    <row r="1126" spans="1:17" s="150" customFormat="1" ht="10.5" x14ac:dyDescent="0.25">
      <c r="A1126" s="175"/>
      <c r="B1126" s="157" t="str">
        <f>B1104</f>
        <v>PV DN 1200</v>
      </c>
      <c r="C1126" s="153"/>
      <c r="D1126" s="153"/>
      <c r="E1126" s="153"/>
      <c r="F1126" s="153"/>
      <c r="G1126" s="153"/>
      <c r="H1126" s="153"/>
      <c r="I1126" s="153"/>
      <c r="J1126" s="153"/>
      <c r="K1126" s="153"/>
      <c r="L1126" s="153"/>
      <c r="M1126" s="153"/>
      <c r="N1126" s="176"/>
      <c r="O1126" s="153"/>
      <c r="P1126" s="155"/>
      <c r="Q1126" s="145"/>
    </row>
    <row r="1127" spans="1:17" s="146" customFormat="1" ht="10.5" x14ac:dyDescent="0.25">
      <c r="A1127" s="151"/>
      <c r="B1127" s="152" t="s">
        <v>2269</v>
      </c>
      <c r="C1127" s="153"/>
      <c r="D1127" s="154"/>
      <c r="E1127" s="154">
        <f>E1146</f>
        <v>2.04</v>
      </c>
      <c r="F1127" s="154">
        <f>F1146</f>
        <v>2.04</v>
      </c>
      <c r="G1127" s="154"/>
      <c r="H1127" s="154">
        <v>0.05</v>
      </c>
      <c r="I1127" s="154"/>
      <c r="J1127" s="154"/>
      <c r="K1127" s="154"/>
      <c r="L1127" s="154"/>
      <c r="M1127" s="154">
        <f>M1104</f>
        <v>4</v>
      </c>
      <c r="N1127" s="173"/>
      <c r="O1127" s="154">
        <f>M1127*E1127*F1127*H1127</f>
        <v>0.83232000000000006</v>
      </c>
      <c r="P1127" s="155"/>
      <c r="Q1127" s="145"/>
    </row>
    <row r="1128" spans="1:17" s="146" customFormat="1" ht="10.5" x14ac:dyDescent="0.25">
      <c r="A1128" s="151"/>
      <c r="B1128" s="152" t="s">
        <v>2270</v>
      </c>
      <c r="C1128" s="153"/>
      <c r="D1128" s="154"/>
      <c r="E1128" s="154">
        <f>F1147</f>
        <v>1.8</v>
      </c>
      <c r="F1128" s="154">
        <f>F1147</f>
        <v>1.8</v>
      </c>
      <c r="G1128" s="154"/>
      <c r="H1128" s="154">
        <v>0.28999999999999998</v>
      </c>
      <c r="I1128" s="154"/>
      <c r="J1128" s="154"/>
      <c r="K1128" s="154"/>
      <c r="L1128" s="154"/>
      <c r="M1128" s="154">
        <f>M1127</f>
        <v>4</v>
      </c>
      <c r="N1128" s="173"/>
      <c r="O1128" s="154">
        <f>M1128*E1128*F1128*H1128</f>
        <v>3.7584</v>
      </c>
      <c r="P1128" s="155"/>
      <c r="Q1128" s="145"/>
    </row>
    <row r="1129" spans="1:17" s="146" customFormat="1" ht="10.5" x14ac:dyDescent="0.25">
      <c r="A1129" s="151"/>
      <c r="B1129" s="152"/>
      <c r="C1129" s="153"/>
      <c r="D1129" s="154"/>
      <c r="E1129" s="154"/>
      <c r="F1129" s="154"/>
      <c r="G1129" s="154"/>
      <c r="H1129" s="154"/>
      <c r="I1129" s="154"/>
      <c r="J1129" s="154"/>
      <c r="K1129" s="154"/>
      <c r="L1129" s="154"/>
      <c r="M1129" s="154"/>
      <c r="N1129" s="173"/>
      <c r="O1129" s="154"/>
      <c r="P1129" s="155"/>
      <c r="Q1129" s="145"/>
    </row>
    <row r="1130" spans="1:17" s="146" customFormat="1" ht="10.5" x14ac:dyDescent="0.25">
      <c r="A1130" s="151"/>
      <c r="B1130" s="157" t="str">
        <f>B1105</f>
        <v>PV DN 1500</v>
      </c>
      <c r="C1130" s="153"/>
      <c r="D1130" s="154"/>
      <c r="E1130" s="154"/>
      <c r="F1130" s="154"/>
      <c r="G1130" s="154"/>
      <c r="H1130" s="154"/>
      <c r="I1130" s="154"/>
      <c r="J1130" s="154"/>
      <c r="K1130" s="154"/>
      <c r="L1130" s="154"/>
      <c r="M1130" s="154"/>
      <c r="N1130" s="173"/>
      <c r="O1130" s="154"/>
      <c r="P1130" s="155"/>
      <c r="Q1130" s="145"/>
    </row>
    <row r="1131" spans="1:17" s="146" customFormat="1" ht="10.5" x14ac:dyDescent="0.25">
      <c r="A1131" s="151"/>
      <c r="B1131" s="152" t="s">
        <v>2269</v>
      </c>
      <c r="C1131" s="153"/>
      <c r="D1131" s="154"/>
      <c r="E1131" s="154">
        <f>E1150</f>
        <v>2.44</v>
      </c>
      <c r="F1131" s="154">
        <f>F1150</f>
        <v>2.44</v>
      </c>
      <c r="G1131" s="154"/>
      <c r="H1131" s="154">
        <v>0.05</v>
      </c>
      <c r="I1131" s="154"/>
      <c r="J1131" s="154"/>
      <c r="K1131" s="154"/>
      <c r="L1131" s="154"/>
      <c r="M1131" s="154">
        <f>M1150</f>
        <v>8</v>
      </c>
      <c r="N1131" s="173"/>
      <c r="O1131" s="154">
        <f>M1131*E1131*F1131*H1131</f>
        <v>2.38144</v>
      </c>
      <c r="P1131" s="155"/>
      <c r="Q1131" s="145"/>
    </row>
    <row r="1132" spans="1:17" s="146" customFormat="1" ht="10.5" x14ac:dyDescent="0.25">
      <c r="A1132" s="151"/>
      <c r="B1132" s="152" t="s">
        <v>2270</v>
      </c>
      <c r="C1132" s="153"/>
      <c r="D1132" s="154"/>
      <c r="E1132" s="154">
        <f>F1151</f>
        <v>2.2000000000000002</v>
      </c>
      <c r="F1132" s="154">
        <f>F1151</f>
        <v>2.2000000000000002</v>
      </c>
      <c r="G1132" s="154"/>
      <c r="H1132" s="154">
        <v>0.35</v>
      </c>
      <c r="I1132" s="154"/>
      <c r="J1132" s="154"/>
      <c r="K1132" s="154"/>
      <c r="L1132" s="154"/>
      <c r="M1132" s="154">
        <f>M1151</f>
        <v>8</v>
      </c>
      <c r="N1132" s="173"/>
      <c r="O1132" s="154">
        <f>M1132*E1132*F1132*H1132</f>
        <v>13.552000000000001</v>
      </c>
      <c r="P1132" s="155"/>
      <c r="Q1132" s="145"/>
    </row>
    <row r="1133" spans="1:17" s="146" customFormat="1" ht="10.5" x14ac:dyDescent="0.25">
      <c r="A1133" s="151"/>
      <c r="B1133" s="152"/>
      <c r="C1133" s="153"/>
      <c r="D1133" s="154"/>
      <c r="E1133" s="154"/>
      <c r="F1133" s="154"/>
      <c r="G1133" s="154"/>
      <c r="H1133" s="154"/>
      <c r="I1133" s="154"/>
      <c r="J1133" s="154"/>
      <c r="K1133" s="154"/>
      <c r="L1133" s="154"/>
      <c r="M1133" s="154"/>
      <c r="N1133" s="173"/>
      <c r="O1133" s="154"/>
      <c r="P1133" s="155"/>
      <c r="Q1133" s="145"/>
    </row>
    <row r="1134" spans="1:17" s="146" customFormat="1" ht="10.5" x14ac:dyDescent="0.25">
      <c r="A1134" s="151"/>
      <c r="B1134" s="157" t="s">
        <v>377</v>
      </c>
      <c r="C1134" s="158" t="s">
        <v>402</v>
      </c>
      <c r="D1134" s="158"/>
      <c r="E1134" s="158"/>
      <c r="F1134" s="158"/>
      <c r="G1134" s="158"/>
      <c r="H1134" s="158"/>
      <c r="I1134" s="158"/>
      <c r="J1134" s="158"/>
      <c r="K1134" s="154"/>
      <c r="L1134" s="158"/>
      <c r="M1134" s="158"/>
      <c r="N1134" s="153"/>
      <c r="O1134" s="153">
        <f>SUM(O1121:O1133)</f>
        <v>21.861920000000001</v>
      </c>
      <c r="P1134" s="159"/>
      <c r="Q1134" s="145"/>
    </row>
    <row r="1135" spans="1:17" s="150" customFormat="1" ht="21.75" customHeight="1" x14ac:dyDescent="0.25">
      <c r="A1135" s="147" t="str">
        <f>ORÇAMENTO!A253</f>
        <v>4.1.2.7.5</v>
      </c>
      <c r="B1135" s="148" t="str">
        <f>VLOOKUP(A1135,ORÇAMENTO!$A:$F,4,0)</f>
        <v>CONCRETO FCK = 25MPA, TRAÇO 1:2,3:2,7 (EM MASSA SECA DE CIMENTO/ AREIA MÉDIA/ BRITA 1) - PREPARO MECÂNICO COM BETONEIRA 600 L. AF_05/2021</v>
      </c>
      <c r="C1135" s="149" t="str">
        <f>VLOOKUP(A1135,ORÇAMENTO!$A:$F,5,0)</f>
        <v>M³</v>
      </c>
      <c r="D1135" s="149">
        <f>ROUND(SUM(E1154:O1154),2)</f>
        <v>48.79</v>
      </c>
      <c r="E1135" s="149" t="s">
        <v>2149</v>
      </c>
      <c r="F1135" s="149" t="s">
        <v>2150</v>
      </c>
      <c r="G1135" s="149" t="s">
        <v>2151</v>
      </c>
      <c r="H1135" s="149" t="s">
        <v>2152</v>
      </c>
      <c r="I1135" s="149" t="s">
        <v>2153</v>
      </c>
      <c r="J1135" s="149" t="s">
        <v>2154</v>
      </c>
      <c r="K1135" s="149" t="s">
        <v>2155</v>
      </c>
      <c r="L1135" s="149" t="s">
        <v>2239</v>
      </c>
      <c r="M1135" s="149" t="s">
        <v>413</v>
      </c>
      <c r="N1135" s="149" t="s">
        <v>2244</v>
      </c>
      <c r="O1135" s="149" t="s">
        <v>2158</v>
      </c>
      <c r="P1135" s="145"/>
      <c r="Q1135" s="145"/>
    </row>
    <row r="1136" spans="1:17" s="146" customFormat="1" ht="10.5" x14ac:dyDescent="0.25">
      <c r="A1136" s="151"/>
      <c r="B1136" s="152" t="str">
        <f>B1115</f>
        <v>CONFORME DESENHO TIPO</v>
      </c>
      <c r="C1136" s="160"/>
      <c r="D1136" s="161"/>
      <c r="E1136" s="161"/>
      <c r="F1136" s="161"/>
      <c r="G1136" s="161"/>
      <c r="H1136" s="161"/>
      <c r="I1136" s="161"/>
      <c r="J1136" s="161"/>
      <c r="K1136" s="161"/>
      <c r="L1136" s="161"/>
      <c r="M1136" s="161"/>
      <c r="N1136" s="179"/>
      <c r="O1136" s="161"/>
      <c r="P1136" s="155"/>
      <c r="Q1136" s="145"/>
    </row>
    <row r="1137" spans="1:17" s="150" customFormat="1" ht="10.5" x14ac:dyDescent="0.25">
      <c r="A1137" s="175"/>
      <c r="B1137" s="157" t="str">
        <f>B1110</f>
        <v>PV DN 600</v>
      </c>
      <c r="C1137" s="160"/>
      <c r="D1137" s="160"/>
      <c r="E1137" s="160">
        <f>E1116</f>
        <v>1.08</v>
      </c>
      <c r="F1137" s="160">
        <f>F1116</f>
        <v>1.08</v>
      </c>
      <c r="G1137" s="160"/>
      <c r="H1137" s="160"/>
      <c r="I1137" s="160"/>
      <c r="J1137" s="160"/>
      <c r="K1137" s="160"/>
      <c r="L1137" s="160"/>
      <c r="M1137" s="160"/>
      <c r="N1137" s="180"/>
      <c r="O1137" s="160"/>
      <c r="P1137" s="155"/>
      <c r="Q1137" s="145"/>
    </row>
    <row r="1138" spans="1:17" s="146" customFormat="1" ht="10.5" x14ac:dyDescent="0.25">
      <c r="A1138" s="151"/>
      <c r="B1138" s="152" t="s">
        <v>2271</v>
      </c>
      <c r="C1138" s="160"/>
      <c r="D1138" s="161"/>
      <c r="E1138" s="161">
        <f>E1137</f>
        <v>1.08</v>
      </c>
      <c r="F1138" s="161">
        <f>F1137</f>
        <v>1.08</v>
      </c>
      <c r="G1138" s="161"/>
      <c r="H1138" s="161">
        <v>0.1</v>
      </c>
      <c r="I1138" s="161"/>
      <c r="J1138" s="161"/>
      <c r="K1138" s="161"/>
      <c r="L1138" s="161"/>
      <c r="M1138" s="161">
        <f>M1110</f>
        <v>7</v>
      </c>
      <c r="N1138" s="179"/>
      <c r="O1138" s="161">
        <f>E1138*F1138*H1138*M1138</f>
        <v>0.81648000000000009</v>
      </c>
      <c r="P1138" s="155"/>
      <c r="Q1138" s="145"/>
    </row>
    <row r="1139" spans="1:17" s="150" customFormat="1" ht="10.5" x14ac:dyDescent="0.25">
      <c r="A1139" s="175"/>
      <c r="B1139" s="157" t="str">
        <f>B1111</f>
        <v>PV DN 800</v>
      </c>
      <c r="C1139" s="160"/>
      <c r="D1139" s="160"/>
      <c r="E1139" s="160">
        <f>E1117</f>
        <v>1.5</v>
      </c>
      <c r="F1139" s="160">
        <f>F1117</f>
        <v>1.5</v>
      </c>
      <c r="G1139" s="160"/>
      <c r="H1139" s="160"/>
      <c r="I1139" s="160"/>
      <c r="J1139" s="160"/>
      <c r="K1139" s="160"/>
      <c r="L1139" s="160"/>
      <c r="M1139" s="160"/>
      <c r="N1139" s="180"/>
      <c r="O1139" s="160"/>
      <c r="P1139" s="155"/>
      <c r="Q1139" s="145"/>
    </row>
    <row r="1140" spans="1:17" s="146" customFormat="1" ht="10.5" x14ac:dyDescent="0.25">
      <c r="A1140" s="151"/>
      <c r="B1140" s="152" t="s">
        <v>2271</v>
      </c>
      <c r="C1140" s="160"/>
      <c r="D1140" s="161"/>
      <c r="E1140" s="161">
        <f>E1139</f>
        <v>1.5</v>
      </c>
      <c r="F1140" s="161">
        <f>F1139</f>
        <v>1.5</v>
      </c>
      <c r="G1140" s="161"/>
      <c r="H1140" s="161">
        <v>0.1</v>
      </c>
      <c r="I1140" s="161"/>
      <c r="J1140" s="161"/>
      <c r="K1140" s="161"/>
      <c r="L1140" s="161"/>
      <c r="M1140" s="161">
        <f>M1111</f>
        <v>0</v>
      </c>
      <c r="N1140" s="179"/>
      <c r="O1140" s="161">
        <f>E1140*F1140*H1140*M1140</f>
        <v>0</v>
      </c>
      <c r="P1140" s="155"/>
      <c r="Q1140" s="145"/>
    </row>
    <row r="1141" spans="1:17" s="150" customFormat="1" ht="10.5" x14ac:dyDescent="0.25">
      <c r="A1141" s="175"/>
      <c r="B1141" s="157" t="str">
        <f>B1122</f>
        <v>PV DN 1000</v>
      </c>
      <c r="C1141" s="160"/>
      <c r="D1141" s="160"/>
      <c r="E1141" s="160">
        <v>1.74</v>
      </c>
      <c r="F1141" s="160">
        <v>1.74</v>
      </c>
      <c r="G1141" s="160"/>
      <c r="H1141" s="160"/>
      <c r="I1141" s="160"/>
      <c r="J1141" s="160"/>
      <c r="K1141" s="160"/>
      <c r="L1141" s="160"/>
      <c r="M1141" s="160"/>
      <c r="N1141" s="180"/>
      <c r="O1141" s="160"/>
      <c r="P1141" s="155"/>
      <c r="Q1141" s="145"/>
    </row>
    <row r="1142" spans="1:17" s="146" customFormat="1" ht="10.5" x14ac:dyDescent="0.25">
      <c r="A1142" s="151"/>
      <c r="B1142" s="152" t="s">
        <v>2271</v>
      </c>
      <c r="C1142" s="160"/>
      <c r="D1142" s="161"/>
      <c r="E1142" s="161">
        <f>E1141</f>
        <v>1.74</v>
      </c>
      <c r="F1142" s="161">
        <f>F1141</f>
        <v>1.74</v>
      </c>
      <c r="G1142" s="161"/>
      <c r="H1142" s="161">
        <v>0.1</v>
      </c>
      <c r="I1142" s="161"/>
      <c r="J1142" s="161"/>
      <c r="K1142" s="161"/>
      <c r="L1142" s="161"/>
      <c r="M1142" s="161">
        <f>M1103</f>
        <v>2</v>
      </c>
      <c r="N1142" s="179"/>
      <c r="O1142" s="161">
        <f>E1142*F1142*H1142*M1142</f>
        <v>0.60552000000000006</v>
      </c>
      <c r="P1142" s="155"/>
      <c r="Q1142" s="145"/>
    </row>
    <row r="1143" spans="1:17" s="146" customFormat="1" ht="10.5" x14ac:dyDescent="0.25">
      <c r="A1143" s="151"/>
      <c r="B1143" s="152" t="s">
        <v>2272</v>
      </c>
      <c r="C1143" s="153"/>
      <c r="D1143" s="154"/>
      <c r="E1143" s="154">
        <f>E1142</f>
        <v>1.74</v>
      </c>
      <c r="F1143" s="154">
        <f>F1142-2*H1143</f>
        <v>1.5</v>
      </c>
      <c r="G1143" s="154">
        <v>2</v>
      </c>
      <c r="H1143" s="154">
        <v>0.12</v>
      </c>
      <c r="I1143" s="154">
        <f>2*(E1143+F1143)</f>
        <v>6.48</v>
      </c>
      <c r="J1143" s="154"/>
      <c r="K1143" s="154"/>
      <c r="L1143" s="154"/>
      <c r="M1143" s="154">
        <f>M1142</f>
        <v>2</v>
      </c>
      <c r="N1143" s="173"/>
      <c r="O1143" s="154">
        <f>M1143*I1143*G1143*H1143</f>
        <v>3.1104000000000003</v>
      </c>
      <c r="P1143" s="155"/>
      <c r="Q1143" s="145"/>
    </row>
    <row r="1144" spans="1:17" s="146" customFormat="1" ht="10.5" x14ac:dyDescent="0.25">
      <c r="A1144" s="151"/>
      <c r="B1144" s="152" t="s">
        <v>2254</v>
      </c>
      <c r="C1144" s="153"/>
      <c r="D1144" s="154"/>
      <c r="E1144" s="154">
        <f>F1143</f>
        <v>1.5</v>
      </c>
      <c r="F1144" s="154">
        <f>F1143</f>
        <v>1.5</v>
      </c>
      <c r="G1144" s="154"/>
      <c r="H1144" s="154">
        <v>0.35</v>
      </c>
      <c r="I1144" s="154"/>
      <c r="J1144" s="154"/>
      <c r="K1144" s="154"/>
      <c r="L1144" s="154"/>
      <c r="M1144" s="154">
        <f>M1143</f>
        <v>2</v>
      </c>
      <c r="N1144" s="173"/>
      <c r="O1144" s="154">
        <f>M1144*H1144*F1144*E1144</f>
        <v>1.5749999999999997</v>
      </c>
      <c r="P1144" s="155"/>
      <c r="Q1144" s="145"/>
    </row>
    <row r="1145" spans="1:17" s="150" customFormat="1" ht="10.5" x14ac:dyDescent="0.25">
      <c r="A1145" s="175"/>
      <c r="B1145" s="157" t="str">
        <f>B1126</f>
        <v>PV DN 1200</v>
      </c>
      <c r="C1145" s="160"/>
      <c r="D1145" s="160"/>
      <c r="E1145" s="160">
        <v>2.04</v>
      </c>
      <c r="F1145" s="160">
        <v>2.04</v>
      </c>
      <c r="G1145" s="160"/>
      <c r="H1145" s="160"/>
      <c r="I1145" s="160"/>
      <c r="J1145" s="160"/>
      <c r="K1145" s="160"/>
      <c r="L1145" s="160"/>
      <c r="M1145" s="160"/>
      <c r="N1145" s="180"/>
      <c r="O1145" s="160"/>
      <c r="P1145" s="155"/>
      <c r="Q1145" s="145"/>
    </row>
    <row r="1146" spans="1:17" s="146" customFormat="1" ht="10.5" x14ac:dyDescent="0.25">
      <c r="A1146" s="151"/>
      <c r="B1146" s="152" t="s">
        <v>2271</v>
      </c>
      <c r="C1146" s="160"/>
      <c r="D1146" s="161"/>
      <c r="E1146" s="161">
        <f>E1145</f>
        <v>2.04</v>
      </c>
      <c r="F1146" s="161">
        <f>F1145</f>
        <v>2.04</v>
      </c>
      <c r="G1146" s="161"/>
      <c r="H1146" s="161">
        <v>0.1</v>
      </c>
      <c r="I1146" s="161"/>
      <c r="J1146" s="161"/>
      <c r="K1146" s="161"/>
      <c r="L1146" s="161"/>
      <c r="M1146" s="161">
        <f>M1127</f>
        <v>4</v>
      </c>
      <c r="N1146" s="179"/>
      <c r="O1146" s="161">
        <f>E1146*F1146*H1146*M1146</f>
        <v>1.6646400000000001</v>
      </c>
      <c r="P1146" s="155"/>
      <c r="Q1146" s="145"/>
    </row>
    <row r="1147" spans="1:17" s="146" customFormat="1" ht="10.5" x14ac:dyDescent="0.25">
      <c r="A1147" s="151"/>
      <c r="B1147" s="152" t="s">
        <v>2272</v>
      </c>
      <c r="C1147" s="153"/>
      <c r="D1147" s="154"/>
      <c r="E1147" s="154">
        <f>E1146</f>
        <v>2.04</v>
      </c>
      <c r="F1147" s="154">
        <f>F1146-2*H1147</f>
        <v>1.8</v>
      </c>
      <c r="G1147" s="154">
        <v>2</v>
      </c>
      <c r="H1147" s="154">
        <v>0.12</v>
      </c>
      <c r="I1147" s="154">
        <f>2*(E1147+F1147)</f>
        <v>7.68</v>
      </c>
      <c r="J1147" s="154"/>
      <c r="K1147" s="154"/>
      <c r="L1147" s="154"/>
      <c r="M1147" s="154">
        <f>M1146</f>
        <v>4</v>
      </c>
      <c r="N1147" s="173"/>
      <c r="O1147" s="154">
        <f>M1147*I1147*G1147*H1147</f>
        <v>7.3727999999999998</v>
      </c>
      <c r="P1147" s="155"/>
      <c r="Q1147" s="145"/>
    </row>
    <row r="1148" spans="1:17" s="146" customFormat="1" ht="10.5" x14ac:dyDescent="0.25">
      <c r="A1148" s="151"/>
      <c r="B1148" s="152" t="s">
        <v>2254</v>
      </c>
      <c r="C1148" s="153"/>
      <c r="D1148" s="154"/>
      <c r="E1148" s="154">
        <f>F1147</f>
        <v>1.8</v>
      </c>
      <c r="F1148" s="154">
        <f>F1147</f>
        <v>1.8</v>
      </c>
      <c r="G1148" s="154"/>
      <c r="H1148" s="154">
        <v>0.28000000000000003</v>
      </c>
      <c r="I1148" s="154"/>
      <c r="J1148" s="154"/>
      <c r="K1148" s="154"/>
      <c r="L1148" s="154"/>
      <c r="M1148" s="154">
        <f>M1147</f>
        <v>4</v>
      </c>
      <c r="N1148" s="173"/>
      <c r="O1148" s="154">
        <f>M1148*H1148*F1148*E1148</f>
        <v>3.6288000000000009</v>
      </c>
      <c r="P1148" s="155"/>
      <c r="Q1148" s="145"/>
    </row>
    <row r="1149" spans="1:17" s="150" customFormat="1" ht="10.5" x14ac:dyDescent="0.25">
      <c r="A1149" s="175"/>
      <c r="B1149" s="157" t="str">
        <f>B1130</f>
        <v>PV DN 1500</v>
      </c>
      <c r="C1149" s="160"/>
      <c r="D1149" s="160"/>
      <c r="E1149" s="160">
        <v>2.44</v>
      </c>
      <c r="F1149" s="160">
        <v>2.44</v>
      </c>
      <c r="G1149" s="160"/>
      <c r="H1149" s="160"/>
      <c r="I1149" s="160"/>
      <c r="J1149" s="160"/>
      <c r="K1149" s="160"/>
      <c r="L1149" s="160"/>
      <c r="M1149" s="160"/>
      <c r="N1149" s="180"/>
      <c r="O1149" s="160"/>
      <c r="P1149" s="155"/>
      <c r="Q1149" s="145"/>
    </row>
    <row r="1150" spans="1:17" s="146" customFormat="1" ht="10.5" x14ac:dyDescent="0.25">
      <c r="A1150" s="151"/>
      <c r="B1150" s="152" t="s">
        <v>2271</v>
      </c>
      <c r="C1150" s="160"/>
      <c r="D1150" s="161"/>
      <c r="E1150" s="161">
        <f>E1149</f>
        <v>2.44</v>
      </c>
      <c r="F1150" s="161">
        <f>F1149</f>
        <v>2.44</v>
      </c>
      <c r="G1150" s="161"/>
      <c r="H1150" s="161">
        <v>0.1</v>
      </c>
      <c r="I1150" s="161"/>
      <c r="J1150" s="161"/>
      <c r="K1150" s="161"/>
      <c r="L1150" s="161"/>
      <c r="M1150" s="161">
        <f>M1105</f>
        <v>8</v>
      </c>
      <c r="N1150" s="179"/>
      <c r="O1150" s="161">
        <f>E1150*F1150*H1150*M1150</f>
        <v>4.76288</v>
      </c>
      <c r="P1150" s="155"/>
      <c r="Q1150" s="145"/>
    </row>
    <row r="1151" spans="1:17" s="146" customFormat="1" ht="10.5" x14ac:dyDescent="0.25">
      <c r="A1151" s="151"/>
      <c r="B1151" s="152" t="s">
        <v>2272</v>
      </c>
      <c r="C1151" s="160"/>
      <c r="D1151" s="161"/>
      <c r="E1151" s="161">
        <f>E1150</f>
        <v>2.44</v>
      </c>
      <c r="F1151" s="161">
        <f>F1150-2*H1151</f>
        <v>2.2000000000000002</v>
      </c>
      <c r="G1151" s="161">
        <v>2.4</v>
      </c>
      <c r="H1151" s="161">
        <v>0.12</v>
      </c>
      <c r="I1151" s="161">
        <f>2*(E1151+F1151)</f>
        <v>9.2800000000000011</v>
      </c>
      <c r="J1151" s="161"/>
      <c r="K1151" s="161"/>
      <c r="L1151" s="161"/>
      <c r="M1151" s="161">
        <f>M1150</f>
        <v>8</v>
      </c>
      <c r="N1151" s="179"/>
      <c r="O1151" s="161">
        <f>M1151*I1151*G1151*H1151</f>
        <v>21.381120000000003</v>
      </c>
      <c r="P1151" s="155"/>
      <c r="Q1151" s="145"/>
    </row>
    <row r="1152" spans="1:17" s="146" customFormat="1" ht="10.5" x14ac:dyDescent="0.25">
      <c r="A1152" s="151"/>
      <c r="B1152" s="152" t="s">
        <v>2254</v>
      </c>
      <c r="C1152" s="160"/>
      <c r="D1152" s="161"/>
      <c r="E1152" s="161">
        <f>F1151</f>
        <v>2.2000000000000002</v>
      </c>
      <c r="F1152" s="161">
        <f>F1151</f>
        <v>2.2000000000000002</v>
      </c>
      <c r="G1152" s="161"/>
      <c r="H1152" s="161">
        <v>0.1</v>
      </c>
      <c r="I1152" s="161"/>
      <c r="J1152" s="161"/>
      <c r="K1152" s="161"/>
      <c r="L1152" s="161"/>
      <c r="M1152" s="161">
        <f>M1151</f>
        <v>8</v>
      </c>
      <c r="N1152" s="179"/>
      <c r="O1152" s="161">
        <f>M1152*H1152*F1152*E1152</f>
        <v>3.8720000000000008</v>
      </c>
      <c r="P1152" s="155"/>
      <c r="Q1152" s="145"/>
    </row>
    <row r="1153" spans="1:17" s="146" customFormat="1" ht="10.5" x14ac:dyDescent="0.25">
      <c r="A1153" s="151"/>
      <c r="B1153" s="152"/>
      <c r="C1153" s="160"/>
      <c r="D1153" s="161"/>
      <c r="E1153" s="161"/>
      <c r="F1153" s="161"/>
      <c r="G1153" s="161"/>
      <c r="H1153" s="161"/>
      <c r="I1153" s="161"/>
      <c r="J1153" s="161"/>
      <c r="K1153" s="161"/>
      <c r="L1153" s="161"/>
      <c r="M1153" s="161"/>
      <c r="N1153" s="179"/>
      <c r="O1153" s="161"/>
      <c r="P1153" s="155"/>
      <c r="Q1153" s="145"/>
    </row>
    <row r="1154" spans="1:17" s="146" customFormat="1" ht="10.5" x14ac:dyDescent="0.25">
      <c r="A1154" s="151"/>
      <c r="B1154" s="157" t="s">
        <v>377</v>
      </c>
      <c r="C1154" s="158" t="s">
        <v>402</v>
      </c>
      <c r="D1154" s="158"/>
      <c r="E1154" s="158"/>
      <c r="F1154" s="158"/>
      <c r="G1154" s="158"/>
      <c r="H1154" s="158"/>
      <c r="I1154" s="158"/>
      <c r="J1154" s="158"/>
      <c r="K1154" s="161"/>
      <c r="L1154" s="158"/>
      <c r="M1154" s="158"/>
      <c r="N1154" s="160"/>
      <c r="O1154" s="160">
        <f>SUM(O1136:O1153)</f>
        <v>48.789640000000006</v>
      </c>
      <c r="P1154" s="159"/>
      <c r="Q1154" s="145"/>
    </row>
    <row r="1155" spans="1:17" s="150" customFormat="1" ht="21.75" customHeight="1" x14ac:dyDescent="0.25">
      <c r="A1155" s="147" t="str">
        <f>ORÇAMENTO!A254</f>
        <v>4.1.2.7.6</v>
      </c>
      <c r="B1155" s="148" t="str">
        <f>VLOOKUP(A1155,ORÇAMENTO!$A:$F,4,0)</f>
        <v>FÔRMAS DE TÁBUAS DE PINHO PARA DISPOSITIVOS DE DRENAGEM - UTILIZAÇÃO DE 3 VEZES - CONFECÇÃO, INSTALAÇÃO E RETIRADA</v>
      </c>
      <c r="C1155" s="149" t="str">
        <f>VLOOKUP(A1155,ORÇAMENTO!$A:$F,5,0)</f>
        <v>M²</v>
      </c>
      <c r="D1155" s="149">
        <f>ROUND(SUM(E1174:O1174),2)</f>
        <v>631.9</v>
      </c>
      <c r="E1155" s="149" t="s">
        <v>2149</v>
      </c>
      <c r="F1155" s="149" t="s">
        <v>2150</v>
      </c>
      <c r="G1155" s="149" t="s">
        <v>2151</v>
      </c>
      <c r="H1155" s="149" t="s">
        <v>2152</v>
      </c>
      <c r="I1155" s="149" t="s">
        <v>2153</v>
      </c>
      <c r="J1155" s="149" t="s">
        <v>2154</v>
      </c>
      <c r="K1155" s="149" t="s">
        <v>2155</v>
      </c>
      <c r="L1155" s="149" t="s">
        <v>2239</v>
      </c>
      <c r="M1155" s="149" t="s">
        <v>413</v>
      </c>
      <c r="N1155" s="149" t="s">
        <v>2257</v>
      </c>
      <c r="O1155" s="149" t="s">
        <v>2158</v>
      </c>
      <c r="P1155" s="145"/>
      <c r="Q1155" s="145"/>
    </row>
    <row r="1156" spans="1:17" s="146" customFormat="1" ht="10.5" x14ac:dyDescent="0.25">
      <c r="A1156" s="151"/>
      <c r="B1156" s="152"/>
      <c r="C1156" s="160"/>
      <c r="D1156" s="161"/>
      <c r="E1156" s="161"/>
      <c r="F1156" s="161"/>
      <c r="G1156" s="161"/>
      <c r="H1156" s="161"/>
      <c r="I1156" s="161"/>
      <c r="J1156" s="161"/>
      <c r="K1156" s="161"/>
      <c r="L1156" s="161"/>
      <c r="M1156" s="161"/>
      <c r="N1156" s="179"/>
      <c r="O1156" s="161"/>
      <c r="P1156" s="155"/>
      <c r="Q1156" s="145"/>
    </row>
    <row r="1157" spans="1:17" s="146" customFormat="1" ht="10.5" x14ac:dyDescent="0.25">
      <c r="A1157" s="151"/>
      <c r="B1157" s="152" t="str">
        <f>B1137</f>
        <v>PV DN 600</v>
      </c>
      <c r="C1157" s="160"/>
      <c r="D1157" s="161"/>
      <c r="E1157" s="160">
        <f>E1137</f>
        <v>1.08</v>
      </c>
      <c r="F1157" s="160">
        <f>F1137</f>
        <v>1.08</v>
      </c>
      <c r="G1157" s="161"/>
      <c r="H1157" s="161"/>
      <c r="I1157" s="161"/>
      <c r="J1157" s="161"/>
      <c r="K1157" s="161"/>
      <c r="L1157" s="161"/>
      <c r="M1157" s="161"/>
      <c r="N1157" s="179"/>
      <c r="O1157" s="161"/>
      <c r="P1157" s="155"/>
      <c r="Q1157" s="145"/>
    </row>
    <row r="1158" spans="1:17" s="146" customFormat="1" ht="10.5" x14ac:dyDescent="0.25">
      <c r="A1158" s="151"/>
      <c r="B1158" s="152" t="str">
        <f t="shared" ref="B1158:B1172" si="23">B1138</f>
        <v>TAMPA</v>
      </c>
      <c r="C1158" s="160"/>
      <c r="D1158" s="161"/>
      <c r="E1158" s="161">
        <f t="shared" ref="E1158:I1172" si="24">E1138</f>
        <v>1.08</v>
      </c>
      <c r="F1158" s="161">
        <f t="shared" si="24"/>
        <v>1.08</v>
      </c>
      <c r="G1158" s="161"/>
      <c r="H1158" s="161">
        <f t="shared" si="24"/>
        <v>0.1</v>
      </c>
      <c r="I1158" s="161">
        <f>2*(E1158+F1158)</f>
        <v>4.32</v>
      </c>
      <c r="J1158" s="161"/>
      <c r="K1158" s="161"/>
      <c r="L1158" s="161"/>
      <c r="M1158" s="161">
        <f t="shared" ref="M1158" si="25">M1138</f>
        <v>7</v>
      </c>
      <c r="N1158" s="179">
        <f>M1158*I1158*H1158+M1158*F1158*E1158</f>
        <v>11.188800000000002</v>
      </c>
      <c r="O1158" s="161"/>
      <c r="P1158" s="155"/>
      <c r="Q1158" s="145"/>
    </row>
    <row r="1159" spans="1:17" s="146" customFormat="1" ht="10.5" x14ac:dyDescent="0.25">
      <c r="A1159" s="151"/>
      <c r="B1159" s="152" t="str">
        <f t="shared" si="23"/>
        <v>PV DN 800</v>
      </c>
      <c r="C1159" s="160"/>
      <c r="D1159" s="161"/>
      <c r="E1159" s="160">
        <f t="shared" si="24"/>
        <v>1.5</v>
      </c>
      <c r="F1159" s="160">
        <f t="shared" si="24"/>
        <v>1.5</v>
      </c>
      <c r="G1159" s="161"/>
      <c r="H1159" s="161"/>
      <c r="I1159" s="161"/>
      <c r="J1159" s="161"/>
      <c r="K1159" s="161"/>
      <c r="L1159" s="161"/>
      <c r="M1159" s="161"/>
      <c r="N1159" s="179"/>
      <c r="O1159" s="161"/>
      <c r="P1159" s="155"/>
      <c r="Q1159" s="145"/>
    </row>
    <row r="1160" spans="1:17" s="146" customFormat="1" ht="10.5" x14ac:dyDescent="0.25">
      <c r="A1160" s="151"/>
      <c r="B1160" s="152" t="str">
        <f t="shared" si="23"/>
        <v>TAMPA</v>
      </c>
      <c r="C1160" s="160"/>
      <c r="D1160" s="161"/>
      <c r="E1160" s="161">
        <f t="shared" si="24"/>
        <v>1.5</v>
      </c>
      <c r="F1160" s="161">
        <f t="shared" si="24"/>
        <v>1.5</v>
      </c>
      <c r="G1160" s="161"/>
      <c r="H1160" s="161"/>
      <c r="I1160" s="161"/>
      <c r="J1160" s="161"/>
      <c r="K1160" s="161"/>
      <c r="L1160" s="161"/>
      <c r="M1160" s="161">
        <f t="shared" ref="M1160:M1164" si="26">M1140</f>
        <v>0</v>
      </c>
      <c r="N1160" s="179">
        <f>M1160*I1160*H1160+M1160*F1160*E1160</f>
        <v>0</v>
      </c>
      <c r="O1160" s="161"/>
      <c r="P1160" s="155"/>
      <c r="Q1160" s="145"/>
    </row>
    <row r="1161" spans="1:17" s="146" customFormat="1" ht="10.5" x14ac:dyDescent="0.25">
      <c r="A1161" s="151"/>
      <c r="B1161" s="152" t="str">
        <f t="shared" si="23"/>
        <v>PV DN 1000</v>
      </c>
      <c r="C1161" s="160"/>
      <c r="D1161" s="161"/>
      <c r="E1161" s="160">
        <f t="shared" si="24"/>
        <v>1.74</v>
      </c>
      <c r="F1161" s="160">
        <f t="shared" si="24"/>
        <v>1.74</v>
      </c>
      <c r="G1161" s="161"/>
      <c r="H1161" s="161"/>
      <c r="I1161" s="161"/>
      <c r="J1161" s="161"/>
      <c r="K1161" s="161"/>
      <c r="L1161" s="161"/>
      <c r="M1161" s="161"/>
      <c r="N1161" s="179"/>
      <c r="O1161" s="161"/>
      <c r="P1161" s="155"/>
      <c r="Q1161" s="145"/>
    </row>
    <row r="1162" spans="1:17" s="146" customFormat="1" ht="10.5" x14ac:dyDescent="0.25">
      <c r="A1162" s="151"/>
      <c r="B1162" s="152" t="str">
        <f t="shared" si="23"/>
        <v>TAMPA</v>
      </c>
      <c r="C1162" s="160"/>
      <c r="D1162" s="161"/>
      <c r="E1162" s="161">
        <f t="shared" si="24"/>
        <v>1.74</v>
      </c>
      <c r="F1162" s="161">
        <f t="shared" si="24"/>
        <v>1.74</v>
      </c>
      <c r="G1162" s="161"/>
      <c r="H1162" s="161"/>
      <c r="I1162" s="161"/>
      <c r="J1162" s="161"/>
      <c r="K1162" s="161"/>
      <c r="L1162" s="161"/>
      <c r="M1162" s="161">
        <f t="shared" si="26"/>
        <v>2</v>
      </c>
      <c r="N1162" s="179">
        <f>M1162*I1162*H1162+M1162*F1162*E1162</f>
        <v>6.0552000000000001</v>
      </c>
      <c r="O1162" s="161"/>
      <c r="P1162" s="155"/>
      <c r="Q1162" s="145"/>
    </row>
    <row r="1163" spans="1:17" s="146" customFormat="1" ht="10.5" x14ac:dyDescent="0.25">
      <c r="A1163" s="151"/>
      <c r="B1163" s="152" t="str">
        <f t="shared" si="23"/>
        <v>PAREDES</v>
      </c>
      <c r="C1163" s="160"/>
      <c r="D1163" s="161"/>
      <c r="E1163" s="154">
        <f t="shared" si="24"/>
        <v>1.74</v>
      </c>
      <c r="F1163" s="154">
        <f t="shared" si="24"/>
        <v>1.5</v>
      </c>
      <c r="G1163" s="154">
        <f t="shared" si="24"/>
        <v>2</v>
      </c>
      <c r="H1163" s="154">
        <f t="shared" si="24"/>
        <v>0.12</v>
      </c>
      <c r="I1163" s="154">
        <f t="shared" si="24"/>
        <v>6.48</v>
      </c>
      <c r="J1163" s="161"/>
      <c r="K1163" s="161"/>
      <c r="L1163" s="161"/>
      <c r="M1163" s="161">
        <f t="shared" si="26"/>
        <v>2</v>
      </c>
      <c r="N1163" s="179">
        <f>2*M1163*I1163*G1163</f>
        <v>51.84</v>
      </c>
      <c r="O1163" s="161"/>
      <c r="P1163" s="155"/>
      <c r="Q1163" s="145"/>
    </row>
    <row r="1164" spans="1:17" s="146" customFormat="1" ht="10.5" x14ac:dyDescent="0.25">
      <c r="A1164" s="151"/>
      <c r="B1164" s="152" t="str">
        <f t="shared" si="23"/>
        <v>FUNDO</v>
      </c>
      <c r="C1164" s="160"/>
      <c r="D1164" s="161"/>
      <c r="E1164" s="154">
        <f t="shared" si="24"/>
        <v>1.5</v>
      </c>
      <c r="F1164" s="154">
        <f t="shared" si="24"/>
        <v>1.5</v>
      </c>
      <c r="G1164" s="161"/>
      <c r="H1164" s="161">
        <f t="shared" si="24"/>
        <v>0.35</v>
      </c>
      <c r="I1164" s="161">
        <f>2*(E1164+F1164)</f>
        <v>6</v>
      </c>
      <c r="J1164" s="161"/>
      <c r="K1164" s="161"/>
      <c r="L1164" s="161"/>
      <c r="M1164" s="161">
        <f t="shared" si="26"/>
        <v>2</v>
      </c>
      <c r="N1164" s="179">
        <f>M1164*I1164*H1164</f>
        <v>4.1999999999999993</v>
      </c>
      <c r="O1164" s="161"/>
      <c r="P1164" s="155"/>
      <c r="Q1164" s="145"/>
    </row>
    <row r="1165" spans="1:17" s="146" customFormat="1" ht="10.5" x14ac:dyDescent="0.25">
      <c r="A1165" s="151"/>
      <c r="B1165" s="152" t="str">
        <f t="shared" si="23"/>
        <v>PV DN 1200</v>
      </c>
      <c r="C1165" s="160"/>
      <c r="D1165" s="161"/>
      <c r="E1165" s="160">
        <f t="shared" si="24"/>
        <v>2.04</v>
      </c>
      <c r="F1165" s="160">
        <f t="shared" si="24"/>
        <v>2.04</v>
      </c>
      <c r="G1165" s="161"/>
      <c r="H1165" s="161"/>
      <c r="I1165" s="161"/>
      <c r="J1165" s="161"/>
      <c r="K1165" s="161"/>
      <c r="L1165" s="161"/>
      <c r="M1165" s="161"/>
      <c r="N1165" s="179"/>
      <c r="O1165" s="161"/>
      <c r="P1165" s="155"/>
      <c r="Q1165" s="145"/>
    </row>
    <row r="1166" spans="1:17" s="146" customFormat="1" ht="10.5" x14ac:dyDescent="0.25">
      <c r="A1166" s="151"/>
      <c r="B1166" s="152" t="str">
        <f t="shared" si="23"/>
        <v>TAMPA</v>
      </c>
      <c r="C1166" s="160"/>
      <c r="D1166" s="161"/>
      <c r="E1166" s="161">
        <f t="shared" si="24"/>
        <v>2.04</v>
      </c>
      <c r="F1166" s="161">
        <f t="shared" si="24"/>
        <v>2.04</v>
      </c>
      <c r="G1166" s="161"/>
      <c r="H1166" s="161"/>
      <c r="I1166" s="161"/>
      <c r="J1166" s="161"/>
      <c r="K1166" s="161"/>
      <c r="L1166" s="161"/>
      <c r="M1166" s="161">
        <f t="shared" ref="M1166:M1168" si="27">M1146</f>
        <v>4</v>
      </c>
      <c r="N1166" s="179">
        <f>M1166*I1166*H1166+M1166*F1166*E1166</f>
        <v>16.6464</v>
      </c>
      <c r="O1166" s="161"/>
      <c r="P1166" s="155"/>
      <c r="Q1166" s="145"/>
    </row>
    <row r="1167" spans="1:17" s="146" customFormat="1" ht="10.5" x14ac:dyDescent="0.25">
      <c r="A1167" s="151"/>
      <c r="B1167" s="152" t="str">
        <f t="shared" si="23"/>
        <v>PAREDES</v>
      </c>
      <c r="C1167" s="160"/>
      <c r="D1167" s="161"/>
      <c r="E1167" s="154">
        <f t="shared" si="24"/>
        <v>2.04</v>
      </c>
      <c r="F1167" s="154">
        <f t="shared" si="24"/>
        <v>1.8</v>
      </c>
      <c r="G1167" s="154">
        <f t="shared" si="24"/>
        <v>2</v>
      </c>
      <c r="H1167" s="154">
        <f t="shared" si="24"/>
        <v>0.12</v>
      </c>
      <c r="I1167" s="154">
        <f t="shared" si="24"/>
        <v>7.68</v>
      </c>
      <c r="J1167" s="161"/>
      <c r="K1167" s="161"/>
      <c r="L1167" s="161"/>
      <c r="M1167" s="161">
        <f t="shared" si="27"/>
        <v>4</v>
      </c>
      <c r="N1167" s="179">
        <f>2*M1167*I1167*G1167</f>
        <v>122.88</v>
      </c>
      <c r="O1167" s="161"/>
      <c r="P1167" s="155"/>
      <c r="Q1167" s="145"/>
    </row>
    <row r="1168" spans="1:17" s="146" customFormat="1" ht="10.5" x14ac:dyDescent="0.25">
      <c r="A1168" s="151"/>
      <c r="B1168" s="152" t="str">
        <f t="shared" si="23"/>
        <v>FUNDO</v>
      </c>
      <c r="C1168" s="160"/>
      <c r="D1168" s="161"/>
      <c r="E1168" s="154">
        <f t="shared" si="24"/>
        <v>1.8</v>
      </c>
      <c r="F1168" s="154">
        <f t="shared" si="24"/>
        <v>1.8</v>
      </c>
      <c r="G1168" s="161"/>
      <c r="H1168" s="161">
        <f t="shared" si="24"/>
        <v>0.28000000000000003</v>
      </c>
      <c r="I1168" s="161">
        <f>2*(E1168+F1168)</f>
        <v>7.2</v>
      </c>
      <c r="J1168" s="161"/>
      <c r="K1168" s="161"/>
      <c r="L1168" s="161"/>
      <c r="M1168" s="161">
        <f t="shared" si="27"/>
        <v>4</v>
      </c>
      <c r="N1168" s="179">
        <f>M1168*I1168*H1168</f>
        <v>8.0640000000000018</v>
      </c>
      <c r="O1168" s="161"/>
      <c r="P1168" s="155"/>
      <c r="Q1168" s="145"/>
    </row>
    <row r="1169" spans="1:17" s="146" customFormat="1" ht="10.5" x14ac:dyDescent="0.25">
      <c r="A1169" s="151"/>
      <c r="B1169" s="152" t="str">
        <f t="shared" si="23"/>
        <v>PV DN 1500</v>
      </c>
      <c r="C1169" s="160"/>
      <c r="D1169" s="161"/>
      <c r="E1169" s="160">
        <f t="shared" si="24"/>
        <v>2.44</v>
      </c>
      <c r="F1169" s="160">
        <f t="shared" si="24"/>
        <v>2.44</v>
      </c>
      <c r="G1169" s="161"/>
      <c r="H1169" s="161"/>
      <c r="I1169" s="161"/>
      <c r="J1169" s="161"/>
      <c r="K1169" s="161"/>
      <c r="L1169" s="161"/>
      <c r="M1169" s="161"/>
      <c r="N1169" s="179"/>
      <c r="O1169" s="161"/>
      <c r="P1169" s="155"/>
      <c r="Q1169" s="145"/>
    </row>
    <row r="1170" spans="1:17" s="146" customFormat="1" ht="10.5" x14ac:dyDescent="0.25">
      <c r="A1170" s="151"/>
      <c r="B1170" s="152" t="str">
        <f t="shared" si="23"/>
        <v>TAMPA</v>
      </c>
      <c r="C1170" s="160"/>
      <c r="D1170" s="161"/>
      <c r="E1170" s="161">
        <f t="shared" si="24"/>
        <v>2.44</v>
      </c>
      <c r="F1170" s="161">
        <f t="shared" si="24"/>
        <v>2.44</v>
      </c>
      <c r="G1170" s="161"/>
      <c r="H1170" s="161"/>
      <c r="I1170" s="161"/>
      <c r="J1170" s="161"/>
      <c r="K1170" s="161"/>
      <c r="L1170" s="161"/>
      <c r="M1170" s="161">
        <f t="shared" ref="M1170:M1172" si="28">M1150</f>
        <v>8</v>
      </c>
      <c r="N1170" s="179">
        <f>M1170*I1170*H1170+M1170*F1170*E1170</f>
        <v>47.628799999999998</v>
      </c>
      <c r="O1170" s="161"/>
      <c r="P1170" s="155"/>
      <c r="Q1170" s="145"/>
    </row>
    <row r="1171" spans="1:17" s="146" customFormat="1" ht="10.5" x14ac:dyDescent="0.25">
      <c r="A1171" s="151"/>
      <c r="B1171" s="152" t="str">
        <f t="shared" si="23"/>
        <v>PAREDES</v>
      </c>
      <c r="C1171" s="160"/>
      <c r="D1171" s="161"/>
      <c r="E1171" s="161">
        <f t="shared" si="24"/>
        <v>2.44</v>
      </c>
      <c r="F1171" s="161">
        <f t="shared" si="24"/>
        <v>2.2000000000000002</v>
      </c>
      <c r="G1171" s="154">
        <f t="shared" si="24"/>
        <v>2.4</v>
      </c>
      <c r="H1171" s="154">
        <f t="shared" si="24"/>
        <v>0.12</v>
      </c>
      <c r="I1171" s="154">
        <f t="shared" si="24"/>
        <v>9.2800000000000011</v>
      </c>
      <c r="J1171" s="161"/>
      <c r="K1171" s="161"/>
      <c r="L1171" s="161"/>
      <c r="M1171" s="161">
        <f t="shared" si="28"/>
        <v>8</v>
      </c>
      <c r="N1171" s="179">
        <f>2*M1171*I1171*G1171</f>
        <v>356.35200000000003</v>
      </c>
      <c r="O1171" s="161"/>
      <c r="P1171" s="155"/>
      <c r="Q1171" s="145"/>
    </row>
    <row r="1172" spans="1:17" s="146" customFormat="1" ht="10.5" x14ac:dyDescent="0.25">
      <c r="A1172" s="151"/>
      <c r="B1172" s="152" t="str">
        <f t="shared" si="23"/>
        <v>FUNDO</v>
      </c>
      <c r="C1172" s="160"/>
      <c r="D1172" s="161"/>
      <c r="E1172" s="161">
        <f t="shared" si="24"/>
        <v>2.2000000000000002</v>
      </c>
      <c r="F1172" s="161">
        <f t="shared" si="24"/>
        <v>2.2000000000000002</v>
      </c>
      <c r="G1172" s="161"/>
      <c r="H1172" s="161">
        <f t="shared" si="24"/>
        <v>0.1</v>
      </c>
      <c r="I1172" s="161">
        <f>2*(E1172+F1172)</f>
        <v>8.8000000000000007</v>
      </c>
      <c r="J1172" s="161"/>
      <c r="K1172" s="161"/>
      <c r="L1172" s="161"/>
      <c r="M1172" s="161">
        <f t="shared" si="28"/>
        <v>8</v>
      </c>
      <c r="N1172" s="179">
        <f>M1172*I1172*H1172</f>
        <v>7.0400000000000009</v>
      </c>
      <c r="O1172" s="161"/>
      <c r="P1172" s="155"/>
      <c r="Q1172" s="145"/>
    </row>
    <row r="1173" spans="1:17" s="146" customFormat="1" ht="10.5" x14ac:dyDescent="0.25">
      <c r="A1173" s="151"/>
      <c r="B1173" s="152"/>
      <c r="C1173" s="160"/>
      <c r="D1173" s="161"/>
      <c r="E1173" s="161"/>
      <c r="F1173" s="161"/>
      <c r="G1173" s="161"/>
      <c r="H1173" s="161"/>
      <c r="I1173" s="161"/>
      <c r="J1173" s="161"/>
      <c r="K1173" s="161"/>
      <c r="L1173" s="161"/>
      <c r="M1173" s="161"/>
      <c r="N1173" s="179"/>
      <c r="O1173" s="161"/>
      <c r="P1173" s="155"/>
      <c r="Q1173" s="145"/>
    </row>
    <row r="1174" spans="1:17" s="146" customFormat="1" ht="10.5" x14ac:dyDescent="0.25">
      <c r="A1174" s="151"/>
      <c r="B1174" s="157" t="s">
        <v>377</v>
      </c>
      <c r="C1174" s="158" t="s">
        <v>402</v>
      </c>
      <c r="D1174" s="158"/>
      <c r="E1174" s="158"/>
      <c r="F1174" s="158"/>
      <c r="G1174" s="158"/>
      <c r="H1174" s="158"/>
      <c r="I1174" s="158"/>
      <c r="J1174" s="158"/>
      <c r="K1174" s="160"/>
      <c r="L1174" s="158"/>
      <c r="M1174" s="158"/>
      <c r="N1174" s="160">
        <f>SUM(N1156:N1173)</f>
        <v>631.89519999999993</v>
      </c>
      <c r="O1174" s="160"/>
      <c r="P1174" s="159"/>
      <c r="Q1174" s="145"/>
    </row>
    <row r="1175" spans="1:17" s="150" customFormat="1" ht="21.75" customHeight="1" x14ac:dyDescent="0.25">
      <c r="A1175" s="147" t="str">
        <f>ORÇAMENTO!A255</f>
        <v>4.1.2.7.7</v>
      </c>
      <c r="B1175" s="148" t="str">
        <f>VLOOKUP(A1175,ORÇAMENTO!$A:$F,4,0)</f>
        <v>LANÇAMENTO COM USO DE BALDES, ADENSAMENTO E ACABAMENTO DE CONCRETO EM ESTRUTURAS. AF_02/2022</v>
      </c>
      <c r="C1175" s="149" t="str">
        <f>VLOOKUP(A1175,ORÇAMENTO!$A:$F,5,0)</f>
        <v>M³</v>
      </c>
      <c r="D1175" s="149">
        <f>ROUND(SUM(E1179:O1179),2)</f>
        <v>70.650000000000006</v>
      </c>
      <c r="E1175" s="149" t="s">
        <v>2149</v>
      </c>
      <c r="F1175" s="149" t="s">
        <v>2150</v>
      </c>
      <c r="G1175" s="149" t="s">
        <v>2151</v>
      </c>
      <c r="H1175" s="149" t="s">
        <v>2152</v>
      </c>
      <c r="I1175" s="149" t="s">
        <v>2153</v>
      </c>
      <c r="J1175" s="149" t="s">
        <v>2154</v>
      </c>
      <c r="K1175" s="149" t="s">
        <v>2155</v>
      </c>
      <c r="L1175" s="149" t="s">
        <v>2239</v>
      </c>
      <c r="M1175" s="149" t="s">
        <v>413</v>
      </c>
      <c r="N1175" s="149" t="s">
        <v>2244</v>
      </c>
      <c r="O1175" s="149" t="s">
        <v>2158</v>
      </c>
      <c r="P1175" s="145"/>
      <c r="Q1175" s="145"/>
    </row>
    <row r="1176" spans="1:17" s="146" customFormat="1" ht="42" x14ac:dyDescent="0.25">
      <c r="A1176" s="151"/>
      <c r="B1176" s="152" t="str">
        <f>B1120</f>
        <v>CONCRETO FCK = 15MPA, TRAÇO 1:3,4:3,5 (EM MASSA SECA DE CIMENTO/ AREIA MÉDIA/ BRITA 1) - PREPARO MECÂNICO COM BETONEIRA 600 L. AF_05/2021</v>
      </c>
      <c r="C1176" s="160"/>
      <c r="D1176" s="161"/>
      <c r="E1176" s="161"/>
      <c r="F1176" s="161"/>
      <c r="G1176" s="161"/>
      <c r="H1176" s="161"/>
      <c r="I1176" s="161"/>
      <c r="J1176" s="161"/>
      <c r="K1176" s="161"/>
      <c r="L1176" s="161"/>
      <c r="M1176" s="161"/>
      <c r="N1176" s="179"/>
      <c r="O1176" s="161">
        <f>O1134</f>
        <v>21.861920000000001</v>
      </c>
      <c r="P1176" s="155"/>
      <c r="Q1176" s="145"/>
    </row>
    <row r="1177" spans="1:17" s="146" customFormat="1" ht="42" x14ac:dyDescent="0.25">
      <c r="A1177" s="151"/>
      <c r="B1177" s="152" t="str">
        <f>B1135</f>
        <v>CONCRETO FCK = 25MPA, TRAÇO 1:2,3:2,7 (EM MASSA SECA DE CIMENTO/ AREIA MÉDIA/ BRITA 1) - PREPARO MECÂNICO COM BETONEIRA 600 L. AF_05/2021</v>
      </c>
      <c r="C1177" s="160"/>
      <c r="D1177" s="161"/>
      <c r="E1177" s="161"/>
      <c r="F1177" s="161"/>
      <c r="G1177" s="161"/>
      <c r="H1177" s="161"/>
      <c r="I1177" s="161"/>
      <c r="J1177" s="161"/>
      <c r="K1177" s="161"/>
      <c r="L1177" s="161"/>
      <c r="M1177" s="161"/>
      <c r="N1177" s="179"/>
      <c r="O1177" s="161">
        <f>O1154</f>
        <v>48.789640000000006</v>
      </c>
      <c r="P1177" s="155"/>
      <c r="Q1177" s="145"/>
    </row>
    <row r="1178" spans="1:17" s="146" customFormat="1" ht="10.5" x14ac:dyDescent="0.25">
      <c r="A1178" s="151"/>
      <c r="B1178" s="152"/>
      <c r="C1178" s="160"/>
      <c r="D1178" s="161"/>
      <c r="E1178" s="161"/>
      <c r="F1178" s="161"/>
      <c r="G1178" s="161"/>
      <c r="H1178" s="161"/>
      <c r="I1178" s="161"/>
      <c r="J1178" s="161"/>
      <c r="K1178" s="161"/>
      <c r="L1178" s="161"/>
      <c r="M1178" s="161"/>
      <c r="N1178" s="179"/>
      <c r="O1178" s="161"/>
      <c r="P1178" s="155"/>
      <c r="Q1178" s="145"/>
    </row>
    <row r="1179" spans="1:17" s="146" customFormat="1" ht="10.5" x14ac:dyDescent="0.25">
      <c r="A1179" s="151"/>
      <c r="B1179" s="157" t="s">
        <v>377</v>
      </c>
      <c r="C1179" s="158" t="s">
        <v>402</v>
      </c>
      <c r="D1179" s="158"/>
      <c r="E1179" s="158"/>
      <c r="F1179" s="158"/>
      <c r="G1179" s="158"/>
      <c r="H1179" s="158"/>
      <c r="I1179" s="158"/>
      <c r="J1179" s="158"/>
      <c r="K1179" s="160"/>
      <c r="L1179" s="158"/>
      <c r="M1179" s="158"/>
      <c r="N1179" s="160"/>
      <c r="O1179" s="160">
        <f>SUM(O1176:O1178)</f>
        <v>70.651560000000003</v>
      </c>
      <c r="P1179" s="159"/>
      <c r="Q1179" s="145"/>
    </row>
    <row r="1180" spans="1:17" s="150" customFormat="1" ht="21.75" customHeight="1" x14ac:dyDescent="0.25">
      <c r="A1180" s="147" t="str">
        <f>ORÇAMENTO!A256</f>
        <v>4.1.2.7.8</v>
      </c>
      <c r="B1180" s="148" t="str">
        <f>VLOOKUP(A1180,ORÇAMENTO!$A:$F,4,0)</f>
        <v>ARMAÇÃO EM AÇO CA-50 - FORNECIMENTO, PREPARO E COLOCAÇÃO</v>
      </c>
      <c r="C1180" s="149" t="str">
        <f>VLOOKUP(A1180,ORÇAMENTO!$A:$F,5,0)</f>
        <v>KG</v>
      </c>
      <c r="D1180" s="149">
        <f>ROUND(SUM(E1188:O1188),2)</f>
        <v>2742.83</v>
      </c>
      <c r="E1180" s="149" t="s">
        <v>2149</v>
      </c>
      <c r="F1180" s="149" t="s">
        <v>2150</v>
      </c>
      <c r="G1180" s="149" t="s">
        <v>2151</v>
      </c>
      <c r="H1180" s="149" t="s">
        <v>2152</v>
      </c>
      <c r="I1180" s="149" t="s">
        <v>2153</v>
      </c>
      <c r="J1180" s="149" t="s">
        <v>2154</v>
      </c>
      <c r="K1180" s="149" t="s">
        <v>2155</v>
      </c>
      <c r="L1180" s="149" t="s">
        <v>2239</v>
      </c>
      <c r="M1180" s="149" t="s">
        <v>413</v>
      </c>
      <c r="N1180" s="149" t="s">
        <v>2244</v>
      </c>
      <c r="O1180" s="149" t="s">
        <v>2158</v>
      </c>
      <c r="P1180" s="145"/>
      <c r="Q1180" s="145"/>
    </row>
    <row r="1181" spans="1:17" s="146" customFormat="1" ht="10.5" x14ac:dyDescent="0.25">
      <c r="A1181" s="151"/>
      <c r="B1181" s="152" t="str">
        <f>B1136</f>
        <v>CONFORME DESENHO TIPO</v>
      </c>
      <c r="C1181" s="160"/>
      <c r="D1181" s="161"/>
      <c r="E1181" s="161"/>
      <c r="F1181" s="161"/>
      <c r="G1181" s="161"/>
      <c r="H1181" s="161"/>
      <c r="I1181" s="161"/>
      <c r="J1181" s="161"/>
      <c r="K1181" s="161"/>
      <c r="L1181" s="161"/>
      <c r="M1181" s="161"/>
      <c r="N1181" s="179"/>
      <c r="O1181" s="161"/>
      <c r="P1181" s="155"/>
      <c r="Q1181" s="145"/>
    </row>
    <row r="1182" spans="1:17" s="146" customFormat="1" ht="10.5" x14ac:dyDescent="0.25">
      <c r="A1182" s="151"/>
      <c r="B1182" s="152" t="str">
        <f>B1137</f>
        <v>PV DN 600</v>
      </c>
      <c r="C1182" s="160"/>
      <c r="D1182" s="161"/>
      <c r="E1182" s="161"/>
      <c r="F1182" s="161"/>
      <c r="G1182" s="161"/>
      <c r="H1182" s="161"/>
      <c r="I1182" s="161"/>
      <c r="J1182" s="161"/>
      <c r="K1182" s="161">
        <f>6.33*M1182</f>
        <v>44.31</v>
      </c>
      <c r="L1182" s="161"/>
      <c r="M1182" s="161">
        <f>M1101</f>
        <v>7</v>
      </c>
      <c r="N1182" s="179"/>
      <c r="O1182" s="161"/>
      <c r="P1182" s="155"/>
      <c r="Q1182" s="145"/>
    </row>
    <row r="1183" spans="1:17" s="146" customFormat="1" ht="10.5" x14ac:dyDescent="0.25">
      <c r="A1183" s="151"/>
      <c r="B1183" s="152" t="str">
        <f>B1139</f>
        <v>PV DN 800</v>
      </c>
      <c r="C1183" s="160"/>
      <c r="D1183" s="161"/>
      <c r="E1183" s="161"/>
      <c r="F1183" s="161"/>
      <c r="G1183" s="161"/>
      <c r="H1183" s="161"/>
      <c r="I1183" s="161"/>
      <c r="J1183" s="161"/>
      <c r="K1183" s="161">
        <f>29.09*M1183</f>
        <v>0</v>
      </c>
      <c r="L1183" s="161"/>
      <c r="M1183" s="161">
        <f t="shared" ref="M1183:M1186" si="29">M1102</f>
        <v>0</v>
      </c>
      <c r="N1183" s="179"/>
      <c r="O1183" s="161"/>
      <c r="P1183" s="155"/>
      <c r="Q1183" s="145"/>
    </row>
    <row r="1184" spans="1:17" s="146" customFormat="1" ht="10.5" x14ac:dyDescent="0.25">
      <c r="A1184" s="151"/>
      <c r="B1184" s="152" t="str">
        <f>B1141</f>
        <v>PV DN 1000</v>
      </c>
      <c r="C1184" s="160"/>
      <c r="D1184" s="161"/>
      <c r="E1184" s="161"/>
      <c r="F1184" s="161"/>
      <c r="G1184" s="161"/>
      <c r="H1184" s="161"/>
      <c r="I1184" s="161"/>
      <c r="J1184" s="161"/>
      <c r="K1184" s="161">
        <f>92.82*M1184</f>
        <v>185.64</v>
      </c>
      <c r="L1184" s="161"/>
      <c r="M1184" s="161">
        <f t="shared" si="29"/>
        <v>2</v>
      </c>
      <c r="N1184" s="179"/>
      <c r="O1184" s="161"/>
      <c r="P1184" s="155"/>
      <c r="Q1184" s="145"/>
    </row>
    <row r="1185" spans="1:19" s="146" customFormat="1" ht="10.5" x14ac:dyDescent="0.25">
      <c r="A1185" s="151"/>
      <c r="B1185" s="152" t="str">
        <f>B1145</f>
        <v>PV DN 1200</v>
      </c>
      <c r="C1185" s="160"/>
      <c r="D1185" s="161"/>
      <c r="E1185" s="161"/>
      <c r="F1185" s="161"/>
      <c r="G1185" s="161"/>
      <c r="H1185" s="161"/>
      <c r="I1185" s="161"/>
      <c r="J1185" s="161"/>
      <c r="K1185" s="161">
        <f>154.06*M1185</f>
        <v>616.24</v>
      </c>
      <c r="L1185" s="161"/>
      <c r="M1185" s="161">
        <f t="shared" si="29"/>
        <v>4</v>
      </c>
      <c r="N1185" s="179"/>
      <c r="O1185" s="161"/>
      <c r="P1185" s="155"/>
      <c r="Q1185" s="145"/>
    </row>
    <row r="1186" spans="1:19" s="146" customFormat="1" ht="10.5" x14ac:dyDescent="0.25">
      <c r="A1186" s="151"/>
      <c r="B1186" s="152" t="str">
        <f>B1149</f>
        <v>PV DN 1500</v>
      </c>
      <c r="C1186" s="160"/>
      <c r="D1186" s="161"/>
      <c r="E1186" s="161"/>
      <c r="F1186" s="161"/>
      <c r="G1186" s="161"/>
      <c r="H1186" s="161"/>
      <c r="I1186" s="161"/>
      <c r="J1186" s="161"/>
      <c r="K1186" s="161">
        <f>237.08*M1186</f>
        <v>1896.64</v>
      </c>
      <c r="L1186" s="161"/>
      <c r="M1186" s="161">
        <f t="shared" si="29"/>
        <v>8</v>
      </c>
      <c r="N1186" s="179"/>
      <c r="O1186" s="161"/>
      <c r="P1186" s="155"/>
      <c r="Q1186" s="145"/>
    </row>
    <row r="1187" spans="1:19" s="146" customFormat="1" ht="10.5" x14ac:dyDescent="0.25">
      <c r="A1187" s="151"/>
      <c r="B1187" s="152"/>
      <c r="C1187" s="160"/>
      <c r="D1187" s="161"/>
      <c r="E1187" s="161"/>
      <c r="F1187" s="161"/>
      <c r="G1187" s="161"/>
      <c r="H1187" s="161"/>
      <c r="I1187" s="161"/>
      <c r="J1187" s="161"/>
      <c r="K1187" s="161"/>
      <c r="L1187" s="161"/>
      <c r="M1187" s="161"/>
      <c r="N1187" s="179"/>
      <c r="O1187" s="161"/>
      <c r="P1187" s="155"/>
      <c r="Q1187" s="145"/>
    </row>
    <row r="1188" spans="1:19" s="146" customFormat="1" ht="10.5" x14ac:dyDescent="0.25">
      <c r="A1188" s="151"/>
      <c r="B1188" s="157" t="s">
        <v>377</v>
      </c>
      <c r="C1188" s="158" t="s">
        <v>402</v>
      </c>
      <c r="D1188" s="158"/>
      <c r="E1188" s="158"/>
      <c r="F1188" s="158"/>
      <c r="G1188" s="158"/>
      <c r="H1188" s="158"/>
      <c r="I1188" s="158"/>
      <c r="J1188" s="158"/>
      <c r="K1188" s="160">
        <f>SUM(K1182:K1187)</f>
        <v>2742.83</v>
      </c>
      <c r="L1188" s="158"/>
      <c r="M1188" s="158"/>
      <c r="N1188" s="160"/>
      <c r="O1188" s="158"/>
      <c r="P1188" s="159"/>
      <c r="Q1188" s="145"/>
    </row>
    <row r="1189" spans="1:19" s="150" customFormat="1" ht="21.75" customHeight="1" x14ac:dyDescent="0.25">
      <c r="A1189" s="147" t="str">
        <f>ORÇAMENTO!A257</f>
        <v>4.1.2.7.9</v>
      </c>
      <c r="B1189" s="148" t="str">
        <f>VLOOKUP(A1189,ORÇAMENTO!$A:$F,4,0)</f>
        <v>CHAMINÉ CIRCULAR PARA POÇO DE VISITA PARA DRENAGEM, EM CONCRETO PRÉ-MOLDADO, DIÂMETRO INTERNO = 0,6 M. AF_12/2020</v>
      </c>
      <c r="C1189" s="149" t="str">
        <f>VLOOKUP(A1189,ORÇAMENTO!$A:$F,5,0)</f>
        <v>M</v>
      </c>
      <c r="D1189" s="149">
        <f>ROUND(SUM(E1192:O1192),2)</f>
        <v>27.86</v>
      </c>
      <c r="E1189" s="149" t="s">
        <v>2149</v>
      </c>
      <c r="F1189" s="149" t="s">
        <v>2150</v>
      </c>
      <c r="G1189" s="149" t="s">
        <v>2151</v>
      </c>
      <c r="H1189" s="149" t="s">
        <v>2152</v>
      </c>
      <c r="I1189" s="149" t="s">
        <v>2153</v>
      </c>
      <c r="J1189" s="149" t="s">
        <v>2154</v>
      </c>
      <c r="K1189" s="149" t="s">
        <v>2155</v>
      </c>
      <c r="L1189" s="149" t="s">
        <v>2239</v>
      </c>
      <c r="M1189" s="149" t="s">
        <v>413</v>
      </c>
      <c r="N1189" s="149" t="s">
        <v>2244</v>
      </c>
      <c r="O1189" s="149" t="s">
        <v>2158</v>
      </c>
      <c r="P1189" s="145"/>
      <c r="Q1189" s="145"/>
    </row>
    <row r="1190" spans="1:19" s="146" customFormat="1" ht="44.25" customHeight="1" x14ac:dyDescent="0.25">
      <c r="A1190" s="151"/>
      <c r="B1190" s="152" t="s">
        <v>2273</v>
      </c>
      <c r="C1190" s="160"/>
      <c r="D1190" s="161"/>
      <c r="E1190" s="161">
        <f>Quantitativos!DA29</f>
        <v>27.859101045950911</v>
      </c>
      <c r="F1190" s="161"/>
      <c r="G1190" s="161"/>
      <c r="H1190" s="161"/>
      <c r="I1190" s="161"/>
      <c r="J1190" s="161"/>
      <c r="K1190" s="161"/>
      <c r="L1190" s="161"/>
      <c r="M1190" s="161"/>
      <c r="N1190" s="179"/>
      <c r="O1190" s="161"/>
      <c r="P1190" s="155"/>
      <c r="Q1190" s="145"/>
    </row>
    <row r="1191" spans="1:19" s="146" customFormat="1" ht="10.5" x14ac:dyDescent="0.25">
      <c r="A1191" s="151"/>
      <c r="B1191" s="152"/>
      <c r="C1191" s="160"/>
      <c r="D1191" s="161"/>
      <c r="E1191" s="161"/>
      <c r="F1191" s="161"/>
      <c r="G1191" s="161"/>
      <c r="H1191" s="161"/>
      <c r="I1191" s="161"/>
      <c r="J1191" s="161"/>
      <c r="K1191" s="161"/>
      <c r="L1191" s="161"/>
      <c r="M1191" s="161"/>
      <c r="N1191" s="179"/>
      <c r="O1191" s="161"/>
      <c r="P1191" s="155"/>
      <c r="Q1191" s="145"/>
    </row>
    <row r="1192" spans="1:19" s="146" customFormat="1" ht="10.5" x14ac:dyDescent="0.25">
      <c r="A1192" s="151"/>
      <c r="B1192" s="157" t="s">
        <v>377</v>
      </c>
      <c r="C1192" s="158" t="s">
        <v>402</v>
      </c>
      <c r="D1192" s="158"/>
      <c r="E1192" s="160">
        <f>SUM(E1190:E1191)</f>
        <v>27.859101045950911</v>
      </c>
      <c r="F1192" s="158"/>
      <c r="G1192" s="158"/>
      <c r="H1192" s="158"/>
      <c r="I1192" s="158"/>
      <c r="J1192" s="158"/>
      <c r="K1192" s="161"/>
      <c r="L1192" s="158"/>
      <c r="M1192" s="158"/>
      <c r="N1192" s="160"/>
      <c r="O1192" s="158"/>
      <c r="P1192" s="159"/>
      <c r="Q1192" s="145"/>
    </row>
    <row r="1193" spans="1:19" s="146" customFormat="1" ht="10.5" x14ac:dyDescent="0.25">
      <c r="A1193" s="141" t="str">
        <f>ORÇAMENTO!A258</f>
        <v>4.1.2.8</v>
      </c>
      <c r="B1193" s="142" t="str">
        <f>VLOOKUP(A1193,ORÇAMENTO!$A:$F,4,0)</f>
        <v>SERVIÇOS FINAIS PARA DRENAGEM</v>
      </c>
      <c r="C1193" s="143"/>
      <c r="D1193" s="143"/>
      <c r="E1193" s="144"/>
      <c r="F1193" s="144"/>
      <c r="G1193" s="144"/>
      <c r="H1193" s="144"/>
      <c r="I1193" s="144"/>
      <c r="J1193" s="144"/>
      <c r="K1193" s="144"/>
      <c r="L1193" s="144"/>
      <c r="M1193" s="144"/>
      <c r="N1193" s="144"/>
      <c r="O1193" s="144"/>
      <c r="P1193" s="145"/>
      <c r="Q1193" s="145"/>
    </row>
    <row r="1194" spans="1:19" s="150" customFormat="1" ht="21.75" customHeight="1" x14ac:dyDescent="0.25">
      <c r="A1194" s="147" t="str">
        <f>ORÇAMENTO!A259</f>
        <v>4.1.2.8.1</v>
      </c>
      <c r="B1194" s="148" t="str">
        <f>VLOOKUP(A1194,ORÇAMENTO!$A:$F,4,0)</f>
        <v>LIMPEZA E TESTE DE REDES DE DRENAGEM</v>
      </c>
      <c r="C1194" s="149" t="str">
        <f>VLOOKUP(A1194,ORÇAMENTO!$A:$F,5,0)</f>
        <v>M</v>
      </c>
      <c r="D1194" s="149">
        <f>ROUND(SUM(E1197:O1197),2)</f>
        <v>752.16</v>
      </c>
      <c r="E1194" s="149" t="s">
        <v>2149</v>
      </c>
      <c r="F1194" s="149" t="s">
        <v>2150</v>
      </c>
      <c r="G1194" s="149" t="s">
        <v>2151</v>
      </c>
      <c r="H1194" s="149" t="s">
        <v>2152</v>
      </c>
      <c r="I1194" s="149" t="s">
        <v>2153</v>
      </c>
      <c r="J1194" s="149" t="s">
        <v>2154</v>
      </c>
      <c r="K1194" s="149" t="s">
        <v>2155</v>
      </c>
      <c r="L1194" s="149" t="s">
        <v>2239</v>
      </c>
      <c r="M1194" s="149" t="s">
        <v>413</v>
      </c>
      <c r="N1194" s="149" t="s">
        <v>2244</v>
      </c>
      <c r="O1194" s="149" t="s">
        <v>2158</v>
      </c>
      <c r="P1194" s="145"/>
      <c r="Q1194" s="145"/>
    </row>
    <row r="1195" spans="1:19" s="146" customFormat="1" ht="10.5" x14ac:dyDescent="0.25">
      <c r="A1195" s="151"/>
      <c r="B1195" s="152" t="s">
        <v>2274</v>
      </c>
      <c r="C1195" s="160"/>
      <c r="D1195" s="161"/>
      <c r="E1195" s="161">
        <f>Quantitativos!F29</f>
        <v>752.1635551517752</v>
      </c>
      <c r="F1195" s="161"/>
      <c r="G1195" s="161"/>
      <c r="H1195" s="161"/>
      <c r="I1195" s="161"/>
      <c r="J1195" s="161"/>
      <c r="K1195" s="161"/>
      <c r="L1195" s="161"/>
      <c r="M1195" s="161"/>
      <c r="N1195" s="179"/>
      <c r="O1195" s="161"/>
      <c r="P1195" s="155"/>
      <c r="Q1195" s="145"/>
    </row>
    <row r="1196" spans="1:19" s="146" customFormat="1" ht="10.5" x14ac:dyDescent="0.25">
      <c r="A1196" s="151"/>
      <c r="B1196" s="152"/>
      <c r="C1196" s="160"/>
      <c r="D1196" s="161"/>
      <c r="E1196" s="161"/>
      <c r="F1196" s="161"/>
      <c r="G1196" s="161"/>
      <c r="H1196" s="161"/>
      <c r="I1196" s="161"/>
      <c r="J1196" s="161"/>
      <c r="K1196" s="161"/>
      <c r="L1196" s="161"/>
      <c r="M1196" s="161"/>
      <c r="N1196" s="179"/>
      <c r="O1196" s="161"/>
      <c r="P1196" s="155"/>
      <c r="Q1196" s="145"/>
    </row>
    <row r="1197" spans="1:19" s="146" customFormat="1" ht="10.5" x14ac:dyDescent="0.25">
      <c r="A1197" s="151"/>
      <c r="B1197" s="157" t="s">
        <v>377</v>
      </c>
      <c r="C1197" s="158" t="s">
        <v>402</v>
      </c>
      <c r="D1197" s="158"/>
      <c r="E1197" s="160">
        <f>SUM(E1195:E1196)</f>
        <v>752.1635551517752</v>
      </c>
      <c r="F1197" s="158"/>
      <c r="G1197" s="158"/>
      <c r="H1197" s="158"/>
      <c r="I1197" s="158"/>
      <c r="J1197" s="158"/>
      <c r="K1197" s="161"/>
      <c r="L1197" s="158"/>
      <c r="M1197" s="158"/>
      <c r="N1197" s="160"/>
      <c r="O1197" s="158"/>
      <c r="P1197" s="159"/>
      <c r="Q1197" s="145"/>
    </row>
    <row r="1198" spans="1:19" s="146" customFormat="1" ht="10.5" x14ac:dyDescent="0.25">
      <c r="A1198" s="141" t="str">
        <f>ORÇAMENTO!A260</f>
        <v>4.2</v>
      </c>
      <c r="B1198" s="142" t="str">
        <f>ORÇAMENTO!D260</f>
        <v>MANUTENÇÃO DE DISPOSITIVOS EXISTENTES</v>
      </c>
      <c r="C1198" s="143"/>
      <c r="D1198" s="143"/>
      <c r="E1198" s="144"/>
      <c r="F1198" s="144"/>
      <c r="G1198" s="144"/>
      <c r="H1198" s="144"/>
      <c r="I1198" s="144"/>
      <c r="J1198" s="144"/>
      <c r="K1198" s="144"/>
      <c r="L1198" s="144"/>
      <c r="M1198" s="144"/>
      <c r="N1198" s="144"/>
      <c r="O1198" s="144"/>
      <c r="P1198" s="145"/>
      <c r="Q1198" s="145"/>
    </row>
    <row r="1199" spans="1:19" s="146" customFormat="1" ht="10.5" x14ac:dyDescent="0.25">
      <c r="A1199" s="141" t="str">
        <f>ORÇAMENTO!A261</f>
        <v>4.2.1</v>
      </c>
      <c r="B1199" s="142" t="str">
        <f>VLOOKUP(A1199,ORÇAMENTO!$A:$F,4,0)</f>
        <v>LIMPEZA E DESOBSTRUÇÃO DE BOCA DE LOBO</v>
      </c>
      <c r="C1199" s="143"/>
      <c r="D1199" s="143"/>
      <c r="E1199" s="144"/>
      <c r="F1199" s="144"/>
      <c r="G1199" s="144"/>
      <c r="H1199" s="144"/>
      <c r="I1199" s="144"/>
      <c r="J1199" s="144"/>
      <c r="K1199" s="144"/>
      <c r="L1199" s="144"/>
      <c r="M1199" s="144"/>
      <c r="N1199" s="144"/>
      <c r="O1199" s="144"/>
      <c r="P1199" s="145"/>
      <c r="Q1199" s="145"/>
    </row>
    <row r="1200" spans="1:19" s="164" customFormat="1" ht="21" x14ac:dyDescent="0.35">
      <c r="A1200" s="147" t="str">
        <f>ORÇAMENTO!A262</f>
        <v>4.2.1.1</v>
      </c>
      <c r="B1200" s="148" t="str">
        <f>VLOOKUP(A1200,ORÇAMENTO!$A:$F,4,0)</f>
        <v>DESOBSTRUÇÃO E LIMPEZA DE BOCA-DE-LOBO</v>
      </c>
      <c r="C1200" s="149" t="str">
        <f>VLOOKUP(A1200,ORÇAMENTO!$A:$F,5,0)</f>
        <v>UN</v>
      </c>
      <c r="D1200" s="149">
        <f>SUM(E1203:O1203)</f>
        <v>124</v>
      </c>
      <c r="E1200" s="149" t="s">
        <v>2177</v>
      </c>
      <c r="F1200" s="149" t="s">
        <v>2150</v>
      </c>
      <c r="G1200" s="149" t="s">
        <v>2151</v>
      </c>
      <c r="H1200" s="149" t="s">
        <v>2152</v>
      </c>
      <c r="I1200" s="149" t="s">
        <v>2153</v>
      </c>
      <c r="J1200" s="149" t="s">
        <v>2154</v>
      </c>
      <c r="K1200" s="149" t="s">
        <v>2172</v>
      </c>
      <c r="L1200" s="149" t="s">
        <v>2178</v>
      </c>
      <c r="M1200" s="149" t="s">
        <v>413</v>
      </c>
      <c r="N1200" s="149" t="s">
        <v>2157</v>
      </c>
      <c r="O1200" s="149" t="s">
        <v>2158</v>
      </c>
      <c r="P1200" s="145"/>
      <c r="Q1200" s="145"/>
      <c r="R1200" s="145"/>
      <c r="S1200" s="145"/>
    </row>
    <row r="1201" spans="1:19" s="164" customFormat="1" x14ac:dyDescent="0.35">
      <c r="A1201" s="151"/>
      <c r="B1201" s="152" t="s">
        <v>2275</v>
      </c>
      <c r="C1201" s="160"/>
      <c r="D1201" s="161"/>
      <c r="E1201" s="161"/>
      <c r="F1201" s="161"/>
      <c r="G1201" s="161"/>
      <c r="H1201" s="161"/>
      <c r="I1201" s="161"/>
      <c r="J1201" s="161"/>
      <c r="K1201" s="161"/>
      <c r="L1201" s="161"/>
      <c r="M1201" s="161">
        <f>'Planilha Hidráulica'!AC33</f>
        <v>124</v>
      </c>
      <c r="N1201" s="161"/>
      <c r="O1201" s="161"/>
      <c r="P1201" s="145"/>
      <c r="Q1201" s="145"/>
      <c r="R1201" s="145"/>
      <c r="S1201" s="145"/>
    </row>
    <row r="1202" spans="1:19" s="164" customFormat="1" x14ac:dyDescent="0.35">
      <c r="A1202" s="151"/>
      <c r="B1202" s="152"/>
      <c r="C1202" s="160"/>
      <c r="D1202" s="161"/>
      <c r="E1202" s="161"/>
      <c r="F1202" s="161"/>
      <c r="G1202" s="161"/>
      <c r="H1202" s="161"/>
      <c r="I1202" s="161"/>
      <c r="J1202" s="161"/>
      <c r="K1202" s="161"/>
      <c r="L1202" s="161"/>
      <c r="M1202" s="161"/>
      <c r="N1202" s="161"/>
      <c r="O1202" s="161"/>
      <c r="P1202" s="145"/>
      <c r="Q1202" s="145"/>
      <c r="R1202" s="145"/>
      <c r="S1202" s="145"/>
    </row>
    <row r="1203" spans="1:19" s="146" customFormat="1" ht="10.5" x14ac:dyDescent="0.3">
      <c r="A1203" s="151"/>
      <c r="B1203" s="157" t="s">
        <v>377</v>
      </c>
      <c r="C1203" s="181" t="s">
        <v>402</v>
      </c>
      <c r="D1203" s="181"/>
      <c r="E1203" s="181"/>
      <c r="F1203" s="181"/>
      <c r="G1203" s="181"/>
      <c r="H1203" s="181"/>
      <c r="I1203" s="181"/>
      <c r="J1203" s="181"/>
      <c r="K1203" s="181"/>
      <c r="L1203" s="181"/>
      <c r="M1203" s="182">
        <f>SUM(M1201:M1202)</f>
        <v>124</v>
      </c>
      <c r="N1203" s="181"/>
      <c r="O1203" s="182"/>
      <c r="P1203" s="183"/>
    </row>
    <row r="1204" spans="1:19" s="146" customFormat="1" ht="10.5" x14ac:dyDescent="0.25">
      <c r="A1204" s="141" t="str">
        <f>ORÇAMENTO!A263</f>
        <v>4.2.2</v>
      </c>
      <c r="B1204" s="142" t="str">
        <f>VLOOKUP(A1204,ORÇAMENTO!$A:$F,4,0)</f>
        <v>LIMPEZA E DESOBSTRUÇÃO DE POÇOS DE VISITA</v>
      </c>
      <c r="C1204" s="143"/>
      <c r="D1204" s="143"/>
      <c r="E1204" s="144"/>
      <c r="F1204" s="144"/>
      <c r="G1204" s="144"/>
      <c r="H1204" s="144"/>
      <c r="I1204" s="144"/>
      <c r="J1204" s="144"/>
      <c r="K1204" s="144"/>
      <c r="L1204" s="144"/>
      <c r="M1204" s="144"/>
      <c r="N1204" s="144"/>
      <c r="O1204" s="144"/>
      <c r="P1204" s="145"/>
      <c r="Q1204" s="145"/>
    </row>
    <row r="1205" spans="1:19" s="164" customFormat="1" ht="21" x14ac:dyDescent="0.35">
      <c r="A1205" s="147" t="str">
        <f>ORÇAMENTO!A264</f>
        <v>4.2.2.1</v>
      </c>
      <c r="B1205" s="148" t="str">
        <f>VLOOKUP(A1205,ORÇAMENTO!$A:$F,4,0)</f>
        <v>BOMBEAMENTO DE POCO DE VISITA</v>
      </c>
      <c r="C1205" s="149"/>
      <c r="D1205" s="149">
        <f>SUM(E1206:O1206)</f>
        <v>54</v>
      </c>
      <c r="E1205" s="149" t="s">
        <v>2177</v>
      </c>
      <c r="F1205" s="149" t="s">
        <v>2150</v>
      </c>
      <c r="G1205" s="149" t="s">
        <v>2151</v>
      </c>
      <c r="H1205" s="149" t="s">
        <v>2152</v>
      </c>
      <c r="I1205" s="149" t="s">
        <v>2153</v>
      </c>
      <c r="J1205" s="149" t="s">
        <v>2154</v>
      </c>
      <c r="K1205" s="149" t="s">
        <v>2172</v>
      </c>
      <c r="L1205" s="149" t="s">
        <v>2178</v>
      </c>
      <c r="M1205" s="149" t="s">
        <v>413</v>
      </c>
      <c r="N1205" s="149" t="s">
        <v>2157</v>
      </c>
      <c r="O1205" s="149" t="s">
        <v>2158</v>
      </c>
      <c r="P1205" s="145"/>
      <c r="Q1205" s="145"/>
      <c r="R1205" s="145"/>
      <c r="S1205" s="145"/>
    </row>
    <row r="1206" spans="1:19" s="146" customFormat="1" ht="10.5" x14ac:dyDescent="0.3">
      <c r="A1206" s="151"/>
      <c r="B1206" s="152" t="s">
        <v>2276</v>
      </c>
      <c r="C1206" s="161"/>
      <c r="D1206" s="161"/>
      <c r="E1206" s="161"/>
      <c r="F1206" s="161"/>
      <c r="G1206" s="161"/>
      <c r="H1206" s="161"/>
      <c r="I1206" s="161"/>
      <c r="J1206" s="161"/>
      <c r="K1206" s="161"/>
      <c r="L1206" s="171"/>
      <c r="M1206" s="171">
        <v>54</v>
      </c>
      <c r="N1206" s="161"/>
      <c r="O1206" s="161"/>
      <c r="P1206" s="184"/>
    </row>
    <row r="1207" spans="1:19" s="146" customFormat="1" ht="10.5" x14ac:dyDescent="0.3">
      <c r="A1207" s="151"/>
      <c r="B1207" s="152"/>
      <c r="C1207" s="161"/>
      <c r="D1207" s="161"/>
      <c r="E1207" s="161"/>
      <c r="F1207" s="161"/>
      <c r="G1207" s="161"/>
      <c r="H1207" s="161"/>
      <c r="I1207" s="161"/>
      <c r="J1207" s="161"/>
      <c r="K1207" s="161"/>
      <c r="L1207" s="171"/>
      <c r="M1207" s="171"/>
      <c r="N1207" s="161"/>
      <c r="O1207" s="161"/>
      <c r="P1207" s="184"/>
    </row>
    <row r="1208" spans="1:19" s="146" customFormat="1" ht="10.5" x14ac:dyDescent="0.3">
      <c r="A1208" s="151"/>
      <c r="B1208" s="157" t="s">
        <v>377</v>
      </c>
      <c r="C1208" s="181" t="s">
        <v>402</v>
      </c>
      <c r="D1208" s="181"/>
      <c r="E1208" s="181"/>
      <c r="F1208" s="181"/>
      <c r="G1208" s="181"/>
      <c r="H1208" s="181"/>
      <c r="I1208" s="181"/>
      <c r="J1208" s="181"/>
      <c r="K1208" s="181"/>
      <c r="L1208" s="182"/>
      <c r="M1208" s="182">
        <f>SUM(M1206:M1206)</f>
        <v>54</v>
      </c>
      <c r="N1208" s="181"/>
      <c r="O1208" s="181"/>
      <c r="P1208" s="183"/>
    </row>
    <row r="1209" spans="1:19" s="164" customFormat="1" ht="21" x14ac:dyDescent="0.35">
      <c r="A1209" s="147" t="str">
        <f>ORÇAMENTO!A265</f>
        <v>4.2.2.2</v>
      </c>
      <c r="B1209" s="148" t="str">
        <f>VLOOKUP(A1209,ORÇAMENTO!$A:$F,4,0)</f>
        <v>LIMPEZA PV</v>
      </c>
      <c r="C1209" s="149"/>
      <c r="D1209" s="149">
        <f>SUM(E1210:O1210)</f>
        <v>54</v>
      </c>
      <c r="E1209" s="149" t="s">
        <v>2177</v>
      </c>
      <c r="F1209" s="149" t="s">
        <v>2150</v>
      </c>
      <c r="G1209" s="149" t="s">
        <v>2151</v>
      </c>
      <c r="H1209" s="149" t="s">
        <v>2152</v>
      </c>
      <c r="I1209" s="149" t="s">
        <v>2153</v>
      </c>
      <c r="J1209" s="149" t="s">
        <v>2154</v>
      </c>
      <c r="K1209" s="149" t="s">
        <v>2172</v>
      </c>
      <c r="L1209" s="149" t="s">
        <v>2178</v>
      </c>
      <c r="M1209" s="149" t="s">
        <v>413</v>
      </c>
      <c r="N1209" s="149" t="s">
        <v>2157</v>
      </c>
      <c r="O1209" s="149" t="s">
        <v>2158</v>
      </c>
      <c r="P1209" s="145"/>
      <c r="Q1209" s="145"/>
      <c r="R1209" s="145"/>
      <c r="S1209" s="145"/>
    </row>
    <row r="1210" spans="1:19" s="146" customFormat="1" ht="10.5" x14ac:dyDescent="0.3">
      <c r="A1210" s="151"/>
      <c r="B1210" s="152" t="s">
        <v>2276</v>
      </c>
      <c r="C1210" s="161"/>
      <c r="D1210" s="161"/>
      <c r="E1210" s="161"/>
      <c r="F1210" s="161"/>
      <c r="G1210" s="161"/>
      <c r="H1210" s="161"/>
      <c r="I1210" s="161"/>
      <c r="J1210" s="161"/>
      <c r="K1210" s="161"/>
      <c r="L1210" s="171"/>
      <c r="M1210" s="171">
        <f>M1206</f>
        <v>54</v>
      </c>
      <c r="N1210" s="161"/>
      <c r="O1210" s="161"/>
      <c r="P1210" s="184"/>
    </row>
    <row r="1211" spans="1:19" s="146" customFormat="1" ht="10.5" x14ac:dyDescent="0.3">
      <c r="A1211" s="151"/>
      <c r="B1211" s="152"/>
      <c r="C1211" s="161"/>
      <c r="D1211" s="161"/>
      <c r="E1211" s="161"/>
      <c r="F1211" s="161"/>
      <c r="G1211" s="161"/>
      <c r="H1211" s="161"/>
      <c r="I1211" s="161"/>
      <c r="J1211" s="161"/>
      <c r="K1211" s="161"/>
      <c r="L1211" s="171"/>
      <c r="M1211" s="171"/>
      <c r="N1211" s="161"/>
      <c r="O1211" s="161"/>
      <c r="P1211" s="184"/>
    </row>
    <row r="1212" spans="1:19" s="146" customFormat="1" ht="10.5" x14ac:dyDescent="0.3">
      <c r="A1212" s="151"/>
      <c r="B1212" s="157" t="s">
        <v>377</v>
      </c>
      <c r="C1212" s="181" t="s">
        <v>402</v>
      </c>
      <c r="D1212" s="181"/>
      <c r="E1212" s="181"/>
      <c r="F1212" s="181"/>
      <c r="G1212" s="181"/>
      <c r="H1212" s="181"/>
      <c r="I1212" s="181"/>
      <c r="J1212" s="181"/>
      <c r="K1212" s="181"/>
      <c r="L1212" s="182"/>
      <c r="M1212" s="182">
        <f>SUM(M1210:M1210)</f>
        <v>54</v>
      </c>
      <c r="N1212" s="181"/>
      <c r="O1212" s="181"/>
      <c r="P1212" s="183"/>
    </row>
    <row r="1213" spans="1:19" s="146" customFormat="1" ht="10.5" x14ac:dyDescent="0.25">
      <c r="A1213" s="141" t="str">
        <f>ORÇAMENTO!A266</f>
        <v>4.3</v>
      </c>
      <c r="B1213" s="142" t="str">
        <f>VLOOKUP(A1213,ORÇAMENTO!$A:$F,4,0)</f>
        <v>REVITALIZAÇÃO DE POÇO DE VISITA SOB ASFALTO</v>
      </c>
      <c r="C1213" s="143"/>
      <c r="D1213" s="143"/>
      <c r="E1213" s="144"/>
      <c r="F1213" s="144"/>
      <c r="G1213" s="144"/>
      <c r="H1213" s="144"/>
      <c r="I1213" s="144"/>
      <c r="J1213" s="144"/>
      <c r="K1213" s="144"/>
      <c r="L1213" s="144"/>
      <c r="M1213" s="144"/>
      <c r="N1213" s="144"/>
      <c r="O1213" s="144"/>
      <c r="P1213" s="145"/>
      <c r="Q1213" s="145"/>
    </row>
    <row r="1214" spans="1:19" s="164" customFormat="1" ht="21" x14ac:dyDescent="0.35">
      <c r="A1214" s="147" t="str">
        <f>ORÇAMENTO!A267</f>
        <v>4.3.1</v>
      </c>
      <c r="B1214" s="148" t="str">
        <f>VLOOKUP(A1214,ORÇAMENTO!$A:$F,4,0)</f>
        <v>TELA TAPUME, COR LARANJA, COM SUPORTE A CADA 2M (FORNECIMENTO E INSTALAÇÃO)</v>
      </c>
      <c r="C1214" s="149" t="str">
        <f>VLOOKUP(A1214,ORÇAMENTO!$A:$F,5,0)</f>
        <v>M</v>
      </c>
      <c r="D1214" s="149">
        <f>SUM(D1220:N1220)</f>
        <v>295.2</v>
      </c>
      <c r="E1214" s="149" t="s">
        <v>2149</v>
      </c>
      <c r="F1214" s="149" t="s">
        <v>2150</v>
      </c>
      <c r="G1214" s="149" t="s">
        <v>2151</v>
      </c>
      <c r="H1214" s="149" t="s">
        <v>2152</v>
      </c>
      <c r="I1214" s="149" t="s">
        <v>2153</v>
      </c>
      <c r="J1214" s="149" t="s">
        <v>2154</v>
      </c>
      <c r="K1214" s="149" t="s">
        <v>2172</v>
      </c>
      <c r="L1214" s="149" t="s">
        <v>2178</v>
      </c>
      <c r="M1214" s="149" t="s">
        <v>413</v>
      </c>
      <c r="N1214" s="149" t="s">
        <v>2157</v>
      </c>
      <c r="O1214" s="149" t="s">
        <v>2158</v>
      </c>
      <c r="P1214" s="145"/>
      <c r="Q1214" s="145"/>
      <c r="R1214" s="145"/>
      <c r="S1214" s="145"/>
    </row>
    <row r="1215" spans="1:19" s="146" customFormat="1" ht="10.5" x14ac:dyDescent="0.25">
      <c r="A1215" s="151"/>
      <c r="B1215" s="152"/>
      <c r="C1215" s="153"/>
      <c r="D1215" s="154"/>
      <c r="E1215" s="154"/>
      <c r="F1215" s="154"/>
      <c r="G1215" s="154"/>
      <c r="H1215" s="154"/>
      <c r="I1215" s="154"/>
      <c r="J1215" s="154"/>
      <c r="K1215" s="154"/>
      <c r="L1215" s="156"/>
      <c r="M1215" s="154"/>
      <c r="N1215" s="154"/>
      <c r="O1215" s="154"/>
      <c r="P1215" s="155"/>
      <c r="Q1215" s="145"/>
    </row>
    <row r="1216" spans="1:19" s="146" customFormat="1" ht="45.75" customHeight="1" x14ac:dyDescent="0.3">
      <c r="A1216" s="151"/>
      <c r="B1216" s="152" t="s">
        <v>2277</v>
      </c>
      <c r="C1216" s="161"/>
      <c r="D1216" s="161"/>
      <c r="E1216" s="161"/>
      <c r="F1216" s="161"/>
      <c r="G1216" s="161"/>
      <c r="H1216" s="161"/>
      <c r="I1216" s="161"/>
      <c r="J1216" s="161"/>
      <c r="K1216" s="161"/>
      <c r="L1216" s="171"/>
      <c r="M1216" s="161">
        <v>41</v>
      </c>
      <c r="N1216" s="161"/>
      <c r="O1216" s="161"/>
      <c r="P1216" s="184"/>
    </row>
    <row r="1217" spans="1:17" s="146" customFormat="1" ht="10.5" x14ac:dyDescent="0.25">
      <c r="A1217" s="151"/>
      <c r="B1217" s="152" t="s">
        <v>2278</v>
      </c>
      <c r="C1217" s="153"/>
      <c r="D1217" s="154"/>
      <c r="E1217" s="154">
        <f>0.6+0.6*2</f>
        <v>1.7999999999999998</v>
      </c>
      <c r="F1217" s="154">
        <f>0.6+0.6*2</f>
        <v>1.7999999999999998</v>
      </c>
      <c r="G1217" s="154"/>
      <c r="H1217" s="154"/>
      <c r="I1217" s="154">
        <f>2*E1217+2*F1217</f>
        <v>7.1999999999999993</v>
      </c>
      <c r="J1217" s="154"/>
      <c r="K1217" s="154"/>
      <c r="L1217" s="156"/>
      <c r="M1217" s="154"/>
      <c r="N1217" s="154"/>
      <c r="O1217" s="154"/>
      <c r="P1217" s="155"/>
      <c r="Q1217" s="145"/>
    </row>
    <row r="1218" spans="1:17" s="146" customFormat="1" ht="10.5" x14ac:dyDescent="0.25">
      <c r="A1218" s="151"/>
      <c r="B1218" s="152"/>
      <c r="C1218" s="153"/>
      <c r="D1218" s="154"/>
      <c r="E1218" s="154"/>
      <c r="F1218" s="154"/>
      <c r="G1218" s="154"/>
      <c r="H1218" s="154"/>
      <c r="I1218" s="154">
        <f>I1217*M1216</f>
        <v>295.2</v>
      </c>
      <c r="J1218" s="154"/>
      <c r="K1218" s="154"/>
      <c r="L1218" s="156"/>
      <c r="M1218" s="154"/>
      <c r="N1218" s="154"/>
      <c r="O1218" s="154"/>
      <c r="P1218" s="155"/>
      <c r="Q1218" s="145"/>
    </row>
    <row r="1219" spans="1:17" s="146" customFormat="1" ht="10.5" x14ac:dyDescent="0.25">
      <c r="A1219" s="151"/>
      <c r="B1219" s="152"/>
      <c r="C1219" s="153"/>
      <c r="D1219" s="154"/>
      <c r="E1219" s="154"/>
      <c r="F1219" s="154"/>
      <c r="G1219" s="154"/>
      <c r="H1219" s="154"/>
      <c r="I1219" s="154"/>
      <c r="J1219" s="154"/>
      <c r="K1219" s="154"/>
      <c r="L1219" s="156"/>
      <c r="M1219" s="154"/>
      <c r="N1219" s="154"/>
      <c r="O1219" s="154"/>
      <c r="P1219" s="155"/>
      <c r="Q1219" s="145"/>
    </row>
    <row r="1220" spans="1:17" s="146" customFormat="1" ht="10.5" x14ac:dyDescent="0.3">
      <c r="A1220" s="151"/>
      <c r="B1220" s="157" t="s">
        <v>377</v>
      </c>
      <c r="C1220" s="181" t="s">
        <v>402</v>
      </c>
      <c r="D1220" s="181"/>
      <c r="E1220" s="181"/>
      <c r="F1220" s="181"/>
      <c r="G1220" s="181"/>
      <c r="H1220" s="181"/>
      <c r="I1220" s="158">
        <f>I1218</f>
        <v>295.2</v>
      </c>
      <c r="J1220" s="181"/>
      <c r="K1220" s="181"/>
      <c r="L1220" s="182"/>
      <c r="M1220" s="182"/>
      <c r="N1220" s="181"/>
      <c r="O1220" s="181"/>
      <c r="P1220" s="183"/>
    </row>
    <row r="1221" spans="1:17" s="150" customFormat="1" ht="31.5" x14ac:dyDescent="0.25">
      <c r="A1221" s="147" t="str">
        <f>ORÇAMENTO!A268</f>
        <v>4.3.2</v>
      </c>
      <c r="B1221" s="148" t="str">
        <f>VLOOKUP(A1221,ORÇAMENTO!$A:$F,4,0)</f>
        <v>DEMOLIÇÃO PARCIAL DE PAVIMENTO ASFÁLTICO, DE FORMA MECANIZADA, SEM REAPROVEITAMENTO. AF_09/2023</v>
      </c>
      <c r="C1221" s="149" t="str">
        <f>VLOOKUP(A1221,ORÇAMENTO!$A:$F,5,0)</f>
        <v>M²</v>
      </c>
      <c r="D1221" s="149">
        <f>SUM(E1225:O1225)</f>
        <v>132.83999999999997</v>
      </c>
      <c r="E1221" s="149" t="s">
        <v>2149</v>
      </c>
      <c r="F1221" s="149" t="s">
        <v>2150</v>
      </c>
      <c r="G1221" s="149" t="s">
        <v>2151</v>
      </c>
      <c r="H1221" s="149" t="s">
        <v>2152</v>
      </c>
      <c r="I1221" s="149" t="s">
        <v>2153</v>
      </c>
      <c r="J1221" s="149" t="s">
        <v>2154</v>
      </c>
      <c r="K1221" s="149" t="s">
        <v>2155</v>
      </c>
      <c r="L1221" s="149" t="s">
        <v>2156</v>
      </c>
      <c r="M1221" s="149" t="s">
        <v>413</v>
      </c>
      <c r="N1221" s="149" t="s">
        <v>2157</v>
      </c>
      <c r="O1221" s="149" t="s">
        <v>2158</v>
      </c>
      <c r="P1221" s="145"/>
      <c r="Q1221" s="145"/>
    </row>
    <row r="1222" spans="1:17" s="146" customFormat="1" ht="48" customHeight="1" x14ac:dyDescent="0.25">
      <c r="A1222" s="151"/>
      <c r="B1222" s="152" t="s">
        <v>2277</v>
      </c>
      <c r="C1222" s="160"/>
      <c r="D1222" s="161"/>
      <c r="E1222" s="161"/>
      <c r="F1222" s="161"/>
      <c r="G1222" s="161"/>
      <c r="H1222" s="161"/>
      <c r="I1222" s="161"/>
      <c r="J1222" s="161"/>
      <c r="K1222" s="161"/>
      <c r="L1222" s="161"/>
      <c r="M1222" s="161">
        <f>M1216</f>
        <v>41</v>
      </c>
      <c r="N1222" s="161"/>
      <c r="O1222" s="161"/>
      <c r="P1222" s="155"/>
      <c r="Q1222" s="145"/>
    </row>
    <row r="1223" spans="1:17" s="146" customFormat="1" ht="10.5" x14ac:dyDescent="0.25">
      <c r="A1223" s="151"/>
      <c r="B1223" s="152" t="s">
        <v>2279</v>
      </c>
      <c r="C1223" s="160"/>
      <c r="D1223" s="161"/>
      <c r="E1223" s="161">
        <f>E1217</f>
        <v>1.7999999999999998</v>
      </c>
      <c r="F1223" s="161">
        <f>F1217</f>
        <v>1.7999999999999998</v>
      </c>
      <c r="G1223" s="161"/>
      <c r="H1223" s="161">
        <v>0.03</v>
      </c>
      <c r="I1223" s="161"/>
      <c r="J1223" s="161"/>
      <c r="K1223" s="161"/>
      <c r="L1223" s="161"/>
      <c r="M1223" s="161"/>
      <c r="N1223" s="161">
        <f>M1222*E1223*F1223</f>
        <v>132.83999999999997</v>
      </c>
      <c r="O1223" s="161"/>
      <c r="P1223" s="155"/>
      <c r="Q1223" s="145"/>
    </row>
    <row r="1224" spans="1:17" s="146" customFormat="1" ht="10.5" x14ac:dyDescent="0.25">
      <c r="A1224" s="151"/>
      <c r="B1224" s="152"/>
      <c r="C1224" s="160"/>
      <c r="D1224" s="161"/>
      <c r="E1224" s="161"/>
      <c r="F1224" s="161"/>
      <c r="G1224" s="161"/>
      <c r="H1224" s="161"/>
      <c r="I1224" s="161"/>
      <c r="J1224" s="161"/>
      <c r="K1224" s="161"/>
      <c r="L1224" s="162"/>
      <c r="M1224" s="161"/>
      <c r="N1224" s="161"/>
      <c r="O1224" s="161"/>
      <c r="P1224" s="155"/>
      <c r="Q1224" s="145"/>
    </row>
    <row r="1225" spans="1:17" s="146" customFormat="1" ht="10.5" x14ac:dyDescent="0.25">
      <c r="A1225" s="151"/>
      <c r="B1225" s="157" t="s">
        <v>377</v>
      </c>
      <c r="C1225" s="158" t="s">
        <v>402</v>
      </c>
      <c r="D1225" s="158"/>
      <c r="E1225" s="158"/>
      <c r="F1225" s="158"/>
      <c r="G1225" s="158"/>
      <c r="H1225" s="158"/>
      <c r="I1225" s="158"/>
      <c r="J1225" s="158"/>
      <c r="K1225" s="158"/>
      <c r="L1225" s="158"/>
      <c r="M1225" s="158"/>
      <c r="N1225" s="182">
        <f>SUM(N1223:N1224)</f>
        <v>132.83999999999997</v>
      </c>
      <c r="O1225" s="158"/>
      <c r="P1225" s="159"/>
      <c r="Q1225" s="145"/>
    </row>
    <row r="1226" spans="1:17" s="150" customFormat="1" ht="63" x14ac:dyDescent="0.25">
      <c r="A1226" s="147" t="str">
        <f>ORÇAMENTO!A269</f>
        <v>4.3.3</v>
      </c>
      <c r="B1226" s="148" t="str">
        <f>VLOOKUP(A1226,ORÇAMENTO!$A:$F,4,0)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1226" s="149" t="str">
        <f>VLOOKUP(A1226,ORÇAMENTO!$A:$F,5,0)</f>
        <v>M³</v>
      </c>
      <c r="D1226" s="149">
        <f>SUM(E1270:O1270)</f>
        <v>35.672399999999975</v>
      </c>
      <c r="E1226" s="149" t="s">
        <v>2149</v>
      </c>
      <c r="F1226" s="149" t="s">
        <v>2150</v>
      </c>
      <c r="G1226" s="149" t="s">
        <v>2151</v>
      </c>
      <c r="H1226" s="149" t="s">
        <v>2280</v>
      </c>
      <c r="I1226" s="149" t="s">
        <v>2152</v>
      </c>
      <c r="J1226" s="149" t="s">
        <v>2154</v>
      </c>
      <c r="K1226" s="149" t="s">
        <v>2155</v>
      </c>
      <c r="L1226" s="149" t="s">
        <v>2156</v>
      </c>
      <c r="M1226" s="149" t="s">
        <v>413</v>
      </c>
      <c r="N1226" s="149" t="s">
        <v>2157</v>
      </c>
      <c r="O1226" s="149" t="s">
        <v>2158</v>
      </c>
      <c r="P1226" s="145"/>
      <c r="Q1226" s="145"/>
    </row>
    <row r="1227" spans="1:17" s="146" customFormat="1" ht="21" x14ac:dyDescent="0.25">
      <c r="A1227" s="151"/>
      <c r="B1227" s="152" t="s">
        <v>2277</v>
      </c>
      <c r="C1227" s="153"/>
      <c r="D1227" s="154"/>
      <c r="E1227" s="154"/>
      <c r="F1227" s="154"/>
      <c r="G1227" s="154"/>
      <c r="H1227" s="154"/>
      <c r="I1227" s="154"/>
      <c r="J1227" s="154"/>
      <c r="K1227" s="154"/>
      <c r="L1227" s="154"/>
      <c r="M1227" s="154"/>
      <c r="N1227" s="154"/>
      <c r="O1227" s="154"/>
      <c r="P1227" s="155"/>
      <c r="Q1227" s="145"/>
    </row>
    <row r="1228" spans="1:17" s="146" customFormat="1" ht="10.5" x14ac:dyDescent="0.25">
      <c r="A1228" s="151"/>
      <c r="B1228" s="152" t="s">
        <v>2281</v>
      </c>
      <c r="C1228" s="153"/>
      <c r="D1228" s="154"/>
      <c r="E1228" s="154">
        <v>1.8</v>
      </c>
      <c r="F1228" s="154">
        <v>1.8</v>
      </c>
      <c r="G1228" s="161">
        <f t="shared" ref="G1228:G1268" si="30">H1228-0.03</f>
        <v>0.11999999999999991</v>
      </c>
      <c r="H1228" s="154">
        <v>0.14999999999999991</v>
      </c>
      <c r="I1228" s="154"/>
      <c r="J1228" s="154"/>
      <c r="K1228" s="154"/>
      <c r="L1228" s="154"/>
      <c r="M1228" s="154"/>
      <c r="N1228" s="154"/>
      <c r="O1228" s="154">
        <f t="shared" ref="O1228:O1268" si="31">E1228*F1228*G1228</f>
        <v>0.38879999999999976</v>
      </c>
      <c r="P1228" s="155"/>
      <c r="Q1228" s="145"/>
    </row>
    <row r="1229" spans="1:17" s="146" customFormat="1" ht="10.5" x14ac:dyDescent="0.25">
      <c r="A1229" s="151"/>
      <c r="B1229" s="152" t="s">
        <v>2282</v>
      </c>
      <c r="C1229" s="153"/>
      <c r="D1229" s="154"/>
      <c r="E1229" s="154">
        <v>1.8</v>
      </c>
      <c r="F1229" s="154">
        <v>1.8</v>
      </c>
      <c r="G1229" s="161">
        <f t="shared" si="30"/>
        <v>0.1099999999999999</v>
      </c>
      <c r="H1229" s="154">
        <v>0.1399999999999999</v>
      </c>
      <c r="I1229" s="154"/>
      <c r="J1229" s="154"/>
      <c r="K1229" s="154"/>
      <c r="L1229" s="154"/>
      <c r="M1229" s="154"/>
      <c r="N1229" s="154"/>
      <c r="O1229" s="154">
        <f t="shared" si="31"/>
        <v>0.35639999999999972</v>
      </c>
      <c r="P1229" s="155"/>
      <c r="Q1229" s="145"/>
    </row>
    <row r="1230" spans="1:17" s="146" customFormat="1" ht="10.5" x14ac:dyDescent="0.25">
      <c r="A1230" s="151"/>
      <c r="B1230" s="152" t="s">
        <v>2283</v>
      </c>
      <c r="C1230" s="153"/>
      <c r="D1230" s="154"/>
      <c r="E1230" s="154">
        <v>1.8</v>
      </c>
      <c r="F1230" s="154">
        <v>1.8</v>
      </c>
      <c r="G1230" s="161">
        <f t="shared" si="30"/>
        <v>0.11999999999999991</v>
      </c>
      <c r="H1230" s="154">
        <v>0.14999999999999991</v>
      </c>
      <c r="I1230" s="154"/>
      <c r="J1230" s="154"/>
      <c r="K1230" s="154"/>
      <c r="L1230" s="154"/>
      <c r="M1230" s="154"/>
      <c r="N1230" s="154"/>
      <c r="O1230" s="154">
        <f t="shared" si="31"/>
        <v>0.38879999999999976</v>
      </c>
      <c r="P1230" s="155"/>
      <c r="Q1230" s="145"/>
    </row>
    <row r="1231" spans="1:17" s="146" customFormat="1" ht="10.5" x14ac:dyDescent="0.25">
      <c r="A1231" s="151"/>
      <c r="B1231" s="152" t="s">
        <v>2284</v>
      </c>
      <c r="C1231" s="153"/>
      <c r="D1231" s="154"/>
      <c r="E1231" s="154">
        <v>1.8</v>
      </c>
      <c r="F1231" s="154">
        <v>1.8</v>
      </c>
      <c r="G1231" s="161">
        <f t="shared" si="30"/>
        <v>0.11999999999999991</v>
      </c>
      <c r="H1231" s="154">
        <v>0.14999999999999991</v>
      </c>
      <c r="I1231" s="154"/>
      <c r="J1231" s="154"/>
      <c r="K1231" s="154"/>
      <c r="L1231" s="154"/>
      <c r="M1231" s="154"/>
      <c r="N1231" s="154"/>
      <c r="O1231" s="154">
        <f t="shared" si="31"/>
        <v>0.38879999999999976</v>
      </c>
      <c r="P1231" s="155"/>
      <c r="Q1231" s="145"/>
    </row>
    <row r="1232" spans="1:17" s="146" customFormat="1" ht="10.5" x14ac:dyDescent="0.25">
      <c r="A1232" s="151"/>
      <c r="B1232" s="152" t="s">
        <v>2285</v>
      </c>
      <c r="C1232" s="153"/>
      <c r="D1232" s="154"/>
      <c r="E1232" s="154">
        <v>1.8</v>
      </c>
      <c r="F1232" s="154">
        <v>1.8</v>
      </c>
      <c r="G1232" s="161">
        <f t="shared" si="30"/>
        <v>0.13999999999999993</v>
      </c>
      <c r="H1232" s="154">
        <v>0.16999999999999993</v>
      </c>
      <c r="I1232" s="154"/>
      <c r="J1232" s="154"/>
      <c r="K1232" s="154"/>
      <c r="L1232" s="154"/>
      <c r="M1232" s="154"/>
      <c r="N1232" s="154"/>
      <c r="O1232" s="154">
        <f t="shared" si="31"/>
        <v>0.45359999999999978</v>
      </c>
      <c r="P1232" s="155"/>
      <c r="Q1232" s="145"/>
    </row>
    <row r="1233" spans="1:17" s="146" customFormat="1" ht="10.5" x14ac:dyDescent="0.25">
      <c r="A1233" s="151"/>
      <c r="B1233" s="152" t="s">
        <v>2286</v>
      </c>
      <c r="C1233" s="153"/>
      <c r="D1233" s="154"/>
      <c r="E1233" s="154">
        <v>1.8</v>
      </c>
      <c r="F1233" s="154">
        <v>1.8</v>
      </c>
      <c r="G1233" s="161">
        <f t="shared" si="30"/>
        <v>1.3699999999999999</v>
      </c>
      <c r="H1233" s="154">
        <v>1.4</v>
      </c>
      <c r="I1233" s="154"/>
      <c r="J1233" s="154"/>
      <c r="K1233" s="154"/>
      <c r="L1233" s="154"/>
      <c r="M1233" s="154"/>
      <c r="N1233" s="154"/>
      <c r="O1233" s="154">
        <f t="shared" si="31"/>
        <v>4.4387999999999996</v>
      </c>
      <c r="P1233" s="155"/>
      <c r="Q1233" s="145"/>
    </row>
    <row r="1234" spans="1:17" s="146" customFormat="1" ht="10.5" x14ac:dyDescent="0.25">
      <c r="A1234" s="151"/>
      <c r="B1234" s="152" t="s">
        <v>2287</v>
      </c>
      <c r="C1234" s="153"/>
      <c r="D1234" s="154"/>
      <c r="E1234" s="154">
        <v>1.8</v>
      </c>
      <c r="F1234" s="154">
        <v>1.8</v>
      </c>
      <c r="G1234" s="161">
        <f t="shared" si="30"/>
        <v>0.72</v>
      </c>
      <c r="H1234" s="154">
        <v>0.75</v>
      </c>
      <c r="I1234" s="154"/>
      <c r="J1234" s="154"/>
      <c r="K1234" s="154"/>
      <c r="L1234" s="154"/>
      <c r="M1234" s="154"/>
      <c r="N1234" s="154"/>
      <c r="O1234" s="154">
        <f t="shared" si="31"/>
        <v>2.3328000000000002</v>
      </c>
      <c r="P1234" s="155"/>
      <c r="Q1234" s="145"/>
    </row>
    <row r="1235" spans="1:17" s="146" customFormat="1" ht="10.5" x14ac:dyDescent="0.25">
      <c r="A1235" s="151"/>
      <c r="B1235" s="152" t="s">
        <v>2288</v>
      </c>
      <c r="C1235" s="153"/>
      <c r="D1235" s="154"/>
      <c r="E1235" s="154">
        <v>1.8</v>
      </c>
      <c r="F1235" s="154">
        <v>1.8</v>
      </c>
      <c r="G1235" s="161">
        <f t="shared" si="30"/>
        <v>0.11999999999999991</v>
      </c>
      <c r="H1235" s="154">
        <v>0.14999999999999991</v>
      </c>
      <c r="I1235" s="154"/>
      <c r="J1235" s="154"/>
      <c r="K1235" s="154"/>
      <c r="L1235" s="154"/>
      <c r="M1235" s="154"/>
      <c r="N1235" s="154"/>
      <c r="O1235" s="154">
        <f t="shared" si="31"/>
        <v>0.38879999999999976</v>
      </c>
      <c r="P1235" s="155"/>
      <c r="Q1235" s="145"/>
    </row>
    <row r="1236" spans="1:17" s="146" customFormat="1" ht="10.5" x14ac:dyDescent="0.25">
      <c r="A1236" s="151"/>
      <c r="B1236" s="152" t="s">
        <v>2289</v>
      </c>
      <c r="C1236" s="153"/>
      <c r="D1236" s="154"/>
      <c r="E1236" s="154">
        <v>1.8</v>
      </c>
      <c r="F1236" s="154">
        <v>1.8</v>
      </c>
      <c r="G1236" s="161">
        <f t="shared" si="30"/>
        <v>0.17999999999999997</v>
      </c>
      <c r="H1236" s="154">
        <v>0.20999999999999996</v>
      </c>
      <c r="I1236" s="154"/>
      <c r="J1236" s="154"/>
      <c r="K1236" s="154"/>
      <c r="L1236" s="154"/>
      <c r="M1236" s="154"/>
      <c r="N1236" s="154"/>
      <c r="O1236" s="154">
        <f t="shared" si="31"/>
        <v>0.58319999999999994</v>
      </c>
      <c r="P1236" s="155"/>
      <c r="Q1236" s="145"/>
    </row>
    <row r="1237" spans="1:17" s="146" customFormat="1" ht="10.5" x14ac:dyDescent="0.25">
      <c r="A1237" s="151"/>
      <c r="B1237" s="152" t="s">
        <v>2290</v>
      </c>
      <c r="C1237" s="153"/>
      <c r="D1237" s="154"/>
      <c r="E1237" s="154">
        <v>1.8</v>
      </c>
      <c r="F1237" s="154">
        <v>1.8</v>
      </c>
      <c r="G1237" s="161">
        <f t="shared" si="30"/>
        <v>0.14999999999999994</v>
      </c>
      <c r="H1237" s="154">
        <v>0.17999999999999994</v>
      </c>
      <c r="I1237" s="154"/>
      <c r="J1237" s="154"/>
      <c r="K1237" s="154"/>
      <c r="L1237" s="154"/>
      <c r="M1237" s="154"/>
      <c r="N1237" s="154"/>
      <c r="O1237" s="154">
        <f t="shared" si="31"/>
        <v>0.48599999999999982</v>
      </c>
      <c r="P1237" s="155"/>
      <c r="Q1237" s="145"/>
    </row>
    <row r="1238" spans="1:17" s="146" customFormat="1" ht="10.5" x14ac:dyDescent="0.25">
      <c r="A1238" s="151"/>
      <c r="B1238" s="152" t="s">
        <v>2291</v>
      </c>
      <c r="C1238" s="153"/>
      <c r="D1238" s="154"/>
      <c r="E1238" s="154">
        <v>1.8</v>
      </c>
      <c r="F1238" s="154">
        <v>1.8</v>
      </c>
      <c r="G1238" s="161">
        <f t="shared" si="30"/>
        <v>0.24999999999999981</v>
      </c>
      <c r="H1238" s="154">
        <v>0.2799999999999998</v>
      </c>
      <c r="I1238" s="154"/>
      <c r="J1238" s="154"/>
      <c r="K1238" s="154"/>
      <c r="L1238" s="154"/>
      <c r="M1238" s="154"/>
      <c r="N1238" s="154"/>
      <c r="O1238" s="154">
        <f t="shared" si="31"/>
        <v>0.80999999999999939</v>
      </c>
      <c r="P1238" s="155"/>
      <c r="Q1238" s="145"/>
    </row>
    <row r="1239" spans="1:17" s="146" customFormat="1" ht="10.5" x14ac:dyDescent="0.25">
      <c r="A1239" s="151"/>
      <c r="B1239" s="152" t="s">
        <v>2292</v>
      </c>
      <c r="C1239" s="153"/>
      <c r="D1239" s="154"/>
      <c r="E1239" s="154">
        <v>1.8</v>
      </c>
      <c r="F1239" s="154">
        <v>1.8</v>
      </c>
      <c r="G1239" s="161">
        <f t="shared" si="30"/>
        <v>0.35999999999999988</v>
      </c>
      <c r="H1239" s="154">
        <v>0.3899999999999999</v>
      </c>
      <c r="I1239" s="154"/>
      <c r="J1239" s="154"/>
      <c r="K1239" s="154"/>
      <c r="L1239" s="154"/>
      <c r="M1239" s="154"/>
      <c r="N1239" s="154"/>
      <c r="O1239" s="154">
        <f t="shared" si="31"/>
        <v>1.1663999999999997</v>
      </c>
      <c r="P1239" s="155"/>
      <c r="Q1239" s="145"/>
    </row>
    <row r="1240" spans="1:17" s="146" customFormat="1" ht="10.5" x14ac:dyDescent="0.25">
      <c r="A1240" s="151"/>
      <c r="B1240" s="152" t="s">
        <v>2293</v>
      </c>
      <c r="C1240" s="153"/>
      <c r="D1240" s="154"/>
      <c r="E1240" s="154">
        <v>1.8</v>
      </c>
      <c r="F1240" s="154">
        <v>1.8</v>
      </c>
      <c r="G1240" s="161">
        <f t="shared" si="30"/>
        <v>0.49</v>
      </c>
      <c r="H1240" s="154">
        <v>0.52</v>
      </c>
      <c r="I1240" s="154"/>
      <c r="J1240" s="154"/>
      <c r="K1240" s="154"/>
      <c r="L1240" s="154"/>
      <c r="M1240" s="154"/>
      <c r="N1240" s="154"/>
      <c r="O1240" s="154">
        <f t="shared" si="31"/>
        <v>1.5876000000000001</v>
      </c>
      <c r="P1240" s="155"/>
      <c r="Q1240" s="145"/>
    </row>
    <row r="1241" spans="1:17" s="146" customFormat="1" ht="10.5" x14ac:dyDescent="0.25">
      <c r="A1241" s="151"/>
      <c r="B1241" s="152" t="s">
        <v>2294</v>
      </c>
      <c r="C1241" s="153"/>
      <c r="D1241" s="154"/>
      <c r="E1241" s="154">
        <v>1.8</v>
      </c>
      <c r="F1241" s="154">
        <v>1.8</v>
      </c>
      <c r="G1241" s="161">
        <f t="shared" si="30"/>
        <v>0.99</v>
      </c>
      <c r="H1241" s="154">
        <v>1.02</v>
      </c>
      <c r="I1241" s="154"/>
      <c r="J1241" s="154"/>
      <c r="K1241" s="154"/>
      <c r="L1241" s="154"/>
      <c r="M1241" s="154"/>
      <c r="N1241" s="154"/>
      <c r="O1241" s="154">
        <f t="shared" si="31"/>
        <v>3.2076000000000002</v>
      </c>
      <c r="P1241" s="155"/>
      <c r="Q1241" s="145"/>
    </row>
    <row r="1242" spans="1:17" s="146" customFormat="1" ht="10.5" x14ac:dyDescent="0.25">
      <c r="A1242" s="151"/>
      <c r="B1242" s="152" t="s">
        <v>2295</v>
      </c>
      <c r="C1242" s="153"/>
      <c r="D1242" s="154"/>
      <c r="E1242" s="154">
        <v>1.8</v>
      </c>
      <c r="F1242" s="154">
        <v>1.8</v>
      </c>
      <c r="G1242" s="161">
        <f t="shared" si="30"/>
        <v>0.11999999999999991</v>
      </c>
      <c r="H1242" s="154">
        <v>0.14999999999999991</v>
      </c>
      <c r="I1242" s="154"/>
      <c r="J1242" s="154"/>
      <c r="K1242" s="154"/>
      <c r="L1242" s="154"/>
      <c r="M1242" s="154"/>
      <c r="N1242" s="154"/>
      <c r="O1242" s="154">
        <f t="shared" si="31"/>
        <v>0.38879999999999976</v>
      </c>
      <c r="P1242" s="155"/>
      <c r="Q1242" s="145"/>
    </row>
    <row r="1243" spans="1:17" s="146" customFormat="1" ht="10.5" x14ac:dyDescent="0.25">
      <c r="A1243" s="151"/>
      <c r="B1243" s="152" t="s">
        <v>2296</v>
      </c>
      <c r="C1243" s="153"/>
      <c r="D1243" s="154"/>
      <c r="E1243" s="154">
        <v>1.8</v>
      </c>
      <c r="F1243" s="154">
        <v>1.8</v>
      </c>
      <c r="G1243" s="161">
        <f t="shared" si="30"/>
        <v>0.11999999999999991</v>
      </c>
      <c r="H1243" s="154">
        <v>0.14999999999999991</v>
      </c>
      <c r="I1243" s="154"/>
      <c r="J1243" s="154"/>
      <c r="K1243" s="154"/>
      <c r="L1243" s="154"/>
      <c r="M1243" s="154"/>
      <c r="N1243" s="154"/>
      <c r="O1243" s="154">
        <f t="shared" si="31"/>
        <v>0.38879999999999976</v>
      </c>
      <c r="P1243" s="155"/>
      <c r="Q1243" s="145"/>
    </row>
    <row r="1244" spans="1:17" s="146" customFormat="1" ht="10.5" x14ac:dyDescent="0.25">
      <c r="A1244" s="151"/>
      <c r="B1244" s="152" t="s">
        <v>2297</v>
      </c>
      <c r="C1244" s="153"/>
      <c r="D1244" s="154"/>
      <c r="E1244" s="154">
        <v>1.8</v>
      </c>
      <c r="F1244" s="154">
        <v>1.8</v>
      </c>
      <c r="G1244" s="161">
        <f t="shared" si="30"/>
        <v>0.25999999999999979</v>
      </c>
      <c r="H1244" s="154">
        <v>0.28999999999999981</v>
      </c>
      <c r="I1244" s="154"/>
      <c r="J1244" s="154"/>
      <c r="K1244" s="154"/>
      <c r="L1244" s="154"/>
      <c r="M1244" s="154"/>
      <c r="N1244" s="154"/>
      <c r="O1244" s="154">
        <f t="shared" si="31"/>
        <v>0.84239999999999937</v>
      </c>
      <c r="P1244" s="155"/>
      <c r="Q1244" s="145"/>
    </row>
    <row r="1245" spans="1:17" s="146" customFormat="1" ht="10.5" x14ac:dyDescent="0.25">
      <c r="A1245" s="151"/>
      <c r="B1245" s="152" t="s">
        <v>2298</v>
      </c>
      <c r="C1245" s="153"/>
      <c r="D1245" s="154"/>
      <c r="E1245" s="154">
        <v>1.8</v>
      </c>
      <c r="F1245" s="154">
        <v>1.8</v>
      </c>
      <c r="G1245" s="161">
        <f t="shared" si="30"/>
        <v>0.24999999999999981</v>
      </c>
      <c r="H1245" s="154">
        <v>0.2799999999999998</v>
      </c>
      <c r="I1245" s="154"/>
      <c r="J1245" s="154"/>
      <c r="K1245" s="154"/>
      <c r="L1245" s="154"/>
      <c r="M1245" s="154"/>
      <c r="N1245" s="154"/>
      <c r="O1245" s="154">
        <f t="shared" si="31"/>
        <v>0.80999999999999939</v>
      </c>
      <c r="P1245" s="155"/>
      <c r="Q1245" s="145"/>
    </row>
    <row r="1246" spans="1:17" s="146" customFormat="1" ht="10.5" x14ac:dyDescent="0.25">
      <c r="A1246" s="151"/>
      <c r="B1246" s="152" t="s">
        <v>2299</v>
      </c>
      <c r="C1246" s="153"/>
      <c r="D1246" s="154"/>
      <c r="E1246" s="154">
        <v>1.8</v>
      </c>
      <c r="F1246" s="154">
        <v>1.8</v>
      </c>
      <c r="G1246" s="161">
        <f t="shared" si="30"/>
        <v>0</v>
      </c>
      <c r="H1246" s="154">
        <v>0.03</v>
      </c>
      <c r="I1246" s="154"/>
      <c r="J1246" s="154"/>
      <c r="K1246" s="154"/>
      <c r="L1246" s="154"/>
      <c r="M1246" s="154"/>
      <c r="N1246" s="154"/>
      <c r="O1246" s="154">
        <f t="shared" si="31"/>
        <v>0</v>
      </c>
      <c r="P1246" s="155"/>
      <c r="Q1246" s="145"/>
    </row>
    <row r="1247" spans="1:17" s="146" customFormat="1" ht="10.5" x14ac:dyDescent="0.25">
      <c r="A1247" s="151"/>
      <c r="B1247" s="152" t="s">
        <v>2300</v>
      </c>
      <c r="C1247" s="153"/>
      <c r="D1247" s="154"/>
      <c r="E1247" s="154">
        <v>1.8</v>
      </c>
      <c r="F1247" s="154">
        <v>1.8</v>
      </c>
      <c r="G1247" s="161">
        <f t="shared" si="30"/>
        <v>0.15999999999999995</v>
      </c>
      <c r="H1247" s="154">
        <v>0.18999999999999995</v>
      </c>
      <c r="I1247" s="154"/>
      <c r="J1247" s="154"/>
      <c r="K1247" s="154"/>
      <c r="L1247" s="154"/>
      <c r="M1247" s="154"/>
      <c r="N1247" s="154"/>
      <c r="O1247" s="154">
        <f t="shared" si="31"/>
        <v>0.51839999999999986</v>
      </c>
      <c r="P1247" s="155"/>
      <c r="Q1247" s="145"/>
    </row>
    <row r="1248" spans="1:17" s="146" customFormat="1" ht="10.5" x14ac:dyDescent="0.25">
      <c r="A1248" s="151"/>
      <c r="B1248" s="152" t="s">
        <v>2301</v>
      </c>
      <c r="C1248" s="153"/>
      <c r="D1248" s="154"/>
      <c r="E1248" s="154">
        <v>1.8</v>
      </c>
      <c r="F1248" s="154">
        <v>1.8</v>
      </c>
      <c r="G1248" s="161">
        <f t="shared" si="30"/>
        <v>0.15999999999999995</v>
      </c>
      <c r="H1248" s="154">
        <v>0.18999999999999995</v>
      </c>
      <c r="I1248" s="154"/>
      <c r="J1248" s="154"/>
      <c r="K1248" s="154"/>
      <c r="L1248" s="154"/>
      <c r="M1248" s="154"/>
      <c r="N1248" s="154"/>
      <c r="O1248" s="154">
        <f t="shared" si="31"/>
        <v>0.51839999999999986</v>
      </c>
      <c r="P1248" s="155"/>
      <c r="Q1248" s="145"/>
    </row>
    <row r="1249" spans="1:17" s="146" customFormat="1" ht="10.5" x14ac:dyDescent="0.25">
      <c r="A1249" s="151"/>
      <c r="B1249" s="152" t="s">
        <v>2302</v>
      </c>
      <c r="C1249" s="153"/>
      <c r="D1249" s="154"/>
      <c r="E1249" s="154">
        <v>1.8</v>
      </c>
      <c r="F1249" s="154">
        <v>1.8</v>
      </c>
      <c r="G1249" s="161">
        <f t="shared" si="30"/>
        <v>0.23</v>
      </c>
      <c r="H1249" s="154">
        <v>0.26</v>
      </c>
      <c r="I1249" s="154"/>
      <c r="J1249" s="154"/>
      <c r="K1249" s="154"/>
      <c r="L1249" s="154"/>
      <c r="M1249" s="154"/>
      <c r="N1249" s="154"/>
      <c r="O1249" s="154">
        <f t="shared" si="31"/>
        <v>0.74520000000000008</v>
      </c>
      <c r="P1249" s="155"/>
      <c r="Q1249" s="145"/>
    </row>
    <row r="1250" spans="1:17" s="146" customFormat="1" ht="10.5" x14ac:dyDescent="0.25">
      <c r="A1250" s="151"/>
      <c r="B1250" s="152" t="s">
        <v>2303</v>
      </c>
      <c r="C1250" s="153"/>
      <c r="D1250" s="154"/>
      <c r="E1250" s="154">
        <v>1.8</v>
      </c>
      <c r="F1250" s="154">
        <v>1.8</v>
      </c>
      <c r="G1250" s="161">
        <f t="shared" si="30"/>
        <v>0.11999999999999991</v>
      </c>
      <c r="H1250" s="154">
        <v>0.14999999999999991</v>
      </c>
      <c r="I1250" s="154"/>
      <c r="J1250" s="154"/>
      <c r="K1250" s="154"/>
      <c r="L1250" s="154"/>
      <c r="M1250" s="154"/>
      <c r="N1250" s="154"/>
      <c r="O1250" s="154">
        <f t="shared" si="31"/>
        <v>0.38879999999999976</v>
      </c>
      <c r="P1250" s="155"/>
      <c r="Q1250" s="145"/>
    </row>
    <row r="1251" spans="1:17" s="146" customFormat="1" ht="10.5" x14ac:dyDescent="0.25">
      <c r="A1251" s="151"/>
      <c r="B1251" s="152" t="s">
        <v>2304</v>
      </c>
      <c r="C1251" s="153"/>
      <c r="D1251" s="154"/>
      <c r="E1251" s="154">
        <v>1.8</v>
      </c>
      <c r="F1251" s="154">
        <v>1.8</v>
      </c>
      <c r="G1251" s="161">
        <f t="shared" si="30"/>
        <v>0.11999999999999991</v>
      </c>
      <c r="H1251" s="154">
        <v>0.14999999999999991</v>
      </c>
      <c r="I1251" s="154"/>
      <c r="J1251" s="154"/>
      <c r="K1251" s="154"/>
      <c r="L1251" s="154"/>
      <c r="M1251" s="154"/>
      <c r="N1251" s="154"/>
      <c r="O1251" s="154">
        <f t="shared" si="31"/>
        <v>0.38879999999999976</v>
      </c>
      <c r="P1251" s="155"/>
      <c r="Q1251" s="145"/>
    </row>
    <row r="1252" spans="1:17" s="146" customFormat="1" ht="10.5" x14ac:dyDescent="0.25">
      <c r="A1252" s="151"/>
      <c r="B1252" s="152" t="s">
        <v>2305</v>
      </c>
      <c r="C1252" s="153"/>
      <c r="D1252" s="154"/>
      <c r="E1252" s="154">
        <v>1.8</v>
      </c>
      <c r="F1252" s="154">
        <v>1.8</v>
      </c>
      <c r="G1252" s="161">
        <f t="shared" si="30"/>
        <v>0.25999999999999979</v>
      </c>
      <c r="H1252" s="154">
        <v>0.28999999999999981</v>
      </c>
      <c r="I1252" s="154"/>
      <c r="J1252" s="154"/>
      <c r="K1252" s="154"/>
      <c r="L1252" s="154"/>
      <c r="M1252" s="154"/>
      <c r="N1252" s="154"/>
      <c r="O1252" s="154">
        <f t="shared" si="31"/>
        <v>0.84239999999999937</v>
      </c>
      <c r="P1252" s="155"/>
      <c r="Q1252" s="145"/>
    </row>
    <row r="1253" spans="1:17" s="146" customFormat="1" ht="10.5" x14ac:dyDescent="0.25">
      <c r="A1253" s="151"/>
      <c r="B1253" s="152" t="s">
        <v>2306</v>
      </c>
      <c r="C1253" s="153"/>
      <c r="D1253" s="154"/>
      <c r="E1253" s="154">
        <v>1.8</v>
      </c>
      <c r="F1253" s="154">
        <v>1.8</v>
      </c>
      <c r="G1253" s="161">
        <f t="shared" si="30"/>
        <v>0.11999999999999991</v>
      </c>
      <c r="H1253" s="154">
        <v>0.14999999999999991</v>
      </c>
      <c r="I1253" s="154"/>
      <c r="J1253" s="154"/>
      <c r="K1253" s="154"/>
      <c r="L1253" s="154"/>
      <c r="M1253" s="154"/>
      <c r="N1253" s="154"/>
      <c r="O1253" s="154">
        <f t="shared" si="31"/>
        <v>0.38879999999999976</v>
      </c>
      <c r="P1253" s="155"/>
      <c r="Q1253" s="145"/>
    </row>
    <row r="1254" spans="1:17" s="146" customFormat="1" ht="10.5" x14ac:dyDescent="0.25">
      <c r="A1254" s="151"/>
      <c r="B1254" s="152" t="s">
        <v>2307</v>
      </c>
      <c r="C1254" s="153"/>
      <c r="D1254" s="154"/>
      <c r="E1254" s="154">
        <v>1.8</v>
      </c>
      <c r="F1254" s="154">
        <v>1.8</v>
      </c>
      <c r="G1254" s="161">
        <f t="shared" si="30"/>
        <v>2.9999999999999832E-2</v>
      </c>
      <c r="H1254" s="154">
        <v>5.9999999999999831E-2</v>
      </c>
      <c r="I1254" s="154"/>
      <c r="J1254" s="154"/>
      <c r="K1254" s="154"/>
      <c r="L1254" s="154"/>
      <c r="M1254" s="154"/>
      <c r="N1254" s="154"/>
      <c r="O1254" s="154">
        <f t="shared" si="31"/>
        <v>9.7199999999999467E-2</v>
      </c>
      <c r="P1254" s="155"/>
      <c r="Q1254" s="145"/>
    </row>
    <row r="1255" spans="1:17" s="146" customFormat="1" ht="10.5" x14ac:dyDescent="0.25">
      <c r="A1255" s="151"/>
      <c r="B1255" s="152" t="s">
        <v>2308</v>
      </c>
      <c r="C1255" s="153"/>
      <c r="D1255" s="154"/>
      <c r="E1255" s="154">
        <v>1.8</v>
      </c>
      <c r="F1255" s="154">
        <v>1.8</v>
      </c>
      <c r="G1255" s="161">
        <f t="shared" si="30"/>
        <v>0.2699999999999998</v>
      </c>
      <c r="H1255" s="154">
        <v>0.29999999999999982</v>
      </c>
      <c r="I1255" s="154"/>
      <c r="J1255" s="154"/>
      <c r="K1255" s="154"/>
      <c r="L1255" s="154"/>
      <c r="M1255" s="154"/>
      <c r="N1255" s="154"/>
      <c r="O1255" s="154">
        <f t="shared" si="31"/>
        <v>0.87479999999999936</v>
      </c>
      <c r="P1255" s="155"/>
      <c r="Q1255" s="145"/>
    </row>
    <row r="1256" spans="1:17" s="146" customFormat="1" ht="10.5" x14ac:dyDescent="0.25">
      <c r="A1256" s="151"/>
      <c r="B1256" s="152" t="s">
        <v>2309</v>
      </c>
      <c r="C1256" s="153"/>
      <c r="D1256" s="154"/>
      <c r="E1256" s="154">
        <v>1.8</v>
      </c>
      <c r="F1256" s="154">
        <v>1.8</v>
      </c>
      <c r="G1256" s="161">
        <f t="shared" si="30"/>
        <v>0.11999999999999991</v>
      </c>
      <c r="H1256" s="154">
        <v>0.14999999999999991</v>
      </c>
      <c r="I1256" s="154"/>
      <c r="J1256" s="154"/>
      <c r="K1256" s="154"/>
      <c r="L1256" s="154"/>
      <c r="M1256" s="154"/>
      <c r="N1256" s="154"/>
      <c r="O1256" s="154">
        <f t="shared" si="31"/>
        <v>0.38879999999999976</v>
      </c>
      <c r="P1256" s="155"/>
      <c r="Q1256" s="145"/>
    </row>
    <row r="1257" spans="1:17" s="146" customFormat="1" ht="10.5" x14ac:dyDescent="0.25">
      <c r="A1257" s="151"/>
      <c r="B1257" s="152" t="s">
        <v>2310</v>
      </c>
      <c r="C1257" s="153"/>
      <c r="D1257" s="154"/>
      <c r="E1257" s="154">
        <v>1.8</v>
      </c>
      <c r="F1257" s="154">
        <v>1.8</v>
      </c>
      <c r="G1257" s="161">
        <f t="shared" si="30"/>
        <v>0</v>
      </c>
      <c r="H1257" s="154">
        <v>0.03</v>
      </c>
      <c r="I1257" s="154"/>
      <c r="J1257" s="154"/>
      <c r="K1257" s="154"/>
      <c r="L1257" s="154"/>
      <c r="M1257" s="154"/>
      <c r="N1257" s="154"/>
      <c r="O1257" s="154">
        <f t="shared" si="31"/>
        <v>0</v>
      </c>
      <c r="P1257" s="155"/>
      <c r="Q1257" s="145"/>
    </row>
    <row r="1258" spans="1:17" s="146" customFormat="1" ht="10.5" x14ac:dyDescent="0.25">
      <c r="A1258" s="151"/>
      <c r="B1258" s="152" t="s">
        <v>2311</v>
      </c>
      <c r="C1258" s="153"/>
      <c r="D1258" s="154"/>
      <c r="E1258" s="154">
        <v>1.8</v>
      </c>
      <c r="F1258" s="154">
        <v>1.8</v>
      </c>
      <c r="G1258" s="161">
        <f t="shared" si="30"/>
        <v>0.24000000000000002</v>
      </c>
      <c r="H1258" s="154">
        <v>0.27</v>
      </c>
      <c r="I1258" s="154"/>
      <c r="J1258" s="154"/>
      <c r="K1258" s="154"/>
      <c r="L1258" s="154"/>
      <c r="M1258" s="154"/>
      <c r="N1258" s="154"/>
      <c r="O1258" s="154">
        <f t="shared" si="31"/>
        <v>0.77760000000000007</v>
      </c>
      <c r="P1258" s="155"/>
      <c r="Q1258" s="145"/>
    </row>
    <row r="1259" spans="1:17" s="146" customFormat="1" ht="10.5" x14ac:dyDescent="0.25">
      <c r="A1259" s="151"/>
      <c r="B1259" s="152" t="s">
        <v>2312</v>
      </c>
      <c r="C1259" s="153"/>
      <c r="D1259" s="154"/>
      <c r="E1259" s="154">
        <v>1.8</v>
      </c>
      <c r="F1259" s="154">
        <v>1.8</v>
      </c>
      <c r="G1259" s="161">
        <f t="shared" si="30"/>
        <v>0.11999999999999991</v>
      </c>
      <c r="H1259" s="154">
        <v>0.14999999999999991</v>
      </c>
      <c r="I1259" s="154"/>
      <c r="J1259" s="154"/>
      <c r="K1259" s="154"/>
      <c r="L1259" s="154"/>
      <c r="M1259" s="154"/>
      <c r="N1259" s="154"/>
      <c r="O1259" s="154">
        <f t="shared" si="31"/>
        <v>0.38879999999999976</v>
      </c>
      <c r="P1259" s="155"/>
      <c r="Q1259" s="145"/>
    </row>
    <row r="1260" spans="1:17" s="146" customFormat="1" ht="10.5" x14ac:dyDescent="0.25">
      <c r="A1260" s="151"/>
      <c r="B1260" s="152" t="s">
        <v>2313</v>
      </c>
      <c r="C1260" s="153"/>
      <c r="D1260" s="154"/>
      <c r="E1260" s="154">
        <v>1.8</v>
      </c>
      <c r="F1260" s="154">
        <v>1.8</v>
      </c>
      <c r="G1260" s="161">
        <f t="shared" si="30"/>
        <v>0.53</v>
      </c>
      <c r="H1260" s="154">
        <v>0.56000000000000005</v>
      </c>
      <c r="I1260" s="154"/>
      <c r="J1260" s="154"/>
      <c r="K1260" s="154"/>
      <c r="L1260" s="154"/>
      <c r="M1260" s="154"/>
      <c r="N1260" s="154"/>
      <c r="O1260" s="154">
        <f t="shared" si="31"/>
        <v>1.7172000000000003</v>
      </c>
      <c r="P1260" s="155"/>
      <c r="Q1260" s="145"/>
    </row>
    <row r="1261" spans="1:17" s="146" customFormat="1" ht="10.5" x14ac:dyDescent="0.25">
      <c r="A1261" s="151"/>
      <c r="B1261" s="152" t="s">
        <v>2314</v>
      </c>
      <c r="C1261" s="153"/>
      <c r="D1261" s="154"/>
      <c r="E1261" s="154">
        <v>1.8</v>
      </c>
      <c r="F1261" s="154">
        <v>1.8</v>
      </c>
      <c r="G1261" s="161">
        <f t="shared" si="30"/>
        <v>0.11999999999999991</v>
      </c>
      <c r="H1261" s="154">
        <v>0.14999999999999991</v>
      </c>
      <c r="I1261" s="154"/>
      <c r="J1261" s="154"/>
      <c r="K1261" s="154"/>
      <c r="L1261" s="154"/>
      <c r="M1261" s="154"/>
      <c r="N1261" s="154"/>
      <c r="O1261" s="154">
        <f t="shared" si="31"/>
        <v>0.38879999999999976</v>
      </c>
      <c r="P1261" s="155"/>
      <c r="Q1261" s="145"/>
    </row>
    <row r="1262" spans="1:17" s="146" customFormat="1" ht="10.5" x14ac:dyDescent="0.25">
      <c r="A1262" s="151"/>
      <c r="B1262" s="152" t="s">
        <v>2315</v>
      </c>
      <c r="C1262" s="153"/>
      <c r="D1262" s="154"/>
      <c r="E1262" s="154">
        <v>1.8</v>
      </c>
      <c r="F1262" s="154">
        <v>1.8</v>
      </c>
      <c r="G1262" s="161">
        <f t="shared" si="30"/>
        <v>0.76</v>
      </c>
      <c r="H1262" s="154">
        <v>0.79</v>
      </c>
      <c r="I1262" s="154"/>
      <c r="J1262" s="154"/>
      <c r="K1262" s="154"/>
      <c r="L1262" s="154"/>
      <c r="M1262" s="154"/>
      <c r="N1262" s="154"/>
      <c r="O1262" s="154">
        <f t="shared" si="31"/>
        <v>2.4624000000000001</v>
      </c>
      <c r="P1262" s="155"/>
      <c r="Q1262" s="145"/>
    </row>
    <row r="1263" spans="1:17" s="146" customFormat="1" ht="10.5" x14ac:dyDescent="0.25">
      <c r="A1263" s="151"/>
      <c r="B1263" s="152" t="s">
        <v>2316</v>
      </c>
      <c r="C1263" s="153"/>
      <c r="D1263" s="154"/>
      <c r="E1263" s="154">
        <v>1.8</v>
      </c>
      <c r="F1263" s="154">
        <v>1.8</v>
      </c>
      <c r="G1263" s="161">
        <f t="shared" si="30"/>
        <v>0.99999999999999978</v>
      </c>
      <c r="H1263" s="154">
        <v>1.0299999999999998</v>
      </c>
      <c r="I1263" s="154"/>
      <c r="J1263" s="154"/>
      <c r="K1263" s="154"/>
      <c r="L1263" s="154"/>
      <c r="M1263" s="154"/>
      <c r="N1263" s="154"/>
      <c r="O1263" s="154">
        <f t="shared" si="31"/>
        <v>3.2399999999999993</v>
      </c>
      <c r="P1263" s="155"/>
      <c r="Q1263" s="145"/>
    </row>
    <row r="1264" spans="1:17" s="146" customFormat="1" ht="10.5" x14ac:dyDescent="0.25">
      <c r="A1264" s="151"/>
      <c r="B1264" s="152" t="s">
        <v>2317</v>
      </c>
      <c r="C1264" s="153"/>
      <c r="D1264" s="154"/>
      <c r="E1264" s="154">
        <v>1.8</v>
      </c>
      <c r="F1264" s="154">
        <v>1.8</v>
      </c>
      <c r="G1264" s="161">
        <f t="shared" si="30"/>
        <v>0.11999999999999991</v>
      </c>
      <c r="H1264" s="154">
        <v>0.14999999999999991</v>
      </c>
      <c r="I1264" s="154"/>
      <c r="J1264" s="154"/>
      <c r="K1264" s="154"/>
      <c r="L1264" s="154"/>
      <c r="M1264" s="154"/>
      <c r="N1264" s="154"/>
      <c r="O1264" s="154">
        <f t="shared" si="31"/>
        <v>0.38879999999999976</v>
      </c>
      <c r="P1264" s="155"/>
      <c r="Q1264" s="145"/>
    </row>
    <row r="1265" spans="1:19" s="146" customFormat="1" ht="10.5" x14ac:dyDescent="0.25">
      <c r="A1265" s="151"/>
      <c r="B1265" s="152" t="s">
        <v>2318</v>
      </c>
      <c r="C1265" s="153"/>
      <c r="D1265" s="154"/>
      <c r="E1265" s="154">
        <v>1.8</v>
      </c>
      <c r="F1265" s="154">
        <v>1.8</v>
      </c>
      <c r="G1265" s="161">
        <f t="shared" si="30"/>
        <v>0.11999999999999991</v>
      </c>
      <c r="H1265" s="154">
        <v>0.14999999999999991</v>
      </c>
      <c r="I1265" s="154"/>
      <c r="J1265" s="154"/>
      <c r="K1265" s="154"/>
      <c r="L1265" s="154"/>
      <c r="M1265" s="154"/>
      <c r="N1265" s="154"/>
      <c r="O1265" s="154">
        <f t="shared" si="31"/>
        <v>0.38879999999999976</v>
      </c>
      <c r="P1265" s="155"/>
      <c r="Q1265" s="145"/>
    </row>
    <row r="1266" spans="1:19" s="146" customFormat="1" ht="10.5" x14ac:dyDescent="0.25">
      <c r="A1266" s="151"/>
      <c r="B1266" s="152" t="s">
        <v>2319</v>
      </c>
      <c r="C1266" s="153"/>
      <c r="D1266" s="154"/>
      <c r="E1266" s="154">
        <v>1.8</v>
      </c>
      <c r="F1266" s="154">
        <v>1.8</v>
      </c>
      <c r="G1266" s="161">
        <f t="shared" si="30"/>
        <v>0.11999999999999991</v>
      </c>
      <c r="H1266" s="154">
        <v>0.14999999999999991</v>
      </c>
      <c r="I1266" s="154"/>
      <c r="J1266" s="154"/>
      <c r="K1266" s="154"/>
      <c r="L1266" s="154"/>
      <c r="M1266" s="154"/>
      <c r="N1266" s="154"/>
      <c r="O1266" s="154">
        <f t="shared" si="31"/>
        <v>0.38879999999999976</v>
      </c>
      <c r="P1266" s="155"/>
      <c r="Q1266" s="145"/>
    </row>
    <row r="1267" spans="1:19" s="146" customFormat="1" ht="10.5" x14ac:dyDescent="0.25">
      <c r="A1267" s="151"/>
      <c r="B1267" s="152" t="s">
        <v>2320</v>
      </c>
      <c r="C1267" s="153"/>
      <c r="D1267" s="154"/>
      <c r="E1267" s="154">
        <v>1.8</v>
      </c>
      <c r="F1267" s="154">
        <v>1.8</v>
      </c>
      <c r="G1267" s="161">
        <f t="shared" si="30"/>
        <v>0.17999999999999997</v>
      </c>
      <c r="H1267" s="154">
        <v>0.20999999999999996</v>
      </c>
      <c r="I1267" s="154"/>
      <c r="J1267" s="154"/>
      <c r="K1267" s="154"/>
      <c r="L1267" s="154"/>
      <c r="M1267" s="154"/>
      <c r="N1267" s="154"/>
      <c r="O1267" s="154">
        <f t="shared" si="31"/>
        <v>0.58319999999999994</v>
      </c>
      <c r="P1267" s="155"/>
      <c r="Q1267" s="145"/>
    </row>
    <row r="1268" spans="1:19" s="146" customFormat="1" ht="10.5" x14ac:dyDescent="0.25">
      <c r="A1268" s="151"/>
      <c r="B1268" s="152" t="s">
        <v>2321</v>
      </c>
      <c r="C1268" s="153"/>
      <c r="D1268" s="154"/>
      <c r="E1268" s="154">
        <v>1.8</v>
      </c>
      <c r="F1268" s="154">
        <v>1.8</v>
      </c>
      <c r="G1268" s="161">
        <f t="shared" si="30"/>
        <v>0.11999999999999991</v>
      </c>
      <c r="H1268" s="154">
        <v>0.14999999999999991</v>
      </c>
      <c r="I1268" s="154"/>
      <c r="J1268" s="154"/>
      <c r="K1268" s="154"/>
      <c r="L1268" s="154"/>
      <c r="M1268" s="154"/>
      <c r="N1268" s="154"/>
      <c r="O1268" s="154">
        <f t="shared" si="31"/>
        <v>0.38879999999999976</v>
      </c>
      <c r="P1268" s="155"/>
      <c r="Q1268" s="145"/>
    </row>
    <row r="1269" spans="1:19" s="146" customFormat="1" ht="10.5" x14ac:dyDescent="0.25">
      <c r="A1269" s="151"/>
      <c r="B1269" s="157"/>
      <c r="C1269" s="153"/>
      <c r="D1269" s="154"/>
      <c r="E1269" s="154"/>
      <c r="F1269" s="154"/>
      <c r="G1269" s="154"/>
      <c r="H1269" s="154"/>
      <c r="I1269" s="154"/>
      <c r="J1269" s="154"/>
      <c r="K1269" s="154"/>
      <c r="L1269" s="156"/>
      <c r="M1269" s="154"/>
      <c r="N1269" s="154"/>
      <c r="O1269" s="154"/>
      <c r="P1269" s="155"/>
      <c r="Q1269" s="145"/>
    </row>
    <row r="1270" spans="1:19" s="146" customFormat="1" ht="10.5" x14ac:dyDescent="0.25">
      <c r="A1270" s="151"/>
      <c r="B1270" s="157" t="s">
        <v>377</v>
      </c>
      <c r="C1270" s="158" t="s">
        <v>402</v>
      </c>
      <c r="D1270" s="158"/>
      <c r="E1270" s="158"/>
      <c r="F1270" s="158"/>
      <c r="G1270" s="158"/>
      <c r="H1270" s="158"/>
      <c r="I1270" s="158"/>
      <c r="J1270" s="158"/>
      <c r="K1270" s="158"/>
      <c r="L1270" s="158"/>
      <c r="M1270" s="158"/>
      <c r="N1270" s="154"/>
      <c r="O1270" s="185">
        <f>SUM(O1228:O1269)</f>
        <v>35.672399999999975</v>
      </c>
      <c r="P1270" s="159"/>
      <c r="Q1270" s="145"/>
    </row>
    <row r="1271" spans="1:19" s="150" customFormat="1" ht="63" x14ac:dyDescent="0.25">
      <c r="A1271" s="147"/>
      <c r="B1271" s="148" t="s">
        <v>223</v>
      </c>
      <c r="C1271" s="149" t="s">
        <v>227</v>
      </c>
      <c r="D1271" s="149">
        <f>SUM(E1278:O1278)</f>
        <v>0</v>
      </c>
      <c r="E1271" s="149" t="s">
        <v>2149</v>
      </c>
      <c r="F1271" s="149" t="s">
        <v>2150</v>
      </c>
      <c r="G1271" s="149" t="s">
        <v>2151</v>
      </c>
      <c r="H1271" s="149" t="s">
        <v>2280</v>
      </c>
      <c r="I1271" s="149" t="s">
        <v>2153</v>
      </c>
      <c r="J1271" s="149" t="s">
        <v>2154</v>
      </c>
      <c r="K1271" s="149" t="s">
        <v>2155</v>
      </c>
      <c r="L1271" s="149" t="s">
        <v>2156</v>
      </c>
      <c r="M1271" s="149" t="s">
        <v>413</v>
      </c>
      <c r="N1271" s="149" t="s">
        <v>2157</v>
      </c>
      <c r="O1271" s="149" t="s">
        <v>2158</v>
      </c>
      <c r="P1271" s="145"/>
      <c r="Q1271" s="145"/>
    </row>
    <row r="1272" spans="1:19" s="146" customFormat="1" ht="21" x14ac:dyDescent="0.25">
      <c r="A1272" s="151"/>
      <c r="B1272" s="152" t="s">
        <v>2277</v>
      </c>
      <c r="C1272" s="153"/>
      <c r="D1272" s="154"/>
      <c r="E1272" s="154"/>
      <c r="F1272" s="154"/>
      <c r="G1272" s="154"/>
      <c r="H1272" s="154"/>
      <c r="I1272" s="154"/>
      <c r="J1272" s="154"/>
      <c r="K1272" s="154"/>
      <c r="L1272" s="154"/>
      <c r="M1272" s="154"/>
      <c r="N1272" s="154"/>
      <c r="O1272" s="154"/>
      <c r="P1272" s="155"/>
      <c r="Q1272" s="145"/>
    </row>
    <row r="1273" spans="1:19" s="146" customFormat="1" ht="10.5" x14ac:dyDescent="0.25">
      <c r="A1273" s="151"/>
      <c r="B1273" s="152"/>
      <c r="C1273" s="153"/>
      <c r="D1273" s="154"/>
      <c r="E1273" s="154"/>
      <c r="F1273" s="154"/>
      <c r="G1273" s="161"/>
      <c r="H1273" s="154"/>
      <c r="I1273" s="154"/>
      <c r="J1273" s="154"/>
      <c r="K1273" s="154"/>
      <c r="L1273" s="154"/>
      <c r="M1273" s="154"/>
      <c r="N1273" s="154"/>
      <c r="O1273" s="154"/>
      <c r="P1273" s="155"/>
      <c r="Q1273" s="145"/>
    </row>
    <row r="1274" spans="1:19" s="146" customFormat="1" ht="10.5" x14ac:dyDescent="0.25">
      <c r="A1274" s="151"/>
      <c r="B1274" s="152"/>
      <c r="C1274" s="153"/>
      <c r="D1274" s="154"/>
      <c r="E1274" s="154"/>
      <c r="F1274" s="154"/>
      <c r="G1274" s="161"/>
      <c r="H1274" s="154"/>
      <c r="I1274" s="154"/>
      <c r="J1274" s="154"/>
      <c r="K1274" s="154"/>
      <c r="L1274" s="154"/>
      <c r="M1274" s="154"/>
      <c r="N1274" s="154"/>
      <c r="O1274" s="154"/>
      <c r="P1274" s="155"/>
      <c r="Q1274" s="145"/>
    </row>
    <row r="1275" spans="1:19" s="146" customFormat="1" ht="10.5" x14ac:dyDescent="0.25">
      <c r="A1275" s="151"/>
      <c r="B1275" s="152"/>
      <c r="C1275" s="153"/>
      <c r="D1275" s="154"/>
      <c r="E1275" s="154"/>
      <c r="F1275" s="154"/>
      <c r="G1275" s="161"/>
      <c r="H1275" s="154"/>
      <c r="I1275" s="154"/>
      <c r="J1275" s="154"/>
      <c r="K1275" s="154"/>
      <c r="L1275" s="154"/>
      <c r="M1275" s="154"/>
      <c r="N1275" s="154"/>
      <c r="O1275" s="154"/>
      <c r="P1275" s="155"/>
      <c r="Q1275" s="145"/>
    </row>
    <row r="1276" spans="1:19" s="146" customFormat="1" ht="10.5" x14ac:dyDescent="0.25">
      <c r="A1276" s="151"/>
      <c r="B1276" s="152"/>
      <c r="C1276" s="153"/>
      <c r="D1276" s="154"/>
      <c r="E1276" s="154"/>
      <c r="F1276" s="154"/>
      <c r="G1276" s="161"/>
      <c r="H1276" s="154"/>
      <c r="I1276" s="154"/>
      <c r="J1276" s="154"/>
      <c r="K1276" s="154"/>
      <c r="L1276" s="154"/>
      <c r="M1276" s="154"/>
      <c r="N1276" s="154"/>
      <c r="O1276" s="154"/>
      <c r="P1276" s="155"/>
      <c r="Q1276" s="145"/>
    </row>
    <row r="1277" spans="1:19" s="146" customFormat="1" ht="10.5" x14ac:dyDescent="0.25">
      <c r="A1277" s="151"/>
      <c r="B1277" s="157"/>
      <c r="C1277" s="153"/>
      <c r="D1277" s="154"/>
      <c r="E1277" s="154"/>
      <c r="F1277" s="154"/>
      <c r="G1277" s="154"/>
      <c r="H1277" s="154"/>
      <c r="I1277" s="154"/>
      <c r="J1277" s="154"/>
      <c r="K1277" s="154"/>
      <c r="L1277" s="156"/>
      <c r="M1277" s="154"/>
      <c r="N1277" s="154"/>
      <c r="O1277" s="154"/>
      <c r="P1277" s="155"/>
      <c r="Q1277" s="145"/>
    </row>
    <row r="1278" spans="1:19" s="146" customFormat="1" ht="10.5" x14ac:dyDescent="0.25">
      <c r="A1278" s="151"/>
      <c r="B1278" s="157" t="s">
        <v>377</v>
      </c>
      <c r="C1278" s="158" t="s">
        <v>402</v>
      </c>
      <c r="D1278" s="158"/>
      <c r="E1278" s="158"/>
      <c r="F1278" s="158"/>
      <c r="G1278" s="158"/>
      <c r="H1278" s="158"/>
      <c r="I1278" s="158"/>
      <c r="J1278" s="158"/>
      <c r="K1278" s="158"/>
      <c r="L1278" s="158"/>
      <c r="M1278" s="158"/>
      <c r="N1278" s="154"/>
      <c r="O1278" s="185">
        <f>SUM(O1273:O1277)</f>
        <v>0</v>
      </c>
      <c r="P1278" s="159"/>
      <c r="Q1278" s="145"/>
    </row>
    <row r="1279" spans="1:19" s="164" customFormat="1" ht="31.5" x14ac:dyDescent="0.35">
      <c r="A1279" s="147" t="str">
        <f>ORÇAMENTO!A270</f>
        <v>4.3.4</v>
      </c>
      <c r="B1279" s="148" t="str">
        <f>VLOOKUP(A1279,ORÇAMENTO!$A:$F,4,0)</f>
        <v>CHAMINÉ CIRCULAR PARA POÇO DE VISITA PARA DRENAGEM, EM CONCRETO PRÉ-MOLDADO, DIÂMETRO INTERNO = 0,6 M. AF_12/2020</v>
      </c>
      <c r="C1279" s="149" t="str">
        <f>VLOOKUP(A1279,ORÇAMENTO!$A:$F,5,0)</f>
        <v>M</v>
      </c>
      <c r="D1279" s="149">
        <f>SUM(E1323:O1323)</f>
        <v>11.009999999999996</v>
      </c>
      <c r="E1279" s="149" t="s">
        <v>2149</v>
      </c>
      <c r="F1279" s="149" t="s">
        <v>2150</v>
      </c>
      <c r="G1279" s="149" t="s">
        <v>2151</v>
      </c>
      <c r="H1279" s="149" t="s">
        <v>2152</v>
      </c>
      <c r="I1279" s="149" t="s">
        <v>2153</v>
      </c>
      <c r="J1279" s="149" t="s">
        <v>2154</v>
      </c>
      <c r="K1279" s="149" t="s">
        <v>2172</v>
      </c>
      <c r="L1279" s="149" t="s">
        <v>2178</v>
      </c>
      <c r="M1279" s="149" t="s">
        <v>413</v>
      </c>
      <c r="N1279" s="149" t="s">
        <v>2157</v>
      </c>
      <c r="O1279" s="149" t="s">
        <v>2158</v>
      </c>
      <c r="P1279" s="145"/>
      <c r="Q1279" s="145"/>
      <c r="R1279" s="145"/>
      <c r="S1279" s="145"/>
    </row>
    <row r="1280" spans="1:19" s="146" customFormat="1" ht="21" x14ac:dyDescent="0.3">
      <c r="A1280" s="151"/>
      <c r="B1280" s="152" t="s">
        <v>2277</v>
      </c>
      <c r="C1280" s="154"/>
      <c r="D1280" s="154"/>
      <c r="E1280" s="154"/>
      <c r="F1280" s="154"/>
      <c r="G1280" s="154"/>
      <c r="H1280" s="154"/>
      <c r="I1280" s="154"/>
      <c r="J1280" s="154"/>
      <c r="K1280" s="154"/>
      <c r="L1280" s="165"/>
      <c r="M1280" s="186">
        <f>M1222</f>
        <v>41</v>
      </c>
      <c r="N1280" s="154"/>
      <c r="O1280" s="154"/>
      <c r="P1280" s="184"/>
    </row>
    <row r="1281" spans="1:16" s="146" customFormat="1" ht="10.5" x14ac:dyDescent="0.3">
      <c r="A1281" s="151"/>
      <c r="B1281" s="152" t="str">
        <f>B1228</f>
        <v>PV1-87</v>
      </c>
      <c r="C1281" s="187"/>
      <c r="D1281" s="187"/>
      <c r="E1281" s="187"/>
      <c r="F1281" s="187"/>
      <c r="G1281" s="181">
        <f>G1228</f>
        <v>0.11999999999999991</v>
      </c>
      <c r="H1281" s="187"/>
      <c r="I1281" s="187"/>
      <c r="J1281" s="187"/>
      <c r="K1281" s="187"/>
      <c r="L1281" s="158"/>
      <c r="M1281" s="158"/>
      <c r="N1281" s="187"/>
      <c r="O1281" s="187"/>
      <c r="P1281" s="183"/>
    </row>
    <row r="1282" spans="1:16" s="146" customFormat="1" ht="10.5" x14ac:dyDescent="0.3">
      <c r="A1282" s="151"/>
      <c r="B1282" s="152" t="str">
        <f t="shared" ref="B1282:B1321" si="32">B1229</f>
        <v>PV2-87</v>
      </c>
      <c r="C1282" s="187"/>
      <c r="D1282" s="187"/>
      <c r="E1282" s="187"/>
      <c r="F1282" s="187"/>
      <c r="G1282" s="181">
        <f t="shared" ref="G1282:G1321" si="33">G1229</f>
        <v>0.1099999999999999</v>
      </c>
      <c r="H1282" s="187"/>
      <c r="I1282" s="187"/>
      <c r="J1282" s="187"/>
      <c r="K1282" s="187"/>
      <c r="L1282" s="158"/>
      <c r="M1282" s="158"/>
      <c r="N1282" s="187"/>
      <c r="O1282" s="187"/>
      <c r="P1282" s="183"/>
    </row>
    <row r="1283" spans="1:16" s="146" customFormat="1" ht="10.5" x14ac:dyDescent="0.3">
      <c r="A1283" s="151"/>
      <c r="B1283" s="152" t="str">
        <f t="shared" si="32"/>
        <v>PV3-87</v>
      </c>
      <c r="C1283" s="187"/>
      <c r="D1283" s="187"/>
      <c r="E1283" s="187"/>
      <c r="F1283" s="187"/>
      <c r="G1283" s="181">
        <f t="shared" si="33"/>
        <v>0.11999999999999991</v>
      </c>
      <c r="H1283" s="187"/>
      <c r="I1283" s="187"/>
      <c r="J1283" s="187"/>
      <c r="K1283" s="187"/>
      <c r="L1283" s="158"/>
      <c r="M1283" s="158"/>
      <c r="N1283" s="187"/>
      <c r="O1283" s="187"/>
      <c r="P1283" s="183"/>
    </row>
    <row r="1284" spans="1:16" s="146" customFormat="1" ht="10.5" x14ac:dyDescent="0.3">
      <c r="A1284" s="151"/>
      <c r="B1284" s="152" t="str">
        <f t="shared" si="32"/>
        <v>PV4-87</v>
      </c>
      <c r="C1284" s="187"/>
      <c r="D1284" s="187"/>
      <c r="E1284" s="187"/>
      <c r="F1284" s="187"/>
      <c r="G1284" s="181">
        <f t="shared" si="33"/>
        <v>0.11999999999999991</v>
      </c>
      <c r="H1284" s="187"/>
      <c r="I1284" s="187"/>
      <c r="J1284" s="187"/>
      <c r="K1284" s="187"/>
      <c r="L1284" s="158"/>
      <c r="M1284" s="158"/>
      <c r="N1284" s="187"/>
      <c r="O1284" s="187"/>
      <c r="P1284" s="183"/>
    </row>
    <row r="1285" spans="1:16" s="146" customFormat="1" ht="10.5" x14ac:dyDescent="0.3">
      <c r="A1285" s="151"/>
      <c r="B1285" s="152" t="str">
        <f t="shared" si="32"/>
        <v>PV5-87</v>
      </c>
      <c r="C1285" s="187"/>
      <c r="D1285" s="187"/>
      <c r="E1285" s="187"/>
      <c r="F1285" s="187"/>
      <c r="G1285" s="181">
        <f t="shared" si="33"/>
        <v>0.13999999999999993</v>
      </c>
      <c r="H1285" s="187"/>
      <c r="I1285" s="187"/>
      <c r="J1285" s="187"/>
      <c r="K1285" s="187"/>
      <c r="L1285" s="158"/>
      <c r="M1285" s="158"/>
      <c r="N1285" s="187"/>
      <c r="O1285" s="187"/>
      <c r="P1285" s="183"/>
    </row>
    <row r="1286" spans="1:16" s="146" customFormat="1" ht="10.5" x14ac:dyDescent="0.3">
      <c r="A1286" s="151"/>
      <c r="B1286" s="152" t="str">
        <f t="shared" si="32"/>
        <v>PV10-87</v>
      </c>
      <c r="C1286" s="187"/>
      <c r="D1286" s="187"/>
      <c r="E1286" s="187"/>
      <c r="F1286" s="187"/>
      <c r="G1286" s="181">
        <f t="shared" si="33"/>
        <v>1.3699999999999999</v>
      </c>
      <c r="H1286" s="187"/>
      <c r="I1286" s="187"/>
      <c r="J1286" s="187"/>
      <c r="K1286" s="187"/>
      <c r="L1286" s="158"/>
      <c r="M1286" s="158"/>
      <c r="N1286" s="187"/>
      <c r="O1286" s="187"/>
      <c r="P1286" s="183"/>
    </row>
    <row r="1287" spans="1:16" s="146" customFormat="1" ht="10.5" x14ac:dyDescent="0.3">
      <c r="A1287" s="151"/>
      <c r="B1287" s="152" t="str">
        <f t="shared" si="32"/>
        <v>PV15-87</v>
      </c>
      <c r="C1287" s="187"/>
      <c r="D1287" s="187"/>
      <c r="E1287" s="187"/>
      <c r="F1287" s="187"/>
      <c r="G1287" s="181">
        <f t="shared" si="33"/>
        <v>0.72</v>
      </c>
      <c r="H1287" s="187"/>
      <c r="I1287" s="187"/>
      <c r="J1287" s="187"/>
      <c r="K1287" s="187"/>
      <c r="L1287" s="158"/>
      <c r="M1287" s="158"/>
      <c r="N1287" s="187"/>
      <c r="O1287" s="187"/>
      <c r="P1287" s="183"/>
    </row>
    <row r="1288" spans="1:16" s="146" customFormat="1" ht="10.5" x14ac:dyDescent="0.3">
      <c r="A1288" s="151"/>
      <c r="B1288" s="152" t="str">
        <f t="shared" si="32"/>
        <v>PV1-88</v>
      </c>
      <c r="C1288" s="187"/>
      <c r="D1288" s="187"/>
      <c r="E1288" s="187"/>
      <c r="F1288" s="187"/>
      <c r="G1288" s="181">
        <f t="shared" si="33"/>
        <v>0.11999999999999991</v>
      </c>
      <c r="H1288" s="187"/>
      <c r="I1288" s="187"/>
      <c r="J1288" s="187"/>
      <c r="K1288" s="187"/>
      <c r="L1288" s="158"/>
      <c r="M1288" s="158"/>
      <c r="N1288" s="187"/>
      <c r="O1288" s="187"/>
      <c r="P1288" s="183"/>
    </row>
    <row r="1289" spans="1:16" s="146" customFormat="1" ht="10.5" x14ac:dyDescent="0.3">
      <c r="A1289" s="151"/>
      <c r="B1289" s="152" t="str">
        <f t="shared" si="32"/>
        <v>PV2-88</v>
      </c>
      <c r="C1289" s="187"/>
      <c r="D1289" s="187"/>
      <c r="E1289" s="187"/>
      <c r="F1289" s="187"/>
      <c r="G1289" s="181">
        <f t="shared" si="33"/>
        <v>0.17999999999999997</v>
      </c>
      <c r="H1289" s="187"/>
      <c r="I1289" s="187"/>
      <c r="J1289" s="187"/>
      <c r="K1289" s="187"/>
      <c r="L1289" s="158"/>
      <c r="M1289" s="158"/>
      <c r="N1289" s="187"/>
      <c r="O1289" s="187"/>
      <c r="P1289" s="183"/>
    </row>
    <row r="1290" spans="1:16" s="146" customFormat="1" ht="10.5" x14ac:dyDescent="0.3">
      <c r="A1290" s="151"/>
      <c r="B1290" s="152" t="str">
        <f t="shared" si="32"/>
        <v>PV3-88</v>
      </c>
      <c r="C1290" s="187"/>
      <c r="D1290" s="187"/>
      <c r="E1290" s="187"/>
      <c r="F1290" s="187"/>
      <c r="G1290" s="181">
        <f t="shared" si="33"/>
        <v>0.14999999999999994</v>
      </c>
      <c r="H1290" s="187"/>
      <c r="I1290" s="187"/>
      <c r="J1290" s="187"/>
      <c r="K1290" s="187"/>
      <c r="L1290" s="158"/>
      <c r="M1290" s="158"/>
      <c r="N1290" s="187"/>
      <c r="O1290" s="187"/>
      <c r="P1290" s="183"/>
    </row>
    <row r="1291" spans="1:16" s="146" customFormat="1" ht="10.5" x14ac:dyDescent="0.3">
      <c r="A1291" s="151"/>
      <c r="B1291" s="152" t="str">
        <f t="shared" si="32"/>
        <v>PV4-88</v>
      </c>
      <c r="C1291" s="187"/>
      <c r="D1291" s="187"/>
      <c r="E1291" s="187"/>
      <c r="F1291" s="187"/>
      <c r="G1291" s="181">
        <f t="shared" si="33"/>
        <v>0.24999999999999981</v>
      </c>
      <c r="H1291" s="187"/>
      <c r="I1291" s="187"/>
      <c r="J1291" s="187"/>
      <c r="K1291" s="187"/>
      <c r="L1291" s="158"/>
      <c r="M1291" s="158"/>
      <c r="N1291" s="187"/>
      <c r="O1291" s="187"/>
      <c r="P1291" s="183"/>
    </row>
    <row r="1292" spans="1:16" s="146" customFormat="1" ht="10.5" x14ac:dyDescent="0.3">
      <c r="A1292" s="151"/>
      <c r="B1292" s="152" t="str">
        <f t="shared" si="32"/>
        <v>PV5-88</v>
      </c>
      <c r="C1292" s="187"/>
      <c r="D1292" s="187"/>
      <c r="E1292" s="187"/>
      <c r="F1292" s="187"/>
      <c r="G1292" s="181">
        <f t="shared" si="33"/>
        <v>0.35999999999999988</v>
      </c>
      <c r="H1292" s="187"/>
      <c r="I1292" s="187"/>
      <c r="J1292" s="187"/>
      <c r="K1292" s="187"/>
      <c r="L1292" s="158"/>
      <c r="M1292" s="158"/>
      <c r="N1292" s="187"/>
      <c r="O1292" s="187"/>
      <c r="P1292" s="183"/>
    </row>
    <row r="1293" spans="1:16" s="146" customFormat="1" ht="10.5" x14ac:dyDescent="0.3">
      <c r="A1293" s="151"/>
      <c r="B1293" s="152" t="str">
        <f t="shared" si="32"/>
        <v>PV6-88</v>
      </c>
      <c r="C1293" s="187"/>
      <c r="D1293" s="187"/>
      <c r="E1293" s="187"/>
      <c r="F1293" s="187"/>
      <c r="G1293" s="181">
        <f t="shared" si="33"/>
        <v>0.49</v>
      </c>
      <c r="H1293" s="187"/>
      <c r="I1293" s="187"/>
      <c r="J1293" s="187"/>
      <c r="K1293" s="187"/>
      <c r="L1293" s="158"/>
      <c r="M1293" s="158"/>
      <c r="N1293" s="187"/>
      <c r="O1293" s="187"/>
      <c r="P1293" s="183"/>
    </row>
    <row r="1294" spans="1:16" s="146" customFormat="1" ht="10.5" x14ac:dyDescent="0.3">
      <c r="A1294" s="151"/>
      <c r="B1294" s="152" t="str">
        <f t="shared" si="32"/>
        <v>PV7-88</v>
      </c>
      <c r="C1294" s="187"/>
      <c r="D1294" s="187"/>
      <c r="E1294" s="187"/>
      <c r="F1294" s="187"/>
      <c r="G1294" s="181">
        <f t="shared" si="33"/>
        <v>0.99</v>
      </c>
      <c r="H1294" s="187"/>
      <c r="I1294" s="187"/>
      <c r="J1294" s="187"/>
      <c r="K1294" s="187"/>
      <c r="L1294" s="158"/>
      <c r="M1294" s="158"/>
      <c r="N1294" s="187"/>
      <c r="O1294" s="187"/>
      <c r="P1294" s="183"/>
    </row>
    <row r="1295" spans="1:16" s="146" customFormat="1" ht="10.5" x14ac:dyDescent="0.3">
      <c r="A1295" s="151"/>
      <c r="B1295" s="152" t="str">
        <f t="shared" si="32"/>
        <v>PV1-90</v>
      </c>
      <c r="C1295" s="187"/>
      <c r="D1295" s="187"/>
      <c r="E1295" s="187"/>
      <c r="F1295" s="187"/>
      <c r="G1295" s="181">
        <f t="shared" si="33"/>
        <v>0.11999999999999991</v>
      </c>
      <c r="H1295" s="187"/>
      <c r="I1295" s="187"/>
      <c r="J1295" s="187"/>
      <c r="K1295" s="187"/>
      <c r="L1295" s="158"/>
      <c r="M1295" s="158"/>
      <c r="N1295" s="187"/>
      <c r="O1295" s="187"/>
      <c r="P1295" s="183"/>
    </row>
    <row r="1296" spans="1:16" s="146" customFormat="1" ht="10.5" x14ac:dyDescent="0.3">
      <c r="A1296" s="151"/>
      <c r="B1296" s="152" t="str">
        <f t="shared" si="32"/>
        <v>PV2-90</v>
      </c>
      <c r="C1296" s="187"/>
      <c r="D1296" s="187"/>
      <c r="E1296" s="187"/>
      <c r="F1296" s="187"/>
      <c r="G1296" s="181">
        <f t="shared" si="33"/>
        <v>0.11999999999999991</v>
      </c>
      <c r="H1296" s="187"/>
      <c r="I1296" s="187"/>
      <c r="J1296" s="187"/>
      <c r="K1296" s="187"/>
      <c r="L1296" s="158"/>
      <c r="M1296" s="158"/>
      <c r="N1296" s="187"/>
      <c r="O1296" s="187"/>
      <c r="P1296" s="183"/>
    </row>
    <row r="1297" spans="1:16" s="146" customFormat="1" ht="10.5" x14ac:dyDescent="0.3">
      <c r="A1297" s="151"/>
      <c r="B1297" s="152" t="str">
        <f t="shared" si="32"/>
        <v>PV3-90</v>
      </c>
      <c r="C1297" s="187"/>
      <c r="D1297" s="187"/>
      <c r="E1297" s="187"/>
      <c r="F1297" s="187"/>
      <c r="G1297" s="181">
        <f t="shared" si="33"/>
        <v>0.25999999999999979</v>
      </c>
      <c r="H1297" s="187"/>
      <c r="I1297" s="187"/>
      <c r="J1297" s="187"/>
      <c r="K1297" s="187"/>
      <c r="L1297" s="158"/>
      <c r="M1297" s="158"/>
      <c r="N1297" s="187"/>
      <c r="O1297" s="187"/>
      <c r="P1297" s="183"/>
    </row>
    <row r="1298" spans="1:16" s="146" customFormat="1" ht="10.5" x14ac:dyDescent="0.3">
      <c r="A1298" s="151"/>
      <c r="B1298" s="152" t="str">
        <f t="shared" si="32"/>
        <v>PV2-91</v>
      </c>
      <c r="C1298" s="187"/>
      <c r="D1298" s="187"/>
      <c r="E1298" s="187"/>
      <c r="F1298" s="187"/>
      <c r="G1298" s="181">
        <f t="shared" si="33"/>
        <v>0.24999999999999981</v>
      </c>
      <c r="H1298" s="187"/>
      <c r="I1298" s="187"/>
      <c r="J1298" s="187"/>
      <c r="K1298" s="187"/>
      <c r="L1298" s="158"/>
      <c r="M1298" s="158"/>
      <c r="N1298" s="187"/>
      <c r="O1298" s="187"/>
      <c r="P1298" s="183"/>
    </row>
    <row r="1299" spans="1:16" s="146" customFormat="1" ht="10.5" x14ac:dyDescent="0.3">
      <c r="A1299" s="151"/>
      <c r="B1299" s="152" t="str">
        <f t="shared" si="32"/>
        <v>PV3-91</v>
      </c>
      <c r="C1299" s="187"/>
      <c r="D1299" s="187"/>
      <c r="E1299" s="187"/>
      <c r="F1299" s="187"/>
      <c r="G1299" s="181">
        <f t="shared" si="33"/>
        <v>0</v>
      </c>
      <c r="H1299" s="187"/>
      <c r="I1299" s="187"/>
      <c r="J1299" s="187"/>
      <c r="K1299" s="187"/>
      <c r="L1299" s="158"/>
      <c r="M1299" s="158"/>
      <c r="N1299" s="187"/>
      <c r="O1299" s="187"/>
      <c r="P1299" s="183"/>
    </row>
    <row r="1300" spans="1:16" s="146" customFormat="1" ht="10.5" x14ac:dyDescent="0.3">
      <c r="A1300" s="151"/>
      <c r="B1300" s="152" t="str">
        <f t="shared" si="32"/>
        <v>PV1-92</v>
      </c>
      <c r="C1300" s="187"/>
      <c r="D1300" s="187"/>
      <c r="E1300" s="187"/>
      <c r="F1300" s="187"/>
      <c r="G1300" s="181">
        <f t="shared" si="33"/>
        <v>0.15999999999999995</v>
      </c>
      <c r="H1300" s="187"/>
      <c r="I1300" s="187"/>
      <c r="J1300" s="187"/>
      <c r="K1300" s="187"/>
      <c r="L1300" s="158"/>
      <c r="M1300" s="158"/>
      <c r="N1300" s="187"/>
      <c r="O1300" s="187"/>
      <c r="P1300" s="183"/>
    </row>
    <row r="1301" spans="1:16" s="146" customFormat="1" ht="10.5" x14ac:dyDescent="0.3">
      <c r="A1301" s="151"/>
      <c r="B1301" s="152" t="str">
        <f t="shared" si="32"/>
        <v>PV2-92</v>
      </c>
      <c r="C1301" s="187"/>
      <c r="D1301" s="187"/>
      <c r="E1301" s="187"/>
      <c r="F1301" s="187"/>
      <c r="G1301" s="181">
        <f t="shared" si="33"/>
        <v>0.15999999999999995</v>
      </c>
      <c r="H1301" s="187"/>
      <c r="I1301" s="187"/>
      <c r="J1301" s="187"/>
      <c r="K1301" s="187"/>
      <c r="L1301" s="158"/>
      <c r="M1301" s="158"/>
      <c r="N1301" s="187"/>
      <c r="O1301" s="187"/>
      <c r="P1301" s="183"/>
    </row>
    <row r="1302" spans="1:16" s="146" customFormat="1" ht="10.5" x14ac:dyDescent="0.3">
      <c r="A1302" s="151"/>
      <c r="B1302" s="152" t="str">
        <f t="shared" si="32"/>
        <v>PV3-92</v>
      </c>
      <c r="C1302" s="187"/>
      <c r="D1302" s="187"/>
      <c r="E1302" s="187"/>
      <c r="F1302" s="187"/>
      <c r="G1302" s="181">
        <f t="shared" si="33"/>
        <v>0.23</v>
      </c>
      <c r="H1302" s="187"/>
      <c r="I1302" s="187"/>
      <c r="J1302" s="187"/>
      <c r="K1302" s="187"/>
      <c r="L1302" s="158"/>
      <c r="M1302" s="158"/>
      <c r="N1302" s="187"/>
      <c r="O1302" s="187"/>
      <c r="P1302" s="183"/>
    </row>
    <row r="1303" spans="1:16" s="146" customFormat="1" ht="10.5" x14ac:dyDescent="0.3">
      <c r="A1303" s="151"/>
      <c r="B1303" s="152" t="str">
        <f t="shared" si="32"/>
        <v>PV1-93</v>
      </c>
      <c r="C1303" s="187"/>
      <c r="D1303" s="187"/>
      <c r="E1303" s="187"/>
      <c r="F1303" s="187"/>
      <c r="G1303" s="181">
        <f t="shared" si="33"/>
        <v>0.11999999999999991</v>
      </c>
      <c r="H1303" s="187"/>
      <c r="I1303" s="187"/>
      <c r="J1303" s="187"/>
      <c r="K1303" s="187"/>
      <c r="L1303" s="158"/>
      <c r="M1303" s="158"/>
      <c r="N1303" s="187"/>
      <c r="O1303" s="187"/>
      <c r="P1303" s="183"/>
    </row>
    <row r="1304" spans="1:16" s="146" customFormat="1" ht="10.5" x14ac:dyDescent="0.3">
      <c r="A1304" s="151"/>
      <c r="B1304" s="152" t="str">
        <f t="shared" si="32"/>
        <v>PV2-93</v>
      </c>
      <c r="C1304" s="187"/>
      <c r="D1304" s="187"/>
      <c r="E1304" s="187"/>
      <c r="F1304" s="187"/>
      <c r="G1304" s="181">
        <f t="shared" si="33"/>
        <v>0.11999999999999991</v>
      </c>
      <c r="H1304" s="187"/>
      <c r="I1304" s="187"/>
      <c r="J1304" s="187"/>
      <c r="K1304" s="187"/>
      <c r="L1304" s="158"/>
      <c r="M1304" s="158"/>
      <c r="N1304" s="187"/>
      <c r="O1304" s="187"/>
      <c r="P1304" s="183"/>
    </row>
    <row r="1305" spans="1:16" s="146" customFormat="1" ht="10.5" x14ac:dyDescent="0.3">
      <c r="A1305" s="151"/>
      <c r="B1305" s="152" t="str">
        <f t="shared" si="32"/>
        <v>PV3-93</v>
      </c>
      <c r="C1305" s="187"/>
      <c r="D1305" s="187"/>
      <c r="E1305" s="187"/>
      <c r="F1305" s="187"/>
      <c r="G1305" s="181">
        <f t="shared" si="33"/>
        <v>0.25999999999999979</v>
      </c>
      <c r="H1305" s="187"/>
      <c r="I1305" s="187"/>
      <c r="J1305" s="187"/>
      <c r="K1305" s="187"/>
      <c r="L1305" s="158"/>
      <c r="M1305" s="158"/>
      <c r="N1305" s="187"/>
      <c r="O1305" s="187"/>
      <c r="P1305" s="183"/>
    </row>
    <row r="1306" spans="1:16" s="146" customFormat="1" ht="10.5" x14ac:dyDescent="0.3">
      <c r="A1306" s="151"/>
      <c r="B1306" s="152" t="str">
        <f t="shared" si="32"/>
        <v>PV1-94</v>
      </c>
      <c r="C1306" s="187"/>
      <c r="D1306" s="187"/>
      <c r="E1306" s="187"/>
      <c r="F1306" s="187"/>
      <c r="G1306" s="181">
        <f t="shared" si="33"/>
        <v>0.11999999999999991</v>
      </c>
      <c r="H1306" s="187"/>
      <c r="I1306" s="187"/>
      <c r="J1306" s="187"/>
      <c r="K1306" s="187"/>
      <c r="L1306" s="158"/>
      <c r="M1306" s="158"/>
      <c r="N1306" s="187"/>
      <c r="O1306" s="187"/>
      <c r="P1306" s="183"/>
    </row>
    <row r="1307" spans="1:16" s="146" customFormat="1" ht="10.5" x14ac:dyDescent="0.3">
      <c r="A1307" s="151"/>
      <c r="B1307" s="152" t="str">
        <f t="shared" si="32"/>
        <v>PV2-94</v>
      </c>
      <c r="C1307" s="187"/>
      <c r="D1307" s="187"/>
      <c r="E1307" s="187"/>
      <c r="F1307" s="187"/>
      <c r="G1307" s="181">
        <f t="shared" si="33"/>
        <v>2.9999999999999832E-2</v>
      </c>
      <c r="H1307" s="187"/>
      <c r="I1307" s="187"/>
      <c r="J1307" s="187"/>
      <c r="K1307" s="187"/>
      <c r="L1307" s="158"/>
      <c r="M1307" s="158"/>
      <c r="N1307" s="187"/>
      <c r="O1307" s="187"/>
      <c r="P1307" s="183"/>
    </row>
    <row r="1308" spans="1:16" s="146" customFormat="1" ht="10.5" x14ac:dyDescent="0.3">
      <c r="A1308" s="151"/>
      <c r="B1308" s="152" t="str">
        <f t="shared" si="32"/>
        <v>PV3-94</v>
      </c>
      <c r="C1308" s="187"/>
      <c r="D1308" s="187"/>
      <c r="E1308" s="187"/>
      <c r="F1308" s="187"/>
      <c r="G1308" s="181">
        <f t="shared" si="33"/>
        <v>0.2699999999999998</v>
      </c>
      <c r="H1308" s="187"/>
      <c r="I1308" s="187"/>
      <c r="J1308" s="187"/>
      <c r="K1308" s="187"/>
      <c r="L1308" s="158"/>
      <c r="M1308" s="158"/>
      <c r="N1308" s="187"/>
      <c r="O1308" s="187"/>
      <c r="P1308" s="183"/>
    </row>
    <row r="1309" spans="1:16" s="146" customFormat="1" ht="10.5" x14ac:dyDescent="0.3">
      <c r="A1309" s="151"/>
      <c r="B1309" s="152" t="str">
        <f t="shared" si="32"/>
        <v>PV1-95</v>
      </c>
      <c r="C1309" s="187"/>
      <c r="D1309" s="187"/>
      <c r="E1309" s="187"/>
      <c r="F1309" s="187"/>
      <c r="G1309" s="181">
        <f t="shared" si="33"/>
        <v>0.11999999999999991</v>
      </c>
      <c r="H1309" s="187"/>
      <c r="I1309" s="187"/>
      <c r="J1309" s="187"/>
      <c r="K1309" s="187"/>
      <c r="L1309" s="158"/>
      <c r="M1309" s="158"/>
      <c r="N1309" s="187"/>
      <c r="O1309" s="187"/>
      <c r="P1309" s="183"/>
    </row>
    <row r="1310" spans="1:16" s="146" customFormat="1" ht="10.5" x14ac:dyDescent="0.3">
      <c r="A1310" s="151"/>
      <c r="B1310" s="152" t="str">
        <f t="shared" si="32"/>
        <v>PV2-95</v>
      </c>
      <c r="C1310" s="187"/>
      <c r="D1310" s="187"/>
      <c r="E1310" s="187"/>
      <c r="F1310" s="187"/>
      <c r="G1310" s="181">
        <f t="shared" si="33"/>
        <v>0</v>
      </c>
      <c r="H1310" s="187"/>
      <c r="I1310" s="187"/>
      <c r="J1310" s="187"/>
      <c r="K1310" s="187"/>
      <c r="L1310" s="158"/>
      <c r="M1310" s="158"/>
      <c r="N1310" s="187"/>
      <c r="O1310" s="187"/>
      <c r="P1310" s="183"/>
    </row>
    <row r="1311" spans="1:16" s="146" customFormat="1" ht="10.5" x14ac:dyDescent="0.3">
      <c r="A1311" s="151"/>
      <c r="B1311" s="152" t="str">
        <f t="shared" si="32"/>
        <v>PV3-95</v>
      </c>
      <c r="C1311" s="187"/>
      <c r="D1311" s="187"/>
      <c r="E1311" s="187"/>
      <c r="F1311" s="187"/>
      <c r="G1311" s="181">
        <f t="shared" si="33"/>
        <v>0.24000000000000002</v>
      </c>
      <c r="H1311" s="187"/>
      <c r="I1311" s="187"/>
      <c r="J1311" s="187"/>
      <c r="K1311" s="187"/>
      <c r="L1311" s="158"/>
      <c r="M1311" s="158"/>
      <c r="N1311" s="187"/>
      <c r="O1311" s="187"/>
      <c r="P1311" s="183"/>
    </row>
    <row r="1312" spans="1:16" s="146" customFormat="1" ht="10.5" x14ac:dyDescent="0.3">
      <c r="A1312" s="151"/>
      <c r="B1312" s="152" t="str">
        <f t="shared" si="32"/>
        <v>PV1-96</v>
      </c>
      <c r="C1312" s="187"/>
      <c r="D1312" s="187"/>
      <c r="E1312" s="187"/>
      <c r="F1312" s="187"/>
      <c r="G1312" s="181">
        <f t="shared" si="33"/>
        <v>0.11999999999999991</v>
      </c>
      <c r="H1312" s="187"/>
      <c r="I1312" s="187"/>
      <c r="J1312" s="187"/>
      <c r="K1312" s="187"/>
      <c r="L1312" s="158"/>
      <c r="M1312" s="158"/>
      <c r="N1312" s="187"/>
      <c r="O1312" s="187"/>
      <c r="P1312" s="183"/>
    </row>
    <row r="1313" spans="1:19" s="146" customFormat="1" ht="10.5" x14ac:dyDescent="0.3">
      <c r="A1313" s="151"/>
      <c r="B1313" s="152" t="str">
        <f t="shared" si="32"/>
        <v>PV2-96</v>
      </c>
      <c r="C1313" s="187"/>
      <c r="D1313" s="187"/>
      <c r="E1313" s="187"/>
      <c r="F1313" s="187"/>
      <c r="G1313" s="181">
        <f t="shared" si="33"/>
        <v>0.53</v>
      </c>
      <c r="H1313" s="187"/>
      <c r="I1313" s="187"/>
      <c r="J1313" s="187"/>
      <c r="K1313" s="187"/>
      <c r="L1313" s="158"/>
      <c r="M1313" s="158"/>
      <c r="N1313" s="187"/>
      <c r="O1313" s="187"/>
      <c r="P1313" s="183"/>
    </row>
    <row r="1314" spans="1:19" s="146" customFormat="1" ht="10.5" x14ac:dyDescent="0.3">
      <c r="A1314" s="151"/>
      <c r="B1314" s="152" t="str">
        <f t="shared" si="32"/>
        <v>PV1-97</v>
      </c>
      <c r="C1314" s="187"/>
      <c r="D1314" s="187"/>
      <c r="E1314" s="187"/>
      <c r="F1314" s="187"/>
      <c r="G1314" s="181">
        <f t="shared" si="33"/>
        <v>0.11999999999999991</v>
      </c>
      <c r="H1314" s="187"/>
      <c r="I1314" s="187"/>
      <c r="J1314" s="187"/>
      <c r="K1314" s="187"/>
      <c r="L1314" s="158"/>
      <c r="M1314" s="158"/>
      <c r="N1314" s="187"/>
      <c r="O1314" s="187"/>
      <c r="P1314" s="183"/>
    </row>
    <row r="1315" spans="1:19" s="146" customFormat="1" ht="10.5" x14ac:dyDescent="0.3">
      <c r="A1315" s="151"/>
      <c r="B1315" s="152" t="str">
        <f t="shared" si="32"/>
        <v>PV2-97</v>
      </c>
      <c r="C1315" s="187"/>
      <c r="D1315" s="187"/>
      <c r="E1315" s="187"/>
      <c r="F1315" s="187"/>
      <c r="G1315" s="181">
        <f t="shared" si="33"/>
        <v>0.76</v>
      </c>
      <c r="H1315" s="187"/>
      <c r="I1315" s="187"/>
      <c r="J1315" s="187"/>
      <c r="K1315" s="187"/>
      <c r="L1315" s="158"/>
      <c r="M1315" s="158"/>
      <c r="N1315" s="187"/>
      <c r="O1315" s="187"/>
      <c r="P1315" s="183"/>
    </row>
    <row r="1316" spans="1:19" s="146" customFormat="1" ht="10.5" x14ac:dyDescent="0.3">
      <c r="A1316" s="151"/>
      <c r="B1316" s="152" t="str">
        <f t="shared" si="32"/>
        <v>PV3-97</v>
      </c>
      <c r="C1316" s="187"/>
      <c r="D1316" s="187"/>
      <c r="E1316" s="187"/>
      <c r="F1316" s="187"/>
      <c r="G1316" s="181">
        <f t="shared" si="33"/>
        <v>0.99999999999999978</v>
      </c>
      <c r="H1316" s="187"/>
      <c r="I1316" s="187"/>
      <c r="J1316" s="187"/>
      <c r="K1316" s="187"/>
      <c r="L1316" s="158"/>
      <c r="M1316" s="158"/>
      <c r="N1316" s="187"/>
      <c r="O1316" s="187"/>
      <c r="P1316" s="183"/>
    </row>
    <row r="1317" spans="1:19" s="146" customFormat="1" ht="10.5" x14ac:dyDescent="0.3">
      <c r="A1317" s="151"/>
      <c r="B1317" s="152" t="str">
        <f t="shared" si="32"/>
        <v>PV1-98</v>
      </c>
      <c r="C1317" s="187"/>
      <c r="D1317" s="187"/>
      <c r="E1317" s="187"/>
      <c r="F1317" s="187"/>
      <c r="G1317" s="181">
        <f t="shared" si="33"/>
        <v>0.11999999999999991</v>
      </c>
      <c r="H1317" s="187"/>
      <c r="I1317" s="187"/>
      <c r="J1317" s="187"/>
      <c r="K1317" s="187"/>
      <c r="L1317" s="158"/>
      <c r="M1317" s="158"/>
      <c r="N1317" s="187"/>
      <c r="O1317" s="187"/>
      <c r="P1317" s="183"/>
    </row>
    <row r="1318" spans="1:19" s="146" customFormat="1" ht="10.5" x14ac:dyDescent="0.3">
      <c r="A1318" s="151"/>
      <c r="B1318" s="152" t="str">
        <f t="shared" si="32"/>
        <v>PV2-98</v>
      </c>
      <c r="C1318" s="187"/>
      <c r="D1318" s="187"/>
      <c r="E1318" s="187"/>
      <c r="F1318" s="187"/>
      <c r="G1318" s="181">
        <f t="shared" si="33"/>
        <v>0.11999999999999991</v>
      </c>
      <c r="H1318" s="187"/>
      <c r="I1318" s="187"/>
      <c r="J1318" s="187"/>
      <c r="K1318" s="187"/>
      <c r="L1318" s="158"/>
      <c r="M1318" s="158"/>
      <c r="N1318" s="187"/>
      <c r="O1318" s="187"/>
      <c r="P1318" s="183"/>
    </row>
    <row r="1319" spans="1:19" s="146" customFormat="1" ht="10.5" x14ac:dyDescent="0.3">
      <c r="A1319" s="151"/>
      <c r="B1319" s="152" t="str">
        <f t="shared" si="32"/>
        <v>PV1-99</v>
      </c>
      <c r="C1319" s="187"/>
      <c r="D1319" s="187"/>
      <c r="E1319" s="187"/>
      <c r="F1319" s="187"/>
      <c r="G1319" s="181">
        <f t="shared" si="33"/>
        <v>0.11999999999999991</v>
      </c>
      <c r="H1319" s="187"/>
      <c r="I1319" s="187"/>
      <c r="J1319" s="187"/>
      <c r="K1319" s="187"/>
      <c r="L1319" s="158"/>
      <c r="M1319" s="158"/>
      <c r="N1319" s="187"/>
      <c r="O1319" s="187"/>
      <c r="P1319" s="183"/>
    </row>
    <row r="1320" spans="1:19" s="146" customFormat="1" ht="10.5" x14ac:dyDescent="0.3">
      <c r="A1320" s="151"/>
      <c r="B1320" s="152" t="str">
        <f t="shared" si="32"/>
        <v>PV2-99</v>
      </c>
      <c r="C1320" s="187"/>
      <c r="D1320" s="187"/>
      <c r="E1320" s="187"/>
      <c r="F1320" s="187"/>
      <c r="G1320" s="181">
        <f t="shared" si="33"/>
        <v>0.17999999999999997</v>
      </c>
      <c r="H1320" s="187"/>
      <c r="I1320" s="187"/>
      <c r="J1320" s="187"/>
      <c r="K1320" s="187"/>
      <c r="L1320" s="158"/>
      <c r="M1320" s="158"/>
      <c r="N1320" s="187"/>
      <c r="O1320" s="187"/>
      <c r="P1320" s="183"/>
    </row>
    <row r="1321" spans="1:19" s="146" customFormat="1" ht="10.5" x14ac:dyDescent="0.3">
      <c r="A1321" s="151"/>
      <c r="B1321" s="152" t="str">
        <f t="shared" si="32"/>
        <v>PV1-100</v>
      </c>
      <c r="C1321" s="187"/>
      <c r="D1321" s="187"/>
      <c r="E1321" s="187"/>
      <c r="F1321" s="187"/>
      <c r="G1321" s="181">
        <f t="shared" si="33"/>
        <v>0.11999999999999991</v>
      </c>
      <c r="H1321" s="187"/>
      <c r="I1321" s="187"/>
      <c r="J1321" s="187"/>
      <c r="K1321" s="187"/>
      <c r="L1321" s="158"/>
      <c r="M1321" s="158"/>
      <c r="N1321" s="187"/>
      <c r="O1321" s="187"/>
      <c r="P1321" s="183"/>
    </row>
    <row r="1322" spans="1:19" s="146" customFormat="1" ht="10.5" x14ac:dyDescent="0.3">
      <c r="A1322" s="151"/>
      <c r="B1322" s="157"/>
      <c r="C1322" s="187"/>
      <c r="D1322" s="187"/>
      <c r="E1322" s="187"/>
      <c r="F1322" s="187"/>
      <c r="G1322" s="187"/>
      <c r="H1322" s="187"/>
      <c r="I1322" s="187"/>
      <c r="J1322" s="187"/>
      <c r="K1322" s="187"/>
      <c r="L1322" s="158"/>
      <c r="M1322" s="158"/>
      <c r="N1322" s="187"/>
      <c r="O1322" s="187"/>
      <c r="P1322" s="183"/>
    </row>
    <row r="1323" spans="1:19" s="146" customFormat="1" ht="10.5" x14ac:dyDescent="0.25">
      <c r="A1323" s="151"/>
      <c r="B1323" s="157" t="s">
        <v>377</v>
      </c>
      <c r="C1323" s="158" t="s">
        <v>402</v>
      </c>
      <c r="D1323" s="158"/>
      <c r="E1323" s="158"/>
      <c r="F1323" s="158"/>
      <c r="G1323" s="158">
        <f>SUM(G1281:G1322)</f>
        <v>11.009999999999996</v>
      </c>
      <c r="I1323" s="158"/>
      <c r="J1323" s="158"/>
      <c r="K1323" s="158"/>
      <c r="L1323" s="158"/>
      <c r="M1323" s="158"/>
      <c r="N1323" s="158"/>
      <c r="O1323" s="158"/>
      <c r="P1323" s="159"/>
      <c r="Q1323" s="145"/>
    </row>
    <row r="1324" spans="1:19" s="164" customFormat="1" ht="31.5" x14ac:dyDescent="0.35">
      <c r="A1324" s="147" t="str">
        <f>ORÇAMENTO!A271</f>
        <v>4.3.5</v>
      </c>
      <c r="B1324" s="148" t="str">
        <f>VLOOKUP(A1324,ORÇAMENTO!$A:$F,4,0)</f>
        <v>FORNECIMENTO E ASSENTAMENTO DE TAMPÃO CIRCULAR PARA DRENAGEM, EM FERRO FUNDIDO, DIÂMETRO = 0,6 M</v>
      </c>
      <c r="C1324" s="149" t="str">
        <f>VLOOKUP(A1324,ORÇAMENTO!$A:$F,5,0)</f>
        <v>UN</v>
      </c>
      <c r="D1324" s="149">
        <f>SUM(E1327:O1327)</f>
        <v>41</v>
      </c>
      <c r="E1324" s="149" t="s">
        <v>2177</v>
      </c>
      <c r="F1324" s="149" t="s">
        <v>2150</v>
      </c>
      <c r="G1324" s="149" t="s">
        <v>2151</v>
      </c>
      <c r="H1324" s="149" t="s">
        <v>2152</v>
      </c>
      <c r="I1324" s="149" t="s">
        <v>2153</v>
      </c>
      <c r="J1324" s="149" t="s">
        <v>2154</v>
      </c>
      <c r="K1324" s="149" t="s">
        <v>2172</v>
      </c>
      <c r="L1324" s="149" t="s">
        <v>2178</v>
      </c>
      <c r="M1324" s="149" t="s">
        <v>413</v>
      </c>
      <c r="N1324" s="149" t="s">
        <v>2157</v>
      </c>
      <c r="O1324" s="149" t="s">
        <v>2158</v>
      </c>
      <c r="P1324" s="145"/>
      <c r="Q1324" s="145"/>
      <c r="R1324" s="145"/>
      <c r="S1324" s="145"/>
    </row>
    <row r="1325" spans="1:19" s="146" customFormat="1" ht="21" x14ac:dyDescent="0.3">
      <c r="A1325" s="151"/>
      <c r="B1325" s="152" t="s">
        <v>2277</v>
      </c>
      <c r="C1325" s="154"/>
      <c r="D1325" s="154"/>
      <c r="E1325" s="154"/>
      <c r="F1325" s="154"/>
      <c r="G1325" s="154"/>
      <c r="H1325" s="154"/>
      <c r="I1325" s="154"/>
      <c r="J1325" s="154"/>
      <c r="K1325" s="154"/>
      <c r="L1325" s="165"/>
      <c r="M1325" s="186">
        <f>M1280</f>
        <v>41</v>
      </c>
      <c r="N1325" s="154"/>
      <c r="O1325" s="154"/>
      <c r="P1325" s="184"/>
    </row>
    <row r="1326" spans="1:19" s="146" customFormat="1" ht="10.5" x14ac:dyDescent="0.3">
      <c r="A1326" s="151"/>
      <c r="B1326" s="152"/>
      <c r="C1326" s="154"/>
      <c r="D1326" s="154"/>
      <c r="E1326" s="154"/>
      <c r="F1326" s="154"/>
      <c r="G1326" s="154"/>
      <c r="H1326" s="154"/>
      <c r="I1326" s="154"/>
      <c r="J1326" s="154"/>
      <c r="K1326" s="154"/>
      <c r="L1326" s="165"/>
      <c r="M1326" s="165"/>
      <c r="N1326" s="154"/>
      <c r="O1326" s="154"/>
      <c r="P1326" s="184"/>
    </row>
    <row r="1327" spans="1:19" s="146" customFormat="1" ht="10.5" x14ac:dyDescent="0.3">
      <c r="A1327" s="151"/>
      <c r="B1327" s="157" t="s">
        <v>377</v>
      </c>
      <c r="C1327" s="187" t="s">
        <v>402</v>
      </c>
      <c r="D1327" s="187"/>
      <c r="E1327" s="187"/>
      <c r="F1327" s="187"/>
      <c r="G1327" s="187"/>
      <c r="H1327" s="187"/>
      <c r="I1327" s="187"/>
      <c r="J1327" s="187"/>
      <c r="K1327" s="187"/>
      <c r="L1327" s="158"/>
      <c r="M1327" s="158">
        <f>SUM(M1325:M1325)</f>
        <v>41</v>
      </c>
      <c r="N1327" s="187"/>
      <c r="O1327" s="187"/>
      <c r="P1327" s="183"/>
    </row>
    <row r="1328" spans="1:19" s="150" customFormat="1" ht="52.5" x14ac:dyDescent="0.25">
      <c r="A1328" s="147" t="str">
        <f>ORÇAMENTO!A272</f>
        <v>4.3.6</v>
      </c>
      <c r="B1328" s="148" t="str">
        <f>VLOOKUP(A1328,ORÇAMENTO!$A:$F,4,0)</f>
        <v>CONSTRUÇÃO DE PAVIMENTO COM APLICAÇÃO CONCRETO BETUMINOSO USINADO A QUENTE (CBUQ), CAMADA DE ROLAMENTO - EXCLUSIVE TRANSPORTE E CARGA  AF_03/2017 (SEM MATERIAL)</v>
      </c>
      <c r="C1328" s="149" t="str">
        <f>VLOOKUP(A1328,ORÇAMENTO!$A:$F,5,0)</f>
        <v>M³</v>
      </c>
      <c r="D1328" s="149">
        <f>SUM(E1335:O1335)</f>
        <v>3.637425693247609</v>
      </c>
      <c r="E1328" s="149" t="s">
        <v>2149</v>
      </c>
      <c r="F1328" s="149" t="s">
        <v>2150</v>
      </c>
      <c r="G1328" s="149" t="s">
        <v>2151</v>
      </c>
      <c r="H1328" s="149" t="s">
        <v>2152</v>
      </c>
      <c r="I1328" s="149" t="s">
        <v>2153</v>
      </c>
      <c r="J1328" s="149" t="s">
        <v>2154</v>
      </c>
      <c r="K1328" s="149" t="s">
        <v>2155</v>
      </c>
      <c r="L1328" s="149" t="s">
        <v>2156</v>
      </c>
      <c r="M1328" s="149" t="s">
        <v>413</v>
      </c>
      <c r="N1328" s="149" t="s">
        <v>2157</v>
      </c>
      <c r="O1328" s="149" t="s">
        <v>2158</v>
      </c>
      <c r="P1328" s="145"/>
      <c r="Q1328" s="145"/>
    </row>
    <row r="1329" spans="1:17" s="146" customFormat="1" ht="10.5" x14ac:dyDescent="0.25">
      <c r="A1329" s="151"/>
      <c r="B1329" s="157" t="s">
        <v>2171</v>
      </c>
      <c r="C1329" s="160"/>
      <c r="D1329" s="161"/>
      <c r="E1329" s="161"/>
      <c r="F1329" s="161"/>
      <c r="G1329" s="161"/>
      <c r="H1329" s="161"/>
      <c r="I1329" s="161"/>
      <c r="J1329" s="161"/>
      <c r="K1329" s="161"/>
      <c r="L1329" s="161"/>
      <c r="M1329" s="161"/>
      <c r="N1329" s="161"/>
      <c r="O1329" s="161"/>
      <c r="P1329" s="155"/>
      <c r="Q1329" s="145"/>
    </row>
    <row r="1330" spans="1:17" s="146" customFormat="1" ht="10.5" x14ac:dyDescent="0.25">
      <c r="A1330" s="151"/>
      <c r="B1330" s="152" t="s">
        <v>2322</v>
      </c>
      <c r="C1330" s="160"/>
      <c r="D1330" s="161"/>
      <c r="E1330" s="161"/>
      <c r="F1330" s="161"/>
      <c r="G1330" s="161"/>
      <c r="H1330" s="161">
        <v>0.03</v>
      </c>
      <c r="I1330" s="161"/>
      <c r="J1330" s="161"/>
      <c r="K1330" s="161"/>
      <c r="L1330" s="161"/>
      <c r="M1330" s="161"/>
      <c r="N1330" s="161">
        <f>N1223</f>
        <v>132.83999999999997</v>
      </c>
      <c r="O1330" s="161">
        <f>N1330*H1330</f>
        <v>3.985199999999999</v>
      </c>
      <c r="P1330" s="155"/>
      <c r="Q1330" s="145"/>
    </row>
    <row r="1331" spans="1:17" s="146" customFormat="1" ht="10.5" x14ac:dyDescent="0.25">
      <c r="A1331" s="151"/>
      <c r="B1331" s="152" t="s">
        <v>2323</v>
      </c>
      <c r="C1331" s="160"/>
      <c r="D1331" s="161"/>
      <c r="E1331" s="161"/>
      <c r="F1331" s="161"/>
      <c r="G1331" s="161"/>
      <c r="H1331" s="161">
        <v>0.03</v>
      </c>
      <c r="I1331" s="161"/>
      <c r="J1331" s="161">
        <v>0.6</v>
      </c>
      <c r="K1331" s="161"/>
      <c r="L1331" s="161"/>
      <c r="M1331" s="161">
        <f>M1222</f>
        <v>41</v>
      </c>
      <c r="N1331" s="161">
        <f>PI()*(J1331/2)^2</f>
        <v>0.28274333882308139</v>
      </c>
      <c r="O1331" s="161">
        <f>M1331*N1331*H1331</f>
        <v>0.34777430675239007</v>
      </c>
      <c r="P1331" s="155"/>
      <c r="Q1331" s="145"/>
    </row>
    <row r="1332" spans="1:17" s="146" customFormat="1" ht="10.5" x14ac:dyDescent="0.25">
      <c r="A1332" s="151"/>
      <c r="B1332" s="152"/>
      <c r="C1332" s="160"/>
      <c r="D1332" s="161"/>
      <c r="E1332" s="161"/>
      <c r="F1332" s="161"/>
      <c r="G1332" s="161"/>
      <c r="H1332" s="161"/>
      <c r="I1332" s="161"/>
      <c r="J1332" s="161"/>
      <c r="K1332" s="161"/>
      <c r="L1332" s="161"/>
      <c r="M1332" s="161"/>
      <c r="N1332" s="161"/>
      <c r="O1332" s="161"/>
      <c r="P1332" s="155"/>
      <c r="Q1332" s="145"/>
    </row>
    <row r="1333" spans="1:17" s="146" customFormat="1" ht="10.5" x14ac:dyDescent="0.25">
      <c r="A1333" s="151"/>
      <c r="B1333" s="152" t="s">
        <v>2221</v>
      </c>
      <c r="C1333" s="160"/>
      <c r="D1333" s="161"/>
      <c r="E1333" s="161"/>
      <c r="F1333" s="161"/>
      <c r="G1333" s="161"/>
      <c r="H1333" s="161"/>
      <c r="I1333" s="161"/>
      <c r="J1333" s="161"/>
      <c r="K1333" s="161"/>
      <c r="L1333" s="161"/>
      <c r="M1333" s="161"/>
      <c r="N1333" s="161"/>
      <c r="O1333" s="160">
        <f>O1330-O1331</f>
        <v>3.637425693247609</v>
      </c>
      <c r="P1333" s="155"/>
      <c r="Q1333" s="145"/>
    </row>
    <row r="1334" spans="1:17" s="146" customFormat="1" ht="10.5" x14ac:dyDescent="0.25">
      <c r="A1334" s="151"/>
      <c r="B1334" s="152"/>
      <c r="C1334" s="160"/>
      <c r="D1334" s="161"/>
      <c r="E1334" s="161"/>
      <c r="F1334" s="161"/>
      <c r="G1334" s="161"/>
      <c r="H1334" s="161"/>
      <c r="I1334" s="161"/>
      <c r="J1334" s="161"/>
      <c r="K1334" s="161"/>
      <c r="L1334" s="162"/>
      <c r="M1334" s="161"/>
      <c r="N1334" s="161"/>
      <c r="O1334" s="161"/>
      <c r="P1334" s="155"/>
      <c r="Q1334" s="145"/>
    </row>
    <row r="1335" spans="1:17" s="146" customFormat="1" ht="10.5" x14ac:dyDescent="0.25">
      <c r="A1335" s="151"/>
      <c r="B1335" s="157" t="s">
        <v>377</v>
      </c>
      <c r="C1335" s="158" t="s">
        <v>402</v>
      </c>
      <c r="D1335" s="158"/>
      <c r="E1335" s="158"/>
      <c r="F1335" s="158"/>
      <c r="G1335" s="158"/>
      <c r="H1335" s="158"/>
      <c r="I1335" s="158"/>
      <c r="J1335" s="158"/>
      <c r="K1335" s="158"/>
      <c r="L1335" s="158"/>
      <c r="M1335" s="158"/>
      <c r="N1335" s="158"/>
      <c r="O1335" s="158">
        <f>SUM(O1333:O1334)</f>
        <v>3.637425693247609</v>
      </c>
      <c r="P1335" s="159"/>
      <c r="Q1335" s="145"/>
    </row>
    <row r="1336" spans="1:17" s="150" customFormat="1" ht="21" x14ac:dyDescent="0.25">
      <c r="A1336" s="147" t="str">
        <f>ORÇAMENTO!A273</f>
        <v>4.3.7</v>
      </c>
      <c r="B1336" s="148" t="str">
        <f>VLOOKUP(A1336,ORÇAMENTO!$A:$F,4,0)</f>
        <v>PINTURA DE LIGAÇÃO (SEM MATERIAL)</v>
      </c>
      <c r="C1336" s="149" t="str">
        <f>VLOOKUP(A1336,ORÇAMENTO!$A:$F,5,0)</f>
        <v>M²</v>
      </c>
      <c r="D1336" s="149">
        <f>SUM(E1381:O1381)</f>
        <v>121.24752310825359</v>
      </c>
      <c r="E1336" s="149" t="s">
        <v>2149</v>
      </c>
      <c r="F1336" s="149" t="s">
        <v>2150</v>
      </c>
      <c r="G1336" s="149" t="s">
        <v>2151</v>
      </c>
      <c r="H1336" s="149" t="s">
        <v>2152</v>
      </c>
      <c r="I1336" s="149" t="s">
        <v>2153</v>
      </c>
      <c r="J1336" s="149" t="s">
        <v>2154</v>
      </c>
      <c r="K1336" s="149" t="s">
        <v>2155</v>
      </c>
      <c r="L1336" s="149" t="s">
        <v>2156</v>
      </c>
      <c r="M1336" s="149" t="s">
        <v>413</v>
      </c>
      <c r="N1336" s="149" t="s">
        <v>2157</v>
      </c>
      <c r="O1336" s="149" t="s">
        <v>2158</v>
      </c>
      <c r="P1336" s="145"/>
      <c r="Q1336" s="145"/>
    </row>
    <row r="1337" spans="1:17" s="146" customFormat="1" ht="10.5" x14ac:dyDescent="0.25">
      <c r="A1337" s="151"/>
      <c r="B1337" s="157"/>
      <c r="C1337" s="153"/>
      <c r="D1337" s="154"/>
      <c r="E1337" s="154"/>
      <c r="F1337" s="154"/>
      <c r="G1337" s="154"/>
      <c r="H1337" s="154"/>
      <c r="I1337" s="154"/>
      <c r="J1337" s="154"/>
      <c r="K1337" s="154"/>
      <c r="L1337" s="154"/>
      <c r="M1337" s="154"/>
      <c r="N1337" s="154"/>
      <c r="O1337" s="154"/>
      <c r="P1337" s="155"/>
      <c r="Q1337" s="145"/>
    </row>
    <row r="1338" spans="1:17" s="146" customFormat="1" ht="10.5" x14ac:dyDescent="0.25">
      <c r="A1338" s="151"/>
      <c r="B1338" s="152" t="s">
        <v>2324</v>
      </c>
      <c r="C1338" s="153"/>
      <c r="D1338" s="154"/>
      <c r="E1338" s="154"/>
      <c r="F1338" s="154"/>
      <c r="G1338" s="154"/>
      <c r="H1338" s="154"/>
      <c r="I1338" s="154"/>
      <c r="J1338" s="154"/>
      <c r="K1338" s="154"/>
      <c r="L1338" s="154"/>
      <c r="M1338" s="154"/>
      <c r="N1338" s="154"/>
      <c r="O1338" s="154"/>
      <c r="P1338" s="155"/>
      <c r="Q1338" s="145"/>
    </row>
    <row r="1339" spans="1:17" s="146" customFormat="1" ht="10.5" x14ac:dyDescent="0.25">
      <c r="A1339" s="151"/>
      <c r="B1339" s="152" t="str">
        <f>B1281</f>
        <v>PV1-87</v>
      </c>
      <c r="C1339" s="153"/>
      <c r="D1339" s="154"/>
      <c r="E1339" s="154">
        <v>1.8</v>
      </c>
      <c r="F1339" s="154">
        <v>1.8</v>
      </c>
      <c r="G1339" s="154"/>
      <c r="H1339" s="154"/>
      <c r="I1339" s="154"/>
      <c r="J1339" s="154">
        <v>0.6</v>
      </c>
      <c r="K1339" s="154"/>
      <c r="L1339" s="154"/>
      <c r="M1339" s="154"/>
      <c r="N1339" s="154">
        <f t="shared" ref="N1339:N1379" si="34">(E1339*F1339)-(PI()*(J1339/2)^2)</f>
        <v>2.9572566611769187</v>
      </c>
      <c r="O1339" s="154"/>
      <c r="P1339" s="155"/>
      <c r="Q1339" s="145"/>
    </row>
    <row r="1340" spans="1:17" s="146" customFormat="1" ht="10.5" x14ac:dyDescent="0.25">
      <c r="A1340" s="151"/>
      <c r="B1340" s="152" t="str">
        <f t="shared" ref="B1340:B1379" si="35">B1282</f>
        <v>PV2-87</v>
      </c>
      <c r="C1340" s="153"/>
      <c r="D1340" s="154"/>
      <c r="E1340" s="154">
        <v>1.8</v>
      </c>
      <c r="F1340" s="154">
        <v>1.8</v>
      </c>
      <c r="G1340" s="154"/>
      <c r="H1340" s="154"/>
      <c r="I1340" s="154"/>
      <c r="J1340" s="154">
        <v>0.6</v>
      </c>
      <c r="K1340" s="154"/>
      <c r="L1340" s="154"/>
      <c r="M1340" s="154"/>
      <c r="N1340" s="154">
        <f t="shared" si="34"/>
        <v>2.9572566611769187</v>
      </c>
      <c r="O1340" s="154"/>
      <c r="P1340" s="155"/>
      <c r="Q1340" s="145"/>
    </row>
    <row r="1341" spans="1:17" s="146" customFormat="1" ht="10.5" x14ac:dyDescent="0.25">
      <c r="A1341" s="151"/>
      <c r="B1341" s="152" t="str">
        <f t="shared" si="35"/>
        <v>PV3-87</v>
      </c>
      <c r="C1341" s="153"/>
      <c r="D1341" s="154"/>
      <c r="E1341" s="154">
        <v>1.8</v>
      </c>
      <c r="F1341" s="154">
        <v>1.8</v>
      </c>
      <c r="G1341" s="154"/>
      <c r="H1341" s="154"/>
      <c r="I1341" s="154"/>
      <c r="J1341" s="154">
        <v>0.6</v>
      </c>
      <c r="K1341" s="154"/>
      <c r="L1341" s="154"/>
      <c r="M1341" s="154"/>
      <c r="N1341" s="154">
        <f t="shared" si="34"/>
        <v>2.9572566611769187</v>
      </c>
      <c r="O1341" s="154"/>
      <c r="P1341" s="155"/>
      <c r="Q1341" s="145"/>
    </row>
    <row r="1342" spans="1:17" s="146" customFormat="1" ht="10.5" x14ac:dyDescent="0.25">
      <c r="A1342" s="151"/>
      <c r="B1342" s="152" t="str">
        <f t="shared" si="35"/>
        <v>PV4-87</v>
      </c>
      <c r="C1342" s="153"/>
      <c r="D1342" s="154"/>
      <c r="E1342" s="154">
        <v>1.8</v>
      </c>
      <c r="F1342" s="154">
        <v>1.8</v>
      </c>
      <c r="G1342" s="154"/>
      <c r="H1342" s="154"/>
      <c r="I1342" s="154"/>
      <c r="J1342" s="154">
        <v>0.6</v>
      </c>
      <c r="K1342" s="154"/>
      <c r="L1342" s="154"/>
      <c r="M1342" s="154"/>
      <c r="N1342" s="154">
        <f t="shared" si="34"/>
        <v>2.9572566611769187</v>
      </c>
      <c r="O1342" s="154"/>
      <c r="P1342" s="155"/>
      <c r="Q1342" s="145"/>
    </row>
    <row r="1343" spans="1:17" s="146" customFormat="1" ht="10.5" x14ac:dyDescent="0.25">
      <c r="A1343" s="151"/>
      <c r="B1343" s="152" t="str">
        <f t="shared" si="35"/>
        <v>PV5-87</v>
      </c>
      <c r="C1343" s="153"/>
      <c r="D1343" s="154"/>
      <c r="E1343" s="154">
        <v>1.8</v>
      </c>
      <c r="F1343" s="154">
        <v>1.8</v>
      </c>
      <c r="G1343" s="154"/>
      <c r="H1343" s="154"/>
      <c r="I1343" s="154"/>
      <c r="J1343" s="154">
        <v>0.6</v>
      </c>
      <c r="K1343" s="154"/>
      <c r="L1343" s="154"/>
      <c r="M1343" s="154"/>
      <c r="N1343" s="154">
        <f t="shared" si="34"/>
        <v>2.9572566611769187</v>
      </c>
      <c r="O1343" s="154"/>
      <c r="P1343" s="155"/>
      <c r="Q1343" s="145"/>
    </row>
    <row r="1344" spans="1:17" s="146" customFormat="1" ht="10.5" x14ac:dyDescent="0.25">
      <c r="A1344" s="151"/>
      <c r="B1344" s="152" t="str">
        <f t="shared" si="35"/>
        <v>PV10-87</v>
      </c>
      <c r="C1344" s="153"/>
      <c r="D1344" s="154"/>
      <c r="E1344" s="154">
        <v>1.8</v>
      </c>
      <c r="F1344" s="154">
        <v>1.8</v>
      </c>
      <c r="G1344" s="154"/>
      <c r="H1344" s="154"/>
      <c r="I1344" s="154"/>
      <c r="J1344" s="154">
        <v>0.6</v>
      </c>
      <c r="K1344" s="154"/>
      <c r="L1344" s="154"/>
      <c r="M1344" s="154"/>
      <c r="N1344" s="154">
        <f t="shared" si="34"/>
        <v>2.9572566611769187</v>
      </c>
      <c r="O1344" s="154"/>
      <c r="P1344" s="155"/>
      <c r="Q1344" s="145"/>
    </row>
    <row r="1345" spans="1:17" s="146" customFormat="1" ht="10.5" x14ac:dyDescent="0.25">
      <c r="A1345" s="151"/>
      <c r="B1345" s="152" t="str">
        <f t="shared" si="35"/>
        <v>PV15-87</v>
      </c>
      <c r="C1345" s="153"/>
      <c r="D1345" s="154"/>
      <c r="E1345" s="154">
        <v>1.8</v>
      </c>
      <c r="F1345" s="154">
        <v>1.8</v>
      </c>
      <c r="G1345" s="154"/>
      <c r="H1345" s="154"/>
      <c r="I1345" s="154"/>
      <c r="J1345" s="154">
        <v>0.6</v>
      </c>
      <c r="K1345" s="154"/>
      <c r="L1345" s="154"/>
      <c r="M1345" s="154"/>
      <c r="N1345" s="154">
        <f t="shared" si="34"/>
        <v>2.9572566611769187</v>
      </c>
      <c r="O1345" s="154"/>
      <c r="P1345" s="155"/>
      <c r="Q1345" s="145"/>
    </row>
    <row r="1346" spans="1:17" s="146" customFormat="1" ht="10.5" x14ac:dyDescent="0.25">
      <c r="A1346" s="151"/>
      <c r="B1346" s="152" t="str">
        <f t="shared" si="35"/>
        <v>PV1-88</v>
      </c>
      <c r="C1346" s="153"/>
      <c r="D1346" s="154"/>
      <c r="E1346" s="154">
        <v>1.8</v>
      </c>
      <c r="F1346" s="154">
        <v>1.8</v>
      </c>
      <c r="G1346" s="154"/>
      <c r="H1346" s="154"/>
      <c r="I1346" s="154"/>
      <c r="J1346" s="154">
        <v>0.6</v>
      </c>
      <c r="K1346" s="154"/>
      <c r="L1346" s="154"/>
      <c r="M1346" s="154"/>
      <c r="N1346" s="154">
        <f t="shared" si="34"/>
        <v>2.9572566611769187</v>
      </c>
      <c r="O1346" s="154"/>
      <c r="P1346" s="155"/>
      <c r="Q1346" s="145"/>
    </row>
    <row r="1347" spans="1:17" s="146" customFormat="1" ht="10.5" x14ac:dyDescent="0.25">
      <c r="A1347" s="151"/>
      <c r="B1347" s="152" t="str">
        <f t="shared" si="35"/>
        <v>PV2-88</v>
      </c>
      <c r="C1347" s="153"/>
      <c r="D1347" s="154"/>
      <c r="E1347" s="154">
        <v>1.8</v>
      </c>
      <c r="F1347" s="154">
        <v>1.8</v>
      </c>
      <c r="G1347" s="154"/>
      <c r="H1347" s="154"/>
      <c r="I1347" s="154"/>
      <c r="J1347" s="154">
        <v>0.6</v>
      </c>
      <c r="K1347" s="154"/>
      <c r="L1347" s="154"/>
      <c r="M1347" s="154"/>
      <c r="N1347" s="154">
        <f t="shared" si="34"/>
        <v>2.9572566611769187</v>
      </c>
      <c r="O1347" s="154"/>
      <c r="P1347" s="155"/>
      <c r="Q1347" s="145"/>
    </row>
    <row r="1348" spans="1:17" s="146" customFormat="1" ht="10.5" x14ac:dyDescent="0.25">
      <c r="A1348" s="151"/>
      <c r="B1348" s="152" t="str">
        <f t="shared" si="35"/>
        <v>PV3-88</v>
      </c>
      <c r="C1348" s="153"/>
      <c r="D1348" s="154"/>
      <c r="E1348" s="154">
        <v>1.8</v>
      </c>
      <c r="F1348" s="154">
        <v>1.8</v>
      </c>
      <c r="G1348" s="154"/>
      <c r="H1348" s="154"/>
      <c r="I1348" s="154"/>
      <c r="J1348" s="154">
        <v>0.6</v>
      </c>
      <c r="K1348" s="154"/>
      <c r="L1348" s="154"/>
      <c r="M1348" s="154"/>
      <c r="N1348" s="154">
        <f t="shared" si="34"/>
        <v>2.9572566611769187</v>
      </c>
      <c r="O1348" s="154"/>
      <c r="P1348" s="155"/>
      <c r="Q1348" s="145"/>
    </row>
    <row r="1349" spans="1:17" s="146" customFormat="1" ht="10.5" x14ac:dyDescent="0.25">
      <c r="A1349" s="151"/>
      <c r="B1349" s="152" t="str">
        <f t="shared" si="35"/>
        <v>PV4-88</v>
      </c>
      <c r="C1349" s="153"/>
      <c r="D1349" s="154"/>
      <c r="E1349" s="154">
        <v>1.8</v>
      </c>
      <c r="F1349" s="154">
        <v>1.8</v>
      </c>
      <c r="G1349" s="154"/>
      <c r="H1349" s="154"/>
      <c r="I1349" s="154"/>
      <c r="J1349" s="154">
        <v>0.6</v>
      </c>
      <c r="K1349" s="154"/>
      <c r="L1349" s="154"/>
      <c r="M1349" s="154"/>
      <c r="N1349" s="154">
        <f t="shared" si="34"/>
        <v>2.9572566611769187</v>
      </c>
      <c r="O1349" s="154"/>
      <c r="P1349" s="155"/>
      <c r="Q1349" s="145"/>
    </row>
    <row r="1350" spans="1:17" s="146" customFormat="1" ht="10.5" x14ac:dyDescent="0.25">
      <c r="A1350" s="151"/>
      <c r="B1350" s="152" t="str">
        <f t="shared" si="35"/>
        <v>PV5-88</v>
      </c>
      <c r="C1350" s="153"/>
      <c r="D1350" s="154"/>
      <c r="E1350" s="154">
        <v>1.8</v>
      </c>
      <c r="F1350" s="154">
        <v>1.8</v>
      </c>
      <c r="G1350" s="154"/>
      <c r="H1350" s="154"/>
      <c r="I1350" s="154"/>
      <c r="J1350" s="154">
        <v>0.6</v>
      </c>
      <c r="K1350" s="154"/>
      <c r="L1350" s="154"/>
      <c r="M1350" s="154"/>
      <c r="N1350" s="154">
        <f t="shared" si="34"/>
        <v>2.9572566611769187</v>
      </c>
      <c r="O1350" s="154"/>
      <c r="P1350" s="155"/>
      <c r="Q1350" s="145"/>
    </row>
    <row r="1351" spans="1:17" s="146" customFormat="1" ht="10.5" x14ac:dyDescent="0.25">
      <c r="A1351" s="151"/>
      <c r="B1351" s="152" t="str">
        <f t="shared" si="35"/>
        <v>PV6-88</v>
      </c>
      <c r="C1351" s="153"/>
      <c r="D1351" s="154"/>
      <c r="E1351" s="154">
        <v>1.8</v>
      </c>
      <c r="F1351" s="154">
        <v>1.8</v>
      </c>
      <c r="G1351" s="154"/>
      <c r="H1351" s="154"/>
      <c r="I1351" s="154"/>
      <c r="J1351" s="154">
        <v>0.6</v>
      </c>
      <c r="K1351" s="154"/>
      <c r="L1351" s="154"/>
      <c r="M1351" s="154"/>
      <c r="N1351" s="154">
        <f t="shared" si="34"/>
        <v>2.9572566611769187</v>
      </c>
      <c r="O1351" s="154"/>
      <c r="P1351" s="155"/>
      <c r="Q1351" s="145"/>
    </row>
    <row r="1352" spans="1:17" s="146" customFormat="1" ht="10.5" x14ac:dyDescent="0.25">
      <c r="A1352" s="151"/>
      <c r="B1352" s="152" t="str">
        <f t="shared" si="35"/>
        <v>PV7-88</v>
      </c>
      <c r="C1352" s="153"/>
      <c r="D1352" s="154"/>
      <c r="E1352" s="154">
        <v>1.8</v>
      </c>
      <c r="F1352" s="154">
        <v>1.8</v>
      </c>
      <c r="G1352" s="154"/>
      <c r="H1352" s="154"/>
      <c r="I1352" s="154"/>
      <c r="J1352" s="154">
        <v>0.6</v>
      </c>
      <c r="K1352" s="154"/>
      <c r="L1352" s="154"/>
      <c r="M1352" s="154"/>
      <c r="N1352" s="154">
        <f t="shared" si="34"/>
        <v>2.9572566611769187</v>
      </c>
      <c r="O1352" s="154"/>
      <c r="P1352" s="155"/>
      <c r="Q1352" s="145"/>
    </row>
    <row r="1353" spans="1:17" s="146" customFormat="1" ht="10.5" x14ac:dyDescent="0.25">
      <c r="A1353" s="151"/>
      <c r="B1353" s="152" t="str">
        <f t="shared" si="35"/>
        <v>PV1-90</v>
      </c>
      <c r="C1353" s="153"/>
      <c r="D1353" s="154"/>
      <c r="E1353" s="154">
        <v>1.8</v>
      </c>
      <c r="F1353" s="154">
        <v>1.8</v>
      </c>
      <c r="G1353" s="154"/>
      <c r="H1353" s="154"/>
      <c r="I1353" s="154"/>
      <c r="J1353" s="154">
        <v>0.6</v>
      </c>
      <c r="K1353" s="154"/>
      <c r="L1353" s="154"/>
      <c r="M1353" s="154"/>
      <c r="N1353" s="154">
        <f t="shared" si="34"/>
        <v>2.9572566611769187</v>
      </c>
      <c r="O1353" s="154"/>
      <c r="P1353" s="155"/>
      <c r="Q1353" s="145"/>
    </row>
    <row r="1354" spans="1:17" s="146" customFormat="1" ht="10.5" x14ac:dyDescent="0.25">
      <c r="A1354" s="151"/>
      <c r="B1354" s="152" t="str">
        <f t="shared" si="35"/>
        <v>PV2-90</v>
      </c>
      <c r="C1354" s="153"/>
      <c r="D1354" s="154"/>
      <c r="E1354" s="154">
        <v>1.8</v>
      </c>
      <c r="F1354" s="154">
        <v>1.8</v>
      </c>
      <c r="G1354" s="154"/>
      <c r="H1354" s="154"/>
      <c r="I1354" s="154"/>
      <c r="J1354" s="154">
        <v>0.6</v>
      </c>
      <c r="K1354" s="154"/>
      <c r="L1354" s="154"/>
      <c r="M1354" s="154"/>
      <c r="N1354" s="154">
        <f t="shared" si="34"/>
        <v>2.9572566611769187</v>
      </c>
      <c r="O1354" s="154"/>
      <c r="P1354" s="155"/>
      <c r="Q1354" s="145"/>
    </row>
    <row r="1355" spans="1:17" s="146" customFormat="1" ht="10.5" x14ac:dyDescent="0.25">
      <c r="A1355" s="151"/>
      <c r="B1355" s="152" t="str">
        <f t="shared" si="35"/>
        <v>PV3-90</v>
      </c>
      <c r="C1355" s="153"/>
      <c r="D1355" s="154"/>
      <c r="E1355" s="154">
        <v>1.8</v>
      </c>
      <c r="F1355" s="154">
        <v>1.8</v>
      </c>
      <c r="G1355" s="154"/>
      <c r="H1355" s="154"/>
      <c r="I1355" s="154"/>
      <c r="J1355" s="154">
        <v>0.6</v>
      </c>
      <c r="K1355" s="154"/>
      <c r="L1355" s="154"/>
      <c r="M1355" s="154"/>
      <c r="N1355" s="154">
        <f t="shared" si="34"/>
        <v>2.9572566611769187</v>
      </c>
      <c r="O1355" s="154"/>
      <c r="P1355" s="155"/>
      <c r="Q1355" s="145"/>
    </row>
    <row r="1356" spans="1:17" s="146" customFormat="1" ht="10.5" x14ac:dyDescent="0.25">
      <c r="A1356" s="151"/>
      <c r="B1356" s="152" t="str">
        <f t="shared" si="35"/>
        <v>PV2-91</v>
      </c>
      <c r="C1356" s="153"/>
      <c r="D1356" s="154"/>
      <c r="E1356" s="154">
        <v>1.8</v>
      </c>
      <c r="F1356" s="154">
        <v>1.8</v>
      </c>
      <c r="G1356" s="154"/>
      <c r="H1356" s="154"/>
      <c r="I1356" s="154"/>
      <c r="J1356" s="154">
        <v>0.6</v>
      </c>
      <c r="K1356" s="154"/>
      <c r="L1356" s="154"/>
      <c r="M1356" s="154"/>
      <c r="N1356" s="154">
        <f t="shared" si="34"/>
        <v>2.9572566611769187</v>
      </c>
      <c r="O1356" s="154"/>
      <c r="P1356" s="155"/>
      <c r="Q1356" s="145"/>
    </row>
    <row r="1357" spans="1:17" s="146" customFormat="1" ht="10.5" x14ac:dyDescent="0.25">
      <c r="A1357" s="151"/>
      <c r="B1357" s="152" t="str">
        <f t="shared" si="35"/>
        <v>PV3-91</v>
      </c>
      <c r="C1357" s="153"/>
      <c r="D1357" s="154"/>
      <c r="E1357" s="154">
        <v>1.8</v>
      </c>
      <c r="F1357" s="154">
        <v>1.8</v>
      </c>
      <c r="G1357" s="154"/>
      <c r="H1357" s="154"/>
      <c r="I1357" s="154"/>
      <c r="J1357" s="154">
        <v>0.6</v>
      </c>
      <c r="K1357" s="154"/>
      <c r="L1357" s="154"/>
      <c r="M1357" s="154"/>
      <c r="N1357" s="154">
        <f t="shared" si="34"/>
        <v>2.9572566611769187</v>
      </c>
      <c r="O1357" s="154"/>
      <c r="P1357" s="155"/>
      <c r="Q1357" s="145"/>
    </row>
    <row r="1358" spans="1:17" s="146" customFormat="1" ht="10.5" x14ac:dyDescent="0.25">
      <c r="A1358" s="151"/>
      <c r="B1358" s="152" t="str">
        <f t="shared" si="35"/>
        <v>PV1-92</v>
      </c>
      <c r="C1358" s="153"/>
      <c r="D1358" s="154"/>
      <c r="E1358" s="154">
        <v>1.8</v>
      </c>
      <c r="F1358" s="154">
        <v>1.8</v>
      </c>
      <c r="G1358" s="154"/>
      <c r="H1358" s="154"/>
      <c r="I1358" s="154"/>
      <c r="J1358" s="154">
        <v>0.6</v>
      </c>
      <c r="K1358" s="154"/>
      <c r="L1358" s="154"/>
      <c r="M1358" s="154"/>
      <c r="N1358" s="154">
        <f t="shared" si="34"/>
        <v>2.9572566611769187</v>
      </c>
      <c r="O1358" s="154"/>
      <c r="P1358" s="155"/>
      <c r="Q1358" s="145"/>
    </row>
    <row r="1359" spans="1:17" s="146" customFormat="1" ht="10.5" x14ac:dyDescent="0.25">
      <c r="A1359" s="151"/>
      <c r="B1359" s="152" t="str">
        <f t="shared" si="35"/>
        <v>PV2-92</v>
      </c>
      <c r="C1359" s="153"/>
      <c r="D1359" s="154"/>
      <c r="E1359" s="154">
        <v>1.8</v>
      </c>
      <c r="F1359" s="154">
        <v>1.8</v>
      </c>
      <c r="G1359" s="154"/>
      <c r="H1359" s="154"/>
      <c r="I1359" s="154"/>
      <c r="J1359" s="154">
        <v>0.6</v>
      </c>
      <c r="K1359" s="154"/>
      <c r="L1359" s="154"/>
      <c r="M1359" s="154"/>
      <c r="N1359" s="154">
        <f t="shared" si="34"/>
        <v>2.9572566611769187</v>
      </c>
      <c r="O1359" s="154"/>
      <c r="P1359" s="155"/>
      <c r="Q1359" s="145"/>
    </row>
    <row r="1360" spans="1:17" s="146" customFormat="1" ht="10.5" x14ac:dyDescent="0.25">
      <c r="A1360" s="151"/>
      <c r="B1360" s="152" t="str">
        <f t="shared" si="35"/>
        <v>PV3-92</v>
      </c>
      <c r="C1360" s="153"/>
      <c r="D1360" s="154"/>
      <c r="E1360" s="154">
        <v>1.8</v>
      </c>
      <c r="F1360" s="154">
        <v>1.8</v>
      </c>
      <c r="G1360" s="154"/>
      <c r="H1360" s="154"/>
      <c r="I1360" s="154"/>
      <c r="J1360" s="154">
        <v>0.6</v>
      </c>
      <c r="K1360" s="154"/>
      <c r="L1360" s="154"/>
      <c r="M1360" s="154"/>
      <c r="N1360" s="154">
        <f t="shared" si="34"/>
        <v>2.9572566611769187</v>
      </c>
      <c r="O1360" s="154"/>
      <c r="P1360" s="155"/>
      <c r="Q1360" s="145"/>
    </row>
    <row r="1361" spans="1:17" s="146" customFormat="1" ht="10.5" x14ac:dyDescent="0.25">
      <c r="A1361" s="151"/>
      <c r="B1361" s="152" t="str">
        <f t="shared" si="35"/>
        <v>PV1-93</v>
      </c>
      <c r="C1361" s="153"/>
      <c r="D1361" s="154"/>
      <c r="E1361" s="154">
        <v>1.8</v>
      </c>
      <c r="F1361" s="154">
        <v>1.8</v>
      </c>
      <c r="G1361" s="154"/>
      <c r="H1361" s="154"/>
      <c r="I1361" s="154"/>
      <c r="J1361" s="154">
        <v>0.6</v>
      </c>
      <c r="K1361" s="154"/>
      <c r="L1361" s="154"/>
      <c r="M1361" s="154"/>
      <c r="N1361" s="154">
        <f t="shared" si="34"/>
        <v>2.9572566611769187</v>
      </c>
      <c r="O1361" s="154"/>
      <c r="P1361" s="155"/>
      <c r="Q1361" s="145"/>
    </row>
    <row r="1362" spans="1:17" s="146" customFormat="1" ht="10.5" x14ac:dyDescent="0.25">
      <c r="A1362" s="151"/>
      <c r="B1362" s="152" t="str">
        <f t="shared" si="35"/>
        <v>PV2-93</v>
      </c>
      <c r="C1362" s="153"/>
      <c r="D1362" s="154"/>
      <c r="E1362" s="154">
        <v>1.8</v>
      </c>
      <c r="F1362" s="154">
        <v>1.8</v>
      </c>
      <c r="G1362" s="154"/>
      <c r="H1362" s="154"/>
      <c r="I1362" s="154"/>
      <c r="J1362" s="154">
        <v>0.6</v>
      </c>
      <c r="K1362" s="154"/>
      <c r="L1362" s="154"/>
      <c r="M1362" s="154"/>
      <c r="N1362" s="154">
        <f t="shared" si="34"/>
        <v>2.9572566611769187</v>
      </c>
      <c r="O1362" s="154"/>
      <c r="P1362" s="155"/>
      <c r="Q1362" s="145"/>
    </row>
    <row r="1363" spans="1:17" s="146" customFormat="1" ht="10.5" x14ac:dyDescent="0.25">
      <c r="A1363" s="151"/>
      <c r="B1363" s="152" t="str">
        <f t="shared" si="35"/>
        <v>PV3-93</v>
      </c>
      <c r="C1363" s="153"/>
      <c r="D1363" s="154"/>
      <c r="E1363" s="154">
        <v>1.8</v>
      </c>
      <c r="F1363" s="154">
        <v>1.8</v>
      </c>
      <c r="G1363" s="154"/>
      <c r="H1363" s="154"/>
      <c r="I1363" s="154"/>
      <c r="J1363" s="154">
        <v>0.6</v>
      </c>
      <c r="K1363" s="154"/>
      <c r="L1363" s="154"/>
      <c r="M1363" s="154"/>
      <c r="N1363" s="154">
        <f t="shared" si="34"/>
        <v>2.9572566611769187</v>
      </c>
      <c r="O1363" s="154"/>
      <c r="P1363" s="155"/>
      <c r="Q1363" s="145"/>
    </row>
    <row r="1364" spans="1:17" s="146" customFormat="1" ht="10.5" x14ac:dyDescent="0.25">
      <c r="A1364" s="151"/>
      <c r="B1364" s="152" t="str">
        <f t="shared" si="35"/>
        <v>PV1-94</v>
      </c>
      <c r="C1364" s="153"/>
      <c r="D1364" s="154"/>
      <c r="E1364" s="154">
        <v>1.8</v>
      </c>
      <c r="F1364" s="154">
        <v>1.8</v>
      </c>
      <c r="G1364" s="154"/>
      <c r="H1364" s="154"/>
      <c r="I1364" s="154"/>
      <c r="J1364" s="154">
        <v>0.6</v>
      </c>
      <c r="K1364" s="154"/>
      <c r="L1364" s="154"/>
      <c r="M1364" s="154"/>
      <c r="N1364" s="154">
        <f t="shared" si="34"/>
        <v>2.9572566611769187</v>
      </c>
      <c r="O1364" s="154"/>
      <c r="P1364" s="155"/>
      <c r="Q1364" s="145"/>
    </row>
    <row r="1365" spans="1:17" s="146" customFormat="1" ht="10.5" x14ac:dyDescent="0.25">
      <c r="A1365" s="151"/>
      <c r="B1365" s="152" t="str">
        <f t="shared" si="35"/>
        <v>PV2-94</v>
      </c>
      <c r="C1365" s="153"/>
      <c r="D1365" s="154"/>
      <c r="E1365" s="154">
        <v>1.8</v>
      </c>
      <c r="F1365" s="154">
        <v>1.8</v>
      </c>
      <c r="G1365" s="154"/>
      <c r="H1365" s="154"/>
      <c r="I1365" s="154"/>
      <c r="J1365" s="154">
        <v>0.6</v>
      </c>
      <c r="K1365" s="154"/>
      <c r="L1365" s="154"/>
      <c r="M1365" s="154"/>
      <c r="N1365" s="154">
        <f t="shared" si="34"/>
        <v>2.9572566611769187</v>
      </c>
      <c r="O1365" s="154"/>
      <c r="P1365" s="155"/>
      <c r="Q1365" s="145"/>
    </row>
    <row r="1366" spans="1:17" s="146" customFormat="1" ht="10.5" x14ac:dyDescent="0.25">
      <c r="A1366" s="151"/>
      <c r="B1366" s="152" t="str">
        <f t="shared" si="35"/>
        <v>PV3-94</v>
      </c>
      <c r="C1366" s="153"/>
      <c r="D1366" s="154"/>
      <c r="E1366" s="154">
        <v>1.8</v>
      </c>
      <c r="F1366" s="154">
        <v>1.8</v>
      </c>
      <c r="G1366" s="154"/>
      <c r="H1366" s="154"/>
      <c r="I1366" s="154"/>
      <c r="J1366" s="154">
        <v>0.6</v>
      </c>
      <c r="K1366" s="154"/>
      <c r="L1366" s="154"/>
      <c r="M1366" s="154"/>
      <c r="N1366" s="154">
        <f t="shared" si="34"/>
        <v>2.9572566611769187</v>
      </c>
      <c r="O1366" s="154"/>
      <c r="P1366" s="155"/>
      <c r="Q1366" s="145"/>
    </row>
    <row r="1367" spans="1:17" s="146" customFormat="1" ht="10.5" x14ac:dyDescent="0.25">
      <c r="A1367" s="151"/>
      <c r="B1367" s="152" t="str">
        <f t="shared" si="35"/>
        <v>PV1-95</v>
      </c>
      <c r="C1367" s="153"/>
      <c r="D1367" s="154"/>
      <c r="E1367" s="154">
        <v>1.8</v>
      </c>
      <c r="F1367" s="154">
        <v>1.8</v>
      </c>
      <c r="G1367" s="154"/>
      <c r="H1367" s="154"/>
      <c r="I1367" s="154"/>
      <c r="J1367" s="154">
        <v>0.6</v>
      </c>
      <c r="K1367" s="154"/>
      <c r="L1367" s="154"/>
      <c r="M1367" s="154"/>
      <c r="N1367" s="154">
        <f t="shared" si="34"/>
        <v>2.9572566611769187</v>
      </c>
      <c r="O1367" s="154"/>
      <c r="P1367" s="155"/>
      <c r="Q1367" s="145"/>
    </row>
    <row r="1368" spans="1:17" s="146" customFormat="1" ht="10.5" x14ac:dyDescent="0.25">
      <c r="A1368" s="151"/>
      <c r="B1368" s="152" t="str">
        <f t="shared" si="35"/>
        <v>PV2-95</v>
      </c>
      <c r="C1368" s="153"/>
      <c r="D1368" s="154"/>
      <c r="E1368" s="154">
        <v>1.8</v>
      </c>
      <c r="F1368" s="154">
        <v>1.8</v>
      </c>
      <c r="G1368" s="154"/>
      <c r="H1368" s="154"/>
      <c r="I1368" s="154"/>
      <c r="J1368" s="154">
        <v>0.6</v>
      </c>
      <c r="K1368" s="154"/>
      <c r="L1368" s="154"/>
      <c r="M1368" s="154"/>
      <c r="N1368" s="154">
        <f t="shared" si="34"/>
        <v>2.9572566611769187</v>
      </c>
      <c r="O1368" s="154"/>
      <c r="P1368" s="155"/>
      <c r="Q1368" s="145"/>
    </row>
    <row r="1369" spans="1:17" s="146" customFormat="1" ht="10.5" x14ac:dyDescent="0.25">
      <c r="A1369" s="151"/>
      <c r="B1369" s="152" t="str">
        <f t="shared" si="35"/>
        <v>PV3-95</v>
      </c>
      <c r="C1369" s="153"/>
      <c r="D1369" s="154"/>
      <c r="E1369" s="154">
        <v>1.8</v>
      </c>
      <c r="F1369" s="154">
        <v>1.8</v>
      </c>
      <c r="G1369" s="154"/>
      <c r="H1369" s="154"/>
      <c r="I1369" s="154"/>
      <c r="J1369" s="154">
        <v>0.6</v>
      </c>
      <c r="K1369" s="154"/>
      <c r="L1369" s="154"/>
      <c r="M1369" s="154"/>
      <c r="N1369" s="154">
        <f t="shared" si="34"/>
        <v>2.9572566611769187</v>
      </c>
      <c r="O1369" s="154"/>
      <c r="P1369" s="155"/>
      <c r="Q1369" s="145"/>
    </row>
    <row r="1370" spans="1:17" s="146" customFormat="1" ht="10.5" x14ac:dyDescent="0.25">
      <c r="A1370" s="151"/>
      <c r="B1370" s="152" t="str">
        <f t="shared" si="35"/>
        <v>PV1-96</v>
      </c>
      <c r="C1370" s="153"/>
      <c r="D1370" s="154"/>
      <c r="E1370" s="154">
        <v>1.8</v>
      </c>
      <c r="F1370" s="154">
        <v>1.8</v>
      </c>
      <c r="G1370" s="154"/>
      <c r="H1370" s="154"/>
      <c r="I1370" s="154"/>
      <c r="J1370" s="154">
        <v>0.6</v>
      </c>
      <c r="K1370" s="154"/>
      <c r="L1370" s="154"/>
      <c r="M1370" s="154"/>
      <c r="N1370" s="154">
        <f t="shared" si="34"/>
        <v>2.9572566611769187</v>
      </c>
      <c r="O1370" s="154"/>
      <c r="P1370" s="155"/>
      <c r="Q1370" s="145"/>
    </row>
    <row r="1371" spans="1:17" s="146" customFormat="1" ht="10.5" x14ac:dyDescent="0.25">
      <c r="A1371" s="151"/>
      <c r="B1371" s="152" t="str">
        <f t="shared" si="35"/>
        <v>PV2-96</v>
      </c>
      <c r="C1371" s="153"/>
      <c r="D1371" s="154"/>
      <c r="E1371" s="154">
        <v>1.8</v>
      </c>
      <c r="F1371" s="154">
        <v>1.8</v>
      </c>
      <c r="G1371" s="154"/>
      <c r="H1371" s="154"/>
      <c r="I1371" s="154"/>
      <c r="J1371" s="154">
        <v>0.6</v>
      </c>
      <c r="K1371" s="154"/>
      <c r="L1371" s="154"/>
      <c r="M1371" s="154"/>
      <c r="N1371" s="154">
        <f t="shared" si="34"/>
        <v>2.9572566611769187</v>
      </c>
      <c r="O1371" s="154"/>
      <c r="P1371" s="155"/>
      <c r="Q1371" s="145"/>
    </row>
    <row r="1372" spans="1:17" s="146" customFormat="1" ht="10.5" x14ac:dyDescent="0.25">
      <c r="A1372" s="151"/>
      <c r="B1372" s="152" t="str">
        <f t="shared" si="35"/>
        <v>PV1-97</v>
      </c>
      <c r="C1372" s="153"/>
      <c r="D1372" s="154"/>
      <c r="E1372" s="154">
        <v>1.8</v>
      </c>
      <c r="F1372" s="154">
        <v>1.8</v>
      </c>
      <c r="G1372" s="154"/>
      <c r="H1372" s="154"/>
      <c r="I1372" s="154"/>
      <c r="J1372" s="154">
        <v>0.6</v>
      </c>
      <c r="K1372" s="154"/>
      <c r="L1372" s="154"/>
      <c r="M1372" s="154"/>
      <c r="N1372" s="154">
        <f t="shared" si="34"/>
        <v>2.9572566611769187</v>
      </c>
      <c r="O1372" s="154"/>
      <c r="P1372" s="155"/>
      <c r="Q1372" s="145"/>
    </row>
    <row r="1373" spans="1:17" s="146" customFormat="1" ht="10.5" x14ac:dyDescent="0.25">
      <c r="A1373" s="151"/>
      <c r="B1373" s="152" t="str">
        <f t="shared" si="35"/>
        <v>PV2-97</v>
      </c>
      <c r="C1373" s="153"/>
      <c r="D1373" s="154"/>
      <c r="E1373" s="154">
        <v>1.8</v>
      </c>
      <c r="F1373" s="154">
        <v>1.8</v>
      </c>
      <c r="G1373" s="154"/>
      <c r="H1373" s="154"/>
      <c r="I1373" s="154"/>
      <c r="J1373" s="154">
        <v>0.6</v>
      </c>
      <c r="K1373" s="154"/>
      <c r="L1373" s="154"/>
      <c r="M1373" s="154"/>
      <c r="N1373" s="154">
        <f t="shared" si="34"/>
        <v>2.9572566611769187</v>
      </c>
      <c r="O1373" s="154"/>
      <c r="P1373" s="155"/>
      <c r="Q1373" s="145"/>
    </row>
    <row r="1374" spans="1:17" s="146" customFormat="1" ht="10.5" x14ac:dyDescent="0.25">
      <c r="A1374" s="151"/>
      <c r="B1374" s="152" t="str">
        <f t="shared" si="35"/>
        <v>PV3-97</v>
      </c>
      <c r="C1374" s="153"/>
      <c r="D1374" s="154"/>
      <c r="E1374" s="154">
        <v>1.8</v>
      </c>
      <c r="F1374" s="154">
        <v>1.8</v>
      </c>
      <c r="G1374" s="154"/>
      <c r="H1374" s="154"/>
      <c r="I1374" s="154"/>
      <c r="J1374" s="154">
        <v>0.6</v>
      </c>
      <c r="K1374" s="154"/>
      <c r="L1374" s="154"/>
      <c r="M1374" s="154"/>
      <c r="N1374" s="154">
        <f t="shared" si="34"/>
        <v>2.9572566611769187</v>
      </c>
      <c r="O1374" s="154"/>
      <c r="P1374" s="155"/>
      <c r="Q1374" s="145"/>
    </row>
    <row r="1375" spans="1:17" s="146" customFormat="1" ht="10.5" x14ac:dyDescent="0.25">
      <c r="A1375" s="151"/>
      <c r="B1375" s="152" t="str">
        <f t="shared" si="35"/>
        <v>PV1-98</v>
      </c>
      <c r="C1375" s="153"/>
      <c r="D1375" s="154"/>
      <c r="E1375" s="154">
        <v>1.8</v>
      </c>
      <c r="F1375" s="154">
        <v>1.8</v>
      </c>
      <c r="G1375" s="154"/>
      <c r="H1375" s="154"/>
      <c r="I1375" s="154"/>
      <c r="J1375" s="154">
        <v>0.6</v>
      </c>
      <c r="K1375" s="154"/>
      <c r="L1375" s="154"/>
      <c r="M1375" s="154"/>
      <c r="N1375" s="154">
        <f t="shared" si="34"/>
        <v>2.9572566611769187</v>
      </c>
      <c r="O1375" s="154"/>
      <c r="P1375" s="155"/>
      <c r="Q1375" s="145"/>
    </row>
    <row r="1376" spans="1:17" s="146" customFormat="1" ht="10.5" x14ac:dyDescent="0.25">
      <c r="A1376" s="151"/>
      <c r="B1376" s="152" t="str">
        <f t="shared" si="35"/>
        <v>PV2-98</v>
      </c>
      <c r="C1376" s="153"/>
      <c r="D1376" s="154"/>
      <c r="E1376" s="154">
        <v>1.8</v>
      </c>
      <c r="F1376" s="154">
        <v>1.8</v>
      </c>
      <c r="G1376" s="154"/>
      <c r="H1376" s="154"/>
      <c r="I1376" s="154"/>
      <c r="J1376" s="154">
        <v>0.6</v>
      </c>
      <c r="K1376" s="154"/>
      <c r="L1376" s="154"/>
      <c r="M1376" s="154"/>
      <c r="N1376" s="154">
        <f t="shared" si="34"/>
        <v>2.9572566611769187</v>
      </c>
      <c r="O1376" s="154"/>
      <c r="P1376" s="155"/>
      <c r="Q1376" s="145"/>
    </row>
    <row r="1377" spans="1:17" s="146" customFormat="1" ht="10.5" x14ac:dyDescent="0.25">
      <c r="A1377" s="151"/>
      <c r="B1377" s="152" t="str">
        <f t="shared" si="35"/>
        <v>PV1-99</v>
      </c>
      <c r="C1377" s="153"/>
      <c r="D1377" s="154"/>
      <c r="E1377" s="154">
        <v>1.8</v>
      </c>
      <c r="F1377" s="154">
        <v>1.8</v>
      </c>
      <c r="G1377" s="154"/>
      <c r="H1377" s="154"/>
      <c r="I1377" s="154"/>
      <c r="J1377" s="154">
        <v>0.6</v>
      </c>
      <c r="K1377" s="154"/>
      <c r="L1377" s="154"/>
      <c r="M1377" s="154"/>
      <c r="N1377" s="154">
        <f t="shared" si="34"/>
        <v>2.9572566611769187</v>
      </c>
      <c r="O1377" s="154"/>
      <c r="P1377" s="155"/>
      <c r="Q1377" s="145"/>
    </row>
    <row r="1378" spans="1:17" s="146" customFormat="1" ht="10.5" x14ac:dyDescent="0.25">
      <c r="A1378" s="151"/>
      <c r="B1378" s="152" t="str">
        <f t="shared" si="35"/>
        <v>PV2-99</v>
      </c>
      <c r="C1378" s="153"/>
      <c r="D1378" s="154"/>
      <c r="E1378" s="154">
        <v>1.8</v>
      </c>
      <c r="F1378" s="154">
        <v>1.8</v>
      </c>
      <c r="G1378" s="154"/>
      <c r="H1378" s="154"/>
      <c r="I1378" s="154"/>
      <c r="J1378" s="154">
        <v>0.6</v>
      </c>
      <c r="K1378" s="154"/>
      <c r="L1378" s="154"/>
      <c r="M1378" s="154"/>
      <c r="N1378" s="154">
        <f t="shared" si="34"/>
        <v>2.9572566611769187</v>
      </c>
      <c r="O1378" s="154"/>
      <c r="P1378" s="155"/>
      <c r="Q1378" s="145"/>
    </row>
    <row r="1379" spans="1:17" s="146" customFormat="1" ht="10.5" x14ac:dyDescent="0.25">
      <c r="A1379" s="151"/>
      <c r="B1379" s="152" t="str">
        <f t="shared" si="35"/>
        <v>PV1-100</v>
      </c>
      <c r="C1379" s="153"/>
      <c r="D1379" s="154"/>
      <c r="E1379" s="154">
        <v>1.8</v>
      </c>
      <c r="F1379" s="154">
        <v>1.8</v>
      </c>
      <c r="G1379" s="154"/>
      <c r="H1379" s="154"/>
      <c r="I1379" s="154"/>
      <c r="J1379" s="154">
        <v>0.6</v>
      </c>
      <c r="K1379" s="154"/>
      <c r="L1379" s="154"/>
      <c r="M1379" s="154"/>
      <c r="N1379" s="154">
        <f t="shared" si="34"/>
        <v>2.9572566611769187</v>
      </c>
      <c r="O1379" s="154"/>
      <c r="P1379" s="155"/>
      <c r="Q1379" s="145"/>
    </row>
    <row r="1380" spans="1:17" s="146" customFormat="1" ht="10.5" x14ac:dyDescent="0.25">
      <c r="A1380" s="151"/>
      <c r="B1380" s="152"/>
      <c r="C1380" s="153"/>
      <c r="D1380" s="154"/>
      <c r="E1380" s="154"/>
      <c r="F1380" s="154"/>
      <c r="G1380" s="154"/>
      <c r="H1380" s="154"/>
      <c r="I1380" s="154"/>
      <c r="J1380" s="154"/>
      <c r="K1380" s="154"/>
      <c r="L1380" s="156"/>
      <c r="M1380" s="154"/>
      <c r="N1380" s="154"/>
      <c r="O1380" s="154"/>
      <c r="P1380" s="155"/>
      <c r="Q1380" s="145"/>
    </row>
    <row r="1381" spans="1:17" s="146" customFormat="1" ht="10.5" x14ac:dyDescent="0.25">
      <c r="A1381" s="151"/>
      <c r="B1381" s="157" t="s">
        <v>377</v>
      </c>
      <c r="C1381" s="158" t="s">
        <v>402</v>
      </c>
      <c r="D1381" s="158"/>
      <c r="E1381" s="158"/>
      <c r="F1381" s="158"/>
      <c r="G1381" s="158"/>
      <c r="H1381" s="158"/>
      <c r="I1381" s="158"/>
      <c r="J1381" s="158"/>
      <c r="K1381" s="158"/>
      <c r="L1381" s="158"/>
      <c r="M1381" s="158"/>
      <c r="N1381" s="158">
        <f>SUM(N1339:N1380)</f>
        <v>121.24752310825359</v>
      </c>
      <c r="O1381" s="158"/>
      <c r="P1381" s="159"/>
      <c r="Q1381" s="145"/>
    </row>
    <row r="1382" spans="1:17" s="150" customFormat="1" ht="21" x14ac:dyDescent="0.25">
      <c r="A1382" s="147" t="str">
        <f>ORÇAMENTO!A274</f>
        <v>4.3.8</v>
      </c>
      <c r="B1382" s="148" t="str">
        <f>VLOOKUP(A1382,ORÇAMENTO!$A:$F,4,0)</f>
        <v>IMPRIMAÇÃO COM EMULSÃO ASFÁLTICA (SEM MATERIAL)</v>
      </c>
      <c r="C1382" s="149" t="str">
        <f>VLOOKUP(A1382,ORÇAMENTO!$A:$F,5,0)</f>
        <v>M²</v>
      </c>
      <c r="D1382" s="149">
        <f>SUM(E1427:O1427)</f>
        <v>121.24752310825359</v>
      </c>
      <c r="E1382" s="149" t="s">
        <v>2149</v>
      </c>
      <c r="F1382" s="149" t="s">
        <v>2150</v>
      </c>
      <c r="G1382" s="149" t="s">
        <v>2151</v>
      </c>
      <c r="H1382" s="149" t="s">
        <v>2152</v>
      </c>
      <c r="I1382" s="149" t="s">
        <v>2153</v>
      </c>
      <c r="J1382" s="149" t="s">
        <v>2154</v>
      </c>
      <c r="K1382" s="149" t="s">
        <v>2155</v>
      </c>
      <c r="L1382" s="149" t="s">
        <v>2156</v>
      </c>
      <c r="M1382" s="149" t="s">
        <v>413</v>
      </c>
      <c r="N1382" s="149" t="s">
        <v>2157</v>
      </c>
      <c r="O1382" s="149" t="s">
        <v>2158</v>
      </c>
      <c r="P1382" s="145"/>
      <c r="Q1382" s="145"/>
    </row>
    <row r="1383" spans="1:17" s="146" customFormat="1" ht="10.5" x14ac:dyDescent="0.25">
      <c r="A1383" s="151"/>
      <c r="B1383" s="157"/>
      <c r="C1383" s="153"/>
      <c r="D1383" s="154"/>
      <c r="E1383" s="154"/>
      <c r="F1383" s="154"/>
      <c r="G1383" s="154"/>
      <c r="H1383" s="154"/>
      <c r="I1383" s="154"/>
      <c r="J1383" s="154"/>
      <c r="K1383" s="154"/>
      <c r="L1383" s="154"/>
      <c r="M1383" s="154"/>
      <c r="N1383" s="154"/>
      <c r="O1383" s="154"/>
      <c r="P1383" s="155"/>
      <c r="Q1383" s="145"/>
    </row>
    <row r="1384" spans="1:17" s="146" customFormat="1" ht="10.5" x14ac:dyDescent="0.25">
      <c r="A1384" s="151"/>
      <c r="B1384" s="152" t="str">
        <f>B1338</f>
        <v>ÁREA = ÁREA DEMOLIDA - ÁREA DO PV</v>
      </c>
      <c r="C1384" s="153"/>
      <c r="D1384" s="154"/>
      <c r="E1384" s="154"/>
      <c r="F1384" s="154"/>
      <c r="G1384" s="154"/>
      <c r="H1384" s="154"/>
      <c r="I1384" s="154"/>
      <c r="J1384" s="154"/>
      <c r="K1384" s="154"/>
      <c r="L1384" s="154"/>
      <c r="M1384" s="154"/>
      <c r="N1384" s="154"/>
      <c r="O1384" s="154"/>
      <c r="P1384" s="155"/>
      <c r="Q1384" s="145"/>
    </row>
    <row r="1385" spans="1:17" s="146" customFormat="1" ht="10.5" x14ac:dyDescent="0.25">
      <c r="A1385" s="151"/>
      <c r="B1385" s="152" t="str">
        <f>B1339</f>
        <v>PV1-87</v>
      </c>
      <c r="C1385" s="153"/>
      <c r="D1385" s="154"/>
      <c r="E1385" s="154">
        <v>1.8</v>
      </c>
      <c r="F1385" s="154">
        <v>1.8</v>
      </c>
      <c r="G1385" s="154"/>
      <c r="H1385" s="154"/>
      <c r="I1385" s="154"/>
      <c r="J1385" s="154">
        <v>0.6</v>
      </c>
      <c r="K1385" s="154"/>
      <c r="L1385" s="154"/>
      <c r="M1385" s="154"/>
      <c r="N1385" s="154">
        <f t="shared" ref="N1385:N1425" si="36">(E1385*F1385)-(PI()*(J1385/2)^2)</f>
        <v>2.9572566611769187</v>
      </c>
      <c r="O1385" s="154"/>
      <c r="P1385" s="155"/>
      <c r="Q1385" s="145"/>
    </row>
    <row r="1386" spans="1:17" s="146" customFormat="1" ht="10.5" x14ac:dyDescent="0.25">
      <c r="A1386" s="151"/>
      <c r="B1386" s="152" t="str">
        <f t="shared" ref="B1386:B1425" si="37">B1340</f>
        <v>PV2-87</v>
      </c>
      <c r="C1386" s="153"/>
      <c r="D1386" s="154"/>
      <c r="E1386" s="154">
        <v>1.8</v>
      </c>
      <c r="F1386" s="154">
        <v>1.8</v>
      </c>
      <c r="G1386" s="154"/>
      <c r="H1386" s="154"/>
      <c r="I1386" s="154"/>
      <c r="J1386" s="154">
        <v>0.6</v>
      </c>
      <c r="K1386" s="154"/>
      <c r="L1386" s="154"/>
      <c r="M1386" s="154"/>
      <c r="N1386" s="154">
        <f t="shared" si="36"/>
        <v>2.9572566611769187</v>
      </c>
      <c r="O1386" s="154"/>
      <c r="P1386" s="155"/>
      <c r="Q1386" s="145"/>
    </row>
    <row r="1387" spans="1:17" s="146" customFormat="1" ht="10.5" x14ac:dyDescent="0.25">
      <c r="A1387" s="151"/>
      <c r="B1387" s="152" t="str">
        <f t="shared" si="37"/>
        <v>PV3-87</v>
      </c>
      <c r="C1387" s="153"/>
      <c r="D1387" s="154"/>
      <c r="E1387" s="154">
        <v>1.8</v>
      </c>
      <c r="F1387" s="154">
        <v>1.8</v>
      </c>
      <c r="G1387" s="154"/>
      <c r="H1387" s="154"/>
      <c r="I1387" s="154"/>
      <c r="J1387" s="154">
        <v>0.6</v>
      </c>
      <c r="K1387" s="154"/>
      <c r="L1387" s="154"/>
      <c r="M1387" s="154"/>
      <c r="N1387" s="154">
        <f t="shared" si="36"/>
        <v>2.9572566611769187</v>
      </c>
      <c r="O1387" s="154"/>
      <c r="P1387" s="155"/>
      <c r="Q1387" s="145"/>
    </row>
    <row r="1388" spans="1:17" s="146" customFormat="1" ht="10.5" x14ac:dyDescent="0.25">
      <c r="A1388" s="151"/>
      <c r="B1388" s="152" t="str">
        <f t="shared" si="37"/>
        <v>PV4-87</v>
      </c>
      <c r="C1388" s="153"/>
      <c r="D1388" s="154"/>
      <c r="E1388" s="154">
        <v>1.8</v>
      </c>
      <c r="F1388" s="154">
        <v>1.8</v>
      </c>
      <c r="G1388" s="154"/>
      <c r="H1388" s="154"/>
      <c r="I1388" s="154"/>
      <c r="J1388" s="154">
        <v>0.6</v>
      </c>
      <c r="K1388" s="154"/>
      <c r="L1388" s="154"/>
      <c r="M1388" s="154"/>
      <c r="N1388" s="154">
        <f t="shared" si="36"/>
        <v>2.9572566611769187</v>
      </c>
      <c r="O1388" s="154"/>
      <c r="P1388" s="155"/>
      <c r="Q1388" s="145"/>
    </row>
    <row r="1389" spans="1:17" s="146" customFormat="1" ht="10.5" x14ac:dyDescent="0.25">
      <c r="A1389" s="151"/>
      <c r="B1389" s="152" t="str">
        <f t="shared" si="37"/>
        <v>PV5-87</v>
      </c>
      <c r="C1389" s="153"/>
      <c r="D1389" s="154"/>
      <c r="E1389" s="154">
        <v>1.8</v>
      </c>
      <c r="F1389" s="154">
        <v>1.8</v>
      </c>
      <c r="G1389" s="154"/>
      <c r="H1389" s="154"/>
      <c r="I1389" s="154"/>
      <c r="J1389" s="154">
        <v>0.6</v>
      </c>
      <c r="K1389" s="154"/>
      <c r="L1389" s="154"/>
      <c r="M1389" s="154"/>
      <c r="N1389" s="154">
        <f t="shared" si="36"/>
        <v>2.9572566611769187</v>
      </c>
      <c r="O1389" s="154"/>
      <c r="P1389" s="155"/>
      <c r="Q1389" s="145"/>
    </row>
    <row r="1390" spans="1:17" s="146" customFormat="1" ht="10.5" x14ac:dyDescent="0.25">
      <c r="A1390" s="151"/>
      <c r="B1390" s="152" t="str">
        <f t="shared" si="37"/>
        <v>PV10-87</v>
      </c>
      <c r="C1390" s="153"/>
      <c r="D1390" s="154"/>
      <c r="E1390" s="154">
        <v>1.8</v>
      </c>
      <c r="F1390" s="154">
        <v>1.8</v>
      </c>
      <c r="G1390" s="154"/>
      <c r="H1390" s="154"/>
      <c r="I1390" s="154"/>
      <c r="J1390" s="154">
        <v>0.6</v>
      </c>
      <c r="K1390" s="154"/>
      <c r="L1390" s="154"/>
      <c r="M1390" s="154"/>
      <c r="N1390" s="154">
        <f t="shared" si="36"/>
        <v>2.9572566611769187</v>
      </c>
      <c r="O1390" s="154"/>
      <c r="P1390" s="155"/>
      <c r="Q1390" s="145"/>
    </row>
    <row r="1391" spans="1:17" s="146" customFormat="1" ht="10.5" x14ac:dyDescent="0.25">
      <c r="A1391" s="151"/>
      <c r="B1391" s="152" t="str">
        <f t="shared" si="37"/>
        <v>PV15-87</v>
      </c>
      <c r="C1391" s="153"/>
      <c r="D1391" s="154"/>
      <c r="E1391" s="154">
        <v>1.8</v>
      </c>
      <c r="F1391" s="154">
        <v>1.8</v>
      </c>
      <c r="G1391" s="154"/>
      <c r="H1391" s="154"/>
      <c r="I1391" s="154"/>
      <c r="J1391" s="154">
        <v>0.6</v>
      </c>
      <c r="K1391" s="154"/>
      <c r="L1391" s="154"/>
      <c r="M1391" s="154"/>
      <c r="N1391" s="154">
        <f t="shared" si="36"/>
        <v>2.9572566611769187</v>
      </c>
      <c r="O1391" s="154"/>
      <c r="P1391" s="155"/>
      <c r="Q1391" s="145"/>
    </row>
    <row r="1392" spans="1:17" s="146" customFormat="1" ht="10.5" x14ac:dyDescent="0.25">
      <c r="A1392" s="151"/>
      <c r="B1392" s="152" t="str">
        <f t="shared" si="37"/>
        <v>PV1-88</v>
      </c>
      <c r="C1392" s="153"/>
      <c r="D1392" s="154"/>
      <c r="E1392" s="154">
        <v>1.8</v>
      </c>
      <c r="F1392" s="154">
        <v>1.8</v>
      </c>
      <c r="G1392" s="154"/>
      <c r="H1392" s="154"/>
      <c r="I1392" s="154"/>
      <c r="J1392" s="154">
        <v>0.6</v>
      </c>
      <c r="K1392" s="154"/>
      <c r="L1392" s="154"/>
      <c r="M1392" s="154"/>
      <c r="N1392" s="154">
        <f t="shared" si="36"/>
        <v>2.9572566611769187</v>
      </c>
      <c r="O1392" s="154"/>
      <c r="P1392" s="155"/>
      <c r="Q1392" s="145"/>
    </row>
    <row r="1393" spans="1:17" s="146" customFormat="1" ht="10.5" x14ac:dyDescent="0.25">
      <c r="A1393" s="151"/>
      <c r="B1393" s="152" t="str">
        <f t="shared" si="37"/>
        <v>PV2-88</v>
      </c>
      <c r="C1393" s="153"/>
      <c r="D1393" s="154"/>
      <c r="E1393" s="154">
        <v>1.8</v>
      </c>
      <c r="F1393" s="154">
        <v>1.8</v>
      </c>
      <c r="G1393" s="154"/>
      <c r="H1393" s="154"/>
      <c r="I1393" s="154"/>
      <c r="J1393" s="154">
        <v>0.6</v>
      </c>
      <c r="K1393" s="154"/>
      <c r="L1393" s="154"/>
      <c r="M1393" s="154"/>
      <c r="N1393" s="154">
        <f t="shared" si="36"/>
        <v>2.9572566611769187</v>
      </c>
      <c r="O1393" s="154"/>
      <c r="P1393" s="155"/>
      <c r="Q1393" s="145"/>
    </row>
    <row r="1394" spans="1:17" s="146" customFormat="1" ht="10.5" x14ac:dyDescent="0.25">
      <c r="A1394" s="151"/>
      <c r="B1394" s="152" t="str">
        <f t="shared" si="37"/>
        <v>PV3-88</v>
      </c>
      <c r="C1394" s="153"/>
      <c r="D1394" s="154"/>
      <c r="E1394" s="154">
        <v>1.8</v>
      </c>
      <c r="F1394" s="154">
        <v>1.8</v>
      </c>
      <c r="G1394" s="154"/>
      <c r="H1394" s="154"/>
      <c r="I1394" s="154"/>
      <c r="J1394" s="154">
        <v>0.6</v>
      </c>
      <c r="K1394" s="154"/>
      <c r="L1394" s="154"/>
      <c r="M1394" s="154"/>
      <c r="N1394" s="154">
        <f t="shared" si="36"/>
        <v>2.9572566611769187</v>
      </c>
      <c r="O1394" s="154"/>
      <c r="P1394" s="155"/>
      <c r="Q1394" s="145"/>
    </row>
    <row r="1395" spans="1:17" s="146" customFormat="1" ht="10.5" x14ac:dyDescent="0.25">
      <c r="A1395" s="151"/>
      <c r="B1395" s="152" t="str">
        <f t="shared" si="37"/>
        <v>PV4-88</v>
      </c>
      <c r="C1395" s="153"/>
      <c r="D1395" s="154"/>
      <c r="E1395" s="154">
        <v>1.8</v>
      </c>
      <c r="F1395" s="154">
        <v>1.8</v>
      </c>
      <c r="G1395" s="154"/>
      <c r="H1395" s="154"/>
      <c r="I1395" s="154"/>
      <c r="J1395" s="154">
        <v>0.6</v>
      </c>
      <c r="K1395" s="154"/>
      <c r="L1395" s="154"/>
      <c r="M1395" s="154"/>
      <c r="N1395" s="154">
        <f t="shared" si="36"/>
        <v>2.9572566611769187</v>
      </c>
      <c r="O1395" s="154"/>
      <c r="P1395" s="155"/>
      <c r="Q1395" s="145"/>
    </row>
    <row r="1396" spans="1:17" s="146" customFormat="1" ht="10.5" x14ac:dyDescent="0.25">
      <c r="A1396" s="151"/>
      <c r="B1396" s="152" t="str">
        <f t="shared" si="37"/>
        <v>PV5-88</v>
      </c>
      <c r="C1396" s="153"/>
      <c r="D1396" s="154"/>
      <c r="E1396" s="154">
        <v>1.8</v>
      </c>
      <c r="F1396" s="154">
        <v>1.8</v>
      </c>
      <c r="G1396" s="154"/>
      <c r="H1396" s="154"/>
      <c r="I1396" s="154"/>
      <c r="J1396" s="154">
        <v>0.6</v>
      </c>
      <c r="K1396" s="154"/>
      <c r="L1396" s="154"/>
      <c r="M1396" s="154"/>
      <c r="N1396" s="154">
        <f t="shared" si="36"/>
        <v>2.9572566611769187</v>
      </c>
      <c r="O1396" s="154"/>
      <c r="P1396" s="155"/>
      <c r="Q1396" s="145"/>
    </row>
    <row r="1397" spans="1:17" s="146" customFormat="1" ht="10.5" x14ac:dyDescent="0.25">
      <c r="A1397" s="151"/>
      <c r="B1397" s="152" t="str">
        <f t="shared" si="37"/>
        <v>PV6-88</v>
      </c>
      <c r="C1397" s="153"/>
      <c r="D1397" s="154"/>
      <c r="E1397" s="154">
        <v>1.8</v>
      </c>
      <c r="F1397" s="154">
        <v>1.8</v>
      </c>
      <c r="G1397" s="154"/>
      <c r="H1397" s="154"/>
      <c r="I1397" s="154"/>
      <c r="J1397" s="154">
        <v>0.6</v>
      </c>
      <c r="K1397" s="154"/>
      <c r="L1397" s="154"/>
      <c r="M1397" s="154"/>
      <c r="N1397" s="154">
        <f t="shared" si="36"/>
        <v>2.9572566611769187</v>
      </c>
      <c r="O1397" s="154"/>
      <c r="P1397" s="155"/>
      <c r="Q1397" s="145"/>
    </row>
    <row r="1398" spans="1:17" s="146" customFormat="1" ht="10.5" x14ac:dyDescent="0.25">
      <c r="A1398" s="151"/>
      <c r="B1398" s="152" t="str">
        <f t="shared" si="37"/>
        <v>PV7-88</v>
      </c>
      <c r="C1398" s="153"/>
      <c r="D1398" s="154"/>
      <c r="E1398" s="154">
        <v>1.8</v>
      </c>
      <c r="F1398" s="154">
        <v>1.8</v>
      </c>
      <c r="G1398" s="154"/>
      <c r="H1398" s="154"/>
      <c r="I1398" s="154"/>
      <c r="J1398" s="154">
        <v>0.6</v>
      </c>
      <c r="K1398" s="154"/>
      <c r="L1398" s="154"/>
      <c r="M1398" s="154"/>
      <c r="N1398" s="154">
        <f t="shared" si="36"/>
        <v>2.9572566611769187</v>
      </c>
      <c r="O1398" s="154"/>
      <c r="P1398" s="155"/>
      <c r="Q1398" s="145"/>
    </row>
    <row r="1399" spans="1:17" s="146" customFormat="1" ht="10.5" x14ac:dyDescent="0.25">
      <c r="A1399" s="151"/>
      <c r="B1399" s="152" t="str">
        <f t="shared" si="37"/>
        <v>PV1-90</v>
      </c>
      <c r="C1399" s="153"/>
      <c r="D1399" s="154"/>
      <c r="E1399" s="154">
        <v>1.8</v>
      </c>
      <c r="F1399" s="154">
        <v>1.8</v>
      </c>
      <c r="G1399" s="154"/>
      <c r="H1399" s="154"/>
      <c r="I1399" s="154"/>
      <c r="J1399" s="154">
        <v>0.6</v>
      </c>
      <c r="K1399" s="154"/>
      <c r="L1399" s="154"/>
      <c r="M1399" s="154"/>
      <c r="N1399" s="154">
        <f t="shared" si="36"/>
        <v>2.9572566611769187</v>
      </c>
      <c r="O1399" s="154"/>
      <c r="P1399" s="155"/>
      <c r="Q1399" s="145"/>
    </row>
    <row r="1400" spans="1:17" s="146" customFormat="1" ht="10.5" x14ac:dyDescent="0.25">
      <c r="A1400" s="151"/>
      <c r="B1400" s="152" t="str">
        <f t="shared" si="37"/>
        <v>PV2-90</v>
      </c>
      <c r="C1400" s="153"/>
      <c r="D1400" s="154"/>
      <c r="E1400" s="154">
        <v>1.8</v>
      </c>
      <c r="F1400" s="154">
        <v>1.8</v>
      </c>
      <c r="G1400" s="154"/>
      <c r="H1400" s="154"/>
      <c r="I1400" s="154"/>
      <c r="J1400" s="154">
        <v>0.6</v>
      </c>
      <c r="K1400" s="154"/>
      <c r="L1400" s="154"/>
      <c r="M1400" s="154"/>
      <c r="N1400" s="154">
        <f t="shared" si="36"/>
        <v>2.9572566611769187</v>
      </c>
      <c r="O1400" s="154"/>
      <c r="P1400" s="155"/>
      <c r="Q1400" s="145"/>
    </row>
    <row r="1401" spans="1:17" s="146" customFormat="1" ht="10.5" x14ac:dyDescent="0.25">
      <c r="A1401" s="151"/>
      <c r="B1401" s="152" t="str">
        <f t="shared" si="37"/>
        <v>PV3-90</v>
      </c>
      <c r="C1401" s="153"/>
      <c r="D1401" s="154"/>
      <c r="E1401" s="154">
        <v>1.8</v>
      </c>
      <c r="F1401" s="154">
        <v>1.8</v>
      </c>
      <c r="G1401" s="154"/>
      <c r="H1401" s="154"/>
      <c r="I1401" s="154"/>
      <c r="J1401" s="154">
        <v>0.6</v>
      </c>
      <c r="K1401" s="154"/>
      <c r="L1401" s="154"/>
      <c r="M1401" s="154"/>
      <c r="N1401" s="154">
        <f t="shared" si="36"/>
        <v>2.9572566611769187</v>
      </c>
      <c r="O1401" s="154"/>
      <c r="P1401" s="155"/>
      <c r="Q1401" s="145"/>
    </row>
    <row r="1402" spans="1:17" s="146" customFormat="1" ht="10.5" x14ac:dyDescent="0.25">
      <c r="A1402" s="151"/>
      <c r="B1402" s="152" t="str">
        <f t="shared" si="37"/>
        <v>PV2-91</v>
      </c>
      <c r="C1402" s="153"/>
      <c r="D1402" s="154"/>
      <c r="E1402" s="154">
        <v>1.8</v>
      </c>
      <c r="F1402" s="154">
        <v>1.8</v>
      </c>
      <c r="G1402" s="154"/>
      <c r="H1402" s="154"/>
      <c r="I1402" s="154"/>
      <c r="J1402" s="154">
        <v>0.6</v>
      </c>
      <c r="K1402" s="154"/>
      <c r="L1402" s="154"/>
      <c r="M1402" s="154"/>
      <c r="N1402" s="154">
        <f t="shared" si="36"/>
        <v>2.9572566611769187</v>
      </c>
      <c r="O1402" s="154"/>
      <c r="P1402" s="155"/>
      <c r="Q1402" s="145"/>
    </row>
    <row r="1403" spans="1:17" s="146" customFormat="1" ht="10.5" x14ac:dyDescent="0.25">
      <c r="A1403" s="151"/>
      <c r="B1403" s="152" t="str">
        <f t="shared" si="37"/>
        <v>PV3-91</v>
      </c>
      <c r="C1403" s="153"/>
      <c r="D1403" s="154"/>
      <c r="E1403" s="154">
        <v>1.8</v>
      </c>
      <c r="F1403" s="154">
        <v>1.8</v>
      </c>
      <c r="G1403" s="154"/>
      <c r="H1403" s="154"/>
      <c r="I1403" s="154"/>
      <c r="J1403" s="154">
        <v>0.6</v>
      </c>
      <c r="K1403" s="154"/>
      <c r="L1403" s="154"/>
      <c r="M1403" s="154"/>
      <c r="N1403" s="154">
        <f t="shared" si="36"/>
        <v>2.9572566611769187</v>
      </c>
      <c r="O1403" s="154"/>
      <c r="P1403" s="155"/>
      <c r="Q1403" s="145"/>
    </row>
    <row r="1404" spans="1:17" s="146" customFormat="1" ht="10.5" x14ac:dyDescent="0.25">
      <c r="A1404" s="151"/>
      <c r="B1404" s="152" t="str">
        <f t="shared" si="37"/>
        <v>PV1-92</v>
      </c>
      <c r="C1404" s="153"/>
      <c r="D1404" s="154"/>
      <c r="E1404" s="154">
        <v>1.8</v>
      </c>
      <c r="F1404" s="154">
        <v>1.8</v>
      </c>
      <c r="G1404" s="154"/>
      <c r="H1404" s="154"/>
      <c r="I1404" s="154"/>
      <c r="J1404" s="154">
        <v>0.6</v>
      </c>
      <c r="K1404" s="154"/>
      <c r="L1404" s="154"/>
      <c r="M1404" s="154"/>
      <c r="N1404" s="154">
        <f t="shared" si="36"/>
        <v>2.9572566611769187</v>
      </c>
      <c r="O1404" s="154"/>
      <c r="P1404" s="155"/>
      <c r="Q1404" s="145"/>
    </row>
    <row r="1405" spans="1:17" s="146" customFormat="1" ht="10.5" x14ac:dyDescent="0.25">
      <c r="A1405" s="151"/>
      <c r="B1405" s="152" t="str">
        <f t="shared" si="37"/>
        <v>PV2-92</v>
      </c>
      <c r="C1405" s="153"/>
      <c r="D1405" s="154"/>
      <c r="E1405" s="154">
        <v>1.8</v>
      </c>
      <c r="F1405" s="154">
        <v>1.8</v>
      </c>
      <c r="G1405" s="154"/>
      <c r="H1405" s="154"/>
      <c r="I1405" s="154"/>
      <c r="J1405" s="154">
        <v>0.6</v>
      </c>
      <c r="K1405" s="154"/>
      <c r="L1405" s="154"/>
      <c r="M1405" s="154"/>
      <c r="N1405" s="154">
        <f t="shared" si="36"/>
        <v>2.9572566611769187</v>
      </c>
      <c r="O1405" s="154"/>
      <c r="P1405" s="155"/>
      <c r="Q1405" s="145"/>
    </row>
    <row r="1406" spans="1:17" s="146" customFormat="1" ht="10.5" x14ac:dyDescent="0.25">
      <c r="A1406" s="151"/>
      <c r="B1406" s="152" t="str">
        <f t="shared" si="37"/>
        <v>PV3-92</v>
      </c>
      <c r="C1406" s="153"/>
      <c r="D1406" s="154"/>
      <c r="E1406" s="154">
        <v>1.8</v>
      </c>
      <c r="F1406" s="154">
        <v>1.8</v>
      </c>
      <c r="G1406" s="154"/>
      <c r="H1406" s="154"/>
      <c r="I1406" s="154"/>
      <c r="J1406" s="154">
        <v>0.6</v>
      </c>
      <c r="K1406" s="154"/>
      <c r="L1406" s="154"/>
      <c r="M1406" s="154"/>
      <c r="N1406" s="154">
        <f t="shared" si="36"/>
        <v>2.9572566611769187</v>
      </c>
      <c r="O1406" s="154"/>
      <c r="P1406" s="155"/>
      <c r="Q1406" s="145"/>
    </row>
    <row r="1407" spans="1:17" s="146" customFormat="1" ht="10.5" x14ac:dyDescent="0.25">
      <c r="A1407" s="151"/>
      <c r="B1407" s="152" t="str">
        <f t="shared" si="37"/>
        <v>PV1-93</v>
      </c>
      <c r="C1407" s="153"/>
      <c r="D1407" s="154"/>
      <c r="E1407" s="154">
        <v>1.8</v>
      </c>
      <c r="F1407" s="154">
        <v>1.8</v>
      </c>
      <c r="G1407" s="154"/>
      <c r="H1407" s="154"/>
      <c r="I1407" s="154"/>
      <c r="J1407" s="154">
        <v>0.6</v>
      </c>
      <c r="K1407" s="154"/>
      <c r="L1407" s="154"/>
      <c r="M1407" s="154"/>
      <c r="N1407" s="154">
        <f t="shared" si="36"/>
        <v>2.9572566611769187</v>
      </c>
      <c r="O1407" s="154"/>
      <c r="P1407" s="155"/>
      <c r="Q1407" s="145"/>
    </row>
    <row r="1408" spans="1:17" s="146" customFormat="1" ht="10.5" x14ac:dyDescent="0.25">
      <c r="A1408" s="151"/>
      <c r="B1408" s="152" t="str">
        <f t="shared" si="37"/>
        <v>PV2-93</v>
      </c>
      <c r="C1408" s="153"/>
      <c r="D1408" s="154"/>
      <c r="E1408" s="154">
        <v>1.8</v>
      </c>
      <c r="F1408" s="154">
        <v>1.8</v>
      </c>
      <c r="G1408" s="154"/>
      <c r="H1408" s="154"/>
      <c r="I1408" s="154"/>
      <c r="J1408" s="154">
        <v>0.6</v>
      </c>
      <c r="K1408" s="154"/>
      <c r="L1408" s="154"/>
      <c r="M1408" s="154"/>
      <c r="N1408" s="154">
        <f t="shared" si="36"/>
        <v>2.9572566611769187</v>
      </c>
      <c r="O1408" s="154"/>
      <c r="P1408" s="155"/>
      <c r="Q1408" s="145"/>
    </row>
    <row r="1409" spans="1:17" s="146" customFormat="1" ht="10.5" x14ac:dyDescent="0.25">
      <c r="A1409" s="151"/>
      <c r="B1409" s="152" t="str">
        <f t="shared" si="37"/>
        <v>PV3-93</v>
      </c>
      <c r="C1409" s="153"/>
      <c r="D1409" s="154"/>
      <c r="E1409" s="154">
        <v>1.8</v>
      </c>
      <c r="F1409" s="154">
        <v>1.8</v>
      </c>
      <c r="G1409" s="154"/>
      <c r="H1409" s="154"/>
      <c r="I1409" s="154"/>
      <c r="J1409" s="154">
        <v>0.6</v>
      </c>
      <c r="K1409" s="154"/>
      <c r="L1409" s="154"/>
      <c r="M1409" s="154"/>
      <c r="N1409" s="154">
        <f t="shared" si="36"/>
        <v>2.9572566611769187</v>
      </c>
      <c r="O1409" s="154"/>
      <c r="P1409" s="155"/>
      <c r="Q1409" s="145"/>
    </row>
    <row r="1410" spans="1:17" s="146" customFormat="1" ht="10.5" x14ac:dyDescent="0.25">
      <c r="A1410" s="151"/>
      <c r="B1410" s="152" t="str">
        <f t="shared" si="37"/>
        <v>PV1-94</v>
      </c>
      <c r="C1410" s="153"/>
      <c r="D1410" s="154"/>
      <c r="E1410" s="154">
        <v>1.8</v>
      </c>
      <c r="F1410" s="154">
        <v>1.8</v>
      </c>
      <c r="G1410" s="154"/>
      <c r="H1410" s="154"/>
      <c r="I1410" s="154"/>
      <c r="J1410" s="154">
        <v>0.6</v>
      </c>
      <c r="K1410" s="154"/>
      <c r="L1410" s="154"/>
      <c r="M1410" s="154"/>
      <c r="N1410" s="154">
        <f t="shared" si="36"/>
        <v>2.9572566611769187</v>
      </c>
      <c r="O1410" s="154"/>
      <c r="P1410" s="155"/>
      <c r="Q1410" s="145"/>
    </row>
    <row r="1411" spans="1:17" s="146" customFormat="1" ht="10.5" x14ac:dyDescent="0.25">
      <c r="A1411" s="151"/>
      <c r="B1411" s="152" t="str">
        <f t="shared" si="37"/>
        <v>PV2-94</v>
      </c>
      <c r="C1411" s="153"/>
      <c r="D1411" s="154"/>
      <c r="E1411" s="154">
        <v>1.8</v>
      </c>
      <c r="F1411" s="154">
        <v>1.8</v>
      </c>
      <c r="G1411" s="154"/>
      <c r="H1411" s="154"/>
      <c r="I1411" s="154"/>
      <c r="J1411" s="154">
        <v>0.6</v>
      </c>
      <c r="K1411" s="154"/>
      <c r="L1411" s="154"/>
      <c r="M1411" s="154"/>
      <c r="N1411" s="154">
        <f t="shared" si="36"/>
        <v>2.9572566611769187</v>
      </c>
      <c r="O1411" s="154"/>
      <c r="P1411" s="155"/>
      <c r="Q1411" s="145"/>
    </row>
    <row r="1412" spans="1:17" s="146" customFormat="1" ht="10.5" x14ac:dyDescent="0.25">
      <c r="A1412" s="151"/>
      <c r="B1412" s="152" t="str">
        <f t="shared" si="37"/>
        <v>PV3-94</v>
      </c>
      <c r="C1412" s="153"/>
      <c r="D1412" s="154"/>
      <c r="E1412" s="154">
        <v>1.8</v>
      </c>
      <c r="F1412" s="154">
        <v>1.8</v>
      </c>
      <c r="G1412" s="154"/>
      <c r="H1412" s="154"/>
      <c r="I1412" s="154"/>
      <c r="J1412" s="154">
        <v>0.6</v>
      </c>
      <c r="K1412" s="154"/>
      <c r="L1412" s="154"/>
      <c r="M1412" s="154"/>
      <c r="N1412" s="154">
        <f t="shared" si="36"/>
        <v>2.9572566611769187</v>
      </c>
      <c r="O1412" s="154"/>
      <c r="P1412" s="155"/>
      <c r="Q1412" s="145"/>
    </row>
    <row r="1413" spans="1:17" s="146" customFormat="1" ht="10.5" x14ac:dyDescent="0.25">
      <c r="A1413" s="151"/>
      <c r="B1413" s="152" t="str">
        <f t="shared" si="37"/>
        <v>PV1-95</v>
      </c>
      <c r="C1413" s="153"/>
      <c r="D1413" s="154"/>
      <c r="E1413" s="154">
        <v>1.8</v>
      </c>
      <c r="F1413" s="154">
        <v>1.8</v>
      </c>
      <c r="G1413" s="154"/>
      <c r="H1413" s="154"/>
      <c r="I1413" s="154"/>
      <c r="J1413" s="154">
        <v>0.6</v>
      </c>
      <c r="K1413" s="154"/>
      <c r="L1413" s="154"/>
      <c r="M1413" s="154"/>
      <c r="N1413" s="154">
        <f t="shared" si="36"/>
        <v>2.9572566611769187</v>
      </c>
      <c r="O1413" s="154"/>
      <c r="P1413" s="155"/>
      <c r="Q1413" s="145"/>
    </row>
    <row r="1414" spans="1:17" s="146" customFormat="1" ht="10.5" x14ac:dyDescent="0.25">
      <c r="A1414" s="151"/>
      <c r="B1414" s="152" t="str">
        <f t="shared" si="37"/>
        <v>PV2-95</v>
      </c>
      <c r="C1414" s="153"/>
      <c r="D1414" s="154"/>
      <c r="E1414" s="154">
        <v>1.8</v>
      </c>
      <c r="F1414" s="154">
        <v>1.8</v>
      </c>
      <c r="G1414" s="154"/>
      <c r="H1414" s="154"/>
      <c r="I1414" s="154"/>
      <c r="J1414" s="154">
        <v>0.6</v>
      </c>
      <c r="K1414" s="154"/>
      <c r="L1414" s="154"/>
      <c r="M1414" s="154"/>
      <c r="N1414" s="154">
        <f t="shared" si="36"/>
        <v>2.9572566611769187</v>
      </c>
      <c r="O1414" s="154"/>
      <c r="P1414" s="155"/>
      <c r="Q1414" s="145"/>
    </row>
    <row r="1415" spans="1:17" s="146" customFormat="1" ht="10.5" x14ac:dyDescent="0.25">
      <c r="A1415" s="151"/>
      <c r="B1415" s="152" t="str">
        <f t="shared" si="37"/>
        <v>PV3-95</v>
      </c>
      <c r="C1415" s="153"/>
      <c r="D1415" s="154"/>
      <c r="E1415" s="154">
        <v>1.8</v>
      </c>
      <c r="F1415" s="154">
        <v>1.8</v>
      </c>
      <c r="G1415" s="154"/>
      <c r="H1415" s="154"/>
      <c r="I1415" s="154"/>
      <c r="J1415" s="154">
        <v>0.6</v>
      </c>
      <c r="K1415" s="154"/>
      <c r="L1415" s="154"/>
      <c r="M1415" s="154"/>
      <c r="N1415" s="154">
        <f t="shared" si="36"/>
        <v>2.9572566611769187</v>
      </c>
      <c r="O1415" s="154"/>
      <c r="P1415" s="155"/>
      <c r="Q1415" s="145"/>
    </row>
    <row r="1416" spans="1:17" s="146" customFormat="1" ht="10.5" x14ac:dyDescent="0.25">
      <c r="A1416" s="151"/>
      <c r="B1416" s="152" t="str">
        <f t="shared" si="37"/>
        <v>PV1-96</v>
      </c>
      <c r="C1416" s="153"/>
      <c r="D1416" s="154"/>
      <c r="E1416" s="154">
        <v>1.8</v>
      </c>
      <c r="F1416" s="154">
        <v>1.8</v>
      </c>
      <c r="G1416" s="154"/>
      <c r="H1416" s="154"/>
      <c r="I1416" s="154"/>
      <c r="J1416" s="154">
        <v>0.6</v>
      </c>
      <c r="K1416" s="154"/>
      <c r="L1416" s="154"/>
      <c r="M1416" s="154"/>
      <c r="N1416" s="154">
        <f t="shared" si="36"/>
        <v>2.9572566611769187</v>
      </c>
      <c r="O1416" s="154"/>
      <c r="P1416" s="155"/>
      <c r="Q1416" s="145"/>
    </row>
    <row r="1417" spans="1:17" s="146" customFormat="1" ht="10.5" x14ac:dyDescent="0.25">
      <c r="A1417" s="151"/>
      <c r="B1417" s="152" t="str">
        <f t="shared" si="37"/>
        <v>PV2-96</v>
      </c>
      <c r="C1417" s="153"/>
      <c r="D1417" s="154"/>
      <c r="E1417" s="154">
        <v>1.8</v>
      </c>
      <c r="F1417" s="154">
        <v>1.8</v>
      </c>
      <c r="G1417" s="154"/>
      <c r="H1417" s="154"/>
      <c r="I1417" s="154"/>
      <c r="J1417" s="154">
        <v>0.6</v>
      </c>
      <c r="K1417" s="154"/>
      <c r="L1417" s="154"/>
      <c r="M1417" s="154"/>
      <c r="N1417" s="154">
        <f t="shared" si="36"/>
        <v>2.9572566611769187</v>
      </c>
      <c r="O1417" s="154"/>
      <c r="P1417" s="155"/>
      <c r="Q1417" s="145"/>
    </row>
    <row r="1418" spans="1:17" s="146" customFormat="1" ht="10.5" x14ac:dyDescent="0.25">
      <c r="A1418" s="151"/>
      <c r="B1418" s="152" t="str">
        <f t="shared" si="37"/>
        <v>PV1-97</v>
      </c>
      <c r="C1418" s="153"/>
      <c r="D1418" s="154"/>
      <c r="E1418" s="154">
        <v>1.8</v>
      </c>
      <c r="F1418" s="154">
        <v>1.8</v>
      </c>
      <c r="G1418" s="154"/>
      <c r="H1418" s="154"/>
      <c r="I1418" s="154"/>
      <c r="J1418" s="154">
        <v>0.6</v>
      </c>
      <c r="K1418" s="154"/>
      <c r="L1418" s="154"/>
      <c r="M1418" s="154"/>
      <c r="N1418" s="154">
        <f t="shared" si="36"/>
        <v>2.9572566611769187</v>
      </c>
      <c r="O1418" s="154"/>
      <c r="P1418" s="155"/>
      <c r="Q1418" s="145"/>
    </row>
    <row r="1419" spans="1:17" s="146" customFormat="1" ht="10.5" x14ac:dyDescent="0.25">
      <c r="A1419" s="151"/>
      <c r="B1419" s="152" t="str">
        <f t="shared" si="37"/>
        <v>PV2-97</v>
      </c>
      <c r="C1419" s="153"/>
      <c r="D1419" s="154"/>
      <c r="E1419" s="154">
        <v>1.8</v>
      </c>
      <c r="F1419" s="154">
        <v>1.8</v>
      </c>
      <c r="G1419" s="154"/>
      <c r="H1419" s="154"/>
      <c r="I1419" s="154"/>
      <c r="J1419" s="154">
        <v>0.6</v>
      </c>
      <c r="K1419" s="154"/>
      <c r="L1419" s="154"/>
      <c r="M1419" s="154"/>
      <c r="N1419" s="154">
        <f t="shared" si="36"/>
        <v>2.9572566611769187</v>
      </c>
      <c r="O1419" s="154"/>
      <c r="P1419" s="155"/>
      <c r="Q1419" s="145"/>
    </row>
    <row r="1420" spans="1:17" s="146" customFormat="1" ht="10.5" x14ac:dyDescent="0.25">
      <c r="A1420" s="151"/>
      <c r="B1420" s="152" t="str">
        <f t="shared" si="37"/>
        <v>PV3-97</v>
      </c>
      <c r="C1420" s="153"/>
      <c r="D1420" s="154"/>
      <c r="E1420" s="154">
        <v>1.8</v>
      </c>
      <c r="F1420" s="154">
        <v>1.8</v>
      </c>
      <c r="G1420" s="154"/>
      <c r="H1420" s="154"/>
      <c r="I1420" s="154"/>
      <c r="J1420" s="154">
        <v>0.6</v>
      </c>
      <c r="K1420" s="154"/>
      <c r="L1420" s="154"/>
      <c r="M1420" s="154"/>
      <c r="N1420" s="154">
        <f t="shared" si="36"/>
        <v>2.9572566611769187</v>
      </c>
      <c r="O1420" s="154"/>
      <c r="P1420" s="155"/>
      <c r="Q1420" s="145"/>
    </row>
    <row r="1421" spans="1:17" s="146" customFormat="1" ht="10.5" x14ac:dyDescent="0.25">
      <c r="A1421" s="151"/>
      <c r="B1421" s="152" t="str">
        <f t="shared" si="37"/>
        <v>PV1-98</v>
      </c>
      <c r="C1421" s="153"/>
      <c r="D1421" s="154"/>
      <c r="E1421" s="154">
        <v>1.8</v>
      </c>
      <c r="F1421" s="154">
        <v>1.8</v>
      </c>
      <c r="G1421" s="154"/>
      <c r="H1421" s="154"/>
      <c r="I1421" s="154"/>
      <c r="J1421" s="154">
        <v>0.6</v>
      </c>
      <c r="K1421" s="154"/>
      <c r="L1421" s="154"/>
      <c r="M1421" s="154"/>
      <c r="N1421" s="154">
        <f t="shared" si="36"/>
        <v>2.9572566611769187</v>
      </c>
      <c r="O1421" s="154"/>
      <c r="P1421" s="155"/>
      <c r="Q1421" s="145"/>
    </row>
    <row r="1422" spans="1:17" s="146" customFormat="1" ht="10.5" x14ac:dyDescent="0.25">
      <c r="A1422" s="151"/>
      <c r="B1422" s="152" t="str">
        <f t="shared" si="37"/>
        <v>PV2-98</v>
      </c>
      <c r="C1422" s="153"/>
      <c r="D1422" s="154"/>
      <c r="E1422" s="154">
        <v>1.8</v>
      </c>
      <c r="F1422" s="154">
        <v>1.8</v>
      </c>
      <c r="G1422" s="154"/>
      <c r="H1422" s="154"/>
      <c r="I1422" s="154"/>
      <c r="J1422" s="154">
        <v>0.6</v>
      </c>
      <c r="K1422" s="154"/>
      <c r="L1422" s="154"/>
      <c r="M1422" s="154"/>
      <c r="N1422" s="154">
        <f t="shared" si="36"/>
        <v>2.9572566611769187</v>
      </c>
      <c r="O1422" s="154"/>
      <c r="P1422" s="155"/>
      <c r="Q1422" s="145"/>
    </row>
    <row r="1423" spans="1:17" s="146" customFormat="1" ht="10.5" x14ac:dyDescent="0.25">
      <c r="A1423" s="151"/>
      <c r="B1423" s="152" t="str">
        <f t="shared" si="37"/>
        <v>PV1-99</v>
      </c>
      <c r="C1423" s="153"/>
      <c r="D1423" s="154"/>
      <c r="E1423" s="154">
        <v>1.8</v>
      </c>
      <c r="F1423" s="154">
        <v>1.8</v>
      </c>
      <c r="G1423" s="154"/>
      <c r="H1423" s="154"/>
      <c r="I1423" s="154"/>
      <c r="J1423" s="154">
        <v>0.6</v>
      </c>
      <c r="K1423" s="154"/>
      <c r="L1423" s="154"/>
      <c r="M1423" s="154"/>
      <c r="N1423" s="154">
        <f t="shared" si="36"/>
        <v>2.9572566611769187</v>
      </c>
      <c r="O1423" s="154"/>
      <c r="P1423" s="155"/>
      <c r="Q1423" s="145"/>
    </row>
    <row r="1424" spans="1:17" s="146" customFormat="1" ht="10.5" x14ac:dyDescent="0.25">
      <c r="A1424" s="151"/>
      <c r="B1424" s="152" t="str">
        <f t="shared" si="37"/>
        <v>PV2-99</v>
      </c>
      <c r="C1424" s="153"/>
      <c r="D1424" s="154"/>
      <c r="E1424" s="154">
        <v>1.8</v>
      </c>
      <c r="F1424" s="154">
        <v>1.8</v>
      </c>
      <c r="G1424" s="154"/>
      <c r="H1424" s="154"/>
      <c r="I1424" s="154"/>
      <c r="J1424" s="154">
        <v>0.6</v>
      </c>
      <c r="K1424" s="154"/>
      <c r="L1424" s="154"/>
      <c r="M1424" s="154"/>
      <c r="N1424" s="154">
        <f t="shared" si="36"/>
        <v>2.9572566611769187</v>
      </c>
      <c r="O1424" s="154"/>
      <c r="P1424" s="155"/>
      <c r="Q1424" s="145"/>
    </row>
    <row r="1425" spans="1:17" s="146" customFormat="1" ht="10.5" x14ac:dyDescent="0.25">
      <c r="A1425" s="151"/>
      <c r="B1425" s="152" t="str">
        <f t="shared" si="37"/>
        <v>PV1-100</v>
      </c>
      <c r="C1425" s="153"/>
      <c r="D1425" s="154"/>
      <c r="E1425" s="154">
        <v>1.8</v>
      </c>
      <c r="F1425" s="154">
        <v>1.8</v>
      </c>
      <c r="G1425" s="154"/>
      <c r="H1425" s="154"/>
      <c r="I1425" s="154"/>
      <c r="J1425" s="154">
        <v>0.6</v>
      </c>
      <c r="K1425" s="154"/>
      <c r="L1425" s="154"/>
      <c r="M1425" s="154"/>
      <c r="N1425" s="154">
        <f t="shared" si="36"/>
        <v>2.9572566611769187</v>
      </c>
      <c r="O1425" s="154"/>
      <c r="P1425" s="155"/>
      <c r="Q1425" s="145"/>
    </row>
    <row r="1426" spans="1:17" s="146" customFormat="1" ht="10.5" x14ac:dyDescent="0.25">
      <c r="A1426" s="151"/>
      <c r="B1426" s="152"/>
      <c r="C1426" s="153"/>
      <c r="D1426" s="154"/>
      <c r="E1426" s="154"/>
      <c r="F1426" s="154"/>
      <c r="G1426" s="154"/>
      <c r="H1426" s="154"/>
      <c r="I1426" s="154"/>
      <c r="J1426" s="154"/>
      <c r="K1426" s="154"/>
      <c r="L1426" s="156"/>
      <c r="M1426" s="154"/>
      <c r="N1426" s="154"/>
      <c r="O1426" s="154"/>
      <c r="P1426" s="155"/>
      <c r="Q1426" s="145"/>
    </row>
    <row r="1427" spans="1:17" s="146" customFormat="1" ht="10.5" x14ac:dyDescent="0.25">
      <c r="A1427" s="151"/>
      <c r="B1427" s="157" t="s">
        <v>377</v>
      </c>
      <c r="C1427" s="158" t="s">
        <v>402</v>
      </c>
      <c r="D1427" s="158"/>
      <c r="E1427" s="158"/>
      <c r="F1427" s="158"/>
      <c r="G1427" s="158"/>
      <c r="H1427" s="158"/>
      <c r="I1427" s="158"/>
      <c r="J1427" s="158"/>
      <c r="K1427" s="158"/>
      <c r="L1427" s="158"/>
      <c r="M1427" s="158"/>
      <c r="N1427" s="158">
        <f>SUM(N1385:N1426)</f>
        <v>121.24752310825359</v>
      </c>
      <c r="O1427" s="158"/>
      <c r="P1427" s="159"/>
      <c r="Q1427" s="145"/>
    </row>
    <row r="1428" spans="1:17" s="150" customFormat="1" ht="21" x14ac:dyDescent="0.25">
      <c r="A1428" s="147" t="str">
        <f>ORÇAMENTO!A275</f>
        <v>4.3.9</v>
      </c>
      <c r="B1428" s="148" t="str">
        <f>VLOOKUP(A1428,ORÇAMENTO!$A:$F,4,0)</f>
        <v>BASE OU SUB-BASE DE BRITA GRADUADA COM BRITA COMERCIAL</v>
      </c>
      <c r="C1428" s="149" t="str">
        <f>VLOOKUP(A1428,ORÇAMENTO!$A:$F,5,0)</f>
        <v>M³</v>
      </c>
      <c r="D1428" s="149">
        <f>SUM(E1473:O1473)</f>
        <v>15.377734638119973</v>
      </c>
      <c r="E1428" s="149" t="s">
        <v>2149</v>
      </c>
      <c r="F1428" s="149" t="s">
        <v>2150</v>
      </c>
      <c r="G1428" s="149" t="s">
        <v>2151</v>
      </c>
      <c r="H1428" s="149" t="s">
        <v>2152</v>
      </c>
      <c r="I1428" s="149" t="s">
        <v>2153</v>
      </c>
      <c r="J1428" s="149" t="s">
        <v>2154</v>
      </c>
      <c r="K1428" s="149" t="s">
        <v>2155</v>
      </c>
      <c r="L1428" s="149" t="s">
        <v>2156</v>
      </c>
      <c r="M1428" s="149" t="s">
        <v>413</v>
      </c>
      <c r="N1428" s="149" t="s">
        <v>2157</v>
      </c>
      <c r="O1428" s="149" t="s">
        <v>2158</v>
      </c>
      <c r="P1428" s="145"/>
      <c r="Q1428" s="145"/>
    </row>
    <row r="1429" spans="1:17" s="146" customFormat="1" ht="10.5" x14ac:dyDescent="0.25">
      <c r="A1429" s="151"/>
      <c r="B1429" s="157" t="s">
        <v>2325</v>
      </c>
      <c r="C1429" s="153"/>
      <c r="D1429" s="154"/>
      <c r="E1429" s="154"/>
      <c r="F1429" s="154"/>
      <c r="G1429" s="154">
        <v>0.15</v>
      </c>
      <c r="H1429" s="154"/>
      <c r="I1429" s="154"/>
      <c r="J1429" s="154"/>
      <c r="K1429" s="154"/>
      <c r="L1429" s="154"/>
      <c r="M1429" s="154"/>
      <c r="N1429" s="154"/>
      <c r="O1429" s="154"/>
      <c r="P1429" s="155"/>
      <c r="Q1429" s="145"/>
    </row>
    <row r="1430" spans="1:17" s="146" customFormat="1" ht="10.5" x14ac:dyDescent="0.25">
      <c r="A1430" s="151"/>
      <c r="B1430" s="152" t="s">
        <v>2326</v>
      </c>
      <c r="C1430" s="153"/>
      <c r="D1430" s="154"/>
      <c r="E1430" s="154"/>
      <c r="F1430" s="154"/>
      <c r="G1430" s="154"/>
      <c r="H1430" s="154"/>
      <c r="I1430" s="154"/>
      <c r="J1430" s="154"/>
      <c r="K1430" s="154"/>
      <c r="L1430" s="154"/>
      <c r="M1430" s="154"/>
      <c r="N1430" s="154"/>
      <c r="O1430" s="154"/>
      <c r="P1430" s="155"/>
      <c r="Q1430" s="145"/>
    </row>
    <row r="1431" spans="1:17" s="146" customFormat="1" ht="10.5" x14ac:dyDescent="0.25">
      <c r="A1431" s="151"/>
      <c r="B1431" s="152" t="str">
        <f>B1281</f>
        <v>PV1-87</v>
      </c>
      <c r="C1431" s="153"/>
      <c r="D1431" s="154"/>
      <c r="E1431" s="154">
        <v>1.8</v>
      </c>
      <c r="F1431" s="154">
        <v>1.8</v>
      </c>
      <c r="G1431" s="154">
        <f>IF(G1281&gt;=$G$1429,$G$1429,G1281)</f>
        <v>0.11999999999999991</v>
      </c>
      <c r="H1431" s="154"/>
      <c r="I1431" s="154"/>
      <c r="J1431" s="154">
        <v>0.6</v>
      </c>
      <c r="K1431" s="154"/>
      <c r="L1431" s="154"/>
      <c r="M1431" s="154"/>
      <c r="N1431" s="154">
        <f t="shared" ref="N1431:N1471" si="38">(E1431*F1431)-(PI()*(J1431/2)^2)</f>
        <v>2.9572566611769187</v>
      </c>
      <c r="O1431" s="154">
        <f t="shared" ref="O1431:O1471" si="39">N1431*G1431</f>
        <v>0.35487079934123</v>
      </c>
      <c r="P1431" s="155"/>
      <c r="Q1431" s="145"/>
    </row>
    <row r="1432" spans="1:17" s="146" customFormat="1" ht="10.5" x14ac:dyDescent="0.25">
      <c r="A1432" s="151"/>
      <c r="B1432" s="152" t="str">
        <f t="shared" ref="B1432:B1471" si="40">B1282</f>
        <v>PV2-87</v>
      </c>
      <c r="C1432" s="153"/>
      <c r="D1432" s="154"/>
      <c r="E1432" s="154">
        <v>1.8</v>
      </c>
      <c r="F1432" s="154">
        <v>1.8</v>
      </c>
      <c r="G1432" s="154">
        <f t="shared" ref="G1432:G1471" si="41">IF(G1282&gt;=$G$1429,$G$1429,G1282)</f>
        <v>0.1099999999999999</v>
      </c>
      <c r="H1432" s="154"/>
      <c r="I1432" s="154"/>
      <c r="J1432" s="154">
        <v>0.6</v>
      </c>
      <c r="K1432" s="154"/>
      <c r="L1432" s="154"/>
      <c r="M1432" s="154"/>
      <c r="N1432" s="154">
        <f t="shared" si="38"/>
        <v>2.9572566611769187</v>
      </c>
      <c r="O1432" s="154">
        <f t="shared" si="39"/>
        <v>0.32529823272946079</v>
      </c>
      <c r="P1432" s="155"/>
      <c r="Q1432" s="145"/>
    </row>
    <row r="1433" spans="1:17" s="146" customFormat="1" ht="10.5" x14ac:dyDescent="0.25">
      <c r="A1433" s="151"/>
      <c r="B1433" s="152" t="str">
        <f t="shared" si="40"/>
        <v>PV3-87</v>
      </c>
      <c r="C1433" s="153"/>
      <c r="D1433" s="154"/>
      <c r="E1433" s="154">
        <v>1.8</v>
      </c>
      <c r="F1433" s="154">
        <v>1.8</v>
      </c>
      <c r="G1433" s="154">
        <f t="shared" si="41"/>
        <v>0.11999999999999991</v>
      </c>
      <c r="H1433" s="154"/>
      <c r="I1433" s="154"/>
      <c r="J1433" s="154">
        <v>0.6</v>
      </c>
      <c r="K1433" s="154"/>
      <c r="L1433" s="154"/>
      <c r="M1433" s="154"/>
      <c r="N1433" s="154">
        <f t="shared" si="38"/>
        <v>2.9572566611769187</v>
      </c>
      <c r="O1433" s="154">
        <f t="shared" si="39"/>
        <v>0.35487079934123</v>
      </c>
      <c r="P1433" s="155"/>
      <c r="Q1433" s="145"/>
    </row>
    <row r="1434" spans="1:17" s="146" customFormat="1" ht="10.5" x14ac:dyDescent="0.25">
      <c r="A1434" s="151"/>
      <c r="B1434" s="152" t="str">
        <f t="shared" si="40"/>
        <v>PV4-87</v>
      </c>
      <c r="C1434" s="153"/>
      <c r="D1434" s="154"/>
      <c r="E1434" s="154">
        <v>1.8</v>
      </c>
      <c r="F1434" s="154">
        <v>1.8</v>
      </c>
      <c r="G1434" s="154">
        <f t="shared" si="41"/>
        <v>0.11999999999999991</v>
      </c>
      <c r="H1434" s="154"/>
      <c r="I1434" s="154"/>
      <c r="J1434" s="154">
        <v>0.6</v>
      </c>
      <c r="K1434" s="154"/>
      <c r="L1434" s="154"/>
      <c r="M1434" s="154"/>
      <c r="N1434" s="154">
        <f t="shared" si="38"/>
        <v>2.9572566611769187</v>
      </c>
      <c r="O1434" s="154">
        <f t="shared" si="39"/>
        <v>0.35487079934123</v>
      </c>
      <c r="P1434" s="155"/>
      <c r="Q1434" s="145"/>
    </row>
    <row r="1435" spans="1:17" s="146" customFormat="1" ht="10.5" x14ac:dyDescent="0.25">
      <c r="A1435" s="151"/>
      <c r="B1435" s="152" t="str">
        <f t="shared" si="40"/>
        <v>PV5-87</v>
      </c>
      <c r="C1435" s="153"/>
      <c r="D1435" s="154"/>
      <c r="E1435" s="154">
        <v>1.8</v>
      </c>
      <c r="F1435" s="154">
        <v>1.8</v>
      </c>
      <c r="G1435" s="154">
        <f t="shared" si="41"/>
        <v>0.13999999999999993</v>
      </c>
      <c r="H1435" s="154"/>
      <c r="I1435" s="154"/>
      <c r="J1435" s="154">
        <v>0.6</v>
      </c>
      <c r="K1435" s="154"/>
      <c r="L1435" s="154"/>
      <c r="M1435" s="154"/>
      <c r="N1435" s="154">
        <f t="shared" si="38"/>
        <v>2.9572566611769187</v>
      </c>
      <c r="O1435" s="154">
        <f t="shared" si="39"/>
        <v>0.41401593256476843</v>
      </c>
      <c r="P1435" s="155"/>
      <c r="Q1435" s="145"/>
    </row>
    <row r="1436" spans="1:17" s="146" customFormat="1" ht="10.5" x14ac:dyDescent="0.25">
      <c r="A1436" s="151"/>
      <c r="B1436" s="152" t="str">
        <f t="shared" si="40"/>
        <v>PV10-87</v>
      </c>
      <c r="C1436" s="153"/>
      <c r="D1436" s="154"/>
      <c r="E1436" s="154">
        <v>1.8</v>
      </c>
      <c r="F1436" s="154">
        <v>1.8</v>
      </c>
      <c r="G1436" s="154">
        <f t="shared" si="41"/>
        <v>0.15</v>
      </c>
      <c r="H1436" s="154"/>
      <c r="I1436" s="154"/>
      <c r="J1436" s="154">
        <v>0.6</v>
      </c>
      <c r="K1436" s="154"/>
      <c r="L1436" s="154"/>
      <c r="M1436" s="154"/>
      <c r="N1436" s="154">
        <f t="shared" si="38"/>
        <v>2.9572566611769187</v>
      </c>
      <c r="O1436" s="154">
        <f t="shared" si="39"/>
        <v>0.44358849917653781</v>
      </c>
      <c r="P1436" s="155"/>
      <c r="Q1436" s="145"/>
    </row>
    <row r="1437" spans="1:17" s="146" customFormat="1" ht="10.5" x14ac:dyDescent="0.25">
      <c r="A1437" s="151"/>
      <c r="B1437" s="152" t="str">
        <f t="shared" si="40"/>
        <v>PV15-87</v>
      </c>
      <c r="C1437" s="153"/>
      <c r="D1437" s="154"/>
      <c r="E1437" s="154">
        <v>1.8</v>
      </c>
      <c r="F1437" s="154">
        <v>1.8</v>
      </c>
      <c r="G1437" s="154">
        <f t="shared" si="41"/>
        <v>0.15</v>
      </c>
      <c r="H1437" s="154"/>
      <c r="I1437" s="154"/>
      <c r="J1437" s="154">
        <v>0.6</v>
      </c>
      <c r="K1437" s="154"/>
      <c r="L1437" s="154"/>
      <c r="M1437" s="154"/>
      <c r="N1437" s="154">
        <f t="shared" si="38"/>
        <v>2.9572566611769187</v>
      </c>
      <c r="O1437" s="154">
        <f t="shared" si="39"/>
        <v>0.44358849917653781</v>
      </c>
      <c r="P1437" s="155"/>
      <c r="Q1437" s="145"/>
    </row>
    <row r="1438" spans="1:17" s="146" customFormat="1" ht="10.5" x14ac:dyDescent="0.25">
      <c r="A1438" s="151"/>
      <c r="B1438" s="152" t="str">
        <f t="shared" si="40"/>
        <v>PV1-88</v>
      </c>
      <c r="C1438" s="153"/>
      <c r="D1438" s="154"/>
      <c r="E1438" s="154">
        <v>1.8</v>
      </c>
      <c r="F1438" s="154">
        <v>1.8</v>
      </c>
      <c r="G1438" s="154">
        <f t="shared" si="41"/>
        <v>0.11999999999999991</v>
      </c>
      <c r="H1438" s="154"/>
      <c r="I1438" s="154"/>
      <c r="J1438" s="154">
        <v>0.6</v>
      </c>
      <c r="K1438" s="154"/>
      <c r="L1438" s="154"/>
      <c r="M1438" s="154"/>
      <c r="N1438" s="154">
        <f t="shared" si="38"/>
        <v>2.9572566611769187</v>
      </c>
      <c r="O1438" s="154">
        <f t="shared" si="39"/>
        <v>0.35487079934123</v>
      </c>
      <c r="P1438" s="155"/>
      <c r="Q1438" s="145"/>
    </row>
    <row r="1439" spans="1:17" s="146" customFormat="1" ht="10.5" x14ac:dyDescent="0.25">
      <c r="A1439" s="151"/>
      <c r="B1439" s="152" t="str">
        <f t="shared" si="40"/>
        <v>PV2-88</v>
      </c>
      <c r="C1439" s="153"/>
      <c r="D1439" s="154"/>
      <c r="E1439" s="154">
        <v>1.8</v>
      </c>
      <c r="F1439" s="154">
        <v>1.8</v>
      </c>
      <c r="G1439" s="154">
        <f t="shared" si="41"/>
        <v>0.15</v>
      </c>
      <c r="H1439" s="154"/>
      <c r="I1439" s="154"/>
      <c r="J1439" s="154">
        <v>0.6</v>
      </c>
      <c r="K1439" s="154"/>
      <c r="L1439" s="154"/>
      <c r="M1439" s="154"/>
      <c r="N1439" s="154">
        <f t="shared" si="38"/>
        <v>2.9572566611769187</v>
      </c>
      <c r="O1439" s="154">
        <f t="shared" si="39"/>
        <v>0.44358849917653781</v>
      </c>
      <c r="P1439" s="155"/>
      <c r="Q1439" s="145"/>
    </row>
    <row r="1440" spans="1:17" s="146" customFormat="1" ht="10.5" x14ac:dyDescent="0.25">
      <c r="A1440" s="151"/>
      <c r="B1440" s="152" t="str">
        <f t="shared" si="40"/>
        <v>PV3-88</v>
      </c>
      <c r="C1440" s="153"/>
      <c r="D1440" s="154"/>
      <c r="E1440" s="154">
        <v>1.8</v>
      </c>
      <c r="F1440" s="154">
        <v>1.8</v>
      </c>
      <c r="G1440" s="154">
        <f t="shared" si="41"/>
        <v>0.15</v>
      </c>
      <c r="H1440" s="154"/>
      <c r="I1440" s="154"/>
      <c r="J1440" s="154">
        <v>0.6</v>
      </c>
      <c r="K1440" s="154"/>
      <c r="L1440" s="154"/>
      <c r="M1440" s="154"/>
      <c r="N1440" s="154">
        <f t="shared" si="38"/>
        <v>2.9572566611769187</v>
      </c>
      <c r="O1440" s="154">
        <f t="shared" si="39"/>
        <v>0.44358849917653781</v>
      </c>
      <c r="P1440" s="155"/>
      <c r="Q1440" s="145"/>
    </row>
    <row r="1441" spans="1:17" s="146" customFormat="1" ht="10.5" x14ac:dyDescent="0.25">
      <c r="A1441" s="151"/>
      <c r="B1441" s="152" t="str">
        <f t="shared" si="40"/>
        <v>PV4-88</v>
      </c>
      <c r="C1441" s="153"/>
      <c r="D1441" s="154"/>
      <c r="E1441" s="154">
        <v>1.8</v>
      </c>
      <c r="F1441" s="154">
        <v>1.8</v>
      </c>
      <c r="G1441" s="154">
        <f t="shared" si="41"/>
        <v>0.15</v>
      </c>
      <c r="H1441" s="154"/>
      <c r="I1441" s="154"/>
      <c r="J1441" s="154">
        <v>0.6</v>
      </c>
      <c r="K1441" s="154"/>
      <c r="L1441" s="154"/>
      <c r="M1441" s="154"/>
      <c r="N1441" s="154">
        <f t="shared" si="38"/>
        <v>2.9572566611769187</v>
      </c>
      <c r="O1441" s="154">
        <f t="shared" si="39"/>
        <v>0.44358849917653781</v>
      </c>
      <c r="P1441" s="155"/>
      <c r="Q1441" s="145"/>
    </row>
    <row r="1442" spans="1:17" s="146" customFormat="1" ht="10.5" x14ac:dyDescent="0.25">
      <c r="A1442" s="151"/>
      <c r="B1442" s="152" t="str">
        <f t="shared" si="40"/>
        <v>PV5-88</v>
      </c>
      <c r="C1442" s="153"/>
      <c r="D1442" s="154"/>
      <c r="E1442" s="154">
        <v>1.8</v>
      </c>
      <c r="F1442" s="154">
        <v>1.8</v>
      </c>
      <c r="G1442" s="154">
        <f t="shared" si="41"/>
        <v>0.15</v>
      </c>
      <c r="H1442" s="154"/>
      <c r="I1442" s="154"/>
      <c r="J1442" s="154">
        <v>0.6</v>
      </c>
      <c r="K1442" s="154"/>
      <c r="L1442" s="154"/>
      <c r="M1442" s="154"/>
      <c r="N1442" s="154">
        <f t="shared" si="38"/>
        <v>2.9572566611769187</v>
      </c>
      <c r="O1442" s="154">
        <f t="shared" si="39"/>
        <v>0.44358849917653781</v>
      </c>
      <c r="P1442" s="155"/>
      <c r="Q1442" s="145"/>
    </row>
    <row r="1443" spans="1:17" s="146" customFormat="1" ht="10.5" x14ac:dyDescent="0.25">
      <c r="A1443" s="151"/>
      <c r="B1443" s="152" t="str">
        <f t="shared" si="40"/>
        <v>PV6-88</v>
      </c>
      <c r="C1443" s="153"/>
      <c r="D1443" s="154"/>
      <c r="E1443" s="154">
        <v>1.8</v>
      </c>
      <c r="F1443" s="154">
        <v>1.8</v>
      </c>
      <c r="G1443" s="154">
        <f t="shared" si="41"/>
        <v>0.15</v>
      </c>
      <c r="H1443" s="154"/>
      <c r="I1443" s="154"/>
      <c r="J1443" s="154">
        <v>0.6</v>
      </c>
      <c r="K1443" s="154"/>
      <c r="L1443" s="154"/>
      <c r="M1443" s="154"/>
      <c r="N1443" s="154">
        <f t="shared" si="38"/>
        <v>2.9572566611769187</v>
      </c>
      <c r="O1443" s="154">
        <f t="shared" si="39"/>
        <v>0.44358849917653781</v>
      </c>
      <c r="P1443" s="155"/>
      <c r="Q1443" s="145"/>
    </row>
    <row r="1444" spans="1:17" s="146" customFormat="1" ht="10.5" x14ac:dyDescent="0.25">
      <c r="A1444" s="151"/>
      <c r="B1444" s="152" t="str">
        <f t="shared" si="40"/>
        <v>PV7-88</v>
      </c>
      <c r="C1444" s="153"/>
      <c r="D1444" s="154"/>
      <c r="E1444" s="154">
        <v>1.8</v>
      </c>
      <c r="F1444" s="154">
        <v>1.8</v>
      </c>
      <c r="G1444" s="154">
        <f t="shared" si="41"/>
        <v>0.15</v>
      </c>
      <c r="H1444" s="154"/>
      <c r="I1444" s="154"/>
      <c r="J1444" s="154">
        <v>0.6</v>
      </c>
      <c r="K1444" s="154"/>
      <c r="L1444" s="154"/>
      <c r="M1444" s="154"/>
      <c r="N1444" s="154">
        <f t="shared" si="38"/>
        <v>2.9572566611769187</v>
      </c>
      <c r="O1444" s="154">
        <f t="shared" si="39"/>
        <v>0.44358849917653781</v>
      </c>
      <c r="P1444" s="155"/>
      <c r="Q1444" s="145"/>
    </row>
    <row r="1445" spans="1:17" s="146" customFormat="1" ht="10.5" x14ac:dyDescent="0.25">
      <c r="A1445" s="151"/>
      <c r="B1445" s="152" t="str">
        <f t="shared" si="40"/>
        <v>PV1-90</v>
      </c>
      <c r="C1445" s="153"/>
      <c r="D1445" s="154"/>
      <c r="E1445" s="154">
        <v>1.8</v>
      </c>
      <c r="F1445" s="154">
        <v>1.8</v>
      </c>
      <c r="G1445" s="154">
        <f t="shared" si="41"/>
        <v>0.11999999999999991</v>
      </c>
      <c r="H1445" s="154"/>
      <c r="I1445" s="154"/>
      <c r="J1445" s="154">
        <v>0.6</v>
      </c>
      <c r="K1445" s="154"/>
      <c r="L1445" s="154"/>
      <c r="M1445" s="154"/>
      <c r="N1445" s="154">
        <f t="shared" si="38"/>
        <v>2.9572566611769187</v>
      </c>
      <c r="O1445" s="154">
        <f t="shared" si="39"/>
        <v>0.35487079934123</v>
      </c>
      <c r="P1445" s="155"/>
      <c r="Q1445" s="145"/>
    </row>
    <row r="1446" spans="1:17" s="146" customFormat="1" ht="10.5" x14ac:dyDescent="0.25">
      <c r="A1446" s="151"/>
      <c r="B1446" s="152" t="str">
        <f t="shared" si="40"/>
        <v>PV2-90</v>
      </c>
      <c r="C1446" s="153"/>
      <c r="D1446" s="154"/>
      <c r="E1446" s="154">
        <v>1.8</v>
      </c>
      <c r="F1446" s="154">
        <v>1.8</v>
      </c>
      <c r="G1446" s="154">
        <f t="shared" si="41"/>
        <v>0.11999999999999991</v>
      </c>
      <c r="H1446" s="154"/>
      <c r="I1446" s="154"/>
      <c r="J1446" s="154">
        <v>0.6</v>
      </c>
      <c r="K1446" s="154"/>
      <c r="L1446" s="154"/>
      <c r="M1446" s="154"/>
      <c r="N1446" s="154">
        <f t="shared" si="38"/>
        <v>2.9572566611769187</v>
      </c>
      <c r="O1446" s="154">
        <f t="shared" si="39"/>
        <v>0.35487079934123</v>
      </c>
      <c r="P1446" s="155"/>
      <c r="Q1446" s="145"/>
    </row>
    <row r="1447" spans="1:17" s="146" customFormat="1" ht="10.5" x14ac:dyDescent="0.25">
      <c r="A1447" s="151"/>
      <c r="B1447" s="152" t="str">
        <f t="shared" si="40"/>
        <v>PV3-90</v>
      </c>
      <c r="C1447" s="153"/>
      <c r="D1447" s="154"/>
      <c r="E1447" s="154">
        <v>1.8</v>
      </c>
      <c r="F1447" s="154">
        <v>1.8</v>
      </c>
      <c r="G1447" s="154">
        <f t="shared" si="41"/>
        <v>0.15</v>
      </c>
      <c r="H1447" s="154"/>
      <c r="I1447" s="154"/>
      <c r="J1447" s="154">
        <v>0.6</v>
      </c>
      <c r="K1447" s="154"/>
      <c r="L1447" s="154"/>
      <c r="M1447" s="154"/>
      <c r="N1447" s="154">
        <f t="shared" si="38"/>
        <v>2.9572566611769187</v>
      </c>
      <c r="O1447" s="154">
        <f t="shared" si="39"/>
        <v>0.44358849917653781</v>
      </c>
      <c r="P1447" s="155"/>
      <c r="Q1447" s="145"/>
    </row>
    <row r="1448" spans="1:17" s="146" customFormat="1" ht="10.5" x14ac:dyDescent="0.25">
      <c r="A1448" s="151"/>
      <c r="B1448" s="152" t="str">
        <f t="shared" si="40"/>
        <v>PV2-91</v>
      </c>
      <c r="C1448" s="153"/>
      <c r="D1448" s="154"/>
      <c r="E1448" s="154">
        <v>1.8</v>
      </c>
      <c r="F1448" s="154">
        <v>1.8</v>
      </c>
      <c r="G1448" s="154">
        <f t="shared" si="41"/>
        <v>0.15</v>
      </c>
      <c r="H1448" s="154"/>
      <c r="I1448" s="154"/>
      <c r="J1448" s="154">
        <v>0.6</v>
      </c>
      <c r="K1448" s="154"/>
      <c r="L1448" s="154"/>
      <c r="M1448" s="154"/>
      <c r="N1448" s="154">
        <f t="shared" si="38"/>
        <v>2.9572566611769187</v>
      </c>
      <c r="O1448" s="154">
        <f t="shared" si="39"/>
        <v>0.44358849917653781</v>
      </c>
      <c r="P1448" s="155"/>
      <c r="Q1448" s="145"/>
    </row>
    <row r="1449" spans="1:17" s="146" customFormat="1" ht="10.5" x14ac:dyDescent="0.25">
      <c r="A1449" s="151"/>
      <c r="B1449" s="152" t="str">
        <f t="shared" si="40"/>
        <v>PV3-91</v>
      </c>
      <c r="C1449" s="153"/>
      <c r="D1449" s="154"/>
      <c r="E1449" s="154">
        <v>1.8</v>
      </c>
      <c r="F1449" s="154">
        <v>1.8</v>
      </c>
      <c r="G1449" s="154">
        <f t="shared" si="41"/>
        <v>0</v>
      </c>
      <c r="H1449" s="154"/>
      <c r="I1449" s="154"/>
      <c r="J1449" s="154">
        <v>0.6</v>
      </c>
      <c r="K1449" s="154"/>
      <c r="L1449" s="154"/>
      <c r="M1449" s="154"/>
      <c r="N1449" s="154">
        <f t="shared" si="38"/>
        <v>2.9572566611769187</v>
      </c>
      <c r="O1449" s="154">
        <f t="shared" si="39"/>
        <v>0</v>
      </c>
      <c r="P1449" s="155"/>
      <c r="Q1449" s="145"/>
    </row>
    <row r="1450" spans="1:17" s="146" customFormat="1" ht="10.5" x14ac:dyDescent="0.25">
      <c r="A1450" s="151"/>
      <c r="B1450" s="152" t="str">
        <f t="shared" si="40"/>
        <v>PV1-92</v>
      </c>
      <c r="C1450" s="153"/>
      <c r="D1450" s="154"/>
      <c r="E1450" s="154">
        <v>1.8</v>
      </c>
      <c r="F1450" s="154">
        <v>1.8</v>
      </c>
      <c r="G1450" s="154">
        <f t="shared" si="41"/>
        <v>0.15</v>
      </c>
      <c r="H1450" s="154"/>
      <c r="I1450" s="154"/>
      <c r="J1450" s="154">
        <v>0.6</v>
      </c>
      <c r="K1450" s="154"/>
      <c r="L1450" s="154"/>
      <c r="M1450" s="154"/>
      <c r="N1450" s="154">
        <f t="shared" si="38"/>
        <v>2.9572566611769187</v>
      </c>
      <c r="O1450" s="154">
        <f t="shared" si="39"/>
        <v>0.44358849917653781</v>
      </c>
      <c r="P1450" s="155"/>
      <c r="Q1450" s="145"/>
    </row>
    <row r="1451" spans="1:17" s="146" customFormat="1" ht="10.5" x14ac:dyDescent="0.25">
      <c r="A1451" s="151"/>
      <c r="B1451" s="152" t="str">
        <f t="shared" si="40"/>
        <v>PV2-92</v>
      </c>
      <c r="C1451" s="153"/>
      <c r="D1451" s="154"/>
      <c r="E1451" s="154">
        <v>1.8</v>
      </c>
      <c r="F1451" s="154">
        <v>1.8</v>
      </c>
      <c r="G1451" s="154">
        <f t="shared" si="41"/>
        <v>0.15</v>
      </c>
      <c r="H1451" s="154"/>
      <c r="I1451" s="154"/>
      <c r="J1451" s="154">
        <v>0.6</v>
      </c>
      <c r="K1451" s="154"/>
      <c r="L1451" s="154"/>
      <c r="M1451" s="154"/>
      <c r="N1451" s="154">
        <f t="shared" si="38"/>
        <v>2.9572566611769187</v>
      </c>
      <c r="O1451" s="154">
        <f t="shared" si="39"/>
        <v>0.44358849917653781</v>
      </c>
      <c r="P1451" s="155"/>
      <c r="Q1451" s="145"/>
    </row>
    <row r="1452" spans="1:17" s="146" customFormat="1" ht="10.5" x14ac:dyDescent="0.25">
      <c r="A1452" s="151"/>
      <c r="B1452" s="152" t="str">
        <f t="shared" si="40"/>
        <v>PV3-92</v>
      </c>
      <c r="C1452" s="153"/>
      <c r="D1452" s="154"/>
      <c r="E1452" s="154">
        <v>1.8</v>
      </c>
      <c r="F1452" s="154">
        <v>1.8</v>
      </c>
      <c r="G1452" s="154">
        <f t="shared" si="41"/>
        <v>0.15</v>
      </c>
      <c r="H1452" s="154"/>
      <c r="I1452" s="154"/>
      <c r="J1452" s="154">
        <v>0.6</v>
      </c>
      <c r="K1452" s="154"/>
      <c r="L1452" s="154"/>
      <c r="M1452" s="154"/>
      <c r="N1452" s="154">
        <f t="shared" si="38"/>
        <v>2.9572566611769187</v>
      </c>
      <c r="O1452" s="154">
        <f t="shared" si="39"/>
        <v>0.44358849917653781</v>
      </c>
      <c r="P1452" s="155"/>
      <c r="Q1452" s="145"/>
    </row>
    <row r="1453" spans="1:17" s="146" customFormat="1" ht="10.5" x14ac:dyDescent="0.25">
      <c r="A1453" s="151"/>
      <c r="B1453" s="152" t="str">
        <f t="shared" si="40"/>
        <v>PV1-93</v>
      </c>
      <c r="C1453" s="153"/>
      <c r="D1453" s="154"/>
      <c r="E1453" s="154">
        <v>1.8</v>
      </c>
      <c r="F1453" s="154">
        <v>1.8</v>
      </c>
      <c r="G1453" s="154">
        <f t="shared" si="41"/>
        <v>0.11999999999999991</v>
      </c>
      <c r="H1453" s="154"/>
      <c r="I1453" s="154"/>
      <c r="J1453" s="154">
        <v>0.6</v>
      </c>
      <c r="K1453" s="154"/>
      <c r="L1453" s="154"/>
      <c r="M1453" s="154"/>
      <c r="N1453" s="154">
        <f t="shared" si="38"/>
        <v>2.9572566611769187</v>
      </c>
      <c r="O1453" s="154">
        <f t="shared" si="39"/>
        <v>0.35487079934123</v>
      </c>
      <c r="P1453" s="155"/>
      <c r="Q1453" s="145"/>
    </row>
    <row r="1454" spans="1:17" s="146" customFormat="1" ht="10.5" x14ac:dyDescent="0.25">
      <c r="A1454" s="151"/>
      <c r="B1454" s="152" t="str">
        <f t="shared" si="40"/>
        <v>PV2-93</v>
      </c>
      <c r="C1454" s="153"/>
      <c r="D1454" s="154"/>
      <c r="E1454" s="154">
        <v>1.8</v>
      </c>
      <c r="F1454" s="154">
        <v>1.8</v>
      </c>
      <c r="G1454" s="154">
        <f t="shared" si="41"/>
        <v>0.11999999999999991</v>
      </c>
      <c r="H1454" s="154"/>
      <c r="I1454" s="154"/>
      <c r="J1454" s="154">
        <v>0.6</v>
      </c>
      <c r="K1454" s="154"/>
      <c r="L1454" s="154"/>
      <c r="M1454" s="154"/>
      <c r="N1454" s="154">
        <f t="shared" si="38"/>
        <v>2.9572566611769187</v>
      </c>
      <c r="O1454" s="154">
        <f t="shared" si="39"/>
        <v>0.35487079934123</v>
      </c>
      <c r="P1454" s="155"/>
      <c r="Q1454" s="145"/>
    </row>
    <row r="1455" spans="1:17" s="146" customFormat="1" ht="10.5" x14ac:dyDescent="0.25">
      <c r="A1455" s="151"/>
      <c r="B1455" s="152" t="str">
        <f t="shared" si="40"/>
        <v>PV3-93</v>
      </c>
      <c r="C1455" s="153"/>
      <c r="D1455" s="154"/>
      <c r="E1455" s="154">
        <v>1.8</v>
      </c>
      <c r="F1455" s="154">
        <v>1.8</v>
      </c>
      <c r="G1455" s="154">
        <f t="shared" si="41"/>
        <v>0.15</v>
      </c>
      <c r="H1455" s="154"/>
      <c r="I1455" s="154"/>
      <c r="J1455" s="154">
        <v>0.6</v>
      </c>
      <c r="K1455" s="154"/>
      <c r="L1455" s="154"/>
      <c r="M1455" s="154"/>
      <c r="N1455" s="154">
        <f t="shared" si="38"/>
        <v>2.9572566611769187</v>
      </c>
      <c r="O1455" s="154">
        <f t="shared" si="39"/>
        <v>0.44358849917653781</v>
      </c>
      <c r="P1455" s="155"/>
      <c r="Q1455" s="145"/>
    </row>
    <row r="1456" spans="1:17" s="146" customFormat="1" ht="10.5" x14ac:dyDescent="0.25">
      <c r="A1456" s="151"/>
      <c r="B1456" s="152" t="str">
        <f t="shared" si="40"/>
        <v>PV1-94</v>
      </c>
      <c r="C1456" s="153"/>
      <c r="D1456" s="154"/>
      <c r="E1456" s="154">
        <v>1.8</v>
      </c>
      <c r="F1456" s="154">
        <v>1.8</v>
      </c>
      <c r="G1456" s="154">
        <f t="shared" si="41"/>
        <v>0.11999999999999991</v>
      </c>
      <c r="H1456" s="154"/>
      <c r="I1456" s="154"/>
      <c r="J1456" s="154">
        <v>0.6</v>
      </c>
      <c r="K1456" s="154"/>
      <c r="L1456" s="154"/>
      <c r="M1456" s="154"/>
      <c r="N1456" s="154">
        <f t="shared" si="38"/>
        <v>2.9572566611769187</v>
      </c>
      <c r="O1456" s="154">
        <f t="shared" si="39"/>
        <v>0.35487079934123</v>
      </c>
      <c r="P1456" s="155"/>
      <c r="Q1456" s="145"/>
    </row>
    <row r="1457" spans="1:17" s="146" customFormat="1" ht="10.5" x14ac:dyDescent="0.25">
      <c r="A1457" s="151"/>
      <c r="B1457" s="152" t="str">
        <f t="shared" si="40"/>
        <v>PV2-94</v>
      </c>
      <c r="C1457" s="153"/>
      <c r="D1457" s="154"/>
      <c r="E1457" s="154">
        <v>1.8</v>
      </c>
      <c r="F1457" s="154">
        <v>1.8</v>
      </c>
      <c r="G1457" s="154">
        <f t="shared" si="41"/>
        <v>2.9999999999999832E-2</v>
      </c>
      <c r="H1457" s="154"/>
      <c r="I1457" s="154"/>
      <c r="J1457" s="154">
        <v>0.6</v>
      </c>
      <c r="K1457" s="154"/>
      <c r="L1457" s="154"/>
      <c r="M1457" s="154"/>
      <c r="N1457" s="154">
        <f t="shared" si="38"/>
        <v>2.9572566611769187</v>
      </c>
      <c r="O1457" s="154">
        <f t="shared" si="39"/>
        <v>8.8717699835307071E-2</v>
      </c>
      <c r="P1457" s="155"/>
      <c r="Q1457" s="145"/>
    </row>
    <row r="1458" spans="1:17" s="146" customFormat="1" ht="10.5" x14ac:dyDescent="0.25">
      <c r="A1458" s="151"/>
      <c r="B1458" s="152" t="str">
        <f t="shared" si="40"/>
        <v>PV3-94</v>
      </c>
      <c r="C1458" s="153"/>
      <c r="D1458" s="154"/>
      <c r="E1458" s="154">
        <v>1.8</v>
      </c>
      <c r="F1458" s="154">
        <v>1.8</v>
      </c>
      <c r="G1458" s="154">
        <f t="shared" si="41"/>
        <v>0.15</v>
      </c>
      <c r="H1458" s="154"/>
      <c r="I1458" s="154"/>
      <c r="J1458" s="154">
        <v>0.6</v>
      </c>
      <c r="K1458" s="154"/>
      <c r="L1458" s="154"/>
      <c r="M1458" s="154"/>
      <c r="N1458" s="154">
        <f t="shared" si="38"/>
        <v>2.9572566611769187</v>
      </c>
      <c r="O1458" s="154">
        <f t="shared" si="39"/>
        <v>0.44358849917653781</v>
      </c>
      <c r="P1458" s="155"/>
      <c r="Q1458" s="145"/>
    </row>
    <row r="1459" spans="1:17" s="146" customFormat="1" ht="10.5" x14ac:dyDescent="0.25">
      <c r="A1459" s="151"/>
      <c r="B1459" s="152" t="str">
        <f t="shared" si="40"/>
        <v>PV1-95</v>
      </c>
      <c r="C1459" s="153"/>
      <c r="D1459" s="154"/>
      <c r="E1459" s="154">
        <v>1.8</v>
      </c>
      <c r="F1459" s="154">
        <v>1.8</v>
      </c>
      <c r="G1459" s="154">
        <f t="shared" si="41"/>
        <v>0.11999999999999991</v>
      </c>
      <c r="H1459" s="154"/>
      <c r="I1459" s="154"/>
      <c r="J1459" s="154">
        <v>0.6</v>
      </c>
      <c r="K1459" s="154"/>
      <c r="L1459" s="154"/>
      <c r="M1459" s="154"/>
      <c r="N1459" s="154">
        <f t="shared" si="38"/>
        <v>2.9572566611769187</v>
      </c>
      <c r="O1459" s="154">
        <f t="shared" si="39"/>
        <v>0.35487079934123</v>
      </c>
      <c r="P1459" s="155"/>
      <c r="Q1459" s="145"/>
    </row>
    <row r="1460" spans="1:17" s="146" customFormat="1" ht="10.5" x14ac:dyDescent="0.25">
      <c r="A1460" s="151"/>
      <c r="B1460" s="152" t="str">
        <f t="shared" si="40"/>
        <v>PV2-95</v>
      </c>
      <c r="C1460" s="153"/>
      <c r="D1460" s="154"/>
      <c r="E1460" s="154">
        <v>1.8</v>
      </c>
      <c r="F1460" s="154">
        <v>1.8</v>
      </c>
      <c r="G1460" s="154">
        <f t="shared" si="41"/>
        <v>0</v>
      </c>
      <c r="H1460" s="154"/>
      <c r="I1460" s="154"/>
      <c r="J1460" s="154">
        <v>0.6</v>
      </c>
      <c r="K1460" s="154"/>
      <c r="L1460" s="154"/>
      <c r="M1460" s="154"/>
      <c r="N1460" s="154">
        <f t="shared" si="38"/>
        <v>2.9572566611769187</v>
      </c>
      <c r="O1460" s="154">
        <f t="shared" si="39"/>
        <v>0</v>
      </c>
      <c r="P1460" s="155"/>
      <c r="Q1460" s="145"/>
    </row>
    <row r="1461" spans="1:17" s="146" customFormat="1" ht="10.5" x14ac:dyDescent="0.25">
      <c r="A1461" s="151"/>
      <c r="B1461" s="152" t="str">
        <f t="shared" si="40"/>
        <v>PV3-95</v>
      </c>
      <c r="C1461" s="153"/>
      <c r="D1461" s="154"/>
      <c r="E1461" s="154">
        <v>1.8</v>
      </c>
      <c r="F1461" s="154">
        <v>1.8</v>
      </c>
      <c r="G1461" s="154">
        <f t="shared" si="41"/>
        <v>0.15</v>
      </c>
      <c r="H1461" s="154"/>
      <c r="I1461" s="154"/>
      <c r="J1461" s="154">
        <v>0.6</v>
      </c>
      <c r="K1461" s="154"/>
      <c r="L1461" s="154"/>
      <c r="M1461" s="154"/>
      <c r="N1461" s="154">
        <f t="shared" si="38"/>
        <v>2.9572566611769187</v>
      </c>
      <c r="O1461" s="154">
        <f t="shared" si="39"/>
        <v>0.44358849917653781</v>
      </c>
      <c r="P1461" s="155"/>
      <c r="Q1461" s="145"/>
    </row>
    <row r="1462" spans="1:17" s="146" customFormat="1" ht="10.5" x14ac:dyDescent="0.25">
      <c r="A1462" s="151"/>
      <c r="B1462" s="152" t="str">
        <f t="shared" si="40"/>
        <v>PV1-96</v>
      </c>
      <c r="C1462" s="153"/>
      <c r="D1462" s="154"/>
      <c r="E1462" s="154">
        <v>1.8</v>
      </c>
      <c r="F1462" s="154">
        <v>1.8</v>
      </c>
      <c r="G1462" s="154">
        <f t="shared" si="41"/>
        <v>0.11999999999999991</v>
      </c>
      <c r="H1462" s="154"/>
      <c r="I1462" s="154"/>
      <c r="J1462" s="154">
        <v>0.6</v>
      </c>
      <c r="K1462" s="154"/>
      <c r="L1462" s="154"/>
      <c r="M1462" s="154"/>
      <c r="N1462" s="154">
        <f t="shared" si="38"/>
        <v>2.9572566611769187</v>
      </c>
      <c r="O1462" s="154">
        <f t="shared" si="39"/>
        <v>0.35487079934123</v>
      </c>
      <c r="P1462" s="155"/>
      <c r="Q1462" s="145"/>
    </row>
    <row r="1463" spans="1:17" s="146" customFormat="1" ht="10.5" x14ac:dyDescent="0.25">
      <c r="A1463" s="151"/>
      <c r="B1463" s="152" t="str">
        <f t="shared" si="40"/>
        <v>PV2-96</v>
      </c>
      <c r="C1463" s="153"/>
      <c r="D1463" s="154"/>
      <c r="E1463" s="154">
        <v>1.8</v>
      </c>
      <c r="F1463" s="154">
        <v>1.8</v>
      </c>
      <c r="G1463" s="154">
        <f t="shared" si="41"/>
        <v>0.15</v>
      </c>
      <c r="H1463" s="154"/>
      <c r="I1463" s="154"/>
      <c r="J1463" s="154">
        <v>0.6</v>
      </c>
      <c r="K1463" s="154"/>
      <c r="L1463" s="154"/>
      <c r="M1463" s="154"/>
      <c r="N1463" s="154">
        <f t="shared" si="38"/>
        <v>2.9572566611769187</v>
      </c>
      <c r="O1463" s="154">
        <f t="shared" si="39"/>
        <v>0.44358849917653781</v>
      </c>
      <c r="P1463" s="155"/>
      <c r="Q1463" s="145"/>
    </row>
    <row r="1464" spans="1:17" s="146" customFormat="1" ht="10.5" x14ac:dyDescent="0.25">
      <c r="A1464" s="151"/>
      <c r="B1464" s="152" t="str">
        <f t="shared" si="40"/>
        <v>PV1-97</v>
      </c>
      <c r="C1464" s="153"/>
      <c r="D1464" s="154"/>
      <c r="E1464" s="154">
        <v>1.8</v>
      </c>
      <c r="F1464" s="154">
        <v>1.8</v>
      </c>
      <c r="G1464" s="154">
        <f t="shared" si="41"/>
        <v>0.11999999999999991</v>
      </c>
      <c r="H1464" s="154"/>
      <c r="I1464" s="154"/>
      <c r="J1464" s="154">
        <v>0.6</v>
      </c>
      <c r="K1464" s="154"/>
      <c r="L1464" s="154"/>
      <c r="M1464" s="154"/>
      <c r="N1464" s="154">
        <f t="shared" si="38"/>
        <v>2.9572566611769187</v>
      </c>
      <c r="O1464" s="154">
        <f t="shared" si="39"/>
        <v>0.35487079934123</v>
      </c>
      <c r="P1464" s="155"/>
      <c r="Q1464" s="145"/>
    </row>
    <row r="1465" spans="1:17" s="146" customFormat="1" ht="10.5" x14ac:dyDescent="0.25">
      <c r="A1465" s="151"/>
      <c r="B1465" s="152" t="str">
        <f t="shared" si="40"/>
        <v>PV2-97</v>
      </c>
      <c r="C1465" s="153"/>
      <c r="D1465" s="154"/>
      <c r="E1465" s="154">
        <v>1.8</v>
      </c>
      <c r="F1465" s="154">
        <v>1.8</v>
      </c>
      <c r="G1465" s="154">
        <f t="shared" si="41"/>
        <v>0.15</v>
      </c>
      <c r="H1465" s="154"/>
      <c r="I1465" s="154"/>
      <c r="J1465" s="154">
        <v>0.6</v>
      </c>
      <c r="K1465" s="154"/>
      <c r="L1465" s="154"/>
      <c r="M1465" s="154"/>
      <c r="N1465" s="154">
        <f t="shared" si="38"/>
        <v>2.9572566611769187</v>
      </c>
      <c r="O1465" s="154">
        <f t="shared" si="39"/>
        <v>0.44358849917653781</v>
      </c>
      <c r="P1465" s="155"/>
      <c r="Q1465" s="145"/>
    </row>
    <row r="1466" spans="1:17" s="146" customFormat="1" ht="10.5" x14ac:dyDescent="0.25">
      <c r="A1466" s="151"/>
      <c r="B1466" s="152" t="str">
        <f t="shared" si="40"/>
        <v>PV3-97</v>
      </c>
      <c r="C1466" s="153"/>
      <c r="D1466" s="154"/>
      <c r="E1466" s="154">
        <v>1.8</v>
      </c>
      <c r="F1466" s="154">
        <v>1.8</v>
      </c>
      <c r="G1466" s="154">
        <f t="shared" si="41"/>
        <v>0.15</v>
      </c>
      <c r="H1466" s="154"/>
      <c r="I1466" s="154"/>
      <c r="J1466" s="154">
        <v>0.6</v>
      </c>
      <c r="K1466" s="154"/>
      <c r="L1466" s="154"/>
      <c r="M1466" s="154"/>
      <c r="N1466" s="154">
        <f t="shared" si="38"/>
        <v>2.9572566611769187</v>
      </c>
      <c r="O1466" s="154">
        <f t="shared" si="39"/>
        <v>0.44358849917653781</v>
      </c>
      <c r="P1466" s="155"/>
      <c r="Q1466" s="145"/>
    </row>
    <row r="1467" spans="1:17" s="146" customFormat="1" ht="10.5" x14ac:dyDescent="0.25">
      <c r="A1467" s="151"/>
      <c r="B1467" s="152" t="str">
        <f t="shared" si="40"/>
        <v>PV1-98</v>
      </c>
      <c r="C1467" s="153"/>
      <c r="D1467" s="154"/>
      <c r="E1467" s="154">
        <v>1.8</v>
      </c>
      <c r="F1467" s="154">
        <v>1.8</v>
      </c>
      <c r="G1467" s="154">
        <f t="shared" si="41"/>
        <v>0.11999999999999991</v>
      </c>
      <c r="H1467" s="154"/>
      <c r="I1467" s="154"/>
      <c r="J1467" s="154">
        <v>0.6</v>
      </c>
      <c r="K1467" s="154"/>
      <c r="L1467" s="154"/>
      <c r="M1467" s="154"/>
      <c r="N1467" s="154">
        <f t="shared" si="38"/>
        <v>2.9572566611769187</v>
      </c>
      <c r="O1467" s="154">
        <f t="shared" si="39"/>
        <v>0.35487079934123</v>
      </c>
      <c r="P1467" s="155"/>
      <c r="Q1467" s="145"/>
    </row>
    <row r="1468" spans="1:17" s="146" customFormat="1" ht="10.5" x14ac:dyDescent="0.25">
      <c r="A1468" s="151"/>
      <c r="B1468" s="152" t="str">
        <f t="shared" si="40"/>
        <v>PV2-98</v>
      </c>
      <c r="C1468" s="153"/>
      <c r="D1468" s="154"/>
      <c r="E1468" s="154">
        <v>1.8</v>
      </c>
      <c r="F1468" s="154">
        <v>1.8</v>
      </c>
      <c r="G1468" s="154">
        <f t="shared" si="41"/>
        <v>0.11999999999999991</v>
      </c>
      <c r="H1468" s="154"/>
      <c r="I1468" s="154"/>
      <c r="J1468" s="154">
        <v>0.6</v>
      </c>
      <c r="K1468" s="154"/>
      <c r="L1468" s="154"/>
      <c r="M1468" s="154"/>
      <c r="N1468" s="154">
        <f t="shared" si="38"/>
        <v>2.9572566611769187</v>
      </c>
      <c r="O1468" s="154">
        <f t="shared" si="39"/>
        <v>0.35487079934123</v>
      </c>
      <c r="P1468" s="155"/>
      <c r="Q1468" s="145"/>
    </row>
    <row r="1469" spans="1:17" s="146" customFormat="1" ht="10.5" x14ac:dyDescent="0.25">
      <c r="A1469" s="151"/>
      <c r="B1469" s="152" t="str">
        <f t="shared" si="40"/>
        <v>PV1-99</v>
      </c>
      <c r="C1469" s="153"/>
      <c r="D1469" s="154"/>
      <c r="E1469" s="154">
        <v>1.8</v>
      </c>
      <c r="F1469" s="154">
        <v>1.8</v>
      </c>
      <c r="G1469" s="154">
        <f t="shared" si="41"/>
        <v>0.11999999999999991</v>
      </c>
      <c r="H1469" s="154"/>
      <c r="I1469" s="154"/>
      <c r="J1469" s="154">
        <v>0.6</v>
      </c>
      <c r="K1469" s="154"/>
      <c r="L1469" s="154"/>
      <c r="M1469" s="154"/>
      <c r="N1469" s="154">
        <f t="shared" si="38"/>
        <v>2.9572566611769187</v>
      </c>
      <c r="O1469" s="154">
        <f t="shared" si="39"/>
        <v>0.35487079934123</v>
      </c>
      <c r="P1469" s="155"/>
      <c r="Q1469" s="145"/>
    </row>
    <row r="1470" spans="1:17" s="146" customFormat="1" ht="10.5" x14ac:dyDescent="0.25">
      <c r="A1470" s="151"/>
      <c r="B1470" s="152" t="str">
        <f t="shared" si="40"/>
        <v>PV2-99</v>
      </c>
      <c r="C1470" s="153"/>
      <c r="D1470" s="154"/>
      <c r="E1470" s="154">
        <v>1.8</v>
      </c>
      <c r="F1470" s="154">
        <v>1.8</v>
      </c>
      <c r="G1470" s="154">
        <f t="shared" si="41"/>
        <v>0.15</v>
      </c>
      <c r="H1470" s="154"/>
      <c r="I1470" s="154"/>
      <c r="J1470" s="154">
        <v>0.6</v>
      </c>
      <c r="K1470" s="154"/>
      <c r="L1470" s="154"/>
      <c r="M1470" s="154"/>
      <c r="N1470" s="154">
        <f t="shared" si="38"/>
        <v>2.9572566611769187</v>
      </c>
      <c r="O1470" s="154">
        <f t="shared" si="39"/>
        <v>0.44358849917653781</v>
      </c>
      <c r="P1470" s="155"/>
      <c r="Q1470" s="145"/>
    </row>
    <row r="1471" spans="1:17" s="146" customFormat="1" ht="10.5" x14ac:dyDescent="0.25">
      <c r="A1471" s="151"/>
      <c r="B1471" s="152" t="str">
        <f t="shared" si="40"/>
        <v>PV1-100</v>
      </c>
      <c r="C1471" s="153"/>
      <c r="D1471" s="154"/>
      <c r="E1471" s="154">
        <v>1.8</v>
      </c>
      <c r="F1471" s="154">
        <v>1.8</v>
      </c>
      <c r="G1471" s="154">
        <f t="shared" si="41"/>
        <v>0.11999999999999991</v>
      </c>
      <c r="H1471" s="154"/>
      <c r="I1471" s="154"/>
      <c r="J1471" s="154">
        <v>0.6</v>
      </c>
      <c r="K1471" s="154"/>
      <c r="L1471" s="154"/>
      <c r="M1471" s="154"/>
      <c r="N1471" s="154">
        <f t="shared" si="38"/>
        <v>2.9572566611769187</v>
      </c>
      <c r="O1471" s="154">
        <f t="shared" si="39"/>
        <v>0.35487079934123</v>
      </c>
      <c r="P1471" s="155"/>
      <c r="Q1471" s="145"/>
    </row>
    <row r="1472" spans="1:17" s="146" customFormat="1" ht="10.5" x14ac:dyDescent="0.25">
      <c r="A1472" s="151"/>
      <c r="B1472" s="152"/>
      <c r="C1472" s="153"/>
      <c r="D1472" s="154"/>
      <c r="E1472" s="154"/>
      <c r="F1472" s="154"/>
      <c r="G1472" s="154"/>
      <c r="H1472" s="154"/>
      <c r="I1472" s="154"/>
      <c r="J1472" s="154"/>
      <c r="K1472" s="154"/>
      <c r="L1472" s="156"/>
      <c r="M1472" s="154"/>
      <c r="N1472" s="154"/>
      <c r="O1472" s="154"/>
      <c r="P1472" s="155"/>
      <c r="Q1472" s="145"/>
    </row>
    <row r="1473" spans="1:17" s="146" customFormat="1" ht="10.5" x14ac:dyDescent="0.25">
      <c r="A1473" s="151"/>
      <c r="B1473" s="157" t="s">
        <v>377</v>
      </c>
      <c r="C1473" s="158" t="s">
        <v>402</v>
      </c>
      <c r="D1473" s="158"/>
      <c r="E1473" s="158"/>
      <c r="F1473" s="158"/>
      <c r="G1473" s="158"/>
      <c r="H1473" s="158"/>
      <c r="I1473" s="158"/>
      <c r="J1473" s="158"/>
      <c r="K1473" s="158"/>
      <c r="L1473" s="158"/>
      <c r="M1473" s="158"/>
      <c r="N1473" s="158"/>
      <c r="O1473" s="158">
        <f>SUM(O1431:O1472)</f>
        <v>15.377734638119973</v>
      </c>
      <c r="P1473" s="159"/>
      <c r="Q1473" s="145"/>
    </row>
    <row r="1474" spans="1:17" s="150" customFormat="1" ht="52.5" x14ac:dyDescent="0.25">
      <c r="A1474" s="147" t="str">
        <f>ORÇAMENTO!A276</f>
        <v>4.3.10</v>
      </c>
      <c r="B1474" s="148" t="str">
        <f>VLOOKUP(A1474,ORÇAMENTO!$A:$F,4,0)</f>
        <v>EXECUÇÃO E COMPACTAÇÃO DE BASE E OU SUB BASE PARA PAVIMENTAÇÃO DE SOLO (PREDOMINANTEMENTE ARENOSO) COM CAL (TEOR DE 4%) - EXCLUSIVE SOLO, ESCAVAÇÃO, CARGA E TRANSPORTE.</v>
      </c>
      <c r="C1474" s="149" t="str">
        <f>VLOOKUP(A1474,ORÇAMENTO!$A:$F,5,0)</f>
        <v>M³</v>
      </c>
      <c r="D1474" s="149">
        <f>SUM(E1519:O1519)</f>
        <v>5.8849407557420648</v>
      </c>
      <c r="E1474" s="149" t="s">
        <v>2149</v>
      </c>
      <c r="F1474" s="149" t="s">
        <v>2150</v>
      </c>
      <c r="G1474" s="149" t="s">
        <v>2151</v>
      </c>
      <c r="H1474" s="149" t="s">
        <v>2152</v>
      </c>
      <c r="I1474" s="149" t="s">
        <v>2153</v>
      </c>
      <c r="J1474" s="149" t="s">
        <v>2154</v>
      </c>
      <c r="K1474" s="149" t="s">
        <v>2155</v>
      </c>
      <c r="L1474" s="149" t="s">
        <v>2156</v>
      </c>
      <c r="M1474" s="149" t="s">
        <v>413</v>
      </c>
      <c r="N1474" s="149" t="s">
        <v>2157</v>
      </c>
      <c r="O1474" s="149" t="s">
        <v>2158</v>
      </c>
      <c r="P1474" s="145"/>
      <c r="Q1474" s="145"/>
    </row>
    <row r="1475" spans="1:17" s="146" customFormat="1" ht="10.5" x14ac:dyDescent="0.25">
      <c r="A1475" s="151"/>
      <c r="B1475" s="157" t="s">
        <v>2327</v>
      </c>
      <c r="C1475" s="153"/>
      <c r="D1475" s="154"/>
      <c r="E1475" s="154"/>
      <c r="F1475" s="154"/>
      <c r="G1475" s="153">
        <v>0.15</v>
      </c>
      <c r="H1475" s="154"/>
      <c r="I1475" s="154"/>
      <c r="J1475" s="154"/>
      <c r="K1475" s="154"/>
      <c r="L1475" s="154"/>
      <c r="M1475" s="154"/>
      <c r="N1475" s="154"/>
      <c r="O1475" s="154"/>
      <c r="P1475" s="155"/>
      <c r="Q1475" s="145"/>
    </row>
    <row r="1476" spans="1:17" s="146" customFormat="1" ht="10.5" x14ac:dyDescent="0.25">
      <c r="A1476" s="151"/>
      <c r="B1476" s="152" t="s">
        <v>2326</v>
      </c>
      <c r="C1476" s="153"/>
      <c r="D1476" s="154"/>
      <c r="E1476" s="154"/>
      <c r="F1476" s="154"/>
      <c r="G1476" s="154"/>
      <c r="H1476" s="154"/>
      <c r="I1476" s="154"/>
      <c r="J1476" s="154"/>
      <c r="K1476" s="154"/>
      <c r="L1476" s="154"/>
      <c r="M1476" s="154"/>
      <c r="N1476" s="154"/>
      <c r="O1476" s="154"/>
      <c r="P1476" s="155"/>
      <c r="Q1476" s="145"/>
    </row>
    <row r="1477" spans="1:17" s="146" customFormat="1" ht="10.5" x14ac:dyDescent="0.25">
      <c r="A1477" s="151"/>
      <c r="B1477" s="152" t="str">
        <f>B1431</f>
        <v>PV1-87</v>
      </c>
      <c r="C1477" s="153"/>
      <c r="D1477" s="154"/>
      <c r="E1477" s="154">
        <v>1.8</v>
      </c>
      <c r="F1477" s="154">
        <v>1.8</v>
      </c>
      <c r="G1477" s="154">
        <f>IF(G1281&gt;0.15,IF(G1281&gt;=0.3,0.15,G1281-0.15),0)</f>
        <v>0</v>
      </c>
      <c r="H1477" s="154"/>
      <c r="I1477" s="154"/>
      <c r="J1477" s="154">
        <v>0.6</v>
      </c>
      <c r="K1477" s="154"/>
      <c r="L1477" s="154"/>
      <c r="M1477" s="154"/>
      <c r="N1477" s="154">
        <f t="shared" ref="N1477:N1517" si="42">(E1477*F1477)-(PI()*(J1477/2)^2)</f>
        <v>2.9572566611769187</v>
      </c>
      <c r="O1477" s="154">
        <f t="shared" ref="O1477:O1517" si="43">N1477*G1477</f>
        <v>0</v>
      </c>
      <c r="P1477" s="155"/>
      <c r="Q1477" s="145"/>
    </row>
    <row r="1478" spans="1:17" s="146" customFormat="1" ht="10.5" x14ac:dyDescent="0.25">
      <c r="A1478" s="151"/>
      <c r="B1478" s="152" t="str">
        <f t="shared" ref="B1478:B1517" si="44">B1432</f>
        <v>PV2-87</v>
      </c>
      <c r="C1478" s="153"/>
      <c r="D1478" s="154"/>
      <c r="E1478" s="154">
        <v>1.8</v>
      </c>
      <c r="F1478" s="154">
        <v>1.8</v>
      </c>
      <c r="G1478" s="154">
        <f t="shared" ref="G1478:G1517" si="45">IF(G1282&gt;0.15,IF(G1282&gt;=0.3,0.15,G1282-0.15),0)</f>
        <v>0</v>
      </c>
      <c r="H1478" s="154"/>
      <c r="I1478" s="154"/>
      <c r="J1478" s="154">
        <v>0.6</v>
      </c>
      <c r="K1478" s="154"/>
      <c r="L1478" s="154"/>
      <c r="M1478" s="154"/>
      <c r="N1478" s="154">
        <f t="shared" si="42"/>
        <v>2.9572566611769187</v>
      </c>
      <c r="O1478" s="154">
        <f t="shared" si="43"/>
        <v>0</v>
      </c>
      <c r="P1478" s="155"/>
      <c r="Q1478" s="145"/>
    </row>
    <row r="1479" spans="1:17" s="146" customFormat="1" ht="10.5" x14ac:dyDescent="0.25">
      <c r="A1479" s="151"/>
      <c r="B1479" s="152" t="str">
        <f t="shared" si="44"/>
        <v>PV3-87</v>
      </c>
      <c r="C1479" s="153"/>
      <c r="D1479" s="154"/>
      <c r="E1479" s="154">
        <v>1.8</v>
      </c>
      <c r="F1479" s="154">
        <v>1.8</v>
      </c>
      <c r="G1479" s="154">
        <f t="shared" si="45"/>
        <v>0</v>
      </c>
      <c r="H1479" s="154"/>
      <c r="I1479" s="154"/>
      <c r="J1479" s="154">
        <v>0.6</v>
      </c>
      <c r="K1479" s="154"/>
      <c r="L1479" s="154"/>
      <c r="M1479" s="154"/>
      <c r="N1479" s="154">
        <f t="shared" si="42"/>
        <v>2.9572566611769187</v>
      </c>
      <c r="O1479" s="154">
        <f t="shared" si="43"/>
        <v>0</v>
      </c>
      <c r="P1479" s="155"/>
      <c r="Q1479" s="145"/>
    </row>
    <row r="1480" spans="1:17" s="146" customFormat="1" ht="10.5" x14ac:dyDescent="0.25">
      <c r="A1480" s="151"/>
      <c r="B1480" s="152" t="str">
        <f t="shared" si="44"/>
        <v>PV4-87</v>
      </c>
      <c r="C1480" s="153"/>
      <c r="D1480" s="154"/>
      <c r="E1480" s="154">
        <v>1.8</v>
      </c>
      <c r="F1480" s="154">
        <v>1.8</v>
      </c>
      <c r="G1480" s="154">
        <f t="shared" si="45"/>
        <v>0</v>
      </c>
      <c r="H1480" s="154"/>
      <c r="I1480" s="154"/>
      <c r="J1480" s="154">
        <v>0.6</v>
      </c>
      <c r="K1480" s="154"/>
      <c r="L1480" s="154"/>
      <c r="M1480" s="154"/>
      <c r="N1480" s="154">
        <f t="shared" si="42"/>
        <v>2.9572566611769187</v>
      </c>
      <c r="O1480" s="154">
        <f t="shared" si="43"/>
        <v>0</v>
      </c>
      <c r="P1480" s="155"/>
      <c r="Q1480" s="145"/>
    </row>
    <row r="1481" spans="1:17" s="146" customFormat="1" ht="10.5" x14ac:dyDescent="0.25">
      <c r="A1481" s="151"/>
      <c r="B1481" s="152" t="str">
        <f t="shared" si="44"/>
        <v>PV5-87</v>
      </c>
      <c r="C1481" s="153"/>
      <c r="D1481" s="154"/>
      <c r="E1481" s="154">
        <v>1.8</v>
      </c>
      <c r="F1481" s="154">
        <v>1.8</v>
      </c>
      <c r="G1481" s="154">
        <f t="shared" si="45"/>
        <v>0</v>
      </c>
      <c r="H1481" s="154"/>
      <c r="I1481" s="154"/>
      <c r="J1481" s="154">
        <v>0.6</v>
      </c>
      <c r="K1481" s="154"/>
      <c r="L1481" s="154"/>
      <c r="M1481" s="154"/>
      <c r="N1481" s="154">
        <f t="shared" si="42"/>
        <v>2.9572566611769187</v>
      </c>
      <c r="O1481" s="154">
        <f t="shared" si="43"/>
        <v>0</v>
      </c>
      <c r="P1481" s="155"/>
      <c r="Q1481" s="145"/>
    </row>
    <row r="1482" spans="1:17" s="146" customFormat="1" ht="10.5" x14ac:dyDescent="0.25">
      <c r="A1482" s="151"/>
      <c r="B1482" s="152" t="str">
        <f t="shared" si="44"/>
        <v>PV10-87</v>
      </c>
      <c r="C1482" s="153"/>
      <c r="D1482" s="154"/>
      <c r="E1482" s="154">
        <v>1.8</v>
      </c>
      <c r="F1482" s="154">
        <v>1.8</v>
      </c>
      <c r="G1482" s="154">
        <f t="shared" si="45"/>
        <v>0.15</v>
      </c>
      <c r="H1482" s="154"/>
      <c r="I1482" s="154"/>
      <c r="J1482" s="154">
        <v>0.6</v>
      </c>
      <c r="K1482" s="154"/>
      <c r="L1482" s="154"/>
      <c r="M1482" s="154"/>
      <c r="N1482" s="154">
        <f t="shared" si="42"/>
        <v>2.9572566611769187</v>
      </c>
      <c r="O1482" s="154">
        <f t="shared" si="43"/>
        <v>0.44358849917653781</v>
      </c>
      <c r="P1482" s="155"/>
      <c r="Q1482" s="145"/>
    </row>
    <row r="1483" spans="1:17" s="146" customFormat="1" ht="10.5" x14ac:dyDescent="0.25">
      <c r="A1483" s="151"/>
      <c r="B1483" s="152" t="str">
        <f t="shared" si="44"/>
        <v>PV15-87</v>
      </c>
      <c r="C1483" s="153"/>
      <c r="D1483" s="154"/>
      <c r="E1483" s="154">
        <v>1.8</v>
      </c>
      <c r="F1483" s="154">
        <v>1.8</v>
      </c>
      <c r="G1483" s="154">
        <f t="shared" si="45"/>
        <v>0.15</v>
      </c>
      <c r="H1483" s="154"/>
      <c r="I1483" s="154"/>
      <c r="J1483" s="154">
        <v>0.6</v>
      </c>
      <c r="K1483" s="154"/>
      <c r="L1483" s="154"/>
      <c r="M1483" s="154"/>
      <c r="N1483" s="154">
        <f t="shared" si="42"/>
        <v>2.9572566611769187</v>
      </c>
      <c r="O1483" s="154">
        <f t="shared" si="43"/>
        <v>0.44358849917653781</v>
      </c>
      <c r="P1483" s="155"/>
      <c r="Q1483" s="145"/>
    </row>
    <row r="1484" spans="1:17" s="146" customFormat="1" ht="10.5" x14ac:dyDescent="0.25">
      <c r="A1484" s="151"/>
      <c r="B1484" s="152" t="str">
        <f t="shared" si="44"/>
        <v>PV1-88</v>
      </c>
      <c r="C1484" s="153"/>
      <c r="D1484" s="154"/>
      <c r="E1484" s="154">
        <v>1.8</v>
      </c>
      <c r="F1484" s="154">
        <v>1.8</v>
      </c>
      <c r="G1484" s="154">
        <f t="shared" si="45"/>
        <v>0</v>
      </c>
      <c r="H1484" s="154"/>
      <c r="I1484" s="154"/>
      <c r="J1484" s="154">
        <v>0.6</v>
      </c>
      <c r="K1484" s="154"/>
      <c r="L1484" s="154"/>
      <c r="M1484" s="154"/>
      <c r="N1484" s="154">
        <f t="shared" si="42"/>
        <v>2.9572566611769187</v>
      </c>
      <c r="O1484" s="154">
        <f t="shared" si="43"/>
        <v>0</v>
      </c>
      <c r="P1484" s="155"/>
      <c r="Q1484" s="145"/>
    </row>
    <row r="1485" spans="1:17" s="146" customFormat="1" ht="10.5" x14ac:dyDescent="0.25">
      <c r="A1485" s="151"/>
      <c r="B1485" s="152" t="str">
        <f t="shared" si="44"/>
        <v>PV2-88</v>
      </c>
      <c r="C1485" s="153"/>
      <c r="D1485" s="154"/>
      <c r="E1485" s="154">
        <v>1.8</v>
      </c>
      <c r="F1485" s="154">
        <v>1.8</v>
      </c>
      <c r="G1485" s="154">
        <f t="shared" si="45"/>
        <v>2.9999999999999971E-2</v>
      </c>
      <c r="H1485" s="154"/>
      <c r="I1485" s="154"/>
      <c r="J1485" s="154">
        <v>0.6</v>
      </c>
      <c r="K1485" s="154"/>
      <c r="L1485" s="154"/>
      <c r="M1485" s="154"/>
      <c r="N1485" s="154">
        <f t="shared" si="42"/>
        <v>2.9572566611769187</v>
      </c>
      <c r="O1485" s="154">
        <f t="shared" si="43"/>
        <v>8.8717699835307473E-2</v>
      </c>
      <c r="P1485" s="155"/>
      <c r="Q1485" s="145"/>
    </row>
    <row r="1486" spans="1:17" s="146" customFormat="1" ht="10.5" x14ac:dyDescent="0.25">
      <c r="A1486" s="151"/>
      <c r="B1486" s="152" t="str">
        <f t="shared" si="44"/>
        <v>PV3-88</v>
      </c>
      <c r="C1486" s="153"/>
      <c r="D1486" s="154"/>
      <c r="E1486" s="154">
        <v>1.8</v>
      </c>
      <c r="F1486" s="154">
        <v>1.8</v>
      </c>
      <c r="G1486" s="154">
        <f t="shared" si="45"/>
        <v>0</v>
      </c>
      <c r="H1486" s="154"/>
      <c r="I1486" s="154"/>
      <c r="J1486" s="154">
        <v>0.6</v>
      </c>
      <c r="K1486" s="154"/>
      <c r="L1486" s="154"/>
      <c r="M1486" s="154"/>
      <c r="N1486" s="154">
        <f t="shared" si="42"/>
        <v>2.9572566611769187</v>
      </c>
      <c r="O1486" s="154">
        <f t="shared" si="43"/>
        <v>0</v>
      </c>
      <c r="P1486" s="155"/>
      <c r="Q1486" s="145"/>
    </row>
    <row r="1487" spans="1:17" s="146" customFormat="1" ht="10.5" x14ac:dyDescent="0.25">
      <c r="A1487" s="151"/>
      <c r="B1487" s="152" t="str">
        <f t="shared" si="44"/>
        <v>PV4-88</v>
      </c>
      <c r="C1487" s="153"/>
      <c r="D1487" s="154"/>
      <c r="E1487" s="154">
        <v>1.8</v>
      </c>
      <c r="F1487" s="154">
        <v>1.8</v>
      </c>
      <c r="G1487" s="154">
        <f t="shared" si="45"/>
        <v>9.9999999999999811E-2</v>
      </c>
      <c r="H1487" s="154"/>
      <c r="I1487" s="154"/>
      <c r="J1487" s="154">
        <v>0.6</v>
      </c>
      <c r="K1487" s="154"/>
      <c r="L1487" s="154"/>
      <c r="M1487" s="154"/>
      <c r="N1487" s="154">
        <f t="shared" si="42"/>
        <v>2.9572566611769187</v>
      </c>
      <c r="O1487" s="154">
        <f t="shared" si="43"/>
        <v>0.2957256661176913</v>
      </c>
      <c r="P1487" s="155"/>
      <c r="Q1487" s="145"/>
    </row>
    <row r="1488" spans="1:17" s="146" customFormat="1" ht="10.5" x14ac:dyDescent="0.25">
      <c r="A1488" s="151"/>
      <c r="B1488" s="152" t="str">
        <f t="shared" si="44"/>
        <v>PV5-88</v>
      </c>
      <c r="C1488" s="153"/>
      <c r="D1488" s="154"/>
      <c r="E1488" s="154">
        <v>1.8</v>
      </c>
      <c r="F1488" s="154">
        <v>1.8</v>
      </c>
      <c r="G1488" s="154">
        <f t="shared" si="45"/>
        <v>0.15</v>
      </c>
      <c r="H1488" s="154"/>
      <c r="I1488" s="154"/>
      <c r="J1488" s="154">
        <v>0.6</v>
      </c>
      <c r="K1488" s="154"/>
      <c r="L1488" s="154"/>
      <c r="M1488" s="154"/>
      <c r="N1488" s="154">
        <f t="shared" si="42"/>
        <v>2.9572566611769187</v>
      </c>
      <c r="O1488" s="154">
        <f t="shared" si="43"/>
        <v>0.44358849917653781</v>
      </c>
      <c r="P1488" s="155"/>
      <c r="Q1488" s="145"/>
    </row>
    <row r="1489" spans="1:17" s="146" customFormat="1" ht="10.5" x14ac:dyDescent="0.25">
      <c r="A1489" s="151"/>
      <c r="B1489" s="152" t="str">
        <f t="shared" si="44"/>
        <v>PV6-88</v>
      </c>
      <c r="C1489" s="153"/>
      <c r="D1489" s="154"/>
      <c r="E1489" s="154">
        <v>1.8</v>
      </c>
      <c r="F1489" s="154">
        <v>1.8</v>
      </c>
      <c r="G1489" s="154">
        <f t="shared" si="45"/>
        <v>0.15</v>
      </c>
      <c r="H1489" s="154"/>
      <c r="I1489" s="154"/>
      <c r="J1489" s="154">
        <v>0.6</v>
      </c>
      <c r="K1489" s="154"/>
      <c r="L1489" s="154"/>
      <c r="M1489" s="154"/>
      <c r="N1489" s="154">
        <f t="shared" si="42"/>
        <v>2.9572566611769187</v>
      </c>
      <c r="O1489" s="154">
        <f t="shared" si="43"/>
        <v>0.44358849917653781</v>
      </c>
      <c r="P1489" s="155"/>
      <c r="Q1489" s="145"/>
    </row>
    <row r="1490" spans="1:17" s="146" customFormat="1" ht="10.5" x14ac:dyDescent="0.25">
      <c r="A1490" s="151"/>
      <c r="B1490" s="152" t="str">
        <f t="shared" si="44"/>
        <v>PV7-88</v>
      </c>
      <c r="C1490" s="153"/>
      <c r="D1490" s="154"/>
      <c r="E1490" s="154">
        <v>1.8</v>
      </c>
      <c r="F1490" s="154">
        <v>1.8</v>
      </c>
      <c r="G1490" s="154">
        <f t="shared" si="45"/>
        <v>0.15</v>
      </c>
      <c r="H1490" s="154"/>
      <c r="I1490" s="154"/>
      <c r="J1490" s="154">
        <v>0.6</v>
      </c>
      <c r="K1490" s="154"/>
      <c r="L1490" s="154"/>
      <c r="M1490" s="154"/>
      <c r="N1490" s="154">
        <f t="shared" si="42"/>
        <v>2.9572566611769187</v>
      </c>
      <c r="O1490" s="154">
        <f t="shared" si="43"/>
        <v>0.44358849917653781</v>
      </c>
      <c r="P1490" s="155"/>
      <c r="Q1490" s="145"/>
    </row>
    <row r="1491" spans="1:17" s="146" customFormat="1" ht="10.5" x14ac:dyDescent="0.25">
      <c r="A1491" s="151"/>
      <c r="B1491" s="152" t="str">
        <f t="shared" si="44"/>
        <v>PV1-90</v>
      </c>
      <c r="C1491" s="153"/>
      <c r="D1491" s="154"/>
      <c r="E1491" s="154">
        <v>1.8</v>
      </c>
      <c r="F1491" s="154">
        <v>1.8</v>
      </c>
      <c r="G1491" s="154">
        <f t="shared" si="45"/>
        <v>0</v>
      </c>
      <c r="H1491" s="154"/>
      <c r="I1491" s="154"/>
      <c r="J1491" s="154">
        <v>0.6</v>
      </c>
      <c r="K1491" s="154"/>
      <c r="L1491" s="154"/>
      <c r="M1491" s="154"/>
      <c r="N1491" s="154">
        <f t="shared" si="42"/>
        <v>2.9572566611769187</v>
      </c>
      <c r="O1491" s="154">
        <f t="shared" si="43"/>
        <v>0</v>
      </c>
      <c r="P1491" s="155"/>
      <c r="Q1491" s="145"/>
    </row>
    <row r="1492" spans="1:17" s="146" customFormat="1" ht="10.5" x14ac:dyDescent="0.25">
      <c r="A1492" s="151"/>
      <c r="B1492" s="152" t="str">
        <f t="shared" si="44"/>
        <v>PV2-90</v>
      </c>
      <c r="C1492" s="153"/>
      <c r="D1492" s="154"/>
      <c r="E1492" s="154">
        <v>1.8</v>
      </c>
      <c r="F1492" s="154">
        <v>1.8</v>
      </c>
      <c r="G1492" s="154">
        <f t="shared" si="45"/>
        <v>0</v>
      </c>
      <c r="H1492" s="154"/>
      <c r="I1492" s="154"/>
      <c r="J1492" s="154">
        <v>0.6</v>
      </c>
      <c r="K1492" s="154"/>
      <c r="L1492" s="154"/>
      <c r="M1492" s="154"/>
      <c r="N1492" s="154">
        <f t="shared" si="42"/>
        <v>2.9572566611769187</v>
      </c>
      <c r="O1492" s="154">
        <f t="shared" si="43"/>
        <v>0</v>
      </c>
      <c r="P1492" s="155"/>
      <c r="Q1492" s="145"/>
    </row>
    <row r="1493" spans="1:17" s="146" customFormat="1" ht="10.5" x14ac:dyDescent="0.25">
      <c r="A1493" s="151"/>
      <c r="B1493" s="152" t="str">
        <f t="shared" si="44"/>
        <v>PV3-90</v>
      </c>
      <c r="C1493" s="153"/>
      <c r="D1493" s="154"/>
      <c r="E1493" s="154">
        <v>1.8</v>
      </c>
      <c r="F1493" s="154">
        <v>1.8</v>
      </c>
      <c r="G1493" s="154">
        <f t="shared" si="45"/>
        <v>0.10999999999999979</v>
      </c>
      <c r="H1493" s="154"/>
      <c r="I1493" s="154"/>
      <c r="J1493" s="154">
        <v>0.6</v>
      </c>
      <c r="K1493" s="154"/>
      <c r="L1493" s="154"/>
      <c r="M1493" s="154"/>
      <c r="N1493" s="154">
        <f t="shared" si="42"/>
        <v>2.9572566611769187</v>
      </c>
      <c r="O1493" s="154">
        <f t="shared" si="43"/>
        <v>0.32529823272946046</v>
      </c>
      <c r="P1493" s="155"/>
      <c r="Q1493" s="145"/>
    </row>
    <row r="1494" spans="1:17" s="146" customFormat="1" ht="10.5" x14ac:dyDescent="0.25">
      <c r="A1494" s="151"/>
      <c r="B1494" s="152" t="str">
        <f t="shared" si="44"/>
        <v>PV2-91</v>
      </c>
      <c r="C1494" s="153"/>
      <c r="D1494" s="154"/>
      <c r="E1494" s="154">
        <v>1.8</v>
      </c>
      <c r="F1494" s="154">
        <v>1.8</v>
      </c>
      <c r="G1494" s="154">
        <f t="shared" si="45"/>
        <v>9.9999999999999811E-2</v>
      </c>
      <c r="H1494" s="154"/>
      <c r="I1494" s="154"/>
      <c r="J1494" s="154">
        <v>0.6</v>
      </c>
      <c r="K1494" s="154"/>
      <c r="L1494" s="154"/>
      <c r="M1494" s="154"/>
      <c r="N1494" s="154">
        <f t="shared" si="42"/>
        <v>2.9572566611769187</v>
      </c>
      <c r="O1494" s="154">
        <f t="shared" si="43"/>
        <v>0.2957256661176913</v>
      </c>
      <c r="P1494" s="155"/>
      <c r="Q1494" s="145"/>
    </row>
    <row r="1495" spans="1:17" s="146" customFormat="1" ht="10.5" x14ac:dyDescent="0.25">
      <c r="A1495" s="151"/>
      <c r="B1495" s="152" t="str">
        <f t="shared" si="44"/>
        <v>PV3-91</v>
      </c>
      <c r="C1495" s="153"/>
      <c r="D1495" s="154"/>
      <c r="E1495" s="154">
        <v>1.8</v>
      </c>
      <c r="F1495" s="154">
        <v>1.8</v>
      </c>
      <c r="G1495" s="154">
        <f t="shared" si="45"/>
        <v>0</v>
      </c>
      <c r="H1495" s="154"/>
      <c r="I1495" s="154"/>
      <c r="J1495" s="154">
        <v>0.6</v>
      </c>
      <c r="K1495" s="154"/>
      <c r="L1495" s="154"/>
      <c r="M1495" s="154"/>
      <c r="N1495" s="154">
        <f t="shared" si="42"/>
        <v>2.9572566611769187</v>
      </c>
      <c r="O1495" s="154">
        <f t="shared" si="43"/>
        <v>0</v>
      </c>
      <c r="P1495" s="155"/>
      <c r="Q1495" s="145"/>
    </row>
    <row r="1496" spans="1:17" s="146" customFormat="1" ht="10.5" x14ac:dyDescent="0.25">
      <c r="A1496" s="151"/>
      <c r="B1496" s="152" t="str">
        <f t="shared" si="44"/>
        <v>PV1-92</v>
      </c>
      <c r="C1496" s="153"/>
      <c r="D1496" s="154"/>
      <c r="E1496" s="154">
        <v>1.8</v>
      </c>
      <c r="F1496" s="154">
        <v>1.8</v>
      </c>
      <c r="G1496" s="154">
        <f t="shared" si="45"/>
        <v>9.9999999999999534E-3</v>
      </c>
      <c r="H1496" s="154"/>
      <c r="I1496" s="154"/>
      <c r="J1496" s="154">
        <v>0.6</v>
      </c>
      <c r="K1496" s="154"/>
      <c r="L1496" s="154"/>
      <c r="M1496" s="154"/>
      <c r="N1496" s="154">
        <f t="shared" si="42"/>
        <v>2.9572566611769187</v>
      </c>
      <c r="O1496" s="154">
        <f t="shared" si="43"/>
        <v>2.957256661176905E-2</v>
      </c>
      <c r="P1496" s="155"/>
      <c r="Q1496" s="145"/>
    </row>
    <row r="1497" spans="1:17" s="146" customFormat="1" ht="10.5" x14ac:dyDescent="0.25">
      <c r="A1497" s="151"/>
      <c r="B1497" s="152" t="str">
        <f t="shared" si="44"/>
        <v>PV2-92</v>
      </c>
      <c r="C1497" s="153"/>
      <c r="D1497" s="154"/>
      <c r="E1497" s="154">
        <v>1.8</v>
      </c>
      <c r="F1497" s="154">
        <v>1.8</v>
      </c>
      <c r="G1497" s="154">
        <f t="shared" si="45"/>
        <v>9.9999999999999534E-3</v>
      </c>
      <c r="H1497" s="154"/>
      <c r="I1497" s="154"/>
      <c r="J1497" s="154">
        <v>0.6</v>
      </c>
      <c r="K1497" s="154"/>
      <c r="L1497" s="154"/>
      <c r="M1497" s="154"/>
      <c r="N1497" s="154">
        <f t="shared" si="42"/>
        <v>2.9572566611769187</v>
      </c>
      <c r="O1497" s="154">
        <f t="shared" si="43"/>
        <v>2.957256661176905E-2</v>
      </c>
      <c r="P1497" s="155"/>
      <c r="Q1497" s="145"/>
    </row>
    <row r="1498" spans="1:17" s="146" customFormat="1" ht="10.5" x14ac:dyDescent="0.25">
      <c r="A1498" s="151"/>
      <c r="B1498" s="152" t="str">
        <f t="shared" si="44"/>
        <v>PV3-92</v>
      </c>
      <c r="C1498" s="153"/>
      <c r="D1498" s="154"/>
      <c r="E1498" s="154">
        <v>1.8</v>
      </c>
      <c r="F1498" s="154">
        <v>1.8</v>
      </c>
      <c r="G1498" s="154">
        <f t="shared" si="45"/>
        <v>8.0000000000000016E-2</v>
      </c>
      <c r="H1498" s="154"/>
      <c r="I1498" s="154"/>
      <c r="J1498" s="154">
        <v>0.6</v>
      </c>
      <c r="K1498" s="154"/>
      <c r="L1498" s="154"/>
      <c r="M1498" s="154"/>
      <c r="N1498" s="154">
        <f t="shared" si="42"/>
        <v>2.9572566611769187</v>
      </c>
      <c r="O1498" s="154">
        <f t="shared" si="43"/>
        <v>0.23658053289415354</v>
      </c>
      <c r="P1498" s="155"/>
      <c r="Q1498" s="145"/>
    </row>
    <row r="1499" spans="1:17" s="146" customFormat="1" ht="10.5" x14ac:dyDescent="0.25">
      <c r="A1499" s="151"/>
      <c r="B1499" s="152" t="str">
        <f t="shared" si="44"/>
        <v>PV1-93</v>
      </c>
      <c r="C1499" s="153"/>
      <c r="D1499" s="154"/>
      <c r="E1499" s="154">
        <v>1.8</v>
      </c>
      <c r="F1499" s="154">
        <v>1.8</v>
      </c>
      <c r="G1499" s="154">
        <f t="shared" si="45"/>
        <v>0</v>
      </c>
      <c r="H1499" s="154"/>
      <c r="I1499" s="154"/>
      <c r="J1499" s="154">
        <v>0.6</v>
      </c>
      <c r="K1499" s="154"/>
      <c r="L1499" s="154"/>
      <c r="M1499" s="154"/>
      <c r="N1499" s="154">
        <f t="shared" si="42"/>
        <v>2.9572566611769187</v>
      </c>
      <c r="O1499" s="154">
        <f t="shared" si="43"/>
        <v>0</v>
      </c>
      <c r="P1499" s="155"/>
      <c r="Q1499" s="145"/>
    </row>
    <row r="1500" spans="1:17" s="146" customFormat="1" ht="10.5" x14ac:dyDescent="0.25">
      <c r="A1500" s="151"/>
      <c r="B1500" s="152" t="str">
        <f t="shared" si="44"/>
        <v>PV2-93</v>
      </c>
      <c r="C1500" s="153"/>
      <c r="D1500" s="154"/>
      <c r="E1500" s="154">
        <v>1.8</v>
      </c>
      <c r="F1500" s="154">
        <v>1.8</v>
      </c>
      <c r="G1500" s="154">
        <f t="shared" si="45"/>
        <v>0</v>
      </c>
      <c r="H1500" s="154"/>
      <c r="I1500" s="154"/>
      <c r="J1500" s="154">
        <v>0.6</v>
      </c>
      <c r="K1500" s="154"/>
      <c r="L1500" s="154"/>
      <c r="M1500" s="154"/>
      <c r="N1500" s="154">
        <f t="shared" si="42"/>
        <v>2.9572566611769187</v>
      </c>
      <c r="O1500" s="154">
        <f t="shared" si="43"/>
        <v>0</v>
      </c>
      <c r="P1500" s="155"/>
      <c r="Q1500" s="145"/>
    </row>
    <row r="1501" spans="1:17" s="146" customFormat="1" ht="10.5" x14ac:dyDescent="0.25">
      <c r="A1501" s="151"/>
      <c r="B1501" s="152" t="str">
        <f t="shared" si="44"/>
        <v>PV3-93</v>
      </c>
      <c r="C1501" s="153"/>
      <c r="D1501" s="154"/>
      <c r="E1501" s="154">
        <v>1.8</v>
      </c>
      <c r="F1501" s="154">
        <v>1.8</v>
      </c>
      <c r="G1501" s="154">
        <f t="shared" si="45"/>
        <v>0.10999999999999979</v>
      </c>
      <c r="H1501" s="154"/>
      <c r="I1501" s="154"/>
      <c r="J1501" s="154">
        <v>0.6</v>
      </c>
      <c r="K1501" s="154"/>
      <c r="L1501" s="154"/>
      <c r="M1501" s="154"/>
      <c r="N1501" s="154">
        <f t="shared" si="42"/>
        <v>2.9572566611769187</v>
      </c>
      <c r="O1501" s="154">
        <f t="shared" si="43"/>
        <v>0.32529823272946046</v>
      </c>
      <c r="P1501" s="155"/>
      <c r="Q1501" s="145"/>
    </row>
    <row r="1502" spans="1:17" s="146" customFormat="1" ht="10.5" x14ac:dyDescent="0.25">
      <c r="A1502" s="151"/>
      <c r="B1502" s="152" t="str">
        <f t="shared" si="44"/>
        <v>PV1-94</v>
      </c>
      <c r="C1502" s="153"/>
      <c r="D1502" s="154"/>
      <c r="E1502" s="154">
        <v>1.8</v>
      </c>
      <c r="F1502" s="154">
        <v>1.8</v>
      </c>
      <c r="G1502" s="154">
        <f t="shared" si="45"/>
        <v>0</v>
      </c>
      <c r="H1502" s="154"/>
      <c r="I1502" s="154"/>
      <c r="J1502" s="154">
        <v>0.6</v>
      </c>
      <c r="K1502" s="154"/>
      <c r="L1502" s="154"/>
      <c r="M1502" s="154"/>
      <c r="N1502" s="154">
        <f t="shared" si="42"/>
        <v>2.9572566611769187</v>
      </c>
      <c r="O1502" s="154">
        <f t="shared" si="43"/>
        <v>0</v>
      </c>
      <c r="P1502" s="155"/>
      <c r="Q1502" s="145"/>
    </row>
    <row r="1503" spans="1:17" s="146" customFormat="1" ht="10.5" x14ac:dyDescent="0.25">
      <c r="A1503" s="151"/>
      <c r="B1503" s="152" t="str">
        <f t="shared" si="44"/>
        <v>PV2-94</v>
      </c>
      <c r="C1503" s="153"/>
      <c r="D1503" s="154"/>
      <c r="E1503" s="154">
        <v>1.8</v>
      </c>
      <c r="F1503" s="154">
        <v>1.8</v>
      </c>
      <c r="G1503" s="154">
        <f t="shared" si="45"/>
        <v>0</v>
      </c>
      <c r="H1503" s="154"/>
      <c r="I1503" s="154"/>
      <c r="J1503" s="154">
        <v>0.6</v>
      </c>
      <c r="K1503" s="154"/>
      <c r="L1503" s="154"/>
      <c r="M1503" s="154"/>
      <c r="N1503" s="154">
        <f t="shared" si="42"/>
        <v>2.9572566611769187</v>
      </c>
      <c r="O1503" s="154">
        <f t="shared" si="43"/>
        <v>0</v>
      </c>
      <c r="P1503" s="155"/>
      <c r="Q1503" s="145"/>
    </row>
    <row r="1504" spans="1:17" s="146" customFormat="1" ht="10.5" x14ac:dyDescent="0.25">
      <c r="A1504" s="151"/>
      <c r="B1504" s="152" t="str">
        <f t="shared" si="44"/>
        <v>PV3-94</v>
      </c>
      <c r="C1504" s="153"/>
      <c r="D1504" s="154"/>
      <c r="E1504" s="154">
        <v>1.8</v>
      </c>
      <c r="F1504" s="154">
        <v>1.8</v>
      </c>
      <c r="G1504" s="154">
        <f t="shared" si="45"/>
        <v>0.1199999999999998</v>
      </c>
      <c r="H1504" s="154"/>
      <c r="I1504" s="154"/>
      <c r="J1504" s="154">
        <v>0.6</v>
      </c>
      <c r="K1504" s="154"/>
      <c r="L1504" s="154"/>
      <c r="M1504" s="154"/>
      <c r="N1504" s="154">
        <f t="shared" si="42"/>
        <v>2.9572566611769187</v>
      </c>
      <c r="O1504" s="154">
        <f t="shared" si="43"/>
        <v>0.35487079934122967</v>
      </c>
      <c r="P1504" s="155"/>
      <c r="Q1504" s="145"/>
    </row>
    <row r="1505" spans="1:17" s="146" customFormat="1" ht="10.5" x14ac:dyDescent="0.25">
      <c r="A1505" s="151"/>
      <c r="B1505" s="152" t="str">
        <f t="shared" si="44"/>
        <v>PV1-95</v>
      </c>
      <c r="C1505" s="153"/>
      <c r="D1505" s="154"/>
      <c r="E1505" s="154">
        <v>1.8</v>
      </c>
      <c r="F1505" s="154">
        <v>1.8</v>
      </c>
      <c r="G1505" s="154">
        <f t="shared" si="45"/>
        <v>0</v>
      </c>
      <c r="H1505" s="154"/>
      <c r="I1505" s="154"/>
      <c r="J1505" s="154">
        <v>0.6</v>
      </c>
      <c r="K1505" s="154"/>
      <c r="L1505" s="154"/>
      <c r="M1505" s="154"/>
      <c r="N1505" s="154">
        <f t="shared" si="42"/>
        <v>2.9572566611769187</v>
      </c>
      <c r="O1505" s="154">
        <f t="shared" si="43"/>
        <v>0</v>
      </c>
      <c r="P1505" s="155"/>
      <c r="Q1505" s="145"/>
    </row>
    <row r="1506" spans="1:17" s="146" customFormat="1" ht="10.5" x14ac:dyDescent="0.25">
      <c r="A1506" s="151"/>
      <c r="B1506" s="152" t="str">
        <f t="shared" si="44"/>
        <v>PV2-95</v>
      </c>
      <c r="C1506" s="153"/>
      <c r="D1506" s="154"/>
      <c r="E1506" s="154">
        <v>1.8</v>
      </c>
      <c r="F1506" s="154">
        <v>1.8</v>
      </c>
      <c r="G1506" s="154">
        <f t="shared" si="45"/>
        <v>0</v>
      </c>
      <c r="H1506" s="154"/>
      <c r="I1506" s="154"/>
      <c r="J1506" s="154">
        <v>0.6</v>
      </c>
      <c r="K1506" s="154"/>
      <c r="L1506" s="154"/>
      <c r="M1506" s="154"/>
      <c r="N1506" s="154">
        <f t="shared" si="42"/>
        <v>2.9572566611769187</v>
      </c>
      <c r="O1506" s="154">
        <f t="shared" si="43"/>
        <v>0</v>
      </c>
      <c r="P1506" s="155"/>
      <c r="Q1506" s="145"/>
    </row>
    <row r="1507" spans="1:17" s="146" customFormat="1" ht="10.5" x14ac:dyDescent="0.25">
      <c r="A1507" s="151"/>
      <c r="B1507" s="152" t="str">
        <f t="shared" si="44"/>
        <v>PV3-95</v>
      </c>
      <c r="C1507" s="153"/>
      <c r="D1507" s="154"/>
      <c r="E1507" s="154">
        <v>1.8</v>
      </c>
      <c r="F1507" s="154">
        <v>1.8</v>
      </c>
      <c r="G1507" s="154">
        <f t="shared" si="45"/>
        <v>9.0000000000000024E-2</v>
      </c>
      <c r="H1507" s="154"/>
      <c r="I1507" s="154"/>
      <c r="J1507" s="154">
        <v>0.6</v>
      </c>
      <c r="K1507" s="154"/>
      <c r="L1507" s="154"/>
      <c r="M1507" s="154"/>
      <c r="N1507" s="154">
        <f t="shared" si="42"/>
        <v>2.9572566611769187</v>
      </c>
      <c r="O1507" s="154">
        <f t="shared" si="43"/>
        <v>0.26615309950592275</v>
      </c>
      <c r="P1507" s="155"/>
      <c r="Q1507" s="145"/>
    </row>
    <row r="1508" spans="1:17" s="146" customFormat="1" ht="10.5" x14ac:dyDescent="0.25">
      <c r="A1508" s="151"/>
      <c r="B1508" s="152" t="str">
        <f t="shared" si="44"/>
        <v>PV1-96</v>
      </c>
      <c r="C1508" s="153"/>
      <c r="D1508" s="154"/>
      <c r="E1508" s="154">
        <v>1.8</v>
      </c>
      <c r="F1508" s="154">
        <v>1.8</v>
      </c>
      <c r="G1508" s="154">
        <f t="shared" si="45"/>
        <v>0</v>
      </c>
      <c r="H1508" s="154"/>
      <c r="I1508" s="154"/>
      <c r="J1508" s="154">
        <v>0.6</v>
      </c>
      <c r="K1508" s="154"/>
      <c r="L1508" s="154"/>
      <c r="M1508" s="154"/>
      <c r="N1508" s="154">
        <f t="shared" si="42"/>
        <v>2.9572566611769187</v>
      </c>
      <c r="O1508" s="154">
        <f t="shared" si="43"/>
        <v>0</v>
      </c>
      <c r="P1508" s="155"/>
      <c r="Q1508" s="145"/>
    </row>
    <row r="1509" spans="1:17" s="146" customFormat="1" ht="10.5" x14ac:dyDescent="0.25">
      <c r="A1509" s="151"/>
      <c r="B1509" s="152" t="str">
        <f t="shared" si="44"/>
        <v>PV2-96</v>
      </c>
      <c r="C1509" s="153"/>
      <c r="D1509" s="154"/>
      <c r="E1509" s="154">
        <v>1.8</v>
      </c>
      <c r="F1509" s="154">
        <v>1.8</v>
      </c>
      <c r="G1509" s="154">
        <f t="shared" si="45"/>
        <v>0.15</v>
      </c>
      <c r="H1509" s="154"/>
      <c r="I1509" s="154"/>
      <c r="J1509" s="154">
        <v>0.6</v>
      </c>
      <c r="K1509" s="154"/>
      <c r="L1509" s="154"/>
      <c r="M1509" s="154"/>
      <c r="N1509" s="154">
        <f t="shared" si="42"/>
        <v>2.9572566611769187</v>
      </c>
      <c r="O1509" s="154">
        <f t="shared" si="43"/>
        <v>0.44358849917653781</v>
      </c>
      <c r="P1509" s="155"/>
      <c r="Q1509" s="145"/>
    </row>
    <row r="1510" spans="1:17" s="146" customFormat="1" ht="10.5" x14ac:dyDescent="0.25">
      <c r="A1510" s="151"/>
      <c r="B1510" s="152" t="str">
        <f t="shared" si="44"/>
        <v>PV1-97</v>
      </c>
      <c r="C1510" s="153"/>
      <c r="D1510" s="154"/>
      <c r="E1510" s="154">
        <v>1.8</v>
      </c>
      <c r="F1510" s="154">
        <v>1.8</v>
      </c>
      <c r="G1510" s="154">
        <f t="shared" si="45"/>
        <v>0</v>
      </c>
      <c r="H1510" s="154"/>
      <c r="I1510" s="154"/>
      <c r="J1510" s="154">
        <v>0.6</v>
      </c>
      <c r="K1510" s="154"/>
      <c r="L1510" s="154"/>
      <c r="M1510" s="154"/>
      <c r="N1510" s="154">
        <f t="shared" si="42"/>
        <v>2.9572566611769187</v>
      </c>
      <c r="O1510" s="154">
        <f t="shared" si="43"/>
        <v>0</v>
      </c>
      <c r="P1510" s="155"/>
      <c r="Q1510" s="145"/>
    </row>
    <row r="1511" spans="1:17" s="146" customFormat="1" ht="10.5" x14ac:dyDescent="0.25">
      <c r="A1511" s="151"/>
      <c r="B1511" s="152" t="str">
        <f t="shared" si="44"/>
        <v>PV2-97</v>
      </c>
      <c r="C1511" s="153"/>
      <c r="D1511" s="154"/>
      <c r="E1511" s="154">
        <v>1.8</v>
      </c>
      <c r="F1511" s="154">
        <v>1.8</v>
      </c>
      <c r="G1511" s="154">
        <f t="shared" si="45"/>
        <v>0.15</v>
      </c>
      <c r="H1511" s="154"/>
      <c r="I1511" s="154"/>
      <c r="J1511" s="154">
        <v>0.6</v>
      </c>
      <c r="K1511" s="154"/>
      <c r="L1511" s="154"/>
      <c r="M1511" s="154"/>
      <c r="N1511" s="154">
        <f t="shared" si="42"/>
        <v>2.9572566611769187</v>
      </c>
      <c r="O1511" s="154">
        <f t="shared" si="43"/>
        <v>0.44358849917653781</v>
      </c>
      <c r="P1511" s="155"/>
      <c r="Q1511" s="145"/>
    </row>
    <row r="1512" spans="1:17" s="146" customFormat="1" ht="10.5" x14ac:dyDescent="0.25">
      <c r="A1512" s="151"/>
      <c r="B1512" s="152" t="str">
        <f t="shared" si="44"/>
        <v>PV3-97</v>
      </c>
      <c r="C1512" s="153"/>
      <c r="D1512" s="154"/>
      <c r="E1512" s="154">
        <v>1.8</v>
      </c>
      <c r="F1512" s="154">
        <v>1.8</v>
      </c>
      <c r="G1512" s="154">
        <f t="shared" si="45"/>
        <v>0.15</v>
      </c>
      <c r="H1512" s="154"/>
      <c r="I1512" s="154"/>
      <c r="J1512" s="154">
        <v>0.6</v>
      </c>
      <c r="K1512" s="154"/>
      <c r="L1512" s="154"/>
      <c r="M1512" s="154"/>
      <c r="N1512" s="154">
        <f t="shared" si="42"/>
        <v>2.9572566611769187</v>
      </c>
      <c r="O1512" s="154">
        <f t="shared" si="43"/>
        <v>0.44358849917653781</v>
      </c>
      <c r="P1512" s="155"/>
      <c r="Q1512" s="145"/>
    </row>
    <row r="1513" spans="1:17" s="146" customFormat="1" ht="10.5" x14ac:dyDescent="0.25">
      <c r="A1513" s="151"/>
      <c r="B1513" s="152" t="str">
        <f t="shared" si="44"/>
        <v>PV1-98</v>
      </c>
      <c r="C1513" s="153"/>
      <c r="D1513" s="154"/>
      <c r="E1513" s="154">
        <v>1.8</v>
      </c>
      <c r="F1513" s="154">
        <v>1.8</v>
      </c>
      <c r="G1513" s="154">
        <f t="shared" si="45"/>
        <v>0</v>
      </c>
      <c r="H1513" s="154"/>
      <c r="I1513" s="154"/>
      <c r="J1513" s="154">
        <v>0.6</v>
      </c>
      <c r="K1513" s="154"/>
      <c r="L1513" s="154"/>
      <c r="M1513" s="154"/>
      <c r="N1513" s="154">
        <f t="shared" si="42"/>
        <v>2.9572566611769187</v>
      </c>
      <c r="O1513" s="154">
        <f t="shared" si="43"/>
        <v>0</v>
      </c>
      <c r="P1513" s="155"/>
      <c r="Q1513" s="145"/>
    </row>
    <row r="1514" spans="1:17" s="146" customFormat="1" ht="10.5" x14ac:dyDescent="0.25">
      <c r="A1514" s="151"/>
      <c r="B1514" s="152" t="str">
        <f t="shared" si="44"/>
        <v>PV2-98</v>
      </c>
      <c r="C1514" s="153"/>
      <c r="D1514" s="154"/>
      <c r="E1514" s="154">
        <v>1.8</v>
      </c>
      <c r="F1514" s="154">
        <v>1.8</v>
      </c>
      <c r="G1514" s="154">
        <f t="shared" si="45"/>
        <v>0</v>
      </c>
      <c r="H1514" s="154"/>
      <c r="I1514" s="154"/>
      <c r="J1514" s="154">
        <v>0.6</v>
      </c>
      <c r="K1514" s="154"/>
      <c r="L1514" s="154"/>
      <c r="M1514" s="154"/>
      <c r="N1514" s="154">
        <f t="shared" si="42"/>
        <v>2.9572566611769187</v>
      </c>
      <c r="O1514" s="154">
        <f t="shared" si="43"/>
        <v>0</v>
      </c>
      <c r="P1514" s="155"/>
      <c r="Q1514" s="145"/>
    </row>
    <row r="1515" spans="1:17" s="146" customFormat="1" ht="10.5" x14ac:dyDescent="0.25">
      <c r="A1515" s="151"/>
      <c r="B1515" s="152" t="str">
        <f t="shared" si="44"/>
        <v>PV1-99</v>
      </c>
      <c r="C1515" s="153"/>
      <c r="D1515" s="154"/>
      <c r="E1515" s="154">
        <v>1.8</v>
      </c>
      <c r="F1515" s="154">
        <v>1.8</v>
      </c>
      <c r="G1515" s="154">
        <f t="shared" si="45"/>
        <v>0</v>
      </c>
      <c r="H1515" s="154"/>
      <c r="I1515" s="154"/>
      <c r="J1515" s="154">
        <v>0.6</v>
      </c>
      <c r="K1515" s="154"/>
      <c r="L1515" s="154"/>
      <c r="M1515" s="154"/>
      <c r="N1515" s="154">
        <f t="shared" si="42"/>
        <v>2.9572566611769187</v>
      </c>
      <c r="O1515" s="154">
        <f t="shared" si="43"/>
        <v>0</v>
      </c>
      <c r="P1515" s="155"/>
      <c r="Q1515" s="145"/>
    </row>
    <row r="1516" spans="1:17" s="146" customFormat="1" ht="10.5" x14ac:dyDescent="0.25">
      <c r="A1516" s="151"/>
      <c r="B1516" s="152" t="str">
        <f t="shared" si="44"/>
        <v>PV2-99</v>
      </c>
      <c r="C1516" s="153"/>
      <c r="D1516" s="154"/>
      <c r="E1516" s="154">
        <v>1.8</v>
      </c>
      <c r="F1516" s="154">
        <v>1.8</v>
      </c>
      <c r="G1516" s="154">
        <f t="shared" si="45"/>
        <v>2.9999999999999971E-2</v>
      </c>
      <c r="H1516" s="154"/>
      <c r="I1516" s="154"/>
      <c r="J1516" s="154">
        <v>0.6</v>
      </c>
      <c r="K1516" s="154"/>
      <c r="L1516" s="154"/>
      <c r="M1516" s="154"/>
      <c r="N1516" s="154">
        <f t="shared" si="42"/>
        <v>2.9572566611769187</v>
      </c>
      <c r="O1516" s="154">
        <f t="shared" si="43"/>
        <v>8.8717699835307473E-2</v>
      </c>
      <c r="P1516" s="155"/>
      <c r="Q1516" s="145"/>
    </row>
    <row r="1517" spans="1:17" s="146" customFormat="1" ht="10.5" x14ac:dyDescent="0.25">
      <c r="A1517" s="151"/>
      <c r="B1517" s="152" t="str">
        <f t="shared" si="44"/>
        <v>PV1-100</v>
      </c>
      <c r="C1517" s="153"/>
      <c r="D1517" s="154"/>
      <c r="E1517" s="154">
        <v>1.8</v>
      </c>
      <c r="F1517" s="154">
        <v>1.8</v>
      </c>
      <c r="G1517" s="154">
        <f t="shared" si="45"/>
        <v>0</v>
      </c>
      <c r="H1517" s="154"/>
      <c r="I1517" s="154"/>
      <c r="J1517" s="154">
        <v>0.6</v>
      </c>
      <c r="K1517" s="154"/>
      <c r="L1517" s="154"/>
      <c r="M1517" s="154"/>
      <c r="N1517" s="154">
        <f t="shared" si="42"/>
        <v>2.9572566611769187</v>
      </c>
      <c r="O1517" s="154">
        <f t="shared" si="43"/>
        <v>0</v>
      </c>
      <c r="P1517" s="155"/>
      <c r="Q1517" s="145"/>
    </row>
    <row r="1518" spans="1:17" s="146" customFormat="1" ht="10.5" x14ac:dyDescent="0.25">
      <c r="A1518" s="151"/>
      <c r="B1518" s="152"/>
      <c r="C1518" s="153"/>
      <c r="D1518" s="154"/>
      <c r="E1518" s="154"/>
      <c r="F1518" s="154"/>
      <c r="G1518" s="154"/>
      <c r="H1518" s="154"/>
      <c r="I1518" s="154"/>
      <c r="J1518" s="154"/>
      <c r="K1518" s="154"/>
      <c r="L1518" s="156"/>
      <c r="M1518" s="154"/>
      <c r="N1518" s="154"/>
      <c r="O1518" s="154"/>
      <c r="P1518" s="155"/>
      <c r="Q1518" s="145"/>
    </row>
    <row r="1519" spans="1:17" s="146" customFormat="1" ht="10.5" x14ac:dyDescent="0.25">
      <c r="A1519" s="151"/>
      <c r="B1519" s="157" t="s">
        <v>377</v>
      </c>
      <c r="C1519" s="158" t="s">
        <v>402</v>
      </c>
      <c r="D1519" s="158"/>
      <c r="E1519" s="158"/>
      <c r="F1519" s="158"/>
      <c r="G1519" s="158"/>
      <c r="H1519" s="158"/>
      <c r="I1519" s="158"/>
      <c r="J1519" s="158"/>
      <c r="K1519" s="158"/>
      <c r="L1519" s="158"/>
      <c r="M1519" s="158"/>
      <c r="N1519" s="158"/>
      <c r="O1519" s="158">
        <f>SUM(O1477:O1518)</f>
        <v>5.8849407557420648</v>
      </c>
      <c r="P1519" s="159"/>
      <c r="Q1519" s="145"/>
    </row>
    <row r="1520" spans="1:17" s="150" customFormat="1" ht="21" x14ac:dyDescent="0.25">
      <c r="A1520" s="147" t="str">
        <f>ORÇAMENTO!A277</f>
        <v>4.3.11</v>
      </c>
      <c r="B1520" s="148" t="str">
        <f>VLOOKUP(A1520,ORÇAMENTO!$A:$F,4,0)</f>
        <v>REATERRO MANUAL APILOADO COM SOQUETE</v>
      </c>
      <c r="C1520" s="149" t="str">
        <f>VLOOKUP(A1520,ORÇAMENTO!$A:$F,5,0)</f>
        <v>M³</v>
      </c>
      <c r="D1520" s="149">
        <f>SUM(E1565:O1565)</f>
        <v>11.296720445695827</v>
      </c>
      <c r="E1520" s="149" t="s">
        <v>2149</v>
      </c>
      <c r="F1520" s="149" t="s">
        <v>2150</v>
      </c>
      <c r="G1520" s="149" t="s">
        <v>2151</v>
      </c>
      <c r="H1520" s="149" t="s">
        <v>2152</v>
      </c>
      <c r="I1520" s="149" t="s">
        <v>2153</v>
      </c>
      <c r="J1520" s="149" t="s">
        <v>2154</v>
      </c>
      <c r="K1520" s="149" t="s">
        <v>2155</v>
      </c>
      <c r="L1520" s="149" t="s">
        <v>2156</v>
      </c>
      <c r="M1520" s="149" t="s">
        <v>413</v>
      </c>
      <c r="N1520" s="149" t="s">
        <v>2157</v>
      </c>
      <c r="O1520" s="149" t="s">
        <v>2158</v>
      </c>
      <c r="P1520" s="145"/>
      <c r="Q1520" s="145"/>
    </row>
    <row r="1521" spans="1:17" s="146" customFormat="1" ht="10.5" x14ac:dyDescent="0.25">
      <c r="A1521" s="151"/>
      <c r="B1521" s="157"/>
      <c r="C1521" s="153"/>
      <c r="D1521" s="154"/>
      <c r="E1521" s="154"/>
      <c r="F1521" s="154"/>
      <c r="G1521" s="154"/>
      <c r="H1521" s="154"/>
      <c r="I1521" s="154"/>
      <c r="J1521" s="154"/>
      <c r="K1521" s="154"/>
      <c r="L1521" s="154"/>
      <c r="M1521" s="154"/>
      <c r="N1521" s="154"/>
      <c r="O1521" s="154"/>
      <c r="P1521" s="155"/>
      <c r="Q1521" s="145"/>
    </row>
    <row r="1522" spans="1:17" s="146" customFormat="1" ht="10.5" x14ac:dyDescent="0.25">
      <c r="A1522" s="151"/>
      <c r="B1522" s="152" t="s">
        <v>2326</v>
      </c>
      <c r="C1522" s="153"/>
      <c r="D1522" s="154"/>
      <c r="E1522" s="154"/>
      <c r="F1522" s="154"/>
      <c r="G1522" s="154"/>
      <c r="H1522" s="154"/>
      <c r="I1522" s="154"/>
      <c r="J1522" s="154"/>
      <c r="K1522" s="154"/>
      <c r="L1522" s="154"/>
      <c r="M1522" s="154"/>
      <c r="N1522" s="154"/>
      <c r="O1522" s="154"/>
      <c r="P1522" s="155"/>
      <c r="Q1522" s="145"/>
    </row>
    <row r="1523" spans="1:17" s="146" customFormat="1" ht="10.5" x14ac:dyDescent="0.25">
      <c r="A1523" s="151"/>
      <c r="B1523" s="152" t="str">
        <f>B1477</f>
        <v>PV1-87</v>
      </c>
      <c r="C1523" s="153"/>
      <c r="D1523" s="154"/>
      <c r="E1523" s="154">
        <v>1.8</v>
      </c>
      <c r="F1523" s="154">
        <v>1.8</v>
      </c>
      <c r="G1523" s="154">
        <f>IF(G1281&lt;=0.3,0,G1281-0.3)</f>
        <v>0</v>
      </c>
      <c r="H1523" s="154"/>
      <c r="I1523" s="154"/>
      <c r="J1523" s="154">
        <v>0.6</v>
      </c>
      <c r="K1523" s="154"/>
      <c r="L1523" s="154"/>
      <c r="M1523" s="154"/>
      <c r="N1523" s="154">
        <f t="shared" ref="N1523:N1563" si="46">(E1523*F1523)-(PI()*(J1523/2)^2)</f>
        <v>2.9572566611769187</v>
      </c>
      <c r="O1523" s="154">
        <f t="shared" ref="O1523:O1563" si="47">N1523*G1523</f>
        <v>0</v>
      </c>
      <c r="P1523" s="155"/>
      <c r="Q1523" s="145"/>
    </row>
    <row r="1524" spans="1:17" s="146" customFormat="1" ht="10.5" x14ac:dyDescent="0.25">
      <c r="A1524" s="151"/>
      <c r="B1524" s="152" t="str">
        <f t="shared" ref="B1524:B1563" si="48">B1478</f>
        <v>PV2-87</v>
      </c>
      <c r="C1524" s="153"/>
      <c r="D1524" s="154"/>
      <c r="E1524" s="154">
        <v>1.8</v>
      </c>
      <c r="F1524" s="154">
        <v>1.8</v>
      </c>
      <c r="G1524" s="154">
        <f t="shared" ref="G1524:G1563" si="49">IF(G1282&lt;=0.3,0,G1282-0.3)</f>
        <v>0</v>
      </c>
      <c r="H1524" s="154"/>
      <c r="I1524" s="154"/>
      <c r="J1524" s="154">
        <v>0.6</v>
      </c>
      <c r="K1524" s="154"/>
      <c r="L1524" s="154"/>
      <c r="M1524" s="154"/>
      <c r="N1524" s="154">
        <f t="shared" si="46"/>
        <v>2.9572566611769187</v>
      </c>
      <c r="O1524" s="154">
        <f t="shared" si="47"/>
        <v>0</v>
      </c>
      <c r="P1524" s="155"/>
      <c r="Q1524" s="145"/>
    </row>
    <row r="1525" spans="1:17" s="146" customFormat="1" ht="10.5" x14ac:dyDescent="0.25">
      <c r="A1525" s="151"/>
      <c r="B1525" s="152" t="str">
        <f t="shared" si="48"/>
        <v>PV3-87</v>
      </c>
      <c r="C1525" s="153"/>
      <c r="D1525" s="154"/>
      <c r="E1525" s="154">
        <v>1.8</v>
      </c>
      <c r="F1525" s="154">
        <v>1.8</v>
      </c>
      <c r="G1525" s="154">
        <f t="shared" si="49"/>
        <v>0</v>
      </c>
      <c r="H1525" s="154"/>
      <c r="I1525" s="154"/>
      <c r="J1525" s="154">
        <v>0.6</v>
      </c>
      <c r="K1525" s="154"/>
      <c r="L1525" s="154"/>
      <c r="M1525" s="154"/>
      <c r="N1525" s="154">
        <f t="shared" si="46"/>
        <v>2.9572566611769187</v>
      </c>
      <c r="O1525" s="154">
        <f t="shared" si="47"/>
        <v>0</v>
      </c>
      <c r="P1525" s="155"/>
      <c r="Q1525" s="145"/>
    </row>
    <row r="1526" spans="1:17" s="146" customFormat="1" ht="10.5" x14ac:dyDescent="0.25">
      <c r="A1526" s="151"/>
      <c r="B1526" s="152" t="str">
        <f t="shared" si="48"/>
        <v>PV4-87</v>
      </c>
      <c r="C1526" s="153"/>
      <c r="D1526" s="154"/>
      <c r="E1526" s="154">
        <v>1.8</v>
      </c>
      <c r="F1526" s="154">
        <v>1.8</v>
      </c>
      <c r="G1526" s="154">
        <f t="shared" si="49"/>
        <v>0</v>
      </c>
      <c r="H1526" s="154"/>
      <c r="I1526" s="154"/>
      <c r="J1526" s="154">
        <v>0.6</v>
      </c>
      <c r="K1526" s="154"/>
      <c r="L1526" s="154"/>
      <c r="M1526" s="154"/>
      <c r="N1526" s="154">
        <f t="shared" si="46"/>
        <v>2.9572566611769187</v>
      </c>
      <c r="O1526" s="154">
        <f t="shared" si="47"/>
        <v>0</v>
      </c>
      <c r="P1526" s="155"/>
      <c r="Q1526" s="145"/>
    </row>
    <row r="1527" spans="1:17" s="146" customFormat="1" ht="10.5" x14ac:dyDescent="0.25">
      <c r="A1527" s="151"/>
      <c r="B1527" s="152" t="str">
        <f t="shared" si="48"/>
        <v>PV5-87</v>
      </c>
      <c r="C1527" s="153"/>
      <c r="D1527" s="154"/>
      <c r="E1527" s="154">
        <v>1.8</v>
      </c>
      <c r="F1527" s="154">
        <v>1.8</v>
      </c>
      <c r="G1527" s="154">
        <f t="shared" si="49"/>
        <v>0</v>
      </c>
      <c r="H1527" s="154"/>
      <c r="I1527" s="154"/>
      <c r="J1527" s="154">
        <v>0.6</v>
      </c>
      <c r="K1527" s="154"/>
      <c r="L1527" s="154"/>
      <c r="M1527" s="154"/>
      <c r="N1527" s="154">
        <f t="shared" si="46"/>
        <v>2.9572566611769187</v>
      </c>
      <c r="O1527" s="154">
        <f t="shared" si="47"/>
        <v>0</v>
      </c>
      <c r="P1527" s="155"/>
      <c r="Q1527" s="145"/>
    </row>
    <row r="1528" spans="1:17" s="146" customFormat="1" ht="10.5" x14ac:dyDescent="0.25">
      <c r="A1528" s="151"/>
      <c r="B1528" s="152" t="str">
        <f t="shared" si="48"/>
        <v>PV10-87</v>
      </c>
      <c r="C1528" s="153"/>
      <c r="D1528" s="154"/>
      <c r="E1528" s="154">
        <v>1.8</v>
      </c>
      <c r="F1528" s="154">
        <v>1.8</v>
      </c>
      <c r="G1528" s="154">
        <f t="shared" si="49"/>
        <v>1.0699999999999998</v>
      </c>
      <c r="H1528" s="154"/>
      <c r="I1528" s="154"/>
      <c r="J1528" s="154">
        <v>0.6</v>
      </c>
      <c r="K1528" s="154"/>
      <c r="L1528" s="154"/>
      <c r="M1528" s="154"/>
      <c r="N1528" s="154">
        <f t="shared" si="46"/>
        <v>2.9572566611769187</v>
      </c>
      <c r="O1528" s="154">
        <f t="shared" si="47"/>
        <v>3.1642646274593025</v>
      </c>
      <c r="P1528" s="155"/>
      <c r="Q1528" s="145"/>
    </row>
    <row r="1529" spans="1:17" s="146" customFormat="1" ht="10.5" x14ac:dyDescent="0.25">
      <c r="A1529" s="151"/>
      <c r="B1529" s="152" t="str">
        <f t="shared" si="48"/>
        <v>PV15-87</v>
      </c>
      <c r="C1529" s="153"/>
      <c r="D1529" s="154"/>
      <c r="E1529" s="154">
        <v>1.8</v>
      </c>
      <c r="F1529" s="154">
        <v>1.8</v>
      </c>
      <c r="G1529" s="154">
        <f t="shared" si="49"/>
        <v>0.42</v>
      </c>
      <c r="H1529" s="154"/>
      <c r="I1529" s="154"/>
      <c r="J1529" s="154">
        <v>0.6</v>
      </c>
      <c r="K1529" s="154"/>
      <c r="L1529" s="154"/>
      <c r="M1529" s="154"/>
      <c r="N1529" s="154">
        <f t="shared" si="46"/>
        <v>2.9572566611769187</v>
      </c>
      <c r="O1529" s="154">
        <f t="shared" si="47"/>
        <v>1.2420477976943058</v>
      </c>
      <c r="P1529" s="155"/>
      <c r="Q1529" s="145"/>
    </row>
    <row r="1530" spans="1:17" s="146" customFormat="1" ht="10.5" x14ac:dyDescent="0.25">
      <c r="A1530" s="151"/>
      <c r="B1530" s="152" t="str">
        <f t="shared" si="48"/>
        <v>PV1-88</v>
      </c>
      <c r="C1530" s="153"/>
      <c r="D1530" s="154"/>
      <c r="E1530" s="154">
        <v>1.8</v>
      </c>
      <c r="F1530" s="154">
        <v>1.8</v>
      </c>
      <c r="G1530" s="154">
        <f t="shared" si="49"/>
        <v>0</v>
      </c>
      <c r="H1530" s="154"/>
      <c r="I1530" s="154"/>
      <c r="J1530" s="154">
        <v>0.6</v>
      </c>
      <c r="K1530" s="154"/>
      <c r="L1530" s="154"/>
      <c r="M1530" s="154"/>
      <c r="N1530" s="154">
        <f t="shared" si="46"/>
        <v>2.9572566611769187</v>
      </c>
      <c r="O1530" s="154">
        <f t="shared" si="47"/>
        <v>0</v>
      </c>
      <c r="P1530" s="155"/>
      <c r="Q1530" s="145"/>
    </row>
    <row r="1531" spans="1:17" s="146" customFormat="1" ht="10.5" x14ac:dyDescent="0.25">
      <c r="A1531" s="151"/>
      <c r="B1531" s="152" t="str">
        <f t="shared" si="48"/>
        <v>PV2-88</v>
      </c>
      <c r="C1531" s="153"/>
      <c r="D1531" s="154"/>
      <c r="E1531" s="154">
        <v>1.8</v>
      </c>
      <c r="F1531" s="154">
        <v>1.8</v>
      </c>
      <c r="G1531" s="154">
        <f t="shared" si="49"/>
        <v>0</v>
      </c>
      <c r="H1531" s="154"/>
      <c r="I1531" s="154"/>
      <c r="J1531" s="154">
        <v>0.6</v>
      </c>
      <c r="K1531" s="154"/>
      <c r="L1531" s="154"/>
      <c r="M1531" s="154"/>
      <c r="N1531" s="154">
        <f t="shared" si="46"/>
        <v>2.9572566611769187</v>
      </c>
      <c r="O1531" s="154">
        <f t="shared" si="47"/>
        <v>0</v>
      </c>
      <c r="P1531" s="155"/>
      <c r="Q1531" s="145"/>
    </row>
    <row r="1532" spans="1:17" s="146" customFormat="1" ht="10.5" x14ac:dyDescent="0.25">
      <c r="A1532" s="151"/>
      <c r="B1532" s="152" t="str">
        <f t="shared" si="48"/>
        <v>PV3-88</v>
      </c>
      <c r="C1532" s="153"/>
      <c r="D1532" s="154"/>
      <c r="E1532" s="154">
        <v>1.8</v>
      </c>
      <c r="F1532" s="154">
        <v>1.8</v>
      </c>
      <c r="G1532" s="154">
        <f t="shared" si="49"/>
        <v>0</v>
      </c>
      <c r="H1532" s="154"/>
      <c r="I1532" s="154"/>
      <c r="J1532" s="154">
        <v>0.6</v>
      </c>
      <c r="K1532" s="154"/>
      <c r="L1532" s="154"/>
      <c r="M1532" s="154"/>
      <c r="N1532" s="154">
        <f t="shared" si="46"/>
        <v>2.9572566611769187</v>
      </c>
      <c r="O1532" s="154">
        <f t="shared" si="47"/>
        <v>0</v>
      </c>
      <c r="P1532" s="155"/>
      <c r="Q1532" s="145"/>
    </row>
    <row r="1533" spans="1:17" s="146" customFormat="1" ht="10.5" x14ac:dyDescent="0.25">
      <c r="A1533" s="151"/>
      <c r="B1533" s="152" t="str">
        <f t="shared" si="48"/>
        <v>PV4-88</v>
      </c>
      <c r="C1533" s="153"/>
      <c r="D1533" s="154"/>
      <c r="E1533" s="154">
        <v>1.8</v>
      </c>
      <c r="F1533" s="154">
        <v>1.8</v>
      </c>
      <c r="G1533" s="154">
        <f t="shared" si="49"/>
        <v>0</v>
      </c>
      <c r="H1533" s="154"/>
      <c r="I1533" s="154"/>
      <c r="J1533" s="154">
        <v>0.6</v>
      </c>
      <c r="K1533" s="154"/>
      <c r="L1533" s="154"/>
      <c r="M1533" s="154"/>
      <c r="N1533" s="154">
        <f t="shared" si="46"/>
        <v>2.9572566611769187</v>
      </c>
      <c r="O1533" s="154">
        <f t="shared" si="47"/>
        <v>0</v>
      </c>
      <c r="P1533" s="155"/>
      <c r="Q1533" s="145"/>
    </row>
    <row r="1534" spans="1:17" s="146" customFormat="1" ht="10.5" x14ac:dyDescent="0.25">
      <c r="A1534" s="151"/>
      <c r="B1534" s="152" t="str">
        <f t="shared" si="48"/>
        <v>PV5-88</v>
      </c>
      <c r="C1534" s="153"/>
      <c r="D1534" s="154"/>
      <c r="E1534" s="154">
        <v>1.8</v>
      </c>
      <c r="F1534" s="154">
        <v>1.8</v>
      </c>
      <c r="G1534" s="154">
        <f t="shared" si="49"/>
        <v>5.9999999999999887E-2</v>
      </c>
      <c r="H1534" s="154"/>
      <c r="I1534" s="154"/>
      <c r="J1534" s="154">
        <v>0.6</v>
      </c>
      <c r="K1534" s="154"/>
      <c r="L1534" s="154"/>
      <c r="M1534" s="154"/>
      <c r="N1534" s="154">
        <f t="shared" si="46"/>
        <v>2.9572566611769187</v>
      </c>
      <c r="O1534" s="154">
        <f t="shared" si="47"/>
        <v>0.17743539967061478</v>
      </c>
      <c r="P1534" s="155"/>
      <c r="Q1534" s="145"/>
    </row>
    <row r="1535" spans="1:17" s="146" customFormat="1" ht="10.5" x14ac:dyDescent="0.25">
      <c r="A1535" s="151"/>
      <c r="B1535" s="152" t="str">
        <f t="shared" si="48"/>
        <v>PV6-88</v>
      </c>
      <c r="C1535" s="153"/>
      <c r="D1535" s="154"/>
      <c r="E1535" s="154">
        <v>1.8</v>
      </c>
      <c r="F1535" s="154">
        <v>1.8</v>
      </c>
      <c r="G1535" s="154">
        <f t="shared" si="49"/>
        <v>0.19</v>
      </c>
      <c r="H1535" s="154"/>
      <c r="I1535" s="154"/>
      <c r="J1535" s="154">
        <v>0.6</v>
      </c>
      <c r="K1535" s="154"/>
      <c r="L1535" s="154"/>
      <c r="M1535" s="154"/>
      <c r="N1535" s="154">
        <f t="shared" si="46"/>
        <v>2.9572566611769187</v>
      </c>
      <c r="O1535" s="154">
        <f t="shared" si="47"/>
        <v>0.5618787656236145</v>
      </c>
      <c r="P1535" s="155"/>
      <c r="Q1535" s="145"/>
    </row>
    <row r="1536" spans="1:17" s="146" customFormat="1" ht="10.5" x14ac:dyDescent="0.25">
      <c r="A1536" s="151"/>
      <c r="B1536" s="152" t="str">
        <f t="shared" si="48"/>
        <v>PV7-88</v>
      </c>
      <c r="C1536" s="153"/>
      <c r="D1536" s="154"/>
      <c r="E1536" s="154">
        <v>1.8</v>
      </c>
      <c r="F1536" s="154">
        <v>1.8</v>
      </c>
      <c r="G1536" s="154">
        <f t="shared" si="49"/>
        <v>0.69</v>
      </c>
      <c r="H1536" s="154"/>
      <c r="I1536" s="154"/>
      <c r="J1536" s="154">
        <v>0.6</v>
      </c>
      <c r="K1536" s="154"/>
      <c r="L1536" s="154"/>
      <c r="M1536" s="154"/>
      <c r="N1536" s="154">
        <f t="shared" si="46"/>
        <v>2.9572566611769187</v>
      </c>
      <c r="O1536" s="154">
        <f t="shared" si="47"/>
        <v>2.0405070962120737</v>
      </c>
      <c r="P1536" s="155"/>
      <c r="Q1536" s="145"/>
    </row>
    <row r="1537" spans="1:17" s="146" customFormat="1" ht="10.5" x14ac:dyDescent="0.25">
      <c r="A1537" s="151"/>
      <c r="B1537" s="152" t="str">
        <f t="shared" si="48"/>
        <v>PV1-90</v>
      </c>
      <c r="C1537" s="153"/>
      <c r="D1537" s="154"/>
      <c r="E1537" s="154">
        <v>1.8</v>
      </c>
      <c r="F1537" s="154">
        <v>1.8</v>
      </c>
      <c r="G1537" s="154">
        <f t="shared" si="49"/>
        <v>0</v>
      </c>
      <c r="H1537" s="154"/>
      <c r="I1537" s="154"/>
      <c r="J1537" s="154">
        <v>0.6</v>
      </c>
      <c r="K1537" s="154"/>
      <c r="L1537" s="154"/>
      <c r="M1537" s="154"/>
      <c r="N1537" s="154">
        <f t="shared" si="46"/>
        <v>2.9572566611769187</v>
      </c>
      <c r="O1537" s="154">
        <f t="shared" si="47"/>
        <v>0</v>
      </c>
      <c r="P1537" s="155"/>
      <c r="Q1537" s="145"/>
    </row>
    <row r="1538" spans="1:17" s="146" customFormat="1" ht="10.5" x14ac:dyDescent="0.25">
      <c r="A1538" s="151"/>
      <c r="B1538" s="152" t="str">
        <f t="shared" si="48"/>
        <v>PV2-90</v>
      </c>
      <c r="C1538" s="153"/>
      <c r="D1538" s="154"/>
      <c r="E1538" s="154">
        <v>1.8</v>
      </c>
      <c r="F1538" s="154">
        <v>1.8</v>
      </c>
      <c r="G1538" s="154">
        <f t="shared" si="49"/>
        <v>0</v>
      </c>
      <c r="H1538" s="154"/>
      <c r="I1538" s="154"/>
      <c r="J1538" s="154">
        <v>0.6</v>
      </c>
      <c r="K1538" s="154"/>
      <c r="L1538" s="154"/>
      <c r="M1538" s="154"/>
      <c r="N1538" s="154">
        <f t="shared" si="46"/>
        <v>2.9572566611769187</v>
      </c>
      <c r="O1538" s="154">
        <f t="shared" si="47"/>
        <v>0</v>
      </c>
      <c r="P1538" s="155"/>
      <c r="Q1538" s="145"/>
    </row>
    <row r="1539" spans="1:17" s="146" customFormat="1" ht="10.5" x14ac:dyDescent="0.25">
      <c r="A1539" s="151"/>
      <c r="B1539" s="152" t="str">
        <f t="shared" si="48"/>
        <v>PV3-90</v>
      </c>
      <c r="C1539" s="153"/>
      <c r="D1539" s="154"/>
      <c r="E1539" s="154">
        <v>1.8</v>
      </c>
      <c r="F1539" s="154">
        <v>1.8</v>
      </c>
      <c r="G1539" s="154">
        <f t="shared" si="49"/>
        <v>0</v>
      </c>
      <c r="H1539" s="154"/>
      <c r="I1539" s="154"/>
      <c r="J1539" s="154">
        <v>0.6</v>
      </c>
      <c r="K1539" s="154"/>
      <c r="L1539" s="154"/>
      <c r="M1539" s="154"/>
      <c r="N1539" s="154">
        <f t="shared" si="46"/>
        <v>2.9572566611769187</v>
      </c>
      <c r="O1539" s="154">
        <f t="shared" si="47"/>
        <v>0</v>
      </c>
      <c r="P1539" s="155"/>
      <c r="Q1539" s="145"/>
    </row>
    <row r="1540" spans="1:17" s="146" customFormat="1" ht="10.5" x14ac:dyDescent="0.25">
      <c r="A1540" s="151"/>
      <c r="B1540" s="152" t="str">
        <f t="shared" si="48"/>
        <v>PV2-91</v>
      </c>
      <c r="C1540" s="153"/>
      <c r="D1540" s="154"/>
      <c r="E1540" s="154">
        <v>1.8</v>
      </c>
      <c r="F1540" s="154">
        <v>1.8</v>
      </c>
      <c r="G1540" s="154">
        <f t="shared" si="49"/>
        <v>0</v>
      </c>
      <c r="H1540" s="154"/>
      <c r="I1540" s="154"/>
      <c r="J1540" s="154">
        <v>0.6</v>
      </c>
      <c r="K1540" s="154"/>
      <c r="L1540" s="154"/>
      <c r="M1540" s="154"/>
      <c r="N1540" s="154">
        <f t="shared" si="46"/>
        <v>2.9572566611769187</v>
      </c>
      <c r="O1540" s="154">
        <f t="shared" si="47"/>
        <v>0</v>
      </c>
      <c r="P1540" s="155"/>
      <c r="Q1540" s="145"/>
    </row>
    <row r="1541" spans="1:17" s="146" customFormat="1" ht="10.5" x14ac:dyDescent="0.25">
      <c r="A1541" s="151"/>
      <c r="B1541" s="152" t="str">
        <f t="shared" si="48"/>
        <v>PV3-91</v>
      </c>
      <c r="C1541" s="153"/>
      <c r="D1541" s="154"/>
      <c r="E1541" s="154">
        <v>1.8</v>
      </c>
      <c r="F1541" s="154">
        <v>1.8</v>
      </c>
      <c r="G1541" s="154">
        <f t="shared" si="49"/>
        <v>0</v>
      </c>
      <c r="H1541" s="154"/>
      <c r="I1541" s="154"/>
      <c r="J1541" s="154">
        <v>0.6</v>
      </c>
      <c r="K1541" s="154"/>
      <c r="L1541" s="154"/>
      <c r="M1541" s="154"/>
      <c r="N1541" s="154">
        <f t="shared" si="46"/>
        <v>2.9572566611769187</v>
      </c>
      <c r="O1541" s="154">
        <f t="shared" si="47"/>
        <v>0</v>
      </c>
      <c r="P1541" s="155"/>
      <c r="Q1541" s="145"/>
    </row>
    <row r="1542" spans="1:17" s="146" customFormat="1" ht="10.5" x14ac:dyDescent="0.25">
      <c r="A1542" s="151"/>
      <c r="B1542" s="152" t="str">
        <f t="shared" si="48"/>
        <v>PV1-92</v>
      </c>
      <c r="C1542" s="153"/>
      <c r="D1542" s="154"/>
      <c r="E1542" s="154">
        <v>1.8</v>
      </c>
      <c r="F1542" s="154">
        <v>1.8</v>
      </c>
      <c r="G1542" s="154">
        <f t="shared" si="49"/>
        <v>0</v>
      </c>
      <c r="H1542" s="154"/>
      <c r="I1542" s="154"/>
      <c r="J1542" s="154">
        <v>0.6</v>
      </c>
      <c r="K1542" s="154"/>
      <c r="L1542" s="154"/>
      <c r="M1542" s="154"/>
      <c r="N1542" s="154">
        <f t="shared" si="46"/>
        <v>2.9572566611769187</v>
      </c>
      <c r="O1542" s="154">
        <f t="shared" si="47"/>
        <v>0</v>
      </c>
      <c r="P1542" s="155"/>
      <c r="Q1542" s="145"/>
    </row>
    <row r="1543" spans="1:17" s="146" customFormat="1" ht="10.5" x14ac:dyDescent="0.25">
      <c r="A1543" s="151"/>
      <c r="B1543" s="152" t="str">
        <f t="shared" si="48"/>
        <v>PV2-92</v>
      </c>
      <c r="C1543" s="153"/>
      <c r="D1543" s="154"/>
      <c r="E1543" s="154">
        <v>1.8</v>
      </c>
      <c r="F1543" s="154">
        <v>1.8</v>
      </c>
      <c r="G1543" s="154">
        <f t="shared" si="49"/>
        <v>0</v>
      </c>
      <c r="H1543" s="154"/>
      <c r="I1543" s="154"/>
      <c r="J1543" s="154">
        <v>0.6</v>
      </c>
      <c r="K1543" s="154"/>
      <c r="L1543" s="154"/>
      <c r="M1543" s="154"/>
      <c r="N1543" s="154">
        <f t="shared" si="46"/>
        <v>2.9572566611769187</v>
      </c>
      <c r="O1543" s="154">
        <f t="shared" si="47"/>
        <v>0</v>
      </c>
      <c r="P1543" s="155"/>
      <c r="Q1543" s="145"/>
    </row>
    <row r="1544" spans="1:17" s="146" customFormat="1" ht="10.5" x14ac:dyDescent="0.25">
      <c r="A1544" s="151"/>
      <c r="B1544" s="152" t="str">
        <f t="shared" si="48"/>
        <v>PV3-92</v>
      </c>
      <c r="C1544" s="153"/>
      <c r="D1544" s="154"/>
      <c r="E1544" s="154">
        <v>1.8</v>
      </c>
      <c r="F1544" s="154">
        <v>1.8</v>
      </c>
      <c r="G1544" s="154">
        <f t="shared" si="49"/>
        <v>0</v>
      </c>
      <c r="H1544" s="154"/>
      <c r="I1544" s="154"/>
      <c r="J1544" s="154">
        <v>0.6</v>
      </c>
      <c r="K1544" s="154"/>
      <c r="L1544" s="154"/>
      <c r="M1544" s="154"/>
      <c r="N1544" s="154">
        <f t="shared" si="46"/>
        <v>2.9572566611769187</v>
      </c>
      <c r="O1544" s="154">
        <f t="shared" si="47"/>
        <v>0</v>
      </c>
      <c r="P1544" s="155"/>
      <c r="Q1544" s="145"/>
    </row>
    <row r="1545" spans="1:17" s="146" customFormat="1" ht="10.5" x14ac:dyDescent="0.25">
      <c r="A1545" s="151"/>
      <c r="B1545" s="152" t="str">
        <f t="shared" si="48"/>
        <v>PV1-93</v>
      </c>
      <c r="C1545" s="153"/>
      <c r="D1545" s="154"/>
      <c r="E1545" s="154">
        <v>1.8</v>
      </c>
      <c r="F1545" s="154">
        <v>1.8</v>
      </c>
      <c r="G1545" s="154">
        <f t="shared" si="49"/>
        <v>0</v>
      </c>
      <c r="H1545" s="154"/>
      <c r="I1545" s="154"/>
      <c r="J1545" s="154">
        <v>0.6</v>
      </c>
      <c r="K1545" s="154"/>
      <c r="L1545" s="154"/>
      <c r="M1545" s="154"/>
      <c r="N1545" s="154">
        <f t="shared" si="46"/>
        <v>2.9572566611769187</v>
      </c>
      <c r="O1545" s="154">
        <f t="shared" si="47"/>
        <v>0</v>
      </c>
      <c r="P1545" s="155"/>
      <c r="Q1545" s="145"/>
    </row>
    <row r="1546" spans="1:17" s="146" customFormat="1" ht="10.5" x14ac:dyDescent="0.25">
      <c r="A1546" s="151"/>
      <c r="B1546" s="152" t="str">
        <f t="shared" si="48"/>
        <v>PV2-93</v>
      </c>
      <c r="C1546" s="153"/>
      <c r="D1546" s="154"/>
      <c r="E1546" s="154">
        <v>1.8</v>
      </c>
      <c r="F1546" s="154">
        <v>1.8</v>
      </c>
      <c r="G1546" s="154">
        <f t="shared" si="49"/>
        <v>0</v>
      </c>
      <c r="H1546" s="154"/>
      <c r="I1546" s="154"/>
      <c r="J1546" s="154">
        <v>0.6</v>
      </c>
      <c r="K1546" s="154"/>
      <c r="L1546" s="154"/>
      <c r="M1546" s="154"/>
      <c r="N1546" s="154">
        <f t="shared" si="46"/>
        <v>2.9572566611769187</v>
      </c>
      <c r="O1546" s="154">
        <f t="shared" si="47"/>
        <v>0</v>
      </c>
      <c r="P1546" s="155"/>
      <c r="Q1546" s="145"/>
    </row>
    <row r="1547" spans="1:17" s="146" customFormat="1" ht="10.5" x14ac:dyDescent="0.25">
      <c r="A1547" s="151"/>
      <c r="B1547" s="152" t="str">
        <f t="shared" si="48"/>
        <v>PV3-93</v>
      </c>
      <c r="C1547" s="153"/>
      <c r="D1547" s="154"/>
      <c r="E1547" s="154">
        <v>1.8</v>
      </c>
      <c r="F1547" s="154">
        <v>1.8</v>
      </c>
      <c r="G1547" s="154">
        <f t="shared" si="49"/>
        <v>0</v>
      </c>
      <c r="H1547" s="154"/>
      <c r="I1547" s="154"/>
      <c r="J1547" s="154">
        <v>0.6</v>
      </c>
      <c r="K1547" s="154"/>
      <c r="L1547" s="154"/>
      <c r="M1547" s="154"/>
      <c r="N1547" s="154">
        <f t="shared" si="46"/>
        <v>2.9572566611769187</v>
      </c>
      <c r="O1547" s="154">
        <f t="shared" si="47"/>
        <v>0</v>
      </c>
      <c r="P1547" s="155"/>
      <c r="Q1547" s="145"/>
    </row>
    <row r="1548" spans="1:17" s="146" customFormat="1" ht="10.5" x14ac:dyDescent="0.25">
      <c r="A1548" s="151"/>
      <c r="B1548" s="152" t="str">
        <f t="shared" si="48"/>
        <v>PV1-94</v>
      </c>
      <c r="C1548" s="153"/>
      <c r="D1548" s="154"/>
      <c r="E1548" s="154">
        <v>1.8</v>
      </c>
      <c r="F1548" s="154">
        <v>1.8</v>
      </c>
      <c r="G1548" s="154">
        <f t="shared" si="49"/>
        <v>0</v>
      </c>
      <c r="H1548" s="154"/>
      <c r="I1548" s="154"/>
      <c r="J1548" s="154">
        <v>0.6</v>
      </c>
      <c r="K1548" s="154"/>
      <c r="L1548" s="154"/>
      <c r="M1548" s="154"/>
      <c r="N1548" s="154">
        <f t="shared" si="46"/>
        <v>2.9572566611769187</v>
      </c>
      <c r="O1548" s="154">
        <f t="shared" si="47"/>
        <v>0</v>
      </c>
      <c r="P1548" s="155"/>
      <c r="Q1548" s="145"/>
    </row>
    <row r="1549" spans="1:17" s="146" customFormat="1" ht="10.5" x14ac:dyDescent="0.25">
      <c r="A1549" s="151"/>
      <c r="B1549" s="152" t="str">
        <f t="shared" si="48"/>
        <v>PV2-94</v>
      </c>
      <c r="C1549" s="153"/>
      <c r="D1549" s="154"/>
      <c r="E1549" s="154">
        <v>1.8</v>
      </c>
      <c r="F1549" s="154">
        <v>1.8</v>
      </c>
      <c r="G1549" s="154">
        <f t="shared" si="49"/>
        <v>0</v>
      </c>
      <c r="H1549" s="154"/>
      <c r="I1549" s="154"/>
      <c r="J1549" s="154">
        <v>0.6</v>
      </c>
      <c r="K1549" s="154"/>
      <c r="L1549" s="154"/>
      <c r="M1549" s="154"/>
      <c r="N1549" s="154">
        <f t="shared" si="46"/>
        <v>2.9572566611769187</v>
      </c>
      <c r="O1549" s="154">
        <f t="shared" si="47"/>
        <v>0</v>
      </c>
      <c r="P1549" s="155"/>
      <c r="Q1549" s="145"/>
    </row>
    <row r="1550" spans="1:17" s="146" customFormat="1" ht="10.5" x14ac:dyDescent="0.25">
      <c r="A1550" s="151"/>
      <c r="B1550" s="152" t="str">
        <f t="shared" si="48"/>
        <v>PV3-94</v>
      </c>
      <c r="C1550" s="153"/>
      <c r="D1550" s="154"/>
      <c r="E1550" s="154">
        <v>1.8</v>
      </c>
      <c r="F1550" s="154">
        <v>1.8</v>
      </c>
      <c r="G1550" s="154">
        <f t="shared" si="49"/>
        <v>0</v>
      </c>
      <c r="H1550" s="154"/>
      <c r="I1550" s="154"/>
      <c r="J1550" s="154">
        <v>0.6</v>
      </c>
      <c r="K1550" s="154"/>
      <c r="L1550" s="154"/>
      <c r="M1550" s="154"/>
      <c r="N1550" s="154">
        <f t="shared" si="46"/>
        <v>2.9572566611769187</v>
      </c>
      <c r="O1550" s="154">
        <f t="shared" si="47"/>
        <v>0</v>
      </c>
      <c r="P1550" s="155"/>
      <c r="Q1550" s="145"/>
    </row>
    <row r="1551" spans="1:17" s="146" customFormat="1" ht="10.5" x14ac:dyDescent="0.25">
      <c r="A1551" s="151"/>
      <c r="B1551" s="152" t="str">
        <f t="shared" si="48"/>
        <v>PV1-95</v>
      </c>
      <c r="C1551" s="153"/>
      <c r="D1551" s="154"/>
      <c r="E1551" s="154">
        <v>1.8</v>
      </c>
      <c r="F1551" s="154">
        <v>1.8</v>
      </c>
      <c r="G1551" s="154">
        <f t="shared" si="49"/>
        <v>0</v>
      </c>
      <c r="H1551" s="154"/>
      <c r="I1551" s="154"/>
      <c r="J1551" s="154">
        <v>0.6</v>
      </c>
      <c r="K1551" s="154"/>
      <c r="L1551" s="154"/>
      <c r="M1551" s="154"/>
      <c r="N1551" s="154">
        <f t="shared" si="46"/>
        <v>2.9572566611769187</v>
      </c>
      <c r="O1551" s="154">
        <f t="shared" si="47"/>
        <v>0</v>
      </c>
      <c r="P1551" s="155"/>
      <c r="Q1551" s="145"/>
    </row>
    <row r="1552" spans="1:17" s="146" customFormat="1" ht="10.5" x14ac:dyDescent="0.25">
      <c r="A1552" s="151"/>
      <c r="B1552" s="152" t="str">
        <f t="shared" si="48"/>
        <v>PV2-95</v>
      </c>
      <c r="C1552" s="153"/>
      <c r="D1552" s="154"/>
      <c r="E1552" s="154">
        <v>1.8</v>
      </c>
      <c r="F1552" s="154">
        <v>1.8</v>
      </c>
      <c r="G1552" s="154">
        <f t="shared" si="49"/>
        <v>0</v>
      </c>
      <c r="H1552" s="154"/>
      <c r="I1552" s="154"/>
      <c r="J1552" s="154">
        <v>0.6</v>
      </c>
      <c r="K1552" s="154"/>
      <c r="L1552" s="154"/>
      <c r="M1552" s="154"/>
      <c r="N1552" s="154">
        <f t="shared" si="46"/>
        <v>2.9572566611769187</v>
      </c>
      <c r="O1552" s="154">
        <f t="shared" si="47"/>
        <v>0</v>
      </c>
      <c r="P1552" s="155"/>
      <c r="Q1552" s="145"/>
    </row>
    <row r="1553" spans="1:17" s="146" customFormat="1" ht="10.5" x14ac:dyDescent="0.25">
      <c r="A1553" s="151"/>
      <c r="B1553" s="152" t="str">
        <f t="shared" si="48"/>
        <v>PV3-95</v>
      </c>
      <c r="C1553" s="153"/>
      <c r="D1553" s="154"/>
      <c r="E1553" s="154">
        <v>1.8</v>
      </c>
      <c r="F1553" s="154">
        <v>1.8</v>
      </c>
      <c r="G1553" s="154">
        <f t="shared" si="49"/>
        <v>0</v>
      </c>
      <c r="H1553" s="154"/>
      <c r="I1553" s="154"/>
      <c r="J1553" s="154">
        <v>0.6</v>
      </c>
      <c r="K1553" s="154"/>
      <c r="L1553" s="154"/>
      <c r="M1553" s="154"/>
      <c r="N1553" s="154">
        <f t="shared" si="46"/>
        <v>2.9572566611769187</v>
      </c>
      <c r="O1553" s="154">
        <f t="shared" si="47"/>
        <v>0</v>
      </c>
      <c r="P1553" s="155"/>
      <c r="Q1553" s="145"/>
    </row>
    <row r="1554" spans="1:17" s="146" customFormat="1" ht="10.5" x14ac:dyDescent="0.25">
      <c r="A1554" s="151"/>
      <c r="B1554" s="152" t="str">
        <f t="shared" si="48"/>
        <v>PV1-96</v>
      </c>
      <c r="C1554" s="153"/>
      <c r="D1554" s="154"/>
      <c r="E1554" s="154">
        <v>1.8</v>
      </c>
      <c r="F1554" s="154">
        <v>1.8</v>
      </c>
      <c r="G1554" s="154">
        <f t="shared" si="49"/>
        <v>0</v>
      </c>
      <c r="H1554" s="154"/>
      <c r="I1554" s="154"/>
      <c r="J1554" s="154">
        <v>0.6</v>
      </c>
      <c r="K1554" s="154"/>
      <c r="L1554" s="154"/>
      <c r="M1554" s="154"/>
      <c r="N1554" s="154">
        <f t="shared" si="46"/>
        <v>2.9572566611769187</v>
      </c>
      <c r="O1554" s="154">
        <f t="shared" si="47"/>
        <v>0</v>
      </c>
      <c r="P1554" s="155"/>
      <c r="Q1554" s="145"/>
    </row>
    <row r="1555" spans="1:17" s="146" customFormat="1" ht="10.5" x14ac:dyDescent="0.25">
      <c r="A1555" s="151"/>
      <c r="B1555" s="152" t="str">
        <f t="shared" si="48"/>
        <v>PV2-96</v>
      </c>
      <c r="C1555" s="153"/>
      <c r="D1555" s="154"/>
      <c r="E1555" s="154">
        <v>1.8</v>
      </c>
      <c r="F1555" s="154">
        <v>1.8</v>
      </c>
      <c r="G1555" s="154">
        <f t="shared" si="49"/>
        <v>0.23000000000000004</v>
      </c>
      <c r="H1555" s="154"/>
      <c r="I1555" s="154"/>
      <c r="J1555" s="154">
        <v>0.6</v>
      </c>
      <c r="K1555" s="154"/>
      <c r="L1555" s="154"/>
      <c r="M1555" s="154"/>
      <c r="N1555" s="154">
        <f t="shared" si="46"/>
        <v>2.9572566611769187</v>
      </c>
      <c r="O1555" s="154">
        <f t="shared" si="47"/>
        <v>0.68016903207069135</v>
      </c>
      <c r="P1555" s="155"/>
      <c r="Q1555" s="145"/>
    </row>
    <row r="1556" spans="1:17" s="146" customFormat="1" ht="10.5" x14ac:dyDescent="0.25">
      <c r="A1556" s="151"/>
      <c r="B1556" s="152" t="str">
        <f t="shared" si="48"/>
        <v>PV1-97</v>
      </c>
      <c r="C1556" s="153"/>
      <c r="D1556" s="154"/>
      <c r="E1556" s="154">
        <v>1.8</v>
      </c>
      <c r="F1556" s="154">
        <v>1.8</v>
      </c>
      <c r="G1556" s="154">
        <f t="shared" si="49"/>
        <v>0</v>
      </c>
      <c r="H1556" s="154"/>
      <c r="I1556" s="154"/>
      <c r="J1556" s="154">
        <v>0.6</v>
      </c>
      <c r="K1556" s="154"/>
      <c r="L1556" s="154"/>
      <c r="M1556" s="154"/>
      <c r="N1556" s="154">
        <f t="shared" si="46"/>
        <v>2.9572566611769187</v>
      </c>
      <c r="O1556" s="154">
        <f t="shared" si="47"/>
        <v>0</v>
      </c>
      <c r="P1556" s="155"/>
      <c r="Q1556" s="145"/>
    </row>
    <row r="1557" spans="1:17" s="146" customFormat="1" ht="10.5" x14ac:dyDescent="0.25">
      <c r="A1557" s="151"/>
      <c r="B1557" s="152" t="str">
        <f t="shared" si="48"/>
        <v>PV2-97</v>
      </c>
      <c r="C1557" s="153"/>
      <c r="D1557" s="154"/>
      <c r="E1557" s="154">
        <v>1.8</v>
      </c>
      <c r="F1557" s="154">
        <v>1.8</v>
      </c>
      <c r="G1557" s="154">
        <f t="shared" si="49"/>
        <v>0.46</v>
      </c>
      <c r="H1557" s="154"/>
      <c r="I1557" s="154"/>
      <c r="J1557" s="154">
        <v>0.6</v>
      </c>
      <c r="K1557" s="154"/>
      <c r="L1557" s="154"/>
      <c r="M1557" s="154"/>
      <c r="N1557" s="154">
        <f t="shared" si="46"/>
        <v>2.9572566611769187</v>
      </c>
      <c r="O1557" s="154">
        <f t="shared" si="47"/>
        <v>1.3603380641413827</v>
      </c>
      <c r="P1557" s="155"/>
      <c r="Q1557" s="145"/>
    </row>
    <row r="1558" spans="1:17" s="146" customFormat="1" ht="10.5" x14ac:dyDescent="0.25">
      <c r="A1558" s="151"/>
      <c r="B1558" s="152" t="str">
        <f t="shared" si="48"/>
        <v>PV3-97</v>
      </c>
      <c r="C1558" s="153"/>
      <c r="D1558" s="154"/>
      <c r="E1558" s="154">
        <v>1.8</v>
      </c>
      <c r="F1558" s="154">
        <v>1.8</v>
      </c>
      <c r="G1558" s="154">
        <f t="shared" si="49"/>
        <v>0.69999999999999973</v>
      </c>
      <c r="H1558" s="154"/>
      <c r="I1558" s="154"/>
      <c r="J1558" s="154">
        <v>0.6</v>
      </c>
      <c r="K1558" s="154"/>
      <c r="L1558" s="154"/>
      <c r="M1558" s="154"/>
      <c r="N1558" s="154">
        <f t="shared" si="46"/>
        <v>2.9572566611769187</v>
      </c>
      <c r="O1558" s="154">
        <f t="shared" si="47"/>
        <v>2.0700796628238423</v>
      </c>
      <c r="P1558" s="155"/>
      <c r="Q1558" s="145"/>
    </row>
    <row r="1559" spans="1:17" s="146" customFormat="1" ht="10.5" x14ac:dyDescent="0.25">
      <c r="A1559" s="151"/>
      <c r="B1559" s="152" t="str">
        <f t="shared" si="48"/>
        <v>PV1-98</v>
      </c>
      <c r="C1559" s="153"/>
      <c r="D1559" s="154"/>
      <c r="E1559" s="154">
        <v>1.8</v>
      </c>
      <c r="F1559" s="154">
        <v>1.8</v>
      </c>
      <c r="G1559" s="154">
        <f t="shared" si="49"/>
        <v>0</v>
      </c>
      <c r="H1559" s="154"/>
      <c r="I1559" s="154"/>
      <c r="J1559" s="154">
        <v>0.6</v>
      </c>
      <c r="K1559" s="154"/>
      <c r="L1559" s="154"/>
      <c r="M1559" s="154"/>
      <c r="N1559" s="154">
        <f t="shared" si="46"/>
        <v>2.9572566611769187</v>
      </c>
      <c r="O1559" s="154">
        <f t="shared" si="47"/>
        <v>0</v>
      </c>
      <c r="P1559" s="155"/>
      <c r="Q1559" s="145"/>
    </row>
    <row r="1560" spans="1:17" s="146" customFormat="1" ht="10.5" x14ac:dyDescent="0.25">
      <c r="A1560" s="151"/>
      <c r="B1560" s="152" t="str">
        <f t="shared" si="48"/>
        <v>PV2-98</v>
      </c>
      <c r="C1560" s="153"/>
      <c r="D1560" s="154"/>
      <c r="E1560" s="154">
        <v>1.8</v>
      </c>
      <c r="F1560" s="154">
        <v>1.8</v>
      </c>
      <c r="G1560" s="154">
        <f t="shared" si="49"/>
        <v>0</v>
      </c>
      <c r="H1560" s="154"/>
      <c r="I1560" s="154"/>
      <c r="J1560" s="154">
        <v>0.6</v>
      </c>
      <c r="K1560" s="154"/>
      <c r="L1560" s="154"/>
      <c r="M1560" s="154"/>
      <c r="N1560" s="154">
        <f t="shared" si="46"/>
        <v>2.9572566611769187</v>
      </c>
      <c r="O1560" s="154">
        <f t="shared" si="47"/>
        <v>0</v>
      </c>
      <c r="P1560" s="155"/>
      <c r="Q1560" s="145"/>
    </row>
    <row r="1561" spans="1:17" s="146" customFormat="1" ht="10.5" x14ac:dyDescent="0.25">
      <c r="A1561" s="151"/>
      <c r="B1561" s="152" t="str">
        <f t="shared" si="48"/>
        <v>PV1-99</v>
      </c>
      <c r="C1561" s="153"/>
      <c r="D1561" s="154"/>
      <c r="E1561" s="154">
        <v>1.8</v>
      </c>
      <c r="F1561" s="154">
        <v>1.8</v>
      </c>
      <c r="G1561" s="154">
        <f t="shared" si="49"/>
        <v>0</v>
      </c>
      <c r="H1561" s="154"/>
      <c r="I1561" s="154"/>
      <c r="J1561" s="154">
        <v>0.6</v>
      </c>
      <c r="K1561" s="154"/>
      <c r="L1561" s="154"/>
      <c r="M1561" s="154"/>
      <c r="N1561" s="154">
        <f t="shared" si="46"/>
        <v>2.9572566611769187</v>
      </c>
      <c r="O1561" s="154">
        <f t="shared" si="47"/>
        <v>0</v>
      </c>
      <c r="P1561" s="155"/>
      <c r="Q1561" s="145"/>
    </row>
    <row r="1562" spans="1:17" s="146" customFormat="1" ht="10.5" x14ac:dyDescent="0.25">
      <c r="A1562" s="151"/>
      <c r="B1562" s="152" t="str">
        <f t="shared" si="48"/>
        <v>PV2-99</v>
      </c>
      <c r="C1562" s="153"/>
      <c r="D1562" s="154"/>
      <c r="E1562" s="154">
        <v>1.8</v>
      </c>
      <c r="F1562" s="154">
        <v>1.8</v>
      </c>
      <c r="G1562" s="154">
        <f t="shared" si="49"/>
        <v>0</v>
      </c>
      <c r="H1562" s="154"/>
      <c r="I1562" s="154"/>
      <c r="J1562" s="154">
        <v>0.6</v>
      </c>
      <c r="K1562" s="154"/>
      <c r="L1562" s="154"/>
      <c r="M1562" s="154"/>
      <c r="N1562" s="154">
        <f t="shared" si="46"/>
        <v>2.9572566611769187</v>
      </c>
      <c r="O1562" s="154">
        <f t="shared" si="47"/>
        <v>0</v>
      </c>
      <c r="P1562" s="155"/>
      <c r="Q1562" s="145"/>
    </row>
    <row r="1563" spans="1:17" s="146" customFormat="1" ht="10.5" x14ac:dyDescent="0.25">
      <c r="A1563" s="151"/>
      <c r="B1563" s="152" t="str">
        <f t="shared" si="48"/>
        <v>PV1-100</v>
      </c>
      <c r="C1563" s="153"/>
      <c r="D1563" s="154"/>
      <c r="E1563" s="154">
        <v>1.8</v>
      </c>
      <c r="F1563" s="154">
        <v>1.8</v>
      </c>
      <c r="G1563" s="154">
        <f t="shared" si="49"/>
        <v>0</v>
      </c>
      <c r="H1563" s="154"/>
      <c r="I1563" s="154"/>
      <c r="J1563" s="154">
        <v>0.6</v>
      </c>
      <c r="K1563" s="154"/>
      <c r="L1563" s="154"/>
      <c r="M1563" s="154"/>
      <c r="N1563" s="154">
        <f t="shared" si="46"/>
        <v>2.9572566611769187</v>
      </c>
      <c r="O1563" s="154">
        <f t="shared" si="47"/>
        <v>0</v>
      </c>
      <c r="P1563" s="155"/>
      <c r="Q1563" s="145"/>
    </row>
    <row r="1564" spans="1:17" s="146" customFormat="1" ht="10.5" x14ac:dyDescent="0.25">
      <c r="A1564" s="151"/>
      <c r="B1564" s="152"/>
      <c r="C1564" s="153"/>
      <c r="D1564" s="154"/>
      <c r="E1564" s="154"/>
      <c r="F1564" s="154"/>
      <c r="G1564" s="154"/>
      <c r="H1564" s="154"/>
      <c r="I1564" s="154"/>
      <c r="J1564" s="154"/>
      <c r="K1564" s="154"/>
      <c r="L1564" s="156"/>
      <c r="M1564" s="154"/>
      <c r="N1564" s="154"/>
      <c r="O1564" s="154"/>
      <c r="P1564" s="155"/>
      <c r="Q1564" s="145"/>
    </row>
    <row r="1565" spans="1:17" s="146" customFormat="1" ht="10.5" x14ac:dyDescent="0.25">
      <c r="A1565" s="151"/>
      <c r="B1565" s="157" t="s">
        <v>377</v>
      </c>
      <c r="C1565" s="158" t="s">
        <v>402</v>
      </c>
      <c r="D1565" s="158"/>
      <c r="E1565" s="158"/>
      <c r="F1565" s="158"/>
      <c r="G1565" s="158"/>
      <c r="H1565" s="158"/>
      <c r="I1565" s="158"/>
      <c r="J1565" s="158"/>
      <c r="K1565" s="158"/>
      <c r="L1565" s="158"/>
      <c r="M1565" s="158"/>
      <c r="N1565" s="158"/>
      <c r="O1565" s="158">
        <f>SUM(O1523:O1564)</f>
        <v>11.296720445695827</v>
      </c>
      <c r="P1565" s="159"/>
      <c r="Q1565" s="145"/>
    </row>
    <row r="1566" spans="1:17" s="150" customFormat="1" ht="21" x14ac:dyDescent="0.25">
      <c r="A1566" s="147" t="str">
        <f>ORÇAMENTO!A278</f>
        <v>4.3.12</v>
      </c>
      <c r="B1566" s="148" t="str">
        <f>VLOOKUP(A1566,ORÇAMENTO!$A:$F,4,0)</f>
        <v>COMPACTAÇÃO DE ATERROS A 100% DO PROCTOR INTERMEDIÁRIO</v>
      </c>
      <c r="C1566" s="149" t="str">
        <f>VLOOKUP(A1566,ORÇAMENTO!$A:$F,5,0)</f>
        <v>M³</v>
      </c>
      <c r="D1566" s="149">
        <f>SUM(E1611:O1611)</f>
        <v>11.296720445695827</v>
      </c>
      <c r="E1566" s="149" t="s">
        <v>2149</v>
      </c>
      <c r="F1566" s="149" t="s">
        <v>2150</v>
      </c>
      <c r="G1566" s="149" t="s">
        <v>2151</v>
      </c>
      <c r="H1566" s="149" t="s">
        <v>2152</v>
      </c>
      <c r="I1566" s="149" t="s">
        <v>2153</v>
      </c>
      <c r="J1566" s="149" t="s">
        <v>2154</v>
      </c>
      <c r="K1566" s="149" t="s">
        <v>2155</v>
      </c>
      <c r="L1566" s="149" t="s">
        <v>2156</v>
      </c>
      <c r="M1566" s="149" t="s">
        <v>413</v>
      </c>
      <c r="N1566" s="149" t="s">
        <v>2157</v>
      </c>
      <c r="O1566" s="149" t="s">
        <v>2158</v>
      </c>
      <c r="P1566" s="145"/>
      <c r="Q1566" s="145"/>
    </row>
    <row r="1567" spans="1:17" s="146" customFormat="1" ht="10.5" x14ac:dyDescent="0.25">
      <c r="A1567" s="151"/>
      <c r="B1567" s="157"/>
      <c r="C1567" s="153"/>
      <c r="D1567" s="154"/>
      <c r="E1567" s="154"/>
      <c r="F1567" s="154"/>
      <c r="G1567" s="154"/>
      <c r="H1567" s="154"/>
      <c r="I1567" s="154"/>
      <c r="J1567" s="154"/>
      <c r="K1567" s="154"/>
      <c r="L1567" s="154"/>
      <c r="M1567" s="154"/>
      <c r="N1567" s="154"/>
      <c r="O1567" s="154"/>
      <c r="P1567" s="155"/>
      <c r="Q1567" s="145"/>
    </row>
    <row r="1568" spans="1:17" s="146" customFormat="1" ht="10.5" x14ac:dyDescent="0.25">
      <c r="A1568" s="151"/>
      <c r="B1568" s="152" t="str">
        <f>B1522</f>
        <v>VOLUME = VOLUME DEMOLIDO - VOLUME DO PV</v>
      </c>
      <c r="C1568" s="153"/>
      <c r="D1568" s="154"/>
      <c r="E1568" s="154"/>
      <c r="F1568" s="154"/>
      <c r="G1568" s="154"/>
      <c r="H1568" s="154"/>
      <c r="I1568" s="154"/>
      <c r="J1568" s="154"/>
      <c r="K1568" s="154"/>
      <c r="L1568" s="154"/>
      <c r="M1568" s="154"/>
      <c r="N1568" s="154"/>
      <c r="O1568" s="154"/>
      <c r="P1568" s="155"/>
      <c r="Q1568" s="145"/>
    </row>
    <row r="1569" spans="1:17" s="146" customFormat="1" ht="10.5" x14ac:dyDescent="0.25">
      <c r="A1569" s="151"/>
      <c r="B1569" s="152" t="str">
        <f>B1523</f>
        <v>PV1-87</v>
      </c>
      <c r="C1569" s="153"/>
      <c r="D1569" s="154"/>
      <c r="E1569" s="154">
        <f>E1523</f>
        <v>1.8</v>
      </c>
      <c r="F1569" s="154">
        <f>F1523</f>
        <v>1.8</v>
      </c>
      <c r="G1569" s="154">
        <f>G1523</f>
        <v>0</v>
      </c>
      <c r="H1569" s="154"/>
      <c r="I1569" s="154"/>
      <c r="J1569" s="154">
        <f>J1523</f>
        <v>0.6</v>
      </c>
      <c r="K1569" s="154"/>
      <c r="L1569" s="154"/>
      <c r="M1569" s="154"/>
      <c r="N1569" s="154">
        <f t="shared" ref="N1569:N1609" si="50">(E1569*F1569)-(PI()*(J1569/2)^2)</f>
        <v>2.9572566611769187</v>
      </c>
      <c r="O1569" s="154">
        <f t="shared" ref="O1569:O1609" si="51">N1569*G1569</f>
        <v>0</v>
      </c>
      <c r="P1569" s="155"/>
      <c r="Q1569" s="145"/>
    </row>
    <row r="1570" spans="1:17" s="146" customFormat="1" ht="10.5" x14ac:dyDescent="0.25">
      <c r="A1570" s="151"/>
      <c r="B1570" s="152" t="str">
        <f t="shared" ref="B1570:B1609" si="52">B1524</f>
        <v>PV2-87</v>
      </c>
      <c r="C1570" s="153"/>
      <c r="D1570" s="154"/>
      <c r="E1570" s="154">
        <f t="shared" ref="E1570:G1585" si="53">E1524</f>
        <v>1.8</v>
      </c>
      <c r="F1570" s="154">
        <f t="shared" si="53"/>
        <v>1.8</v>
      </c>
      <c r="G1570" s="154">
        <f t="shared" si="53"/>
        <v>0</v>
      </c>
      <c r="H1570" s="154"/>
      <c r="I1570" s="154"/>
      <c r="J1570" s="154">
        <f t="shared" ref="J1570:J1609" si="54">J1524</f>
        <v>0.6</v>
      </c>
      <c r="K1570" s="154"/>
      <c r="L1570" s="154"/>
      <c r="M1570" s="154"/>
      <c r="N1570" s="154">
        <f t="shared" si="50"/>
        <v>2.9572566611769187</v>
      </c>
      <c r="O1570" s="154">
        <f t="shared" si="51"/>
        <v>0</v>
      </c>
      <c r="P1570" s="155"/>
      <c r="Q1570" s="145"/>
    </row>
    <row r="1571" spans="1:17" s="146" customFormat="1" ht="10.5" x14ac:dyDescent="0.25">
      <c r="A1571" s="151"/>
      <c r="B1571" s="152" t="str">
        <f t="shared" si="52"/>
        <v>PV3-87</v>
      </c>
      <c r="C1571" s="153"/>
      <c r="D1571" s="154"/>
      <c r="E1571" s="154">
        <f t="shared" si="53"/>
        <v>1.8</v>
      </c>
      <c r="F1571" s="154">
        <f t="shared" si="53"/>
        <v>1.8</v>
      </c>
      <c r="G1571" s="154">
        <f t="shared" si="53"/>
        <v>0</v>
      </c>
      <c r="H1571" s="154"/>
      <c r="I1571" s="154"/>
      <c r="J1571" s="154">
        <f t="shared" si="54"/>
        <v>0.6</v>
      </c>
      <c r="K1571" s="154"/>
      <c r="L1571" s="154"/>
      <c r="M1571" s="154"/>
      <c r="N1571" s="154">
        <f t="shared" si="50"/>
        <v>2.9572566611769187</v>
      </c>
      <c r="O1571" s="154">
        <f t="shared" si="51"/>
        <v>0</v>
      </c>
      <c r="P1571" s="155"/>
      <c r="Q1571" s="145"/>
    </row>
    <row r="1572" spans="1:17" s="146" customFormat="1" ht="10.5" x14ac:dyDescent="0.25">
      <c r="A1572" s="151"/>
      <c r="B1572" s="152" t="str">
        <f t="shared" si="52"/>
        <v>PV4-87</v>
      </c>
      <c r="C1572" s="153"/>
      <c r="D1572" s="154"/>
      <c r="E1572" s="154">
        <f t="shared" si="53"/>
        <v>1.8</v>
      </c>
      <c r="F1572" s="154">
        <f t="shared" si="53"/>
        <v>1.8</v>
      </c>
      <c r="G1572" s="154">
        <f t="shared" si="53"/>
        <v>0</v>
      </c>
      <c r="H1572" s="154"/>
      <c r="I1572" s="154"/>
      <c r="J1572" s="154">
        <f t="shared" si="54"/>
        <v>0.6</v>
      </c>
      <c r="K1572" s="154"/>
      <c r="L1572" s="154"/>
      <c r="M1572" s="154"/>
      <c r="N1572" s="154">
        <f t="shared" si="50"/>
        <v>2.9572566611769187</v>
      </c>
      <c r="O1572" s="154">
        <f t="shared" si="51"/>
        <v>0</v>
      </c>
      <c r="P1572" s="155"/>
      <c r="Q1572" s="145"/>
    </row>
    <row r="1573" spans="1:17" s="146" customFormat="1" ht="10.5" x14ac:dyDescent="0.25">
      <c r="A1573" s="151"/>
      <c r="B1573" s="152" t="str">
        <f t="shared" si="52"/>
        <v>PV5-87</v>
      </c>
      <c r="C1573" s="153"/>
      <c r="D1573" s="154"/>
      <c r="E1573" s="154">
        <f t="shared" si="53"/>
        <v>1.8</v>
      </c>
      <c r="F1573" s="154">
        <f t="shared" si="53"/>
        <v>1.8</v>
      </c>
      <c r="G1573" s="154">
        <f t="shared" si="53"/>
        <v>0</v>
      </c>
      <c r="H1573" s="154"/>
      <c r="I1573" s="154"/>
      <c r="J1573" s="154">
        <f t="shared" si="54"/>
        <v>0.6</v>
      </c>
      <c r="K1573" s="154"/>
      <c r="L1573" s="154"/>
      <c r="M1573" s="154"/>
      <c r="N1573" s="154">
        <f t="shared" si="50"/>
        <v>2.9572566611769187</v>
      </c>
      <c r="O1573" s="154">
        <f t="shared" si="51"/>
        <v>0</v>
      </c>
      <c r="P1573" s="155"/>
      <c r="Q1573" s="145"/>
    </row>
    <row r="1574" spans="1:17" s="146" customFormat="1" ht="10.5" x14ac:dyDescent="0.25">
      <c r="A1574" s="151"/>
      <c r="B1574" s="152" t="str">
        <f t="shared" si="52"/>
        <v>PV10-87</v>
      </c>
      <c r="C1574" s="153"/>
      <c r="D1574" s="154"/>
      <c r="E1574" s="154">
        <f t="shared" si="53"/>
        <v>1.8</v>
      </c>
      <c r="F1574" s="154">
        <f t="shared" si="53"/>
        <v>1.8</v>
      </c>
      <c r="G1574" s="154">
        <f t="shared" si="53"/>
        <v>1.0699999999999998</v>
      </c>
      <c r="H1574" s="154"/>
      <c r="I1574" s="154"/>
      <c r="J1574" s="154">
        <f t="shared" si="54"/>
        <v>0.6</v>
      </c>
      <c r="K1574" s="154"/>
      <c r="L1574" s="154"/>
      <c r="M1574" s="154"/>
      <c r="N1574" s="154">
        <f t="shared" si="50"/>
        <v>2.9572566611769187</v>
      </c>
      <c r="O1574" s="154">
        <f t="shared" si="51"/>
        <v>3.1642646274593025</v>
      </c>
      <c r="P1574" s="155"/>
      <c r="Q1574" s="145"/>
    </row>
    <row r="1575" spans="1:17" s="146" customFormat="1" ht="10.5" x14ac:dyDescent="0.25">
      <c r="A1575" s="151"/>
      <c r="B1575" s="152" t="str">
        <f t="shared" si="52"/>
        <v>PV15-87</v>
      </c>
      <c r="C1575" s="153"/>
      <c r="D1575" s="154"/>
      <c r="E1575" s="154">
        <f t="shared" si="53"/>
        <v>1.8</v>
      </c>
      <c r="F1575" s="154">
        <f t="shared" si="53"/>
        <v>1.8</v>
      </c>
      <c r="G1575" s="154">
        <f t="shared" si="53"/>
        <v>0.42</v>
      </c>
      <c r="H1575" s="154"/>
      <c r="I1575" s="154"/>
      <c r="J1575" s="154">
        <f t="shared" si="54"/>
        <v>0.6</v>
      </c>
      <c r="K1575" s="154"/>
      <c r="L1575" s="154"/>
      <c r="M1575" s="154"/>
      <c r="N1575" s="154">
        <f t="shared" si="50"/>
        <v>2.9572566611769187</v>
      </c>
      <c r="O1575" s="154">
        <f t="shared" si="51"/>
        <v>1.2420477976943058</v>
      </c>
      <c r="P1575" s="155"/>
      <c r="Q1575" s="145"/>
    </row>
    <row r="1576" spans="1:17" s="146" customFormat="1" ht="10.5" x14ac:dyDescent="0.25">
      <c r="A1576" s="151"/>
      <c r="B1576" s="152" t="str">
        <f t="shared" si="52"/>
        <v>PV1-88</v>
      </c>
      <c r="C1576" s="153"/>
      <c r="D1576" s="154"/>
      <c r="E1576" s="154">
        <f t="shared" si="53"/>
        <v>1.8</v>
      </c>
      <c r="F1576" s="154">
        <f t="shared" si="53"/>
        <v>1.8</v>
      </c>
      <c r="G1576" s="154">
        <f t="shared" si="53"/>
        <v>0</v>
      </c>
      <c r="H1576" s="154"/>
      <c r="I1576" s="154"/>
      <c r="J1576" s="154">
        <f t="shared" si="54"/>
        <v>0.6</v>
      </c>
      <c r="K1576" s="154"/>
      <c r="L1576" s="154"/>
      <c r="M1576" s="154"/>
      <c r="N1576" s="154">
        <f t="shared" si="50"/>
        <v>2.9572566611769187</v>
      </c>
      <c r="O1576" s="154">
        <f t="shared" si="51"/>
        <v>0</v>
      </c>
      <c r="P1576" s="155"/>
      <c r="Q1576" s="145"/>
    </row>
    <row r="1577" spans="1:17" s="146" customFormat="1" ht="10.5" x14ac:dyDescent="0.25">
      <c r="A1577" s="151"/>
      <c r="B1577" s="152" t="str">
        <f t="shared" si="52"/>
        <v>PV2-88</v>
      </c>
      <c r="C1577" s="153"/>
      <c r="D1577" s="154"/>
      <c r="E1577" s="154">
        <f t="shared" si="53"/>
        <v>1.8</v>
      </c>
      <c r="F1577" s="154">
        <f t="shared" si="53"/>
        <v>1.8</v>
      </c>
      <c r="G1577" s="154">
        <f t="shared" si="53"/>
        <v>0</v>
      </c>
      <c r="H1577" s="154"/>
      <c r="I1577" s="154"/>
      <c r="J1577" s="154">
        <f t="shared" si="54"/>
        <v>0.6</v>
      </c>
      <c r="K1577" s="154"/>
      <c r="L1577" s="154"/>
      <c r="M1577" s="154"/>
      <c r="N1577" s="154">
        <f t="shared" si="50"/>
        <v>2.9572566611769187</v>
      </c>
      <c r="O1577" s="154">
        <f t="shared" si="51"/>
        <v>0</v>
      </c>
      <c r="P1577" s="155"/>
      <c r="Q1577" s="145"/>
    </row>
    <row r="1578" spans="1:17" s="146" customFormat="1" ht="10.5" x14ac:dyDescent="0.25">
      <c r="A1578" s="151"/>
      <c r="B1578" s="152" t="str">
        <f t="shared" si="52"/>
        <v>PV3-88</v>
      </c>
      <c r="C1578" s="153"/>
      <c r="D1578" s="154"/>
      <c r="E1578" s="154">
        <f t="shared" si="53"/>
        <v>1.8</v>
      </c>
      <c r="F1578" s="154">
        <f t="shared" si="53"/>
        <v>1.8</v>
      </c>
      <c r="G1578" s="154">
        <f t="shared" si="53"/>
        <v>0</v>
      </c>
      <c r="H1578" s="154"/>
      <c r="I1578" s="154"/>
      <c r="J1578" s="154">
        <f t="shared" si="54"/>
        <v>0.6</v>
      </c>
      <c r="K1578" s="154"/>
      <c r="L1578" s="154"/>
      <c r="M1578" s="154"/>
      <c r="N1578" s="154">
        <f t="shared" si="50"/>
        <v>2.9572566611769187</v>
      </c>
      <c r="O1578" s="154">
        <f t="shared" si="51"/>
        <v>0</v>
      </c>
      <c r="P1578" s="155"/>
      <c r="Q1578" s="145"/>
    </row>
    <row r="1579" spans="1:17" s="146" customFormat="1" ht="10.5" x14ac:dyDescent="0.25">
      <c r="A1579" s="151"/>
      <c r="B1579" s="152" t="str">
        <f t="shared" si="52"/>
        <v>PV4-88</v>
      </c>
      <c r="C1579" s="153"/>
      <c r="D1579" s="154"/>
      <c r="E1579" s="154">
        <f t="shared" si="53"/>
        <v>1.8</v>
      </c>
      <c r="F1579" s="154">
        <f t="shared" si="53"/>
        <v>1.8</v>
      </c>
      <c r="G1579" s="154">
        <f t="shared" si="53"/>
        <v>0</v>
      </c>
      <c r="H1579" s="154"/>
      <c r="I1579" s="154"/>
      <c r="J1579" s="154">
        <f t="shared" si="54"/>
        <v>0.6</v>
      </c>
      <c r="K1579" s="154"/>
      <c r="L1579" s="154"/>
      <c r="M1579" s="154"/>
      <c r="N1579" s="154">
        <f t="shared" si="50"/>
        <v>2.9572566611769187</v>
      </c>
      <c r="O1579" s="154">
        <f t="shared" si="51"/>
        <v>0</v>
      </c>
      <c r="P1579" s="155"/>
      <c r="Q1579" s="145"/>
    </row>
    <row r="1580" spans="1:17" s="146" customFormat="1" ht="10.5" x14ac:dyDescent="0.25">
      <c r="A1580" s="151"/>
      <c r="B1580" s="152" t="str">
        <f t="shared" si="52"/>
        <v>PV5-88</v>
      </c>
      <c r="C1580" s="153"/>
      <c r="D1580" s="154"/>
      <c r="E1580" s="154">
        <f t="shared" si="53"/>
        <v>1.8</v>
      </c>
      <c r="F1580" s="154">
        <f t="shared" si="53"/>
        <v>1.8</v>
      </c>
      <c r="G1580" s="154">
        <f t="shared" si="53"/>
        <v>5.9999999999999887E-2</v>
      </c>
      <c r="H1580" s="154"/>
      <c r="I1580" s="154"/>
      <c r="J1580" s="154">
        <f t="shared" si="54"/>
        <v>0.6</v>
      </c>
      <c r="K1580" s="154"/>
      <c r="L1580" s="154"/>
      <c r="M1580" s="154"/>
      <c r="N1580" s="154">
        <f t="shared" si="50"/>
        <v>2.9572566611769187</v>
      </c>
      <c r="O1580" s="154">
        <f t="shared" si="51"/>
        <v>0.17743539967061478</v>
      </c>
      <c r="P1580" s="155"/>
      <c r="Q1580" s="145"/>
    </row>
    <row r="1581" spans="1:17" s="146" customFormat="1" ht="10.5" x14ac:dyDescent="0.25">
      <c r="A1581" s="151"/>
      <c r="B1581" s="152" t="str">
        <f t="shared" si="52"/>
        <v>PV6-88</v>
      </c>
      <c r="C1581" s="153"/>
      <c r="D1581" s="154"/>
      <c r="E1581" s="154">
        <f t="shared" si="53"/>
        <v>1.8</v>
      </c>
      <c r="F1581" s="154">
        <f t="shared" si="53"/>
        <v>1.8</v>
      </c>
      <c r="G1581" s="154">
        <f t="shared" si="53"/>
        <v>0.19</v>
      </c>
      <c r="H1581" s="154"/>
      <c r="I1581" s="154"/>
      <c r="J1581" s="154">
        <f t="shared" si="54"/>
        <v>0.6</v>
      </c>
      <c r="K1581" s="154"/>
      <c r="L1581" s="154"/>
      <c r="M1581" s="154"/>
      <c r="N1581" s="154">
        <f t="shared" si="50"/>
        <v>2.9572566611769187</v>
      </c>
      <c r="O1581" s="154">
        <f t="shared" si="51"/>
        <v>0.5618787656236145</v>
      </c>
      <c r="P1581" s="155"/>
      <c r="Q1581" s="145"/>
    </row>
    <row r="1582" spans="1:17" s="146" customFormat="1" ht="10.5" x14ac:dyDescent="0.25">
      <c r="A1582" s="151"/>
      <c r="B1582" s="152" t="str">
        <f t="shared" si="52"/>
        <v>PV7-88</v>
      </c>
      <c r="C1582" s="153"/>
      <c r="D1582" s="154"/>
      <c r="E1582" s="154">
        <f t="shared" si="53"/>
        <v>1.8</v>
      </c>
      <c r="F1582" s="154">
        <f t="shared" si="53"/>
        <v>1.8</v>
      </c>
      <c r="G1582" s="154">
        <f t="shared" si="53"/>
        <v>0.69</v>
      </c>
      <c r="H1582" s="154"/>
      <c r="I1582" s="154"/>
      <c r="J1582" s="154">
        <f t="shared" si="54"/>
        <v>0.6</v>
      </c>
      <c r="K1582" s="154"/>
      <c r="L1582" s="154"/>
      <c r="M1582" s="154"/>
      <c r="N1582" s="154">
        <f t="shared" si="50"/>
        <v>2.9572566611769187</v>
      </c>
      <c r="O1582" s="154">
        <f t="shared" si="51"/>
        <v>2.0405070962120737</v>
      </c>
      <c r="P1582" s="155"/>
      <c r="Q1582" s="145"/>
    </row>
    <row r="1583" spans="1:17" s="146" customFormat="1" ht="10.5" x14ac:dyDescent="0.25">
      <c r="A1583" s="151"/>
      <c r="B1583" s="152" t="str">
        <f t="shared" si="52"/>
        <v>PV1-90</v>
      </c>
      <c r="C1583" s="153"/>
      <c r="D1583" s="154"/>
      <c r="E1583" s="154">
        <f t="shared" si="53"/>
        <v>1.8</v>
      </c>
      <c r="F1583" s="154">
        <f t="shared" si="53"/>
        <v>1.8</v>
      </c>
      <c r="G1583" s="154">
        <f t="shared" si="53"/>
        <v>0</v>
      </c>
      <c r="H1583" s="154"/>
      <c r="I1583" s="154"/>
      <c r="J1583" s="154">
        <f t="shared" si="54"/>
        <v>0.6</v>
      </c>
      <c r="K1583" s="154"/>
      <c r="L1583" s="154"/>
      <c r="M1583" s="154"/>
      <c r="N1583" s="154">
        <f t="shared" si="50"/>
        <v>2.9572566611769187</v>
      </c>
      <c r="O1583" s="154">
        <f t="shared" si="51"/>
        <v>0</v>
      </c>
      <c r="P1583" s="155"/>
      <c r="Q1583" s="145"/>
    </row>
    <row r="1584" spans="1:17" s="146" customFormat="1" ht="10.5" x14ac:dyDescent="0.25">
      <c r="A1584" s="151"/>
      <c r="B1584" s="152" t="str">
        <f t="shared" si="52"/>
        <v>PV2-90</v>
      </c>
      <c r="C1584" s="153"/>
      <c r="D1584" s="154"/>
      <c r="E1584" s="154">
        <f t="shared" si="53"/>
        <v>1.8</v>
      </c>
      <c r="F1584" s="154">
        <f t="shared" si="53"/>
        <v>1.8</v>
      </c>
      <c r="G1584" s="154">
        <f t="shared" si="53"/>
        <v>0</v>
      </c>
      <c r="H1584" s="154"/>
      <c r="I1584" s="154"/>
      <c r="J1584" s="154">
        <f t="shared" si="54"/>
        <v>0.6</v>
      </c>
      <c r="K1584" s="154"/>
      <c r="L1584" s="154"/>
      <c r="M1584" s="154"/>
      <c r="N1584" s="154">
        <f t="shared" si="50"/>
        <v>2.9572566611769187</v>
      </c>
      <c r="O1584" s="154">
        <f t="shared" si="51"/>
        <v>0</v>
      </c>
      <c r="P1584" s="155"/>
      <c r="Q1584" s="145"/>
    </row>
    <row r="1585" spans="1:17" s="146" customFormat="1" ht="10.5" x14ac:dyDescent="0.25">
      <c r="A1585" s="151"/>
      <c r="B1585" s="152" t="str">
        <f t="shared" si="52"/>
        <v>PV3-90</v>
      </c>
      <c r="C1585" s="153"/>
      <c r="D1585" s="154"/>
      <c r="E1585" s="154">
        <f t="shared" si="53"/>
        <v>1.8</v>
      </c>
      <c r="F1585" s="154">
        <f t="shared" si="53"/>
        <v>1.8</v>
      </c>
      <c r="G1585" s="154">
        <f t="shared" si="53"/>
        <v>0</v>
      </c>
      <c r="H1585" s="154"/>
      <c r="I1585" s="154"/>
      <c r="J1585" s="154">
        <f t="shared" si="54"/>
        <v>0.6</v>
      </c>
      <c r="K1585" s="154"/>
      <c r="L1585" s="154"/>
      <c r="M1585" s="154"/>
      <c r="N1585" s="154">
        <f t="shared" si="50"/>
        <v>2.9572566611769187</v>
      </c>
      <c r="O1585" s="154">
        <f t="shared" si="51"/>
        <v>0</v>
      </c>
      <c r="P1585" s="155"/>
      <c r="Q1585" s="145"/>
    </row>
    <row r="1586" spans="1:17" s="146" customFormat="1" ht="10.5" x14ac:dyDescent="0.25">
      <c r="A1586" s="151"/>
      <c r="B1586" s="152" t="str">
        <f t="shared" si="52"/>
        <v>PV2-91</v>
      </c>
      <c r="C1586" s="153"/>
      <c r="D1586" s="154"/>
      <c r="E1586" s="154">
        <f t="shared" ref="E1586:G1601" si="55">E1540</f>
        <v>1.8</v>
      </c>
      <c r="F1586" s="154">
        <f t="shared" si="55"/>
        <v>1.8</v>
      </c>
      <c r="G1586" s="154">
        <f t="shared" si="55"/>
        <v>0</v>
      </c>
      <c r="H1586" s="154"/>
      <c r="I1586" s="154"/>
      <c r="J1586" s="154">
        <f t="shared" si="54"/>
        <v>0.6</v>
      </c>
      <c r="K1586" s="154"/>
      <c r="L1586" s="154"/>
      <c r="M1586" s="154"/>
      <c r="N1586" s="154">
        <f t="shared" si="50"/>
        <v>2.9572566611769187</v>
      </c>
      <c r="O1586" s="154">
        <f t="shared" si="51"/>
        <v>0</v>
      </c>
      <c r="P1586" s="155"/>
      <c r="Q1586" s="145"/>
    </row>
    <row r="1587" spans="1:17" s="146" customFormat="1" ht="10.5" x14ac:dyDescent="0.25">
      <c r="A1587" s="151"/>
      <c r="B1587" s="152" t="str">
        <f t="shared" si="52"/>
        <v>PV3-91</v>
      </c>
      <c r="C1587" s="153"/>
      <c r="D1587" s="154"/>
      <c r="E1587" s="154">
        <f t="shared" si="55"/>
        <v>1.8</v>
      </c>
      <c r="F1587" s="154">
        <f t="shared" si="55"/>
        <v>1.8</v>
      </c>
      <c r="G1587" s="154">
        <f t="shared" si="55"/>
        <v>0</v>
      </c>
      <c r="H1587" s="154"/>
      <c r="I1587" s="154"/>
      <c r="J1587" s="154">
        <f t="shared" si="54"/>
        <v>0.6</v>
      </c>
      <c r="K1587" s="154"/>
      <c r="L1587" s="154"/>
      <c r="M1587" s="154"/>
      <c r="N1587" s="154">
        <f t="shared" si="50"/>
        <v>2.9572566611769187</v>
      </c>
      <c r="O1587" s="154">
        <f t="shared" si="51"/>
        <v>0</v>
      </c>
      <c r="P1587" s="155"/>
      <c r="Q1587" s="145"/>
    </row>
    <row r="1588" spans="1:17" s="146" customFormat="1" ht="10.5" x14ac:dyDescent="0.25">
      <c r="A1588" s="151"/>
      <c r="B1588" s="152" t="str">
        <f t="shared" si="52"/>
        <v>PV1-92</v>
      </c>
      <c r="C1588" s="153"/>
      <c r="D1588" s="154"/>
      <c r="E1588" s="154">
        <f t="shared" si="55"/>
        <v>1.8</v>
      </c>
      <c r="F1588" s="154">
        <f t="shared" si="55"/>
        <v>1.8</v>
      </c>
      <c r="G1588" s="154">
        <f t="shared" si="55"/>
        <v>0</v>
      </c>
      <c r="H1588" s="154"/>
      <c r="I1588" s="154"/>
      <c r="J1588" s="154">
        <f t="shared" si="54"/>
        <v>0.6</v>
      </c>
      <c r="K1588" s="154"/>
      <c r="L1588" s="154"/>
      <c r="M1588" s="154"/>
      <c r="N1588" s="154">
        <f t="shared" si="50"/>
        <v>2.9572566611769187</v>
      </c>
      <c r="O1588" s="154">
        <f t="shared" si="51"/>
        <v>0</v>
      </c>
      <c r="P1588" s="155"/>
      <c r="Q1588" s="145"/>
    </row>
    <row r="1589" spans="1:17" s="146" customFormat="1" ht="10.5" x14ac:dyDescent="0.25">
      <c r="A1589" s="151"/>
      <c r="B1589" s="152" t="str">
        <f t="shared" si="52"/>
        <v>PV2-92</v>
      </c>
      <c r="C1589" s="153"/>
      <c r="D1589" s="154"/>
      <c r="E1589" s="154">
        <f t="shared" si="55"/>
        <v>1.8</v>
      </c>
      <c r="F1589" s="154">
        <f t="shared" si="55"/>
        <v>1.8</v>
      </c>
      <c r="G1589" s="154">
        <f t="shared" si="55"/>
        <v>0</v>
      </c>
      <c r="H1589" s="154"/>
      <c r="I1589" s="154"/>
      <c r="J1589" s="154">
        <f t="shared" si="54"/>
        <v>0.6</v>
      </c>
      <c r="K1589" s="154"/>
      <c r="L1589" s="154"/>
      <c r="M1589" s="154"/>
      <c r="N1589" s="154">
        <f t="shared" si="50"/>
        <v>2.9572566611769187</v>
      </c>
      <c r="O1589" s="154">
        <f t="shared" si="51"/>
        <v>0</v>
      </c>
      <c r="P1589" s="155"/>
      <c r="Q1589" s="145"/>
    </row>
    <row r="1590" spans="1:17" s="146" customFormat="1" ht="10.5" x14ac:dyDescent="0.25">
      <c r="A1590" s="151"/>
      <c r="B1590" s="152" t="str">
        <f t="shared" si="52"/>
        <v>PV3-92</v>
      </c>
      <c r="C1590" s="153"/>
      <c r="D1590" s="154"/>
      <c r="E1590" s="154">
        <f t="shared" si="55"/>
        <v>1.8</v>
      </c>
      <c r="F1590" s="154">
        <f t="shared" si="55"/>
        <v>1.8</v>
      </c>
      <c r="G1590" s="154">
        <f t="shared" si="55"/>
        <v>0</v>
      </c>
      <c r="H1590" s="154"/>
      <c r="I1590" s="154"/>
      <c r="J1590" s="154">
        <f t="shared" si="54"/>
        <v>0.6</v>
      </c>
      <c r="K1590" s="154"/>
      <c r="L1590" s="154"/>
      <c r="M1590" s="154"/>
      <c r="N1590" s="154">
        <f t="shared" si="50"/>
        <v>2.9572566611769187</v>
      </c>
      <c r="O1590" s="154">
        <f t="shared" si="51"/>
        <v>0</v>
      </c>
      <c r="P1590" s="155"/>
      <c r="Q1590" s="145"/>
    </row>
    <row r="1591" spans="1:17" s="146" customFormat="1" ht="10.5" x14ac:dyDescent="0.25">
      <c r="A1591" s="151"/>
      <c r="B1591" s="152" t="str">
        <f t="shared" si="52"/>
        <v>PV1-93</v>
      </c>
      <c r="C1591" s="153"/>
      <c r="D1591" s="154"/>
      <c r="E1591" s="154">
        <f t="shared" si="55"/>
        <v>1.8</v>
      </c>
      <c r="F1591" s="154">
        <f t="shared" si="55"/>
        <v>1.8</v>
      </c>
      <c r="G1591" s="154">
        <f t="shared" si="55"/>
        <v>0</v>
      </c>
      <c r="H1591" s="154"/>
      <c r="I1591" s="154"/>
      <c r="J1591" s="154">
        <f t="shared" si="54"/>
        <v>0.6</v>
      </c>
      <c r="K1591" s="154"/>
      <c r="L1591" s="154"/>
      <c r="M1591" s="154"/>
      <c r="N1591" s="154">
        <f t="shared" si="50"/>
        <v>2.9572566611769187</v>
      </c>
      <c r="O1591" s="154">
        <f t="shared" si="51"/>
        <v>0</v>
      </c>
      <c r="P1591" s="155"/>
      <c r="Q1591" s="145"/>
    </row>
    <row r="1592" spans="1:17" s="146" customFormat="1" ht="10.5" x14ac:dyDescent="0.25">
      <c r="A1592" s="151"/>
      <c r="B1592" s="152" t="str">
        <f t="shared" si="52"/>
        <v>PV2-93</v>
      </c>
      <c r="C1592" s="153"/>
      <c r="D1592" s="154"/>
      <c r="E1592" s="154">
        <f t="shared" si="55"/>
        <v>1.8</v>
      </c>
      <c r="F1592" s="154">
        <f t="shared" si="55"/>
        <v>1.8</v>
      </c>
      <c r="G1592" s="154">
        <f t="shared" si="55"/>
        <v>0</v>
      </c>
      <c r="H1592" s="154"/>
      <c r="I1592" s="154"/>
      <c r="J1592" s="154">
        <f t="shared" si="54"/>
        <v>0.6</v>
      </c>
      <c r="K1592" s="154"/>
      <c r="L1592" s="154"/>
      <c r="M1592" s="154"/>
      <c r="N1592" s="154">
        <f t="shared" si="50"/>
        <v>2.9572566611769187</v>
      </c>
      <c r="O1592" s="154">
        <f t="shared" si="51"/>
        <v>0</v>
      </c>
      <c r="P1592" s="155"/>
      <c r="Q1592" s="145"/>
    </row>
    <row r="1593" spans="1:17" s="146" customFormat="1" ht="10.5" x14ac:dyDescent="0.25">
      <c r="A1593" s="151"/>
      <c r="B1593" s="152" t="str">
        <f t="shared" si="52"/>
        <v>PV3-93</v>
      </c>
      <c r="C1593" s="153"/>
      <c r="D1593" s="154"/>
      <c r="E1593" s="154">
        <f t="shared" si="55"/>
        <v>1.8</v>
      </c>
      <c r="F1593" s="154">
        <f t="shared" si="55"/>
        <v>1.8</v>
      </c>
      <c r="G1593" s="154">
        <f t="shared" si="55"/>
        <v>0</v>
      </c>
      <c r="H1593" s="154"/>
      <c r="I1593" s="154"/>
      <c r="J1593" s="154">
        <f t="shared" si="54"/>
        <v>0.6</v>
      </c>
      <c r="K1593" s="154"/>
      <c r="L1593" s="154"/>
      <c r="M1593" s="154"/>
      <c r="N1593" s="154">
        <f t="shared" si="50"/>
        <v>2.9572566611769187</v>
      </c>
      <c r="O1593" s="154">
        <f t="shared" si="51"/>
        <v>0</v>
      </c>
      <c r="P1593" s="155"/>
      <c r="Q1593" s="145"/>
    </row>
    <row r="1594" spans="1:17" s="146" customFormat="1" ht="10.5" x14ac:dyDescent="0.25">
      <c r="A1594" s="151"/>
      <c r="B1594" s="152" t="str">
        <f t="shared" si="52"/>
        <v>PV1-94</v>
      </c>
      <c r="C1594" s="153"/>
      <c r="D1594" s="154"/>
      <c r="E1594" s="154">
        <f t="shared" si="55"/>
        <v>1.8</v>
      </c>
      <c r="F1594" s="154">
        <f t="shared" si="55"/>
        <v>1.8</v>
      </c>
      <c r="G1594" s="154">
        <f t="shared" si="55"/>
        <v>0</v>
      </c>
      <c r="H1594" s="154"/>
      <c r="I1594" s="154"/>
      <c r="J1594" s="154">
        <f t="shared" si="54"/>
        <v>0.6</v>
      </c>
      <c r="K1594" s="154"/>
      <c r="L1594" s="154"/>
      <c r="M1594" s="154"/>
      <c r="N1594" s="154">
        <f t="shared" si="50"/>
        <v>2.9572566611769187</v>
      </c>
      <c r="O1594" s="154">
        <f t="shared" si="51"/>
        <v>0</v>
      </c>
      <c r="P1594" s="155"/>
      <c r="Q1594" s="145"/>
    </row>
    <row r="1595" spans="1:17" s="146" customFormat="1" ht="10.5" x14ac:dyDescent="0.25">
      <c r="A1595" s="151"/>
      <c r="B1595" s="152" t="str">
        <f t="shared" si="52"/>
        <v>PV2-94</v>
      </c>
      <c r="C1595" s="153"/>
      <c r="D1595" s="154"/>
      <c r="E1595" s="154">
        <f t="shared" si="55"/>
        <v>1.8</v>
      </c>
      <c r="F1595" s="154">
        <f t="shared" si="55"/>
        <v>1.8</v>
      </c>
      <c r="G1595" s="154">
        <f t="shared" si="55"/>
        <v>0</v>
      </c>
      <c r="H1595" s="154"/>
      <c r="I1595" s="154"/>
      <c r="J1595" s="154">
        <f t="shared" si="54"/>
        <v>0.6</v>
      </c>
      <c r="K1595" s="154"/>
      <c r="L1595" s="154"/>
      <c r="M1595" s="154"/>
      <c r="N1595" s="154">
        <f t="shared" si="50"/>
        <v>2.9572566611769187</v>
      </c>
      <c r="O1595" s="154">
        <f t="shared" si="51"/>
        <v>0</v>
      </c>
      <c r="P1595" s="155"/>
      <c r="Q1595" s="145"/>
    </row>
    <row r="1596" spans="1:17" s="146" customFormat="1" ht="10.5" x14ac:dyDescent="0.25">
      <c r="A1596" s="151"/>
      <c r="B1596" s="152" t="str">
        <f t="shared" si="52"/>
        <v>PV3-94</v>
      </c>
      <c r="C1596" s="153"/>
      <c r="D1596" s="154"/>
      <c r="E1596" s="154">
        <f t="shared" si="55"/>
        <v>1.8</v>
      </c>
      <c r="F1596" s="154">
        <f t="shared" si="55"/>
        <v>1.8</v>
      </c>
      <c r="G1596" s="154">
        <f t="shared" si="55"/>
        <v>0</v>
      </c>
      <c r="H1596" s="154"/>
      <c r="I1596" s="154"/>
      <c r="J1596" s="154">
        <f t="shared" si="54"/>
        <v>0.6</v>
      </c>
      <c r="K1596" s="154"/>
      <c r="L1596" s="154"/>
      <c r="M1596" s="154"/>
      <c r="N1596" s="154">
        <f t="shared" si="50"/>
        <v>2.9572566611769187</v>
      </c>
      <c r="O1596" s="154">
        <f t="shared" si="51"/>
        <v>0</v>
      </c>
      <c r="P1596" s="155"/>
      <c r="Q1596" s="145"/>
    </row>
    <row r="1597" spans="1:17" s="146" customFormat="1" ht="10.5" x14ac:dyDescent="0.25">
      <c r="A1597" s="151"/>
      <c r="B1597" s="152" t="str">
        <f t="shared" si="52"/>
        <v>PV1-95</v>
      </c>
      <c r="C1597" s="153"/>
      <c r="D1597" s="154"/>
      <c r="E1597" s="154">
        <f t="shared" si="55"/>
        <v>1.8</v>
      </c>
      <c r="F1597" s="154">
        <f t="shared" si="55"/>
        <v>1.8</v>
      </c>
      <c r="G1597" s="154">
        <f t="shared" si="55"/>
        <v>0</v>
      </c>
      <c r="H1597" s="154"/>
      <c r="I1597" s="154"/>
      <c r="J1597" s="154">
        <f t="shared" si="54"/>
        <v>0.6</v>
      </c>
      <c r="K1597" s="154"/>
      <c r="L1597" s="154"/>
      <c r="M1597" s="154"/>
      <c r="N1597" s="154">
        <f t="shared" si="50"/>
        <v>2.9572566611769187</v>
      </c>
      <c r="O1597" s="154">
        <f t="shared" si="51"/>
        <v>0</v>
      </c>
      <c r="P1597" s="155"/>
      <c r="Q1597" s="145"/>
    </row>
    <row r="1598" spans="1:17" s="146" customFormat="1" ht="10.5" x14ac:dyDescent="0.25">
      <c r="A1598" s="151"/>
      <c r="B1598" s="152" t="str">
        <f t="shared" si="52"/>
        <v>PV2-95</v>
      </c>
      <c r="C1598" s="153"/>
      <c r="D1598" s="154"/>
      <c r="E1598" s="154">
        <f t="shared" si="55"/>
        <v>1.8</v>
      </c>
      <c r="F1598" s="154">
        <f t="shared" si="55"/>
        <v>1.8</v>
      </c>
      <c r="G1598" s="154">
        <f t="shared" si="55"/>
        <v>0</v>
      </c>
      <c r="H1598" s="154"/>
      <c r="I1598" s="154"/>
      <c r="J1598" s="154">
        <f t="shared" si="54"/>
        <v>0.6</v>
      </c>
      <c r="K1598" s="154"/>
      <c r="L1598" s="154"/>
      <c r="M1598" s="154"/>
      <c r="N1598" s="154">
        <f t="shared" si="50"/>
        <v>2.9572566611769187</v>
      </c>
      <c r="O1598" s="154">
        <f t="shared" si="51"/>
        <v>0</v>
      </c>
      <c r="P1598" s="155"/>
      <c r="Q1598" s="145"/>
    </row>
    <row r="1599" spans="1:17" s="146" customFormat="1" ht="10.5" x14ac:dyDescent="0.25">
      <c r="A1599" s="151"/>
      <c r="B1599" s="152" t="str">
        <f t="shared" si="52"/>
        <v>PV3-95</v>
      </c>
      <c r="C1599" s="153"/>
      <c r="D1599" s="154"/>
      <c r="E1599" s="154">
        <f t="shared" si="55"/>
        <v>1.8</v>
      </c>
      <c r="F1599" s="154">
        <f t="shared" si="55"/>
        <v>1.8</v>
      </c>
      <c r="G1599" s="154">
        <f t="shared" si="55"/>
        <v>0</v>
      </c>
      <c r="H1599" s="154"/>
      <c r="I1599" s="154"/>
      <c r="J1599" s="154">
        <f t="shared" si="54"/>
        <v>0.6</v>
      </c>
      <c r="K1599" s="154"/>
      <c r="L1599" s="154"/>
      <c r="M1599" s="154"/>
      <c r="N1599" s="154">
        <f t="shared" si="50"/>
        <v>2.9572566611769187</v>
      </c>
      <c r="O1599" s="154">
        <f t="shared" si="51"/>
        <v>0</v>
      </c>
      <c r="P1599" s="155"/>
      <c r="Q1599" s="145"/>
    </row>
    <row r="1600" spans="1:17" s="146" customFormat="1" ht="10.5" x14ac:dyDescent="0.25">
      <c r="A1600" s="151"/>
      <c r="B1600" s="152" t="str">
        <f t="shared" si="52"/>
        <v>PV1-96</v>
      </c>
      <c r="C1600" s="153"/>
      <c r="D1600" s="154"/>
      <c r="E1600" s="154">
        <f t="shared" si="55"/>
        <v>1.8</v>
      </c>
      <c r="F1600" s="154">
        <f t="shared" si="55"/>
        <v>1.8</v>
      </c>
      <c r="G1600" s="154">
        <f t="shared" si="55"/>
        <v>0</v>
      </c>
      <c r="H1600" s="154"/>
      <c r="I1600" s="154"/>
      <c r="J1600" s="154">
        <f t="shared" si="54"/>
        <v>0.6</v>
      </c>
      <c r="K1600" s="154"/>
      <c r="L1600" s="154"/>
      <c r="M1600" s="154"/>
      <c r="N1600" s="154">
        <f t="shared" si="50"/>
        <v>2.9572566611769187</v>
      </c>
      <c r="O1600" s="154">
        <f t="shared" si="51"/>
        <v>0</v>
      </c>
      <c r="P1600" s="155"/>
      <c r="Q1600" s="145"/>
    </row>
    <row r="1601" spans="1:17" s="146" customFormat="1" ht="10.5" x14ac:dyDescent="0.25">
      <c r="A1601" s="151"/>
      <c r="B1601" s="152" t="str">
        <f t="shared" si="52"/>
        <v>PV2-96</v>
      </c>
      <c r="C1601" s="153"/>
      <c r="D1601" s="154"/>
      <c r="E1601" s="154">
        <f t="shared" si="55"/>
        <v>1.8</v>
      </c>
      <c r="F1601" s="154">
        <f t="shared" si="55"/>
        <v>1.8</v>
      </c>
      <c r="G1601" s="154">
        <f t="shared" si="55"/>
        <v>0.23000000000000004</v>
      </c>
      <c r="H1601" s="154"/>
      <c r="I1601" s="154"/>
      <c r="J1601" s="154">
        <f t="shared" si="54"/>
        <v>0.6</v>
      </c>
      <c r="K1601" s="154"/>
      <c r="L1601" s="154"/>
      <c r="M1601" s="154"/>
      <c r="N1601" s="154">
        <f t="shared" si="50"/>
        <v>2.9572566611769187</v>
      </c>
      <c r="O1601" s="154">
        <f t="shared" si="51"/>
        <v>0.68016903207069135</v>
      </c>
      <c r="P1601" s="155"/>
      <c r="Q1601" s="145"/>
    </row>
    <row r="1602" spans="1:17" s="146" customFormat="1" ht="10.5" x14ac:dyDescent="0.25">
      <c r="A1602" s="151"/>
      <c r="B1602" s="152" t="str">
        <f t="shared" si="52"/>
        <v>PV1-97</v>
      </c>
      <c r="C1602" s="153"/>
      <c r="D1602" s="154"/>
      <c r="E1602" s="154">
        <f t="shared" ref="E1602:G1609" si="56">E1556</f>
        <v>1.8</v>
      </c>
      <c r="F1602" s="154">
        <f t="shared" si="56"/>
        <v>1.8</v>
      </c>
      <c r="G1602" s="154">
        <f t="shared" si="56"/>
        <v>0</v>
      </c>
      <c r="H1602" s="154"/>
      <c r="I1602" s="154"/>
      <c r="J1602" s="154">
        <f t="shared" si="54"/>
        <v>0.6</v>
      </c>
      <c r="K1602" s="154"/>
      <c r="L1602" s="154"/>
      <c r="M1602" s="154"/>
      <c r="N1602" s="154">
        <f t="shared" si="50"/>
        <v>2.9572566611769187</v>
      </c>
      <c r="O1602" s="154">
        <f t="shared" si="51"/>
        <v>0</v>
      </c>
      <c r="P1602" s="155"/>
      <c r="Q1602" s="145"/>
    </row>
    <row r="1603" spans="1:17" s="146" customFormat="1" ht="10.5" x14ac:dyDescent="0.25">
      <c r="A1603" s="151"/>
      <c r="B1603" s="152" t="str">
        <f t="shared" si="52"/>
        <v>PV2-97</v>
      </c>
      <c r="C1603" s="153"/>
      <c r="D1603" s="154"/>
      <c r="E1603" s="154">
        <f t="shared" si="56"/>
        <v>1.8</v>
      </c>
      <c r="F1603" s="154">
        <f t="shared" si="56"/>
        <v>1.8</v>
      </c>
      <c r="G1603" s="154">
        <f t="shared" si="56"/>
        <v>0.46</v>
      </c>
      <c r="H1603" s="154"/>
      <c r="I1603" s="154"/>
      <c r="J1603" s="154">
        <f t="shared" si="54"/>
        <v>0.6</v>
      </c>
      <c r="K1603" s="154"/>
      <c r="L1603" s="154"/>
      <c r="M1603" s="154"/>
      <c r="N1603" s="154">
        <f t="shared" si="50"/>
        <v>2.9572566611769187</v>
      </c>
      <c r="O1603" s="154">
        <f t="shared" si="51"/>
        <v>1.3603380641413827</v>
      </c>
      <c r="P1603" s="155"/>
      <c r="Q1603" s="145"/>
    </row>
    <row r="1604" spans="1:17" s="146" customFormat="1" ht="10.5" x14ac:dyDescent="0.25">
      <c r="A1604" s="151"/>
      <c r="B1604" s="152" t="str">
        <f t="shared" si="52"/>
        <v>PV3-97</v>
      </c>
      <c r="C1604" s="153"/>
      <c r="D1604" s="154"/>
      <c r="E1604" s="154">
        <f t="shared" si="56"/>
        <v>1.8</v>
      </c>
      <c r="F1604" s="154">
        <f t="shared" si="56"/>
        <v>1.8</v>
      </c>
      <c r="G1604" s="154">
        <f t="shared" si="56"/>
        <v>0.69999999999999973</v>
      </c>
      <c r="H1604" s="154"/>
      <c r="I1604" s="154"/>
      <c r="J1604" s="154">
        <f t="shared" si="54"/>
        <v>0.6</v>
      </c>
      <c r="K1604" s="154"/>
      <c r="L1604" s="154"/>
      <c r="M1604" s="154"/>
      <c r="N1604" s="154">
        <f t="shared" si="50"/>
        <v>2.9572566611769187</v>
      </c>
      <c r="O1604" s="154">
        <f t="shared" si="51"/>
        <v>2.0700796628238423</v>
      </c>
      <c r="P1604" s="155"/>
      <c r="Q1604" s="145"/>
    </row>
    <row r="1605" spans="1:17" s="146" customFormat="1" ht="10.5" x14ac:dyDescent="0.25">
      <c r="A1605" s="151"/>
      <c r="B1605" s="152" t="str">
        <f t="shared" si="52"/>
        <v>PV1-98</v>
      </c>
      <c r="C1605" s="153"/>
      <c r="D1605" s="154"/>
      <c r="E1605" s="154">
        <f t="shared" si="56"/>
        <v>1.8</v>
      </c>
      <c r="F1605" s="154">
        <f t="shared" si="56"/>
        <v>1.8</v>
      </c>
      <c r="G1605" s="154">
        <f t="shared" si="56"/>
        <v>0</v>
      </c>
      <c r="H1605" s="154"/>
      <c r="I1605" s="154"/>
      <c r="J1605" s="154">
        <f t="shared" si="54"/>
        <v>0.6</v>
      </c>
      <c r="K1605" s="154"/>
      <c r="L1605" s="154"/>
      <c r="M1605" s="154"/>
      <c r="N1605" s="154">
        <f t="shared" si="50"/>
        <v>2.9572566611769187</v>
      </c>
      <c r="O1605" s="154">
        <f t="shared" si="51"/>
        <v>0</v>
      </c>
      <c r="P1605" s="155"/>
      <c r="Q1605" s="145"/>
    </row>
    <row r="1606" spans="1:17" s="146" customFormat="1" ht="10.5" x14ac:dyDescent="0.25">
      <c r="A1606" s="151"/>
      <c r="B1606" s="152" t="str">
        <f t="shared" si="52"/>
        <v>PV2-98</v>
      </c>
      <c r="C1606" s="153"/>
      <c r="D1606" s="154"/>
      <c r="E1606" s="154">
        <f t="shared" si="56"/>
        <v>1.8</v>
      </c>
      <c r="F1606" s="154">
        <f t="shared" si="56"/>
        <v>1.8</v>
      </c>
      <c r="G1606" s="154">
        <f t="shared" si="56"/>
        <v>0</v>
      </c>
      <c r="H1606" s="154"/>
      <c r="I1606" s="154"/>
      <c r="J1606" s="154">
        <f t="shared" si="54"/>
        <v>0.6</v>
      </c>
      <c r="K1606" s="154"/>
      <c r="L1606" s="154"/>
      <c r="M1606" s="154"/>
      <c r="N1606" s="154">
        <f t="shared" si="50"/>
        <v>2.9572566611769187</v>
      </c>
      <c r="O1606" s="154">
        <f t="shared" si="51"/>
        <v>0</v>
      </c>
      <c r="P1606" s="155"/>
      <c r="Q1606" s="145"/>
    </row>
    <row r="1607" spans="1:17" s="146" customFormat="1" ht="10.5" x14ac:dyDescent="0.25">
      <c r="A1607" s="151"/>
      <c r="B1607" s="152" t="str">
        <f t="shared" si="52"/>
        <v>PV1-99</v>
      </c>
      <c r="C1607" s="153"/>
      <c r="D1607" s="154"/>
      <c r="E1607" s="154">
        <f t="shared" si="56"/>
        <v>1.8</v>
      </c>
      <c r="F1607" s="154">
        <f t="shared" si="56"/>
        <v>1.8</v>
      </c>
      <c r="G1607" s="154">
        <f t="shared" si="56"/>
        <v>0</v>
      </c>
      <c r="H1607" s="154"/>
      <c r="I1607" s="154"/>
      <c r="J1607" s="154">
        <f t="shared" si="54"/>
        <v>0.6</v>
      </c>
      <c r="K1607" s="154"/>
      <c r="L1607" s="154"/>
      <c r="M1607" s="154"/>
      <c r="N1607" s="154">
        <f t="shared" si="50"/>
        <v>2.9572566611769187</v>
      </c>
      <c r="O1607" s="154">
        <f t="shared" si="51"/>
        <v>0</v>
      </c>
      <c r="P1607" s="155"/>
      <c r="Q1607" s="145"/>
    </row>
    <row r="1608" spans="1:17" s="146" customFormat="1" ht="10.5" x14ac:dyDescent="0.25">
      <c r="A1608" s="151"/>
      <c r="B1608" s="152" t="str">
        <f t="shared" si="52"/>
        <v>PV2-99</v>
      </c>
      <c r="C1608" s="153"/>
      <c r="D1608" s="154"/>
      <c r="E1608" s="154">
        <f t="shared" si="56"/>
        <v>1.8</v>
      </c>
      <c r="F1608" s="154">
        <f t="shared" si="56"/>
        <v>1.8</v>
      </c>
      <c r="G1608" s="154">
        <f t="shared" si="56"/>
        <v>0</v>
      </c>
      <c r="H1608" s="154"/>
      <c r="I1608" s="154"/>
      <c r="J1608" s="154">
        <f t="shared" si="54"/>
        <v>0.6</v>
      </c>
      <c r="K1608" s="154"/>
      <c r="L1608" s="154"/>
      <c r="M1608" s="154"/>
      <c r="N1608" s="154">
        <f t="shared" si="50"/>
        <v>2.9572566611769187</v>
      </c>
      <c r="O1608" s="154">
        <f t="shared" si="51"/>
        <v>0</v>
      </c>
      <c r="P1608" s="155"/>
      <c r="Q1608" s="145"/>
    </row>
    <row r="1609" spans="1:17" s="146" customFormat="1" ht="10.5" x14ac:dyDescent="0.25">
      <c r="A1609" s="151"/>
      <c r="B1609" s="152" t="str">
        <f t="shared" si="52"/>
        <v>PV1-100</v>
      </c>
      <c r="C1609" s="153"/>
      <c r="D1609" s="154"/>
      <c r="E1609" s="154">
        <f t="shared" si="56"/>
        <v>1.8</v>
      </c>
      <c r="F1609" s="154">
        <f t="shared" si="56"/>
        <v>1.8</v>
      </c>
      <c r="G1609" s="154">
        <f t="shared" si="56"/>
        <v>0</v>
      </c>
      <c r="H1609" s="154"/>
      <c r="I1609" s="154"/>
      <c r="J1609" s="154">
        <f t="shared" si="54"/>
        <v>0.6</v>
      </c>
      <c r="K1609" s="154"/>
      <c r="L1609" s="154"/>
      <c r="M1609" s="154"/>
      <c r="N1609" s="154">
        <f t="shared" si="50"/>
        <v>2.9572566611769187</v>
      </c>
      <c r="O1609" s="154">
        <f t="shared" si="51"/>
        <v>0</v>
      </c>
      <c r="P1609" s="155"/>
      <c r="Q1609" s="145"/>
    </row>
    <row r="1610" spans="1:17" s="146" customFormat="1" ht="10.5" x14ac:dyDescent="0.25">
      <c r="A1610" s="151"/>
      <c r="B1610" s="152"/>
      <c r="C1610" s="153"/>
      <c r="D1610" s="154"/>
      <c r="E1610" s="154"/>
      <c r="F1610" s="154"/>
      <c r="G1610" s="154"/>
      <c r="H1610" s="154"/>
      <c r="I1610" s="154"/>
      <c r="J1610" s="154"/>
      <c r="K1610" s="154"/>
      <c r="L1610" s="156"/>
      <c r="M1610" s="154"/>
      <c r="N1610" s="154"/>
      <c r="O1610" s="154"/>
      <c r="P1610" s="155"/>
      <c r="Q1610" s="145"/>
    </row>
    <row r="1611" spans="1:17" s="146" customFormat="1" ht="10.5" x14ac:dyDescent="0.25">
      <c r="A1611" s="151"/>
      <c r="B1611" s="157" t="s">
        <v>377</v>
      </c>
      <c r="C1611" s="158" t="s">
        <v>402</v>
      </c>
      <c r="D1611" s="158"/>
      <c r="E1611" s="158"/>
      <c r="F1611" s="158"/>
      <c r="G1611" s="158"/>
      <c r="H1611" s="158"/>
      <c r="I1611" s="158"/>
      <c r="J1611" s="158"/>
      <c r="K1611" s="158"/>
      <c r="L1611" s="158"/>
      <c r="M1611" s="158"/>
      <c r="N1611" s="158"/>
      <c r="O1611" s="158">
        <f>SUM(O1569:O1610)</f>
        <v>11.296720445695827</v>
      </c>
      <c r="P1611" s="159"/>
      <c r="Q1611" s="145"/>
    </row>
    <row r="1612" spans="1:17" s="150" customFormat="1" ht="52.5" x14ac:dyDescent="0.25">
      <c r="A1612" s="147" t="str">
        <f>ORÇAMENTO!A279</f>
        <v>4.3.13</v>
      </c>
      <c r="B1612" s="148" t="str">
        <f>VLOOKUP(A1612,ORÇAMENTO!$A:$F,4,0)</f>
        <v>CARGA, MANOBRA E DESCARGA DE ENTULHO EM CAMINHÃO BASCULANTE 14 M³ - CARGA COM ESCAVADEIRA HIDRÁULICA  (CAÇAMBA DE 0,80 M³ / 111 HP) E DESCARGA LIVRE (UNIDADE: M3). AF_07/2020</v>
      </c>
      <c r="C1612" s="149" t="str">
        <f>VLOOKUP(A1612,ORÇAMENTO!$A:$F,5,0)</f>
        <v>M³</v>
      </c>
      <c r="D1612" s="149">
        <f>SUM(E1616:O1616)</f>
        <v>3.985199999999999</v>
      </c>
      <c r="E1612" s="149" t="s">
        <v>2149</v>
      </c>
      <c r="F1612" s="149" t="s">
        <v>2150</v>
      </c>
      <c r="G1612" s="149" t="s">
        <v>2151</v>
      </c>
      <c r="H1612" s="149" t="s">
        <v>2152</v>
      </c>
      <c r="I1612" s="149" t="s">
        <v>2153</v>
      </c>
      <c r="J1612" s="149" t="s">
        <v>2154</v>
      </c>
      <c r="K1612" s="149" t="s">
        <v>2172</v>
      </c>
      <c r="L1612" s="149" t="s">
        <v>2173</v>
      </c>
      <c r="M1612" s="149" t="s">
        <v>2160</v>
      </c>
      <c r="N1612" s="149" t="s">
        <v>2157</v>
      </c>
      <c r="O1612" s="149" t="s">
        <v>2158</v>
      </c>
      <c r="P1612" s="145"/>
      <c r="Q1612" s="145"/>
    </row>
    <row r="1613" spans="1:17" s="146" customFormat="1" ht="10.5" x14ac:dyDescent="0.25">
      <c r="A1613" s="151"/>
      <c r="B1613" s="152" t="s">
        <v>2279</v>
      </c>
      <c r="C1613" s="160"/>
      <c r="D1613" s="161"/>
      <c r="E1613" s="161"/>
      <c r="F1613" s="161"/>
      <c r="G1613" s="161"/>
      <c r="H1613" s="161">
        <v>0.03</v>
      </c>
      <c r="I1613" s="161"/>
      <c r="J1613" s="161"/>
      <c r="K1613" s="161"/>
      <c r="L1613" s="161"/>
      <c r="M1613" s="161"/>
      <c r="N1613" s="161">
        <f>N1225</f>
        <v>132.83999999999997</v>
      </c>
      <c r="O1613" s="161"/>
      <c r="P1613" s="155"/>
      <c r="Q1613" s="145"/>
    </row>
    <row r="1614" spans="1:17" s="146" customFormat="1" ht="10.5" x14ac:dyDescent="0.25">
      <c r="A1614" s="151"/>
      <c r="B1614" s="152" t="s">
        <v>2328</v>
      </c>
      <c r="C1614" s="160"/>
      <c r="D1614" s="161"/>
      <c r="E1614" s="161"/>
      <c r="F1614" s="161"/>
      <c r="G1614" s="161"/>
      <c r="H1614" s="161"/>
      <c r="I1614" s="161"/>
      <c r="J1614" s="161"/>
      <c r="K1614" s="161"/>
      <c r="L1614" s="161"/>
      <c r="M1614" s="161"/>
      <c r="N1614" s="161"/>
      <c r="O1614" s="161">
        <f>N1613*H1613</f>
        <v>3.985199999999999</v>
      </c>
      <c r="P1614" s="155"/>
      <c r="Q1614" s="145"/>
    </row>
    <row r="1615" spans="1:17" s="146" customFormat="1" ht="10.5" x14ac:dyDescent="0.25">
      <c r="A1615" s="151"/>
      <c r="B1615" s="152"/>
      <c r="C1615" s="160"/>
      <c r="D1615" s="161"/>
      <c r="E1615" s="161"/>
      <c r="F1615" s="161"/>
      <c r="G1615" s="161"/>
      <c r="H1615" s="161"/>
      <c r="I1615" s="161"/>
      <c r="J1615" s="161"/>
      <c r="K1615" s="161"/>
      <c r="L1615" s="162"/>
      <c r="M1615" s="161"/>
      <c r="N1615" s="161"/>
      <c r="O1615" s="161"/>
      <c r="P1615" s="155"/>
      <c r="Q1615" s="145"/>
    </row>
    <row r="1616" spans="1:17" s="146" customFormat="1" ht="10.5" x14ac:dyDescent="0.25">
      <c r="A1616" s="151"/>
      <c r="B1616" s="157" t="s">
        <v>377</v>
      </c>
      <c r="C1616" s="158" t="s">
        <v>402</v>
      </c>
      <c r="D1616" s="158"/>
      <c r="E1616" s="158"/>
      <c r="F1616" s="158"/>
      <c r="G1616" s="158"/>
      <c r="H1616" s="158"/>
      <c r="I1616" s="158"/>
      <c r="J1616" s="158"/>
      <c r="K1616" s="158"/>
      <c r="L1616" s="158"/>
      <c r="M1616" s="158"/>
      <c r="N1616" s="158"/>
      <c r="O1616" s="158">
        <f>SUM(O1614:O1615)</f>
        <v>3.985199999999999</v>
      </c>
      <c r="P1616" s="159"/>
      <c r="Q1616" s="145"/>
    </row>
    <row r="1617" spans="1:19" s="150" customFormat="1" ht="52.5" x14ac:dyDescent="0.25">
      <c r="A1617" s="147" t="str">
        <f>ORÇAMENTO!A280</f>
        <v>4.3.14</v>
      </c>
      <c r="B1617" s="148" t="str">
        <f>VLOOKUP(A1617,ORÇAMENTO!$A:$F,4,0)</f>
        <v>CARGA, MANOBRA E DESCARGA DE SOLOS E MATERIAIS GRANULARES EM CAMINHÃO BASCULANTE 14 M³ - CARGA COM ESCAVADEIRA HIDRÁULICA (CAÇAMBA DE 1,20 M³ / 155 HP) E DESCARGA LIVRE (UNIDADE: M3). AF_07/2020</v>
      </c>
      <c r="C1617" s="149" t="str">
        <f>VLOOKUP(A1617,ORÇAMENTO!$A:$F,5,0)</f>
        <v>M³</v>
      </c>
      <c r="D1617" s="149">
        <f>SUM(E1624:O1624)</f>
        <v>18.490738798562084</v>
      </c>
      <c r="E1617" s="149" t="s">
        <v>2149</v>
      </c>
      <c r="F1617" s="149" t="s">
        <v>2150</v>
      </c>
      <c r="G1617" s="149" t="s">
        <v>2151</v>
      </c>
      <c r="H1617" s="149" t="s">
        <v>2152</v>
      </c>
      <c r="I1617" s="149" t="s">
        <v>2153</v>
      </c>
      <c r="J1617" s="149" t="s">
        <v>2154</v>
      </c>
      <c r="K1617" s="149" t="s">
        <v>2172</v>
      </c>
      <c r="L1617" s="149" t="s">
        <v>2173</v>
      </c>
      <c r="M1617" s="149" t="s">
        <v>2160</v>
      </c>
      <c r="N1617" s="149" t="s">
        <v>2157</v>
      </c>
      <c r="O1617" s="149" t="s">
        <v>2158</v>
      </c>
      <c r="P1617" s="145"/>
      <c r="Q1617" s="145"/>
    </row>
    <row r="1618" spans="1:19" s="146" customFormat="1" ht="10.5" x14ac:dyDescent="0.25">
      <c r="A1618" s="151"/>
      <c r="B1618" s="152"/>
      <c r="C1618" s="153"/>
      <c r="D1618" s="154"/>
      <c r="E1618" s="154"/>
      <c r="F1618" s="154"/>
      <c r="G1618" s="154"/>
      <c r="H1618" s="154"/>
      <c r="I1618" s="154"/>
      <c r="J1618" s="154"/>
      <c r="K1618" s="154"/>
      <c r="L1618" s="154"/>
      <c r="M1618" s="154"/>
      <c r="N1618" s="154"/>
      <c r="O1618" s="154"/>
      <c r="P1618" s="155"/>
      <c r="Q1618" s="145"/>
    </row>
    <row r="1619" spans="1:19" s="146" customFormat="1" ht="10.5" x14ac:dyDescent="0.25">
      <c r="A1619" s="151"/>
      <c r="B1619" s="152" t="s">
        <v>2329</v>
      </c>
      <c r="C1619" s="153"/>
      <c r="D1619" s="154"/>
      <c r="E1619" s="154"/>
      <c r="F1619" s="154"/>
      <c r="G1619" s="154"/>
      <c r="H1619" s="154"/>
      <c r="I1619" s="154"/>
      <c r="J1619" s="154"/>
      <c r="K1619" s="154"/>
      <c r="L1619" s="154"/>
      <c r="M1619" s="154"/>
      <c r="N1619" s="154"/>
      <c r="O1619" s="154">
        <f>O1270+O1278</f>
        <v>35.672399999999975</v>
      </c>
      <c r="P1619" s="155"/>
      <c r="Q1619" s="145"/>
    </row>
    <row r="1620" spans="1:19" s="146" customFormat="1" ht="10.5" x14ac:dyDescent="0.25">
      <c r="A1620" s="151"/>
      <c r="B1620" s="152" t="s">
        <v>2330</v>
      </c>
      <c r="C1620" s="153"/>
      <c r="D1620" s="154"/>
      <c r="E1620" s="154"/>
      <c r="F1620" s="154"/>
      <c r="G1620" s="154"/>
      <c r="H1620" s="154"/>
      <c r="I1620" s="154"/>
      <c r="J1620" s="154"/>
      <c r="K1620" s="154"/>
      <c r="L1620" s="154"/>
      <c r="M1620" s="154"/>
      <c r="N1620" s="154"/>
      <c r="O1620" s="154">
        <f>O1611+O1519</f>
        <v>17.18166120143789</v>
      </c>
      <c r="P1620" s="155"/>
      <c r="Q1620" s="145"/>
    </row>
    <row r="1621" spans="1:19" s="146" customFormat="1" ht="10.5" x14ac:dyDescent="0.25">
      <c r="A1621" s="151"/>
      <c r="B1621" s="152"/>
      <c r="C1621" s="153"/>
      <c r="D1621" s="154"/>
      <c r="E1621" s="154"/>
      <c r="F1621" s="154"/>
      <c r="G1621" s="154"/>
      <c r="H1621" s="154"/>
      <c r="I1621" s="154"/>
      <c r="J1621" s="154"/>
      <c r="K1621" s="154"/>
      <c r="L1621" s="154"/>
      <c r="M1621" s="154"/>
      <c r="N1621" s="154"/>
      <c r="O1621" s="154"/>
      <c r="P1621" s="155"/>
      <c r="Q1621" s="145"/>
    </row>
    <row r="1622" spans="1:19" s="146" customFormat="1" ht="21" x14ac:dyDescent="0.25">
      <c r="A1622" s="151"/>
      <c r="B1622" s="157" t="s">
        <v>2331</v>
      </c>
      <c r="C1622" s="153"/>
      <c r="D1622" s="154"/>
      <c r="E1622" s="154"/>
      <c r="F1622" s="154"/>
      <c r="G1622" s="154"/>
      <c r="H1622" s="154"/>
      <c r="I1622" s="154"/>
      <c r="J1622" s="154"/>
      <c r="K1622" s="154"/>
      <c r="L1622" s="154"/>
      <c r="M1622" s="154"/>
      <c r="N1622" s="154"/>
      <c r="O1622" s="153">
        <f>O1619-O1620</f>
        <v>18.490738798562084</v>
      </c>
      <c r="P1622" s="155"/>
      <c r="Q1622" s="145"/>
    </row>
    <row r="1623" spans="1:19" s="146" customFormat="1" ht="10.5" x14ac:dyDescent="0.25">
      <c r="A1623" s="151"/>
      <c r="B1623" s="152"/>
      <c r="C1623" s="153"/>
      <c r="D1623" s="154"/>
      <c r="E1623" s="154"/>
      <c r="F1623" s="154"/>
      <c r="G1623" s="154"/>
      <c r="H1623" s="154"/>
      <c r="I1623" s="154"/>
      <c r="J1623" s="154"/>
      <c r="K1623" s="154"/>
      <c r="L1623" s="156"/>
      <c r="M1623" s="154"/>
      <c r="N1623" s="154"/>
      <c r="O1623" s="154"/>
      <c r="P1623" s="155"/>
      <c r="Q1623" s="145"/>
    </row>
    <row r="1624" spans="1:19" s="146" customFormat="1" ht="10.5" x14ac:dyDescent="0.25">
      <c r="A1624" s="151"/>
      <c r="B1624" s="157" t="s">
        <v>377</v>
      </c>
      <c r="C1624" s="158" t="s">
        <v>402</v>
      </c>
      <c r="D1624" s="158"/>
      <c r="E1624" s="158"/>
      <c r="F1624" s="158"/>
      <c r="G1624" s="158"/>
      <c r="H1624" s="158"/>
      <c r="I1624" s="158"/>
      <c r="J1624" s="158"/>
      <c r="K1624" s="158"/>
      <c r="L1624" s="158"/>
      <c r="M1624" s="158"/>
      <c r="N1624" s="158"/>
      <c r="O1624" s="158">
        <f>SUM(O1622:O1623)</f>
        <v>18.490738798562084</v>
      </c>
      <c r="P1624" s="159"/>
      <c r="Q1624" s="145"/>
    </row>
    <row r="1625" spans="1:19" s="150" customFormat="1" ht="32.25" customHeight="1" x14ac:dyDescent="0.25">
      <c r="A1625" s="147" t="str">
        <f>ORÇAMENTO!A281</f>
        <v>4.3.15</v>
      </c>
      <c r="B1625" s="148" t="str">
        <f>VLOOKUP(A1625,ORÇAMENTO!$A:$F,4,0)</f>
        <v>TRANSPORTE COM CAMINHÃO BASCULANTE DE 14 M³, EM VIA URBANA PAVIMENTADA, DMT ATÉ 30 KM (UNIDADE: M3XKM). AF_07/2020</v>
      </c>
      <c r="C1625" s="149" t="str">
        <f>VLOOKUP(A1625,ORÇAMENTO!$A:$F,5,0)</f>
        <v>M3XKM</v>
      </c>
      <c r="D1625" s="149">
        <f>SUM(E1630:O1630)</f>
        <v>674.2781639568625</v>
      </c>
      <c r="E1625" s="149" t="s">
        <v>2174</v>
      </c>
      <c r="F1625" s="149" t="s">
        <v>2150</v>
      </c>
      <c r="G1625" s="149" t="s">
        <v>2151</v>
      </c>
      <c r="H1625" s="149" t="s">
        <v>2152</v>
      </c>
      <c r="I1625" s="149" t="s">
        <v>2153</v>
      </c>
      <c r="J1625" s="149" t="s">
        <v>2175</v>
      </c>
      <c r="K1625" s="149" t="s">
        <v>2172</v>
      </c>
      <c r="L1625" s="149" t="s">
        <v>2156</v>
      </c>
      <c r="M1625" s="149" t="s">
        <v>2160</v>
      </c>
      <c r="N1625" s="149" t="s">
        <v>2157</v>
      </c>
      <c r="O1625" s="149" t="s">
        <v>2158</v>
      </c>
      <c r="P1625" s="145"/>
      <c r="Q1625" s="145"/>
    </row>
    <row r="1626" spans="1:19" s="146" customFormat="1" ht="10.5" x14ac:dyDescent="0.25">
      <c r="A1626" s="151"/>
      <c r="B1626" s="152"/>
      <c r="C1626" s="153"/>
      <c r="D1626" s="154"/>
      <c r="E1626" s="154"/>
      <c r="F1626" s="154"/>
      <c r="G1626" s="154"/>
      <c r="H1626" s="154"/>
      <c r="I1626" s="154"/>
      <c r="J1626" s="154"/>
      <c r="K1626" s="154"/>
      <c r="L1626" s="156"/>
      <c r="M1626" s="154"/>
      <c r="N1626" s="154"/>
      <c r="O1626" s="154"/>
      <c r="P1626" s="155"/>
      <c r="Q1626" s="145"/>
    </row>
    <row r="1627" spans="1:19" s="146" customFormat="1" ht="21" x14ac:dyDescent="0.25">
      <c r="A1627" s="151"/>
      <c r="B1627" s="152" t="s">
        <v>2209</v>
      </c>
      <c r="C1627" s="160"/>
      <c r="D1627" s="161"/>
      <c r="E1627" s="161">
        <v>30</v>
      </c>
      <c r="F1627" s="161"/>
      <c r="G1627" s="161"/>
      <c r="H1627" s="161"/>
      <c r="I1627" s="161"/>
      <c r="J1627" s="161">
        <f>E1627*O1627</f>
        <v>554.72216395686257</v>
      </c>
      <c r="K1627" s="161"/>
      <c r="L1627" s="161"/>
      <c r="M1627" s="161"/>
      <c r="N1627" s="161"/>
      <c r="O1627" s="161">
        <f>O1624</f>
        <v>18.490738798562084</v>
      </c>
      <c r="P1627" s="155"/>
      <c r="Q1627" s="145"/>
    </row>
    <row r="1628" spans="1:19" s="146" customFormat="1" ht="21" x14ac:dyDescent="0.25">
      <c r="A1628" s="151"/>
      <c r="B1628" s="152" t="s">
        <v>2210</v>
      </c>
      <c r="C1628" s="160"/>
      <c r="D1628" s="161"/>
      <c r="E1628" s="161">
        <v>30</v>
      </c>
      <c r="F1628" s="161"/>
      <c r="G1628" s="161"/>
      <c r="H1628" s="161"/>
      <c r="I1628" s="161"/>
      <c r="J1628" s="161">
        <f>E1628*O1628</f>
        <v>119.55599999999997</v>
      </c>
      <c r="K1628" s="161"/>
      <c r="L1628" s="161"/>
      <c r="M1628" s="161"/>
      <c r="N1628" s="161"/>
      <c r="O1628" s="161">
        <f>O1616</f>
        <v>3.985199999999999</v>
      </c>
      <c r="P1628" s="155"/>
      <c r="Q1628" s="145"/>
    </row>
    <row r="1629" spans="1:19" s="146" customFormat="1" ht="10.5" x14ac:dyDescent="0.25">
      <c r="A1629" s="151"/>
      <c r="B1629" s="152"/>
      <c r="C1629" s="160"/>
      <c r="D1629" s="161"/>
      <c r="E1629" s="161"/>
      <c r="F1629" s="161"/>
      <c r="G1629" s="161"/>
      <c r="H1629" s="161"/>
      <c r="I1629" s="161"/>
      <c r="J1629" s="161"/>
      <c r="K1629" s="161"/>
      <c r="L1629" s="162"/>
      <c r="M1629" s="161"/>
      <c r="N1629" s="161"/>
      <c r="O1629" s="161"/>
      <c r="P1629" s="155"/>
      <c r="Q1629" s="145"/>
    </row>
    <row r="1630" spans="1:19" s="146" customFormat="1" ht="10.5" x14ac:dyDescent="0.25">
      <c r="A1630" s="151"/>
      <c r="B1630" s="157" t="s">
        <v>377</v>
      </c>
      <c r="C1630" s="158" t="s">
        <v>402</v>
      </c>
      <c r="D1630" s="158"/>
      <c r="E1630" s="158"/>
      <c r="F1630" s="158"/>
      <c r="G1630" s="158"/>
      <c r="H1630" s="158"/>
      <c r="I1630" s="158"/>
      <c r="J1630" s="158">
        <f>SUM(J1627:J1629)</f>
        <v>674.2781639568625</v>
      </c>
      <c r="K1630" s="158"/>
      <c r="L1630" s="158"/>
      <c r="M1630" s="158"/>
      <c r="N1630" s="158"/>
      <c r="O1630" s="158"/>
      <c r="P1630" s="159"/>
      <c r="Q1630" s="145"/>
    </row>
    <row r="1631" spans="1:19" s="164" customFormat="1" ht="42" x14ac:dyDescent="0.35">
      <c r="A1631" s="147" t="str">
        <f>ORÇAMENTO!A282</f>
        <v>4.3.16</v>
      </c>
      <c r="B1631" s="148" t="str">
        <f>VLOOKUP(A1631,ORÇAMENTO!$A:$F,4,0)</f>
        <v>TRANSPORTE COM CAMINHÃO BASCULANTE DE 14 M³, EM VIA URBANA PAVIMENTADA, ADICIONAL PARA DMT EXCEDENTE A 30 KM (UNIDADE: M3XKM). AF_07/2020</v>
      </c>
      <c r="C1631" s="149" t="str">
        <f>VLOOKUP(A1631,ORÇAMENTO!$A:$F,5,0)</f>
        <v>M3XKM</v>
      </c>
      <c r="D1631" s="149">
        <f>SUM(E1636:O1636)</f>
        <v>441.1054509395816</v>
      </c>
      <c r="E1631" s="149" t="s">
        <v>2177</v>
      </c>
      <c r="F1631" s="149" t="s">
        <v>2150</v>
      </c>
      <c r="G1631" s="149" t="s">
        <v>2151</v>
      </c>
      <c r="H1631" s="149" t="s">
        <v>2152</v>
      </c>
      <c r="I1631" s="149" t="s">
        <v>2153</v>
      </c>
      <c r="J1631" s="149" t="s">
        <v>2175</v>
      </c>
      <c r="K1631" s="149" t="s">
        <v>2172</v>
      </c>
      <c r="L1631" s="149" t="s">
        <v>2178</v>
      </c>
      <c r="M1631" s="149" t="s">
        <v>2160</v>
      </c>
      <c r="N1631" s="149" t="s">
        <v>2157</v>
      </c>
      <c r="O1631" s="149" t="s">
        <v>2158</v>
      </c>
      <c r="P1631" s="145"/>
      <c r="Q1631" s="145"/>
      <c r="R1631" s="145"/>
      <c r="S1631" s="145"/>
    </row>
    <row r="1632" spans="1:19" s="146" customFormat="1" ht="10.5" x14ac:dyDescent="0.25">
      <c r="A1632" s="151"/>
      <c r="B1632" s="152"/>
      <c r="C1632" s="153"/>
      <c r="D1632" s="154"/>
      <c r="E1632" s="154"/>
      <c r="F1632" s="154"/>
      <c r="G1632" s="154"/>
      <c r="H1632" s="154"/>
      <c r="I1632" s="154"/>
      <c r="J1632" s="154"/>
      <c r="K1632" s="154"/>
      <c r="L1632" s="156"/>
      <c r="M1632" s="154"/>
      <c r="N1632" s="154"/>
      <c r="O1632" s="154"/>
      <c r="P1632" s="155"/>
      <c r="Q1632" s="145"/>
    </row>
    <row r="1633" spans="1:19" s="146" customFormat="1" ht="21" x14ac:dyDescent="0.25">
      <c r="A1633" s="151"/>
      <c r="B1633" s="152" t="str">
        <f>B1627</f>
        <v>TRANSPORTE ATÉ ATERRO ESTRUTURAL - BOTA FORA - MATERIAL NÃO APROVEITADO</v>
      </c>
      <c r="C1633" s="153"/>
      <c r="D1633" s="154"/>
      <c r="E1633" s="154">
        <f>44.2-E1627</f>
        <v>14.200000000000003</v>
      </c>
      <c r="F1633" s="154"/>
      <c r="G1633" s="154"/>
      <c r="H1633" s="154"/>
      <c r="I1633" s="154"/>
      <c r="J1633" s="154">
        <f>E1633*O1633</f>
        <v>262.56849093958164</v>
      </c>
      <c r="K1633" s="154"/>
      <c r="L1633" s="165"/>
      <c r="M1633" s="154"/>
      <c r="N1633" s="154"/>
      <c r="O1633" s="154">
        <f>O1627</f>
        <v>18.490738798562084</v>
      </c>
      <c r="P1633" s="155"/>
      <c r="Q1633" s="145"/>
    </row>
    <row r="1634" spans="1:19" s="146" customFormat="1" ht="21" x14ac:dyDescent="0.25">
      <c r="A1634" s="151"/>
      <c r="B1634" s="152" t="str">
        <f>B1628</f>
        <v>TRANSPORTE ATÉ ATERRO SAMAMBIA - BOTA FORA - ROCHA</v>
      </c>
      <c r="C1634" s="153"/>
      <c r="D1634" s="154"/>
      <c r="E1634" s="154">
        <f>74.8-E1628</f>
        <v>44.8</v>
      </c>
      <c r="F1634" s="154"/>
      <c r="G1634" s="154"/>
      <c r="H1634" s="154"/>
      <c r="I1634" s="154"/>
      <c r="J1634" s="154">
        <f>E1634*O1634</f>
        <v>178.53695999999994</v>
      </c>
      <c r="K1634" s="154"/>
      <c r="L1634" s="165"/>
      <c r="M1634" s="154"/>
      <c r="N1634" s="154"/>
      <c r="O1634" s="154">
        <f>O1628</f>
        <v>3.985199999999999</v>
      </c>
      <c r="P1634" s="155"/>
      <c r="Q1634" s="145"/>
    </row>
    <row r="1635" spans="1:19" s="146" customFormat="1" ht="10.5" x14ac:dyDescent="0.25">
      <c r="A1635" s="151"/>
      <c r="B1635" s="152"/>
      <c r="C1635" s="153"/>
      <c r="D1635" s="154"/>
      <c r="E1635" s="154"/>
      <c r="F1635" s="154"/>
      <c r="G1635" s="154"/>
      <c r="H1635" s="154"/>
      <c r="I1635" s="154"/>
      <c r="J1635" s="154"/>
      <c r="K1635" s="154"/>
      <c r="L1635" s="165"/>
      <c r="M1635" s="154"/>
      <c r="N1635" s="154"/>
      <c r="O1635" s="154"/>
      <c r="P1635" s="155"/>
      <c r="Q1635" s="145"/>
    </row>
    <row r="1636" spans="1:19" s="146" customFormat="1" ht="10.5" x14ac:dyDescent="0.25">
      <c r="A1636" s="151"/>
      <c r="B1636" s="157" t="s">
        <v>377</v>
      </c>
      <c r="C1636" s="158" t="s">
        <v>402</v>
      </c>
      <c r="D1636" s="158"/>
      <c r="E1636" s="158"/>
      <c r="F1636" s="158"/>
      <c r="G1636" s="158"/>
      <c r="H1636" s="158"/>
      <c r="I1636" s="158"/>
      <c r="J1636" s="158">
        <f>SUM(J1633:J1635)</f>
        <v>441.1054509395816</v>
      </c>
      <c r="K1636" s="158"/>
      <c r="L1636" s="158"/>
      <c r="M1636" s="158"/>
      <c r="N1636" s="158"/>
      <c r="O1636" s="158"/>
      <c r="P1636" s="159"/>
      <c r="Q1636" s="145"/>
    </row>
    <row r="1637" spans="1:19" s="150" customFormat="1" ht="21" x14ac:dyDescent="0.25">
      <c r="A1637" s="147" t="str">
        <f>ORÇAMENTO!A283</f>
        <v>4.3.17</v>
      </c>
      <c r="B1637" s="148" t="str">
        <f>VLOOKUP(A1637,ORÇAMENTO!$A:$F,4,0)</f>
        <v>USINAGEM DE CBUQ SEM  CAP 50/70, PARA CAPA DE ROLAMENTO (SEM MATERIAL  E TRANSPORTE)</v>
      </c>
      <c r="C1637" s="149" t="str">
        <f>VLOOKUP(A1637,ORÇAMENTO!$A:$F,5,0)</f>
        <v>T</v>
      </c>
      <c r="D1637" s="149">
        <f>SUM(E1642:O1642)</f>
        <v>8.7298216637942616</v>
      </c>
      <c r="E1637" s="149" t="s">
        <v>2149</v>
      </c>
      <c r="F1637" s="149" t="s">
        <v>2150</v>
      </c>
      <c r="G1637" s="149" t="s">
        <v>2151</v>
      </c>
      <c r="H1637" s="149" t="s">
        <v>2152</v>
      </c>
      <c r="I1637" s="149" t="s">
        <v>2153</v>
      </c>
      <c r="J1637" s="149" t="s">
        <v>2154</v>
      </c>
      <c r="K1637" s="149" t="s">
        <v>2172</v>
      </c>
      <c r="L1637" s="149" t="s">
        <v>2178</v>
      </c>
      <c r="M1637" s="149" t="s">
        <v>2160</v>
      </c>
      <c r="N1637" s="149" t="s">
        <v>2157</v>
      </c>
      <c r="O1637" s="149" t="s">
        <v>2158</v>
      </c>
      <c r="P1637" s="145"/>
      <c r="Q1637" s="145"/>
    </row>
    <row r="1638" spans="1:19" s="146" customFormat="1" ht="10.5" x14ac:dyDescent="0.25">
      <c r="A1638" s="151"/>
      <c r="B1638" s="157" t="s">
        <v>2171</v>
      </c>
      <c r="C1638" s="160"/>
      <c r="D1638" s="161"/>
      <c r="E1638" s="161"/>
      <c r="F1638" s="161"/>
      <c r="G1638" s="161"/>
      <c r="H1638" s="161"/>
      <c r="I1638" s="161"/>
      <c r="J1638" s="161"/>
      <c r="K1638" s="161"/>
      <c r="L1638" s="161"/>
      <c r="M1638" s="161"/>
      <c r="N1638" s="161"/>
      <c r="O1638" s="161"/>
      <c r="P1638" s="155"/>
      <c r="Q1638" s="145"/>
    </row>
    <row r="1639" spans="1:19" s="146" customFormat="1" ht="10.5" x14ac:dyDescent="0.25">
      <c r="A1639" s="151"/>
      <c r="B1639" s="152" t="s">
        <v>2222</v>
      </c>
      <c r="C1639" s="160"/>
      <c r="D1639" s="161"/>
      <c r="E1639" s="161"/>
      <c r="F1639" s="161"/>
      <c r="G1639" s="161"/>
      <c r="H1639" s="161"/>
      <c r="I1639" s="161"/>
      <c r="J1639" s="161"/>
      <c r="K1639" s="161"/>
      <c r="L1639" s="161">
        <v>2.4</v>
      </c>
      <c r="M1639" s="161"/>
      <c r="N1639" s="161"/>
      <c r="O1639" s="161"/>
      <c r="P1639" s="155"/>
      <c r="Q1639" s="145"/>
    </row>
    <row r="1640" spans="1:19" s="146" customFormat="1" ht="10.5" x14ac:dyDescent="0.25">
      <c r="A1640" s="151"/>
      <c r="B1640" s="152" t="str">
        <f>B1333</f>
        <v>CONCRETO BETUMINOSO USINADO A QUENTE</v>
      </c>
      <c r="C1640" s="160"/>
      <c r="D1640" s="161"/>
      <c r="E1640" s="161"/>
      <c r="F1640" s="161"/>
      <c r="G1640" s="161"/>
      <c r="H1640" s="161">
        <f>H1330</f>
        <v>0.03</v>
      </c>
      <c r="I1640" s="161"/>
      <c r="J1640" s="161"/>
      <c r="K1640" s="161">
        <f>L1639*O1640</f>
        <v>8.7298216637942616</v>
      </c>
      <c r="L1640" s="161"/>
      <c r="M1640" s="161"/>
      <c r="N1640" s="161"/>
      <c r="O1640" s="161">
        <f>O1333</f>
        <v>3.637425693247609</v>
      </c>
      <c r="P1640" s="155"/>
      <c r="Q1640" s="145"/>
    </row>
    <row r="1641" spans="1:19" s="146" customFormat="1" ht="10.5" x14ac:dyDescent="0.25">
      <c r="A1641" s="151"/>
      <c r="B1641" s="152"/>
      <c r="C1641" s="160"/>
      <c r="D1641" s="161"/>
      <c r="E1641" s="161"/>
      <c r="F1641" s="161"/>
      <c r="G1641" s="161"/>
      <c r="H1641" s="161"/>
      <c r="I1641" s="161"/>
      <c r="J1641" s="161"/>
      <c r="K1641" s="161"/>
      <c r="L1641" s="162"/>
      <c r="M1641" s="161"/>
      <c r="N1641" s="161"/>
      <c r="O1641" s="161"/>
      <c r="P1641" s="155"/>
      <c r="Q1641" s="145"/>
    </row>
    <row r="1642" spans="1:19" s="146" customFormat="1" ht="10.5" x14ac:dyDescent="0.25">
      <c r="A1642" s="151"/>
      <c r="B1642" s="157" t="s">
        <v>377</v>
      </c>
      <c r="C1642" s="158" t="s">
        <v>402</v>
      </c>
      <c r="D1642" s="158"/>
      <c r="E1642" s="158"/>
      <c r="F1642" s="158"/>
      <c r="G1642" s="158"/>
      <c r="H1642" s="158"/>
      <c r="I1642" s="158"/>
      <c r="J1642" s="158"/>
      <c r="K1642" s="158">
        <f>SUM(K1640:K1641)</f>
        <v>8.7298216637942616</v>
      </c>
      <c r="L1642" s="158"/>
      <c r="M1642" s="158"/>
      <c r="N1642" s="158"/>
      <c r="O1642" s="158"/>
      <c r="P1642" s="159"/>
      <c r="Q1642" s="145"/>
    </row>
    <row r="1643" spans="1:19" s="150" customFormat="1" ht="21" x14ac:dyDescent="0.25">
      <c r="A1643" s="147" t="str">
        <f>ORÇAMENTO!A284</f>
        <v>4.3.18</v>
      </c>
      <c r="B1643" s="148" t="str">
        <f>VLOOKUP(A1643,ORÇAMENTO!$A:$F,4,0)</f>
        <v>CIMENTO ASFÁLTICO DE PETRÓLEO - CAP 50/70 FORNECIMENTO E TRANSPORTE</v>
      </c>
      <c r="C1643" s="149" t="str">
        <f>VLOOKUP(A1643,ORÇAMENTO!$A:$F,5,0)</f>
        <v>T</v>
      </c>
      <c r="D1643" s="149">
        <f>SUM(E1647:O1647)</f>
        <v>0.55198662380171115</v>
      </c>
      <c r="E1643" s="149" t="s">
        <v>2149</v>
      </c>
      <c r="F1643" s="149" t="s">
        <v>2150</v>
      </c>
      <c r="G1643" s="149" t="s">
        <v>2151</v>
      </c>
      <c r="H1643" s="149" t="s">
        <v>2152</v>
      </c>
      <c r="I1643" s="149" t="s">
        <v>2153</v>
      </c>
      <c r="J1643" s="149" t="s">
        <v>2154</v>
      </c>
      <c r="K1643" s="149" t="s">
        <v>2172</v>
      </c>
      <c r="L1643" s="149" t="s">
        <v>2213</v>
      </c>
      <c r="M1643" s="149" t="s">
        <v>2160</v>
      </c>
      <c r="N1643" s="149" t="s">
        <v>2157</v>
      </c>
      <c r="O1643" s="149" t="s">
        <v>2158</v>
      </c>
      <c r="P1643" s="145"/>
      <c r="Q1643" s="145"/>
    </row>
    <row r="1644" spans="1:19" s="146" customFormat="1" ht="10.5" x14ac:dyDescent="0.25">
      <c r="A1644" s="151"/>
      <c r="B1644" s="152" t="str">
        <f>B1640</f>
        <v>CONCRETO BETUMINOSO USINADO A QUENTE</v>
      </c>
      <c r="C1644" s="160"/>
      <c r="D1644" s="161"/>
      <c r="E1644" s="161"/>
      <c r="F1644" s="161"/>
      <c r="G1644" s="161"/>
      <c r="H1644" s="161"/>
      <c r="I1644" s="161"/>
      <c r="J1644" s="161"/>
      <c r="K1644" s="161">
        <f>K1640</f>
        <v>8.7298216637942616</v>
      </c>
      <c r="L1644" s="161"/>
      <c r="M1644" s="161"/>
      <c r="N1644" s="161"/>
      <c r="O1644" s="161"/>
      <c r="P1644" s="155"/>
      <c r="Q1644" s="145"/>
    </row>
    <row r="1645" spans="1:19" s="146" customFormat="1" ht="10.5" x14ac:dyDescent="0.25">
      <c r="A1645" s="151"/>
      <c r="B1645" s="152" t="s">
        <v>2223</v>
      </c>
      <c r="C1645" s="160"/>
      <c r="D1645" s="161"/>
      <c r="E1645" s="161"/>
      <c r="F1645" s="161"/>
      <c r="G1645" s="161"/>
      <c r="H1645" s="161"/>
      <c r="I1645" s="161"/>
      <c r="J1645" s="161"/>
      <c r="K1645" s="161"/>
      <c r="L1645" s="174">
        <v>6.3229999999999995E-2</v>
      </c>
      <c r="M1645" s="161"/>
      <c r="N1645" s="161"/>
      <c r="O1645" s="161"/>
      <c r="P1645" s="155"/>
      <c r="Q1645" s="145"/>
    </row>
    <row r="1646" spans="1:19" s="146" customFormat="1" ht="10.5" x14ac:dyDescent="0.25">
      <c r="A1646" s="151"/>
      <c r="B1646" s="152"/>
      <c r="C1646" s="160"/>
      <c r="D1646" s="161"/>
      <c r="E1646" s="161"/>
      <c r="F1646" s="161"/>
      <c r="G1646" s="161"/>
      <c r="H1646" s="161"/>
      <c r="I1646" s="161"/>
      <c r="J1646" s="161"/>
      <c r="L1646" s="161"/>
      <c r="M1646" s="161"/>
      <c r="N1646" s="161"/>
      <c r="O1646" s="161"/>
      <c r="P1646" s="155"/>
      <c r="Q1646" s="145"/>
    </row>
    <row r="1647" spans="1:19" s="146" customFormat="1" ht="10.5" x14ac:dyDescent="0.25">
      <c r="A1647" s="151"/>
      <c r="B1647" s="157" t="s">
        <v>377</v>
      </c>
      <c r="C1647" s="160"/>
      <c r="D1647" s="161"/>
      <c r="E1647" s="161"/>
      <c r="F1647" s="161"/>
      <c r="G1647" s="161"/>
      <c r="H1647" s="161"/>
      <c r="I1647" s="161"/>
      <c r="J1647" s="161"/>
      <c r="K1647" s="161">
        <f>K1644*L1645</f>
        <v>0.55198662380171115</v>
      </c>
      <c r="L1647" s="162"/>
      <c r="M1647" s="161"/>
      <c r="N1647" s="161"/>
      <c r="O1647" s="161"/>
      <c r="P1647" s="155"/>
      <c r="Q1647" s="145"/>
    </row>
    <row r="1648" spans="1:19" s="164" customFormat="1" ht="21" x14ac:dyDescent="0.35">
      <c r="A1648" s="147" t="str">
        <f>ORÇAMENTO!A285</f>
        <v>4.3.19</v>
      </c>
      <c r="B1648" s="148" t="str">
        <f>VLOOKUP(A1648,ORÇAMENTO!$A:$F,4,0)</f>
        <v>EMULSÃO ASFÁLTICA - RR-1C - FORNECIMENTO E TRANSPORTE</v>
      </c>
      <c r="C1648" s="149" t="str">
        <f>VLOOKUP(A1648,ORÇAMENTO!$A:$F,5,0)</f>
        <v>T</v>
      </c>
      <c r="D1648" s="149">
        <f>SUM(E1693:O1693)</f>
        <v>5.4561385398714128E-2</v>
      </c>
      <c r="E1648" s="149" t="s">
        <v>2149</v>
      </c>
      <c r="F1648" s="149" t="s">
        <v>2150</v>
      </c>
      <c r="G1648" s="149" t="s">
        <v>2151</v>
      </c>
      <c r="H1648" s="149" t="s">
        <v>2152</v>
      </c>
      <c r="I1648" s="149" t="s">
        <v>2153</v>
      </c>
      <c r="J1648" s="149" t="s">
        <v>2154</v>
      </c>
      <c r="K1648" s="149" t="s">
        <v>2172</v>
      </c>
      <c r="L1648" s="149" t="s">
        <v>2213</v>
      </c>
      <c r="M1648" s="149" t="s">
        <v>2204</v>
      </c>
      <c r="N1648" s="149" t="s">
        <v>2157</v>
      </c>
      <c r="O1648" s="149" t="s">
        <v>2158</v>
      </c>
      <c r="P1648" s="145"/>
      <c r="Q1648" s="145"/>
      <c r="R1648" s="145"/>
      <c r="S1648" s="145"/>
    </row>
    <row r="1649" spans="1:19" s="164" customFormat="1" ht="21" x14ac:dyDescent="0.35">
      <c r="A1649" s="151"/>
      <c r="B1649" s="157" t="s">
        <v>2215</v>
      </c>
      <c r="C1649" s="153"/>
      <c r="D1649" s="153"/>
      <c r="E1649" s="154"/>
      <c r="F1649" s="154"/>
      <c r="G1649" s="154"/>
      <c r="H1649" s="154"/>
      <c r="I1649" s="154"/>
      <c r="J1649" s="154"/>
      <c r="K1649" s="154"/>
      <c r="L1649" s="154"/>
      <c r="M1649" s="154"/>
      <c r="N1649" s="154"/>
      <c r="O1649" s="154"/>
      <c r="P1649" s="145"/>
      <c r="Q1649" s="145"/>
      <c r="R1649" s="145"/>
      <c r="S1649" s="145"/>
    </row>
    <row r="1650" spans="1:19" s="146" customFormat="1" ht="31.5" x14ac:dyDescent="0.25">
      <c r="A1650" s="151"/>
      <c r="B1650" s="152" t="s">
        <v>2216</v>
      </c>
      <c r="C1650" s="153"/>
      <c r="D1650" s="154"/>
      <c r="E1650" s="154"/>
      <c r="F1650" s="154"/>
      <c r="G1650" s="154"/>
      <c r="H1650" s="154"/>
      <c r="I1650" s="154"/>
      <c r="J1650" s="154"/>
      <c r="K1650" s="154"/>
      <c r="L1650" s="172">
        <v>4.4999999999999999E-4</v>
      </c>
      <c r="M1650" s="154"/>
      <c r="N1650" s="154"/>
      <c r="O1650" s="154"/>
      <c r="P1650" s="155"/>
      <c r="Q1650" s="145"/>
    </row>
    <row r="1651" spans="1:19" s="140" customFormat="1" x14ac:dyDescent="0.35">
      <c r="A1651" s="151"/>
      <c r="B1651" s="152" t="str">
        <f>B1339</f>
        <v>PV1-87</v>
      </c>
      <c r="C1651" s="161"/>
      <c r="D1651" s="161"/>
      <c r="E1651" s="161"/>
      <c r="F1651" s="161"/>
      <c r="G1651" s="161"/>
      <c r="H1651" s="161"/>
      <c r="I1651" s="161"/>
      <c r="J1651" s="161"/>
      <c r="K1651" s="166">
        <f>$L$1650*N1651</f>
        <v>1.3307654975296135E-3</v>
      </c>
      <c r="L1651" s="161"/>
      <c r="M1651" s="161"/>
      <c r="N1651" s="188">
        <f>N1339</f>
        <v>2.9572566611769187</v>
      </c>
      <c r="O1651" s="188"/>
      <c r="P1651" s="168"/>
      <c r="Q1651" s="168"/>
      <c r="R1651" s="168"/>
      <c r="S1651" s="168"/>
    </row>
    <row r="1652" spans="1:19" s="140" customFormat="1" x14ac:dyDescent="0.35">
      <c r="A1652" s="151"/>
      <c r="B1652" s="152" t="str">
        <f t="shared" ref="B1652:B1691" si="57">B1340</f>
        <v>PV2-87</v>
      </c>
      <c r="C1652" s="161"/>
      <c r="D1652" s="161"/>
      <c r="E1652" s="161"/>
      <c r="F1652" s="161"/>
      <c r="G1652" s="161"/>
      <c r="H1652" s="161"/>
      <c r="I1652" s="161"/>
      <c r="J1652" s="161"/>
      <c r="K1652" s="166">
        <f t="shared" ref="K1652:K1691" si="58">$L$1650*N1652</f>
        <v>1.3307654975296135E-3</v>
      </c>
      <c r="L1652" s="161"/>
      <c r="M1652" s="161"/>
      <c r="N1652" s="188">
        <f t="shared" ref="N1652:N1691" si="59">N1340</f>
        <v>2.9572566611769187</v>
      </c>
      <c r="O1652" s="188"/>
      <c r="P1652" s="168"/>
      <c r="Q1652" s="168"/>
      <c r="R1652" s="168"/>
      <c r="S1652" s="168"/>
    </row>
    <row r="1653" spans="1:19" s="140" customFormat="1" x14ac:dyDescent="0.35">
      <c r="A1653" s="151"/>
      <c r="B1653" s="152" t="str">
        <f t="shared" si="57"/>
        <v>PV3-87</v>
      </c>
      <c r="C1653" s="161"/>
      <c r="D1653" s="161"/>
      <c r="E1653" s="161"/>
      <c r="F1653" s="161"/>
      <c r="G1653" s="161"/>
      <c r="H1653" s="161"/>
      <c r="I1653" s="161"/>
      <c r="J1653" s="161"/>
      <c r="K1653" s="166">
        <f t="shared" si="58"/>
        <v>1.3307654975296135E-3</v>
      </c>
      <c r="L1653" s="161"/>
      <c r="M1653" s="161"/>
      <c r="N1653" s="188">
        <f t="shared" si="59"/>
        <v>2.9572566611769187</v>
      </c>
      <c r="O1653" s="188"/>
      <c r="P1653" s="168"/>
      <c r="Q1653" s="168"/>
      <c r="R1653" s="168"/>
      <c r="S1653" s="168"/>
    </row>
    <row r="1654" spans="1:19" s="140" customFormat="1" x14ac:dyDescent="0.35">
      <c r="A1654" s="151"/>
      <c r="B1654" s="152" t="str">
        <f t="shared" si="57"/>
        <v>PV4-87</v>
      </c>
      <c r="C1654" s="161"/>
      <c r="D1654" s="161"/>
      <c r="E1654" s="161"/>
      <c r="F1654" s="161"/>
      <c r="G1654" s="161"/>
      <c r="H1654" s="161"/>
      <c r="I1654" s="161"/>
      <c r="J1654" s="161"/>
      <c r="K1654" s="166">
        <f t="shared" si="58"/>
        <v>1.3307654975296135E-3</v>
      </c>
      <c r="L1654" s="161"/>
      <c r="M1654" s="161"/>
      <c r="N1654" s="188">
        <f t="shared" si="59"/>
        <v>2.9572566611769187</v>
      </c>
      <c r="O1654" s="188"/>
      <c r="P1654" s="168"/>
      <c r="Q1654" s="168"/>
      <c r="R1654" s="168"/>
      <c r="S1654" s="168"/>
    </row>
    <row r="1655" spans="1:19" s="140" customFormat="1" x14ac:dyDescent="0.35">
      <c r="A1655" s="151"/>
      <c r="B1655" s="152" t="str">
        <f t="shared" si="57"/>
        <v>PV5-87</v>
      </c>
      <c r="C1655" s="161"/>
      <c r="D1655" s="161"/>
      <c r="E1655" s="161"/>
      <c r="F1655" s="161"/>
      <c r="G1655" s="161"/>
      <c r="H1655" s="161"/>
      <c r="I1655" s="161"/>
      <c r="J1655" s="161"/>
      <c r="K1655" s="166">
        <f t="shared" si="58"/>
        <v>1.3307654975296135E-3</v>
      </c>
      <c r="L1655" s="161"/>
      <c r="M1655" s="161"/>
      <c r="N1655" s="188">
        <f t="shared" si="59"/>
        <v>2.9572566611769187</v>
      </c>
      <c r="O1655" s="188"/>
      <c r="P1655" s="168"/>
      <c r="Q1655" s="168"/>
      <c r="R1655" s="168"/>
      <c r="S1655" s="168"/>
    </row>
    <row r="1656" spans="1:19" s="140" customFormat="1" x14ac:dyDescent="0.35">
      <c r="A1656" s="151"/>
      <c r="B1656" s="152" t="str">
        <f t="shared" si="57"/>
        <v>PV10-87</v>
      </c>
      <c r="C1656" s="161"/>
      <c r="D1656" s="161"/>
      <c r="E1656" s="161"/>
      <c r="F1656" s="161"/>
      <c r="G1656" s="161"/>
      <c r="H1656" s="161"/>
      <c r="I1656" s="161"/>
      <c r="J1656" s="161"/>
      <c r="K1656" s="166">
        <f t="shared" si="58"/>
        <v>1.3307654975296135E-3</v>
      </c>
      <c r="L1656" s="161"/>
      <c r="M1656" s="161"/>
      <c r="N1656" s="188">
        <f t="shared" si="59"/>
        <v>2.9572566611769187</v>
      </c>
      <c r="O1656" s="188"/>
      <c r="P1656" s="168"/>
      <c r="Q1656" s="168"/>
      <c r="R1656" s="168"/>
      <c r="S1656" s="168"/>
    </row>
    <row r="1657" spans="1:19" s="140" customFormat="1" x14ac:dyDescent="0.35">
      <c r="A1657" s="151"/>
      <c r="B1657" s="152" t="str">
        <f t="shared" si="57"/>
        <v>PV15-87</v>
      </c>
      <c r="C1657" s="161"/>
      <c r="D1657" s="161"/>
      <c r="E1657" s="161"/>
      <c r="F1657" s="161"/>
      <c r="G1657" s="161"/>
      <c r="H1657" s="161"/>
      <c r="I1657" s="161"/>
      <c r="J1657" s="161"/>
      <c r="K1657" s="166">
        <f t="shared" si="58"/>
        <v>1.3307654975296135E-3</v>
      </c>
      <c r="L1657" s="161"/>
      <c r="M1657" s="161"/>
      <c r="N1657" s="188">
        <f t="shared" si="59"/>
        <v>2.9572566611769187</v>
      </c>
      <c r="O1657" s="188"/>
      <c r="P1657" s="168"/>
      <c r="Q1657" s="168"/>
      <c r="R1657" s="168"/>
      <c r="S1657" s="168"/>
    </row>
    <row r="1658" spans="1:19" s="140" customFormat="1" x14ac:dyDescent="0.35">
      <c r="A1658" s="151"/>
      <c r="B1658" s="152" t="str">
        <f t="shared" si="57"/>
        <v>PV1-88</v>
      </c>
      <c r="C1658" s="161"/>
      <c r="D1658" s="161"/>
      <c r="E1658" s="161"/>
      <c r="F1658" s="161"/>
      <c r="G1658" s="161"/>
      <c r="H1658" s="161"/>
      <c r="I1658" s="161"/>
      <c r="J1658" s="161"/>
      <c r="K1658" s="166">
        <f t="shared" si="58"/>
        <v>1.3307654975296135E-3</v>
      </c>
      <c r="L1658" s="161"/>
      <c r="M1658" s="161"/>
      <c r="N1658" s="188">
        <f t="shared" si="59"/>
        <v>2.9572566611769187</v>
      </c>
      <c r="O1658" s="188"/>
      <c r="P1658" s="168"/>
      <c r="Q1658" s="168"/>
      <c r="R1658" s="168"/>
      <c r="S1658" s="168"/>
    </row>
    <row r="1659" spans="1:19" s="140" customFormat="1" x14ac:dyDescent="0.35">
      <c r="A1659" s="151"/>
      <c r="B1659" s="152" t="str">
        <f t="shared" si="57"/>
        <v>PV2-88</v>
      </c>
      <c r="C1659" s="161"/>
      <c r="D1659" s="161"/>
      <c r="E1659" s="161"/>
      <c r="F1659" s="161"/>
      <c r="G1659" s="161"/>
      <c r="H1659" s="161"/>
      <c r="I1659" s="161"/>
      <c r="J1659" s="161"/>
      <c r="K1659" s="166">
        <f t="shared" si="58"/>
        <v>1.3307654975296135E-3</v>
      </c>
      <c r="L1659" s="161"/>
      <c r="M1659" s="161"/>
      <c r="N1659" s="188">
        <f t="shared" si="59"/>
        <v>2.9572566611769187</v>
      </c>
      <c r="O1659" s="188"/>
      <c r="P1659" s="168"/>
      <c r="Q1659" s="168"/>
      <c r="R1659" s="168"/>
      <c r="S1659" s="168"/>
    </row>
    <row r="1660" spans="1:19" s="140" customFormat="1" x14ac:dyDescent="0.35">
      <c r="A1660" s="151"/>
      <c r="B1660" s="152" t="str">
        <f t="shared" si="57"/>
        <v>PV3-88</v>
      </c>
      <c r="C1660" s="161"/>
      <c r="D1660" s="161"/>
      <c r="E1660" s="161"/>
      <c r="F1660" s="161"/>
      <c r="G1660" s="161"/>
      <c r="H1660" s="161"/>
      <c r="I1660" s="161"/>
      <c r="J1660" s="161"/>
      <c r="K1660" s="166">
        <f t="shared" si="58"/>
        <v>1.3307654975296135E-3</v>
      </c>
      <c r="L1660" s="161"/>
      <c r="M1660" s="161"/>
      <c r="N1660" s="188">
        <f t="shared" si="59"/>
        <v>2.9572566611769187</v>
      </c>
      <c r="O1660" s="188"/>
      <c r="P1660" s="168"/>
      <c r="Q1660" s="168"/>
      <c r="R1660" s="168"/>
      <c r="S1660" s="168"/>
    </row>
    <row r="1661" spans="1:19" s="140" customFormat="1" x14ac:dyDescent="0.35">
      <c r="A1661" s="151"/>
      <c r="B1661" s="152" t="str">
        <f t="shared" si="57"/>
        <v>PV4-88</v>
      </c>
      <c r="C1661" s="161"/>
      <c r="D1661" s="161"/>
      <c r="E1661" s="161"/>
      <c r="F1661" s="161"/>
      <c r="G1661" s="161"/>
      <c r="H1661" s="161"/>
      <c r="I1661" s="161"/>
      <c r="J1661" s="161"/>
      <c r="K1661" s="166">
        <f t="shared" si="58"/>
        <v>1.3307654975296135E-3</v>
      </c>
      <c r="L1661" s="161"/>
      <c r="M1661" s="161"/>
      <c r="N1661" s="188">
        <f t="shared" si="59"/>
        <v>2.9572566611769187</v>
      </c>
      <c r="O1661" s="188"/>
      <c r="P1661" s="168"/>
      <c r="Q1661" s="168"/>
      <c r="R1661" s="168"/>
      <c r="S1661" s="168"/>
    </row>
    <row r="1662" spans="1:19" s="140" customFormat="1" x14ac:dyDescent="0.35">
      <c r="A1662" s="151"/>
      <c r="B1662" s="152" t="str">
        <f t="shared" si="57"/>
        <v>PV5-88</v>
      </c>
      <c r="C1662" s="161"/>
      <c r="D1662" s="161"/>
      <c r="E1662" s="161"/>
      <c r="F1662" s="161"/>
      <c r="G1662" s="161"/>
      <c r="H1662" s="161"/>
      <c r="I1662" s="161"/>
      <c r="J1662" s="161"/>
      <c r="K1662" s="166">
        <f t="shared" si="58"/>
        <v>1.3307654975296135E-3</v>
      </c>
      <c r="L1662" s="161"/>
      <c r="M1662" s="161"/>
      <c r="N1662" s="188">
        <f t="shared" si="59"/>
        <v>2.9572566611769187</v>
      </c>
      <c r="O1662" s="188"/>
      <c r="P1662" s="168"/>
      <c r="Q1662" s="168"/>
      <c r="R1662" s="168"/>
      <c r="S1662" s="168"/>
    </row>
    <row r="1663" spans="1:19" s="140" customFormat="1" x14ac:dyDescent="0.35">
      <c r="A1663" s="151"/>
      <c r="B1663" s="152" t="str">
        <f t="shared" si="57"/>
        <v>PV6-88</v>
      </c>
      <c r="C1663" s="161"/>
      <c r="D1663" s="161"/>
      <c r="E1663" s="161"/>
      <c r="F1663" s="161"/>
      <c r="G1663" s="161"/>
      <c r="H1663" s="161"/>
      <c r="I1663" s="161"/>
      <c r="J1663" s="161"/>
      <c r="K1663" s="166">
        <f t="shared" si="58"/>
        <v>1.3307654975296135E-3</v>
      </c>
      <c r="L1663" s="161"/>
      <c r="M1663" s="161"/>
      <c r="N1663" s="188">
        <f t="shared" si="59"/>
        <v>2.9572566611769187</v>
      </c>
      <c r="O1663" s="188"/>
      <c r="P1663" s="168"/>
      <c r="Q1663" s="168"/>
      <c r="R1663" s="168"/>
      <c r="S1663" s="168"/>
    </row>
    <row r="1664" spans="1:19" s="140" customFormat="1" x14ac:dyDescent="0.35">
      <c r="A1664" s="151"/>
      <c r="B1664" s="152" t="str">
        <f t="shared" si="57"/>
        <v>PV7-88</v>
      </c>
      <c r="C1664" s="161"/>
      <c r="D1664" s="161"/>
      <c r="E1664" s="161"/>
      <c r="F1664" s="161"/>
      <c r="G1664" s="161"/>
      <c r="H1664" s="161"/>
      <c r="I1664" s="161"/>
      <c r="J1664" s="161"/>
      <c r="K1664" s="166">
        <f t="shared" si="58"/>
        <v>1.3307654975296135E-3</v>
      </c>
      <c r="L1664" s="161"/>
      <c r="M1664" s="161"/>
      <c r="N1664" s="188">
        <f t="shared" si="59"/>
        <v>2.9572566611769187</v>
      </c>
      <c r="O1664" s="188"/>
      <c r="P1664" s="168"/>
      <c r="Q1664" s="168"/>
      <c r="R1664" s="168"/>
      <c r="S1664" s="168"/>
    </row>
    <row r="1665" spans="1:19" s="140" customFormat="1" x14ac:dyDescent="0.35">
      <c r="A1665" s="151"/>
      <c r="B1665" s="152" t="str">
        <f t="shared" si="57"/>
        <v>PV1-90</v>
      </c>
      <c r="C1665" s="161"/>
      <c r="D1665" s="161"/>
      <c r="E1665" s="161"/>
      <c r="F1665" s="161"/>
      <c r="G1665" s="161"/>
      <c r="H1665" s="161"/>
      <c r="I1665" s="161"/>
      <c r="J1665" s="161"/>
      <c r="K1665" s="166">
        <f t="shared" si="58"/>
        <v>1.3307654975296135E-3</v>
      </c>
      <c r="L1665" s="161"/>
      <c r="M1665" s="161"/>
      <c r="N1665" s="188">
        <f t="shared" si="59"/>
        <v>2.9572566611769187</v>
      </c>
      <c r="O1665" s="188"/>
      <c r="P1665" s="168"/>
      <c r="Q1665" s="168"/>
      <c r="R1665" s="168"/>
      <c r="S1665" s="168"/>
    </row>
    <row r="1666" spans="1:19" s="140" customFormat="1" x14ac:dyDescent="0.35">
      <c r="A1666" s="151"/>
      <c r="B1666" s="152" t="str">
        <f t="shared" si="57"/>
        <v>PV2-90</v>
      </c>
      <c r="C1666" s="161"/>
      <c r="D1666" s="161"/>
      <c r="E1666" s="161"/>
      <c r="F1666" s="161"/>
      <c r="G1666" s="161"/>
      <c r="H1666" s="161"/>
      <c r="I1666" s="161"/>
      <c r="J1666" s="161"/>
      <c r="K1666" s="166">
        <f t="shared" si="58"/>
        <v>1.3307654975296135E-3</v>
      </c>
      <c r="L1666" s="161"/>
      <c r="M1666" s="161"/>
      <c r="N1666" s="188">
        <f t="shared" si="59"/>
        <v>2.9572566611769187</v>
      </c>
      <c r="O1666" s="188"/>
      <c r="P1666" s="168"/>
      <c r="Q1666" s="168"/>
      <c r="R1666" s="168"/>
      <c r="S1666" s="168"/>
    </row>
    <row r="1667" spans="1:19" s="140" customFormat="1" x14ac:dyDescent="0.35">
      <c r="A1667" s="151"/>
      <c r="B1667" s="152" t="str">
        <f t="shared" si="57"/>
        <v>PV3-90</v>
      </c>
      <c r="C1667" s="161"/>
      <c r="D1667" s="161"/>
      <c r="E1667" s="161"/>
      <c r="F1667" s="161"/>
      <c r="G1667" s="161"/>
      <c r="H1667" s="161"/>
      <c r="I1667" s="161"/>
      <c r="J1667" s="161"/>
      <c r="K1667" s="166">
        <f t="shared" si="58"/>
        <v>1.3307654975296135E-3</v>
      </c>
      <c r="L1667" s="161"/>
      <c r="M1667" s="161"/>
      <c r="N1667" s="188">
        <f t="shared" si="59"/>
        <v>2.9572566611769187</v>
      </c>
      <c r="O1667" s="188"/>
      <c r="P1667" s="168"/>
      <c r="Q1667" s="168"/>
      <c r="R1667" s="168"/>
      <c r="S1667" s="168"/>
    </row>
    <row r="1668" spans="1:19" s="140" customFormat="1" x14ac:dyDescent="0.35">
      <c r="A1668" s="151"/>
      <c r="B1668" s="152" t="str">
        <f t="shared" si="57"/>
        <v>PV2-91</v>
      </c>
      <c r="C1668" s="161"/>
      <c r="D1668" s="161"/>
      <c r="E1668" s="161"/>
      <c r="F1668" s="161"/>
      <c r="G1668" s="161"/>
      <c r="H1668" s="161"/>
      <c r="I1668" s="161"/>
      <c r="J1668" s="161"/>
      <c r="K1668" s="166">
        <f t="shared" si="58"/>
        <v>1.3307654975296135E-3</v>
      </c>
      <c r="L1668" s="161"/>
      <c r="M1668" s="161"/>
      <c r="N1668" s="188">
        <f t="shared" si="59"/>
        <v>2.9572566611769187</v>
      </c>
      <c r="O1668" s="188"/>
      <c r="P1668" s="168"/>
      <c r="Q1668" s="168"/>
      <c r="R1668" s="168"/>
      <c r="S1668" s="168"/>
    </row>
    <row r="1669" spans="1:19" s="140" customFormat="1" x14ac:dyDescent="0.35">
      <c r="A1669" s="151"/>
      <c r="B1669" s="152" t="str">
        <f t="shared" si="57"/>
        <v>PV3-91</v>
      </c>
      <c r="C1669" s="161"/>
      <c r="D1669" s="161"/>
      <c r="E1669" s="161"/>
      <c r="F1669" s="161"/>
      <c r="G1669" s="161"/>
      <c r="H1669" s="161"/>
      <c r="I1669" s="161"/>
      <c r="J1669" s="161"/>
      <c r="K1669" s="166">
        <f t="shared" si="58"/>
        <v>1.3307654975296135E-3</v>
      </c>
      <c r="L1669" s="161"/>
      <c r="M1669" s="161"/>
      <c r="N1669" s="188">
        <f t="shared" si="59"/>
        <v>2.9572566611769187</v>
      </c>
      <c r="O1669" s="188"/>
      <c r="P1669" s="168"/>
      <c r="Q1669" s="168"/>
      <c r="R1669" s="168"/>
      <c r="S1669" s="168"/>
    </row>
    <row r="1670" spans="1:19" s="140" customFormat="1" x14ac:dyDescent="0.35">
      <c r="A1670" s="151"/>
      <c r="B1670" s="152" t="str">
        <f t="shared" si="57"/>
        <v>PV1-92</v>
      </c>
      <c r="C1670" s="161"/>
      <c r="D1670" s="161"/>
      <c r="E1670" s="161"/>
      <c r="F1670" s="161"/>
      <c r="G1670" s="161"/>
      <c r="H1670" s="161"/>
      <c r="I1670" s="161"/>
      <c r="J1670" s="161"/>
      <c r="K1670" s="166">
        <f t="shared" si="58"/>
        <v>1.3307654975296135E-3</v>
      </c>
      <c r="L1670" s="161"/>
      <c r="M1670" s="161"/>
      <c r="N1670" s="188">
        <f t="shared" si="59"/>
        <v>2.9572566611769187</v>
      </c>
      <c r="O1670" s="188"/>
      <c r="P1670" s="168"/>
      <c r="Q1670" s="168"/>
      <c r="R1670" s="168"/>
      <c r="S1670" s="168"/>
    </row>
    <row r="1671" spans="1:19" s="140" customFormat="1" x14ac:dyDescent="0.35">
      <c r="A1671" s="151"/>
      <c r="B1671" s="152" t="str">
        <f t="shared" si="57"/>
        <v>PV2-92</v>
      </c>
      <c r="C1671" s="161"/>
      <c r="D1671" s="161"/>
      <c r="E1671" s="161"/>
      <c r="F1671" s="161"/>
      <c r="G1671" s="161"/>
      <c r="H1671" s="161"/>
      <c r="I1671" s="161"/>
      <c r="J1671" s="161"/>
      <c r="K1671" s="166">
        <f t="shared" si="58"/>
        <v>1.3307654975296135E-3</v>
      </c>
      <c r="L1671" s="161"/>
      <c r="M1671" s="161"/>
      <c r="N1671" s="188">
        <f t="shared" si="59"/>
        <v>2.9572566611769187</v>
      </c>
      <c r="O1671" s="188"/>
      <c r="P1671" s="168"/>
      <c r="Q1671" s="168"/>
      <c r="R1671" s="168"/>
      <c r="S1671" s="168"/>
    </row>
    <row r="1672" spans="1:19" s="140" customFormat="1" x14ac:dyDescent="0.35">
      <c r="A1672" s="151"/>
      <c r="B1672" s="152" t="str">
        <f t="shared" si="57"/>
        <v>PV3-92</v>
      </c>
      <c r="C1672" s="161"/>
      <c r="D1672" s="161"/>
      <c r="E1672" s="161"/>
      <c r="F1672" s="161"/>
      <c r="G1672" s="161"/>
      <c r="H1672" s="161"/>
      <c r="I1672" s="161"/>
      <c r="J1672" s="161"/>
      <c r="K1672" s="166">
        <f t="shared" si="58"/>
        <v>1.3307654975296135E-3</v>
      </c>
      <c r="L1672" s="161"/>
      <c r="M1672" s="161"/>
      <c r="N1672" s="188">
        <f t="shared" si="59"/>
        <v>2.9572566611769187</v>
      </c>
      <c r="O1672" s="188"/>
      <c r="P1672" s="168"/>
      <c r="Q1672" s="168"/>
      <c r="R1672" s="168"/>
      <c r="S1672" s="168"/>
    </row>
    <row r="1673" spans="1:19" s="140" customFormat="1" x14ac:dyDescent="0.35">
      <c r="A1673" s="151"/>
      <c r="B1673" s="152" t="str">
        <f t="shared" si="57"/>
        <v>PV1-93</v>
      </c>
      <c r="C1673" s="161"/>
      <c r="D1673" s="161"/>
      <c r="E1673" s="161"/>
      <c r="F1673" s="161"/>
      <c r="G1673" s="161"/>
      <c r="H1673" s="161"/>
      <c r="I1673" s="161"/>
      <c r="J1673" s="161"/>
      <c r="K1673" s="166">
        <f t="shared" si="58"/>
        <v>1.3307654975296135E-3</v>
      </c>
      <c r="L1673" s="161"/>
      <c r="M1673" s="161"/>
      <c r="N1673" s="188">
        <f t="shared" si="59"/>
        <v>2.9572566611769187</v>
      </c>
      <c r="O1673" s="188"/>
      <c r="P1673" s="168"/>
      <c r="Q1673" s="168"/>
      <c r="R1673" s="168"/>
      <c r="S1673" s="168"/>
    </row>
    <row r="1674" spans="1:19" s="140" customFormat="1" x14ac:dyDescent="0.35">
      <c r="A1674" s="151"/>
      <c r="B1674" s="152" t="str">
        <f t="shared" si="57"/>
        <v>PV2-93</v>
      </c>
      <c r="C1674" s="161"/>
      <c r="D1674" s="161"/>
      <c r="E1674" s="161"/>
      <c r="F1674" s="161"/>
      <c r="G1674" s="161"/>
      <c r="H1674" s="161"/>
      <c r="I1674" s="161"/>
      <c r="J1674" s="161"/>
      <c r="K1674" s="166">
        <f t="shared" si="58"/>
        <v>1.3307654975296135E-3</v>
      </c>
      <c r="L1674" s="161"/>
      <c r="M1674" s="161"/>
      <c r="N1674" s="188">
        <f t="shared" si="59"/>
        <v>2.9572566611769187</v>
      </c>
      <c r="O1674" s="188"/>
      <c r="P1674" s="168"/>
      <c r="Q1674" s="168"/>
      <c r="R1674" s="168"/>
      <c r="S1674" s="168"/>
    </row>
    <row r="1675" spans="1:19" s="140" customFormat="1" x14ac:dyDescent="0.35">
      <c r="A1675" s="151"/>
      <c r="B1675" s="152" t="str">
        <f t="shared" si="57"/>
        <v>PV3-93</v>
      </c>
      <c r="C1675" s="161"/>
      <c r="D1675" s="161"/>
      <c r="E1675" s="161"/>
      <c r="F1675" s="161"/>
      <c r="G1675" s="161"/>
      <c r="H1675" s="161"/>
      <c r="I1675" s="161"/>
      <c r="J1675" s="161"/>
      <c r="K1675" s="166">
        <f t="shared" si="58"/>
        <v>1.3307654975296135E-3</v>
      </c>
      <c r="L1675" s="161"/>
      <c r="M1675" s="161"/>
      <c r="N1675" s="188">
        <f t="shared" si="59"/>
        <v>2.9572566611769187</v>
      </c>
      <c r="O1675" s="188"/>
      <c r="P1675" s="168"/>
      <c r="Q1675" s="168"/>
      <c r="R1675" s="168"/>
      <c r="S1675" s="168"/>
    </row>
    <row r="1676" spans="1:19" s="140" customFormat="1" x14ac:dyDescent="0.35">
      <c r="A1676" s="151"/>
      <c r="B1676" s="152" t="str">
        <f t="shared" si="57"/>
        <v>PV1-94</v>
      </c>
      <c r="C1676" s="161"/>
      <c r="D1676" s="161"/>
      <c r="E1676" s="161"/>
      <c r="F1676" s="161"/>
      <c r="G1676" s="161"/>
      <c r="H1676" s="161"/>
      <c r="I1676" s="161"/>
      <c r="J1676" s="161"/>
      <c r="K1676" s="166">
        <f t="shared" si="58"/>
        <v>1.3307654975296135E-3</v>
      </c>
      <c r="L1676" s="161"/>
      <c r="M1676" s="161"/>
      <c r="N1676" s="188">
        <f t="shared" si="59"/>
        <v>2.9572566611769187</v>
      </c>
      <c r="O1676" s="188"/>
      <c r="P1676" s="168"/>
      <c r="Q1676" s="168"/>
      <c r="R1676" s="168"/>
      <c r="S1676" s="168"/>
    </row>
    <row r="1677" spans="1:19" s="140" customFormat="1" x14ac:dyDescent="0.35">
      <c r="A1677" s="151"/>
      <c r="B1677" s="152" t="str">
        <f t="shared" si="57"/>
        <v>PV2-94</v>
      </c>
      <c r="C1677" s="161"/>
      <c r="D1677" s="161"/>
      <c r="E1677" s="161"/>
      <c r="F1677" s="161"/>
      <c r="G1677" s="161"/>
      <c r="H1677" s="161"/>
      <c r="I1677" s="161"/>
      <c r="J1677" s="161"/>
      <c r="K1677" s="166">
        <f t="shared" si="58"/>
        <v>1.3307654975296135E-3</v>
      </c>
      <c r="L1677" s="161"/>
      <c r="M1677" s="161"/>
      <c r="N1677" s="188">
        <f t="shared" si="59"/>
        <v>2.9572566611769187</v>
      </c>
      <c r="O1677" s="188"/>
      <c r="P1677" s="168"/>
      <c r="Q1677" s="168"/>
      <c r="R1677" s="168"/>
      <c r="S1677" s="168"/>
    </row>
    <row r="1678" spans="1:19" s="140" customFormat="1" x14ac:dyDescent="0.35">
      <c r="A1678" s="151"/>
      <c r="B1678" s="152" t="str">
        <f t="shared" si="57"/>
        <v>PV3-94</v>
      </c>
      <c r="C1678" s="161"/>
      <c r="D1678" s="161"/>
      <c r="E1678" s="161"/>
      <c r="F1678" s="161"/>
      <c r="G1678" s="161"/>
      <c r="H1678" s="161"/>
      <c r="I1678" s="161"/>
      <c r="J1678" s="161"/>
      <c r="K1678" s="166">
        <f t="shared" si="58"/>
        <v>1.3307654975296135E-3</v>
      </c>
      <c r="L1678" s="161"/>
      <c r="M1678" s="161"/>
      <c r="N1678" s="188">
        <f t="shared" si="59"/>
        <v>2.9572566611769187</v>
      </c>
      <c r="O1678" s="188"/>
      <c r="P1678" s="168"/>
      <c r="Q1678" s="168"/>
      <c r="R1678" s="168"/>
      <c r="S1678" s="168"/>
    </row>
    <row r="1679" spans="1:19" s="140" customFormat="1" x14ac:dyDescent="0.35">
      <c r="A1679" s="151"/>
      <c r="B1679" s="152" t="str">
        <f t="shared" si="57"/>
        <v>PV1-95</v>
      </c>
      <c r="C1679" s="161"/>
      <c r="D1679" s="161"/>
      <c r="E1679" s="161"/>
      <c r="F1679" s="161"/>
      <c r="G1679" s="161"/>
      <c r="H1679" s="161"/>
      <c r="I1679" s="161"/>
      <c r="J1679" s="161"/>
      <c r="K1679" s="166">
        <f t="shared" si="58"/>
        <v>1.3307654975296135E-3</v>
      </c>
      <c r="L1679" s="161"/>
      <c r="M1679" s="161"/>
      <c r="N1679" s="188">
        <f t="shared" si="59"/>
        <v>2.9572566611769187</v>
      </c>
      <c r="O1679" s="188"/>
      <c r="P1679" s="168"/>
      <c r="Q1679" s="168"/>
      <c r="R1679" s="168"/>
      <c r="S1679" s="168"/>
    </row>
    <row r="1680" spans="1:19" s="140" customFormat="1" x14ac:dyDescent="0.35">
      <c r="A1680" s="151"/>
      <c r="B1680" s="152" t="str">
        <f t="shared" si="57"/>
        <v>PV2-95</v>
      </c>
      <c r="C1680" s="161"/>
      <c r="D1680" s="161"/>
      <c r="E1680" s="161"/>
      <c r="F1680" s="161"/>
      <c r="G1680" s="161"/>
      <c r="H1680" s="161"/>
      <c r="I1680" s="161"/>
      <c r="J1680" s="161"/>
      <c r="K1680" s="166">
        <f t="shared" si="58"/>
        <v>1.3307654975296135E-3</v>
      </c>
      <c r="L1680" s="161"/>
      <c r="M1680" s="161"/>
      <c r="N1680" s="188">
        <f t="shared" si="59"/>
        <v>2.9572566611769187</v>
      </c>
      <c r="O1680" s="188"/>
      <c r="P1680" s="168"/>
      <c r="Q1680" s="168"/>
      <c r="R1680" s="168"/>
      <c r="S1680" s="168"/>
    </row>
    <row r="1681" spans="1:19" s="140" customFormat="1" x14ac:dyDescent="0.35">
      <c r="A1681" s="151"/>
      <c r="B1681" s="152" t="str">
        <f t="shared" si="57"/>
        <v>PV3-95</v>
      </c>
      <c r="C1681" s="161"/>
      <c r="D1681" s="161"/>
      <c r="E1681" s="161"/>
      <c r="F1681" s="161"/>
      <c r="G1681" s="161"/>
      <c r="H1681" s="161"/>
      <c r="I1681" s="161"/>
      <c r="J1681" s="161"/>
      <c r="K1681" s="166">
        <f t="shared" si="58"/>
        <v>1.3307654975296135E-3</v>
      </c>
      <c r="L1681" s="161"/>
      <c r="M1681" s="161"/>
      <c r="N1681" s="188">
        <f t="shared" si="59"/>
        <v>2.9572566611769187</v>
      </c>
      <c r="O1681" s="188"/>
      <c r="P1681" s="168"/>
      <c r="Q1681" s="168"/>
      <c r="R1681" s="168"/>
      <c r="S1681" s="168"/>
    </row>
    <row r="1682" spans="1:19" s="140" customFormat="1" x14ac:dyDescent="0.35">
      <c r="A1682" s="151"/>
      <c r="B1682" s="152" t="str">
        <f t="shared" si="57"/>
        <v>PV1-96</v>
      </c>
      <c r="C1682" s="161"/>
      <c r="D1682" s="161"/>
      <c r="E1682" s="161"/>
      <c r="F1682" s="161"/>
      <c r="G1682" s="161"/>
      <c r="H1682" s="161"/>
      <c r="I1682" s="161"/>
      <c r="J1682" s="161"/>
      <c r="K1682" s="166">
        <f t="shared" si="58"/>
        <v>1.3307654975296135E-3</v>
      </c>
      <c r="L1682" s="161"/>
      <c r="M1682" s="161"/>
      <c r="N1682" s="188">
        <f t="shared" si="59"/>
        <v>2.9572566611769187</v>
      </c>
      <c r="O1682" s="188"/>
      <c r="P1682" s="168"/>
      <c r="Q1682" s="168"/>
      <c r="R1682" s="168"/>
      <c r="S1682" s="168"/>
    </row>
    <row r="1683" spans="1:19" s="140" customFormat="1" x14ac:dyDescent="0.35">
      <c r="A1683" s="151"/>
      <c r="B1683" s="152" t="str">
        <f t="shared" si="57"/>
        <v>PV2-96</v>
      </c>
      <c r="C1683" s="161"/>
      <c r="D1683" s="161"/>
      <c r="E1683" s="161"/>
      <c r="F1683" s="161"/>
      <c r="G1683" s="161"/>
      <c r="H1683" s="161"/>
      <c r="I1683" s="161"/>
      <c r="J1683" s="161"/>
      <c r="K1683" s="166">
        <f t="shared" si="58"/>
        <v>1.3307654975296135E-3</v>
      </c>
      <c r="L1683" s="161"/>
      <c r="M1683" s="161"/>
      <c r="N1683" s="188">
        <f t="shared" si="59"/>
        <v>2.9572566611769187</v>
      </c>
      <c r="O1683" s="188"/>
      <c r="P1683" s="168"/>
      <c r="Q1683" s="168"/>
      <c r="R1683" s="168"/>
      <c r="S1683" s="168"/>
    </row>
    <row r="1684" spans="1:19" s="140" customFormat="1" x14ac:dyDescent="0.35">
      <c r="A1684" s="151"/>
      <c r="B1684" s="152" t="str">
        <f t="shared" si="57"/>
        <v>PV1-97</v>
      </c>
      <c r="C1684" s="161"/>
      <c r="D1684" s="161"/>
      <c r="E1684" s="161"/>
      <c r="F1684" s="161"/>
      <c r="G1684" s="161"/>
      <c r="H1684" s="161"/>
      <c r="I1684" s="161"/>
      <c r="J1684" s="161"/>
      <c r="K1684" s="166">
        <f t="shared" si="58"/>
        <v>1.3307654975296135E-3</v>
      </c>
      <c r="L1684" s="161"/>
      <c r="M1684" s="161"/>
      <c r="N1684" s="188">
        <f t="shared" si="59"/>
        <v>2.9572566611769187</v>
      </c>
      <c r="O1684" s="188"/>
      <c r="P1684" s="168"/>
      <c r="Q1684" s="168"/>
      <c r="R1684" s="168"/>
      <c r="S1684" s="168"/>
    </row>
    <row r="1685" spans="1:19" s="140" customFormat="1" x14ac:dyDescent="0.35">
      <c r="A1685" s="151"/>
      <c r="B1685" s="152" t="str">
        <f t="shared" si="57"/>
        <v>PV2-97</v>
      </c>
      <c r="C1685" s="161"/>
      <c r="D1685" s="161"/>
      <c r="E1685" s="161"/>
      <c r="F1685" s="161"/>
      <c r="G1685" s="161"/>
      <c r="H1685" s="161"/>
      <c r="I1685" s="161"/>
      <c r="J1685" s="161"/>
      <c r="K1685" s="166">
        <f t="shared" si="58"/>
        <v>1.3307654975296135E-3</v>
      </c>
      <c r="L1685" s="161"/>
      <c r="M1685" s="161"/>
      <c r="N1685" s="188">
        <f t="shared" si="59"/>
        <v>2.9572566611769187</v>
      </c>
      <c r="O1685" s="188"/>
      <c r="P1685" s="168"/>
      <c r="Q1685" s="168"/>
      <c r="R1685" s="168"/>
      <c r="S1685" s="168"/>
    </row>
    <row r="1686" spans="1:19" s="140" customFormat="1" x14ac:dyDescent="0.35">
      <c r="A1686" s="151"/>
      <c r="B1686" s="152" t="str">
        <f t="shared" si="57"/>
        <v>PV3-97</v>
      </c>
      <c r="C1686" s="161"/>
      <c r="D1686" s="161"/>
      <c r="E1686" s="161"/>
      <c r="F1686" s="161"/>
      <c r="G1686" s="161"/>
      <c r="H1686" s="161"/>
      <c r="I1686" s="161"/>
      <c r="J1686" s="161"/>
      <c r="K1686" s="166">
        <f t="shared" si="58"/>
        <v>1.3307654975296135E-3</v>
      </c>
      <c r="L1686" s="161"/>
      <c r="M1686" s="161"/>
      <c r="N1686" s="188">
        <f t="shared" si="59"/>
        <v>2.9572566611769187</v>
      </c>
      <c r="O1686" s="188"/>
      <c r="P1686" s="168"/>
      <c r="Q1686" s="168"/>
      <c r="R1686" s="168"/>
      <c r="S1686" s="168"/>
    </row>
    <row r="1687" spans="1:19" s="140" customFormat="1" x14ac:dyDescent="0.35">
      <c r="A1687" s="151"/>
      <c r="B1687" s="152" t="str">
        <f t="shared" si="57"/>
        <v>PV1-98</v>
      </c>
      <c r="C1687" s="161"/>
      <c r="D1687" s="161"/>
      <c r="E1687" s="161"/>
      <c r="F1687" s="161"/>
      <c r="G1687" s="161"/>
      <c r="H1687" s="161"/>
      <c r="I1687" s="161"/>
      <c r="J1687" s="161"/>
      <c r="K1687" s="166">
        <f t="shared" si="58"/>
        <v>1.3307654975296135E-3</v>
      </c>
      <c r="L1687" s="161"/>
      <c r="M1687" s="161"/>
      <c r="N1687" s="188">
        <f t="shared" si="59"/>
        <v>2.9572566611769187</v>
      </c>
      <c r="O1687" s="188"/>
      <c r="P1687" s="168"/>
      <c r="Q1687" s="168"/>
      <c r="R1687" s="168"/>
      <c r="S1687" s="168"/>
    </row>
    <row r="1688" spans="1:19" s="140" customFormat="1" x14ac:dyDescent="0.35">
      <c r="A1688" s="151"/>
      <c r="B1688" s="152" t="str">
        <f t="shared" si="57"/>
        <v>PV2-98</v>
      </c>
      <c r="C1688" s="161"/>
      <c r="D1688" s="161"/>
      <c r="E1688" s="161"/>
      <c r="F1688" s="161"/>
      <c r="G1688" s="161"/>
      <c r="H1688" s="161"/>
      <c r="I1688" s="161"/>
      <c r="J1688" s="161"/>
      <c r="K1688" s="166">
        <f t="shared" si="58"/>
        <v>1.3307654975296135E-3</v>
      </c>
      <c r="L1688" s="161"/>
      <c r="M1688" s="161"/>
      <c r="N1688" s="188">
        <f t="shared" si="59"/>
        <v>2.9572566611769187</v>
      </c>
      <c r="O1688" s="188"/>
      <c r="P1688" s="168"/>
      <c r="Q1688" s="168"/>
      <c r="R1688" s="168"/>
      <c r="S1688" s="168"/>
    </row>
    <row r="1689" spans="1:19" s="140" customFormat="1" x14ac:dyDescent="0.35">
      <c r="A1689" s="151"/>
      <c r="B1689" s="152" t="str">
        <f t="shared" si="57"/>
        <v>PV1-99</v>
      </c>
      <c r="C1689" s="161"/>
      <c r="D1689" s="161"/>
      <c r="E1689" s="161"/>
      <c r="F1689" s="161"/>
      <c r="G1689" s="161"/>
      <c r="H1689" s="161"/>
      <c r="I1689" s="161"/>
      <c r="J1689" s="161"/>
      <c r="K1689" s="166">
        <f t="shared" si="58"/>
        <v>1.3307654975296135E-3</v>
      </c>
      <c r="L1689" s="161"/>
      <c r="M1689" s="161"/>
      <c r="N1689" s="188">
        <f t="shared" si="59"/>
        <v>2.9572566611769187</v>
      </c>
      <c r="O1689" s="188"/>
      <c r="P1689" s="168"/>
      <c r="Q1689" s="168"/>
      <c r="R1689" s="168"/>
      <c r="S1689" s="168"/>
    </row>
    <row r="1690" spans="1:19" s="140" customFormat="1" x14ac:dyDescent="0.35">
      <c r="A1690" s="151"/>
      <c r="B1690" s="152" t="str">
        <f t="shared" si="57"/>
        <v>PV2-99</v>
      </c>
      <c r="C1690" s="161"/>
      <c r="D1690" s="161"/>
      <c r="E1690" s="161"/>
      <c r="F1690" s="161"/>
      <c r="G1690" s="161"/>
      <c r="H1690" s="161"/>
      <c r="I1690" s="161"/>
      <c r="J1690" s="161"/>
      <c r="K1690" s="166">
        <f t="shared" si="58"/>
        <v>1.3307654975296135E-3</v>
      </c>
      <c r="L1690" s="161"/>
      <c r="M1690" s="161"/>
      <c r="N1690" s="188">
        <f t="shared" si="59"/>
        <v>2.9572566611769187</v>
      </c>
      <c r="O1690" s="188"/>
      <c r="P1690" s="168"/>
      <c r="Q1690" s="168"/>
      <c r="R1690" s="168"/>
      <c r="S1690" s="168"/>
    </row>
    <row r="1691" spans="1:19" s="140" customFormat="1" x14ac:dyDescent="0.35">
      <c r="A1691" s="151"/>
      <c r="B1691" s="152" t="str">
        <f t="shared" si="57"/>
        <v>PV1-100</v>
      </c>
      <c r="C1691" s="161"/>
      <c r="D1691" s="161"/>
      <c r="E1691" s="161"/>
      <c r="F1691" s="161"/>
      <c r="G1691" s="161"/>
      <c r="H1691" s="161"/>
      <c r="I1691" s="161"/>
      <c r="J1691" s="161"/>
      <c r="K1691" s="166">
        <f t="shared" si="58"/>
        <v>1.3307654975296135E-3</v>
      </c>
      <c r="L1691" s="161"/>
      <c r="M1691" s="161"/>
      <c r="N1691" s="188">
        <f t="shared" si="59"/>
        <v>2.9572566611769187</v>
      </c>
      <c r="O1691" s="188"/>
      <c r="P1691" s="168"/>
      <c r="Q1691" s="168"/>
      <c r="R1691" s="168"/>
      <c r="S1691" s="168"/>
    </row>
    <row r="1692" spans="1:19" s="140" customFormat="1" x14ac:dyDescent="0.35">
      <c r="A1692" s="151"/>
      <c r="B1692" s="152"/>
      <c r="C1692" s="161"/>
      <c r="D1692" s="161"/>
      <c r="E1692" s="161"/>
      <c r="F1692" s="161"/>
      <c r="G1692" s="161"/>
      <c r="H1692" s="161"/>
      <c r="I1692" s="161"/>
      <c r="J1692" s="161"/>
      <c r="K1692" s="161"/>
      <c r="L1692" s="161"/>
      <c r="M1692" s="161"/>
      <c r="N1692" s="161"/>
      <c r="O1692" s="167"/>
      <c r="P1692" s="168"/>
      <c r="Q1692" s="168"/>
      <c r="R1692" s="168"/>
      <c r="S1692" s="168"/>
    </row>
    <row r="1693" spans="1:19" s="164" customFormat="1" x14ac:dyDescent="0.35">
      <c r="A1693" s="169"/>
      <c r="B1693" s="157" t="s">
        <v>377</v>
      </c>
      <c r="C1693" s="182" t="s">
        <v>402</v>
      </c>
      <c r="D1693" s="182"/>
      <c r="E1693" s="182"/>
      <c r="F1693" s="182"/>
      <c r="G1693" s="182"/>
      <c r="H1693" s="182"/>
      <c r="I1693" s="182"/>
      <c r="J1693" s="182"/>
      <c r="K1693" s="170">
        <f>SUM(K1651:K1691)</f>
        <v>5.4561385398714128E-2</v>
      </c>
      <c r="L1693" s="182"/>
      <c r="M1693" s="182"/>
      <c r="N1693" s="182"/>
      <c r="O1693" s="170"/>
      <c r="P1693" s="145"/>
      <c r="Q1693" s="145"/>
      <c r="R1693" s="145"/>
      <c r="S1693" s="145"/>
    </row>
    <row r="1694" spans="1:19" s="164" customFormat="1" ht="21" x14ac:dyDescent="0.35">
      <c r="A1694" s="147" t="str">
        <f>ORÇAMENTO!A286</f>
        <v>4.3.20</v>
      </c>
      <c r="B1694" s="148" t="str">
        <f>VLOOKUP(A1694,ORÇAMENTO!$A:$F,4,0)</f>
        <v>EMULSÃO ASFÁLTICA PARA IMPRIMAÇÃO - FORNECIMENTO E TRANSPORTE</v>
      </c>
      <c r="C1694" s="149" t="str">
        <f>VLOOKUP(A1694,ORÇAMENTO!$A:$F,5,0)</f>
        <v>T</v>
      </c>
      <c r="D1694" s="149">
        <f>SUM(E1739:O1739)</f>
        <v>0.15762178004072974</v>
      </c>
      <c r="E1694" s="149" t="s">
        <v>2149</v>
      </c>
      <c r="F1694" s="149" t="s">
        <v>2150</v>
      </c>
      <c r="G1694" s="149" t="s">
        <v>2151</v>
      </c>
      <c r="H1694" s="149" t="s">
        <v>2152</v>
      </c>
      <c r="I1694" s="149" t="s">
        <v>2153</v>
      </c>
      <c r="J1694" s="149" t="s">
        <v>2154</v>
      </c>
      <c r="K1694" s="149" t="s">
        <v>2172</v>
      </c>
      <c r="L1694" s="149" t="s">
        <v>2213</v>
      </c>
      <c r="M1694" s="149" t="s">
        <v>2204</v>
      </c>
      <c r="N1694" s="149" t="s">
        <v>2157</v>
      </c>
      <c r="O1694" s="149" t="s">
        <v>2158</v>
      </c>
      <c r="P1694" s="145"/>
      <c r="Q1694" s="145"/>
      <c r="R1694" s="145"/>
      <c r="S1694" s="145"/>
    </row>
    <row r="1695" spans="1:19" s="164" customFormat="1" x14ac:dyDescent="0.35">
      <c r="A1695" s="151"/>
      <c r="B1695" s="157" t="s">
        <v>2217</v>
      </c>
      <c r="C1695" s="153"/>
      <c r="D1695" s="153"/>
      <c r="E1695" s="154"/>
      <c r="F1695" s="154"/>
      <c r="G1695" s="154"/>
      <c r="H1695" s="154"/>
      <c r="I1695" s="154"/>
      <c r="J1695" s="154"/>
      <c r="K1695" s="154"/>
      <c r="L1695" s="154"/>
      <c r="M1695" s="154"/>
      <c r="N1695" s="154"/>
      <c r="O1695" s="154"/>
      <c r="P1695" s="145"/>
      <c r="Q1695" s="145"/>
      <c r="R1695" s="145"/>
      <c r="S1695" s="145"/>
    </row>
    <row r="1696" spans="1:19" s="146" customFormat="1" ht="42" x14ac:dyDescent="0.25">
      <c r="A1696" s="151"/>
      <c r="B1696" s="152" t="s">
        <v>2218</v>
      </c>
      <c r="C1696" s="153"/>
      <c r="D1696" s="154"/>
      <c r="E1696" s="154"/>
      <c r="F1696" s="154"/>
      <c r="G1696" s="154"/>
      <c r="H1696" s="154"/>
      <c r="I1696" s="154"/>
      <c r="J1696" s="154"/>
      <c r="K1696" s="154"/>
      <c r="L1696" s="172">
        <v>1.2999999999999999E-3</v>
      </c>
      <c r="M1696" s="154"/>
      <c r="N1696" s="154"/>
      <c r="O1696" s="154"/>
      <c r="P1696" s="155"/>
      <c r="Q1696" s="145"/>
    </row>
    <row r="1697" spans="1:19" s="140" customFormat="1" x14ac:dyDescent="0.35">
      <c r="A1697" s="151"/>
      <c r="B1697" s="152" t="str">
        <f>B1385</f>
        <v>PV1-87</v>
      </c>
      <c r="C1697" s="161"/>
      <c r="D1697" s="161"/>
      <c r="E1697" s="161"/>
      <c r="F1697" s="161"/>
      <c r="G1697" s="161"/>
      <c r="H1697" s="161"/>
      <c r="I1697" s="161"/>
      <c r="J1697" s="161"/>
      <c r="K1697" s="166">
        <f>$L$1696*N1697</f>
        <v>3.844433659529994E-3</v>
      </c>
      <c r="L1697" s="161"/>
      <c r="M1697" s="161"/>
      <c r="N1697" s="188">
        <f>N1385</f>
        <v>2.9572566611769187</v>
      </c>
      <c r="O1697" s="188"/>
      <c r="P1697" s="168"/>
      <c r="Q1697" s="168"/>
      <c r="R1697" s="168"/>
      <c r="S1697" s="168"/>
    </row>
    <row r="1698" spans="1:19" s="140" customFormat="1" x14ac:dyDescent="0.35">
      <c r="A1698" s="151"/>
      <c r="B1698" s="152" t="str">
        <f t="shared" ref="B1698:B1737" si="60">B1386</f>
        <v>PV2-87</v>
      </c>
      <c r="C1698" s="161"/>
      <c r="D1698" s="161"/>
      <c r="E1698" s="161"/>
      <c r="F1698" s="161"/>
      <c r="G1698" s="161"/>
      <c r="H1698" s="161"/>
      <c r="I1698" s="161"/>
      <c r="J1698" s="161"/>
      <c r="K1698" s="166">
        <f t="shared" ref="K1698:K1737" si="61">$L$1696*N1698</f>
        <v>3.844433659529994E-3</v>
      </c>
      <c r="L1698" s="161"/>
      <c r="M1698" s="161"/>
      <c r="N1698" s="188">
        <f t="shared" ref="N1698:N1737" si="62">N1386</f>
        <v>2.9572566611769187</v>
      </c>
      <c r="O1698" s="188"/>
      <c r="P1698" s="168"/>
      <c r="Q1698" s="168"/>
      <c r="R1698" s="168"/>
      <c r="S1698" s="168"/>
    </row>
    <row r="1699" spans="1:19" s="140" customFormat="1" x14ac:dyDescent="0.35">
      <c r="A1699" s="151"/>
      <c r="B1699" s="152" t="str">
        <f t="shared" si="60"/>
        <v>PV3-87</v>
      </c>
      <c r="C1699" s="161"/>
      <c r="D1699" s="161"/>
      <c r="E1699" s="161"/>
      <c r="F1699" s="161"/>
      <c r="G1699" s="161"/>
      <c r="H1699" s="161"/>
      <c r="I1699" s="161"/>
      <c r="J1699" s="161"/>
      <c r="K1699" s="166">
        <f t="shared" si="61"/>
        <v>3.844433659529994E-3</v>
      </c>
      <c r="L1699" s="161"/>
      <c r="M1699" s="161"/>
      <c r="N1699" s="188">
        <f t="shared" si="62"/>
        <v>2.9572566611769187</v>
      </c>
      <c r="O1699" s="188"/>
      <c r="P1699" s="168"/>
      <c r="Q1699" s="168"/>
      <c r="R1699" s="168"/>
      <c r="S1699" s="168"/>
    </row>
    <row r="1700" spans="1:19" s="140" customFormat="1" x14ac:dyDescent="0.35">
      <c r="A1700" s="151"/>
      <c r="B1700" s="152" t="str">
        <f t="shared" si="60"/>
        <v>PV4-87</v>
      </c>
      <c r="C1700" s="161"/>
      <c r="D1700" s="161"/>
      <c r="E1700" s="161"/>
      <c r="F1700" s="161"/>
      <c r="G1700" s="161"/>
      <c r="H1700" s="161"/>
      <c r="I1700" s="161"/>
      <c r="J1700" s="161"/>
      <c r="K1700" s="166">
        <f t="shared" si="61"/>
        <v>3.844433659529994E-3</v>
      </c>
      <c r="L1700" s="161"/>
      <c r="M1700" s="161"/>
      <c r="N1700" s="188">
        <f t="shared" si="62"/>
        <v>2.9572566611769187</v>
      </c>
      <c r="O1700" s="188"/>
      <c r="P1700" s="168"/>
      <c r="Q1700" s="168"/>
      <c r="R1700" s="168"/>
      <c r="S1700" s="168"/>
    </row>
    <row r="1701" spans="1:19" s="140" customFormat="1" x14ac:dyDescent="0.35">
      <c r="A1701" s="151"/>
      <c r="B1701" s="152" t="str">
        <f t="shared" si="60"/>
        <v>PV5-87</v>
      </c>
      <c r="C1701" s="161"/>
      <c r="D1701" s="161"/>
      <c r="E1701" s="161"/>
      <c r="F1701" s="161"/>
      <c r="G1701" s="161"/>
      <c r="H1701" s="161"/>
      <c r="I1701" s="161"/>
      <c r="J1701" s="161"/>
      <c r="K1701" s="166">
        <f t="shared" si="61"/>
        <v>3.844433659529994E-3</v>
      </c>
      <c r="L1701" s="161"/>
      <c r="M1701" s="161"/>
      <c r="N1701" s="188">
        <f t="shared" si="62"/>
        <v>2.9572566611769187</v>
      </c>
      <c r="O1701" s="188"/>
      <c r="P1701" s="168"/>
      <c r="Q1701" s="168"/>
      <c r="R1701" s="168"/>
      <c r="S1701" s="168"/>
    </row>
    <row r="1702" spans="1:19" s="140" customFormat="1" x14ac:dyDescent="0.35">
      <c r="A1702" s="151"/>
      <c r="B1702" s="152" t="str">
        <f t="shared" si="60"/>
        <v>PV10-87</v>
      </c>
      <c r="C1702" s="161"/>
      <c r="D1702" s="161"/>
      <c r="E1702" s="161"/>
      <c r="F1702" s="161"/>
      <c r="G1702" s="161"/>
      <c r="H1702" s="161"/>
      <c r="I1702" s="161"/>
      <c r="J1702" s="161"/>
      <c r="K1702" s="166">
        <f t="shared" si="61"/>
        <v>3.844433659529994E-3</v>
      </c>
      <c r="L1702" s="161"/>
      <c r="M1702" s="161"/>
      <c r="N1702" s="188">
        <f t="shared" si="62"/>
        <v>2.9572566611769187</v>
      </c>
      <c r="O1702" s="188"/>
      <c r="P1702" s="168"/>
      <c r="Q1702" s="168"/>
      <c r="R1702" s="168"/>
      <c r="S1702" s="168"/>
    </row>
    <row r="1703" spans="1:19" s="140" customFormat="1" x14ac:dyDescent="0.35">
      <c r="A1703" s="151"/>
      <c r="B1703" s="152" t="str">
        <f t="shared" si="60"/>
        <v>PV15-87</v>
      </c>
      <c r="C1703" s="161"/>
      <c r="D1703" s="161"/>
      <c r="E1703" s="161"/>
      <c r="F1703" s="161"/>
      <c r="G1703" s="161"/>
      <c r="H1703" s="161"/>
      <c r="I1703" s="161"/>
      <c r="J1703" s="161"/>
      <c r="K1703" s="166">
        <f t="shared" si="61"/>
        <v>3.844433659529994E-3</v>
      </c>
      <c r="L1703" s="161"/>
      <c r="M1703" s="161"/>
      <c r="N1703" s="188">
        <f t="shared" si="62"/>
        <v>2.9572566611769187</v>
      </c>
      <c r="O1703" s="188"/>
      <c r="P1703" s="168"/>
      <c r="Q1703" s="168"/>
      <c r="R1703" s="168"/>
      <c r="S1703" s="168"/>
    </row>
    <row r="1704" spans="1:19" s="140" customFormat="1" x14ac:dyDescent="0.35">
      <c r="A1704" s="151"/>
      <c r="B1704" s="152" t="str">
        <f t="shared" si="60"/>
        <v>PV1-88</v>
      </c>
      <c r="C1704" s="161"/>
      <c r="D1704" s="161"/>
      <c r="E1704" s="161"/>
      <c r="F1704" s="161"/>
      <c r="G1704" s="161"/>
      <c r="H1704" s="161"/>
      <c r="I1704" s="161"/>
      <c r="J1704" s="161"/>
      <c r="K1704" s="166">
        <f t="shared" si="61"/>
        <v>3.844433659529994E-3</v>
      </c>
      <c r="L1704" s="161"/>
      <c r="M1704" s="161"/>
      <c r="N1704" s="188">
        <f t="shared" si="62"/>
        <v>2.9572566611769187</v>
      </c>
      <c r="O1704" s="188"/>
      <c r="P1704" s="168"/>
      <c r="Q1704" s="168"/>
      <c r="R1704" s="168"/>
      <c r="S1704" s="168"/>
    </row>
    <row r="1705" spans="1:19" s="140" customFormat="1" x14ac:dyDescent="0.35">
      <c r="A1705" s="151"/>
      <c r="B1705" s="152" t="str">
        <f t="shared" si="60"/>
        <v>PV2-88</v>
      </c>
      <c r="C1705" s="161"/>
      <c r="D1705" s="161"/>
      <c r="E1705" s="161"/>
      <c r="F1705" s="161"/>
      <c r="G1705" s="161"/>
      <c r="H1705" s="161"/>
      <c r="I1705" s="161"/>
      <c r="J1705" s="161"/>
      <c r="K1705" s="166">
        <f t="shared" si="61"/>
        <v>3.844433659529994E-3</v>
      </c>
      <c r="L1705" s="161"/>
      <c r="M1705" s="161"/>
      <c r="N1705" s="188">
        <f t="shared" si="62"/>
        <v>2.9572566611769187</v>
      </c>
      <c r="O1705" s="188"/>
      <c r="P1705" s="168"/>
      <c r="Q1705" s="168"/>
      <c r="R1705" s="168"/>
      <c r="S1705" s="168"/>
    </row>
    <row r="1706" spans="1:19" s="140" customFormat="1" x14ac:dyDescent="0.35">
      <c r="A1706" s="151"/>
      <c r="B1706" s="152" t="str">
        <f t="shared" si="60"/>
        <v>PV3-88</v>
      </c>
      <c r="C1706" s="161"/>
      <c r="D1706" s="161"/>
      <c r="E1706" s="161"/>
      <c r="F1706" s="161"/>
      <c r="G1706" s="161"/>
      <c r="H1706" s="161"/>
      <c r="I1706" s="161"/>
      <c r="J1706" s="161"/>
      <c r="K1706" s="166">
        <f t="shared" si="61"/>
        <v>3.844433659529994E-3</v>
      </c>
      <c r="L1706" s="161"/>
      <c r="M1706" s="161"/>
      <c r="N1706" s="188">
        <f t="shared" si="62"/>
        <v>2.9572566611769187</v>
      </c>
      <c r="O1706" s="188"/>
      <c r="P1706" s="168"/>
      <c r="Q1706" s="168"/>
      <c r="R1706" s="168"/>
      <c r="S1706" s="168"/>
    </row>
    <row r="1707" spans="1:19" s="140" customFormat="1" x14ac:dyDescent="0.35">
      <c r="A1707" s="151"/>
      <c r="B1707" s="152" t="str">
        <f t="shared" si="60"/>
        <v>PV4-88</v>
      </c>
      <c r="C1707" s="161"/>
      <c r="D1707" s="161"/>
      <c r="E1707" s="161"/>
      <c r="F1707" s="161"/>
      <c r="G1707" s="161"/>
      <c r="H1707" s="161"/>
      <c r="I1707" s="161"/>
      <c r="J1707" s="161"/>
      <c r="K1707" s="166">
        <f t="shared" si="61"/>
        <v>3.844433659529994E-3</v>
      </c>
      <c r="L1707" s="161"/>
      <c r="M1707" s="161"/>
      <c r="N1707" s="188">
        <f t="shared" si="62"/>
        <v>2.9572566611769187</v>
      </c>
      <c r="O1707" s="188"/>
      <c r="P1707" s="168"/>
      <c r="Q1707" s="168"/>
      <c r="R1707" s="168"/>
      <c r="S1707" s="168"/>
    </row>
    <row r="1708" spans="1:19" s="140" customFormat="1" x14ac:dyDescent="0.35">
      <c r="A1708" s="151"/>
      <c r="B1708" s="152" t="str">
        <f t="shared" si="60"/>
        <v>PV5-88</v>
      </c>
      <c r="C1708" s="161"/>
      <c r="D1708" s="161"/>
      <c r="E1708" s="161"/>
      <c r="F1708" s="161"/>
      <c r="G1708" s="161"/>
      <c r="H1708" s="161"/>
      <c r="I1708" s="161"/>
      <c r="J1708" s="161"/>
      <c r="K1708" s="166">
        <f t="shared" si="61"/>
        <v>3.844433659529994E-3</v>
      </c>
      <c r="L1708" s="161"/>
      <c r="M1708" s="161"/>
      <c r="N1708" s="188">
        <f t="shared" si="62"/>
        <v>2.9572566611769187</v>
      </c>
      <c r="O1708" s="188"/>
      <c r="P1708" s="168"/>
      <c r="Q1708" s="168"/>
      <c r="R1708" s="168"/>
      <c r="S1708" s="168"/>
    </row>
    <row r="1709" spans="1:19" s="140" customFormat="1" x14ac:dyDescent="0.35">
      <c r="A1709" s="151"/>
      <c r="B1709" s="152" t="str">
        <f t="shared" si="60"/>
        <v>PV6-88</v>
      </c>
      <c r="C1709" s="161"/>
      <c r="D1709" s="161"/>
      <c r="E1709" s="161"/>
      <c r="F1709" s="161"/>
      <c r="G1709" s="161"/>
      <c r="H1709" s="161"/>
      <c r="I1709" s="161"/>
      <c r="J1709" s="161"/>
      <c r="K1709" s="166">
        <f t="shared" si="61"/>
        <v>3.844433659529994E-3</v>
      </c>
      <c r="L1709" s="161"/>
      <c r="M1709" s="161"/>
      <c r="N1709" s="188">
        <f t="shared" si="62"/>
        <v>2.9572566611769187</v>
      </c>
      <c r="O1709" s="188"/>
      <c r="P1709" s="168"/>
      <c r="Q1709" s="168"/>
      <c r="R1709" s="168"/>
      <c r="S1709" s="168"/>
    </row>
    <row r="1710" spans="1:19" s="140" customFormat="1" x14ac:dyDescent="0.35">
      <c r="A1710" s="151"/>
      <c r="B1710" s="152" t="str">
        <f t="shared" si="60"/>
        <v>PV7-88</v>
      </c>
      <c r="C1710" s="161"/>
      <c r="D1710" s="161"/>
      <c r="E1710" s="161"/>
      <c r="F1710" s="161"/>
      <c r="G1710" s="161"/>
      <c r="H1710" s="161"/>
      <c r="I1710" s="161"/>
      <c r="J1710" s="161"/>
      <c r="K1710" s="166">
        <f t="shared" si="61"/>
        <v>3.844433659529994E-3</v>
      </c>
      <c r="L1710" s="161"/>
      <c r="M1710" s="161"/>
      <c r="N1710" s="188">
        <f t="shared" si="62"/>
        <v>2.9572566611769187</v>
      </c>
      <c r="O1710" s="188"/>
      <c r="P1710" s="168"/>
      <c r="Q1710" s="168"/>
      <c r="R1710" s="168"/>
      <c r="S1710" s="168"/>
    </row>
    <row r="1711" spans="1:19" s="140" customFormat="1" x14ac:dyDescent="0.35">
      <c r="A1711" s="151"/>
      <c r="B1711" s="152" t="str">
        <f t="shared" si="60"/>
        <v>PV1-90</v>
      </c>
      <c r="C1711" s="161"/>
      <c r="D1711" s="161"/>
      <c r="E1711" s="161"/>
      <c r="F1711" s="161"/>
      <c r="G1711" s="161"/>
      <c r="H1711" s="161"/>
      <c r="I1711" s="161"/>
      <c r="J1711" s="161"/>
      <c r="K1711" s="166">
        <f t="shared" si="61"/>
        <v>3.844433659529994E-3</v>
      </c>
      <c r="L1711" s="161"/>
      <c r="M1711" s="161"/>
      <c r="N1711" s="188">
        <f t="shared" si="62"/>
        <v>2.9572566611769187</v>
      </c>
      <c r="O1711" s="188"/>
      <c r="P1711" s="168"/>
      <c r="Q1711" s="168"/>
      <c r="R1711" s="168"/>
      <c r="S1711" s="168"/>
    </row>
    <row r="1712" spans="1:19" s="140" customFormat="1" x14ac:dyDescent="0.35">
      <c r="A1712" s="151"/>
      <c r="B1712" s="152" t="str">
        <f t="shared" si="60"/>
        <v>PV2-90</v>
      </c>
      <c r="C1712" s="161"/>
      <c r="D1712" s="161"/>
      <c r="E1712" s="161"/>
      <c r="F1712" s="161"/>
      <c r="G1712" s="161"/>
      <c r="H1712" s="161"/>
      <c r="I1712" s="161"/>
      <c r="J1712" s="161"/>
      <c r="K1712" s="166">
        <f t="shared" si="61"/>
        <v>3.844433659529994E-3</v>
      </c>
      <c r="L1712" s="161"/>
      <c r="M1712" s="161"/>
      <c r="N1712" s="188">
        <f t="shared" si="62"/>
        <v>2.9572566611769187</v>
      </c>
      <c r="O1712" s="188"/>
      <c r="P1712" s="168"/>
      <c r="Q1712" s="168"/>
      <c r="R1712" s="168"/>
      <c r="S1712" s="168"/>
    </row>
    <row r="1713" spans="1:19" s="140" customFormat="1" x14ac:dyDescent="0.35">
      <c r="A1713" s="151"/>
      <c r="B1713" s="152" t="str">
        <f t="shared" si="60"/>
        <v>PV3-90</v>
      </c>
      <c r="C1713" s="161"/>
      <c r="D1713" s="161"/>
      <c r="E1713" s="161"/>
      <c r="F1713" s="161"/>
      <c r="G1713" s="161"/>
      <c r="H1713" s="161"/>
      <c r="I1713" s="161"/>
      <c r="J1713" s="161"/>
      <c r="K1713" s="166">
        <f t="shared" si="61"/>
        <v>3.844433659529994E-3</v>
      </c>
      <c r="L1713" s="161"/>
      <c r="M1713" s="161"/>
      <c r="N1713" s="188">
        <f t="shared" si="62"/>
        <v>2.9572566611769187</v>
      </c>
      <c r="O1713" s="188"/>
      <c r="P1713" s="168"/>
      <c r="Q1713" s="168"/>
      <c r="R1713" s="168"/>
      <c r="S1713" s="168"/>
    </row>
    <row r="1714" spans="1:19" s="140" customFormat="1" x14ac:dyDescent="0.35">
      <c r="A1714" s="151"/>
      <c r="B1714" s="152" t="str">
        <f t="shared" si="60"/>
        <v>PV2-91</v>
      </c>
      <c r="C1714" s="161"/>
      <c r="D1714" s="161"/>
      <c r="E1714" s="161"/>
      <c r="F1714" s="161"/>
      <c r="G1714" s="161"/>
      <c r="H1714" s="161"/>
      <c r="I1714" s="161"/>
      <c r="J1714" s="161"/>
      <c r="K1714" s="166">
        <f t="shared" si="61"/>
        <v>3.844433659529994E-3</v>
      </c>
      <c r="L1714" s="161"/>
      <c r="M1714" s="161"/>
      <c r="N1714" s="188">
        <f t="shared" si="62"/>
        <v>2.9572566611769187</v>
      </c>
      <c r="O1714" s="188"/>
      <c r="P1714" s="168"/>
      <c r="Q1714" s="168"/>
      <c r="R1714" s="168"/>
      <c r="S1714" s="168"/>
    </row>
    <row r="1715" spans="1:19" s="140" customFormat="1" x14ac:dyDescent="0.35">
      <c r="A1715" s="151"/>
      <c r="B1715" s="152" t="str">
        <f t="shared" si="60"/>
        <v>PV3-91</v>
      </c>
      <c r="C1715" s="161"/>
      <c r="D1715" s="161"/>
      <c r="E1715" s="161"/>
      <c r="F1715" s="161"/>
      <c r="G1715" s="161"/>
      <c r="H1715" s="161"/>
      <c r="I1715" s="161"/>
      <c r="J1715" s="161"/>
      <c r="K1715" s="166">
        <f t="shared" si="61"/>
        <v>3.844433659529994E-3</v>
      </c>
      <c r="L1715" s="161"/>
      <c r="M1715" s="161"/>
      <c r="N1715" s="188">
        <f t="shared" si="62"/>
        <v>2.9572566611769187</v>
      </c>
      <c r="O1715" s="188"/>
      <c r="P1715" s="168"/>
      <c r="Q1715" s="168"/>
      <c r="R1715" s="168"/>
      <c r="S1715" s="168"/>
    </row>
    <row r="1716" spans="1:19" s="140" customFormat="1" x14ac:dyDescent="0.35">
      <c r="A1716" s="151"/>
      <c r="B1716" s="152" t="str">
        <f t="shared" si="60"/>
        <v>PV1-92</v>
      </c>
      <c r="C1716" s="161"/>
      <c r="D1716" s="161"/>
      <c r="E1716" s="161"/>
      <c r="F1716" s="161"/>
      <c r="G1716" s="161"/>
      <c r="H1716" s="161"/>
      <c r="I1716" s="161"/>
      <c r="J1716" s="161"/>
      <c r="K1716" s="166">
        <f t="shared" si="61"/>
        <v>3.844433659529994E-3</v>
      </c>
      <c r="L1716" s="161"/>
      <c r="M1716" s="161"/>
      <c r="N1716" s="188">
        <f t="shared" si="62"/>
        <v>2.9572566611769187</v>
      </c>
      <c r="O1716" s="188"/>
      <c r="P1716" s="168"/>
      <c r="Q1716" s="168"/>
      <c r="R1716" s="168"/>
      <c r="S1716" s="168"/>
    </row>
    <row r="1717" spans="1:19" s="140" customFormat="1" x14ac:dyDescent="0.35">
      <c r="A1717" s="151"/>
      <c r="B1717" s="152" t="str">
        <f t="shared" si="60"/>
        <v>PV2-92</v>
      </c>
      <c r="C1717" s="161"/>
      <c r="D1717" s="161"/>
      <c r="E1717" s="161"/>
      <c r="F1717" s="161"/>
      <c r="G1717" s="161"/>
      <c r="H1717" s="161"/>
      <c r="I1717" s="161"/>
      <c r="J1717" s="161"/>
      <c r="K1717" s="166">
        <f t="shared" si="61"/>
        <v>3.844433659529994E-3</v>
      </c>
      <c r="L1717" s="161"/>
      <c r="M1717" s="161"/>
      <c r="N1717" s="188">
        <f t="shared" si="62"/>
        <v>2.9572566611769187</v>
      </c>
      <c r="O1717" s="188"/>
      <c r="P1717" s="168"/>
      <c r="Q1717" s="168"/>
      <c r="R1717" s="168"/>
      <c r="S1717" s="168"/>
    </row>
    <row r="1718" spans="1:19" s="140" customFormat="1" x14ac:dyDescent="0.35">
      <c r="A1718" s="151"/>
      <c r="B1718" s="152" t="str">
        <f t="shared" si="60"/>
        <v>PV3-92</v>
      </c>
      <c r="C1718" s="161"/>
      <c r="D1718" s="161"/>
      <c r="E1718" s="161"/>
      <c r="F1718" s="161"/>
      <c r="G1718" s="161"/>
      <c r="H1718" s="161"/>
      <c r="I1718" s="161"/>
      <c r="J1718" s="161"/>
      <c r="K1718" s="166">
        <f t="shared" si="61"/>
        <v>3.844433659529994E-3</v>
      </c>
      <c r="L1718" s="161"/>
      <c r="M1718" s="161"/>
      <c r="N1718" s="188">
        <f t="shared" si="62"/>
        <v>2.9572566611769187</v>
      </c>
      <c r="O1718" s="188"/>
      <c r="P1718" s="168"/>
      <c r="Q1718" s="168"/>
      <c r="R1718" s="168"/>
      <c r="S1718" s="168"/>
    </row>
    <row r="1719" spans="1:19" s="140" customFormat="1" x14ac:dyDescent="0.35">
      <c r="A1719" s="151"/>
      <c r="B1719" s="152" t="str">
        <f t="shared" si="60"/>
        <v>PV1-93</v>
      </c>
      <c r="C1719" s="161"/>
      <c r="D1719" s="161"/>
      <c r="E1719" s="161"/>
      <c r="F1719" s="161"/>
      <c r="G1719" s="161"/>
      <c r="H1719" s="161"/>
      <c r="I1719" s="161"/>
      <c r="J1719" s="161"/>
      <c r="K1719" s="166">
        <f t="shared" si="61"/>
        <v>3.844433659529994E-3</v>
      </c>
      <c r="L1719" s="161"/>
      <c r="M1719" s="161"/>
      <c r="N1719" s="188">
        <f t="shared" si="62"/>
        <v>2.9572566611769187</v>
      </c>
      <c r="O1719" s="188"/>
      <c r="P1719" s="168"/>
      <c r="Q1719" s="168"/>
      <c r="R1719" s="168"/>
      <c r="S1719" s="168"/>
    </row>
    <row r="1720" spans="1:19" s="140" customFormat="1" x14ac:dyDescent="0.35">
      <c r="A1720" s="151"/>
      <c r="B1720" s="152" t="str">
        <f t="shared" si="60"/>
        <v>PV2-93</v>
      </c>
      <c r="C1720" s="161"/>
      <c r="D1720" s="161"/>
      <c r="E1720" s="161"/>
      <c r="F1720" s="161"/>
      <c r="G1720" s="161"/>
      <c r="H1720" s="161"/>
      <c r="I1720" s="161"/>
      <c r="J1720" s="161"/>
      <c r="K1720" s="166">
        <f t="shared" si="61"/>
        <v>3.844433659529994E-3</v>
      </c>
      <c r="L1720" s="161"/>
      <c r="M1720" s="161"/>
      <c r="N1720" s="188">
        <f t="shared" si="62"/>
        <v>2.9572566611769187</v>
      </c>
      <c r="O1720" s="188"/>
      <c r="P1720" s="168"/>
      <c r="Q1720" s="168"/>
      <c r="R1720" s="168"/>
      <c r="S1720" s="168"/>
    </row>
    <row r="1721" spans="1:19" s="140" customFormat="1" x14ac:dyDescent="0.35">
      <c r="A1721" s="151"/>
      <c r="B1721" s="152" t="str">
        <f t="shared" si="60"/>
        <v>PV3-93</v>
      </c>
      <c r="C1721" s="161"/>
      <c r="D1721" s="161"/>
      <c r="E1721" s="161"/>
      <c r="F1721" s="161"/>
      <c r="G1721" s="161"/>
      <c r="H1721" s="161"/>
      <c r="I1721" s="161"/>
      <c r="J1721" s="161"/>
      <c r="K1721" s="166">
        <f t="shared" si="61"/>
        <v>3.844433659529994E-3</v>
      </c>
      <c r="L1721" s="161"/>
      <c r="M1721" s="161"/>
      <c r="N1721" s="188">
        <f t="shared" si="62"/>
        <v>2.9572566611769187</v>
      </c>
      <c r="O1721" s="188"/>
      <c r="P1721" s="168"/>
      <c r="Q1721" s="168"/>
      <c r="R1721" s="168"/>
      <c r="S1721" s="168"/>
    </row>
    <row r="1722" spans="1:19" s="140" customFormat="1" x14ac:dyDescent="0.35">
      <c r="A1722" s="151"/>
      <c r="B1722" s="152" t="str">
        <f t="shared" si="60"/>
        <v>PV1-94</v>
      </c>
      <c r="C1722" s="161"/>
      <c r="D1722" s="161"/>
      <c r="E1722" s="161"/>
      <c r="F1722" s="161"/>
      <c r="G1722" s="161"/>
      <c r="H1722" s="161"/>
      <c r="I1722" s="161"/>
      <c r="J1722" s="161"/>
      <c r="K1722" s="166">
        <f t="shared" si="61"/>
        <v>3.844433659529994E-3</v>
      </c>
      <c r="L1722" s="161"/>
      <c r="M1722" s="161"/>
      <c r="N1722" s="188">
        <f t="shared" si="62"/>
        <v>2.9572566611769187</v>
      </c>
      <c r="O1722" s="188"/>
      <c r="P1722" s="168"/>
      <c r="Q1722" s="168"/>
      <c r="R1722" s="168"/>
      <c r="S1722" s="168"/>
    </row>
    <row r="1723" spans="1:19" s="140" customFormat="1" x14ac:dyDescent="0.35">
      <c r="A1723" s="151"/>
      <c r="B1723" s="152" t="str">
        <f t="shared" si="60"/>
        <v>PV2-94</v>
      </c>
      <c r="C1723" s="161"/>
      <c r="D1723" s="161"/>
      <c r="E1723" s="161"/>
      <c r="F1723" s="161"/>
      <c r="G1723" s="161"/>
      <c r="H1723" s="161"/>
      <c r="I1723" s="161"/>
      <c r="J1723" s="161"/>
      <c r="K1723" s="166">
        <f t="shared" si="61"/>
        <v>3.844433659529994E-3</v>
      </c>
      <c r="L1723" s="161"/>
      <c r="M1723" s="161"/>
      <c r="N1723" s="188">
        <f t="shared" si="62"/>
        <v>2.9572566611769187</v>
      </c>
      <c r="O1723" s="188"/>
      <c r="P1723" s="168"/>
      <c r="Q1723" s="168"/>
      <c r="R1723" s="168"/>
      <c r="S1723" s="168"/>
    </row>
    <row r="1724" spans="1:19" s="140" customFormat="1" x14ac:dyDescent="0.35">
      <c r="A1724" s="151"/>
      <c r="B1724" s="152" t="str">
        <f t="shared" si="60"/>
        <v>PV3-94</v>
      </c>
      <c r="C1724" s="161"/>
      <c r="D1724" s="161"/>
      <c r="E1724" s="161"/>
      <c r="F1724" s="161"/>
      <c r="G1724" s="161"/>
      <c r="H1724" s="161"/>
      <c r="I1724" s="161"/>
      <c r="J1724" s="161"/>
      <c r="K1724" s="166">
        <f t="shared" si="61"/>
        <v>3.844433659529994E-3</v>
      </c>
      <c r="L1724" s="161"/>
      <c r="M1724" s="161"/>
      <c r="N1724" s="188">
        <f t="shared" si="62"/>
        <v>2.9572566611769187</v>
      </c>
      <c r="O1724" s="188"/>
      <c r="P1724" s="168"/>
      <c r="Q1724" s="168"/>
      <c r="R1724" s="168"/>
      <c r="S1724" s="168"/>
    </row>
    <row r="1725" spans="1:19" s="140" customFormat="1" x14ac:dyDescent="0.35">
      <c r="A1725" s="151"/>
      <c r="B1725" s="152" t="str">
        <f t="shared" si="60"/>
        <v>PV1-95</v>
      </c>
      <c r="C1725" s="161"/>
      <c r="D1725" s="161"/>
      <c r="E1725" s="161"/>
      <c r="F1725" s="161"/>
      <c r="G1725" s="161"/>
      <c r="H1725" s="161"/>
      <c r="I1725" s="161"/>
      <c r="J1725" s="161"/>
      <c r="K1725" s="166">
        <f t="shared" si="61"/>
        <v>3.844433659529994E-3</v>
      </c>
      <c r="L1725" s="161"/>
      <c r="M1725" s="161"/>
      <c r="N1725" s="188">
        <f t="shared" si="62"/>
        <v>2.9572566611769187</v>
      </c>
      <c r="O1725" s="188"/>
      <c r="P1725" s="168"/>
      <c r="Q1725" s="168"/>
      <c r="R1725" s="168"/>
      <c r="S1725" s="168"/>
    </row>
    <row r="1726" spans="1:19" s="140" customFormat="1" x14ac:dyDescent="0.35">
      <c r="A1726" s="151"/>
      <c r="B1726" s="152" t="str">
        <f t="shared" si="60"/>
        <v>PV2-95</v>
      </c>
      <c r="C1726" s="161"/>
      <c r="D1726" s="161"/>
      <c r="E1726" s="161"/>
      <c r="F1726" s="161"/>
      <c r="G1726" s="161"/>
      <c r="H1726" s="161"/>
      <c r="I1726" s="161"/>
      <c r="J1726" s="161"/>
      <c r="K1726" s="166">
        <f t="shared" si="61"/>
        <v>3.844433659529994E-3</v>
      </c>
      <c r="L1726" s="161"/>
      <c r="M1726" s="161"/>
      <c r="N1726" s="188">
        <f t="shared" si="62"/>
        <v>2.9572566611769187</v>
      </c>
      <c r="O1726" s="188"/>
      <c r="P1726" s="168"/>
      <c r="Q1726" s="168"/>
      <c r="R1726" s="168"/>
      <c r="S1726" s="168"/>
    </row>
    <row r="1727" spans="1:19" s="140" customFormat="1" x14ac:dyDescent="0.35">
      <c r="A1727" s="151"/>
      <c r="B1727" s="152" t="str">
        <f t="shared" si="60"/>
        <v>PV3-95</v>
      </c>
      <c r="C1727" s="161"/>
      <c r="D1727" s="161"/>
      <c r="E1727" s="161"/>
      <c r="F1727" s="161"/>
      <c r="G1727" s="161"/>
      <c r="H1727" s="161"/>
      <c r="I1727" s="161"/>
      <c r="J1727" s="161"/>
      <c r="K1727" s="166">
        <f t="shared" si="61"/>
        <v>3.844433659529994E-3</v>
      </c>
      <c r="L1727" s="161"/>
      <c r="M1727" s="161"/>
      <c r="N1727" s="188">
        <f t="shared" si="62"/>
        <v>2.9572566611769187</v>
      </c>
      <c r="O1727" s="188"/>
      <c r="P1727" s="168"/>
      <c r="Q1727" s="168"/>
      <c r="R1727" s="168"/>
      <c r="S1727" s="168"/>
    </row>
    <row r="1728" spans="1:19" s="140" customFormat="1" x14ac:dyDescent="0.35">
      <c r="A1728" s="151"/>
      <c r="B1728" s="152" t="str">
        <f t="shared" si="60"/>
        <v>PV1-96</v>
      </c>
      <c r="C1728" s="161"/>
      <c r="D1728" s="161"/>
      <c r="E1728" s="161"/>
      <c r="F1728" s="161"/>
      <c r="G1728" s="161"/>
      <c r="H1728" s="161"/>
      <c r="I1728" s="161"/>
      <c r="J1728" s="161"/>
      <c r="K1728" s="166">
        <f t="shared" si="61"/>
        <v>3.844433659529994E-3</v>
      </c>
      <c r="L1728" s="161"/>
      <c r="M1728" s="161"/>
      <c r="N1728" s="188">
        <f t="shared" si="62"/>
        <v>2.9572566611769187</v>
      </c>
      <c r="O1728" s="188"/>
      <c r="P1728" s="168"/>
      <c r="Q1728" s="168"/>
      <c r="R1728" s="168"/>
      <c r="S1728" s="168"/>
    </row>
    <row r="1729" spans="1:19" s="140" customFormat="1" x14ac:dyDescent="0.35">
      <c r="A1729" s="151"/>
      <c r="B1729" s="152" t="str">
        <f t="shared" si="60"/>
        <v>PV2-96</v>
      </c>
      <c r="C1729" s="161"/>
      <c r="D1729" s="161"/>
      <c r="E1729" s="161"/>
      <c r="F1729" s="161"/>
      <c r="G1729" s="161"/>
      <c r="H1729" s="161"/>
      <c r="I1729" s="161"/>
      <c r="J1729" s="161"/>
      <c r="K1729" s="166">
        <f t="shared" si="61"/>
        <v>3.844433659529994E-3</v>
      </c>
      <c r="L1729" s="161"/>
      <c r="M1729" s="161"/>
      <c r="N1729" s="188">
        <f t="shared" si="62"/>
        <v>2.9572566611769187</v>
      </c>
      <c r="O1729" s="188"/>
      <c r="P1729" s="168"/>
      <c r="Q1729" s="168"/>
      <c r="R1729" s="168"/>
      <c r="S1729" s="168"/>
    </row>
    <row r="1730" spans="1:19" s="140" customFormat="1" x14ac:dyDescent="0.35">
      <c r="A1730" s="151"/>
      <c r="B1730" s="152" t="str">
        <f t="shared" si="60"/>
        <v>PV1-97</v>
      </c>
      <c r="C1730" s="161"/>
      <c r="D1730" s="161"/>
      <c r="E1730" s="161"/>
      <c r="F1730" s="161"/>
      <c r="G1730" s="161"/>
      <c r="H1730" s="161"/>
      <c r="I1730" s="161"/>
      <c r="J1730" s="161"/>
      <c r="K1730" s="166">
        <f t="shared" si="61"/>
        <v>3.844433659529994E-3</v>
      </c>
      <c r="L1730" s="161"/>
      <c r="M1730" s="161"/>
      <c r="N1730" s="188">
        <f t="shared" si="62"/>
        <v>2.9572566611769187</v>
      </c>
      <c r="O1730" s="188"/>
      <c r="P1730" s="168"/>
      <c r="Q1730" s="168"/>
      <c r="R1730" s="168"/>
      <c r="S1730" s="168"/>
    </row>
    <row r="1731" spans="1:19" s="140" customFormat="1" x14ac:dyDescent="0.35">
      <c r="A1731" s="151"/>
      <c r="B1731" s="152" t="str">
        <f t="shared" si="60"/>
        <v>PV2-97</v>
      </c>
      <c r="C1731" s="161"/>
      <c r="D1731" s="161"/>
      <c r="E1731" s="161"/>
      <c r="F1731" s="161"/>
      <c r="G1731" s="161"/>
      <c r="H1731" s="161"/>
      <c r="I1731" s="161"/>
      <c r="J1731" s="161"/>
      <c r="K1731" s="166">
        <f t="shared" si="61"/>
        <v>3.844433659529994E-3</v>
      </c>
      <c r="L1731" s="161"/>
      <c r="M1731" s="161"/>
      <c r="N1731" s="188">
        <f t="shared" si="62"/>
        <v>2.9572566611769187</v>
      </c>
      <c r="O1731" s="188"/>
      <c r="P1731" s="168"/>
      <c r="Q1731" s="168"/>
      <c r="R1731" s="168"/>
      <c r="S1731" s="168"/>
    </row>
    <row r="1732" spans="1:19" s="140" customFormat="1" x14ac:dyDescent="0.35">
      <c r="A1732" s="151"/>
      <c r="B1732" s="152" t="str">
        <f t="shared" si="60"/>
        <v>PV3-97</v>
      </c>
      <c r="C1732" s="161"/>
      <c r="D1732" s="161"/>
      <c r="E1732" s="161"/>
      <c r="F1732" s="161"/>
      <c r="G1732" s="161"/>
      <c r="H1732" s="161"/>
      <c r="I1732" s="161"/>
      <c r="J1732" s="161"/>
      <c r="K1732" s="166">
        <f t="shared" si="61"/>
        <v>3.844433659529994E-3</v>
      </c>
      <c r="L1732" s="161"/>
      <c r="M1732" s="161"/>
      <c r="N1732" s="188">
        <f t="shared" si="62"/>
        <v>2.9572566611769187</v>
      </c>
      <c r="O1732" s="188"/>
      <c r="P1732" s="168"/>
      <c r="Q1732" s="168"/>
      <c r="R1732" s="168"/>
      <c r="S1732" s="168"/>
    </row>
    <row r="1733" spans="1:19" s="140" customFormat="1" x14ac:dyDescent="0.35">
      <c r="A1733" s="151"/>
      <c r="B1733" s="152" t="str">
        <f t="shared" si="60"/>
        <v>PV1-98</v>
      </c>
      <c r="C1733" s="161"/>
      <c r="D1733" s="161"/>
      <c r="E1733" s="161"/>
      <c r="F1733" s="161"/>
      <c r="G1733" s="161"/>
      <c r="H1733" s="161"/>
      <c r="I1733" s="161"/>
      <c r="J1733" s="161"/>
      <c r="K1733" s="166">
        <f t="shared" si="61"/>
        <v>3.844433659529994E-3</v>
      </c>
      <c r="L1733" s="161"/>
      <c r="M1733" s="161"/>
      <c r="N1733" s="188">
        <f t="shared" si="62"/>
        <v>2.9572566611769187</v>
      </c>
      <c r="O1733" s="188"/>
      <c r="P1733" s="168"/>
      <c r="Q1733" s="168"/>
      <c r="R1733" s="168"/>
      <c r="S1733" s="168"/>
    </row>
    <row r="1734" spans="1:19" s="140" customFormat="1" x14ac:dyDescent="0.35">
      <c r="A1734" s="151"/>
      <c r="B1734" s="152" t="str">
        <f t="shared" si="60"/>
        <v>PV2-98</v>
      </c>
      <c r="C1734" s="161"/>
      <c r="D1734" s="161"/>
      <c r="E1734" s="161"/>
      <c r="F1734" s="161"/>
      <c r="G1734" s="161"/>
      <c r="H1734" s="161"/>
      <c r="I1734" s="161"/>
      <c r="J1734" s="161"/>
      <c r="K1734" s="166">
        <f t="shared" si="61"/>
        <v>3.844433659529994E-3</v>
      </c>
      <c r="L1734" s="161"/>
      <c r="M1734" s="161"/>
      <c r="N1734" s="188">
        <f t="shared" si="62"/>
        <v>2.9572566611769187</v>
      </c>
      <c r="O1734" s="188"/>
      <c r="P1734" s="168"/>
      <c r="Q1734" s="168"/>
      <c r="R1734" s="168"/>
      <c r="S1734" s="168"/>
    </row>
    <row r="1735" spans="1:19" s="140" customFormat="1" x14ac:dyDescent="0.35">
      <c r="A1735" s="151"/>
      <c r="B1735" s="152" t="str">
        <f t="shared" si="60"/>
        <v>PV1-99</v>
      </c>
      <c r="C1735" s="161"/>
      <c r="D1735" s="161"/>
      <c r="E1735" s="161"/>
      <c r="F1735" s="161"/>
      <c r="G1735" s="161"/>
      <c r="H1735" s="161"/>
      <c r="I1735" s="161"/>
      <c r="J1735" s="161"/>
      <c r="K1735" s="166">
        <f t="shared" si="61"/>
        <v>3.844433659529994E-3</v>
      </c>
      <c r="L1735" s="161"/>
      <c r="M1735" s="161"/>
      <c r="N1735" s="188">
        <f t="shared" si="62"/>
        <v>2.9572566611769187</v>
      </c>
      <c r="O1735" s="188"/>
      <c r="P1735" s="168"/>
      <c r="Q1735" s="168"/>
      <c r="R1735" s="168"/>
      <c r="S1735" s="168"/>
    </row>
    <row r="1736" spans="1:19" s="140" customFormat="1" x14ac:dyDescent="0.35">
      <c r="A1736" s="151"/>
      <c r="B1736" s="152" t="str">
        <f t="shared" si="60"/>
        <v>PV2-99</v>
      </c>
      <c r="C1736" s="161"/>
      <c r="D1736" s="161"/>
      <c r="E1736" s="161"/>
      <c r="F1736" s="161"/>
      <c r="G1736" s="161"/>
      <c r="H1736" s="161"/>
      <c r="I1736" s="161"/>
      <c r="J1736" s="161"/>
      <c r="K1736" s="166">
        <f t="shared" si="61"/>
        <v>3.844433659529994E-3</v>
      </c>
      <c r="L1736" s="161"/>
      <c r="M1736" s="161"/>
      <c r="N1736" s="188">
        <f t="shared" si="62"/>
        <v>2.9572566611769187</v>
      </c>
      <c r="O1736" s="188"/>
      <c r="P1736" s="168"/>
      <c r="Q1736" s="168"/>
      <c r="R1736" s="168"/>
      <c r="S1736" s="168"/>
    </row>
    <row r="1737" spans="1:19" s="140" customFormat="1" x14ac:dyDescent="0.35">
      <c r="A1737" s="151"/>
      <c r="B1737" s="152" t="str">
        <f t="shared" si="60"/>
        <v>PV1-100</v>
      </c>
      <c r="C1737" s="161"/>
      <c r="D1737" s="161"/>
      <c r="E1737" s="161"/>
      <c r="F1737" s="161"/>
      <c r="G1737" s="161"/>
      <c r="H1737" s="161"/>
      <c r="I1737" s="161"/>
      <c r="J1737" s="161"/>
      <c r="K1737" s="166">
        <f t="shared" si="61"/>
        <v>3.844433659529994E-3</v>
      </c>
      <c r="L1737" s="161"/>
      <c r="M1737" s="161"/>
      <c r="N1737" s="188">
        <f t="shared" si="62"/>
        <v>2.9572566611769187</v>
      </c>
      <c r="O1737" s="188"/>
      <c r="P1737" s="168"/>
      <c r="Q1737" s="168"/>
      <c r="R1737" s="168"/>
      <c r="S1737" s="168"/>
    </row>
    <row r="1738" spans="1:19" s="140" customFormat="1" x14ac:dyDescent="0.35">
      <c r="A1738" s="151"/>
      <c r="B1738" s="152"/>
      <c r="C1738" s="161"/>
      <c r="D1738" s="161"/>
      <c r="E1738" s="161"/>
      <c r="F1738" s="161"/>
      <c r="G1738" s="161"/>
      <c r="H1738" s="161"/>
      <c r="I1738" s="161"/>
      <c r="J1738" s="161"/>
      <c r="K1738" s="161"/>
      <c r="L1738" s="161"/>
      <c r="M1738" s="161"/>
      <c r="N1738" s="161"/>
      <c r="O1738" s="167"/>
      <c r="P1738" s="168"/>
      <c r="Q1738" s="168"/>
      <c r="R1738" s="168"/>
      <c r="S1738" s="168"/>
    </row>
    <row r="1739" spans="1:19" s="164" customFormat="1" x14ac:dyDescent="0.35">
      <c r="A1739" s="169"/>
      <c r="B1739" s="157" t="s">
        <v>377</v>
      </c>
      <c r="C1739" s="182" t="s">
        <v>402</v>
      </c>
      <c r="D1739" s="182"/>
      <c r="E1739" s="182"/>
      <c r="F1739" s="182"/>
      <c r="G1739" s="182"/>
      <c r="H1739" s="182"/>
      <c r="I1739" s="182"/>
      <c r="J1739" s="182"/>
      <c r="K1739" s="170">
        <f>SUM(K1697:K1737)</f>
        <v>0.15762178004072974</v>
      </c>
      <c r="L1739" s="182"/>
      <c r="M1739" s="182"/>
      <c r="N1739" s="182"/>
      <c r="O1739" s="170"/>
      <c r="P1739" s="145"/>
      <c r="Q1739" s="145"/>
      <c r="R1739" s="145"/>
      <c r="S1739" s="145"/>
    </row>
    <row r="1740" spans="1:19" s="164" customFormat="1" ht="21" x14ac:dyDescent="0.35">
      <c r="A1740" s="147" t="str">
        <f>ORÇAMENTO!A287</f>
        <v>4.3.21</v>
      </c>
      <c r="B1740" s="148" t="str">
        <f>VLOOKUP(A1740,ORÇAMENTO!$A:$F,4,0)</f>
        <v>CAL HIDRATADA - A GRANEL</v>
      </c>
      <c r="C1740" s="149" t="str">
        <f>VLOOKUP(A1740,ORÇAMENTO!$A:$F,5,0)</f>
        <v>KG</v>
      </c>
      <c r="D1740" s="149">
        <f>SUM(E1785:O1785)</f>
        <v>4.119458529019445</v>
      </c>
      <c r="E1740" s="149" t="s">
        <v>2149</v>
      </c>
      <c r="F1740" s="149" t="s">
        <v>2150</v>
      </c>
      <c r="G1740" s="149" t="s">
        <v>2151</v>
      </c>
      <c r="H1740" s="149" t="s">
        <v>2152</v>
      </c>
      <c r="I1740" s="149" t="s">
        <v>2153</v>
      </c>
      <c r="J1740" s="149" t="s">
        <v>2154</v>
      </c>
      <c r="K1740" s="149" t="s">
        <v>2155</v>
      </c>
      <c r="L1740" s="149" t="s">
        <v>2178</v>
      </c>
      <c r="M1740" s="149" t="s">
        <v>2204</v>
      </c>
      <c r="N1740" s="149" t="s">
        <v>2157</v>
      </c>
      <c r="O1740" s="149" t="s">
        <v>2158</v>
      </c>
      <c r="P1740" s="145"/>
      <c r="Q1740" s="145"/>
      <c r="R1740" s="145"/>
      <c r="S1740" s="145"/>
    </row>
    <row r="1741" spans="1:19" s="164" customFormat="1" x14ac:dyDescent="0.35">
      <c r="A1741" s="151"/>
      <c r="B1741" s="157" t="s">
        <v>2332</v>
      </c>
      <c r="C1741" s="153"/>
      <c r="D1741" s="153"/>
      <c r="E1741" s="154"/>
      <c r="F1741" s="154"/>
      <c r="G1741" s="154"/>
      <c r="H1741" s="154"/>
      <c r="I1741" s="154"/>
      <c r="J1741" s="154"/>
      <c r="K1741" s="154"/>
      <c r="L1741" s="154"/>
      <c r="M1741" s="154"/>
      <c r="N1741" s="154"/>
      <c r="O1741" s="154"/>
      <c r="P1741" s="145"/>
      <c r="Q1741" s="145"/>
      <c r="R1741" s="145"/>
      <c r="S1741" s="145"/>
    </row>
    <row r="1742" spans="1:19" s="146" customFormat="1" ht="10.5" x14ac:dyDescent="0.25">
      <c r="A1742" s="151"/>
      <c r="B1742" s="152" t="s">
        <v>2333</v>
      </c>
      <c r="C1742" s="153"/>
      <c r="D1742" s="154"/>
      <c r="E1742" s="154"/>
      <c r="F1742" s="154"/>
      <c r="G1742" s="154"/>
      <c r="H1742" s="154"/>
      <c r="I1742" s="154"/>
      <c r="J1742" s="154"/>
      <c r="K1742" s="154"/>
      <c r="L1742" s="172">
        <v>0.7</v>
      </c>
      <c r="M1742" s="154"/>
      <c r="N1742" s="154"/>
      <c r="O1742" s="154"/>
      <c r="P1742" s="155"/>
      <c r="Q1742" s="145"/>
    </row>
    <row r="1743" spans="1:19" s="140" customFormat="1" x14ac:dyDescent="0.35">
      <c r="A1743" s="151"/>
      <c r="B1743" s="152" t="str">
        <f>B1477</f>
        <v>PV1-87</v>
      </c>
      <c r="C1743" s="161"/>
      <c r="D1743" s="161"/>
      <c r="E1743" s="161"/>
      <c r="F1743" s="161"/>
      <c r="G1743" s="161"/>
      <c r="H1743" s="161"/>
      <c r="I1743" s="161"/>
      <c r="J1743" s="161"/>
      <c r="K1743" s="161">
        <f>$L$1742*O1743</f>
        <v>0</v>
      </c>
      <c r="L1743" s="161"/>
      <c r="M1743" s="161"/>
      <c r="N1743" s="161"/>
      <c r="O1743" s="188">
        <f>O1477</f>
        <v>0</v>
      </c>
      <c r="P1743" s="168"/>
      <c r="Q1743" s="168"/>
      <c r="R1743" s="168"/>
      <c r="S1743" s="168"/>
    </row>
    <row r="1744" spans="1:19" s="140" customFormat="1" x14ac:dyDescent="0.35">
      <c r="A1744" s="151"/>
      <c r="B1744" s="152" t="str">
        <f t="shared" ref="B1744:B1783" si="63">B1478</f>
        <v>PV2-87</v>
      </c>
      <c r="C1744" s="161"/>
      <c r="D1744" s="161"/>
      <c r="E1744" s="161"/>
      <c r="F1744" s="161"/>
      <c r="G1744" s="161"/>
      <c r="H1744" s="161"/>
      <c r="I1744" s="161"/>
      <c r="J1744" s="161"/>
      <c r="K1744" s="161">
        <f t="shared" ref="K1744:K1783" si="64">$L$1742*O1744</f>
        <v>0</v>
      </c>
      <c r="L1744" s="161"/>
      <c r="M1744" s="161"/>
      <c r="N1744" s="161"/>
      <c r="O1744" s="188">
        <f t="shared" ref="O1744:O1783" si="65">O1478</f>
        <v>0</v>
      </c>
      <c r="P1744" s="168"/>
      <c r="Q1744" s="168"/>
      <c r="R1744" s="168"/>
      <c r="S1744" s="168"/>
    </row>
    <row r="1745" spans="1:19" s="140" customFormat="1" x14ac:dyDescent="0.35">
      <c r="A1745" s="151"/>
      <c r="B1745" s="152" t="str">
        <f t="shared" si="63"/>
        <v>PV3-87</v>
      </c>
      <c r="C1745" s="161"/>
      <c r="D1745" s="161"/>
      <c r="E1745" s="161"/>
      <c r="F1745" s="161"/>
      <c r="G1745" s="161"/>
      <c r="H1745" s="161"/>
      <c r="I1745" s="161"/>
      <c r="J1745" s="161"/>
      <c r="K1745" s="161">
        <f t="shared" si="64"/>
        <v>0</v>
      </c>
      <c r="L1745" s="161"/>
      <c r="M1745" s="161"/>
      <c r="N1745" s="161"/>
      <c r="O1745" s="188">
        <f t="shared" si="65"/>
        <v>0</v>
      </c>
      <c r="P1745" s="168"/>
      <c r="Q1745" s="168"/>
      <c r="R1745" s="168"/>
      <c r="S1745" s="168"/>
    </row>
    <row r="1746" spans="1:19" s="140" customFormat="1" x14ac:dyDescent="0.35">
      <c r="A1746" s="151"/>
      <c r="B1746" s="152" t="str">
        <f t="shared" si="63"/>
        <v>PV4-87</v>
      </c>
      <c r="C1746" s="161"/>
      <c r="D1746" s="161"/>
      <c r="E1746" s="161"/>
      <c r="F1746" s="161"/>
      <c r="G1746" s="161"/>
      <c r="H1746" s="161"/>
      <c r="I1746" s="161"/>
      <c r="J1746" s="161"/>
      <c r="K1746" s="161">
        <f t="shared" si="64"/>
        <v>0</v>
      </c>
      <c r="L1746" s="161"/>
      <c r="M1746" s="161"/>
      <c r="N1746" s="161"/>
      <c r="O1746" s="188">
        <f t="shared" si="65"/>
        <v>0</v>
      </c>
      <c r="P1746" s="168"/>
      <c r="Q1746" s="168"/>
      <c r="R1746" s="168"/>
      <c r="S1746" s="168"/>
    </row>
    <row r="1747" spans="1:19" s="140" customFormat="1" x14ac:dyDescent="0.35">
      <c r="A1747" s="151"/>
      <c r="B1747" s="152" t="str">
        <f t="shared" si="63"/>
        <v>PV5-87</v>
      </c>
      <c r="C1747" s="161"/>
      <c r="D1747" s="161"/>
      <c r="E1747" s="161"/>
      <c r="F1747" s="161"/>
      <c r="G1747" s="161"/>
      <c r="H1747" s="161"/>
      <c r="I1747" s="161"/>
      <c r="J1747" s="161"/>
      <c r="K1747" s="161">
        <f t="shared" si="64"/>
        <v>0</v>
      </c>
      <c r="L1747" s="161"/>
      <c r="M1747" s="161"/>
      <c r="N1747" s="161"/>
      <c r="O1747" s="188">
        <f t="shared" si="65"/>
        <v>0</v>
      </c>
      <c r="P1747" s="168"/>
      <c r="Q1747" s="168"/>
      <c r="R1747" s="168"/>
      <c r="S1747" s="168"/>
    </row>
    <row r="1748" spans="1:19" s="140" customFormat="1" x14ac:dyDescent="0.35">
      <c r="A1748" s="151"/>
      <c r="B1748" s="152" t="str">
        <f t="shared" si="63"/>
        <v>PV10-87</v>
      </c>
      <c r="C1748" s="161"/>
      <c r="D1748" s="161"/>
      <c r="E1748" s="161"/>
      <c r="F1748" s="161"/>
      <c r="G1748" s="161"/>
      <c r="H1748" s="161"/>
      <c r="I1748" s="161"/>
      <c r="J1748" s="161"/>
      <c r="K1748" s="161">
        <f t="shared" si="64"/>
        <v>0.31051194942357646</v>
      </c>
      <c r="L1748" s="161"/>
      <c r="M1748" s="161"/>
      <c r="N1748" s="161"/>
      <c r="O1748" s="188">
        <f t="shared" si="65"/>
        <v>0.44358849917653781</v>
      </c>
      <c r="P1748" s="168"/>
      <c r="Q1748" s="168"/>
      <c r="R1748" s="168"/>
      <c r="S1748" s="168"/>
    </row>
    <row r="1749" spans="1:19" s="140" customFormat="1" x14ac:dyDescent="0.35">
      <c r="A1749" s="151"/>
      <c r="B1749" s="152" t="str">
        <f t="shared" si="63"/>
        <v>PV15-87</v>
      </c>
      <c r="C1749" s="161"/>
      <c r="D1749" s="161"/>
      <c r="E1749" s="161"/>
      <c r="F1749" s="161"/>
      <c r="G1749" s="161"/>
      <c r="H1749" s="161"/>
      <c r="I1749" s="161"/>
      <c r="J1749" s="161"/>
      <c r="K1749" s="161">
        <f t="shared" si="64"/>
        <v>0.31051194942357646</v>
      </c>
      <c r="L1749" s="161"/>
      <c r="M1749" s="161"/>
      <c r="N1749" s="161"/>
      <c r="O1749" s="188">
        <f t="shared" si="65"/>
        <v>0.44358849917653781</v>
      </c>
      <c r="P1749" s="168"/>
      <c r="Q1749" s="168"/>
      <c r="R1749" s="168"/>
      <c r="S1749" s="168"/>
    </row>
    <row r="1750" spans="1:19" s="140" customFormat="1" x14ac:dyDescent="0.35">
      <c r="A1750" s="151"/>
      <c r="B1750" s="152" t="str">
        <f t="shared" si="63"/>
        <v>PV1-88</v>
      </c>
      <c r="C1750" s="161"/>
      <c r="D1750" s="161"/>
      <c r="E1750" s="161"/>
      <c r="F1750" s="161"/>
      <c r="G1750" s="161"/>
      <c r="H1750" s="161"/>
      <c r="I1750" s="161"/>
      <c r="J1750" s="161"/>
      <c r="K1750" s="161">
        <f t="shared" si="64"/>
        <v>0</v>
      </c>
      <c r="L1750" s="161"/>
      <c r="M1750" s="161"/>
      <c r="N1750" s="161"/>
      <c r="O1750" s="188">
        <f t="shared" si="65"/>
        <v>0</v>
      </c>
      <c r="P1750" s="168"/>
      <c r="Q1750" s="168"/>
      <c r="R1750" s="168"/>
      <c r="S1750" s="168"/>
    </row>
    <row r="1751" spans="1:19" s="140" customFormat="1" x14ac:dyDescent="0.35">
      <c r="A1751" s="151"/>
      <c r="B1751" s="152" t="str">
        <f t="shared" si="63"/>
        <v>PV2-88</v>
      </c>
      <c r="C1751" s="161"/>
      <c r="D1751" s="161"/>
      <c r="E1751" s="161"/>
      <c r="F1751" s="161"/>
      <c r="G1751" s="161"/>
      <c r="H1751" s="161"/>
      <c r="I1751" s="161"/>
      <c r="J1751" s="161"/>
      <c r="K1751" s="161">
        <f t="shared" si="64"/>
        <v>6.2102389884715226E-2</v>
      </c>
      <c r="L1751" s="161"/>
      <c r="M1751" s="161"/>
      <c r="N1751" s="161"/>
      <c r="O1751" s="188">
        <f t="shared" si="65"/>
        <v>8.8717699835307473E-2</v>
      </c>
      <c r="P1751" s="168"/>
      <c r="Q1751" s="168"/>
      <c r="R1751" s="168"/>
      <c r="S1751" s="168"/>
    </row>
    <row r="1752" spans="1:19" s="140" customFormat="1" x14ac:dyDescent="0.35">
      <c r="A1752" s="151"/>
      <c r="B1752" s="152" t="str">
        <f t="shared" si="63"/>
        <v>PV3-88</v>
      </c>
      <c r="C1752" s="161"/>
      <c r="D1752" s="161"/>
      <c r="E1752" s="161"/>
      <c r="F1752" s="161"/>
      <c r="G1752" s="161"/>
      <c r="H1752" s="161"/>
      <c r="I1752" s="161"/>
      <c r="J1752" s="161"/>
      <c r="K1752" s="161">
        <f t="shared" si="64"/>
        <v>0</v>
      </c>
      <c r="L1752" s="161"/>
      <c r="M1752" s="161"/>
      <c r="N1752" s="161"/>
      <c r="O1752" s="188">
        <f t="shared" si="65"/>
        <v>0</v>
      </c>
      <c r="P1752" s="168"/>
      <c r="Q1752" s="168"/>
      <c r="R1752" s="168"/>
      <c r="S1752" s="168"/>
    </row>
    <row r="1753" spans="1:19" s="140" customFormat="1" x14ac:dyDescent="0.35">
      <c r="A1753" s="151"/>
      <c r="B1753" s="152" t="str">
        <f t="shared" si="63"/>
        <v>PV4-88</v>
      </c>
      <c r="C1753" s="161"/>
      <c r="D1753" s="161"/>
      <c r="E1753" s="161"/>
      <c r="F1753" s="161"/>
      <c r="G1753" s="161"/>
      <c r="H1753" s="161"/>
      <c r="I1753" s="161"/>
      <c r="J1753" s="161"/>
      <c r="K1753" s="161">
        <f t="shared" si="64"/>
        <v>0.20700796628238391</v>
      </c>
      <c r="L1753" s="161"/>
      <c r="M1753" s="161"/>
      <c r="N1753" s="161"/>
      <c r="O1753" s="188">
        <f t="shared" si="65"/>
        <v>0.2957256661176913</v>
      </c>
      <c r="P1753" s="168"/>
      <c r="Q1753" s="168"/>
      <c r="R1753" s="168"/>
      <c r="S1753" s="168"/>
    </row>
    <row r="1754" spans="1:19" s="140" customFormat="1" x14ac:dyDescent="0.35">
      <c r="A1754" s="151"/>
      <c r="B1754" s="152" t="str">
        <f t="shared" si="63"/>
        <v>PV5-88</v>
      </c>
      <c r="C1754" s="161"/>
      <c r="D1754" s="161"/>
      <c r="E1754" s="161"/>
      <c r="F1754" s="161"/>
      <c r="G1754" s="161"/>
      <c r="H1754" s="161"/>
      <c r="I1754" s="161"/>
      <c r="J1754" s="161"/>
      <c r="K1754" s="161">
        <f t="shared" si="64"/>
        <v>0.31051194942357646</v>
      </c>
      <c r="L1754" s="161"/>
      <c r="M1754" s="161"/>
      <c r="N1754" s="161"/>
      <c r="O1754" s="188">
        <f t="shared" si="65"/>
        <v>0.44358849917653781</v>
      </c>
      <c r="P1754" s="168"/>
      <c r="Q1754" s="168"/>
      <c r="R1754" s="168"/>
      <c r="S1754" s="168"/>
    </row>
    <row r="1755" spans="1:19" s="140" customFormat="1" x14ac:dyDescent="0.35">
      <c r="A1755" s="151"/>
      <c r="B1755" s="152" t="str">
        <f t="shared" si="63"/>
        <v>PV6-88</v>
      </c>
      <c r="C1755" s="161"/>
      <c r="D1755" s="161"/>
      <c r="E1755" s="161"/>
      <c r="F1755" s="161"/>
      <c r="G1755" s="161"/>
      <c r="H1755" s="161"/>
      <c r="I1755" s="161"/>
      <c r="J1755" s="161"/>
      <c r="K1755" s="161">
        <f t="shared" si="64"/>
        <v>0.31051194942357646</v>
      </c>
      <c r="L1755" s="161"/>
      <c r="M1755" s="161"/>
      <c r="N1755" s="161"/>
      <c r="O1755" s="188">
        <f t="shared" si="65"/>
        <v>0.44358849917653781</v>
      </c>
      <c r="P1755" s="168"/>
      <c r="Q1755" s="168"/>
      <c r="R1755" s="168"/>
      <c r="S1755" s="168"/>
    </row>
    <row r="1756" spans="1:19" s="140" customFormat="1" x14ac:dyDescent="0.35">
      <c r="A1756" s="151"/>
      <c r="B1756" s="152" t="str">
        <f t="shared" si="63"/>
        <v>PV7-88</v>
      </c>
      <c r="C1756" s="161"/>
      <c r="D1756" s="161"/>
      <c r="E1756" s="161"/>
      <c r="F1756" s="161"/>
      <c r="G1756" s="161"/>
      <c r="H1756" s="161"/>
      <c r="I1756" s="161"/>
      <c r="J1756" s="161"/>
      <c r="K1756" s="161">
        <f t="shared" si="64"/>
        <v>0.31051194942357646</v>
      </c>
      <c r="L1756" s="161"/>
      <c r="M1756" s="161"/>
      <c r="N1756" s="161"/>
      <c r="O1756" s="188">
        <f t="shared" si="65"/>
        <v>0.44358849917653781</v>
      </c>
      <c r="P1756" s="168"/>
      <c r="Q1756" s="168"/>
      <c r="R1756" s="168"/>
      <c r="S1756" s="168"/>
    </row>
    <row r="1757" spans="1:19" s="140" customFormat="1" x14ac:dyDescent="0.35">
      <c r="A1757" s="151"/>
      <c r="B1757" s="152" t="str">
        <f t="shared" si="63"/>
        <v>PV1-90</v>
      </c>
      <c r="C1757" s="161"/>
      <c r="D1757" s="161"/>
      <c r="E1757" s="161"/>
      <c r="F1757" s="161"/>
      <c r="G1757" s="161"/>
      <c r="H1757" s="161"/>
      <c r="I1757" s="161"/>
      <c r="J1757" s="161"/>
      <c r="K1757" s="161">
        <f t="shared" si="64"/>
        <v>0</v>
      </c>
      <c r="L1757" s="161"/>
      <c r="M1757" s="161"/>
      <c r="N1757" s="161"/>
      <c r="O1757" s="188">
        <f t="shared" si="65"/>
        <v>0</v>
      </c>
      <c r="P1757" s="168"/>
      <c r="Q1757" s="168"/>
      <c r="R1757" s="168"/>
      <c r="S1757" s="168"/>
    </row>
    <row r="1758" spans="1:19" s="140" customFormat="1" x14ac:dyDescent="0.35">
      <c r="A1758" s="151"/>
      <c r="B1758" s="152" t="str">
        <f t="shared" si="63"/>
        <v>PV2-90</v>
      </c>
      <c r="C1758" s="161"/>
      <c r="D1758" s="161"/>
      <c r="E1758" s="161"/>
      <c r="F1758" s="161"/>
      <c r="G1758" s="161"/>
      <c r="H1758" s="161"/>
      <c r="I1758" s="161"/>
      <c r="J1758" s="161"/>
      <c r="K1758" s="161">
        <f t="shared" si="64"/>
        <v>0</v>
      </c>
      <c r="L1758" s="161"/>
      <c r="M1758" s="161"/>
      <c r="N1758" s="161"/>
      <c r="O1758" s="188">
        <f t="shared" si="65"/>
        <v>0</v>
      </c>
      <c r="P1758" s="168"/>
      <c r="Q1758" s="168"/>
      <c r="R1758" s="168"/>
      <c r="S1758" s="168"/>
    </row>
    <row r="1759" spans="1:19" s="140" customFormat="1" x14ac:dyDescent="0.35">
      <c r="A1759" s="151"/>
      <c r="B1759" s="152" t="str">
        <f t="shared" si="63"/>
        <v>PV3-90</v>
      </c>
      <c r="C1759" s="161"/>
      <c r="D1759" s="161"/>
      <c r="E1759" s="161"/>
      <c r="F1759" s="161"/>
      <c r="G1759" s="161"/>
      <c r="H1759" s="161"/>
      <c r="I1759" s="161"/>
      <c r="J1759" s="161"/>
      <c r="K1759" s="161">
        <f t="shared" si="64"/>
        <v>0.22770876291062231</v>
      </c>
      <c r="L1759" s="161"/>
      <c r="M1759" s="161"/>
      <c r="N1759" s="161"/>
      <c r="O1759" s="188">
        <f t="shared" si="65"/>
        <v>0.32529823272946046</v>
      </c>
      <c r="P1759" s="168"/>
      <c r="Q1759" s="168"/>
      <c r="R1759" s="168"/>
      <c r="S1759" s="168"/>
    </row>
    <row r="1760" spans="1:19" s="140" customFormat="1" x14ac:dyDescent="0.35">
      <c r="A1760" s="151"/>
      <c r="B1760" s="152" t="str">
        <f t="shared" si="63"/>
        <v>PV2-91</v>
      </c>
      <c r="C1760" s="161"/>
      <c r="D1760" s="161"/>
      <c r="E1760" s="161"/>
      <c r="F1760" s="161"/>
      <c r="G1760" s="161"/>
      <c r="H1760" s="161"/>
      <c r="I1760" s="161"/>
      <c r="J1760" s="161"/>
      <c r="K1760" s="161">
        <f t="shared" si="64"/>
        <v>0.20700796628238391</v>
      </c>
      <c r="L1760" s="161"/>
      <c r="M1760" s="161"/>
      <c r="N1760" s="161"/>
      <c r="O1760" s="188">
        <f t="shared" si="65"/>
        <v>0.2957256661176913</v>
      </c>
      <c r="P1760" s="168"/>
      <c r="Q1760" s="168"/>
      <c r="R1760" s="168"/>
      <c r="S1760" s="168"/>
    </row>
    <row r="1761" spans="1:19" s="140" customFormat="1" x14ac:dyDescent="0.35">
      <c r="A1761" s="151"/>
      <c r="B1761" s="152" t="str">
        <f t="shared" si="63"/>
        <v>PV3-91</v>
      </c>
      <c r="C1761" s="161"/>
      <c r="D1761" s="161"/>
      <c r="E1761" s="161"/>
      <c r="F1761" s="161"/>
      <c r="G1761" s="161"/>
      <c r="H1761" s="161"/>
      <c r="I1761" s="161"/>
      <c r="J1761" s="161"/>
      <c r="K1761" s="161">
        <f t="shared" si="64"/>
        <v>0</v>
      </c>
      <c r="L1761" s="161"/>
      <c r="M1761" s="161"/>
      <c r="N1761" s="161"/>
      <c r="O1761" s="188">
        <f t="shared" si="65"/>
        <v>0</v>
      </c>
      <c r="P1761" s="168"/>
      <c r="Q1761" s="168"/>
      <c r="R1761" s="168"/>
      <c r="S1761" s="168"/>
    </row>
    <row r="1762" spans="1:19" s="140" customFormat="1" x14ac:dyDescent="0.35">
      <c r="A1762" s="151"/>
      <c r="B1762" s="152" t="str">
        <f t="shared" si="63"/>
        <v>PV1-92</v>
      </c>
      <c r="C1762" s="161"/>
      <c r="D1762" s="161"/>
      <c r="E1762" s="161"/>
      <c r="F1762" s="161"/>
      <c r="G1762" s="161"/>
      <c r="H1762" s="161"/>
      <c r="I1762" s="161"/>
      <c r="J1762" s="161"/>
      <c r="K1762" s="161">
        <f t="shared" si="64"/>
        <v>2.0700796628238333E-2</v>
      </c>
      <c r="L1762" s="161"/>
      <c r="M1762" s="161"/>
      <c r="N1762" s="161"/>
      <c r="O1762" s="188">
        <f t="shared" si="65"/>
        <v>2.957256661176905E-2</v>
      </c>
      <c r="P1762" s="168"/>
      <c r="Q1762" s="168"/>
      <c r="R1762" s="168"/>
      <c r="S1762" s="168"/>
    </row>
    <row r="1763" spans="1:19" s="140" customFormat="1" x14ac:dyDescent="0.35">
      <c r="A1763" s="151"/>
      <c r="B1763" s="152" t="str">
        <f t="shared" si="63"/>
        <v>PV2-92</v>
      </c>
      <c r="C1763" s="161"/>
      <c r="D1763" s="161"/>
      <c r="E1763" s="161"/>
      <c r="F1763" s="161"/>
      <c r="G1763" s="161"/>
      <c r="H1763" s="161"/>
      <c r="I1763" s="161"/>
      <c r="J1763" s="161"/>
      <c r="K1763" s="161">
        <f t="shared" si="64"/>
        <v>2.0700796628238333E-2</v>
      </c>
      <c r="L1763" s="161"/>
      <c r="M1763" s="161"/>
      <c r="N1763" s="161"/>
      <c r="O1763" s="188">
        <f t="shared" si="65"/>
        <v>2.957256661176905E-2</v>
      </c>
      <c r="P1763" s="168"/>
      <c r="Q1763" s="168"/>
      <c r="R1763" s="168"/>
      <c r="S1763" s="168"/>
    </row>
    <row r="1764" spans="1:19" s="140" customFormat="1" x14ac:dyDescent="0.35">
      <c r="A1764" s="151"/>
      <c r="B1764" s="152" t="str">
        <f t="shared" si="63"/>
        <v>PV3-92</v>
      </c>
      <c r="C1764" s="161"/>
      <c r="D1764" s="161"/>
      <c r="E1764" s="161"/>
      <c r="F1764" s="161"/>
      <c r="G1764" s="161"/>
      <c r="H1764" s="161"/>
      <c r="I1764" s="161"/>
      <c r="J1764" s="161"/>
      <c r="K1764" s="161">
        <f t="shared" si="64"/>
        <v>0.16560637302590747</v>
      </c>
      <c r="L1764" s="161"/>
      <c r="M1764" s="161"/>
      <c r="N1764" s="161"/>
      <c r="O1764" s="188">
        <f t="shared" si="65"/>
        <v>0.23658053289415354</v>
      </c>
      <c r="P1764" s="168"/>
      <c r="Q1764" s="168"/>
      <c r="R1764" s="168"/>
      <c r="S1764" s="168"/>
    </row>
    <row r="1765" spans="1:19" s="140" customFormat="1" x14ac:dyDescent="0.35">
      <c r="A1765" s="151"/>
      <c r="B1765" s="152" t="str">
        <f t="shared" si="63"/>
        <v>PV1-93</v>
      </c>
      <c r="C1765" s="161"/>
      <c r="D1765" s="161"/>
      <c r="E1765" s="161"/>
      <c r="F1765" s="161"/>
      <c r="G1765" s="161"/>
      <c r="H1765" s="161"/>
      <c r="I1765" s="161"/>
      <c r="J1765" s="161"/>
      <c r="K1765" s="161">
        <f t="shared" si="64"/>
        <v>0</v>
      </c>
      <c r="L1765" s="161"/>
      <c r="M1765" s="161"/>
      <c r="N1765" s="161"/>
      <c r="O1765" s="188">
        <f t="shared" si="65"/>
        <v>0</v>
      </c>
      <c r="P1765" s="168"/>
      <c r="Q1765" s="168"/>
      <c r="R1765" s="168"/>
      <c r="S1765" s="168"/>
    </row>
    <row r="1766" spans="1:19" s="140" customFormat="1" x14ac:dyDescent="0.35">
      <c r="A1766" s="151"/>
      <c r="B1766" s="152" t="str">
        <f t="shared" si="63"/>
        <v>PV2-93</v>
      </c>
      <c r="C1766" s="161"/>
      <c r="D1766" s="161"/>
      <c r="E1766" s="161"/>
      <c r="F1766" s="161"/>
      <c r="G1766" s="161"/>
      <c r="H1766" s="161"/>
      <c r="I1766" s="161"/>
      <c r="J1766" s="161"/>
      <c r="K1766" s="161">
        <f t="shared" si="64"/>
        <v>0</v>
      </c>
      <c r="L1766" s="161"/>
      <c r="M1766" s="161"/>
      <c r="N1766" s="161"/>
      <c r="O1766" s="188">
        <f t="shared" si="65"/>
        <v>0</v>
      </c>
      <c r="P1766" s="168"/>
      <c r="Q1766" s="168"/>
      <c r="R1766" s="168"/>
      <c r="S1766" s="168"/>
    </row>
    <row r="1767" spans="1:19" s="140" customFormat="1" x14ac:dyDescent="0.35">
      <c r="A1767" s="151"/>
      <c r="B1767" s="152" t="str">
        <f t="shared" si="63"/>
        <v>PV3-93</v>
      </c>
      <c r="C1767" s="161"/>
      <c r="D1767" s="161"/>
      <c r="E1767" s="161"/>
      <c r="F1767" s="161"/>
      <c r="G1767" s="161"/>
      <c r="H1767" s="161"/>
      <c r="I1767" s="161"/>
      <c r="J1767" s="161"/>
      <c r="K1767" s="161">
        <f t="shared" si="64"/>
        <v>0.22770876291062231</v>
      </c>
      <c r="L1767" s="161"/>
      <c r="M1767" s="161"/>
      <c r="N1767" s="161"/>
      <c r="O1767" s="188">
        <f t="shared" si="65"/>
        <v>0.32529823272946046</v>
      </c>
      <c r="P1767" s="168"/>
      <c r="Q1767" s="168"/>
      <c r="R1767" s="168"/>
      <c r="S1767" s="168"/>
    </row>
    <row r="1768" spans="1:19" s="140" customFormat="1" x14ac:dyDescent="0.35">
      <c r="A1768" s="151"/>
      <c r="B1768" s="152" t="str">
        <f t="shared" si="63"/>
        <v>PV1-94</v>
      </c>
      <c r="C1768" s="161"/>
      <c r="D1768" s="161"/>
      <c r="E1768" s="161"/>
      <c r="F1768" s="161"/>
      <c r="G1768" s="161"/>
      <c r="H1768" s="161"/>
      <c r="I1768" s="161"/>
      <c r="J1768" s="161"/>
      <c r="K1768" s="161">
        <f t="shared" si="64"/>
        <v>0</v>
      </c>
      <c r="L1768" s="161"/>
      <c r="M1768" s="161"/>
      <c r="N1768" s="161"/>
      <c r="O1768" s="188">
        <f t="shared" si="65"/>
        <v>0</v>
      </c>
      <c r="P1768" s="168"/>
      <c r="Q1768" s="168"/>
      <c r="R1768" s="168"/>
      <c r="S1768" s="168"/>
    </row>
    <row r="1769" spans="1:19" s="140" customFormat="1" x14ac:dyDescent="0.35">
      <c r="A1769" s="151"/>
      <c r="B1769" s="152" t="str">
        <f t="shared" si="63"/>
        <v>PV2-94</v>
      </c>
      <c r="C1769" s="161"/>
      <c r="D1769" s="161"/>
      <c r="E1769" s="161"/>
      <c r="F1769" s="161"/>
      <c r="G1769" s="161"/>
      <c r="H1769" s="161"/>
      <c r="I1769" s="161"/>
      <c r="J1769" s="161"/>
      <c r="K1769" s="161">
        <f t="shared" si="64"/>
        <v>0</v>
      </c>
      <c r="L1769" s="161"/>
      <c r="M1769" s="161"/>
      <c r="N1769" s="161"/>
      <c r="O1769" s="188">
        <f t="shared" si="65"/>
        <v>0</v>
      </c>
      <c r="P1769" s="168"/>
      <c r="Q1769" s="168"/>
      <c r="R1769" s="168"/>
      <c r="S1769" s="168"/>
    </row>
    <row r="1770" spans="1:19" s="140" customFormat="1" x14ac:dyDescent="0.35">
      <c r="A1770" s="151"/>
      <c r="B1770" s="152" t="str">
        <f t="shared" si="63"/>
        <v>PV3-94</v>
      </c>
      <c r="C1770" s="161"/>
      <c r="D1770" s="161"/>
      <c r="E1770" s="161"/>
      <c r="F1770" s="161"/>
      <c r="G1770" s="161"/>
      <c r="H1770" s="161"/>
      <c r="I1770" s="161"/>
      <c r="J1770" s="161"/>
      <c r="K1770" s="161">
        <f t="shared" si="64"/>
        <v>0.24840955953886076</v>
      </c>
      <c r="L1770" s="161"/>
      <c r="M1770" s="161"/>
      <c r="N1770" s="161"/>
      <c r="O1770" s="188">
        <f t="shared" si="65"/>
        <v>0.35487079934122967</v>
      </c>
      <c r="P1770" s="168"/>
      <c r="Q1770" s="168"/>
      <c r="R1770" s="168"/>
      <c r="S1770" s="168"/>
    </row>
    <row r="1771" spans="1:19" s="140" customFormat="1" x14ac:dyDescent="0.35">
      <c r="A1771" s="151"/>
      <c r="B1771" s="152" t="str">
        <f t="shared" si="63"/>
        <v>PV1-95</v>
      </c>
      <c r="C1771" s="161"/>
      <c r="D1771" s="161"/>
      <c r="E1771" s="161"/>
      <c r="F1771" s="161"/>
      <c r="G1771" s="161"/>
      <c r="H1771" s="161"/>
      <c r="I1771" s="161"/>
      <c r="J1771" s="161"/>
      <c r="K1771" s="161">
        <f t="shared" si="64"/>
        <v>0</v>
      </c>
      <c r="L1771" s="161"/>
      <c r="M1771" s="161"/>
      <c r="N1771" s="161"/>
      <c r="O1771" s="188">
        <f t="shared" si="65"/>
        <v>0</v>
      </c>
      <c r="P1771" s="168"/>
      <c r="Q1771" s="168"/>
      <c r="R1771" s="168"/>
      <c r="S1771" s="168"/>
    </row>
    <row r="1772" spans="1:19" s="140" customFormat="1" x14ac:dyDescent="0.35">
      <c r="A1772" s="151"/>
      <c r="B1772" s="152" t="str">
        <f t="shared" si="63"/>
        <v>PV2-95</v>
      </c>
      <c r="C1772" s="161"/>
      <c r="D1772" s="161"/>
      <c r="E1772" s="161"/>
      <c r="F1772" s="161"/>
      <c r="G1772" s="161"/>
      <c r="H1772" s="161"/>
      <c r="I1772" s="161"/>
      <c r="J1772" s="161"/>
      <c r="K1772" s="161">
        <f t="shared" si="64"/>
        <v>0</v>
      </c>
      <c r="L1772" s="161"/>
      <c r="M1772" s="161"/>
      <c r="N1772" s="161"/>
      <c r="O1772" s="188">
        <f t="shared" si="65"/>
        <v>0</v>
      </c>
      <c r="P1772" s="168"/>
      <c r="Q1772" s="168"/>
      <c r="R1772" s="168"/>
      <c r="S1772" s="168"/>
    </row>
    <row r="1773" spans="1:19" s="140" customFormat="1" x14ac:dyDescent="0.35">
      <c r="A1773" s="151"/>
      <c r="B1773" s="152" t="str">
        <f t="shared" si="63"/>
        <v>PV3-95</v>
      </c>
      <c r="C1773" s="161"/>
      <c r="D1773" s="161"/>
      <c r="E1773" s="161"/>
      <c r="F1773" s="161"/>
      <c r="G1773" s="161"/>
      <c r="H1773" s="161"/>
      <c r="I1773" s="161"/>
      <c r="J1773" s="161"/>
      <c r="K1773" s="161">
        <f t="shared" si="64"/>
        <v>0.18630716965414593</v>
      </c>
      <c r="L1773" s="161"/>
      <c r="M1773" s="161"/>
      <c r="N1773" s="161"/>
      <c r="O1773" s="188">
        <f t="shared" si="65"/>
        <v>0.26615309950592275</v>
      </c>
      <c r="P1773" s="168"/>
      <c r="Q1773" s="168"/>
      <c r="R1773" s="168"/>
      <c r="S1773" s="168"/>
    </row>
    <row r="1774" spans="1:19" s="140" customFormat="1" x14ac:dyDescent="0.35">
      <c r="A1774" s="151"/>
      <c r="B1774" s="152" t="str">
        <f t="shared" si="63"/>
        <v>PV1-96</v>
      </c>
      <c r="C1774" s="161"/>
      <c r="D1774" s="161"/>
      <c r="E1774" s="161"/>
      <c r="F1774" s="161"/>
      <c r="G1774" s="161"/>
      <c r="H1774" s="161"/>
      <c r="I1774" s="161"/>
      <c r="J1774" s="161"/>
      <c r="K1774" s="161">
        <f t="shared" si="64"/>
        <v>0</v>
      </c>
      <c r="L1774" s="161"/>
      <c r="M1774" s="161"/>
      <c r="N1774" s="161"/>
      <c r="O1774" s="188">
        <f t="shared" si="65"/>
        <v>0</v>
      </c>
      <c r="P1774" s="168"/>
      <c r="Q1774" s="168"/>
      <c r="R1774" s="168"/>
      <c r="S1774" s="168"/>
    </row>
    <row r="1775" spans="1:19" s="140" customFormat="1" x14ac:dyDescent="0.35">
      <c r="A1775" s="151"/>
      <c r="B1775" s="152" t="str">
        <f t="shared" si="63"/>
        <v>PV2-96</v>
      </c>
      <c r="C1775" s="161"/>
      <c r="D1775" s="161"/>
      <c r="E1775" s="161"/>
      <c r="F1775" s="161"/>
      <c r="G1775" s="161"/>
      <c r="H1775" s="161"/>
      <c r="I1775" s="161"/>
      <c r="J1775" s="161"/>
      <c r="K1775" s="161">
        <f t="shared" si="64"/>
        <v>0.31051194942357646</v>
      </c>
      <c r="L1775" s="161"/>
      <c r="M1775" s="161"/>
      <c r="N1775" s="161"/>
      <c r="O1775" s="188">
        <f t="shared" si="65"/>
        <v>0.44358849917653781</v>
      </c>
      <c r="P1775" s="168"/>
      <c r="Q1775" s="168"/>
      <c r="R1775" s="168"/>
      <c r="S1775" s="168"/>
    </row>
    <row r="1776" spans="1:19" s="140" customFormat="1" x14ac:dyDescent="0.35">
      <c r="A1776" s="151"/>
      <c r="B1776" s="152" t="str">
        <f t="shared" si="63"/>
        <v>PV1-97</v>
      </c>
      <c r="C1776" s="161"/>
      <c r="D1776" s="161"/>
      <c r="E1776" s="161"/>
      <c r="F1776" s="161"/>
      <c r="G1776" s="161"/>
      <c r="H1776" s="161"/>
      <c r="I1776" s="161"/>
      <c r="J1776" s="161"/>
      <c r="K1776" s="161">
        <f t="shared" si="64"/>
        <v>0</v>
      </c>
      <c r="L1776" s="161"/>
      <c r="M1776" s="161"/>
      <c r="N1776" s="161"/>
      <c r="O1776" s="188">
        <f t="shared" si="65"/>
        <v>0</v>
      </c>
      <c r="P1776" s="168"/>
      <c r="Q1776" s="168"/>
      <c r="R1776" s="168"/>
      <c r="S1776" s="168"/>
    </row>
    <row r="1777" spans="1:19" s="140" customFormat="1" x14ac:dyDescent="0.35">
      <c r="A1777" s="151"/>
      <c r="B1777" s="152" t="str">
        <f t="shared" si="63"/>
        <v>PV2-97</v>
      </c>
      <c r="C1777" s="161"/>
      <c r="D1777" s="161"/>
      <c r="E1777" s="161"/>
      <c r="F1777" s="161"/>
      <c r="G1777" s="161"/>
      <c r="H1777" s="161"/>
      <c r="I1777" s="161"/>
      <c r="J1777" s="161"/>
      <c r="K1777" s="161">
        <f t="shared" si="64"/>
        <v>0.31051194942357646</v>
      </c>
      <c r="L1777" s="161"/>
      <c r="M1777" s="161"/>
      <c r="N1777" s="161"/>
      <c r="O1777" s="188">
        <f t="shared" si="65"/>
        <v>0.44358849917653781</v>
      </c>
      <c r="P1777" s="168"/>
      <c r="Q1777" s="168"/>
      <c r="R1777" s="168"/>
      <c r="S1777" s="168"/>
    </row>
    <row r="1778" spans="1:19" s="140" customFormat="1" x14ac:dyDescent="0.35">
      <c r="A1778" s="151"/>
      <c r="B1778" s="152" t="str">
        <f t="shared" si="63"/>
        <v>PV3-97</v>
      </c>
      <c r="C1778" s="161"/>
      <c r="D1778" s="161"/>
      <c r="E1778" s="161"/>
      <c r="F1778" s="161"/>
      <c r="G1778" s="161"/>
      <c r="H1778" s="161"/>
      <c r="I1778" s="161"/>
      <c r="J1778" s="161"/>
      <c r="K1778" s="161">
        <f t="shared" si="64"/>
        <v>0.31051194942357646</v>
      </c>
      <c r="L1778" s="161"/>
      <c r="M1778" s="161"/>
      <c r="N1778" s="161"/>
      <c r="O1778" s="188">
        <f t="shared" si="65"/>
        <v>0.44358849917653781</v>
      </c>
      <c r="P1778" s="168"/>
      <c r="Q1778" s="168"/>
      <c r="R1778" s="168"/>
      <c r="S1778" s="168"/>
    </row>
    <row r="1779" spans="1:19" s="140" customFormat="1" x14ac:dyDescent="0.35">
      <c r="A1779" s="151"/>
      <c r="B1779" s="152" t="str">
        <f t="shared" si="63"/>
        <v>PV1-98</v>
      </c>
      <c r="C1779" s="161"/>
      <c r="D1779" s="161"/>
      <c r="E1779" s="161"/>
      <c r="F1779" s="161"/>
      <c r="G1779" s="161"/>
      <c r="H1779" s="161"/>
      <c r="I1779" s="161"/>
      <c r="J1779" s="161"/>
      <c r="K1779" s="161">
        <f t="shared" si="64"/>
        <v>0</v>
      </c>
      <c r="L1779" s="161"/>
      <c r="M1779" s="161"/>
      <c r="N1779" s="161"/>
      <c r="O1779" s="188">
        <f t="shared" si="65"/>
        <v>0</v>
      </c>
      <c r="P1779" s="168"/>
      <c r="Q1779" s="168"/>
      <c r="R1779" s="168"/>
      <c r="S1779" s="168"/>
    </row>
    <row r="1780" spans="1:19" s="140" customFormat="1" x14ac:dyDescent="0.35">
      <c r="A1780" s="151"/>
      <c r="B1780" s="152" t="str">
        <f t="shared" si="63"/>
        <v>PV2-98</v>
      </c>
      <c r="C1780" s="161"/>
      <c r="D1780" s="161"/>
      <c r="E1780" s="161"/>
      <c r="F1780" s="161"/>
      <c r="G1780" s="161"/>
      <c r="H1780" s="161"/>
      <c r="I1780" s="161"/>
      <c r="J1780" s="161"/>
      <c r="K1780" s="161">
        <f t="shared" si="64"/>
        <v>0</v>
      </c>
      <c r="L1780" s="161"/>
      <c r="M1780" s="161"/>
      <c r="N1780" s="161"/>
      <c r="O1780" s="188">
        <f t="shared" si="65"/>
        <v>0</v>
      </c>
      <c r="P1780" s="168"/>
      <c r="Q1780" s="168"/>
      <c r="R1780" s="168"/>
      <c r="S1780" s="168"/>
    </row>
    <row r="1781" spans="1:19" s="140" customFormat="1" x14ac:dyDescent="0.35">
      <c r="A1781" s="151"/>
      <c r="B1781" s="152" t="str">
        <f t="shared" si="63"/>
        <v>PV1-99</v>
      </c>
      <c r="C1781" s="161"/>
      <c r="D1781" s="161"/>
      <c r="E1781" s="161"/>
      <c r="F1781" s="161"/>
      <c r="G1781" s="161"/>
      <c r="H1781" s="161"/>
      <c r="I1781" s="161"/>
      <c r="J1781" s="161"/>
      <c r="K1781" s="161">
        <f t="shared" si="64"/>
        <v>0</v>
      </c>
      <c r="L1781" s="161"/>
      <c r="M1781" s="161"/>
      <c r="N1781" s="161"/>
      <c r="O1781" s="188">
        <f t="shared" si="65"/>
        <v>0</v>
      </c>
      <c r="P1781" s="168"/>
      <c r="Q1781" s="168"/>
      <c r="R1781" s="168"/>
      <c r="S1781" s="168"/>
    </row>
    <row r="1782" spans="1:19" s="140" customFormat="1" x14ac:dyDescent="0.35">
      <c r="A1782" s="151"/>
      <c r="B1782" s="152" t="str">
        <f t="shared" si="63"/>
        <v>PV2-99</v>
      </c>
      <c r="C1782" s="161"/>
      <c r="D1782" s="161"/>
      <c r="E1782" s="161"/>
      <c r="F1782" s="161"/>
      <c r="G1782" s="161"/>
      <c r="H1782" s="161"/>
      <c r="I1782" s="161"/>
      <c r="J1782" s="161"/>
      <c r="K1782" s="161">
        <f t="shared" si="64"/>
        <v>6.2102389884715226E-2</v>
      </c>
      <c r="L1782" s="161"/>
      <c r="M1782" s="161"/>
      <c r="N1782" s="161"/>
      <c r="O1782" s="188">
        <f t="shared" si="65"/>
        <v>8.8717699835307473E-2</v>
      </c>
      <c r="P1782" s="168"/>
      <c r="Q1782" s="168"/>
      <c r="R1782" s="168"/>
      <c r="S1782" s="168"/>
    </row>
    <row r="1783" spans="1:19" s="140" customFormat="1" x14ac:dyDescent="0.35">
      <c r="A1783" s="151"/>
      <c r="B1783" s="152" t="str">
        <f t="shared" si="63"/>
        <v>PV1-100</v>
      </c>
      <c r="C1783" s="161"/>
      <c r="D1783" s="161"/>
      <c r="E1783" s="161"/>
      <c r="F1783" s="161"/>
      <c r="G1783" s="161"/>
      <c r="H1783" s="161"/>
      <c r="I1783" s="161"/>
      <c r="J1783" s="161"/>
      <c r="K1783" s="161">
        <f t="shared" si="64"/>
        <v>0</v>
      </c>
      <c r="L1783" s="161"/>
      <c r="M1783" s="161"/>
      <c r="N1783" s="161"/>
      <c r="O1783" s="188">
        <f t="shared" si="65"/>
        <v>0</v>
      </c>
      <c r="P1783" s="168"/>
      <c r="Q1783" s="168"/>
      <c r="R1783" s="168"/>
      <c r="S1783" s="168"/>
    </row>
    <row r="1784" spans="1:19" s="140" customFormat="1" x14ac:dyDescent="0.35">
      <c r="A1784" s="151"/>
      <c r="B1784" s="152"/>
      <c r="C1784" s="161"/>
      <c r="D1784" s="161"/>
      <c r="E1784" s="161"/>
      <c r="F1784" s="161"/>
      <c r="G1784" s="161"/>
      <c r="H1784" s="161"/>
      <c r="I1784" s="161"/>
      <c r="J1784" s="161"/>
      <c r="K1784" s="161"/>
      <c r="L1784" s="161"/>
      <c r="M1784" s="161"/>
      <c r="N1784" s="161"/>
      <c r="O1784" s="167"/>
      <c r="P1784" s="168"/>
      <c r="Q1784" s="168"/>
      <c r="R1784" s="168"/>
      <c r="S1784" s="168"/>
    </row>
    <row r="1785" spans="1:19" s="164" customFormat="1" x14ac:dyDescent="0.35">
      <c r="A1785" s="169"/>
      <c r="B1785" s="157" t="s">
        <v>377</v>
      </c>
      <c r="C1785" s="182" t="s">
        <v>402</v>
      </c>
      <c r="D1785" s="182"/>
      <c r="E1785" s="182"/>
      <c r="F1785" s="182"/>
      <c r="G1785" s="182"/>
      <c r="H1785" s="182"/>
      <c r="I1785" s="182"/>
      <c r="J1785" s="182"/>
      <c r="K1785" s="170">
        <f>SUM(K1743:K1783)</f>
        <v>4.119458529019445</v>
      </c>
      <c r="L1785" s="182"/>
      <c r="M1785" s="182"/>
      <c r="N1785" s="182"/>
      <c r="O1785" s="170"/>
      <c r="P1785" s="145"/>
      <c r="Q1785" s="145"/>
      <c r="R1785" s="145"/>
      <c r="S1785" s="145"/>
    </row>
    <row r="1786" spans="1:19" x14ac:dyDescent="0.35">
      <c r="A1786" s="327" t="str">
        <f>ORÇAMENTO!A289</f>
        <v>5.1</v>
      </c>
      <c r="B1786" s="326" t="str">
        <f>VLOOKUP(A1786,ORÇAMENTO!$A:$F,4,0)</f>
        <v>OBRAS DE DRENAGEM DE ÁGUAS PLUVIAIS</v>
      </c>
      <c r="C1786" s="143"/>
      <c r="D1786" s="143"/>
      <c r="E1786" s="144"/>
      <c r="F1786" s="144"/>
      <c r="G1786" s="144"/>
      <c r="H1786" s="144"/>
      <c r="I1786" s="144"/>
      <c r="J1786" s="144"/>
      <c r="K1786" s="144"/>
      <c r="L1786" s="144"/>
      <c r="M1786" s="144"/>
      <c r="N1786" s="144"/>
      <c r="O1786" s="144"/>
    </row>
    <row r="1787" spans="1:19" x14ac:dyDescent="0.35">
      <c r="A1787" s="327" t="str">
        <f>ORÇAMENTO!A290</f>
        <v>5.1.1</v>
      </c>
      <c r="B1787" s="326" t="str">
        <f>VLOOKUP(A1787,ORÇAMENTO!$A:$F,4,0)</f>
        <v>SERVIÇOS PRELIMINARES</v>
      </c>
      <c r="C1787" s="143"/>
      <c r="D1787" s="143"/>
      <c r="E1787" s="144"/>
      <c r="F1787" s="144"/>
      <c r="G1787" s="144"/>
      <c r="H1787" s="144"/>
      <c r="I1787" s="144"/>
      <c r="J1787" s="144"/>
      <c r="K1787" s="144"/>
      <c r="L1787" s="144"/>
      <c r="M1787" s="144"/>
      <c r="N1787" s="144"/>
      <c r="O1787" s="144"/>
    </row>
    <row r="1788" spans="1:19" ht="21" x14ac:dyDescent="0.35">
      <c r="A1788" s="323" t="str">
        <f>ORÇAMENTO!A292</f>
        <v>5.1.1.1.1</v>
      </c>
      <c r="B1788" s="322" t="str">
        <f>VLOOKUP(A1788,ORÇAMENTO!$A:$F,4,0)</f>
        <v>PLACA DE OBRA EM CHAPA DE ACO GALVANIZADO</v>
      </c>
      <c r="C1788" s="149" t="str">
        <f>VLOOKUP(A1788,ORÇAMENTO!$A:$F,5,0)</f>
        <v>M²</v>
      </c>
      <c r="D1788" s="149">
        <f>SUM(E1792:O1792)</f>
        <v>12</v>
      </c>
      <c r="E1788" s="149" t="s">
        <v>2149</v>
      </c>
      <c r="F1788" s="149" t="s">
        <v>2150</v>
      </c>
      <c r="G1788" s="149" t="s">
        <v>2151</v>
      </c>
      <c r="H1788" s="149" t="s">
        <v>2152</v>
      </c>
      <c r="I1788" s="149" t="s">
        <v>2153</v>
      </c>
      <c r="J1788" s="149" t="s">
        <v>2154</v>
      </c>
      <c r="K1788" s="149" t="s">
        <v>2155</v>
      </c>
      <c r="L1788" s="149" t="s">
        <v>2156</v>
      </c>
      <c r="M1788" s="149" t="s">
        <v>413</v>
      </c>
      <c r="N1788" s="149" t="s">
        <v>2157</v>
      </c>
      <c r="O1788" s="149" t="s">
        <v>2158</v>
      </c>
    </row>
    <row r="1789" spans="1:19" x14ac:dyDescent="0.35">
      <c r="A1789" s="321"/>
      <c r="B1789" s="320"/>
      <c r="C1789" s="153"/>
      <c r="D1789" s="154"/>
      <c r="E1789" s="154"/>
      <c r="F1789" s="154"/>
      <c r="G1789" s="154"/>
      <c r="H1789" s="154"/>
      <c r="I1789" s="154"/>
      <c r="J1789" s="154"/>
      <c r="K1789" s="154"/>
      <c r="L1789" s="154"/>
      <c r="M1789" s="154"/>
      <c r="N1789" s="154"/>
      <c r="O1789" s="154"/>
    </row>
    <row r="1790" spans="1:19" ht="21" x14ac:dyDescent="0.35">
      <c r="A1790" s="321"/>
      <c r="B1790" s="320" t="s">
        <v>2159</v>
      </c>
      <c r="C1790" s="153"/>
      <c r="D1790" s="154"/>
      <c r="E1790" s="154">
        <v>3</v>
      </c>
      <c r="F1790" s="154"/>
      <c r="G1790" s="154">
        <v>2</v>
      </c>
      <c r="H1790" s="154"/>
      <c r="I1790" s="154"/>
      <c r="J1790" s="154"/>
      <c r="K1790" s="154"/>
      <c r="L1790" s="154"/>
      <c r="M1790" s="154">
        <v>2</v>
      </c>
      <c r="N1790" s="154">
        <f>E1790*G1790*M1790</f>
        <v>12</v>
      </c>
      <c r="O1790" s="154"/>
    </row>
    <row r="1791" spans="1:19" x14ac:dyDescent="0.35">
      <c r="A1791" s="321"/>
      <c r="B1791" s="320"/>
      <c r="C1791" s="153"/>
      <c r="D1791" s="154"/>
      <c r="E1791" s="154"/>
      <c r="F1791" s="154"/>
      <c r="G1791" s="154"/>
      <c r="H1791" s="154"/>
      <c r="I1791" s="154"/>
      <c r="J1791" s="154"/>
      <c r="K1791" s="154"/>
      <c r="L1791" s="156"/>
      <c r="M1791" s="154"/>
      <c r="N1791" s="154"/>
      <c r="O1791" s="154"/>
    </row>
    <row r="1792" spans="1:19" x14ac:dyDescent="0.35">
      <c r="A1792" s="321"/>
      <c r="B1792" s="318" t="s">
        <v>377</v>
      </c>
      <c r="C1792" s="158" t="s">
        <v>402</v>
      </c>
      <c r="D1792" s="158"/>
      <c r="E1792" s="158"/>
      <c r="F1792" s="158"/>
      <c r="G1792" s="158"/>
      <c r="H1792" s="158"/>
      <c r="I1792" s="158"/>
      <c r="J1792" s="158"/>
      <c r="K1792" s="158"/>
      <c r="L1792" s="158"/>
      <c r="M1792" s="158"/>
      <c r="N1792" s="158">
        <f>SUM(N1789:N1791)</f>
        <v>12</v>
      </c>
      <c r="O1792" s="158"/>
    </row>
    <row r="1793" spans="1:15" ht="21" x14ac:dyDescent="0.35">
      <c r="A1793" s="323" t="str">
        <f>ORÇAMENTO!A293</f>
        <v>5.1.1.1.2</v>
      </c>
      <c r="B1793" s="322" t="str">
        <f>VLOOKUP(A1793,ORÇAMENTO!$A:$F,4,0)</f>
        <v>LOCAÇÃO DE REDE DE DRENAGEM</v>
      </c>
      <c r="C1793" s="149" t="str">
        <f>VLOOKUP(A1793,ORÇAMENTO!$A:$F,5,0)</f>
        <v>M</v>
      </c>
      <c r="D1793" s="149">
        <f>SUM(E1797:O1797)</f>
        <v>2656.2599999999998</v>
      </c>
      <c r="E1793" s="149" t="s">
        <v>2149</v>
      </c>
      <c r="F1793" s="149" t="s">
        <v>2150</v>
      </c>
      <c r="G1793" s="149" t="s">
        <v>2151</v>
      </c>
      <c r="H1793" s="149" t="s">
        <v>2152</v>
      </c>
      <c r="I1793" s="149" t="s">
        <v>2153</v>
      </c>
      <c r="J1793" s="149" t="s">
        <v>2154</v>
      </c>
      <c r="K1793" s="149" t="s">
        <v>2155</v>
      </c>
      <c r="L1793" s="149" t="s">
        <v>2156</v>
      </c>
      <c r="M1793" s="149" t="s">
        <v>2160</v>
      </c>
      <c r="N1793" s="149" t="s">
        <v>2157</v>
      </c>
      <c r="O1793" s="149" t="s">
        <v>2158</v>
      </c>
    </row>
    <row r="1794" spans="1:15" x14ac:dyDescent="0.35">
      <c r="A1794" s="321"/>
      <c r="B1794" s="320"/>
      <c r="C1794" s="160"/>
      <c r="D1794" s="161"/>
      <c r="E1794" s="161"/>
      <c r="F1794" s="161"/>
      <c r="G1794" s="161"/>
      <c r="H1794" s="161"/>
      <c r="I1794" s="161"/>
      <c r="J1794" s="161"/>
      <c r="K1794" s="161"/>
      <c r="L1794" s="161"/>
      <c r="M1794" s="161"/>
      <c r="N1794" s="161"/>
      <c r="O1794" s="161"/>
    </row>
    <row r="1795" spans="1:15" x14ac:dyDescent="0.35">
      <c r="A1795" s="321"/>
      <c r="B1795" s="320" t="s">
        <v>2161</v>
      </c>
      <c r="C1795" s="160"/>
      <c r="D1795" s="161"/>
      <c r="E1795" s="161">
        <f>Quantitativos!F106</f>
        <v>2656.2599999999998</v>
      </c>
      <c r="F1795" s="161"/>
      <c r="G1795" s="161"/>
      <c r="H1795" s="161"/>
      <c r="I1795" s="161"/>
      <c r="J1795" s="161"/>
      <c r="K1795" s="161"/>
      <c r="L1795" s="161"/>
      <c r="M1795" s="161"/>
      <c r="N1795" s="161"/>
      <c r="O1795" s="161"/>
    </row>
    <row r="1796" spans="1:15" x14ac:dyDescent="0.35">
      <c r="A1796" s="321"/>
      <c r="B1796" s="320"/>
      <c r="C1796" s="160"/>
      <c r="D1796" s="161"/>
      <c r="E1796" s="161"/>
      <c r="F1796" s="161"/>
      <c r="G1796" s="161"/>
      <c r="H1796" s="161"/>
      <c r="I1796" s="161"/>
      <c r="J1796" s="161"/>
      <c r="K1796" s="161"/>
      <c r="L1796" s="162"/>
      <c r="M1796" s="161"/>
      <c r="N1796" s="161"/>
      <c r="O1796" s="161"/>
    </row>
    <row r="1797" spans="1:15" x14ac:dyDescent="0.35">
      <c r="A1797" s="321"/>
      <c r="B1797" s="318" t="s">
        <v>377</v>
      </c>
      <c r="C1797" s="158" t="s">
        <v>402</v>
      </c>
      <c r="D1797" s="158"/>
      <c r="E1797" s="158">
        <f>SUM(E1794:E1796)</f>
        <v>2656.2599999999998</v>
      </c>
      <c r="F1797" s="158"/>
      <c r="G1797" s="158"/>
      <c r="H1797" s="158"/>
      <c r="I1797" s="158"/>
      <c r="J1797" s="158"/>
      <c r="K1797" s="158"/>
      <c r="L1797" s="158"/>
      <c r="M1797" s="158"/>
      <c r="N1797" s="158"/>
      <c r="O1797" s="158"/>
    </row>
    <row r="1798" spans="1:15" ht="21" x14ac:dyDescent="0.35">
      <c r="A1798" s="323" t="str">
        <f>ORÇAMENTO!A294</f>
        <v>5.1.1.1.3</v>
      </c>
      <c r="B1798" s="322" t="str">
        <f>VLOOKUP(A1798,ORÇAMENTO!$A:$F,4,0)</f>
        <v>PASSARELA, EM MADEIRA, PARA COBERTA DE VALAS PARA PASSAGEM DE VEÍCULOS.</v>
      </c>
      <c r="C1798" s="149" t="str">
        <f>VLOOKUP(A1798,ORÇAMENTO!$A:$F,5,0)</f>
        <v>M²</v>
      </c>
      <c r="D1798" s="149">
        <f>SUM(E1805:O1805)</f>
        <v>24</v>
      </c>
      <c r="E1798" s="149" t="s">
        <v>2149</v>
      </c>
      <c r="F1798" s="149" t="s">
        <v>2150</v>
      </c>
      <c r="G1798" s="149" t="s">
        <v>2151</v>
      </c>
      <c r="H1798" s="149" t="s">
        <v>2152</v>
      </c>
      <c r="I1798" s="149" t="s">
        <v>2153</v>
      </c>
      <c r="J1798" s="149" t="s">
        <v>2154</v>
      </c>
      <c r="K1798" s="149" t="s">
        <v>2155</v>
      </c>
      <c r="L1798" s="149" t="s">
        <v>2156</v>
      </c>
      <c r="M1798" s="149" t="s">
        <v>413</v>
      </c>
      <c r="N1798" s="149" t="s">
        <v>2157</v>
      </c>
      <c r="O1798" s="149" t="s">
        <v>2158</v>
      </c>
    </row>
    <row r="1799" spans="1:15" x14ac:dyDescent="0.35">
      <c r="A1799" s="321"/>
      <c r="B1799" s="320"/>
      <c r="C1799" s="153"/>
      <c r="D1799" s="154"/>
      <c r="E1799" s="154"/>
      <c r="F1799" s="154"/>
      <c r="G1799" s="154"/>
      <c r="H1799" s="154"/>
      <c r="I1799" s="154"/>
      <c r="J1799" s="154"/>
      <c r="K1799" s="154"/>
      <c r="L1799" s="154"/>
      <c r="M1799" s="154"/>
      <c r="N1799" s="154"/>
      <c r="O1799" s="154"/>
    </row>
    <row r="1800" spans="1:15" x14ac:dyDescent="0.35">
      <c r="A1800" s="321"/>
      <c r="B1800" s="320" t="s">
        <v>2125</v>
      </c>
      <c r="C1800" s="153"/>
      <c r="D1800" s="154"/>
      <c r="E1800" s="154">
        <f>E1795</f>
        <v>2656.2599999999998</v>
      </c>
      <c r="F1800" s="154"/>
      <c r="G1800" s="154"/>
      <c r="H1800" s="154"/>
      <c r="I1800" s="154"/>
      <c r="J1800" s="154"/>
      <c r="K1800" s="154"/>
      <c r="L1800" s="154"/>
      <c r="M1800" s="154"/>
      <c r="N1800" s="154"/>
      <c r="O1800" s="154"/>
    </row>
    <row r="1801" spans="1:15" x14ac:dyDescent="0.35">
      <c r="A1801" s="321"/>
      <c r="B1801" s="320" t="s">
        <v>2162</v>
      </c>
      <c r="C1801" s="153"/>
      <c r="D1801" s="154"/>
      <c r="E1801" s="154"/>
      <c r="F1801" s="154"/>
      <c r="G1801" s="154"/>
      <c r="H1801" s="154"/>
      <c r="I1801" s="154"/>
      <c r="J1801" s="154"/>
      <c r="K1801" s="154"/>
      <c r="L1801" s="154"/>
      <c r="M1801" s="154">
        <f>ROUNDUP(E1800/500,0)</f>
        <v>6</v>
      </c>
      <c r="N1801" s="154"/>
      <c r="O1801" s="154"/>
    </row>
    <row r="1802" spans="1:15" x14ac:dyDescent="0.35">
      <c r="A1802" s="321"/>
      <c r="B1802" s="320" t="s">
        <v>2163</v>
      </c>
      <c r="C1802" s="153"/>
      <c r="D1802" s="154"/>
      <c r="E1802" s="154">
        <v>4</v>
      </c>
      <c r="F1802" s="154">
        <v>1</v>
      </c>
      <c r="G1802" s="154"/>
      <c r="H1802" s="154"/>
      <c r="I1802" s="154"/>
      <c r="J1802" s="154"/>
      <c r="K1802" s="154"/>
      <c r="L1802" s="154"/>
      <c r="M1802" s="154"/>
      <c r="N1802" s="154"/>
      <c r="O1802" s="154"/>
    </row>
    <row r="1803" spans="1:15" x14ac:dyDescent="0.35">
      <c r="A1803" s="321"/>
      <c r="B1803" s="320"/>
      <c r="C1803" s="153"/>
      <c r="D1803" s="154"/>
      <c r="E1803" s="154"/>
      <c r="F1803" s="154"/>
      <c r="G1803" s="154"/>
      <c r="H1803" s="154"/>
      <c r="I1803" s="154"/>
      <c r="J1803" s="154"/>
      <c r="K1803" s="154"/>
      <c r="L1803" s="154"/>
      <c r="M1803" s="154"/>
      <c r="N1803" s="154">
        <f>M1801*E1802*F1802</f>
        <v>24</v>
      </c>
      <c r="O1803" s="154"/>
    </row>
    <row r="1804" spans="1:15" x14ac:dyDescent="0.35">
      <c r="A1804" s="321"/>
      <c r="B1804" s="320"/>
      <c r="C1804" s="153"/>
      <c r="D1804" s="154"/>
      <c r="E1804" s="154"/>
      <c r="F1804" s="154"/>
      <c r="G1804" s="154"/>
      <c r="H1804" s="154"/>
      <c r="I1804" s="154"/>
      <c r="J1804" s="154"/>
      <c r="K1804" s="154"/>
      <c r="L1804" s="156"/>
      <c r="M1804" s="154"/>
      <c r="N1804" s="154"/>
      <c r="O1804" s="154"/>
    </row>
    <row r="1805" spans="1:15" x14ac:dyDescent="0.35">
      <c r="A1805" s="321"/>
      <c r="B1805" s="318" t="s">
        <v>377</v>
      </c>
      <c r="C1805" s="158" t="s">
        <v>402</v>
      </c>
      <c r="D1805" s="158"/>
      <c r="E1805" s="158"/>
      <c r="F1805" s="158"/>
      <c r="G1805" s="158"/>
      <c r="H1805" s="158"/>
      <c r="I1805" s="158"/>
      <c r="J1805" s="158"/>
      <c r="K1805" s="158"/>
      <c r="L1805" s="158"/>
      <c r="M1805" s="154"/>
      <c r="N1805" s="158">
        <f>SUM(N1802:N1804)</f>
        <v>24</v>
      </c>
      <c r="O1805" s="158"/>
    </row>
    <row r="1806" spans="1:15" ht="21" x14ac:dyDescent="0.35">
      <c r="A1806" s="323" t="str">
        <f>ORÇAMENTO!A295</f>
        <v>5.1.1.1.4</v>
      </c>
      <c r="B1806" s="322" t="str">
        <f>VLOOKUP(A1806,ORÇAMENTO!$A:$F,4,0)</f>
        <v>PASSARELA, EM MADEIRA, PARA COBERTA DE VALAS PARA PASSAGEM DE PEDESTRES.</v>
      </c>
      <c r="C1806" s="149" t="str">
        <f>VLOOKUP(A1806,ORÇAMENTO!$A:$F,5,0)</f>
        <v>M²</v>
      </c>
      <c r="D1806" s="149">
        <f>SUM(E1813:O1813)</f>
        <v>28</v>
      </c>
      <c r="E1806" s="149" t="s">
        <v>2149</v>
      </c>
      <c r="F1806" s="149" t="s">
        <v>2150</v>
      </c>
      <c r="G1806" s="149" t="s">
        <v>2151</v>
      </c>
      <c r="H1806" s="149" t="s">
        <v>2152</v>
      </c>
      <c r="I1806" s="149" t="s">
        <v>2153</v>
      </c>
      <c r="J1806" s="149" t="s">
        <v>2154</v>
      </c>
      <c r="K1806" s="149" t="s">
        <v>2155</v>
      </c>
      <c r="L1806" s="149" t="s">
        <v>2156</v>
      </c>
      <c r="M1806" s="149" t="s">
        <v>413</v>
      </c>
      <c r="N1806" s="149" t="s">
        <v>2157</v>
      </c>
      <c r="O1806" s="149" t="s">
        <v>2158</v>
      </c>
    </row>
    <row r="1807" spans="1:15" x14ac:dyDescent="0.35">
      <c r="A1807" s="321"/>
      <c r="B1807" s="320"/>
      <c r="C1807" s="153"/>
      <c r="D1807" s="154"/>
      <c r="E1807" s="154"/>
      <c r="F1807" s="154"/>
      <c r="G1807" s="154"/>
      <c r="H1807" s="154"/>
      <c r="I1807" s="154"/>
      <c r="J1807" s="154"/>
      <c r="K1807" s="154"/>
      <c r="L1807" s="154"/>
      <c r="M1807" s="154"/>
      <c r="N1807" s="154"/>
      <c r="O1807" s="154"/>
    </row>
    <row r="1808" spans="1:15" x14ac:dyDescent="0.35">
      <c r="A1808" s="321"/>
      <c r="B1808" s="320" t="s">
        <v>2125</v>
      </c>
      <c r="C1808" s="153"/>
      <c r="D1808" s="154"/>
      <c r="E1808" s="154">
        <f>E1800</f>
        <v>2656.2599999999998</v>
      </c>
      <c r="F1808" s="154"/>
      <c r="G1808" s="154"/>
      <c r="H1808" s="154"/>
      <c r="I1808" s="154"/>
      <c r="J1808" s="154"/>
      <c r="K1808" s="154"/>
      <c r="L1808" s="154"/>
      <c r="M1808" s="154"/>
      <c r="N1808" s="154"/>
      <c r="O1808" s="154"/>
    </row>
    <row r="1809" spans="1:15" x14ac:dyDescent="0.35">
      <c r="A1809" s="321"/>
      <c r="B1809" s="320" t="s">
        <v>2164</v>
      </c>
      <c r="C1809" s="153"/>
      <c r="D1809" s="154"/>
      <c r="E1809" s="154"/>
      <c r="F1809" s="154"/>
      <c r="G1809" s="154"/>
      <c r="H1809" s="154"/>
      <c r="I1809" s="154"/>
      <c r="J1809" s="154"/>
      <c r="K1809" s="154"/>
      <c r="L1809" s="154"/>
      <c r="M1809" s="154">
        <f>ROUNDUP(E1808/200,0)</f>
        <v>14</v>
      </c>
      <c r="N1809" s="154"/>
      <c r="O1809" s="154"/>
    </row>
    <row r="1810" spans="1:15" x14ac:dyDescent="0.35">
      <c r="A1810" s="321"/>
      <c r="B1810" s="320" t="s">
        <v>2165</v>
      </c>
      <c r="C1810" s="153"/>
      <c r="D1810" s="154"/>
      <c r="E1810" s="154">
        <v>2</v>
      </c>
      <c r="F1810" s="154">
        <v>1</v>
      </c>
      <c r="G1810" s="154"/>
      <c r="H1810" s="154"/>
      <c r="I1810" s="154"/>
      <c r="J1810" s="154"/>
      <c r="K1810" s="154"/>
      <c r="L1810" s="154"/>
      <c r="M1810" s="154"/>
      <c r="N1810" s="154"/>
      <c r="O1810" s="154"/>
    </row>
    <row r="1811" spans="1:15" x14ac:dyDescent="0.35">
      <c r="A1811" s="321"/>
      <c r="B1811" s="320"/>
      <c r="C1811" s="153"/>
      <c r="D1811" s="154"/>
      <c r="E1811" s="154"/>
      <c r="F1811" s="154"/>
      <c r="G1811" s="154"/>
      <c r="H1811" s="154"/>
      <c r="I1811" s="154"/>
      <c r="J1811" s="154"/>
      <c r="K1811" s="154"/>
      <c r="L1811" s="154"/>
      <c r="M1811" s="154"/>
      <c r="N1811" s="154">
        <f>M1809*E1810*F1810</f>
        <v>28</v>
      </c>
      <c r="O1811" s="154"/>
    </row>
    <row r="1812" spans="1:15" x14ac:dyDescent="0.35">
      <c r="A1812" s="321"/>
      <c r="B1812" s="320"/>
      <c r="C1812" s="153"/>
      <c r="D1812" s="154"/>
      <c r="E1812" s="154"/>
      <c r="F1812" s="154"/>
      <c r="G1812" s="154"/>
      <c r="H1812" s="154"/>
      <c r="I1812" s="154"/>
      <c r="J1812" s="154"/>
      <c r="K1812" s="154"/>
      <c r="L1812" s="156"/>
      <c r="M1812" s="154"/>
      <c r="N1812" s="154"/>
      <c r="O1812" s="154"/>
    </row>
    <row r="1813" spans="1:15" x14ac:dyDescent="0.35">
      <c r="A1813" s="321"/>
      <c r="B1813" s="318" t="s">
        <v>377</v>
      </c>
      <c r="C1813" s="158" t="s">
        <v>402</v>
      </c>
      <c r="D1813" s="158"/>
      <c r="E1813" s="158"/>
      <c r="F1813" s="158"/>
      <c r="G1813" s="158"/>
      <c r="H1813" s="158"/>
      <c r="I1813" s="158"/>
      <c r="J1813" s="158"/>
      <c r="K1813" s="158"/>
      <c r="L1813" s="158"/>
      <c r="M1813" s="158"/>
      <c r="N1813" s="158">
        <f>SUM(N1810:N1812)</f>
        <v>28</v>
      </c>
      <c r="O1813" s="158"/>
    </row>
    <row r="1814" spans="1:15" ht="21" x14ac:dyDescent="0.35">
      <c r="A1814" s="323" t="str">
        <f>ORÇAMENTO!A296</f>
        <v>5.1.1.1.5</v>
      </c>
      <c r="B1814" s="322" t="str">
        <f>VLOOKUP(A1814,ORÇAMENTO!$A:$F,4,0)</f>
        <v>TELA TAPUME, COR LARANJA, COM SUPORTE A CADA 2M (FORNECIMENTO E INSTALAÇÃO)</v>
      </c>
      <c r="C1814" s="149" t="str">
        <f>VLOOKUP(A1814,ORÇAMENTO!$A:$F,5,0)</f>
        <v>M</v>
      </c>
      <c r="D1814" s="149">
        <f>SUM(E1820:O1820)</f>
        <v>5312.5199999999995</v>
      </c>
      <c r="E1814" s="149" t="s">
        <v>2149</v>
      </c>
      <c r="F1814" s="149" t="s">
        <v>2150</v>
      </c>
      <c r="G1814" s="149" t="s">
        <v>2151</v>
      </c>
      <c r="H1814" s="149" t="s">
        <v>2152</v>
      </c>
      <c r="I1814" s="149" t="s">
        <v>2153</v>
      </c>
      <c r="J1814" s="149" t="s">
        <v>2154</v>
      </c>
      <c r="K1814" s="149" t="s">
        <v>2155</v>
      </c>
      <c r="L1814" s="149" t="s">
        <v>2156</v>
      </c>
      <c r="M1814" s="149" t="s">
        <v>413</v>
      </c>
      <c r="N1814" s="149" t="s">
        <v>2157</v>
      </c>
      <c r="O1814" s="149" t="s">
        <v>2158</v>
      </c>
    </row>
    <row r="1815" spans="1:15" x14ac:dyDescent="0.35">
      <c r="A1815" s="321"/>
      <c r="B1815" s="320"/>
      <c r="C1815" s="153"/>
      <c r="D1815" s="154"/>
      <c r="E1815" s="154"/>
      <c r="F1815" s="154"/>
      <c r="G1815" s="154"/>
      <c r="H1815" s="154"/>
      <c r="I1815" s="154"/>
      <c r="J1815" s="154"/>
      <c r="K1815" s="154"/>
      <c r="L1815" s="154"/>
      <c r="M1815" s="154"/>
      <c r="N1815" s="154"/>
      <c r="O1815" s="154"/>
    </row>
    <row r="1816" spans="1:15" x14ac:dyDescent="0.35">
      <c r="A1816" s="321"/>
      <c r="B1816" s="320" t="s">
        <v>2125</v>
      </c>
      <c r="C1816" s="153"/>
      <c r="D1816" s="154"/>
      <c r="E1816" s="154">
        <f>E1808</f>
        <v>2656.2599999999998</v>
      </c>
      <c r="F1816" s="154"/>
      <c r="G1816" s="154"/>
      <c r="H1816" s="154"/>
      <c r="I1816" s="154"/>
      <c r="J1816" s="154"/>
      <c r="K1816" s="154"/>
      <c r="L1816" s="154"/>
      <c r="M1816" s="154"/>
      <c r="N1816" s="154"/>
      <c r="O1816" s="154"/>
    </row>
    <row r="1817" spans="1:15" x14ac:dyDescent="0.35">
      <c r="A1817" s="321"/>
      <c r="B1817" s="320"/>
      <c r="C1817" s="153"/>
      <c r="D1817" s="154"/>
      <c r="E1817" s="154"/>
      <c r="F1817" s="154"/>
      <c r="G1817" s="154"/>
      <c r="H1817" s="154"/>
      <c r="I1817" s="154"/>
      <c r="J1817" s="154"/>
      <c r="K1817" s="154"/>
      <c r="L1817" s="154"/>
      <c r="M1817" s="154"/>
      <c r="N1817" s="154"/>
      <c r="O1817" s="154"/>
    </row>
    <row r="1818" spans="1:15" x14ac:dyDescent="0.35">
      <c r="A1818" s="321"/>
      <c r="B1818" s="320" t="s">
        <v>2166</v>
      </c>
      <c r="C1818" s="153"/>
      <c r="D1818" s="154"/>
      <c r="E1818" s="154">
        <f>E1816*2</f>
        <v>5312.5199999999995</v>
      </c>
      <c r="F1818" s="154"/>
      <c r="G1818" s="154"/>
      <c r="H1818" s="154"/>
      <c r="I1818" s="154"/>
      <c r="J1818" s="154"/>
      <c r="K1818" s="154"/>
      <c r="L1818" s="154"/>
      <c r="M1818" s="154"/>
      <c r="N1818" s="154"/>
      <c r="O1818" s="154"/>
    </row>
    <row r="1819" spans="1:15" x14ac:dyDescent="0.35">
      <c r="A1819" s="321"/>
      <c r="B1819" s="320"/>
      <c r="C1819" s="153"/>
      <c r="D1819" s="154"/>
      <c r="E1819" s="154"/>
      <c r="F1819" s="154"/>
      <c r="G1819" s="154"/>
      <c r="H1819" s="154"/>
      <c r="I1819" s="154"/>
      <c r="J1819" s="154"/>
      <c r="K1819" s="154"/>
      <c r="L1819" s="156"/>
      <c r="M1819" s="154"/>
      <c r="N1819" s="154"/>
      <c r="O1819" s="154"/>
    </row>
    <row r="1820" spans="1:15" x14ac:dyDescent="0.35">
      <c r="A1820" s="321"/>
      <c r="B1820" s="318" t="s">
        <v>377</v>
      </c>
      <c r="C1820" s="158" t="s">
        <v>402</v>
      </c>
      <c r="D1820" s="158"/>
      <c r="E1820" s="158">
        <f>SUM(E1818:E1819)</f>
        <v>5312.5199999999995</v>
      </c>
      <c r="F1820" s="158"/>
      <c r="G1820" s="158"/>
      <c r="H1820" s="158"/>
      <c r="I1820" s="158"/>
      <c r="J1820" s="158"/>
      <c r="K1820" s="158"/>
      <c r="L1820" s="158"/>
      <c r="M1820" s="158"/>
      <c r="N1820" s="158"/>
      <c r="O1820" s="158"/>
    </row>
    <row r="1821" spans="1:15" ht="21" x14ac:dyDescent="0.35">
      <c r="A1821" s="323" t="str">
        <f>ORÇAMENTO!A297</f>
        <v>5.1.1.1.6</v>
      </c>
      <c r="B1821" s="322" t="str">
        <f>VLOOKUP(A1821,ORÇAMENTO!$A:$F,4,0)</f>
        <v>SINALIZADOR ELETRÔNICO</v>
      </c>
      <c r="C1821" s="149" t="str">
        <f>VLOOKUP(A1821,ORÇAMENTO!$A:$F,5,0)</f>
        <v>UN</v>
      </c>
      <c r="D1821" s="149">
        <f>SUM(E1826:O1826)</f>
        <v>54</v>
      </c>
      <c r="E1821" s="149" t="s">
        <v>2149</v>
      </c>
      <c r="F1821" s="149" t="s">
        <v>2150</v>
      </c>
      <c r="G1821" s="149" t="s">
        <v>2151</v>
      </c>
      <c r="H1821" s="149" t="s">
        <v>2152</v>
      </c>
      <c r="I1821" s="149" t="s">
        <v>2153</v>
      </c>
      <c r="J1821" s="149" t="s">
        <v>2154</v>
      </c>
      <c r="K1821" s="149" t="s">
        <v>2155</v>
      </c>
      <c r="L1821" s="149" t="s">
        <v>2156</v>
      </c>
      <c r="M1821" s="149" t="s">
        <v>413</v>
      </c>
      <c r="N1821" s="149" t="s">
        <v>2157</v>
      </c>
      <c r="O1821" s="149" t="s">
        <v>2158</v>
      </c>
    </row>
    <row r="1822" spans="1:15" x14ac:dyDescent="0.35">
      <c r="A1822" s="321"/>
      <c r="B1822" s="320"/>
      <c r="C1822" s="153"/>
      <c r="D1822" s="154"/>
      <c r="E1822" s="154"/>
      <c r="F1822" s="154"/>
      <c r="G1822" s="154"/>
      <c r="H1822" s="154"/>
      <c r="I1822" s="154"/>
      <c r="J1822" s="154"/>
      <c r="K1822" s="154"/>
      <c r="L1822" s="154"/>
      <c r="M1822" s="154"/>
      <c r="N1822" s="154"/>
      <c r="O1822" s="154"/>
    </row>
    <row r="1823" spans="1:15" x14ac:dyDescent="0.35">
      <c r="A1823" s="321"/>
      <c r="B1823" s="320" t="s">
        <v>2125</v>
      </c>
      <c r="C1823" s="153"/>
      <c r="D1823" s="154"/>
      <c r="E1823" s="154">
        <f>E1816</f>
        <v>2656.2599999999998</v>
      </c>
      <c r="F1823" s="154"/>
      <c r="G1823" s="154"/>
      <c r="H1823" s="154"/>
      <c r="I1823" s="154"/>
      <c r="J1823" s="154"/>
      <c r="K1823" s="154"/>
      <c r="L1823" s="154"/>
      <c r="M1823" s="154"/>
      <c r="N1823" s="154"/>
      <c r="O1823" s="154"/>
    </row>
    <row r="1824" spans="1:15" ht="21" x14ac:dyDescent="0.35">
      <c r="A1824" s="321"/>
      <c r="B1824" s="320" t="s">
        <v>2167</v>
      </c>
      <c r="C1824" s="153"/>
      <c r="D1824" s="154"/>
      <c r="E1824" s="154"/>
      <c r="F1824" s="154"/>
      <c r="G1824" s="154"/>
      <c r="H1824" s="154"/>
      <c r="I1824" s="154"/>
      <c r="J1824" s="154"/>
      <c r="K1824" s="154"/>
      <c r="L1824" s="154"/>
      <c r="M1824" s="154">
        <f>ROUNDUP(E1823*0.2/10,0)</f>
        <v>54</v>
      </c>
      <c r="N1824" s="154"/>
      <c r="O1824" s="154"/>
    </row>
    <row r="1825" spans="1:15" x14ac:dyDescent="0.35">
      <c r="A1825" s="321"/>
      <c r="B1825" s="320"/>
      <c r="C1825" s="153"/>
      <c r="D1825" s="154"/>
      <c r="E1825" s="154"/>
      <c r="F1825" s="154"/>
      <c r="G1825" s="154"/>
      <c r="H1825" s="154"/>
      <c r="I1825" s="154"/>
      <c r="J1825" s="154"/>
      <c r="K1825" s="154"/>
      <c r="L1825" s="156"/>
      <c r="M1825" s="154"/>
      <c r="N1825" s="154"/>
      <c r="O1825" s="154"/>
    </row>
    <row r="1826" spans="1:15" x14ac:dyDescent="0.35">
      <c r="A1826" s="321"/>
      <c r="B1826" s="318" t="s">
        <v>377</v>
      </c>
      <c r="C1826" s="158" t="s">
        <v>402</v>
      </c>
      <c r="D1826" s="158"/>
      <c r="E1826" s="158"/>
      <c r="F1826" s="158"/>
      <c r="G1826" s="158"/>
      <c r="H1826" s="158"/>
      <c r="I1826" s="158"/>
      <c r="J1826" s="158"/>
      <c r="K1826" s="158"/>
      <c r="L1826" s="158"/>
      <c r="M1826" s="158">
        <f>SUM(M1824:M1825)</f>
        <v>54</v>
      </c>
      <c r="N1826" s="158"/>
      <c r="O1826" s="158"/>
    </row>
    <row r="1827" spans="1:15" ht="42" x14ac:dyDescent="0.35">
      <c r="A1827" s="323" t="str">
        <f>ORÇAMENTO!A298</f>
        <v>5.1.1.1.7</v>
      </c>
      <c r="B1827" s="322" t="str">
        <f>VLOOKUP(A1827,ORÇAMENTO!$A:$F,4,0)</f>
        <v>PLACA PARA SINALIZAÇÃO DE OBRAS MONTADA EM CAVALETE METÁLICO - 1,00 X 1,00 M - UTILIZAÇÃO DE 600 CICLOS - FORNECIMENTO, 01IMPLANTAÇÃO E 01 RETIRADA DIÁRIA</v>
      </c>
      <c r="C1827" s="149" t="str">
        <f>VLOOKUP(A1827,ORÇAMENTO!$A:$F,5,0)</f>
        <v>UN.DIA</v>
      </c>
      <c r="D1827" s="149">
        <f>SUM(E1834:O1834)</f>
        <v>1847</v>
      </c>
      <c r="E1827" s="149" t="s">
        <v>2149</v>
      </c>
      <c r="F1827" s="149" t="s">
        <v>2150</v>
      </c>
      <c r="G1827" s="149" t="s">
        <v>2151</v>
      </c>
      <c r="H1827" s="149" t="s">
        <v>2152</v>
      </c>
      <c r="I1827" s="149" t="s">
        <v>2153</v>
      </c>
      <c r="J1827" s="149" t="s">
        <v>2154</v>
      </c>
      <c r="K1827" s="149" t="s">
        <v>2155</v>
      </c>
      <c r="L1827" s="149" t="s">
        <v>2156</v>
      </c>
      <c r="M1827" s="149" t="s">
        <v>413</v>
      </c>
      <c r="N1827" s="149" t="s">
        <v>2157</v>
      </c>
      <c r="O1827" s="149" t="s">
        <v>2158</v>
      </c>
    </row>
    <row r="1828" spans="1:15" x14ac:dyDescent="0.35">
      <c r="A1828" s="321"/>
      <c r="B1828" s="320"/>
      <c r="C1828" s="153"/>
      <c r="D1828" s="154"/>
      <c r="E1828" s="154"/>
      <c r="F1828" s="154"/>
      <c r="G1828" s="154"/>
      <c r="H1828" s="154"/>
      <c r="I1828" s="154"/>
      <c r="J1828" s="154"/>
      <c r="K1828" s="154"/>
      <c r="L1828" s="154"/>
      <c r="M1828" s="154"/>
      <c r="N1828" s="154"/>
      <c r="O1828" s="154"/>
    </row>
    <row r="1829" spans="1:15" x14ac:dyDescent="0.35">
      <c r="A1829" s="321"/>
      <c r="B1829" s="320"/>
      <c r="C1829" s="153"/>
      <c r="D1829" s="154"/>
      <c r="E1829" s="154"/>
      <c r="F1829" s="154"/>
      <c r="G1829" s="154"/>
      <c r="H1829" s="154"/>
      <c r="I1829" s="154"/>
      <c r="J1829" s="154"/>
      <c r="K1829" s="154"/>
      <c r="L1829" s="154"/>
      <c r="M1829" s="154"/>
      <c r="N1829" s="154"/>
      <c r="O1829" s="154"/>
    </row>
    <row r="1830" spans="1:15" x14ac:dyDescent="0.35">
      <c r="A1830" s="321"/>
      <c r="B1830" s="320" t="s">
        <v>2339</v>
      </c>
      <c r="C1830" s="153"/>
      <c r="D1830" s="154"/>
      <c r="E1830" s="154"/>
      <c r="F1830" s="154"/>
      <c r="G1830" s="154"/>
      <c r="H1830" s="154"/>
      <c r="I1830" s="154"/>
      <c r="J1830" s="154"/>
      <c r="K1830" s="154"/>
      <c r="L1830" s="154"/>
      <c r="M1830" s="154">
        <v>1770</v>
      </c>
      <c r="N1830" s="154"/>
      <c r="O1830" s="154"/>
    </row>
    <row r="1831" spans="1:15" x14ac:dyDescent="0.35">
      <c r="A1831" s="321"/>
      <c r="B1831" s="320" t="s">
        <v>2687</v>
      </c>
      <c r="C1831" s="153"/>
      <c r="D1831" s="154"/>
      <c r="E1831" s="154"/>
      <c r="F1831" s="154"/>
      <c r="G1831" s="154"/>
      <c r="H1831" s="154"/>
      <c r="I1831" s="154"/>
      <c r="J1831" s="154"/>
      <c r="K1831" s="154"/>
      <c r="L1831" s="154"/>
      <c r="M1831" s="154">
        <v>71</v>
      </c>
      <c r="N1831" s="154"/>
      <c r="O1831" s="154"/>
    </row>
    <row r="1832" spans="1:15" x14ac:dyDescent="0.35">
      <c r="A1832" s="321"/>
      <c r="B1832" s="320" t="s">
        <v>2711</v>
      </c>
      <c r="C1832" s="153"/>
      <c r="D1832" s="154"/>
      <c r="E1832" s="154"/>
      <c r="F1832" s="154"/>
      <c r="G1832" s="154"/>
      <c r="H1832" s="154"/>
      <c r="I1832" s="154"/>
      <c r="J1832" s="154"/>
      <c r="K1832" s="154"/>
      <c r="L1832" s="154"/>
      <c r="M1832" s="154">
        <v>6</v>
      </c>
      <c r="N1832" s="154"/>
      <c r="O1832" s="154"/>
    </row>
    <row r="1833" spans="1:15" x14ac:dyDescent="0.35">
      <c r="A1833" s="321"/>
      <c r="B1833" s="320"/>
      <c r="C1833" s="153"/>
      <c r="D1833" s="154"/>
      <c r="E1833" s="154"/>
      <c r="F1833" s="154"/>
      <c r="G1833" s="154"/>
      <c r="H1833" s="154"/>
      <c r="I1833" s="154"/>
      <c r="J1833" s="154"/>
      <c r="K1833" s="154"/>
      <c r="L1833" s="156"/>
      <c r="M1833" s="154"/>
      <c r="N1833" s="154"/>
      <c r="O1833" s="154"/>
    </row>
    <row r="1834" spans="1:15" x14ac:dyDescent="0.35">
      <c r="A1834" s="321"/>
      <c r="B1834" s="318" t="s">
        <v>377</v>
      </c>
      <c r="C1834" s="158" t="s">
        <v>402</v>
      </c>
      <c r="D1834" s="158"/>
      <c r="E1834" s="158"/>
      <c r="F1834" s="158"/>
      <c r="G1834" s="158"/>
      <c r="H1834" s="158"/>
      <c r="I1834" s="158"/>
      <c r="J1834" s="158"/>
      <c r="K1834" s="158"/>
      <c r="L1834" s="158"/>
      <c r="M1834" s="158">
        <f>SUM(M1830:M1833)</f>
        <v>1847</v>
      </c>
      <c r="N1834" s="158"/>
      <c r="O1834" s="158"/>
    </row>
    <row r="1835" spans="1:15" ht="52.5" x14ac:dyDescent="0.35">
      <c r="A1835" s="323" t="str">
        <f>ORÇAMENTO!A299</f>
        <v>5.1.1.1.8</v>
      </c>
      <c r="B1835" s="322" t="str">
        <f>VLOOKUP(A1835,ORÇAMENTO!$A:$F,4,0)</f>
        <v>PLACA DE ADVERTÊNCIA PARA SINALIZAÇÃO DE OBRAS MONTADA EM SUPORTE METÁLICO MÓVEL, LADO 1,00 M - UTILIZAÇÃO DE 600 CICLOS - FORNECIMENTO, 01 IMPLANTAÇÃO E 01 RETIRADA DIÁRIA</v>
      </c>
      <c r="C1835" s="149" t="str">
        <f>VLOOKUP(A1835,ORÇAMENTO!$A:$F,5,0)</f>
        <v>UN.DIA</v>
      </c>
      <c r="D1835" s="149">
        <f>SUM(E1842:O1842)</f>
        <v>1231</v>
      </c>
      <c r="E1835" s="149" t="s">
        <v>2149</v>
      </c>
      <c r="F1835" s="149" t="s">
        <v>2150</v>
      </c>
      <c r="G1835" s="149" t="s">
        <v>2151</v>
      </c>
      <c r="H1835" s="149" t="s">
        <v>2152</v>
      </c>
      <c r="I1835" s="149" t="s">
        <v>2153</v>
      </c>
      <c r="J1835" s="149" t="s">
        <v>2154</v>
      </c>
      <c r="K1835" s="149" t="s">
        <v>2155</v>
      </c>
      <c r="L1835" s="149" t="s">
        <v>2156</v>
      </c>
      <c r="M1835" s="149" t="s">
        <v>413</v>
      </c>
      <c r="N1835" s="149" t="s">
        <v>2157</v>
      </c>
      <c r="O1835" s="149" t="s">
        <v>2158</v>
      </c>
    </row>
    <row r="1836" spans="1:15" x14ac:dyDescent="0.35">
      <c r="A1836" s="321"/>
      <c r="B1836" s="320"/>
      <c r="C1836" s="153"/>
      <c r="D1836" s="154"/>
      <c r="E1836" s="154"/>
      <c r="F1836" s="154"/>
      <c r="G1836" s="154"/>
      <c r="H1836" s="154"/>
      <c r="I1836" s="154"/>
      <c r="J1836" s="154"/>
      <c r="K1836" s="154"/>
      <c r="L1836" s="154"/>
      <c r="M1836" s="154"/>
      <c r="N1836" s="154"/>
      <c r="O1836" s="154"/>
    </row>
    <row r="1837" spans="1:15" x14ac:dyDescent="0.35">
      <c r="A1837" s="321"/>
      <c r="B1837" s="320"/>
      <c r="C1837" s="153"/>
      <c r="D1837" s="154"/>
      <c r="E1837" s="154"/>
      <c r="F1837" s="154"/>
      <c r="G1837" s="154"/>
      <c r="H1837" s="154"/>
      <c r="I1837" s="154"/>
      <c r="J1837" s="154"/>
      <c r="K1837" s="154"/>
      <c r="L1837" s="154"/>
      <c r="M1837" s="154"/>
      <c r="N1837" s="154"/>
      <c r="O1837" s="154"/>
    </row>
    <row r="1838" spans="1:15" x14ac:dyDescent="0.35">
      <c r="A1838" s="321"/>
      <c r="B1838" s="320" t="s">
        <v>2339</v>
      </c>
      <c r="C1838" s="153"/>
      <c r="D1838" s="154"/>
      <c r="E1838" s="154"/>
      <c r="F1838" s="154"/>
      <c r="G1838" s="154"/>
      <c r="H1838" s="154"/>
      <c r="I1838" s="154"/>
      <c r="J1838" s="154"/>
      <c r="K1838" s="154"/>
      <c r="L1838" s="154"/>
      <c r="M1838" s="154">
        <v>1180</v>
      </c>
      <c r="N1838" s="154"/>
      <c r="O1838" s="154"/>
    </row>
    <row r="1839" spans="1:15" x14ac:dyDescent="0.35">
      <c r="A1839" s="321"/>
      <c r="B1839" s="320" t="s">
        <v>2687</v>
      </c>
      <c r="C1839" s="153"/>
      <c r="D1839" s="154"/>
      <c r="E1839" s="154"/>
      <c r="F1839" s="154"/>
      <c r="G1839" s="154"/>
      <c r="H1839" s="154"/>
      <c r="I1839" s="154"/>
      <c r="J1839" s="154"/>
      <c r="K1839" s="154"/>
      <c r="L1839" s="154"/>
      <c r="M1839" s="154">
        <v>47</v>
      </c>
      <c r="N1839" s="154"/>
      <c r="O1839" s="154"/>
    </row>
    <row r="1840" spans="1:15" x14ac:dyDescent="0.35">
      <c r="A1840" s="321"/>
      <c r="B1840" s="320" t="s">
        <v>2711</v>
      </c>
      <c r="C1840" s="153"/>
      <c r="D1840" s="154"/>
      <c r="E1840" s="154"/>
      <c r="F1840" s="154"/>
      <c r="G1840" s="154"/>
      <c r="H1840" s="154"/>
      <c r="I1840" s="154"/>
      <c r="J1840" s="154"/>
      <c r="K1840" s="154"/>
      <c r="L1840" s="154"/>
      <c r="M1840" s="154">
        <v>4</v>
      </c>
      <c r="N1840" s="154"/>
      <c r="O1840" s="154"/>
    </row>
    <row r="1841" spans="1:15" x14ac:dyDescent="0.35">
      <c r="A1841" s="321"/>
      <c r="B1841" s="320"/>
      <c r="C1841" s="153"/>
      <c r="D1841" s="154"/>
      <c r="E1841" s="154"/>
      <c r="F1841" s="154"/>
      <c r="G1841" s="154"/>
      <c r="H1841" s="154"/>
      <c r="I1841" s="154"/>
      <c r="J1841" s="154"/>
      <c r="K1841" s="154"/>
      <c r="L1841" s="156"/>
      <c r="M1841" s="154"/>
      <c r="N1841" s="154"/>
      <c r="O1841" s="154"/>
    </row>
    <row r="1842" spans="1:15" x14ac:dyDescent="0.35">
      <c r="A1842" s="321"/>
      <c r="B1842" s="318" t="s">
        <v>377</v>
      </c>
      <c r="C1842" s="158" t="s">
        <v>402</v>
      </c>
      <c r="D1842" s="158"/>
      <c r="E1842" s="158"/>
      <c r="F1842" s="158"/>
      <c r="G1842" s="158"/>
      <c r="H1842" s="158"/>
      <c r="I1842" s="158"/>
      <c r="J1842" s="158"/>
      <c r="K1842" s="158"/>
      <c r="L1842" s="158"/>
      <c r="M1842" s="158">
        <f>SUM(M1838:M1841)</f>
        <v>1231</v>
      </c>
      <c r="N1842" s="158"/>
      <c r="O1842" s="158"/>
    </row>
    <row r="1843" spans="1:15" ht="42" x14ac:dyDescent="0.35">
      <c r="A1843" s="323" t="str">
        <f>ORÇAMENTO!A300</f>
        <v>5.1.1.1.9</v>
      </c>
      <c r="B1843" s="322" t="str">
        <f>VLOOKUP(A1843,ORÇAMENTO!$A:$F,4,0)</f>
        <v>BARREIRA DE SINALIZAÇÃO TIPO III DE DIRECIONAMENTO OU BLOQUEIO - UTILIZAÇÃO DE 150 CICLOS - FORNECIMENTO, 01 IMPLANTAÇÃO E 01 RETIRADA DIÁRIA</v>
      </c>
      <c r="C1843" s="149" t="str">
        <f>VLOOKUP(A1843,ORÇAMENTO!$A:$F,5,0)</f>
        <v>UN.DIA</v>
      </c>
      <c r="D1843" s="149">
        <f>SUM(E1850:O1850)</f>
        <v>616</v>
      </c>
      <c r="E1843" s="149" t="s">
        <v>2149</v>
      </c>
      <c r="F1843" s="149" t="s">
        <v>2150</v>
      </c>
      <c r="G1843" s="149" t="s">
        <v>2151</v>
      </c>
      <c r="H1843" s="149" t="s">
        <v>2152</v>
      </c>
      <c r="I1843" s="149" t="s">
        <v>2153</v>
      </c>
      <c r="J1843" s="149" t="s">
        <v>2154</v>
      </c>
      <c r="K1843" s="149" t="s">
        <v>2155</v>
      </c>
      <c r="L1843" s="149" t="s">
        <v>2156</v>
      </c>
      <c r="M1843" s="149" t="s">
        <v>413</v>
      </c>
      <c r="N1843" s="149" t="s">
        <v>2157</v>
      </c>
      <c r="O1843" s="149" t="s">
        <v>2158</v>
      </c>
    </row>
    <row r="1844" spans="1:15" x14ac:dyDescent="0.35">
      <c r="A1844" s="321"/>
      <c r="B1844" s="320"/>
      <c r="C1844" s="153"/>
      <c r="D1844" s="154"/>
      <c r="E1844" s="154"/>
      <c r="F1844" s="154"/>
      <c r="G1844" s="154"/>
      <c r="H1844" s="154"/>
      <c r="I1844" s="154"/>
      <c r="J1844" s="154"/>
      <c r="K1844" s="154"/>
      <c r="L1844" s="154"/>
      <c r="M1844" s="154"/>
      <c r="N1844" s="154"/>
      <c r="O1844" s="154"/>
    </row>
    <row r="1845" spans="1:15" x14ac:dyDescent="0.35">
      <c r="A1845" s="321"/>
      <c r="B1845" s="320"/>
      <c r="C1845" s="153"/>
      <c r="D1845" s="154"/>
      <c r="E1845" s="154"/>
      <c r="F1845" s="154"/>
      <c r="G1845" s="154"/>
      <c r="H1845" s="154"/>
      <c r="I1845" s="154"/>
      <c r="J1845" s="154"/>
      <c r="K1845" s="154"/>
      <c r="L1845" s="154"/>
      <c r="M1845" s="154"/>
      <c r="N1845" s="154"/>
      <c r="O1845" s="154"/>
    </row>
    <row r="1846" spans="1:15" x14ac:dyDescent="0.35">
      <c r="A1846" s="321"/>
      <c r="B1846" s="320" t="s">
        <v>2339</v>
      </c>
      <c r="C1846" s="153"/>
      <c r="D1846" s="154"/>
      <c r="E1846" s="154"/>
      <c r="F1846" s="154"/>
      <c r="G1846" s="154"/>
      <c r="H1846" s="154"/>
      <c r="I1846" s="154"/>
      <c r="J1846" s="154"/>
      <c r="K1846" s="154"/>
      <c r="L1846" s="154"/>
      <c r="M1846" s="154">
        <v>590</v>
      </c>
      <c r="N1846" s="154"/>
      <c r="O1846" s="154"/>
    </row>
    <row r="1847" spans="1:15" x14ac:dyDescent="0.35">
      <c r="A1847" s="321"/>
      <c r="B1847" s="320" t="s">
        <v>2687</v>
      </c>
      <c r="C1847" s="153"/>
      <c r="D1847" s="154"/>
      <c r="E1847" s="154"/>
      <c r="F1847" s="154"/>
      <c r="G1847" s="154"/>
      <c r="H1847" s="154"/>
      <c r="I1847" s="154"/>
      <c r="J1847" s="154"/>
      <c r="K1847" s="154"/>
      <c r="L1847" s="154"/>
      <c r="M1847" s="154">
        <v>24</v>
      </c>
      <c r="N1847" s="154"/>
      <c r="O1847" s="154"/>
    </row>
    <row r="1848" spans="1:15" x14ac:dyDescent="0.35">
      <c r="A1848" s="321"/>
      <c r="B1848" s="320" t="s">
        <v>2711</v>
      </c>
      <c r="C1848" s="153"/>
      <c r="D1848" s="154"/>
      <c r="E1848" s="154"/>
      <c r="F1848" s="154"/>
      <c r="G1848" s="154"/>
      <c r="H1848" s="154"/>
      <c r="I1848" s="154"/>
      <c r="J1848" s="154"/>
      <c r="K1848" s="154"/>
      <c r="L1848" s="154"/>
      <c r="M1848" s="154">
        <v>2</v>
      </c>
      <c r="N1848" s="154"/>
      <c r="O1848" s="154"/>
    </row>
    <row r="1849" spans="1:15" x14ac:dyDescent="0.35">
      <c r="A1849" s="321"/>
      <c r="B1849" s="320"/>
      <c r="C1849" s="153"/>
      <c r="D1849" s="154"/>
      <c r="E1849" s="154"/>
      <c r="F1849" s="154"/>
      <c r="G1849" s="154"/>
      <c r="H1849" s="154"/>
      <c r="I1849" s="154"/>
      <c r="J1849" s="154"/>
      <c r="K1849" s="154"/>
      <c r="L1849" s="156"/>
      <c r="M1849" s="154"/>
      <c r="N1849" s="154"/>
      <c r="O1849" s="154"/>
    </row>
    <row r="1850" spans="1:15" x14ac:dyDescent="0.35">
      <c r="A1850" s="321"/>
      <c r="B1850" s="318" t="s">
        <v>377</v>
      </c>
      <c r="C1850" s="158" t="s">
        <v>402</v>
      </c>
      <c r="D1850" s="158"/>
      <c r="E1850" s="158"/>
      <c r="F1850" s="158"/>
      <c r="G1850" s="158"/>
      <c r="H1850" s="158"/>
      <c r="I1850" s="158"/>
      <c r="J1850" s="158"/>
      <c r="K1850" s="158"/>
      <c r="L1850" s="158"/>
      <c r="M1850" s="158">
        <f>SUM(M1846:M1849)</f>
        <v>616</v>
      </c>
      <c r="N1850" s="158"/>
      <c r="O1850" s="158"/>
    </row>
    <row r="1851" spans="1:15" ht="31.5" x14ac:dyDescent="0.35">
      <c r="A1851" s="323" t="str">
        <f>ORÇAMENTO!A301</f>
        <v>5.1.1.1.10</v>
      </c>
      <c r="B1851" s="322" t="str">
        <f>VLOOKUP(A1851,ORÇAMENTO!$A:$F,4,0)</f>
        <v>CONE PLÁSTICO PARA CANALIZAÇÃO DE TRÂNSITO - UTILIZAÇÃO DE 150 CICLOS - FORNECIMENTO, 01 IMPLANTAÇÃO E 01 RETIRADA DIÁRIA</v>
      </c>
      <c r="C1851" s="149" t="str">
        <f>VLOOKUP(A1851,ORÇAMENTO!$A:$F,5,0)</f>
        <v>UN.DIA</v>
      </c>
      <c r="D1851" s="149">
        <f>SUM(E1858:O1858)</f>
        <v>3078</v>
      </c>
      <c r="E1851" s="149" t="s">
        <v>2149</v>
      </c>
      <c r="F1851" s="149" t="s">
        <v>2150</v>
      </c>
      <c r="G1851" s="149" t="s">
        <v>2151</v>
      </c>
      <c r="H1851" s="149" t="s">
        <v>2152</v>
      </c>
      <c r="I1851" s="149" t="s">
        <v>2153</v>
      </c>
      <c r="J1851" s="149" t="s">
        <v>2154</v>
      </c>
      <c r="K1851" s="149" t="s">
        <v>2155</v>
      </c>
      <c r="L1851" s="149" t="s">
        <v>2156</v>
      </c>
      <c r="M1851" s="149" t="s">
        <v>413</v>
      </c>
      <c r="N1851" s="149" t="s">
        <v>2157</v>
      </c>
      <c r="O1851" s="149" t="s">
        <v>2158</v>
      </c>
    </row>
    <row r="1852" spans="1:15" x14ac:dyDescent="0.35">
      <c r="A1852" s="321"/>
      <c r="B1852" s="320"/>
      <c r="C1852" s="153"/>
      <c r="D1852" s="154"/>
      <c r="E1852" s="154"/>
      <c r="F1852" s="154"/>
      <c r="G1852" s="154"/>
      <c r="H1852" s="154"/>
      <c r="I1852" s="154"/>
      <c r="J1852" s="154"/>
      <c r="K1852" s="154"/>
      <c r="L1852" s="154"/>
      <c r="M1852" s="154"/>
      <c r="N1852" s="154"/>
      <c r="O1852" s="154"/>
    </row>
    <row r="1853" spans="1:15" x14ac:dyDescent="0.35">
      <c r="A1853" s="321"/>
      <c r="B1853" s="320"/>
      <c r="C1853" s="153"/>
      <c r="D1853" s="154"/>
      <c r="E1853" s="154"/>
      <c r="F1853" s="154"/>
      <c r="G1853" s="154"/>
      <c r="H1853" s="154"/>
      <c r="I1853" s="154"/>
      <c r="J1853" s="154"/>
      <c r="K1853" s="154"/>
      <c r="L1853" s="154"/>
      <c r="M1853" s="154"/>
      <c r="N1853" s="154"/>
      <c r="O1853" s="154"/>
    </row>
    <row r="1854" spans="1:15" x14ac:dyDescent="0.35">
      <c r="A1854" s="321"/>
      <c r="B1854" s="320" t="s">
        <v>2339</v>
      </c>
      <c r="C1854" s="153"/>
      <c r="D1854" s="154"/>
      <c r="E1854" s="154"/>
      <c r="F1854" s="154"/>
      <c r="G1854" s="154"/>
      <c r="H1854" s="154"/>
      <c r="I1854" s="154"/>
      <c r="J1854" s="154"/>
      <c r="K1854" s="154"/>
      <c r="L1854" s="154"/>
      <c r="M1854" s="154">
        <v>2950</v>
      </c>
      <c r="N1854" s="154"/>
      <c r="O1854" s="154"/>
    </row>
    <row r="1855" spans="1:15" x14ac:dyDescent="0.35">
      <c r="A1855" s="321"/>
      <c r="B1855" s="320" t="s">
        <v>2687</v>
      </c>
      <c r="C1855" s="153"/>
      <c r="D1855" s="154"/>
      <c r="E1855" s="154"/>
      <c r="F1855" s="154"/>
      <c r="G1855" s="154"/>
      <c r="H1855" s="154"/>
      <c r="I1855" s="154"/>
      <c r="J1855" s="154"/>
      <c r="K1855" s="154"/>
      <c r="L1855" s="154"/>
      <c r="M1855" s="154">
        <v>118</v>
      </c>
      <c r="N1855" s="154"/>
      <c r="O1855" s="154"/>
    </row>
    <row r="1856" spans="1:15" x14ac:dyDescent="0.35">
      <c r="A1856" s="321"/>
      <c r="B1856" s="320" t="s">
        <v>2711</v>
      </c>
      <c r="C1856" s="153"/>
      <c r="D1856" s="154"/>
      <c r="E1856" s="154"/>
      <c r="F1856" s="154"/>
      <c r="G1856" s="154"/>
      <c r="H1856" s="154"/>
      <c r="I1856" s="154"/>
      <c r="J1856" s="154"/>
      <c r="K1856" s="154"/>
      <c r="L1856" s="154"/>
      <c r="M1856" s="154">
        <v>10</v>
      </c>
      <c r="N1856" s="154"/>
      <c r="O1856" s="154"/>
    </row>
    <row r="1857" spans="1:15" x14ac:dyDescent="0.35">
      <c r="A1857" s="321"/>
      <c r="B1857" s="320"/>
      <c r="C1857" s="153"/>
      <c r="D1857" s="154"/>
      <c r="E1857" s="154"/>
      <c r="F1857" s="154"/>
      <c r="G1857" s="154"/>
      <c r="H1857" s="154"/>
      <c r="I1857" s="154"/>
      <c r="J1857" s="154"/>
      <c r="K1857" s="154"/>
      <c r="L1857" s="156"/>
      <c r="M1857" s="154"/>
      <c r="N1857" s="154"/>
      <c r="O1857" s="154"/>
    </row>
    <row r="1858" spans="1:15" x14ac:dyDescent="0.35">
      <c r="A1858" s="321"/>
      <c r="B1858" s="318" t="s">
        <v>377</v>
      </c>
      <c r="C1858" s="158" t="s">
        <v>402</v>
      </c>
      <c r="D1858" s="158"/>
      <c r="E1858" s="158"/>
      <c r="F1858" s="158"/>
      <c r="G1858" s="158"/>
      <c r="H1858" s="158"/>
      <c r="I1858" s="158"/>
      <c r="J1858" s="158"/>
      <c r="K1858" s="158"/>
      <c r="L1858" s="158"/>
      <c r="M1858" s="158">
        <f>SUM(M1854:M1857)</f>
        <v>3078</v>
      </c>
      <c r="N1858" s="158"/>
      <c r="O1858" s="158"/>
    </row>
    <row r="1859" spans="1:15" ht="42" x14ac:dyDescent="0.35">
      <c r="A1859" s="323" t="str">
        <f>ORÇAMENTO!A302</f>
        <v>5.1.1.1.11</v>
      </c>
      <c r="B1859" s="322" t="str">
        <f>VLOOKUP(A1859,ORÇAMENTO!$A:$F,4,0)</f>
        <v>BALIZADOR CÔNICO REFLETIVO EM POLIETILENO SEMIFLEXÍVEL DE 114 X 11 X 40 CM - UTILIZAÇÃO DE 150 CICLOS - FORNECIMENTO, 01 IMPLANTAÇÃO E 01 RETIRADA DIÁRIA</v>
      </c>
      <c r="C1859" s="149" t="str">
        <f>VLOOKUP(A1859,ORÇAMENTO!$A:$F,5,0)</f>
        <v>UN.DIA</v>
      </c>
      <c r="D1859" s="149">
        <f>SUM(E1866:O1866)</f>
        <v>3078</v>
      </c>
      <c r="E1859" s="149" t="s">
        <v>2149</v>
      </c>
      <c r="F1859" s="149" t="s">
        <v>2150</v>
      </c>
      <c r="G1859" s="149" t="s">
        <v>2151</v>
      </c>
      <c r="H1859" s="149" t="s">
        <v>2152</v>
      </c>
      <c r="I1859" s="149" t="s">
        <v>2153</v>
      </c>
      <c r="J1859" s="149" t="s">
        <v>2154</v>
      </c>
      <c r="K1859" s="149" t="s">
        <v>2155</v>
      </c>
      <c r="L1859" s="149" t="s">
        <v>2156</v>
      </c>
      <c r="M1859" s="149" t="s">
        <v>413</v>
      </c>
      <c r="N1859" s="149" t="s">
        <v>2157</v>
      </c>
      <c r="O1859" s="149" t="s">
        <v>2158</v>
      </c>
    </row>
    <row r="1860" spans="1:15" x14ac:dyDescent="0.35">
      <c r="A1860" s="321"/>
      <c r="B1860" s="320"/>
      <c r="C1860" s="153"/>
      <c r="D1860" s="154"/>
      <c r="E1860" s="154"/>
      <c r="F1860" s="154"/>
      <c r="G1860" s="154"/>
      <c r="H1860" s="154"/>
      <c r="I1860" s="154"/>
      <c r="J1860" s="154"/>
      <c r="K1860" s="154"/>
      <c r="L1860" s="154"/>
      <c r="M1860" s="154"/>
      <c r="N1860" s="154"/>
      <c r="O1860" s="154"/>
    </row>
    <row r="1861" spans="1:15" x14ac:dyDescent="0.35">
      <c r="A1861" s="321"/>
      <c r="B1861" s="320"/>
      <c r="C1861" s="153"/>
      <c r="D1861" s="154"/>
      <c r="E1861" s="154"/>
      <c r="F1861" s="154"/>
      <c r="G1861" s="154"/>
      <c r="H1861" s="154"/>
      <c r="I1861" s="154"/>
      <c r="J1861" s="154"/>
      <c r="K1861" s="154"/>
      <c r="L1861" s="154"/>
      <c r="M1861" s="154"/>
      <c r="N1861" s="154"/>
      <c r="O1861" s="154"/>
    </row>
    <row r="1862" spans="1:15" x14ac:dyDescent="0.35">
      <c r="A1862" s="321"/>
      <c r="B1862" s="320" t="s">
        <v>2339</v>
      </c>
      <c r="C1862" s="153"/>
      <c r="D1862" s="154"/>
      <c r="E1862" s="154"/>
      <c r="F1862" s="154"/>
      <c r="G1862" s="154"/>
      <c r="H1862" s="154"/>
      <c r="I1862" s="154"/>
      <c r="J1862" s="154"/>
      <c r="K1862" s="154"/>
      <c r="L1862" s="154"/>
      <c r="M1862" s="154">
        <v>2950</v>
      </c>
      <c r="N1862" s="154"/>
      <c r="O1862" s="154"/>
    </row>
    <row r="1863" spans="1:15" x14ac:dyDescent="0.35">
      <c r="A1863" s="321"/>
      <c r="B1863" s="320" t="s">
        <v>2687</v>
      </c>
      <c r="C1863" s="153"/>
      <c r="D1863" s="154"/>
      <c r="E1863" s="154"/>
      <c r="F1863" s="154"/>
      <c r="G1863" s="154"/>
      <c r="H1863" s="154"/>
      <c r="I1863" s="154"/>
      <c r="J1863" s="154"/>
      <c r="K1863" s="154"/>
      <c r="L1863" s="154"/>
      <c r="M1863" s="154">
        <v>118</v>
      </c>
      <c r="N1863" s="154"/>
      <c r="O1863" s="154"/>
    </row>
    <row r="1864" spans="1:15" x14ac:dyDescent="0.35">
      <c r="A1864" s="321"/>
      <c r="B1864" s="320" t="s">
        <v>2711</v>
      </c>
      <c r="C1864" s="153"/>
      <c r="D1864" s="154"/>
      <c r="E1864" s="154"/>
      <c r="F1864" s="154"/>
      <c r="G1864" s="154"/>
      <c r="H1864" s="154"/>
      <c r="I1864" s="154"/>
      <c r="J1864" s="154"/>
      <c r="K1864" s="154"/>
      <c r="L1864" s="154"/>
      <c r="M1864" s="154">
        <v>10</v>
      </c>
      <c r="N1864" s="154"/>
      <c r="O1864" s="154"/>
    </row>
    <row r="1865" spans="1:15" x14ac:dyDescent="0.35">
      <c r="A1865" s="321"/>
      <c r="B1865" s="320"/>
      <c r="C1865" s="153"/>
      <c r="D1865" s="154"/>
      <c r="E1865" s="154"/>
      <c r="F1865" s="154"/>
      <c r="G1865" s="154"/>
      <c r="H1865" s="154"/>
      <c r="I1865" s="154"/>
      <c r="J1865" s="154"/>
      <c r="K1865" s="154"/>
      <c r="L1865" s="156"/>
      <c r="M1865" s="154"/>
      <c r="N1865" s="154"/>
      <c r="O1865" s="154"/>
    </row>
    <row r="1866" spans="1:15" x14ac:dyDescent="0.35">
      <c r="A1866" s="321"/>
      <c r="B1866" s="318" t="s">
        <v>377</v>
      </c>
      <c r="C1866" s="158" t="s">
        <v>402</v>
      </c>
      <c r="D1866" s="158"/>
      <c r="E1866" s="158"/>
      <c r="F1866" s="158"/>
      <c r="G1866" s="158"/>
      <c r="H1866" s="158"/>
      <c r="I1866" s="158"/>
      <c r="J1866" s="158"/>
      <c r="K1866" s="158"/>
      <c r="L1866" s="158"/>
      <c r="M1866" s="158">
        <f>SUM(M1862:M1865)</f>
        <v>3078</v>
      </c>
      <c r="N1866" s="158"/>
      <c r="O1866" s="158"/>
    </row>
    <row r="1867" spans="1:15" ht="21" x14ac:dyDescent="0.35">
      <c r="A1867" s="351"/>
      <c r="B1867" s="350" t="str">
        <f>ORÇAMENTO!D303</f>
        <v>DEMOLIÇÕES E RECOMPOSIÇÕES DE PAVIMENTAÇÃO FLEXIVEL</v>
      </c>
      <c r="C1867" s="349"/>
      <c r="D1867" s="349"/>
      <c r="E1867" s="349"/>
      <c r="F1867" s="349"/>
      <c r="G1867" s="349"/>
      <c r="H1867" s="349"/>
      <c r="I1867" s="349"/>
      <c r="J1867" s="349"/>
      <c r="K1867" s="349"/>
      <c r="L1867" s="349"/>
      <c r="M1867" s="349"/>
      <c r="N1867" s="349"/>
      <c r="O1867" s="349"/>
    </row>
    <row r="1868" spans="1:15" ht="31.5" x14ac:dyDescent="0.35">
      <c r="A1868" s="323" t="str">
        <f>ORÇAMENTO!A304</f>
        <v>5.1.1.2.1</v>
      </c>
      <c r="B1868" s="322" t="str">
        <f>VLOOKUP(A1868,ORÇAMENTO!$A:$F,4,0)</f>
        <v>DEMOLIÇÃO PARCIAL DE PAVIMENTO ASFÁLTICO, DE FORMA MECANIZADA, SEM REAPROVEITAMENTO. AF_09/2023</v>
      </c>
      <c r="C1868" s="149" t="str">
        <f>VLOOKUP(A1868,ORÇAMENTO!$A:$F,5,0)</f>
        <v>M²</v>
      </c>
      <c r="D1868" s="149">
        <f>SUM(E1874:O1874)</f>
        <v>3579.2579999999994</v>
      </c>
      <c r="E1868" s="149" t="s">
        <v>2149</v>
      </c>
      <c r="F1868" s="149" t="s">
        <v>2150</v>
      </c>
      <c r="G1868" s="149" t="s">
        <v>2151</v>
      </c>
      <c r="H1868" s="149" t="s">
        <v>2152</v>
      </c>
      <c r="I1868" s="149" t="s">
        <v>2153</v>
      </c>
      <c r="J1868" s="149" t="s">
        <v>2154</v>
      </c>
      <c r="K1868" s="149" t="s">
        <v>2155</v>
      </c>
      <c r="L1868" s="149" t="s">
        <v>2156</v>
      </c>
      <c r="M1868" s="149" t="s">
        <v>413</v>
      </c>
      <c r="N1868" s="149" t="s">
        <v>2157</v>
      </c>
      <c r="O1868" s="149" t="s">
        <v>2158</v>
      </c>
    </row>
    <row r="1869" spans="1:15" x14ac:dyDescent="0.35">
      <c r="A1869" s="321"/>
      <c r="B1869" s="320" t="s">
        <v>2168</v>
      </c>
      <c r="C1869" s="160"/>
      <c r="D1869" s="161"/>
      <c r="E1869" s="161"/>
      <c r="F1869" s="161"/>
      <c r="G1869" s="161"/>
      <c r="H1869" s="161"/>
      <c r="I1869" s="161"/>
      <c r="J1869" s="161"/>
      <c r="K1869" s="161"/>
      <c r="L1869" s="161"/>
      <c r="M1869" s="161"/>
      <c r="N1869" s="161">
        <f>Quantitativos!AA106</f>
        <v>2510.1280000000002</v>
      </c>
      <c r="O1869" s="161"/>
    </row>
    <row r="1870" spans="1:15" ht="21" x14ac:dyDescent="0.35">
      <c r="A1870" s="321"/>
      <c r="B1870" s="320" t="s">
        <v>2169</v>
      </c>
      <c r="C1870" s="160"/>
      <c r="D1870" s="161"/>
      <c r="E1870" s="161"/>
      <c r="F1870" s="161"/>
      <c r="G1870" s="161"/>
      <c r="H1870" s="161"/>
      <c r="I1870" s="161"/>
      <c r="J1870" s="161"/>
      <c r="K1870" s="161"/>
      <c r="L1870" s="161"/>
      <c r="M1870" s="161"/>
      <c r="N1870" s="161">
        <f>QUANTBL!O221</f>
        <v>831.12999999999965</v>
      </c>
      <c r="O1870" s="161"/>
    </row>
    <row r="1871" spans="1:15" ht="21" x14ac:dyDescent="0.35">
      <c r="A1871" s="321"/>
      <c r="B1871" s="320" t="s">
        <v>2170</v>
      </c>
      <c r="C1871" s="160"/>
      <c r="D1871" s="161"/>
      <c r="E1871" s="161"/>
      <c r="F1871" s="161"/>
      <c r="G1871" s="161"/>
      <c r="H1871" s="161"/>
      <c r="I1871" s="161"/>
      <c r="J1871" s="161"/>
      <c r="K1871" s="161"/>
      <c r="L1871" s="161"/>
      <c r="M1871" s="161"/>
      <c r="N1871" s="161">
        <f>QUANTBL!CY221</f>
        <v>237.9999999999996</v>
      </c>
      <c r="O1871" s="161"/>
    </row>
    <row r="1872" spans="1:15" x14ac:dyDescent="0.35">
      <c r="A1872" s="321"/>
      <c r="B1872" s="318" t="s">
        <v>2171</v>
      </c>
      <c r="C1872" s="153"/>
      <c r="D1872" s="154"/>
      <c r="E1872" s="154"/>
      <c r="F1872" s="154"/>
      <c r="G1872" s="154"/>
      <c r="H1872" s="154">
        <v>0.03</v>
      </c>
      <c r="I1872" s="154"/>
      <c r="J1872" s="154"/>
      <c r="K1872" s="154"/>
      <c r="L1872" s="154"/>
      <c r="M1872" s="154"/>
      <c r="N1872" s="154"/>
      <c r="O1872" s="154"/>
    </row>
    <row r="1873" spans="1:15" x14ac:dyDescent="0.35">
      <c r="A1873" s="321"/>
      <c r="B1873" s="320"/>
      <c r="C1873" s="153"/>
      <c r="D1873" s="154"/>
      <c r="E1873" s="154"/>
      <c r="F1873" s="154"/>
      <c r="G1873" s="154"/>
      <c r="H1873" s="154"/>
      <c r="I1873" s="154"/>
      <c r="J1873" s="154"/>
      <c r="K1873" s="154"/>
      <c r="L1873" s="156"/>
      <c r="M1873" s="154"/>
      <c r="N1873" s="154"/>
      <c r="O1873" s="154"/>
    </row>
    <row r="1874" spans="1:15" x14ac:dyDescent="0.35">
      <c r="A1874" s="321"/>
      <c r="B1874" s="318" t="s">
        <v>377</v>
      </c>
      <c r="C1874" s="158" t="s">
        <v>402</v>
      </c>
      <c r="D1874" s="158"/>
      <c r="E1874" s="158"/>
      <c r="F1874" s="158"/>
      <c r="G1874" s="158"/>
      <c r="H1874" s="158"/>
      <c r="I1874" s="158"/>
      <c r="J1874" s="158"/>
      <c r="K1874" s="158"/>
      <c r="L1874" s="158"/>
      <c r="M1874" s="158"/>
      <c r="N1874" s="158">
        <f>SUM(N1869:N1873)</f>
        <v>3579.2579999999994</v>
      </c>
      <c r="O1874" s="158"/>
    </row>
    <row r="1875" spans="1:15" ht="52.5" x14ac:dyDescent="0.35">
      <c r="A1875" s="323" t="str">
        <f>ORÇAMENTO!A305</f>
        <v>5.1.1.2.2</v>
      </c>
      <c r="B1875" s="322" t="str">
        <f>VLOOKUP(A1875,ORÇAMENTO!$A:$F,4,0)</f>
        <v>CARGA, MANOBRA E DESCARGA DE ENTULHO EM CAMINHÃO BASCULANTE 14 M³ - CARGA COM ESCAVADEIRA HIDRÁULICA  (CAÇAMBA DE 0,80 M³ / 111 HP) E DESCARGA LIVRE (UNIDADE: M3). AF_07/2020</v>
      </c>
      <c r="C1875" s="149" t="str">
        <f>VLOOKUP(A1875,ORÇAMENTO!$A:$F,5,0)</f>
        <v>M³</v>
      </c>
      <c r="D1875" s="149">
        <f>SUM(E1879:O1879)</f>
        <v>107.37773999999997</v>
      </c>
      <c r="E1875" s="149" t="s">
        <v>2149</v>
      </c>
      <c r="F1875" s="149" t="s">
        <v>2150</v>
      </c>
      <c r="G1875" s="149" t="s">
        <v>2151</v>
      </c>
      <c r="H1875" s="149" t="s">
        <v>2152</v>
      </c>
      <c r="I1875" s="149" t="s">
        <v>2153</v>
      </c>
      <c r="J1875" s="149" t="s">
        <v>2154</v>
      </c>
      <c r="K1875" s="149" t="s">
        <v>2155</v>
      </c>
      <c r="L1875" s="149" t="s">
        <v>2156</v>
      </c>
      <c r="M1875" s="149" t="s">
        <v>413</v>
      </c>
      <c r="N1875" s="149" t="s">
        <v>2157</v>
      </c>
      <c r="O1875" s="149" t="s">
        <v>2158</v>
      </c>
    </row>
    <row r="1876" spans="1:15" x14ac:dyDescent="0.35">
      <c r="A1876" s="321"/>
      <c r="B1876" s="320" t="s">
        <v>2279</v>
      </c>
      <c r="C1876" s="160"/>
      <c r="D1876" s="161"/>
      <c r="E1876" s="161"/>
      <c r="F1876" s="161"/>
      <c r="G1876" s="161"/>
      <c r="H1876" s="161"/>
      <c r="I1876" s="161"/>
      <c r="J1876" s="161"/>
      <c r="K1876" s="161"/>
      <c r="L1876" s="161"/>
      <c r="M1876" s="161"/>
      <c r="N1876" s="161">
        <f>N1874</f>
        <v>3579.2579999999994</v>
      </c>
      <c r="O1876" s="161"/>
    </row>
    <row r="1877" spans="1:15" x14ac:dyDescent="0.35">
      <c r="A1877" s="321"/>
      <c r="B1877" s="318" t="s">
        <v>2171</v>
      </c>
      <c r="C1877" s="153"/>
      <c r="D1877" s="154"/>
      <c r="E1877" s="154"/>
      <c r="F1877" s="154"/>
      <c r="G1877" s="154"/>
      <c r="H1877" s="154">
        <f>H1872</f>
        <v>0.03</v>
      </c>
      <c r="I1877" s="154"/>
      <c r="J1877" s="154"/>
      <c r="K1877" s="154"/>
      <c r="L1877" s="154"/>
      <c r="M1877" s="154"/>
      <c r="N1877" s="154"/>
      <c r="O1877" s="154">
        <f>H1877*N1876</f>
        <v>107.37773999999997</v>
      </c>
    </row>
    <row r="1878" spans="1:15" x14ac:dyDescent="0.35">
      <c r="A1878" s="321"/>
      <c r="B1878" s="320"/>
      <c r="C1878" s="153"/>
      <c r="D1878" s="154"/>
      <c r="E1878" s="154"/>
      <c r="F1878" s="154"/>
      <c r="G1878" s="154"/>
      <c r="H1878" s="154"/>
      <c r="I1878" s="154"/>
      <c r="J1878" s="154"/>
      <c r="K1878" s="154"/>
      <c r="L1878" s="156"/>
      <c r="M1878" s="154"/>
      <c r="N1878" s="154"/>
      <c r="O1878" s="325"/>
    </row>
    <row r="1879" spans="1:15" x14ac:dyDescent="0.35">
      <c r="A1879" s="321"/>
      <c r="B1879" s="318" t="s">
        <v>377</v>
      </c>
      <c r="C1879" s="158" t="s">
        <v>402</v>
      </c>
      <c r="D1879" s="158"/>
      <c r="E1879" s="158"/>
      <c r="F1879" s="158"/>
      <c r="G1879" s="158"/>
      <c r="H1879" s="158"/>
      <c r="I1879" s="158"/>
      <c r="J1879" s="158"/>
      <c r="K1879" s="158"/>
      <c r="L1879" s="158"/>
      <c r="M1879" s="158"/>
      <c r="N1879" s="158"/>
      <c r="O1879" s="158">
        <f>SUM(O1877:O1877)</f>
        <v>107.37773999999997</v>
      </c>
    </row>
    <row r="1880" spans="1:15" ht="31.5" x14ac:dyDescent="0.35">
      <c r="A1880" s="323" t="str">
        <f>ORÇAMENTO!A306</f>
        <v>5.1.1.2.3</v>
      </c>
      <c r="B1880" s="322" t="str">
        <f>VLOOKUP(A1880,ORÇAMENTO!$A:$F,4,0)</f>
        <v>TRANSPORTE COM CAMINHÃO BASCULANTE DE 14 M³, EM VIA URBANA PAVIMENTADA, DMT ATÉ 30 KM (UNIDADE: M3XKM). AF_07/2020</v>
      </c>
      <c r="C1880" s="149" t="str">
        <f>VLOOKUP(A1880,ORÇAMENTO!$A:$F,5,0)</f>
        <v>M3XKM</v>
      </c>
      <c r="D1880" s="149">
        <f>SUM(E1884:O1884)</f>
        <v>3221.3321999999994</v>
      </c>
      <c r="E1880" s="149" t="s">
        <v>2174</v>
      </c>
      <c r="F1880" s="149" t="s">
        <v>2150</v>
      </c>
      <c r="G1880" s="149" t="s">
        <v>2151</v>
      </c>
      <c r="H1880" s="149" t="s">
        <v>2152</v>
      </c>
      <c r="I1880" s="149" t="s">
        <v>2153</v>
      </c>
      <c r="J1880" s="149" t="s">
        <v>2154</v>
      </c>
      <c r="K1880" s="149" t="s">
        <v>2172</v>
      </c>
      <c r="L1880" s="149" t="s">
        <v>2156</v>
      </c>
      <c r="M1880" s="149" t="s">
        <v>2175</v>
      </c>
      <c r="N1880" s="149" t="s">
        <v>2157</v>
      </c>
      <c r="O1880" s="149" t="s">
        <v>2158</v>
      </c>
    </row>
    <row r="1881" spans="1:15" x14ac:dyDescent="0.35">
      <c r="A1881" s="321"/>
      <c r="B1881" s="320"/>
      <c r="C1881" s="160"/>
      <c r="D1881" s="161"/>
      <c r="E1881" s="161"/>
      <c r="F1881" s="161"/>
      <c r="G1881" s="161"/>
      <c r="H1881" s="161"/>
      <c r="I1881" s="161"/>
      <c r="J1881" s="161"/>
      <c r="K1881" s="161"/>
      <c r="L1881" s="161"/>
      <c r="M1881" s="161"/>
      <c r="N1881" s="161"/>
      <c r="O1881" s="161"/>
    </row>
    <row r="1882" spans="1:15" x14ac:dyDescent="0.35">
      <c r="A1882" s="321"/>
      <c r="B1882" s="318" t="s">
        <v>2698</v>
      </c>
      <c r="C1882" s="160"/>
      <c r="D1882" s="161"/>
      <c r="E1882" s="161">
        <v>30</v>
      </c>
      <c r="F1882" s="161"/>
      <c r="G1882" s="161"/>
      <c r="H1882" s="161"/>
      <c r="I1882" s="161"/>
      <c r="J1882" s="161"/>
      <c r="K1882" s="161"/>
      <c r="L1882" s="161"/>
      <c r="M1882" s="161">
        <f>E1882*O1882</f>
        <v>3221.3321999999994</v>
      </c>
      <c r="N1882" s="161"/>
      <c r="O1882" s="161">
        <f>O1879</f>
        <v>107.37773999999997</v>
      </c>
    </row>
    <row r="1883" spans="1:15" x14ac:dyDescent="0.35">
      <c r="A1883" s="321"/>
      <c r="B1883" s="320"/>
      <c r="C1883" s="160"/>
      <c r="D1883" s="161"/>
      <c r="E1883" s="161"/>
      <c r="F1883" s="161"/>
      <c r="G1883" s="161"/>
      <c r="H1883" s="161"/>
      <c r="I1883" s="161"/>
      <c r="J1883" s="161"/>
      <c r="K1883" s="161"/>
      <c r="L1883" s="162"/>
      <c r="M1883" s="161"/>
      <c r="N1883" s="161"/>
      <c r="O1883" s="161"/>
    </row>
    <row r="1884" spans="1:15" x14ac:dyDescent="0.35">
      <c r="A1884" s="321"/>
      <c r="B1884" s="318" t="s">
        <v>377</v>
      </c>
      <c r="C1884" s="158" t="s">
        <v>402</v>
      </c>
      <c r="D1884" s="158"/>
      <c r="E1884" s="158"/>
      <c r="F1884" s="158"/>
      <c r="G1884" s="158"/>
      <c r="H1884" s="158"/>
      <c r="I1884" s="158"/>
      <c r="J1884" s="158"/>
      <c r="K1884" s="158"/>
      <c r="L1884" s="158"/>
      <c r="M1884" s="158">
        <f>SUM(M1882:M1883)</f>
        <v>3221.3321999999994</v>
      </c>
      <c r="N1884" s="158"/>
      <c r="O1884" s="158"/>
    </row>
    <row r="1885" spans="1:15" ht="42" x14ac:dyDescent="0.35">
      <c r="A1885" s="323" t="str">
        <f>ORÇAMENTO!A307</f>
        <v>5.1.1.2.4</v>
      </c>
      <c r="B1885" s="322" t="str">
        <f>VLOOKUP(A1885,ORÇAMENTO!$A:$F,4,0)</f>
        <v>TRANSPORTE COM CAMINHÃO BASCULANTE DE 14 M³, EM VIA URBANA PAVIMENTADA, ADICIONAL PARA DMT EXCEDENTE A 30 KM (UNIDADE: M3XKM). AF_07/2020</v>
      </c>
      <c r="C1885" s="149" t="str">
        <f>VLOOKUP(A1885,ORÇAMENTO!$A:$F,5,0)</f>
        <v>M3XKM</v>
      </c>
      <c r="D1885" s="149">
        <f>SUM(E1888:O1888)</f>
        <v>4810.5227519999989</v>
      </c>
      <c r="E1885" s="149" t="s">
        <v>2177</v>
      </c>
      <c r="F1885" s="149" t="s">
        <v>2150</v>
      </c>
      <c r="G1885" s="149" t="s">
        <v>2151</v>
      </c>
      <c r="H1885" s="149" t="s">
        <v>2152</v>
      </c>
      <c r="I1885" s="149" t="s">
        <v>2153</v>
      </c>
      <c r="J1885" s="149" t="s">
        <v>2154</v>
      </c>
      <c r="K1885" s="149" t="s">
        <v>2172</v>
      </c>
      <c r="L1885" s="149" t="s">
        <v>2178</v>
      </c>
      <c r="M1885" s="149" t="s">
        <v>2175</v>
      </c>
      <c r="N1885" s="149" t="s">
        <v>2157</v>
      </c>
      <c r="O1885" s="149" t="s">
        <v>2158</v>
      </c>
    </row>
    <row r="1886" spans="1:15" x14ac:dyDescent="0.35">
      <c r="A1886" s="321"/>
      <c r="B1886" s="318" t="str">
        <f>B1882</f>
        <v>TRANSPORTE ATÉ ATERRO SAMAMBAIA - D=75KM</v>
      </c>
      <c r="C1886" s="153"/>
      <c r="D1886" s="154"/>
      <c r="E1886" s="154">
        <f>74.8-E1882</f>
        <v>44.8</v>
      </c>
      <c r="F1886" s="154"/>
      <c r="G1886" s="154"/>
      <c r="H1886" s="154"/>
      <c r="I1886" s="154"/>
      <c r="J1886" s="154"/>
      <c r="K1886" s="154"/>
      <c r="L1886" s="165"/>
      <c r="M1886" s="154">
        <f>E1886*O1886</f>
        <v>4810.5227519999989</v>
      </c>
      <c r="N1886" s="154"/>
      <c r="O1886" s="154">
        <f>O1882</f>
        <v>107.37773999999997</v>
      </c>
    </row>
    <row r="1887" spans="1:15" x14ac:dyDescent="0.35">
      <c r="A1887" s="321"/>
      <c r="B1887" s="320"/>
      <c r="C1887" s="153"/>
      <c r="D1887" s="154"/>
      <c r="E1887" s="154"/>
      <c r="F1887" s="154"/>
      <c r="G1887" s="154"/>
      <c r="H1887" s="154"/>
      <c r="I1887" s="154"/>
      <c r="J1887" s="154"/>
      <c r="K1887" s="154"/>
      <c r="L1887" s="165"/>
      <c r="M1887" s="154"/>
      <c r="N1887" s="154"/>
      <c r="O1887" s="154"/>
    </row>
    <row r="1888" spans="1:15" x14ac:dyDescent="0.35">
      <c r="A1888" s="321"/>
      <c r="B1888" s="318" t="s">
        <v>377</v>
      </c>
      <c r="C1888" s="158" t="s">
        <v>402</v>
      </c>
      <c r="D1888" s="158"/>
      <c r="E1888" s="158"/>
      <c r="F1888" s="158"/>
      <c r="G1888" s="158"/>
      <c r="H1888" s="158"/>
      <c r="I1888" s="158"/>
      <c r="J1888" s="158"/>
      <c r="K1888" s="158"/>
      <c r="L1888" s="158"/>
      <c r="M1888" s="158">
        <f>SUM(M1886)</f>
        <v>4810.5227519999989</v>
      </c>
      <c r="N1888" s="158"/>
      <c r="O1888" s="158"/>
    </row>
    <row r="1889" spans="1:15" ht="21" x14ac:dyDescent="0.35">
      <c r="A1889" s="323" t="str">
        <f>ORÇAMENTO!A309</f>
        <v>5.1.1.3.1</v>
      </c>
      <c r="B1889" s="322" t="str">
        <f>VLOOKUP(A1889,ORÇAMENTO!$A:$F,4,0)</f>
        <v>DEMOLIÇÃO MANUAL DE CONCRETO ARMADO</v>
      </c>
      <c r="C1889" s="149" t="str">
        <f>VLOOKUP(A1889,ORÇAMENTO!$A:$F,5,0)</f>
        <v>M³</v>
      </c>
      <c r="D1889" s="149">
        <f>SUM(E1893:O1893)</f>
        <v>96.234305887302895</v>
      </c>
      <c r="E1889" s="149" t="s">
        <v>2149</v>
      </c>
      <c r="F1889" s="149" t="s">
        <v>2150</v>
      </c>
      <c r="G1889" s="149" t="s">
        <v>2151</v>
      </c>
      <c r="H1889" s="149" t="s">
        <v>2152</v>
      </c>
      <c r="I1889" s="149" t="s">
        <v>2153</v>
      </c>
      <c r="J1889" s="149" t="s">
        <v>2154</v>
      </c>
      <c r="K1889" s="149" t="s">
        <v>2155</v>
      </c>
      <c r="L1889" s="149" t="s">
        <v>2156</v>
      </c>
      <c r="M1889" s="149" t="s">
        <v>2160</v>
      </c>
      <c r="N1889" s="149" t="s">
        <v>2157</v>
      </c>
      <c r="O1889" s="149" t="s">
        <v>2158</v>
      </c>
    </row>
    <row r="1890" spans="1:15" x14ac:dyDescent="0.35">
      <c r="A1890" s="321"/>
      <c r="B1890" s="320"/>
      <c r="C1890" s="160"/>
      <c r="D1890" s="161"/>
      <c r="E1890" s="161"/>
      <c r="F1890" s="161"/>
      <c r="G1890" s="161"/>
      <c r="H1890" s="161"/>
      <c r="I1890" s="161"/>
      <c r="J1890" s="161"/>
      <c r="K1890" s="161"/>
      <c r="L1890" s="161"/>
      <c r="M1890" s="161"/>
      <c r="N1890" s="161"/>
      <c r="O1890" s="161"/>
    </row>
    <row r="1891" spans="1:15" ht="21" x14ac:dyDescent="0.35">
      <c r="A1891" s="321"/>
      <c r="B1891" s="320" t="s">
        <v>2179</v>
      </c>
      <c r="C1891" s="160"/>
      <c r="D1891" s="161"/>
      <c r="E1891" s="161"/>
      <c r="F1891" s="161"/>
      <c r="G1891" s="161"/>
      <c r="H1891" s="161"/>
      <c r="I1891" s="161"/>
      <c r="J1891" s="161"/>
      <c r="K1891" s="161"/>
      <c r="L1891" s="161"/>
      <c r="M1891" s="161"/>
      <c r="N1891" s="161"/>
      <c r="O1891" s="161">
        <f>'Planilha Hidráulica'!AA115</f>
        <v>96.234305887302895</v>
      </c>
    </row>
    <row r="1892" spans="1:15" x14ac:dyDescent="0.35">
      <c r="A1892" s="321"/>
      <c r="B1892" s="320"/>
      <c r="C1892" s="160"/>
      <c r="D1892" s="161"/>
      <c r="E1892" s="161"/>
      <c r="F1892" s="161"/>
      <c r="G1892" s="161"/>
      <c r="H1892" s="161"/>
      <c r="I1892" s="161"/>
      <c r="J1892" s="161"/>
      <c r="K1892" s="161"/>
      <c r="L1892" s="162"/>
      <c r="M1892" s="161"/>
      <c r="N1892" s="161"/>
      <c r="O1892" s="161"/>
    </row>
    <row r="1893" spans="1:15" x14ac:dyDescent="0.35">
      <c r="A1893" s="321"/>
      <c r="B1893" s="318" t="s">
        <v>377</v>
      </c>
      <c r="C1893" s="158" t="s">
        <v>402</v>
      </c>
      <c r="D1893" s="158"/>
      <c r="E1893" s="158"/>
      <c r="F1893" s="158"/>
      <c r="G1893" s="158"/>
      <c r="H1893" s="158"/>
      <c r="I1893" s="158"/>
      <c r="J1893" s="158"/>
      <c r="K1893" s="158"/>
      <c r="L1893" s="158"/>
      <c r="M1893" s="158"/>
      <c r="N1893" s="158"/>
      <c r="O1893" s="158">
        <f>SUM(O1891:O1892)</f>
        <v>96.234305887302895</v>
      </c>
    </row>
    <row r="1894" spans="1:15" ht="52.5" x14ac:dyDescent="0.35">
      <c r="A1894" s="323" t="str">
        <f>ORÇAMENTO!A310</f>
        <v>5.1.1.3.2</v>
      </c>
      <c r="B1894" s="322" t="str">
        <f>VLOOKUP(A1894,ORÇAMENTO!$A:$F,4,0)</f>
        <v>CARGA, MANOBRA E DESCARGA DE ENTULHO EM CAMINHÃO BASCULANTE 14 M³ - CARGA COM ESCAVADEIRA HIDRÁULICA  (CAÇAMBA DE 0,80 M³ / 111 HP) E DESCARGA LIVRE (UNIDADE: M3). AF_07/2020</v>
      </c>
      <c r="C1894" s="149" t="str">
        <f>VLOOKUP(A1894,ORÇAMENTO!$A:$F,5,0)</f>
        <v>M³</v>
      </c>
      <c r="D1894" s="149">
        <f>SUM(E1898:O1898)</f>
        <v>96.234305887302895</v>
      </c>
      <c r="E1894" s="149" t="s">
        <v>2149</v>
      </c>
      <c r="F1894" s="149" t="s">
        <v>2150</v>
      </c>
      <c r="G1894" s="149" t="s">
        <v>2151</v>
      </c>
      <c r="H1894" s="149" t="s">
        <v>2152</v>
      </c>
      <c r="I1894" s="149" t="s">
        <v>2153</v>
      </c>
      <c r="J1894" s="149" t="s">
        <v>2154</v>
      </c>
      <c r="K1894" s="149" t="s">
        <v>2172</v>
      </c>
      <c r="L1894" s="149" t="s">
        <v>2180</v>
      </c>
      <c r="M1894" s="149" t="s">
        <v>2160</v>
      </c>
      <c r="N1894" s="149" t="s">
        <v>2157</v>
      </c>
      <c r="O1894" s="149" t="s">
        <v>2158</v>
      </c>
    </row>
    <row r="1895" spans="1:15" x14ac:dyDescent="0.35">
      <c r="A1895" s="321"/>
      <c r="B1895" s="320"/>
      <c r="C1895" s="160"/>
      <c r="D1895" s="161"/>
      <c r="E1895" s="161"/>
      <c r="F1895" s="161"/>
      <c r="G1895" s="161"/>
      <c r="H1895" s="161"/>
      <c r="I1895" s="161"/>
      <c r="J1895" s="161"/>
      <c r="K1895" s="161"/>
      <c r="L1895" s="161"/>
      <c r="M1895" s="161"/>
      <c r="N1895" s="161"/>
      <c r="O1895" s="161"/>
    </row>
    <row r="1896" spans="1:15" x14ac:dyDescent="0.35">
      <c r="A1896" s="321"/>
      <c r="B1896" s="320" t="s">
        <v>2161</v>
      </c>
      <c r="C1896" s="160"/>
      <c r="D1896" s="161"/>
      <c r="E1896" s="161"/>
      <c r="F1896" s="161"/>
      <c r="G1896" s="161"/>
      <c r="H1896" s="161"/>
      <c r="I1896" s="166"/>
      <c r="J1896" s="161"/>
      <c r="K1896" s="161"/>
      <c r="L1896" s="161"/>
      <c r="M1896" s="161"/>
      <c r="N1896" s="161"/>
      <c r="O1896" s="161">
        <f>O1891</f>
        <v>96.234305887302895</v>
      </c>
    </row>
    <row r="1897" spans="1:15" x14ac:dyDescent="0.35">
      <c r="A1897" s="321"/>
      <c r="B1897" s="320"/>
      <c r="C1897" s="160"/>
      <c r="D1897" s="161"/>
      <c r="E1897" s="161"/>
      <c r="F1897" s="161"/>
      <c r="G1897" s="161"/>
      <c r="H1897" s="161"/>
      <c r="I1897" s="161"/>
      <c r="J1897" s="161"/>
      <c r="K1897" s="161"/>
      <c r="L1897" s="162"/>
      <c r="M1897" s="161"/>
      <c r="N1897" s="161"/>
      <c r="O1897" s="161"/>
    </row>
    <row r="1898" spans="1:15" x14ac:dyDescent="0.35">
      <c r="A1898" s="321"/>
      <c r="B1898" s="318" t="s">
        <v>377</v>
      </c>
      <c r="C1898" s="158" t="s">
        <v>402</v>
      </c>
      <c r="D1898" s="158"/>
      <c r="E1898" s="158"/>
      <c r="F1898" s="158"/>
      <c r="G1898" s="158"/>
      <c r="H1898" s="158"/>
      <c r="I1898" s="158"/>
      <c r="J1898" s="158"/>
      <c r="K1898" s="158"/>
      <c r="L1898" s="158"/>
      <c r="M1898" s="158"/>
      <c r="N1898" s="158"/>
      <c r="O1898" s="158">
        <f>SUM(O1896:O1897)</f>
        <v>96.234305887302895</v>
      </c>
    </row>
    <row r="1899" spans="1:15" ht="31.5" x14ac:dyDescent="0.35">
      <c r="A1899" s="323" t="str">
        <f>ORÇAMENTO!A311</f>
        <v>5.1.1.3.3</v>
      </c>
      <c r="B1899" s="322" t="str">
        <f>VLOOKUP(A1899,ORÇAMENTO!$A:$F,4,0)</f>
        <v>TRANSPORTE COM CAMINHÃO BASCULANTE DE 14 M³, EM VIA URBANA PAVIMENTADA, DMT ATÉ 30 KM (UNIDADE: M3XKM). AF_07/2020</v>
      </c>
      <c r="C1899" s="149" t="str">
        <f>VLOOKUP(A1899,ORÇAMENTO!$A:$F,5,0)</f>
        <v>M3XKM</v>
      </c>
      <c r="D1899" s="149">
        <f>SUM(E1903:O1903)</f>
        <v>2887.0291766190867</v>
      </c>
      <c r="E1899" s="149" t="s">
        <v>2174</v>
      </c>
      <c r="F1899" s="149" t="s">
        <v>2150</v>
      </c>
      <c r="G1899" s="149" t="s">
        <v>2151</v>
      </c>
      <c r="H1899" s="149" t="s">
        <v>2152</v>
      </c>
      <c r="I1899" s="149" t="s">
        <v>2153</v>
      </c>
      <c r="J1899" s="149" t="s">
        <v>2154</v>
      </c>
      <c r="K1899" s="149" t="s">
        <v>2172</v>
      </c>
      <c r="L1899" s="149" t="s">
        <v>2156</v>
      </c>
      <c r="M1899" s="149" t="s">
        <v>2175</v>
      </c>
      <c r="N1899" s="149" t="s">
        <v>2157</v>
      </c>
      <c r="O1899" s="149" t="s">
        <v>2158</v>
      </c>
    </row>
    <row r="1900" spans="1:15" x14ac:dyDescent="0.35">
      <c r="A1900" s="321"/>
      <c r="B1900" s="320"/>
      <c r="C1900" s="160"/>
      <c r="D1900" s="161"/>
      <c r="E1900" s="161"/>
      <c r="F1900" s="161"/>
      <c r="G1900" s="161"/>
      <c r="H1900" s="161"/>
      <c r="I1900" s="161"/>
      <c r="J1900" s="161"/>
      <c r="K1900" s="161"/>
      <c r="L1900" s="161"/>
      <c r="M1900" s="161"/>
      <c r="N1900" s="161"/>
      <c r="O1900" s="161"/>
    </row>
    <row r="1901" spans="1:15" x14ac:dyDescent="0.35">
      <c r="A1901" s="321"/>
      <c r="B1901" s="318" t="s">
        <v>2698</v>
      </c>
      <c r="C1901" s="160"/>
      <c r="D1901" s="161"/>
      <c r="E1901" s="161">
        <v>30</v>
      </c>
      <c r="F1901" s="161"/>
      <c r="G1901" s="161"/>
      <c r="H1901" s="161"/>
      <c r="I1901" s="161"/>
      <c r="J1901" s="161"/>
      <c r="K1901" s="161"/>
      <c r="L1901" s="161"/>
      <c r="M1901" s="161">
        <f>O1901*E1901</f>
        <v>2887.0291766190867</v>
      </c>
      <c r="N1901" s="161"/>
      <c r="O1901" s="161">
        <f>O1898</f>
        <v>96.234305887302895</v>
      </c>
    </row>
    <row r="1902" spans="1:15" x14ac:dyDescent="0.35">
      <c r="A1902" s="321"/>
      <c r="B1902" s="320"/>
      <c r="C1902" s="160"/>
      <c r="D1902" s="161"/>
      <c r="E1902" s="161"/>
      <c r="F1902" s="161"/>
      <c r="G1902" s="161"/>
      <c r="H1902" s="161"/>
      <c r="I1902" s="161"/>
      <c r="J1902" s="161"/>
      <c r="K1902" s="161"/>
      <c r="L1902" s="162"/>
      <c r="M1902" s="161"/>
      <c r="N1902" s="161"/>
      <c r="O1902" s="161"/>
    </row>
    <row r="1903" spans="1:15" x14ac:dyDescent="0.35">
      <c r="A1903" s="321"/>
      <c r="B1903" s="318" t="s">
        <v>377</v>
      </c>
      <c r="C1903" s="158" t="s">
        <v>402</v>
      </c>
      <c r="D1903" s="158"/>
      <c r="E1903" s="158"/>
      <c r="F1903" s="158"/>
      <c r="G1903" s="158"/>
      <c r="H1903" s="158"/>
      <c r="I1903" s="158"/>
      <c r="J1903" s="158"/>
      <c r="K1903" s="158"/>
      <c r="L1903" s="158"/>
      <c r="M1903" s="158">
        <f>SUM(M1901:M1902)</f>
        <v>2887.0291766190867</v>
      </c>
      <c r="N1903" s="158"/>
      <c r="O1903" s="158"/>
    </row>
    <row r="1904" spans="1:15" ht="42" x14ac:dyDescent="0.35">
      <c r="A1904" s="323" t="str">
        <f>ORÇAMENTO!A312</f>
        <v>5.1.1.3.4</v>
      </c>
      <c r="B1904" s="322" t="str">
        <f>VLOOKUP(A1904,ORÇAMENTO!$A:$F,4,0)</f>
        <v>TRANSPORTE COM CAMINHÃO BASCULANTE DE 14 M³, EM VIA URBANA PAVIMENTADA, ADICIONAL PARA DMT EXCEDENTE A 30 KM (UNIDADE: M3XKM). AF_07/2020</v>
      </c>
      <c r="C1904" s="149" t="str">
        <f>VLOOKUP(A1904,ORÇAMENTO!$A:$F,5,0)</f>
        <v>M3XKM</v>
      </c>
      <c r="D1904" s="149">
        <f>SUM(E1907:O1907)</f>
        <v>4311.2969037511693</v>
      </c>
      <c r="E1904" s="149" t="s">
        <v>2177</v>
      </c>
      <c r="F1904" s="149" t="s">
        <v>2150</v>
      </c>
      <c r="G1904" s="149" t="s">
        <v>2151</v>
      </c>
      <c r="H1904" s="149" t="s">
        <v>2152</v>
      </c>
      <c r="I1904" s="149" t="s">
        <v>2153</v>
      </c>
      <c r="J1904" s="149" t="s">
        <v>2154</v>
      </c>
      <c r="K1904" s="149" t="s">
        <v>2172</v>
      </c>
      <c r="L1904" s="149" t="s">
        <v>2178</v>
      </c>
      <c r="M1904" s="149" t="s">
        <v>2175</v>
      </c>
      <c r="N1904" s="149" t="s">
        <v>2157</v>
      </c>
      <c r="O1904" s="149" t="s">
        <v>2158</v>
      </c>
    </row>
    <row r="1905" spans="1:15" x14ac:dyDescent="0.35">
      <c r="A1905" s="321"/>
      <c r="B1905" s="318" t="str">
        <f>B1901</f>
        <v>TRANSPORTE ATÉ ATERRO SAMAMBAIA - D=75KM</v>
      </c>
      <c r="C1905" s="153"/>
      <c r="D1905" s="154"/>
      <c r="E1905" s="154">
        <f>74.8-E1901</f>
        <v>44.8</v>
      </c>
      <c r="F1905" s="154"/>
      <c r="G1905" s="154"/>
      <c r="H1905" s="154"/>
      <c r="I1905" s="154"/>
      <c r="J1905" s="154"/>
      <c r="K1905" s="154"/>
      <c r="L1905" s="165"/>
      <c r="M1905" s="154">
        <f>E1905*O1905</f>
        <v>4311.2969037511693</v>
      </c>
      <c r="N1905" s="154"/>
      <c r="O1905" s="154">
        <f>O1901</f>
        <v>96.234305887302895</v>
      </c>
    </row>
    <row r="1906" spans="1:15" x14ac:dyDescent="0.35">
      <c r="A1906" s="321"/>
      <c r="B1906" s="320"/>
      <c r="C1906" s="153"/>
      <c r="D1906" s="154"/>
      <c r="E1906" s="154"/>
      <c r="F1906" s="154"/>
      <c r="G1906" s="154"/>
      <c r="H1906" s="154"/>
      <c r="I1906" s="154"/>
      <c r="J1906" s="154"/>
      <c r="K1906" s="154"/>
      <c r="L1906" s="165"/>
      <c r="M1906" s="154"/>
      <c r="N1906" s="154"/>
      <c r="O1906" s="154"/>
    </row>
    <row r="1907" spans="1:15" x14ac:dyDescent="0.35">
      <c r="A1907" s="321"/>
      <c r="B1907" s="318" t="s">
        <v>377</v>
      </c>
      <c r="C1907" s="158" t="s">
        <v>402</v>
      </c>
      <c r="D1907" s="158"/>
      <c r="E1907" s="158"/>
      <c r="F1907" s="158"/>
      <c r="G1907" s="158"/>
      <c r="H1907" s="158"/>
      <c r="I1907" s="158"/>
      <c r="J1907" s="158"/>
      <c r="K1907" s="158"/>
      <c r="L1907" s="158"/>
      <c r="M1907" s="158">
        <f>SUM(M1905)</f>
        <v>4311.2969037511693</v>
      </c>
      <c r="N1907" s="158"/>
      <c r="O1907" s="158"/>
    </row>
    <row r="1908" spans="1:15" ht="31.5" x14ac:dyDescent="0.35">
      <c r="A1908" s="323" t="str">
        <f>ORÇAMENTO!A314</f>
        <v>5.1.1.4.1</v>
      </c>
      <c r="B1908" s="322" t="str">
        <f>VLOOKUP(A1908,ORÇAMENTO!$A:$F,4,0)</f>
        <v>DEMOLICAO MECANICA DE CONCRETO SIMPLES C/ COMPRESSOR E MARTELETE PNEUMATICO INCL. REMOCAO ECARREG. MANUAL DO EXPURGO</v>
      </c>
      <c r="C1908" s="149" t="str">
        <f>VLOOKUP(A1908,ORÇAMENTO!$A:$F,5,0)</f>
        <v>M³</v>
      </c>
      <c r="D1908" s="149">
        <f>SUM(E1912:O1912)</f>
        <v>564.46517937007013</v>
      </c>
      <c r="E1908" s="149" t="s">
        <v>2149</v>
      </c>
      <c r="F1908" s="149" t="s">
        <v>2150</v>
      </c>
      <c r="G1908" s="149" t="s">
        <v>2151</v>
      </c>
      <c r="H1908" s="149" t="s">
        <v>2152</v>
      </c>
      <c r="I1908" s="149" t="s">
        <v>2153</v>
      </c>
      <c r="J1908" s="149" t="s">
        <v>2154</v>
      </c>
      <c r="K1908" s="149" t="s">
        <v>2155</v>
      </c>
      <c r="L1908" s="149" t="s">
        <v>2156</v>
      </c>
      <c r="M1908" s="149" t="s">
        <v>2160</v>
      </c>
      <c r="N1908" s="149" t="s">
        <v>2157</v>
      </c>
      <c r="O1908" s="149" t="s">
        <v>2158</v>
      </c>
    </row>
    <row r="1909" spans="1:15" x14ac:dyDescent="0.35">
      <c r="A1909" s="321"/>
      <c r="B1909" s="320"/>
      <c r="C1909" s="160"/>
      <c r="D1909" s="161"/>
      <c r="E1909" s="161"/>
      <c r="F1909" s="161"/>
      <c r="G1909" s="161"/>
      <c r="H1909" s="161"/>
      <c r="I1909" s="161"/>
      <c r="J1909" s="161"/>
      <c r="K1909" s="161"/>
      <c r="L1909" s="161"/>
      <c r="M1909" s="161"/>
      <c r="N1909" s="161"/>
      <c r="O1909" s="161"/>
    </row>
    <row r="1910" spans="1:15" x14ac:dyDescent="0.35">
      <c r="A1910" s="321"/>
      <c r="B1910" s="320" t="s">
        <v>2161</v>
      </c>
      <c r="C1910" s="160"/>
      <c r="D1910" s="161"/>
      <c r="E1910" s="161"/>
      <c r="F1910" s="161"/>
      <c r="G1910" s="161"/>
      <c r="H1910" s="161"/>
      <c r="I1910" s="161"/>
      <c r="J1910" s="161"/>
      <c r="K1910" s="161"/>
      <c r="L1910" s="161"/>
      <c r="M1910" s="161"/>
      <c r="N1910" s="161"/>
      <c r="O1910" s="161">
        <f>'Planilha Hidráulica'!AB115</f>
        <v>564.46517937007013</v>
      </c>
    </row>
    <row r="1911" spans="1:15" x14ac:dyDescent="0.35">
      <c r="A1911" s="321"/>
      <c r="B1911" s="320"/>
      <c r="C1911" s="160"/>
      <c r="D1911" s="161"/>
      <c r="E1911" s="161"/>
      <c r="F1911" s="161"/>
      <c r="G1911" s="161"/>
      <c r="H1911" s="161"/>
      <c r="I1911" s="161"/>
      <c r="J1911" s="161"/>
      <c r="K1911" s="161"/>
      <c r="L1911" s="162"/>
      <c r="M1911" s="161"/>
      <c r="N1911" s="161"/>
      <c r="O1911" s="161"/>
    </row>
    <row r="1912" spans="1:15" x14ac:dyDescent="0.35">
      <c r="A1912" s="321"/>
      <c r="B1912" s="318" t="s">
        <v>377</v>
      </c>
      <c r="C1912" s="158" t="s">
        <v>402</v>
      </c>
      <c r="D1912" s="158"/>
      <c r="E1912" s="158"/>
      <c r="F1912" s="158"/>
      <c r="G1912" s="158"/>
      <c r="H1912" s="158"/>
      <c r="I1912" s="158"/>
      <c r="J1912" s="158"/>
      <c r="K1912" s="158"/>
      <c r="L1912" s="158"/>
      <c r="M1912" s="158"/>
      <c r="N1912" s="158"/>
      <c r="O1912" s="158">
        <f>SUM(O1910:O1911)</f>
        <v>564.46517937007013</v>
      </c>
    </row>
    <row r="1913" spans="1:15" ht="52.5" x14ac:dyDescent="0.35">
      <c r="A1913" s="323" t="str">
        <f>ORÇAMENTO!A315</f>
        <v>5.1.1.4.2</v>
      </c>
      <c r="B1913" s="322" t="str">
        <f>VLOOKUP(A1913,ORÇAMENTO!$A:$F,4,0)</f>
        <v>CARGA, MANOBRA E DESCARGA DE ENTULHO EM CAMINHÃO BASCULANTE 14 M³ - CARGA COM ESCAVADEIRA HIDRÁULICA  (CAÇAMBA DE 0,80 M³ / 111 HP) E DESCARGA LIVRE (UNIDADE: M3). AF_07/2020</v>
      </c>
      <c r="C1913" s="149" t="str">
        <f>VLOOKUP(A1913,ORÇAMENTO!$A:$F,5,0)</f>
        <v>M³</v>
      </c>
      <c r="D1913" s="149">
        <f>SUM(E1917:O1917)</f>
        <v>564.46517937007013</v>
      </c>
      <c r="E1913" s="149" t="s">
        <v>2149</v>
      </c>
      <c r="F1913" s="149" t="s">
        <v>2150</v>
      </c>
      <c r="G1913" s="149" t="s">
        <v>2151</v>
      </c>
      <c r="H1913" s="149" t="s">
        <v>2152</v>
      </c>
      <c r="I1913" s="149" t="s">
        <v>2153</v>
      </c>
      <c r="J1913" s="149" t="s">
        <v>2154</v>
      </c>
      <c r="K1913" s="149" t="s">
        <v>2172</v>
      </c>
      <c r="L1913" s="149" t="s">
        <v>2180</v>
      </c>
      <c r="M1913" s="149" t="s">
        <v>2160</v>
      </c>
      <c r="N1913" s="149" t="s">
        <v>2157</v>
      </c>
      <c r="O1913" s="149" t="s">
        <v>2158</v>
      </c>
    </row>
    <row r="1914" spans="1:15" x14ac:dyDescent="0.35">
      <c r="A1914" s="321"/>
      <c r="B1914" s="320"/>
      <c r="C1914" s="160"/>
      <c r="D1914" s="161"/>
      <c r="E1914" s="161"/>
      <c r="F1914" s="161"/>
      <c r="G1914" s="161"/>
      <c r="H1914" s="161"/>
      <c r="I1914" s="161"/>
      <c r="J1914" s="161"/>
      <c r="K1914" s="161"/>
      <c r="L1914" s="161"/>
      <c r="M1914" s="161"/>
      <c r="N1914" s="161"/>
      <c r="O1914" s="161"/>
    </row>
    <row r="1915" spans="1:15" x14ac:dyDescent="0.35">
      <c r="A1915" s="321"/>
      <c r="B1915" s="320" t="s">
        <v>2161</v>
      </c>
      <c r="C1915" s="160"/>
      <c r="D1915" s="161"/>
      <c r="E1915" s="161"/>
      <c r="F1915" s="161"/>
      <c r="G1915" s="161"/>
      <c r="H1915" s="161"/>
      <c r="I1915" s="161"/>
      <c r="J1915" s="161"/>
      <c r="K1915" s="161"/>
      <c r="L1915" s="161"/>
      <c r="M1915" s="161"/>
      <c r="N1915" s="161"/>
      <c r="O1915" s="161">
        <f>O1912</f>
        <v>564.46517937007013</v>
      </c>
    </row>
    <row r="1916" spans="1:15" x14ac:dyDescent="0.35">
      <c r="A1916" s="321"/>
      <c r="B1916" s="320"/>
      <c r="C1916" s="160"/>
      <c r="D1916" s="161"/>
      <c r="E1916" s="161"/>
      <c r="F1916" s="161"/>
      <c r="G1916" s="161"/>
      <c r="H1916" s="161"/>
      <c r="I1916" s="161"/>
      <c r="J1916" s="161"/>
      <c r="K1916" s="161"/>
      <c r="L1916" s="162"/>
      <c r="M1916" s="161"/>
      <c r="N1916" s="161"/>
      <c r="O1916" s="161"/>
    </row>
    <row r="1917" spans="1:15" x14ac:dyDescent="0.35">
      <c r="A1917" s="321"/>
      <c r="B1917" s="318" t="s">
        <v>377</v>
      </c>
      <c r="C1917" s="158" t="s">
        <v>402</v>
      </c>
      <c r="D1917" s="158"/>
      <c r="E1917" s="158"/>
      <c r="F1917" s="158"/>
      <c r="G1917" s="158"/>
      <c r="H1917" s="158"/>
      <c r="I1917" s="158"/>
      <c r="J1917" s="158"/>
      <c r="K1917" s="158"/>
      <c r="L1917" s="158"/>
      <c r="M1917" s="158"/>
      <c r="N1917" s="158"/>
      <c r="O1917" s="158">
        <f>SUM(O1915:O1916)</f>
        <v>564.46517937007013</v>
      </c>
    </row>
    <row r="1918" spans="1:15" ht="31.5" x14ac:dyDescent="0.35">
      <c r="A1918" s="323" t="str">
        <f>ORÇAMENTO!A316</f>
        <v>5.1.1.4.3</v>
      </c>
      <c r="B1918" s="322" t="str">
        <f>VLOOKUP(A1918,ORÇAMENTO!$A:$F,4,0)</f>
        <v>TRANSPORTE COM CAMINHÃO BASCULANTE DE 14 M³, EM VIA URBANA PAVIMENTADA, DMT ATÉ 30 KM (UNIDADE: M3XKM). AF_07/2020</v>
      </c>
      <c r="C1918" s="149" t="str">
        <f>VLOOKUP(A1918,ORÇAMENTO!$A:$F,5,0)</f>
        <v>M3XKM</v>
      </c>
      <c r="D1918" s="149">
        <f>SUM(E1922:O1922)</f>
        <v>16933.955381102103</v>
      </c>
      <c r="E1918" s="149" t="s">
        <v>2174</v>
      </c>
      <c r="F1918" s="149" t="s">
        <v>2150</v>
      </c>
      <c r="G1918" s="149" t="s">
        <v>2151</v>
      </c>
      <c r="H1918" s="149" t="s">
        <v>2152</v>
      </c>
      <c r="I1918" s="149" t="s">
        <v>2153</v>
      </c>
      <c r="J1918" s="149" t="s">
        <v>2154</v>
      </c>
      <c r="K1918" s="149" t="s">
        <v>2172</v>
      </c>
      <c r="L1918" s="149" t="s">
        <v>2156</v>
      </c>
      <c r="M1918" s="149" t="s">
        <v>2175</v>
      </c>
      <c r="N1918" s="149" t="s">
        <v>2157</v>
      </c>
      <c r="O1918" s="149" t="s">
        <v>2158</v>
      </c>
    </row>
    <row r="1919" spans="1:15" x14ac:dyDescent="0.35">
      <c r="A1919" s="321"/>
      <c r="B1919" s="320"/>
      <c r="C1919" s="160"/>
      <c r="D1919" s="161"/>
      <c r="E1919" s="161"/>
      <c r="F1919" s="161"/>
      <c r="G1919" s="161"/>
      <c r="H1919" s="161"/>
      <c r="I1919" s="161"/>
      <c r="J1919" s="161"/>
      <c r="K1919" s="161"/>
      <c r="L1919" s="161"/>
      <c r="M1919" s="161"/>
      <c r="N1919" s="161"/>
      <c r="O1919" s="161"/>
    </row>
    <row r="1920" spans="1:15" x14ac:dyDescent="0.35">
      <c r="A1920" s="321"/>
      <c r="B1920" s="318" t="s">
        <v>2698</v>
      </c>
      <c r="C1920" s="160"/>
      <c r="D1920" s="161"/>
      <c r="E1920" s="161">
        <v>30</v>
      </c>
      <c r="F1920" s="161"/>
      <c r="G1920" s="161"/>
      <c r="H1920" s="161"/>
      <c r="I1920" s="161"/>
      <c r="J1920" s="161"/>
      <c r="K1920" s="161"/>
      <c r="L1920" s="161"/>
      <c r="M1920" s="161">
        <f>O1920*E1920</f>
        <v>16933.955381102103</v>
      </c>
      <c r="N1920" s="161"/>
      <c r="O1920" s="161">
        <f>O1917</f>
        <v>564.46517937007013</v>
      </c>
    </row>
    <row r="1921" spans="1:15" x14ac:dyDescent="0.35">
      <c r="A1921" s="321"/>
      <c r="B1921" s="320"/>
      <c r="C1921" s="160"/>
      <c r="D1921" s="161"/>
      <c r="E1921" s="161"/>
      <c r="F1921" s="161"/>
      <c r="G1921" s="161"/>
      <c r="H1921" s="161"/>
      <c r="I1921" s="161"/>
      <c r="J1921" s="161"/>
      <c r="K1921" s="161"/>
      <c r="L1921" s="162"/>
      <c r="M1921" s="161"/>
      <c r="N1921" s="161"/>
      <c r="O1921" s="161"/>
    </row>
    <row r="1922" spans="1:15" x14ac:dyDescent="0.35">
      <c r="A1922" s="321"/>
      <c r="B1922" s="318" t="s">
        <v>377</v>
      </c>
      <c r="C1922" s="158" t="s">
        <v>402</v>
      </c>
      <c r="D1922" s="158"/>
      <c r="E1922" s="158"/>
      <c r="F1922" s="158"/>
      <c r="G1922" s="158"/>
      <c r="H1922" s="158"/>
      <c r="I1922" s="158"/>
      <c r="J1922" s="158"/>
      <c r="K1922" s="158"/>
      <c r="L1922" s="158"/>
      <c r="M1922" s="158">
        <f>SUM(M1920:M1921)</f>
        <v>16933.955381102103</v>
      </c>
      <c r="N1922" s="158"/>
      <c r="O1922" s="158"/>
    </row>
    <row r="1923" spans="1:15" ht="42" x14ac:dyDescent="0.35">
      <c r="A1923" s="323" t="str">
        <f>ORÇAMENTO!A317</f>
        <v>5.1.1.4.4</v>
      </c>
      <c r="B1923" s="322" t="str">
        <f>VLOOKUP(A1923,ORÇAMENTO!$A:$F,4,0)</f>
        <v>TRANSPORTE COM CAMINHÃO BASCULANTE DE 14 M³, EM VIA URBANA PAVIMENTADA, ADICIONAL PARA DMT EXCEDENTE A 30 KM (UNIDADE: M3XKM). AF_07/2020</v>
      </c>
      <c r="C1923" s="149" t="str">
        <f>VLOOKUP(A1923,ORÇAMENTO!$A:$F,5,0)</f>
        <v>M3XKM</v>
      </c>
      <c r="D1923" s="149">
        <f>SUM(E1926:O1926)</f>
        <v>25288.04003577914</v>
      </c>
      <c r="E1923" s="149" t="s">
        <v>2177</v>
      </c>
      <c r="F1923" s="149" t="s">
        <v>2150</v>
      </c>
      <c r="G1923" s="149" t="s">
        <v>2151</v>
      </c>
      <c r="H1923" s="149" t="s">
        <v>2152</v>
      </c>
      <c r="I1923" s="149" t="s">
        <v>2153</v>
      </c>
      <c r="J1923" s="149" t="s">
        <v>2154</v>
      </c>
      <c r="K1923" s="149" t="s">
        <v>2172</v>
      </c>
      <c r="L1923" s="149" t="s">
        <v>2178</v>
      </c>
      <c r="M1923" s="149" t="s">
        <v>2175</v>
      </c>
      <c r="N1923" s="149" t="s">
        <v>2157</v>
      </c>
      <c r="O1923" s="149" t="s">
        <v>2158</v>
      </c>
    </row>
    <row r="1924" spans="1:15" x14ac:dyDescent="0.35">
      <c r="A1924" s="321"/>
      <c r="B1924" s="318" t="str">
        <f>B1920</f>
        <v>TRANSPORTE ATÉ ATERRO SAMAMBAIA - D=75KM</v>
      </c>
      <c r="C1924" s="153"/>
      <c r="D1924" s="154"/>
      <c r="E1924" s="154">
        <f>74.8-E1920</f>
        <v>44.8</v>
      </c>
      <c r="F1924" s="154"/>
      <c r="G1924" s="154"/>
      <c r="H1924" s="154"/>
      <c r="I1924" s="154"/>
      <c r="J1924" s="154"/>
      <c r="K1924" s="154"/>
      <c r="L1924" s="165"/>
      <c r="M1924" s="154">
        <f>E1924*O1924</f>
        <v>25288.04003577914</v>
      </c>
      <c r="N1924" s="154"/>
      <c r="O1924" s="154">
        <f>O1920</f>
        <v>564.46517937007013</v>
      </c>
    </row>
    <row r="1925" spans="1:15" x14ac:dyDescent="0.35">
      <c r="A1925" s="321"/>
      <c r="B1925" s="320"/>
      <c r="C1925" s="153"/>
      <c r="D1925" s="154"/>
      <c r="E1925" s="154"/>
      <c r="F1925" s="154"/>
      <c r="G1925" s="154"/>
      <c r="H1925" s="154"/>
      <c r="I1925" s="154"/>
      <c r="J1925" s="154"/>
      <c r="K1925" s="154"/>
      <c r="L1925" s="165"/>
      <c r="M1925" s="154"/>
      <c r="N1925" s="154"/>
      <c r="O1925" s="154"/>
    </row>
    <row r="1926" spans="1:15" x14ac:dyDescent="0.35">
      <c r="A1926" s="321"/>
      <c r="B1926" s="318" t="s">
        <v>377</v>
      </c>
      <c r="C1926" s="158" t="s">
        <v>402</v>
      </c>
      <c r="D1926" s="158"/>
      <c r="E1926" s="158"/>
      <c r="F1926" s="158"/>
      <c r="G1926" s="158"/>
      <c r="H1926" s="158"/>
      <c r="I1926" s="158"/>
      <c r="J1926" s="158"/>
      <c r="K1926" s="158"/>
      <c r="L1926" s="158"/>
      <c r="M1926" s="158">
        <f>SUM(M1924)</f>
        <v>25288.04003577914</v>
      </c>
      <c r="N1926" s="158"/>
      <c r="O1926" s="158"/>
    </row>
    <row r="1927" spans="1:15" x14ac:dyDescent="0.35">
      <c r="A1927" s="323"/>
      <c r="B1927" s="322" t="str">
        <f>ORÇAMENTO!D318</f>
        <v>DEMOLIÇÕES DE PASSEIOS E MEIO-FIO</v>
      </c>
      <c r="C1927" s="149"/>
      <c r="D1927" s="149"/>
      <c r="E1927" s="149"/>
      <c r="F1927" s="149"/>
      <c r="G1927" s="149"/>
      <c r="H1927" s="149"/>
      <c r="I1927" s="149"/>
      <c r="J1927" s="149"/>
      <c r="K1927" s="149"/>
      <c r="L1927" s="149"/>
      <c r="M1927" s="149"/>
      <c r="N1927" s="149"/>
      <c r="O1927" s="149"/>
    </row>
    <row r="1928" spans="1:15" ht="52.5" x14ac:dyDescent="0.35">
      <c r="A1928" s="323" t="str">
        <f>ORÇAMENTO!A319</f>
        <v>5.1.1.5.1</v>
      </c>
      <c r="B1928" s="322" t="str">
        <f>VLOOKUP(A1928,ORÇAMENTO!$A:$F,4,0)</f>
        <v>DEMOLICAO COM EQUIPAMENTO DE AR COMPRIMIDO,DE PASSEIO CIMENT ADO COM ESPESSURA ATE 10CM,INCLUSIVE EMPILHAMENTO LATERAL DE NTRO DO CANTEIRO DE SERVICO 3%-DESGASTE DE FERRAMENTAS E EPI</v>
      </c>
      <c r="C1928" s="149" t="str">
        <f>VLOOKUP(A1928,ORÇAMENTO!$A:$F,5,0)</f>
        <v>M2</v>
      </c>
      <c r="D1928" s="149">
        <f>SUM(E1944:O1944)</f>
        <v>799.68</v>
      </c>
      <c r="E1928" s="149" t="s">
        <v>2149</v>
      </c>
      <c r="F1928" s="149" t="s">
        <v>2150</v>
      </c>
      <c r="G1928" s="149" t="s">
        <v>2151</v>
      </c>
      <c r="H1928" s="149" t="s">
        <v>2152</v>
      </c>
      <c r="I1928" s="149" t="s">
        <v>2153</v>
      </c>
      <c r="J1928" s="149" t="s">
        <v>2154</v>
      </c>
      <c r="K1928" s="149" t="s">
        <v>2181</v>
      </c>
      <c r="L1928" s="149" t="s">
        <v>2178</v>
      </c>
      <c r="M1928" s="149" t="s">
        <v>2175</v>
      </c>
      <c r="N1928" s="149" t="s">
        <v>2157</v>
      </c>
      <c r="O1928" s="149" t="s">
        <v>2158</v>
      </c>
    </row>
    <row r="1929" spans="1:15" ht="31.5" x14ac:dyDescent="0.35">
      <c r="A1929" s="321"/>
      <c r="B1929" s="320" t="s">
        <v>2182</v>
      </c>
      <c r="C1929" s="153"/>
      <c r="D1929" s="154"/>
      <c r="E1929" s="154"/>
      <c r="F1929" s="154"/>
      <c r="G1929" s="154"/>
      <c r="H1929" s="154"/>
      <c r="I1929" s="154"/>
      <c r="J1929" s="154"/>
      <c r="K1929" s="154"/>
      <c r="L1929" s="165"/>
      <c r="M1929" s="154"/>
      <c r="N1929" s="154"/>
      <c r="O1929" s="154"/>
    </row>
    <row r="1930" spans="1:15" x14ac:dyDescent="0.35">
      <c r="A1930" s="321"/>
      <c r="B1930" s="318" t="s">
        <v>2183</v>
      </c>
      <c r="C1930" s="153"/>
      <c r="D1930" s="154"/>
      <c r="E1930" s="154"/>
      <c r="F1930" s="154"/>
      <c r="G1930" s="154"/>
      <c r="H1930" s="154"/>
      <c r="I1930" s="154"/>
      <c r="J1930" s="154"/>
      <c r="K1930" s="154"/>
      <c r="L1930" s="165"/>
      <c r="M1930" s="154"/>
      <c r="N1930" s="154"/>
      <c r="O1930" s="154"/>
    </row>
    <row r="1931" spans="1:15" ht="21" x14ac:dyDescent="0.35">
      <c r="A1931" s="321"/>
      <c r="B1931" s="320" t="s">
        <v>2184</v>
      </c>
      <c r="C1931" s="153"/>
      <c r="D1931" s="154"/>
      <c r="E1931" s="154">
        <f>2.38+0.5</f>
        <v>2.88</v>
      </c>
      <c r="F1931" s="154">
        <f t="shared" ref="F1931:F1942" si="66">1.18+0.5</f>
        <v>1.68</v>
      </c>
      <c r="G1931" s="154"/>
      <c r="H1931" s="154">
        <v>7.0000000000000007E-2</v>
      </c>
      <c r="I1931" s="154"/>
      <c r="J1931" s="154"/>
      <c r="K1931" s="154">
        <f>'BOCA DE LOBO'!O82</f>
        <v>0</v>
      </c>
      <c r="L1931" s="165"/>
      <c r="M1931" s="154"/>
      <c r="N1931" s="154">
        <f t="shared" ref="N1931:N1942" si="67">E1931*F1931*K1931</f>
        <v>0</v>
      </c>
      <c r="O1931" s="154">
        <f t="shared" ref="O1931:O1942" si="68">E1931*F1931*H1931*K1931</f>
        <v>0</v>
      </c>
    </row>
    <row r="1932" spans="1:15" ht="21" x14ac:dyDescent="0.35">
      <c r="A1932" s="321"/>
      <c r="B1932" s="320" t="s">
        <v>2185</v>
      </c>
      <c r="C1932" s="153"/>
      <c r="D1932" s="154"/>
      <c r="E1932" s="154">
        <f>1.19+0.5</f>
        <v>1.69</v>
      </c>
      <c r="F1932" s="154">
        <f t="shared" si="66"/>
        <v>1.68</v>
      </c>
      <c r="G1932" s="154"/>
      <c r="H1932" s="154">
        <v>7.0000000000000007E-2</v>
      </c>
      <c r="I1932" s="154"/>
      <c r="J1932" s="154"/>
      <c r="K1932" s="154">
        <f>'BOCA DE LOBO'!O83</f>
        <v>0</v>
      </c>
      <c r="L1932" s="165"/>
      <c r="M1932" s="154"/>
      <c r="N1932" s="154">
        <f t="shared" si="67"/>
        <v>0</v>
      </c>
      <c r="O1932" s="154">
        <f t="shared" si="68"/>
        <v>0</v>
      </c>
    </row>
    <row r="1933" spans="1:15" ht="21" x14ac:dyDescent="0.35">
      <c r="A1933" s="321"/>
      <c r="B1933" s="320" t="s">
        <v>2186</v>
      </c>
      <c r="C1933" s="153"/>
      <c r="D1933" s="154"/>
      <c r="E1933" s="154">
        <f>3.54+0.5</f>
        <v>4.04</v>
      </c>
      <c r="F1933" s="154">
        <f t="shared" si="66"/>
        <v>1.68</v>
      </c>
      <c r="G1933" s="154"/>
      <c r="H1933" s="154">
        <v>7.0000000000000007E-2</v>
      </c>
      <c r="I1933" s="154"/>
      <c r="J1933" s="154"/>
      <c r="K1933" s="154">
        <f>'BOCA DE LOBO'!O84</f>
        <v>0</v>
      </c>
      <c r="L1933" s="165"/>
      <c r="M1933" s="154"/>
      <c r="N1933" s="154">
        <f t="shared" si="67"/>
        <v>0</v>
      </c>
      <c r="O1933" s="154">
        <f t="shared" si="68"/>
        <v>0</v>
      </c>
    </row>
    <row r="1934" spans="1:15" ht="21" x14ac:dyDescent="0.35">
      <c r="A1934" s="321"/>
      <c r="B1934" s="320" t="s">
        <v>2187</v>
      </c>
      <c r="C1934" s="153"/>
      <c r="D1934" s="154"/>
      <c r="E1934" s="154">
        <f>1.19+0.5</f>
        <v>1.69</v>
      </c>
      <c r="F1934" s="154">
        <f t="shared" si="66"/>
        <v>1.68</v>
      </c>
      <c r="G1934" s="154"/>
      <c r="H1934" s="154">
        <v>7.0000000000000007E-2</v>
      </c>
      <c r="I1934" s="154"/>
      <c r="J1934" s="154"/>
      <c r="K1934" s="154">
        <f>'BOCA DE LOBO'!O85</f>
        <v>0</v>
      </c>
      <c r="L1934" s="165"/>
      <c r="M1934" s="154"/>
      <c r="N1934" s="154">
        <f t="shared" si="67"/>
        <v>0</v>
      </c>
      <c r="O1934" s="154">
        <f t="shared" si="68"/>
        <v>0</v>
      </c>
    </row>
    <row r="1935" spans="1:15" ht="21" x14ac:dyDescent="0.35">
      <c r="A1935" s="321"/>
      <c r="B1935" s="320" t="s">
        <v>2188</v>
      </c>
      <c r="C1935" s="153"/>
      <c r="D1935" s="154"/>
      <c r="E1935" s="154">
        <f>2.38+0.5</f>
        <v>2.88</v>
      </c>
      <c r="F1935" s="154">
        <f t="shared" si="66"/>
        <v>1.68</v>
      </c>
      <c r="G1935" s="154"/>
      <c r="H1935" s="154">
        <v>7.0000000000000007E-2</v>
      </c>
      <c r="I1935" s="154"/>
      <c r="J1935" s="154"/>
      <c r="K1935" s="154">
        <f>'BOCA DE LOBO'!O86</f>
        <v>0</v>
      </c>
      <c r="L1935" s="165"/>
      <c r="M1935" s="154"/>
      <c r="N1935" s="154">
        <f t="shared" si="67"/>
        <v>0</v>
      </c>
      <c r="O1935" s="154">
        <f t="shared" si="68"/>
        <v>0</v>
      </c>
    </row>
    <row r="1936" spans="1:15" ht="21" x14ac:dyDescent="0.35">
      <c r="A1936" s="321"/>
      <c r="B1936" s="320" t="s">
        <v>2189</v>
      </c>
      <c r="C1936" s="153"/>
      <c r="D1936" s="154"/>
      <c r="E1936" s="154">
        <f>3.54+0.5</f>
        <v>4.04</v>
      </c>
      <c r="F1936" s="154">
        <f t="shared" si="66"/>
        <v>1.68</v>
      </c>
      <c r="G1936" s="154"/>
      <c r="H1936" s="154">
        <v>7.0000000000000007E-2</v>
      </c>
      <c r="I1936" s="154"/>
      <c r="J1936" s="154"/>
      <c r="K1936" s="154">
        <f>'BOCA DE LOBO'!O87</f>
        <v>0</v>
      </c>
      <c r="L1936" s="165"/>
      <c r="M1936" s="154"/>
      <c r="N1936" s="154">
        <f t="shared" si="67"/>
        <v>0</v>
      </c>
      <c r="O1936" s="154">
        <f t="shared" si="68"/>
        <v>0</v>
      </c>
    </row>
    <row r="1937" spans="1:15" ht="21" x14ac:dyDescent="0.35">
      <c r="A1937" s="321"/>
      <c r="B1937" s="320" t="s">
        <v>2190</v>
      </c>
      <c r="C1937" s="153"/>
      <c r="D1937" s="154"/>
      <c r="E1937" s="154">
        <f>1.19+0.5</f>
        <v>1.69</v>
      </c>
      <c r="F1937" s="154">
        <f t="shared" si="66"/>
        <v>1.68</v>
      </c>
      <c r="G1937" s="154"/>
      <c r="H1937" s="154">
        <v>7.0000000000000007E-2</v>
      </c>
      <c r="I1937" s="154"/>
      <c r="J1937" s="154"/>
      <c r="K1937" s="154">
        <f>'BOCA DE LOBO'!O88</f>
        <v>0</v>
      </c>
      <c r="L1937" s="165"/>
      <c r="M1937" s="154"/>
      <c r="N1937" s="154">
        <f t="shared" si="67"/>
        <v>0</v>
      </c>
      <c r="O1937" s="154">
        <f t="shared" si="68"/>
        <v>0</v>
      </c>
    </row>
    <row r="1938" spans="1:15" ht="21" x14ac:dyDescent="0.35">
      <c r="A1938" s="321"/>
      <c r="B1938" s="320" t="s">
        <v>2191</v>
      </c>
      <c r="C1938" s="153"/>
      <c r="D1938" s="154"/>
      <c r="E1938" s="154">
        <f>2.38+0.5</f>
        <v>2.88</v>
      </c>
      <c r="F1938" s="154">
        <f t="shared" si="66"/>
        <v>1.68</v>
      </c>
      <c r="G1938" s="154"/>
      <c r="H1938" s="154">
        <v>7.0000000000000007E-2</v>
      </c>
      <c r="I1938" s="154"/>
      <c r="J1938" s="154"/>
      <c r="K1938" s="154">
        <f>'BOCA DE LOBO'!O89</f>
        <v>0</v>
      </c>
      <c r="L1938" s="165"/>
      <c r="M1938" s="154"/>
      <c r="N1938" s="154">
        <f t="shared" si="67"/>
        <v>0</v>
      </c>
      <c r="O1938" s="154">
        <f t="shared" si="68"/>
        <v>0</v>
      </c>
    </row>
    <row r="1939" spans="1:15" ht="21" x14ac:dyDescent="0.35">
      <c r="A1939" s="321"/>
      <c r="B1939" s="320" t="s">
        <v>2192</v>
      </c>
      <c r="C1939" s="153"/>
      <c r="D1939" s="154"/>
      <c r="E1939" s="154">
        <f>3.54+0.5</f>
        <v>4.04</v>
      </c>
      <c r="F1939" s="154">
        <f t="shared" si="66"/>
        <v>1.68</v>
      </c>
      <c r="G1939" s="154"/>
      <c r="H1939" s="154">
        <v>7.0000000000000007E-2</v>
      </c>
      <c r="I1939" s="154"/>
      <c r="J1939" s="154"/>
      <c r="K1939" s="154">
        <f>'BOCA DE LOBO'!O90</f>
        <v>0</v>
      </c>
      <c r="L1939" s="165"/>
      <c r="M1939" s="154"/>
      <c r="N1939" s="154">
        <f t="shared" si="67"/>
        <v>0</v>
      </c>
      <c r="O1939" s="154">
        <f t="shared" si="68"/>
        <v>0</v>
      </c>
    </row>
    <row r="1940" spans="1:15" x14ac:dyDescent="0.35">
      <c r="A1940" s="321"/>
      <c r="B1940" s="320" t="s">
        <v>2193</v>
      </c>
      <c r="C1940" s="153"/>
      <c r="D1940" s="154"/>
      <c r="E1940" s="154">
        <f>1.38+0.5+0.5</f>
        <v>2.38</v>
      </c>
      <c r="F1940" s="154">
        <f t="shared" si="66"/>
        <v>1.68</v>
      </c>
      <c r="G1940" s="154"/>
      <c r="H1940" s="154">
        <v>7.0000000000000007E-2</v>
      </c>
      <c r="I1940" s="154"/>
      <c r="J1940" s="154"/>
      <c r="K1940" s="154">
        <f>'BOCA DE LOBO'!O91</f>
        <v>0</v>
      </c>
      <c r="L1940" s="165"/>
      <c r="M1940" s="154"/>
      <c r="N1940" s="154">
        <f t="shared" si="67"/>
        <v>0</v>
      </c>
      <c r="O1940" s="154">
        <f t="shared" si="68"/>
        <v>0</v>
      </c>
    </row>
    <row r="1941" spans="1:15" x14ac:dyDescent="0.35">
      <c r="A1941" s="321"/>
      <c r="B1941" s="320" t="s">
        <v>2194</v>
      </c>
      <c r="C1941" s="153"/>
      <c r="D1941" s="154"/>
      <c r="E1941" s="154">
        <f>2.57+0.5+0.5</f>
        <v>3.57</v>
      </c>
      <c r="F1941" s="154">
        <f t="shared" si="66"/>
        <v>1.68</v>
      </c>
      <c r="G1941" s="154"/>
      <c r="H1941" s="154">
        <v>7.0000000000000007E-2</v>
      </c>
      <c r="I1941" s="154"/>
      <c r="J1941" s="154"/>
      <c r="K1941" s="154">
        <f>'BOCA DE LOBO'!O92</f>
        <v>116</v>
      </c>
      <c r="L1941" s="165"/>
      <c r="M1941" s="154"/>
      <c r="N1941" s="154">
        <f t="shared" si="67"/>
        <v>695.72159999999997</v>
      </c>
      <c r="O1941" s="154">
        <f t="shared" si="68"/>
        <v>48.700511999999996</v>
      </c>
    </row>
    <row r="1942" spans="1:15" x14ac:dyDescent="0.35">
      <c r="A1942" s="321"/>
      <c r="B1942" s="320" t="s">
        <v>2195</v>
      </c>
      <c r="C1942" s="153"/>
      <c r="D1942" s="154"/>
      <c r="E1942" s="154">
        <f>3.76+0.5+0.5</f>
        <v>4.76</v>
      </c>
      <c r="F1942" s="154">
        <f t="shared" si="66"/>
        <v>1.68</v>
      </c>
      <c r="G1942" s="154"/>
      <c r="H1942" s="154">
        <v>7.0000000000000007E-2</v>
      </c>
      <c r="I1942" s="154"/>
      <c r="J1942" s="154"/>
      <c r="K1942" s="154">
        <f>'BOCA DE LOBO'!O93</f>
        <v>13</v>
      </c>
      <c r="L1942" s="165"/>
      <c r="M1942" s="154"/>
      <c r="N1942" s="154">
        <f t="shared" si="67"/>
        <v>103.9584</v>
      </c>
      <c r="O1942" s="154">
        <f t="shared" si="68"/>
        <v>7.2770880000000009</v>
      </c>
    </row>
    <row r="1943" spans="1:15" x14ac:dyDescent="0.35">
      <c r="A1943" s="321"/>
      <c r="B1943" s="320"/>
      <c r="C1943" s="153"/>
      <c r="D1943" s="154"/>
      <c r="E1943" s="154"/>
      <c r="F1943" s="154"/>
      <c r="G1943" s="154"/>
      <c r="H1943" s="154"/>
      <c r="I1943" s="154"/>
      <c r="J1943" s="154"/>
      <c r="K1943" s="154"/>
      <c r="L1943" s="165"/>
      <c r="M1943" s="154"/>
      <c r="N1943" s="154"/>
      <c r="O1943" s="154"/>
    </row>
    <row r="1944" spans="1:15" x14ac:dyDescent="0.35">
      <c r="A1944" s="321"/>
      <c r="B1944" s="318" t="s">
        <v>377</v>
      </c>
      <c r="C1944" s="158" t="s">
        <v>402</v>
      </c>
      <c r="D1944" s="158"/>
      <c r="E1944" s="158"/>
      <c r="F1944" s="158"/>
      <c r="G1944" s="158"/>
      <c r="H1944" s="158"/>
      <c r="I1944" s="158"/>
      <c r="J1944" s="158"/>
      <c r="K1944" s="158"/>
      <c r="L1944" s="158"/>
      <c r="M1944" s="158"/>
      <c r="N1944" s="158">
        <f>SUM(N1931:N1942)</f>
        <v>799.68</v>
      </c>
      <c r="O1944" s="158"/>
    </row>
    <row r="1945" spans="1:15" ht="42" x14ac:dyDescent="0.35">
      <c r="A1945" s="323" t="str">
        <f>ORÇAMENTO!A320</f>
        <v>5.1.1.5.2</v>
      </c>
      <c r="B1945" s="322" t="str">
        <f>VLOOKUP(A1945,ORÇAMENTO!$A:$F,4,0)</f>
        <v>EXECUÇÃO DE PASSEIO (CALÇADA) OU PISO DE CONCRETO COM CONCRETO MOLDADO IN LOCO, FEITO EM OBRA, ACABAMENTO CONVENCIONAL, NÃO ARMADO. AF_08/2022</v>
      </c>
      <c r="C1945" s="149" t="str">
        <f>VLOOKUP(A1945,ORÇAMENTO!$A:$F,5,0)</f>
        <v>M³</v>
      </c>
      <c r="D1945" s="149">
        <f>SUM(E1961:O1961)</f>
        <v>27.315399999999997</v>
      </c>
      <c r="E1945" s="149" t="s">
        <v>2149</v>
      </c>
      <c r="F1945" s="149" t="s">
        <v>2150</v>
      </c>
      <c r="G1945" s="149" t="s">
        <v>2151</v>
      </c>
      <c r="H1945" s="149" t="s">
        <v>2152</v>
      </c>
      <c r="I1945" s="149" t="s">
        <v>2153</v>
      </c>
      <c r="J1945" s="149" t="s">
        <v>2154</v>
      </c>
      <c r="K1945" s="149" t="s">
        <v>2181</v>
      </c>
      <c r="L1945" s="149" t="s">
        <v>2178</v>
      </c>
      <c r="M1945" s="149" t="s">
        <v>2175</v>
      </c>
      <c r="N1945" s="149" t="s">
        <v>2157</v>
      </c>
      <c r="O1945" s="149" t="s">
        <v>2158</v>
      </c>
    </row>
    <row r="1946" spans="1:15" ht="21" x14ac:dyDescent="0.35">
      <c r="A1946" s="321"/>
      <c r="B1946" s="318" t="s">
        <v>2196</v>
      </c>
      <c r="C1946" s="153"/>
      <c r="D1946" s="154"/>
      <c r="E1946" s="154"/>
      <c r="F1946" s="154"/>
      <c r="G1946" s="154"/>
      <c r="H1946" s="154"/>
      <c r="I1946" s="154"/>
      <c r="J1946" s="154"/>
      <c r="K1946" s="154"/>
      <c r="L1946" s="165"/>
      <c r="M1946" s="154"/>
      <c r="N1946" s="154"/>
      <c r="O1946" s="154"/>
    </row>
    <row r="1947" spans="1:15" x14ac:dyDescent="0.35">
      <c r="A1947" s="321"/>
      <c r="B1947" s="318" t="s">
        <v>2197</v>
      </c>
      <c r="C1947" s="153"/>
      <c r="D1947" s="154"/>
      <c r="E1947" s="154"/>
      <c r="F1947" s="154"/>
      <c r="G1947" s="154"/>
      <c r="H1947" s="154"/>
      <c r="I1947" s="154"/>
      <c r="J1947" s="154"/>
      <c r="K1947" s="154"/>
      <c r="L1947" s="165"/>
      <c r="M1947" s="154"/>
      <c r="N1947" s="154"/>
      <c r="O1947" s="153">
        <f>SUM(O1931:O1942)</f>
        <v>55.977599999999995</v>
      </c>
    </row>
    <row r="1948" spans="1:15" ht="21" x14ac:dyDescent="0.35">
      <c r="A1948" s="321"/>
      <c r="B1948" s="320" t="str">
        <f t="shared" ref="B1948:B1959" si="69">B1931</f>
        <v>BOCA DE LOBO SIMPLES EXISTENTE COM BOCA DE LOBO DUPLA PROJETADA</v>
      </c>
      <c r="C1948" s="153"/>
      <c r="D1948" s="154"/>
      <c r="E1948" s="154">
        <f>2.38</f>
        <v>2.38</v>
      </c>
      <c r="F1948" s="154">
        <f t="shared" ref="F1948:F1959" si="70">1.18</f>
        <v>1.18</v>
      </c>
      <c r="G1948" s="154"/>
      <c r="H1948" s="154">
        <f t="shared" ref="H1948:H1959" si="71">H1931</f>
        <v>7.0000000000000007E-2</v>
      </c>
      <c r="I1948" s="154"/>
      <c r="J1948" s="154"/>
      <c r="K1948" s="154">
        <f t="shared" ref="K1948:K1959" si="72">K1931</f>
        <v>0</v>
      </c>
      <c r="L1948" s="165"/>
      <c r="M1948" s="154"/>
      <c r="N1948" s="154"/>
      <c r="O1948" s="154">
        <f t="shared" ref="O1948:O1959" si="73">-E1948*F1948*K1948*H1948</f>
        <v>0</v>
      </c>
    </row>
    <row r="1949" spans="1:15" ht="21" x14ac:dyDescent="0.35">
      <c r="A1949" s="321"/>
      <c r="B1949" s="320" t="str">
        <f t="shared" si="69"/>
        <v>BOCA DE LOBO SIMPLES EXISTENTE COM BOCA DE LOBO SIMPLES PROJETADA</v>
      </c>
      <c r="C1949" s="153"/>
      <c r="D1949" s="154"/>
      <c r="E1949" s="154">
        <f>1.19</f>
        <v>1.19</v>
      </c>
      <c r="F1949" s="154">
        <f t="shared" si="70"/>
        <v>1.18</v>
      </c>
      <c r="G1949" s="154"/>
      <c r="H1949" s="154">
        <f t="shared" si="71"/>
        <v>7.0000000000000007E-2</v>
      </c>
      <c r="I1949" s="154"/>
      <c r="J1949" s="154"/>
      <c r="K1949" s="154">
        <f t="shared" si="72"/>
        <v>0</v>
      </c>
      <c r="L1949" s="165"/>
      <c r="M1949" s="154"/>
      <c r="N1949" s="154"/>
      <c r="O1949" s="154">
        <f t="shared" si="73"/>
        <v>0</v>
      </c>
    </row>
    <row r="1950" spans="1:15" ht="21" x14ac:dyDescent="0.35">
      <c r="A1950" s="321"/>
      <c r="B1950" s="320" t="str">
        <f t="shared" si="69"/>
        <v>BOCA DE LOBO SIMPLES EXISTENTE COM BOCA DE LOBO TRIPLA PROJETADA</v>
      </c>
      <c r="C1950" s="153"/>
      <c r="D1950" s="154"/>
      <c r="E1950" s="154">
        <f>3.54</f>
        <v>3.54</v>
      </c>
      <c r="F1950" s="154">
        <f t="shared" si="70"/>
        <v>1.18</v>
      </c>
      <c r="G1950" s="154"/>
      <c r="H1950" s="154">
        <f t="shared" si="71"/>
        <v>7.0000000000000007E-2</v>
      </c>
      <c r="I1950" s="154"/>
      <c r="J1950" s="154"/>
      <c r="K1950" s="154">
        <f t="shared" si="72"/>
        <v>0</v>
      </c>
      <c r="L1950" s="165"/>
      <c r="M1950" s="154"/>
      <c r="N1950" s="154"/>
      <c r="O1950" s="154">
        <f t="shared" si="73"/>
        <v>0</v>
      </c>
    </row>
    <row r="1951" spans="1:15" ht="21" x14ac:dyDescent="0.35">
      <c r="A1951" s="321"/>
      <c r="B1951" s="320" t="str">
        <f t="shared" si="69"/>
        <v>BOCA DE LOBO DUPLA EXISTENTE COM BOCA DE LOBO SIMPLES PROJETADA</v>
      </c>
      <c r="C1951" s="153"/>
      <c r="D1951" s="154"/>
      <c r="E1951" s="154">
        <f>1.19</f>
        <v>1.19</v>
      </c>
      <c r="F1951" s="154">
        <f t="shared" si="70"/>
        <v>1.18</v>
      </c>
      <c r="G1951" s="154"/>
      <c r="H1951" s="154">
        <f t="shared" si="71"/>
        <v>7.0000000000000007E-2</v>
      </c>
      <c r="I1951" s="154"/>
      <c r="J1951" s="154"/>
      <c r="K1951" s="154">
        <f t="shared" si="72"/>
        <v>0</v>
      </c>
      <c r="L1951" s="165"/>
      <c r="M1951" s="154"/>
      <c r="N1951" s="154"/>
      <c r="O1951" s="154">
        <f t="shared" si="73"/>
        <v>0</v>
      </c>
    </row>
    <row r="1952" spans="1:15" ht="21" x14ac:dyDescent="0.35">
      <c r="A1952" s="321"/>
      <c r="B1952" s="320" t="str">
        <f t="shared" si="69"/>
        <v>BOCA DE LOBO DUPLA EXISTENTE COM BOCA DE LOBO DUPLA PROJETADA</v>
      </c>
      <c r="C1952" s="153"/>
      <c r="D1952" s="154"/>
      <c r="E1952" s="154">
        <f>2.38</f>
        <v>2.38</v>
      </c>
      <c r="F1952" s="154">
        <f t="shared" si="70"/>
        <v>1.18</v>
      </c>
      <c r="G1952" s="154"/>
      <c r="H1952" s="154">
        <f t="shared" si="71"/>
        <v>7.0000000000000007E-2</v>
      </c>
      <c r="I1952" s="154"/>
      <c r="J1952" s="154"/>
      <c r="K1952" s="154">
        <f t="shared" si="72"/>
        <v>0</v>
      </c>
      <c r="L1952" s="165"/>
      <c r="M1952" s="154"/>
      <c r="N1952" s="154"/>
      <c r="O1952" s="154">
        <f t="shared" si="73"/>
        <v>0</v>
      </c>
    </row>
    <row r="1953" spans="1:15" ht="21" x14ac:dyDescent="0.35">
      <c r="A1953" s="321"/>
      <c r="B1953" s="320" t="str">
        <f t="shared" si="69"/>
        <v>BOCA DE LOBO DUPLA EXISTENTE COM BOCA DE LOBO TRIPLA PROJETADA</v>
      </c>
      <c r="C1953" s="153"/>
      <c r="D1953" s="154"/>
      <c r="E1953" s="154">
        <f>3.54</f>
        <v>3.54</v>
      </c>
      <c r="F1953" s="154">
        <f t="shared" si="70"/>
        <v>1.18</v>
      </c>
      <c r="G1953" s="154"/>
      <c r="H1953" s="154">
        <f t="shared" si="71"/>
        <v>7.0000000000000007E-2</v>
      </c>
      <c r="I1953" s="154"/>
      <c r="J1953" s="154"/>
      <c r="K1953" s="154">
        <f t="shared" si="72"/>
        <v>0</v>
      </c>
      <c r="L1953" s="165"/>
      <c r="M1953" s="154"/>
      <c r="N1953" s="154"/>
      <c r="O1953" s="154">
        <f t="shared" si="73"/>
        <v>0</v>
      </c>
    </row>
    <row r="1954" spans="1:15" ht="21" x14ac:dyDescent="0.35">
      <c r="A1954" s="321"/>
      <c r="B1954" s="320" t="str">
        <f t="shared" si="69"/>
        <v>BOCA DE LOBO TRIPLA EXISTENTE COM BOCA DE LOBO SIMPLES PROJETADA</v>
      </c>
      <c r="C1954" s="153"/>
      <c r="D1954" s="154"/>
      <c r="E1954" s="154">
        <f>1.19</f>
        <v>1.19</v>
      </c>
      <c r="F1954" s="154">
        <f t="shared" si="70"/>
        <v>1.18</v>
      </c>
      <c r="G1954" s="154"/>
      <c r="H1954" s="154">
        <f t="shared" si="71"/>
        <v>7.0000000000000007E-2</v>
      </c>
      <c r="I1954" s="154"/>
      <c r="J1954" s="154"/>
      <c r="K1954" s="154">
        <f t="shared" si="72"/>
        <v>0</v>
      </c>
      <c r="L1954" s="165"/>
      <c r="M1954" s="154"/>
      <c r="N1954" s="154"/>
      <c r="O1954" s="154">
        <f t="shared" si="73"/>
        <v>0</v>
      </c>
    </row>
    <row r="1955" spans="1:15" ht="21" x14ac:dyDescent="0.35">
      <c r="A1955" s="321"/>
      <c r="B1955" s="320" t="str">
        <f t="shared" si="69"/>
        <v>BOCA DE LOBO TRIPLA EXISTENTE COM BOCA DE LOBO DUPLA PROJETADA</v>
      </c>
      <c r="C1955" s="153"/>
      <c r="D1955" s="154"/>
      <c r="E1955" s="154">
        <f>2.38</f>
        <v>2.38</v>
      </c>
      <c r="F1955" s="154">
        <f t="shared" si="70"/>
        <v>1.18</v>
      </c>
      <c r="G1955" s="154"/>
      <c r="H1955" s="154">
        <f t="shared" si="71"/>
        <v>7.0000000000000007E-2</v>
      </c>
      <c r="I1955" s="154"/>
      <c r="J1955" s="154"/>
      <c r="K1955" s="154">
        <f t="shared" si="72"/>
        <v>0</v>
      </c>
      <c r="L1955" s="165"/>
      <c r="M1955" s="154"/>
      <c r="N1955" s="154"/>
      <c r="O1955" s="154">
        <f t="shared" si="73"/>
        <v>0</v>
      </c>
    </row>
    <row r="1956" spans="1:15" ht="21" x14ac:dyDescent="0.35">
      <c r="A1956" s="321"/>
      <c r="B1956" s="320" t="str">
        <f t="shared" si="69"/>
        <v>BOCA DE LOBO TRIPLA EXISTENTE COM BOCA DE LOBO TRIPLA PROJETADA</v>
      </c>
      <c r="C1956" s="153"/>
      <c r="D1956" s="154"/>
      <c r="E1956" s="154">
        <f>3.54</f>
        <v>3.54</v>
      </c>
      <c r="F1956" s="154">
        <f t="shared" si="70"/>
        <v>1.18</v>
      </c>
      <c r="G1956" s="154"/>
      <c r="H1956" s="154">
        <f t="shared" si="71"/>
        <v>7.0000000000000007E-2</v>
      </c>
      <c r="I1956" s="154"/>
      <c r="J1956" s="154"/>
      <c r="K1956" s="154">
        <f t="shared" si="72"/>
        <v>0</v>
      </c>
      <c r="L1956" s="165"/>
      <c r="M1956" s="154"/>
      <c r="N1956" s="154"/>
      <c r="O1956" s="154">
        <f t="shared" si="73"/>
        <v>0</v>
      </c>
    </row>
    <row r="1957" spans="1:15" x14ac:dyDescent="0.35">
      <c r="A1957" s="321"/>
      <c r="B1957" s="320" t="str">
        <f t="shared" si="69"/>
        <v>BOCA DE LOBO PROJETADA SIMPLES</v>
      </c>
      <c r="C1957" s="153"/>
      <c r="D1957" s="154"/>
      <c r="E1957" s="154">
        <f>1.38</f>
        <v>1.38</v>
      </c>
      <c r="F1957" s="154">
        <f t="shared" si="70"/>
        <v>1.18</v>
      </c>
      <c r="G1957" s="154"/>
      <c r="H1957" s="154">
        <f t="shared" si="71"/>
        <v>7.0000000000000007E-2</v>
      </c>
      <c r="I1957" s="154"/>
      <c r="J1957" s="154"/>
      <c r="K1957" s="154">
        <f t="shared" si="72"/>
        <v>0</v>
      </c>
      <c r="L1957" s="165"/>
      <c r="M1957" s="154"/>
      <c r="N1957" s="154"/>
      <c r="O1957" s="154">
        <f t="shared" si="73"/>
        <v>0</v>
      </c>
    </row>
    <row r="1958" spans="1:15" x14ac:dyDescent="0.35">
      <c r="A1958" s="321"/>
      <c r="B1958" s="320" t="str">
        <f t="shared" si="69"/>
        <v>BOCA DE LOBO PROJETADA DUPLA</v>
      </c>
      <c r="C1958" s="153"/>
      <c r="D1958" s="154"/>
      <c r="E1958" s="154">
        <f>2.57</f>
        <v>2.57</v>
      </c>
      <c r="F1958" s="154">
        <f t="shared" si="70"/>
        <v>1.18</v>
      </c>
      <c r="G1958" s="154"/>
      <c r="H1958" s="154">
        <f t="shared" si="71"/>
        <v>7.0000000000000007E-2</v>
      </c>
      <c r="I1958" s="154"/>
      <c r="J1958" s="154"/>
      <c r="K1958" s="154">
        <f t="shared" si="72"/>
        <v>116</v>
      </c>
      <c r="L1958" s="165"/>
      <c r="M1958" s="154"/>
      <c r="N1958" s="154"/>
      <c r="O1958" s="154">
        <f t="shared" si="73"/>
        <v>-24.624711999999999</v>
      </c>
    </row>
    <row r="1959" spans="1:15" x14ac:dyDescent="0.35">
      <c r="A1959" s="321"/>
      <c r="B1959" s="320" t="str">
        <f t="shared" si="69"/>
        <v>BOCA DE LOBO PROJETADA TRIPLA</v>
      </c>
      <c r="C1959" s="153"/>
      <c r="D1959" s="154"/>
      <c r="E1959" s="154">
        <f>3.76</f>
        <v>3.76</v>
      </c>
      <c r="F1959" s="154">
        <f t="shared" si="70"/>
        <v>1.18</v>
      </c>
      <c r="G1959" s="154"/>
      <c r="H1959" s="154">
        <f t="shared" si="71"/>
        <v>7.0000000000000007E-2</v>
      </c>
      <c r="I1959" s="154"/>
      <c r="J1959" s="154"/>
      <c r="K1959" s="154">
        <f t="shared" si="72"/>
        <v>13</v>
      </c>
      <c r="L1959" s="165"/>
      <c r="M1959" s="154"/>
      <c r="N1959" s="154"/>
      <c r="O1959" s="154">
        <f t="shared" si="73"/>
        <v>-4.0374879999999997</v>
      </c>
    </row>
    <row r="1960" spans="1:15" x14ac:dyDescent="0.35">
      <c r="A1960" s="321"/>
      <c r="B1960" s="320"/>
      <c r="C1960" s="153"/>
      <c r="D1960" s="154"/>
      <c r="E1960" s="154"/>
      <c r="F1960" s="154"/>
      <c r="G1960" s="154"/>
      <c r="H1960" s="154"/>
      <c r="I1960" s="154"/>
      <c r="J1960" s="154"/>
      <c r="K1960" s="154"/>
      <c r="L1960" s="165"/>
      <c r="M1960" s="154"/>
      <c r="N1960" s="154"/>
      <c r="O1960" s="154"/>
    </row>
    <row r="1961" spans="1:15" x14ac:dyDescent="0.35">
      <c r="A1961" s="321"/>
      <c r="B1961" s="318" t="s">
        <v>377</v>
      </c>
      <c r="C1961" s="158" t="s">
        <v>402</v>
      </c>
      <c r="D1961" s="158"/>
      <c r="E1961" s="158"/>
      <c r="F1961" s="158"/>
      <c r="G1961" s="158"/>
      <c r="H1961" s="158"/>
      <c r="I1961" s="158"/>
      <c r="J1961" s="158"/>
      <c r="K1961" s="158"/>
      <c r="L1961" s="158"/>
      <c r="M1961" s="158"/>
      <c r="N1961" s="158"/>
      <c r="O1961" s="158">
        <f>SUM(O1947:O1959)</f>
        <v>27.315399999999997</v>
      </c>
    </row>
    <row r="1962" spans="1:15" ht="21" x14ac:dyDescent="0.35">
      <c r="A1962" s="323" t="str">
        <f>ORÇAMENTO!A321</f>
        <v>5.1.1.5.3</v>
      </c>
      <c r="B1962" s="322" t="str">
        <f>VLOOKUP(A1962,ORÇAMENTO!$A:$F,4,0)</f>
        <v>RETIRADA MEIO-FIO EM CONCRETO</v>
      </c>
      <c r="C1962" s="149" t="str">
        <f>VLOOKUP(A1962,ORÇAMENTO!$A:$F,5,0)</f>
        <v>M</v>
      </c>
      <c r="D1962" s="149">
        <f>SUM(E1977:O1977)</f>
        <v>476</v>
      </c>
      <c r="E1962" s="149" t="s">
        <v>2149</v>
      </c>
      <c r="F1962" s="149" t="s">
        <v>2150</v>
      </c>
      <c r="G1962" s="149" t="s">
        <v>2151</v>
      </c>
      <c r="H1962" s="149" t="s">
        <v>2152</v>
      </c>
      <c r="I1962" s="149" t="s">
        <v>2153</v>
      </c>
      <c r="J1962" s="149" t="s">
        <v>2154</v>
      </c>
      <c r="K1962" s="149" t="s">
        <v>2181</v>
      </c>
      <c r="L1962" s="149" t="s">
        <v>2178</v>
      </c>
      <c r="M1962" s="149" t="s">
        <v>2175</v>
      </c>
      <c r="N1962" s="149" t="s">
        <v>2157</v>
      </c>
      <c r="O1962" s="149" t="s">
        <v>2158</v>
      </c>
    </row>
    <row r="1963" spans="1:15" x14ac:dyDescent="0.35">
      <c r="A1963" s="321"/>
      <c r="B1963" s="318"/>
      <c r="C1963" s="153"/>
      <c r="D1963" s="154"/>
      <c r="E1963" s="154"/>
      <c r="F1963" s="154"/>
      <c r="G1963" s="154"/>
      <c r="H1963" s="154"/>
      <c r="I1963" s="154"/>
      <c r="J1963" s="154"/>
      <c r="K1963" s="154"/>
      <c r="L1963" s="165"/>
      <c r="M1963" s="154"/>
      <c r="N1963" s="154"/>
      <c r="O1963" s="154"/>
    </row>
    <row r="1964" spans="1:15" ht="21" x14ac:dyDescent="0.35">
      <c r="A1964" s="321"/>
      <c r="B1964" s="320" t="str">
        <f t="shared" ref="B1964:B1975" si="74">B1931</f>
        <v>BOCA DE LOBO SIMPLES EXISTENTE COM BOCA DE LOBO DUPLA PROJETADA</v>
      </c>
      <c r="C1964" s="153"/>
      <c r="D1964" s="154"/>
      <c r="E1964" s="154">
        <f t="shared" ref="E1964:E1975" si="75">E1931</f>
        <v>2.88</v>
      </c>
      <c r="F1964" s="154"/>
      <c r="G1964" s="154"/>
      <c r="H1964" s="154"/>
      <c r="I1964" s="154"/>
      <c r="J1964" s="154"/>
      <c r="K1964" s="154">
        <f t="shared" ref="K1964:K1975" si="76">K1931</f>
        <v>0</v>
      </c>
      <c r="L1964" s="165"/>
      <c r="M1964" s="154"/>
      <c r="N1964" s="154"/>
      <c r="O1964" s="154"/>
    </row>
    <row r="1965" spans="1:15" ht="21" x14ac:dyDescent="0.35">
      <c r="A1965" s="321"/>
      <c r="B1965" s="320" t="str">
        <f t="shared" si="74"/>
        <v>BOCA DE LOBO SIMPLES EXISTENTE COM BOCA DE LOBO SIMPLES PROJETADA</v>
      </c>
      <c r="C1965" s="153"/>
      <c r="D1965" s="154"/>
      <c r="E1965" s="154">
        <f t="shared" si="75"/>
        <v>1.69</v>
      </c>
      <c r="F1965" s="154"/>
      <c r="G1965" s="154"/>
      <c r="H1965" s="154"/>
      <c r="I1965" s="154"/>
      <c r="J1965" s="154"/>
      <c r="K1965" s="154">
        <f t="shared" si="76"/>
        <v>0</v>
      </c>
      <c r="L1965" s="165"/>
      <c r="M1965" s="154"/>
      <c r="N1965" s="154"/>
      <c r="O1965" s="154"/>
    </row>
    <row r="1966" spans="1:15" ht="21" x14ac:dyDescent="0.35">
      <c r="A1966" s="321"/>
      <c r="B1966" s="320" t="str">
        <f t="shared" si="74"/>
        <v>BOCA DE LOBO SIMPLES EXISTENTE COM BOCA DE LOBO TRIPLA PROJETADA</v>
      </c>
      <c r="C1966" s="153"/>
      <c r="D1966" s="154"/>
      <c r="E1966" s="154">
        <f t="shared" si="75"/>
        <v>4.04</v>
      </c>
      <c r="F1966" s="154"/>
      <c r="G1966" s="154"/>
      <c r="H1966" s="154"/>
      <c r="I1966" s="154"/>
      <c r="J1966" s="154"/>
      <c r="K1966" s="154">
        <f t="shared" si="76"/>
        <v>0</v>
      </c>
      <c r="L1966" s="165"/>
      <c r="M1966" s="154"/>
      <c r="N1966" s="154"/>
      <c r="O1966" s="154"/>
    </row>
    <row r="1967" spans="1:15" ht="21" x14ac:dyDescent="0.35">
      <c r="A1967" s="321"/>
      <c r="B1967" s="320" t="str">
        <f t="shared" si="74"/>
        <v>BOCA DE LOBO DUPLA EXISTENTE COM BOCA DE LOBO SIMPLES PROJETADA</v>
      </c>
      <c r="C1967" s="153"/>
      <c r="D1967" s="154"/>
      <c r="E1967" s="154">
        <f t="shared" si="75"/>
        <v>1.69</v>
      </c>
      <c r="F1967" s="154"/>
      <c r="G1967" s="154"/>
      <c r="H1967" s="154"/>
      <c r="I1967" s="154"/>
      <c r="J1967" s="154"/>
      <c r="K1967" s="154">
        <f t="shared" si="76"/>
        <v>0</v>
      </c>
      <c r="L1967" s="165"/>
      <c r="M1967" s="154"/>
      <c r="N1967" s="154"/>
      <c r="O1967" s="154"/>
    </row>
    <row r="1968" spans="1:15" ht="21" x14ac:dyDescent="0.35">
      <c r="A1968" s="321"/>
      <c r="B1968" s="320" t="str">
        <f t="shared" si="74"/>
        <v>BOCA DE LOBO DUPLA EXISTENTE COM BOCA DE LOBO DUPLA PROJETADA</v>
      </c>
      <c r="C1968" s="153"/>
      <c r="D1968" s="154"/>
      <c r="E1968" s="154">
        <f t="shared" si="75"/>
        <v>2.88</v>
      </c>
      <c r="F1968" s="154"/>
      <c r="G1968" s="154"/>
      <c r="H1968" s="154"/>
      <c r="I1968" s="154"/>
      <c r="J1968" s="154"/>
      <c r="K1968" s="154">
        <f t="shared" si="76"/>
        <v>0</v>
      </c>
      <c r="L1968" s="165"/>
      <c r="M1968" s="154"/>
      <c r="N1968" s="154"/>
      <c r="O1968" s="154"/>
    </row>
    <row r="1969" spans="1:15" ht="21" x14ac:dyDescent="0.35">
      <c r="A1969" s="321"/>
      <c r="B1969" s="320" t="str">
        <f t="shared" si="74"/>
        <v>BOCA DE LOBO DUPLA EXISTENTE COM BOCA DE LOBO TRIPLA PROJETADA</v>
      </c>
      <c r="C1969" s="153"/>
      <c r="D1969" s="154"/>
      <c r="E1969" s="154">
        <f t="shared" si="75"/>
        <v>4.04</v>
      </c>
      <c r="F1969" s="154"/>
      <c r="G1969" s="154"/>
      <c r="H1969" s="154"/>
      <c r="I1969" s="154"/>
      <c r="J1969" s="154"/>
      <c r="K1969" s="154">
        <f t="shared" si="76"/>
        <v>0</v>
      </c>
      <c r="L1969" s="165"/>
      <c r="M1969" s="154"/>
      <c r="N1969" s="154"/>
      <c r="O1969" s="154"/>
    </row>
    <row r="1970" spans="1:15" ht="21" x14ac:dyDescent="0.35">
      <c r="A1970" s="321"/>
      <c r="B1970" s="320" t="str">
        <f t="shared" si="74"/>
        <v>BOCA DE LOBO TRIPLA EXISTENTE COM BOCA DE LOBO SIMPLES PROJETADA</v>
      </c>
      <c r="C1970" s="153"/>
      <c r="D1970" s="154"/>
      <c r="E1970" s="154">
        <f t="shared" si="75"/>
        <v>1.69</v>
      </c>
      <c r="F1970" s="154"/>
      <c r="G1970" s="154"/>
      <c r="H1970" s="154"/>
      <c r="I1970" s="154"/>
      <c r="J1970" s="154"/>
      <c r="K1970" s="154">
        <f t="shared" si="76"/>
        <v>0</v>
      </c>
      <c r="L1970" s="165"/>
      <c r="M1970" s="154"/>
      <c r="N1970" s="154"/>
      <c r="O1970" s="154"/>
    </row>
    <row r="1971" spans="1:15" ht="21" x14ac:dyDescent="0.35">
      <c r="A1971" s="321"/>
      <c r="B1971" s="320" t="str">
        <f t="shared" si="74"/>
        <v>BOCA DE LOBO TRIPLA EXISTENTE COM BOCA DE LOBO DUPLA PROJETADA</v>
      </c>
      <c r="C1971" s="153"/>
      <c r="D1971" s="154"/>
      <c r="E1971" s="154">
        <f t="shared" si="75"/>
        <v>2.88</v>
      </c>
      <c r="F1971" s="154"/>
      <c r="G1971" s="154"/>
      <c r="H1971" s="154"/>
      <c r="I1971" s="154"/>
      <c r="J1971" s="154"/>
      <c r="K1971" s="154">
        <f t="shared" si="76"/>
        <v>0</v>
      </c>
      <c r="L1971" s="165"/>
      <c r="M1971" s="154"/>
      <c r="N1971" s="154"/>
      <c r="O1971" s="154"/>
    </row>
    <row r="1972" spans="1:15" ht="21" x14ac:dyDescent="0.35">
      <c r="A1972" s="321"/>
      <c r="B1972" s="320" t="str">
        <f t="shared" si="74"/>
        <v>BOCA DE LOBO TRIPLA EXISTENTE COM BOCA DE LOBO TRIPLA PROJETADA</v>
      </c>
      <c r="C1972" s="153"/>
      <c r="D1972" s="154"/>
      <c r="E1972" s="154">
        <f t="shared" si="75"/>
        <v>4.04</v>
      </c>
      <c r="F1972" s="154"/>
      <c r="G1972" s="154"/>
      <c r="H1972" s="154"/>
      <c r="I1972" s="154"/>
      <c r="J1972" s="154"/>
      <c r="K1972" s="154">
        <f t="shared" si="76"/>
        <v>0</v>
      </c>
      <c r="L1972" s="165"/>
      <c r="M1972" s="154"/>
      <c r="N1972" s="154"/>
      <c r="O1972" s="154"/>
    </row>
    <row r="1973" spans="1:15" x14ac:dyDescent="0.35">
      <c r="A1973" s="321"/>
      <c r="B1973" s="320" t="str">
        <f t="shared" si="74"/>
        <v>BOCA DE LOBO PROJETADA SIMPLES</v>
      </c>
      <c r="C1973" s="153"/>
      <c r="D1973" s="154"/>
      <c r="E1973" s="154">
        <f t="shared" si="75"/>
        <v>2.38</v>
      </c>
      <c r="F1973" s="154"/>
      <c r="G1973" s="154"/>
      <c r="H1973" s="154"/>
      <c r="I1973" s="154"/>
      <c r="J1973" s="154"/>
      <c r="K1973" s="154">
        <f t="shared" si="76"/>
        <v>0</v>
      </c>
      <c r="L1973" s="165"/>
      <c r="M1973" s="154"/>
      <c r="N1973" s="154"/>
      <c r="O1973" s="154"/>
    </row>
    <row r="1974" spans="1:15" x14ac:dyDescent="0.35">
      <c r="A1974" s="321"/>
      <c r="B1974" s="320" t="str">
        <f t="shared" si="74"/>
        <v>BOCA DE LOBO PROJETADA DUPLA</v>
      </c>
      <c r="C1974" s="153"/>
      <c r="D1974" s="154"/>
      <c r="E1974" s="154">
        <f t="shared" si="75"/>
        <v>3.57</v>
      </c>
      <c r="F1974" s="154"/>
      <c r="G1974" s="154"/>
      <c r="H1974" s="154"/>
      <c r="I1974" s="154"/>
      <c r="J1974" s="154"/>
      <c r="K1974" s="154">
        <f t="shared" si="76"/>
        <v>116</v>
      </c>
      <c r="L1974" s="165"/>
      <c r="M1974" s="154"/>
      <c r="N1974" s="154"/>
      <c r="O1974" s="154"/>
    </row>
    <row r="1975" spans="1:15" x14ac:dyDescent="0.35">
      <c r="A1975" s="321"/>
      <c r="B1975" s="320" t="str">
        <f t="shared" si="74"/>
        <v>BOCA DE LOBO PROJETADA TRIPLA</v>
      </c>
      <c r="C1975" s="153"/>
      <c r="D1975" s="154"/>
      <c r="E1975" s="154">
        <f t="shared" si="75"/>
        <v>4.76</v>
      </c>
      <c r="F1975" s="154"/>
      <c r="G1975" s="154"/>
      <c r="H1975" s="154"/>
      <c r="I1975" s="154"/>
      <c r="J1975" s="154"/>
      <c r="K1975" s="154">
        <f t="shared" si="76"/>
        <v>13</v>
      </c>
      <c r="L1975" s="165"/>
      <c r="M1975" s="154"/>
      <c r="N1975" s="154"/>
      <c r="O1975" s="154"/>
    </row>
    <row r="1976" spans="1:15" x14ac:dyDescent="0.35">
      <c r="A1976" s="321"/>
      <c r="B1976" s="320"/>
      <c r="C1976" s="153"/>
      <c r="D1976" s="154"/>
      <c r="E1976" s="154"/>
      <c r="F1976" s="154"/>
      <c r="G1976" s="154"/>
      <c r="H1976" s="154"/>
      <c r="I1976" s="154"/>
      <c r="J1976" s="154"/>
      <c r="K1976" s="154"/>
      <c r="L1976" s="165"/>
      <c r="M1976" s="154"/>
      <c r="N1976" s="154"/>
      <c r="O1976" s="154"/>
    </row>
    <row r="1977" spans="1:15" x14ac:dyDescent="0.35">
      <c r="A1977" s="321"/>
      <c r="B1977" s="318" t="s">
        <v>377</v>
      </c>
      <c r="C1977" s="158" t="s">
        <v>402</v>
      </c>
      <c r="D1977" s="158"/>
      <c r="E1977" s="158">
        <f>SUMPRODUCT(E1964:E1975,K1964:K1975)</f>
        <v>476</v>
      </c>
      <c r="F1977" s="158"/>
      <c r="G1977" s="158"/>
      <c r="H1977" s="158"/>
      <c r="I1977" s="158"/>
      <c r="J1977" s="158"/>
      <c r="K1977" s="158"/>
      <c r="L1977" s="158"/>
      <c r="M1977" s="158"/>
      <c r="N1977" s="158"/>
      <c r="O1977" s="158"/>
    </row>
    <row r="1978" spans="1:15" ht="21" x14ac:dyDescent="0.35">
      <c r="A1978" s="323" t="str">
        <f>ORÇAMENTO!A322</f>
        <v>5.1.1.5.4</v>
      </c>
      <c r="B1978" s="322" t="str">
        <f>VLOOKUP(A1978,ORÇAMENTO!$A:$F,4,0)</f>
        <v>RECONSTRUCAO DE MEIO-FIO EM CONCRETO 10CM MOLDADO NO LOCAL</v>
      </c>
      <c r="C1978" s="149" t="str">
        <f>VLOOKUP(A1978,ORÇAMENTO!$A:$F,5,0)</f>
        <v>M</v>
      </c>
      <c r="D1978" s="149">
        <f>SUM(E1993:O1993)</f>
        <v>129</v>
      </c>
      <c r="E1978" s="149" t="s">
        <v>2149</v>
      </c>
      <c r="F1978" s="149" t="s">
        <v>2150</v>
      </c>
      <c r="G1978" s="149" t="s">
        <v>2151</v>
      </c>
      <c r="H1978" s="149" t="s">
        <v>2152</v>
      </c>
      <c r="I1978" s="149" t="s">
        <v>2153</v>
      </c>
      <c r="J1978" s="149" t="s">
        <v>2154</v>
      </c>
      <c r="K1978" s="149" t="s">
        <v>2181</v>
      </c>
      <c r="L1978" s="149" t="s">
        <v>2178</v>
      </c>
      <c r="M1978" s="149" t="s">
        <v>2175</v>
      </c>
      <c r="N1978" s="149" t="s">
        <v>2157</v>
      </c>
      <c r="O1978" s="149" t="s">
        <v>2158</v>
      </c>
    </row>
    <row r="1979" spans="1:15" x14ac:dyDescent="0.35">
      <c r="A1979" s="321"/>
      <c r="B1979" s="320"/>
      <c r="C1979" s="153"/>
      <c r="D1979" s="154"/>
      <c r="E1979" s="154"/>
      <c r="F1979" s="154"/>
      <c r="G1979" s="154"/>
      <c r="H1979" s="154"/>
      <c r="I1979" s="154"/>
      <c r="J1979" s="154"/>
      <c r="K1979" s="154"/>
      <c r="L1979" s="165"/>
      <c r="M1979" s="154"/>
      <c r="N1979" s="154"/>
      <c r="O1979" s="154"/>
    </row>
    <row r="1980" spans="1:15" ht="21" x14ac:dyDescent="0.35">
      <c r="A1980" s="321"/>
      <c r="B1980" s="320" t="str">
        <f t="shared" ref="B1980:B1991" si="77">B1964</f>
        <v>BOCA DE LOBO SIMPLES EXISTENTE COM BOCA DE LOBO DUPLA PROJETADA</v>
      </c>
      <c r="C1980" s="153"/>
      <c r="D1980" s="154"/>
      <c r="E1980" s="154">
        <f t="shared" ref="E1980:E1991" si="78">E1964-E1948</f>
        <v>0.5</v>
      </c>
      <c r="F1980" s="154"/>
      <c r="G1980" s="154"/>
      <c r="H1980" s="154"/>
      <c r="I1980" s="154"/>
      <c r="J1980" s="154"/>
      <c r="K1980" s="154">
        <f t="shared" ref="K1980:K1991" si="79">K1964</f>
        <v>0</v>
      </c>
      <c r="L1980" s="165"/>
      <c r="M1980" s="154"/>
      <c r="N1980" s="154"/>
      <c r="O1980" s="154"/>
    </row>
    <row r="1981" spans="1:15" ht="21" x14ac:dyDescent="0.35">
      <c r="A1981" s="321"/>
      <c r="B1981" s="320" t="str">
        <f t="shared" si="77"/>
        <v>BOCA DE LOBO SIMPLES EXISTENTE COM BOCA DE LOBO SIMPLES PROJETADA</v>
      </c>
      <c r="C1981" s="153"/>
      <c r="D1981" s="154"/>
      <c r="E1981" s="154">
        <f t="shared" si="78"/>
        <v>0.5</v>
      </c>
      <c r="F1981" s="154"/>
      <c r="G1981" s="154"/>
      <c r="H1981" s="154"/>
      <c r="I1981" s="154"/>
      <c r="J1981" s="154"/>
      <c r="K1981" s="154">
        <f t="shared" si="79"/>
        <v>0</v>
      </c>
      <c r="L1981" s="165"/>
      <c r="M1981" s="154"/>
      <c r="N1981" s="154"/>
      <c r="O1981" s="154"/>
    </row>
    <row r="1982" spans="1:15" ht="21" x14ac:dyDescent="0.35">
      <c r="A1982" s="321"/>
      <c r="B1982" s="320" t="str">
        <f t="shared" si="77"/>
        <v>BOCA DE LOBO SIMPLES EXISTENTE COM BOCA DE LOBO TRIPLA PROJETADA</v>
      </c>
      <c r="C1982" s="153"/>
      <c r="D1982" s="154"/>
      <c r="E1982" s="154">
        <f t="shared" si="78"/>
        <v>0.5</v>
      </c>
      <c r="F1982" s="154"/>
      <c r="G1982" s="154"/>
      <c r="H1982" s="154"/>
      <c r="I1982" s="154"/>
      <c r="J1982" s="154"/>
      <c r="K1982" s="154">
        <f t="shared" si="79"/>
        <v>0</v>
      </c>
      <c r="L1982" s="165"/>
      <c r="M1982" s="154"/>
      <c r="N1982" s="154"/>
      <c r="O1982" s="154"/>
    </row>
    <row r="1983" spans="1:15" ht="21" x14ac:dyDescent="0.35">
      <c r="A1983" s="321"/>
      <c r="B1983" s="320" t="str">
        <f t="shared" si="77"/>
        <v>BOCA DE LOBO DUPLA EXISTENTE COM BOCA DE LOBO SIMPLES PROJETADA</v>
      </c>
      <c r="C1983" s="153"/>
      <c r="D1983" s="154"/>
      <c r="E1983" s="154">
        <f t="shared" si="78"/>
        <v>0.5</v>
      </c>
      <c r="F1983" s="154"/>
      <c r="G1983" s="154"/>
      <c r="H1983" s="154"/>
      <c r="I1983" s="154"/>
      <c r="J1983" s="154"/>
      <c r="K1983" s="154">
        <f t="shared" si="79"/>
        <v>0</v>
      </c>
      <c r="L1983" s="165"/>
      <c r="M1983" s="154"/>
      <c r="N1983" s="154"/>
      <c r="O1983" s="154"/>
    </row>
    <row r="1984" spans="1:15" ht="21" x14ac:dyDescent="0.35">
      <c r="A1984" s="321"/>
      <c r="B1984" s="320" t="str">
        <f t="shared" si="77"/>
        <v>BOCA DE LOBO DUPLA EXISTENTE COM BOCA DE LOBO DUPLA PROJETADA</v>
      </c>
      <c r="C1984" s="153"/>
      <c r="D1984" s="154"/>
      <c r="E1984" s="154">
        <f t="shared" si="78"/>
        <v>0.5</v>
      </c>
      <c r="F1984" s="154"/>
      <c r="G1984" s="154"/>
      <c r="H1984" s="154"/>
      <c r="I1984" s="154"/>
      <c r="J1984" s="154"/>
      <c r="K1984" s="154">
        <f t="shared" si="79"/>
        <v>0</v>
      </c>
      <c r="L1984" s="165"/>
      <c r="M1984" s="154"/>
      <c r="N1984" s="154"/>
      <c r="O1984" s="154"/>
    </row>
    <row r="1985" spans="1:15" ht="21" x14ac:dyDescent="0.35">
      <c r="A1985" s="321"/>
      <c r="B1985" s="320" t="str">
        <f t="shared" si="77"/>
        <v>BOCA DE LOBO DUPLA EXISTENTE COM BOCA DE LOBO TRIPLA PROJETADA</v>
      </c>
      <c r="C1985" s="153"/>
      <c r="D1985" s="154"/>
      <c r="E1985" s="154">
        <f t="shared" si="78"/>
        <v>0.5</v>
      </c>
      <c r="F1985" s="154"/>
      <c r="G1985" s="154"/>
      <c r="H1985" s="154"/>
      <c r="I1985" s="154"/>
      <c r="J1985" s="154"/>
      <c r="K1985" s="154">
        <f t="shared" si="79"/>
        <v>0</v>
      </c>
      <c r="L1985" s="165"/>
      <c r="M1985" s="154"/>
      <c r="N1985" s="154"/>
      <c r="O1985" s="154"/>
    </row>
    <row r="1986" spans="1:15" ht="21" x14ac:dyDescent="0.35">
      <c r="A1986" s="321"/>
      <c r="B1986" s="320" t="str">
        <f t="shared" si="77"/>
        <v>BOCA DE LOBO TRIPLA EXISTENTE COM BOCA DE LOBO SIMPLES PROJETADA</v>
      </c>
      <c r="C1986" s="153"/>
      <c r="D1986" s="154"/>
      <c r="E1986" s="154">
        <f t="shared" si="78"/>
        <v>0.5</v>
      </c>
      <c r="F1986" s="154"/>
      <c r="G1986" s="154"/>
      <c r="H1986" s="154"/>
      <c r="I1986" s="154"/>
      <c r="J1986" s="154"/>
      <c r="K1986" s="154">
        <f t="shared" si="79"/>
        <v>0</v>
      </c>
      <c r="L1986" s="165"/>
      <c r="M1986" s="154"/>
      <c r="N1986" s="154"/>
      <c r="O1986" s="154"/>
    </row>
    <row r="1987" spans="1:15" ht="21" x14ac:dyDescent="0.35">
      <c r="A1987" s="321"/>
      <c r="B1987" s="320" t="str">
        <f t="shared" si="77"/>
        <v>BOCA DE LOBO TRIPLA EXISTENTE COM BOCA DE LOBO DUPLA PROJETADA</v>
      </c>
      <c r="C1987" s="153"/>
      <c r="D1987" s="154"/>
      <c r="E1987" s="154">
        <f t="shared" si="78"/>
        <v>0.5</v>
      </c>
      <c r="F1987" s="154"/>
      <c r="G1987" s="154"/>
      <c r="H1987" s="154"/>
      <c r="I1987" s="154"/>
      <c r="J1987" s="154"/>
      <c r="K1987" s="154">
        <f t="shared" si="79"/>
        <v>0</v>
      </c>
      <c r="L1987" s="165"/>
      <c r="M1987" s="154"/>
      <c r="N1987" s="154"/>
      <c r="O1987" s="154"/>
    </row>
    <row r="1988" spans="1:15" ht="21" x14ac:dyDescent="0.35">
      <c r="A1988" s="321"/>
      <c r="B1988" s="320" t="str">
        <f t="shared" si="77"/>
        <v>BOCA DE LOBO TRIPLA EXISTENTE COM BOCA DE LOBO TRIPLA PROJETADA</v>
      </c>
      <c r="C1988" s="153"/>
      <c r="D1988" s="154"/>
      <c r="E1988" s="154">
        <f t="shared" si="78"/>
        <v>0.5</v>
      </c>
      <c r="F1988" s="154"/>
      <c r="G1988" s="154"/>
      <c r="H1988" s="154"/>
      <c r="I1988" s="154"/>
      <c r="J1988" s="154"/>
      <c r="K1988" s="154">
        <f t="shared" si="79"/>
        <v>0</v>
      </c>
      <c r="L1988" s="165"/>
      <c r="M1988" s="154"/>
      <c r="N1988" s="154"/>
      <c r="O1988" s="154"/>
    </row>
    <row r="1989" spans="1:15" x14ac:dyDescent="0.35">
      <c r="A1989" s="321"/>
      <c r="B1989" s="320" t="str">
        <f t="shared" si="77"/>
        <v>BOCA DE LOBO PROJETADA SIMPLES</v>
      </c>
      <c r="C1989" s="153"/>
      <c r="D1989" s="154"/>
      <c r="E1989" s="154">
        <f t="shared" si="78"/>
        <v>1</v>
      </c>
      <c r="F1989" s="154"/>
      <c r="G1989" s="154"/>
      <c r="H1989" s="154"/>
      <c r="I1989" s="154"/>
      <c r="J1989" s="154"/>
      <c r="K1989" s="154">
        <f t="shared" si="79"/>
        <v>0</v>
      </c>
      <c r="L1989" s="165"/>
      <c r="M1989" s="154"/>
      <c r="N1989" s="154"/>
      <c r="O1989" s="154"/>
    </row>
    <row r="1990" spans="1:15" x14ac:dyDescent="0.35">
      <c r="A1990" s="321"/>
      <c r="B1990" s="320" t="str">
        <f t="shared" si="77"/>
        <v>BOCA DE LOBO PROJETADA DUPLA</v>
      </c>
      <c r="C1990" s="153"/>
      <c r="D1990" s="154"/>
      <c r="E1990" s="154">
        <f t="shared" si="78"/>
        <v>1</v>
      </c>
      <c r="F1990" s="154"/>
      <c r="G1990" s="154"/>
      <c r="H1990" s="154"/>
      <c r="I1990" s="154"/>
      <c r="J1990" s="154"/>
      <c r="K1990" s="154">
        <f t="shared" si="79"/>
        <v>116</v>
      </c>
      <c r="L1990" s="165"/>
      <c r="M1990" s="154"/>
      <c r="N1990" s="154"/>
      <c r="O1990" s="154"/>
    </row>
    <row r="1991" spans="1:15" x14ac:dyDescent="0.35">
      <c r="A1991" s="321"/>
      <c r="B1991" s="320" t="str">
        <f t="shared" si="77"/>
        <v>BOCA DE LOBO PROJETADA TRIPLA</v>
      </c>
      <c r="C1991" s="153"/>
      <c r="D1991" s="154"/>
      <c r="E1991" s="154">
        <f t="shared" si="78"/>
        <v>1</v>
      </c>
      <c r="F1991" s="154"/>
      <c r="G1991" s="154"/>
      <c r="H1991" s="154"/>
      <c r="I1991" s="154"/>
      <c r="J1991" s="154"/>
      <c r="K1991" s="154">
        <f t="shared" si="79"/>
        <v>13</v>
      </c>
      <c r="L1991" s="165"/>
      <c r="M1991" s="154"/>
      <c r="N1991" s="154"/>
      <c r="O1991" s="154"/>
    </row>
    <row r="1992" spans="1:15" x14ac:dyDescent="0.35">
      <c r="A1992" s="321"/>
      <c r="B1992" s="320"/>
      <c r="C1992" s="153"/>
      <c r="D1992" s="154"/>
      <c r="E1992" s="154"/>
      <c r="F1992" s="154"/>
      <c r="G1992" s="154"/>
      <c r="H1992" s="154"/>
      <c r="I1992" s="154"/>
      <c r="J1992" s="154"/>
      <c r="K1992" s="154"/>
      <c r="L1992" s="165"/>
      <c r="M1992" s="154"/>
      <c r="N1992" s="154"/>
      <c r="O1992" s="154"/>
    </row>
    <row r="1993" spans="1:15" x14ac:dyDescent="0.35">
      <c r="A1993" s="321"/>
      <c r="B1993" s="318" t="s">
        <v>377</v>
      </c>
      <c r="C1993" s="158" t="s">
        <v>402</v>
      </c>
      <c r="D1993" s="158"/>
      <c r="E1993" s="158">
        <f>SUMPRODUCT(E1980:E1992,K1980:K1992)</f>
        <v>129</v>
      </c>
      <c r="F1993" s="158"/>
      <c r="G1993" s="158"/>
      <c r="H1993" s="158"/>
      <c r="I1993" s="158"/>
      <c r="J1993" s="158"/>
      <c r="K1993" s="158"/>
      <c r="L1993" s="158"/>
      <c r="M1993" s="158"/>
      <c r="N1993" s="158"/>
      <c r="O1993" s="158"/>
    </row>
    <row r="1994" spans="1:15" ht="52.5" x14ac:dyDescent="0.35">
      <c r="A1994" s="323" t="str">
        <f>ORÇAMENTO!A323</f>
        <v>5.1.1.5.5</v>
      </c>
      <c r="B1994" s="322" t="str">
        <f>VLOOKUP(A1994,ORÇAMENTO!$A:$F,4,0)</f>
        <v>CARGA, MANOBRA E DESCARGA DE ENTULHO EM CAMINHÃO BASCULANTE 14 M³ - CARGA COM ESCAVADEIRA HIDRÁULICA  (CAÇAMBA DE 0,80 M³ / 111 HP) E DESCARGA LIVRE (UNIDADE: M3). AF_07/2020</v>
      </c>
      <c r="C1994" s="149" t="str">
        <f>VLOOKUP(A1994,ORÇAMENTO!$A:$F,5,0)</f>
        <v>M³</v>
      </c>
      <c r="D1994" s="149">
        <f>SUM(E1999:O1999)</f>
        <v>63.117599999999996</v>
      </c>
      <c r="E1994" s="149" t="s">
        <v>2149</v>
      </c>
      <c r="F1994" s="149" t="s">
        <v>2150</v>
      </c>
      <c r="G1994" s="149" t="s">
        <v>2151</v>
      </c>
      <c r="H1994" s="149" t="s">
        <v>2152</v>
      </c>
      <c r="I1994" s="149" t="s">
        <v>2153</v>
      </c>
      <c r="J1994" s="149" t="s">
        <v>2154</v>
      </c>
      <c r="K1994" s="149" t="s">
        <v>2181</v>
      </c>
      <c r="L1994" s="149" t="s">
        <v>2178</v>
      </c>
      <c r="M1994" s="149" t="s">
        <v>2175</v>
      </c>
      <c r="N1994" s="149" t="s">
        <v>2157</v>
      </c>
      <c r="O1994" s="149" t="s">
        <v>2158</v>
      </c>
    </row>
    <row r="1995" spans="1:15" x14ac:dyDescent="0.35">
      <c r="A1995" s="321"/>
      <c r="B1995" s="320"/>
      <c r="C1995" s="153"/>
      <c r="D1995" s="154"/>
      <c r="E1995" s="154"/>
      <c r="F1995" s="154"/>
      <c r="G1995" s="154"/>
      <c r="H1995" s="154"/>
      <c r="I1995" s="154"/>
      <c r="J1995" s="154"/>
      <c r="K1995" s="154"/>
      <c r="L1995" s="165"/>
      <c r="M1995" s="154"/>
      <c r="N1995" s="154"/>
      <c r="O1995" s="154"/>
    </row>
    <row r="1996" spans="1:15" x14ac:dyDescent="0.35">
      <c r="A1996" s="321"/>
      <c r="B1996" s="320" t="s">
        <v>2197</v>
      </c>
      <c r="C1996" s="153"/>
      <c r="D1996" s="154"/>
      <c r="E1996" s="154"/>
      <c r="F1996" s="154"/>
      <c r="G1996" s="154"/>
      <c r="H1996" s="154"/>
      <c r="I1996" s="154"/>
      <c r="J1996" s="154"/>
      <c r="K1996" s="154"/>
      <c r="L1996" s="165"/>
      <c r="M1996" s="154"/>
      <c r="N1996" s="154"/>
      <c r="O1996" s="154">
        <f>O1947</f>
        <v>55.977599999999995</v>
      </c>
    </row>
    <row r="1997" spans="1:15" x14ac:dyDescent="0.35">
      <c r="A1997" s="321"/>
      <c r="B1997" s="320" t="s">
        <v>2198</v>
      </c>
      <c r="C1997" s="153"/>
      <c r="D1997" s="154"/>
      <c r="E1997" s="154">
        <f>E1977</f>
        <v>476</v>
      </c>
      <c r="F1997" s="154">
        <v>0.1</v>
      </c>
      <c r="G1997" s="154"/>
      <c r="H1997" s="154">
        <v>0.15</v>
      </c>
      <c r="I1997" s="154"/>
      <c r="J1997" s="154"/>
      <c r="K1997" s="154"/>
      <c r="L1997" s="165"/>
      <c r="M1997" s="154"/>
      <c r="N1997" s="154"/>
      <c r="O1997" s="154">
        <f>E1997*F1997*H1997</f>
        <v>7.14</v>
      </c>
    </row>
    <row r="1998" spans="1:15" x14ac:dyDescent="0.35">
      <c r="A1998" s="321"/>
      <c r="B1998" s="320"/>
      <c r="C1998" s="153"/>
      <c r="D1998" s="154"/>
      <c r="E1998" s="154"/>
      <c r="F1998" s="154"/>
      <c r="G1998" s="154"/>
      <c r="H1998" s="154"/>
      <c r="I1998" s="154"/>
      <c r="J1998" s="154"/>
      <c r="K1998" s="154"/>
      <c r="L1998" s="165"/>
      <c r="M1998" s="154"/>
      <c r="N1998" s="154"/>
      <c r="O1998" s="154"/>
    </row>
    <row r="1999" spans="1:15" x14ac:dyDescent="0.35">
      <c r="A1999" s="321"/>
      <c r="B1999" s="318" t="s">
        <v>377</v>
      </c>
      <c r="C1999" s="158" t="s">
        <v>402</v>
      </c>
      <c r="D1999" s="158"/>
      <c r="E1999" s="158"/>
      <c r="F1999" s="158"/>
      <c r="G1999" s="158"/>
      <c r="H1999" s="158"/>
      <c r="I1999" s="158"/>
      <c r="J1999" s="158"/>
      <c r="K1999" s="158"/>
      <c r="L1999" s="158"/>
      <c r="M1999" s="158"/>
      <c r="N1999" s="158"/>
      <c r="O1999" s="158">
        <f>SUM(O1996:O1998)</f>
        <v>63.117599999999996</v>
      </c>
    </row>
    <row r="2000" spans="1:15" ht="31.5" x14ac:dyDescent="0.35">
      <c r="A2000" s="323" t="str">
        <f>ORÇAMENTO!A324</f>
        <v>5.1.1.5.6</v>
      </c>
      <c r="B2000" s="322" t="str">
        <f>VLOOKUP(A2000,ORÇAMENTO!$A:$F,4,0)</f>
        <v>TRANSPORTE COM CAMINHÃO BASCULANTE DE 14 M³, EM VIA URBANA PAVIMENTADA, DMT ATÉ 30 KM (UNIDADE: M3XKM). AF_07/2020</v>
      </c>
      <c r="C2000" s="149" t="str">
        <f>VLOOKUP(A2000,ORÇAMENTO!$A:$F,5,0)</f>
        <v>M3XKM</v>
      </c>
      <c r="D2000" s="149">
        <f>SUM(E2004:O2004)</f>
        <v>1893.5279999999998</v>
      </c>
      <c r="E2000" s="149" t="s">
        <v>2149</v>
      </c>
      <c r="F2000" s="149" t="s">
        <v>2150</v>
      </c>
      <c r="G2000" s="149" t="s">
        <v>2151</v>
      </c>
      <c r="H2000" s="149" t="s">
        <v>2152</v>
      </c>
      <c r="I2000" s="149" t="s">
        <v>2153</v>
      </c>
      <c r="J2000" s="149" t="s">
        <v>2154</v>
      </c>
      <c r="K2000" s="149" t="s">
        <v>2181</v>
      </c>
      <c r="L2000" s="149" t="s">
        <v>2178</v>
      </c>
      <c r="M2000" s="149" t="s">
        <v>2175</v>
      </c>
      <c r="N2000" s="149" t="s">
        <v>2157</v>
      </c>
      <c r="O2000" s="149" t="s">
        <v>2158</v>
      </c>
    </row>
    <row r="2001" spans="1:15" x14ac:dyDescent="0.35">
      <c r="A2001" s="321"/>
      <c r="B2001" s="320"/>
      <c r="C2001" s="153"/>
      <c r="D2001" s="154"/>
      <c r="E2001" s="154"/>
      <c r="F2001" s="154"/>
      <c r="G2001" s="154"/>
      <c r="H2001" s="154"/>
      <c r="I2001" s="154"/>
      <c r="J2001" s="154"/>
      <c r="K2001" s="154"/>
      <c r="L2001" s="165"/>
      <c r="M2001" s="154"/>
      <c r="N2001" s="154"/>
      <c r="O2001" s="154"/>
    </row>
    <row r="2002" spans="1:15" x14ac:dyDescent="0.35">
      <c r="A2002" s="321"/>
      <c r="B2002" s="320" t="s">
        <v>2176</v>
      </c>
      <c r="C2002" s="160"/>
      <c r="D2002" s="161"/>
      <c r="E2002" s="161">
        <v>30</v>
      </c>
      <c r="F2002" s="154"/>
      <c r="G2002" s="154"/>
      <c r="H2002" s="154"/>
      <c r="I2002" s="154"/>
      <c r="J2002" s="154"/>
      <c r="K2002" s="154"/>
      <c r="L2002" s="165"/>
      <c r="M2002" s="161">
        <f>O2002*E2002</f>
        <v>1893.5279999999998</v>
      </c>
      <c r="N2002" s="154"/>
      <c r="O2002" s="154">
        <f>O1999</f>
        <v>63.117599999999996</v>
      </c>
    </row>
    <row r="2003" spans="1:15" x14ac:dyDescent="0.35">
      <c r="A2003" s="321"/>
      <c r="B2003" s="320"/>
      <c r="C2003" s="153"/>
      <c r="D2003" s="154"/>
      <c r="E2003" s="154"/>
      <c r="F2003" s="154"/>
      <c r="G2003" s="154"/>
      <c r="H2003" s="154"/>
      <c r="I2003" s="154"/>
      <c r="J2003" s="154"/>
      <c r="K2003" s="154"/>
      <c r="L2003" s="165"/>
      <c r="M2003" s="161"/>
      <c r="N2003" s="154"/>
      <c r="O2003" s="154"/>
    </row>
    <row r="2004" spans="1:15" x14ac:dyDescent="0.35">
      <c r="A2004" s="321"/>
      <c r="B2004" s="318" t="s">
        <v>377</v>
      </c>
      <c r="C2004" s="158" t="s">
        <v>402</v>
      </c>
      <c r="D2004" s="158"/>
      <c r="E2004" s="158"/>
      <c r="F2004" s="158"/>
      <c r="G2004" s="158"/>
      <c r="H2004" s="158"/>
      <c r="I2004" s="158"/>
      <c r="J2004" s="158"/>
      <c r="K2004" s="158"/>
      <c r="L2004" s="158"/>
      <c r="M2004" s="158">
        <f>SUM(M2002:M2003)</f>
        <v>1893.5279999999998</v>
      </c>
      <c r="N2004" s="158"/>
      <c r="O2004" s="158"/>
    </row>
    <row r="2005" spans="1:15" ht="42" x14ac:dyDescent="0.35">
      <c r="A2005" s="323" t="str">
        <f>ORÇAMENTO!A325</f>
        <v>5.1.1.5.7</v>
      </c>
      <c r="B2005" s="322" t="str">
        <f>VLOOKUP(A2005,ORÇAMENTO!$A:$F,4,0)</f>
        <v>TRANSPORTE COM CAMINHÃO BASCULANTE DE 14 M³, EM VIA URBANA PAVIMENTADA, ADICIONAL PARA DMT EXCEDENTE A 30 KM (UNIDADE: M3XKM). AF_07/2020</v>
      </c>
      <c r="C2005" s="149" t="str">
        <f>VLOOKUP(A2005,ORÇAMENTO!$A:$F,5,0)</f>
        <v>M3XKM</v>
      </c>
      <c r="D2005" s="149">
        <f>SUM(E2009:O2009)</f>
        <v>2827.6684799999998</v>
      </c>
      <c r="E2005" s="149" t="s">
        <v>2149</v>
      </c>
      <c r="F2005" s="149" t="s">
        <v>2150</v>
      </c>
      <c r="G2005" s="149" t="s">
        <v>2151</v>
      </c>
      <c r="H2005" s="149" t="s">
        <v>2152</v>
      </c>
      <c r="I2005" s="149" t="s">
        <v>2153</v>
      </c>
      <c r="J2005" s="149" t="s">
        <v>2154</v>
      </c>
      <c r="K2005" s="149" t="s">
        <v>2181</v>
      </c>
      <c r="L2005" s="149" t="s">
        <v>2178</v>
      </c>
      <c r="M2005" s="149" t="s">
        <v>2175</v>
      </c>
      <c r="N2005" s="149" t="s">
        <v>2157</v>
      </c>
      <c r="O2005" s="149" t="s">
        <v>2158</v>
      </c>
    </row>
    <row r="2006" spans="1:15" x14ac:dyDescent="0.35">
      <c r="A2006" s="321"/>
      <c r="B2006" s="320"/>
      <c r="C2006" s="153"/>
      <c r="D2006" s="154"/>
      <c r="E2006" s="154"/>
      <c r="F2006" s="154"/>
      <c r="G2006" s="154"/>
      <c r="H2006" s="154"/>
      <c r="I2006" s="154"/>
      <c r="J2006" s="154"/>
      <c r="K2006" s="154"/>
      <c r="L2006" s="165"/>
      <c r="M2006" s="154"/>
      <c r="N2006" s="154"/>
      <c r="O2006" s="154"/>
    </row>
    <row r="2007" spans="1:15" x14ac:dyDescent="0.35">
      <c r="A2007" s="321"/>
      <c r="B2007" s="320" t="s">
        <v>2176</v>
      </c>
      <c r="C2007" s="153"/>
      <c r="D2007" s="154"/>
      <c r="E2007" s="154">
        <f>74.8-E2002</f>
        <v>44.8</v>
      </c>
      <c r="F2007" s="154"/>
      <c r="G2007" s="154"/>
      <c r="H2007" s="154"/>
      <c r="I2007" s="154"/>
      <c r="J2007" s="154"/>
      <c r="K2007" s="154"/>
      <c r="L2007" s="165"/>
      <c r="M2007" s="161">
        <f>O2007*E2007</f>
        <v>2827.6684799999998</v>
      </c>
      <c r="N2007" s="154"/>
      <c r="O2007" s="154">
        <f>O2002</f>
        <v>63.117599999999996</v>
      </c>
    </row>
    <row r="2008" spans="1:15" x14ac:dyDescent="0.35">
      <c r="A2008" s="321"/>
      <c r="B2008" s="320"/>
      <c r="C2008" s="153"/>
      <c r="D2008" s="154"/>
      <c r="E2008" s="154"/>
      <c r="F2008" s="154"/>
      <c r="G2008" s="154"/>
      <c r="H2008" s="154"/>
      <c r="I2008" s="154"/>
      <c r="J2008" s="154"/>
      <c r="K2008" s="154"/>
      <c r="L2008" s="165"/>
      <c r="M2008" s="161"/>
      <c r="N2008" s="154"/>
      <c r="O2008" s="154"/>
    </row>
    <row r="2009" spans="1:15" x14ac:dyDescent="0.35">
      <c r="A2009" s="321"/>
      <c r="B2009" s="318" t="s">
        <v>377</v>
      </c>
      <c r="C2009" s="158" t="s">
        <v>402</v>
      </c>
      <c r="D2009" s="158"/>
      <c r="E2009" s="158"/>
      <c r="F2009" s="158"/>
      <c r="G2009" s="158"/>
      <c r="H2009" s="158"/>
      <c r="I2009" s="158"/>
      <c r="J2009" s="158"/>
      <c r="K2009" s="158"/>
      <c r="L2009" s="158"/>
      <c r="M2009" s="158">
        <f>SUM(M2007:M2008)</f>
        <v>2827.6684799999998</v>
      </c>
      <c r="N2009" s="158"/>
      <c r="O2009" s="158"/>
    </row>
    <row r="2010" spans="1:15" ht="21" x14ac:dyDescent="0.35">
      <c r="A2010" s="323"/>
      <c r="B2010" s="322" t="s">
        <v>206</v>
      </c>
      <c r="C2010" s="149"/>
      <c r="D2010" s="149"/>
      <c r="E2010" s="149"/>
      <c r="F2010" s="149"/>
      <c r="G2010" s="149"/>
      <c r="H2010" s="149"/>
      <c r="I2010" s="149"/>
      <c r="J2010" s="149"/>
      <c r="K2010" s="149"/>
      <c r="L2010" s="149"/>
      <c r="M2010" s="149"/>
      <c r="N2010" s="149"/>
      <c r="O2010" s="149"/>
    </row>
    <row r="2011" spans="1:15" ht="21" x14ac:dyDescent="0.35">
      <c r="A2011" s="323"/>
      <c r="B2011" s="322" t="s">
        <v>386</v>
      </c>
      <c r="C2011" s="149" t="s">
        <v>227</v>
      </c>
      <c r="D2011" s="149">
        <f>SUM(E2015:O2015)</f>
        <v>0</v>
      </c>
      <c r="E2011" s="149" t="s">
        <v>2149</v>
      </c>
      <c r="F2011" s="149" t="s">
        <v>2150</v>
      </c>
      <c r="G2011" s="149" t="s">
        <v>2151</v>
      </c>
      <c r="H2011" s="149" t="s">
        <v>2152</v>
      </c>
      <c r="I2011" s="149" t="s">
        <v>2153</v>
      </c>
      <c r="J2011" s="149" t="s">
        <v>2154</v>
      </c>
      <c r="K2011" s="149" t="s">
        <v>2181</v>
      </c>
      <c r="L2011" s="149" t="s">
        <v>2178</v>
      </c>
      <c r="M2011" s="149" t="s">
        <v>2175</v>
      </c>
      <c r="N2011" s="149" t="s">
        <v>2157</v>
      </c>
      <c r="O2011" s="149" t="s">
        <v>2158</v>
      </c>
    </row>
    <row r="2012" spans="1:15" x14ac:dyDescent="0.35">
      <c r="A2012" s="321"/>
      <c r="B2012" s="320"/>
      <c r="C2012" s="153"/>
      <c r="D2012" s="154"/>
      <c r="E2012" s="154"/>
      <c r="F2012" s="154"/>
      <c r="G2012" s="154"/>
      <c r="H2012" s="154"/>
      <c r="I2012" s="154"/>
      <c r="J2012" s="154"/>
      <c r="K2012" s="154"/>
      <c r="L2012" s="165"/>
      <c r="M2012" s="154"/>
      <c r="N2012" s="154"/>
      <c r="O2012" s="154"/>
    </row>
    <row r="2013" spans="1:15" ht="21" x14ac:dyDescent="0.35">
      <c r="A2013" s="321"/>
      <c r="B2013" s="320" t="s">
        <v>2199</v>
      </c>
      <c r="C2013" s="153"/>
      <c r="D2013" s="154"/>
      <c r="E2013" s="154"/>
      <c r="F2013" s="154"/>
      <c r="G2013" s="154"/>
      <c r="H2013" s="154"/>
      <c r="I2013" s="154"/>
      <c r="J2013" s="154"/>
      <c r="K2013" s="154"/>
      <c r="L2013" s="165"/>
      <c r="M2013" s="154"/>
      <c r="N2013" s="154"/>
      <c r="O2013" s="154">
        <f>QUANTBL!CS221</f>
        <v>0</v>
      </c>
    </row>
    <row r="2014" spans="1:15" x14ac:dyDescent="0.35">
      <c r="A2014" s="321"/>
      <c r="B2014" s="320"/>
      <c r="C2014" s="153"/>
      <c r="D2014" s="154"/>
      <c r="E2014" s="154"/>
      <c r="F2014" s="154"/>
      <c r="G2014" s="154"/>
      <c r="H2014" s="154"/>
      <c r="I2014" s="154"/>
      <c r="J2014" s="154"/>
      <c r="K2014" s="154"/>
      <c r="L2014" s="165"/>
      <c r="M2014" s="154"/>
      <c r="N2014" s="154"/>
      <c r="O2014" s="154"/>
    </row>
    <row r="2015" spans="1:15" x14ac:dyDescent="0.35">
      <c r="A2015" s="321"/>
      <c r="B2015" s="318" t="s">
        <v>377</v>
      </c>
      <c r="C2015" s="158" t="s">
        <v>402</v>
      </c>
      <c r="D2015" s="158"/>
      <c r="E2015" s="158"/>
      <c r="F2015" s="158"/>
      <c r="G2015" s="158"/>
      <c r="H2015" s="158"/>
      <c r="I2015" s="158"/>
      <c r="J2015" s="158"/>
      <c r="K2015" s="158"/>
      <c r="L2015" s="158"/>
      <c r="M2015" s="158"/>
      <c r="N2015" s="158"/>
      <c r="O2015" s="158">
        <f>SUM(O2013)</f>
        <v>0</v>
      </c>
    </row>
    <row r="2016" spans="1:15" ht="31.5" x14ac:dyDescent="0.35">
      <c r="A2016" s="323"/>
      <c r="B2016" s="322" t="s">
        <v>193</v>
      </c>
      <c r="C2016" s="149" t="s">
        <v>227</v>
      </c>
      <c r="D2016" s="149">
        <f>SUM(E2020:O2020)</f>
        <v>0</v>
      </c>
      <c r="E2016" s="149" t="s">
        <v>2149</v>
      </c>
      <c r="F2016" s="149" t="s">
        <v>2150</v>
      </c>
      <c r="G2016" s="149" t="s">
        <v>2151</v>
      </c>
      <c r="H2016" s="149" t="s">
        <v>2152</v>
      </c>
      <c r="I2016" s="149" t="s">
        <v>2153</v>
      </c>
      <c r="J2016" s="149" t="s">
        <v>2154</v>
      </c>
      <c r="K2016" s="149" t="s">
        <v>2181</v>
      </c>
      <c r="L2016" s="149" t="s">
        <v>2178</v>
      </c>
      <c r="M2016" s="149" t="s">
        <v>2175</v>
      </c>
      <c r="N2016" s="149" t="s">
        <v>2157</v>
      </c>
      <c r="O2016" s="149" t="s">
        <v>2158</v>
      </c>
    </row>
    <row r="2017" spans="1:15" x14ac:dyDescent="0.35">
      <c r="A2017" s="321"/>
      <c r="B2017" s="320"/>
      <c r="C2017" s="153"/>
      <c r="D2017" s="154"/>
      <c r="E2017" s="154"/>
      <c r="F2017" s="154"/>
      <c r="G2017" s="154"/>
      <c r="H2017" s="154"/>
      <c r="I2017" s="154"/>
      <c r="J2017" s="154"/>
      <c r="K2017" s="154"/>
      <c r="L2017" s="165"/>
      <c r="M2017" s="154"/>
      <c r="N2017" s="154"/>
      <c r="O2017" s="154"/>
    </row>
    <row r="2018" spans="1:15" ht="21" x14ac:dyDescent="0.35">
      <c r="A2018" s="321"/>
      <c r="B2018" s="320" t="s">
        <v>2200</v>
      </c>
      <c r="C2018" s="153"/>
      <c r="D2018" s="154"/>
      <c r="E2018" s="154"/>
      <c r="F2018" s="154"/>
      <c r="G2018" s="154"/>
      <c r="H2018" s="154"/>
      <c r="I2018" s="154"/>
      <c r="J2018" s="154"/>
      <c r="K2018" s="154"/>
      <c r="L2018" s="165"/>
      <c r="M2018" s="154"/>
      <c r="N2018" s="154"/>
      <c r="O2018" s="154">
        <f>QUANTBL!CR221</f>
        <v>0</v>
      </c>
    </row>
    <row r="2019" spans="1:15" x14ac:dyDescent="0.35">
      <c r="A2019" s="321"/>
      <c r="B2019" s="320"/>
      <c r="C2019" s="153"/>
      <c r="D2019" s="154"/>
      <c r="E2019" s="154"/>
      <c r="F2019" s="154"/>
      <c r="G2019" s="154"/>
      <c r="H2019" s="154"/>
      <c r="I2019" s="154"/>
      <c r="J2019" s="154"/>
      <c r="K2019" s="154"/>
      <c r="L2019" s="165"/>
      <c r="M2019" s="154"/>
      <c r="N2019" s="154"/>
      <c r="O2019" s="154"/>
    </row>
    <row r="2020" spans="1:15" x14ac:dyDescent="0.35">
      <c r="A2020" s="321"/>
      <c r="B2020" s="318" t="s">
        <v>377</v>
      </c>
      <c r="C2020" s="158" t="s">
        <v>402</v>
      </c>
      <c r="D2020" s="158"/>
      <c r="E2020" s="158"/>
      <c r="F2020" s="158"/>
      <c r="G2020" s="158"/>
      <c r="H2020" s="158"/>
      <c r="I2020" s="158"/>
      <c r="J2020" s="158"/>
      <c r="K2020" s="158"/>
      <c r="L2020" s="158"/>
      <c r="M2020" s="158"/>
      <c r="N2020" s="158"/>
      <c r="O2020" s="158">
        <f>SUM(O2018)</f>
        <v>0</v>
      </c>
    </row>
    <row r="2021" spans="1:15" ht="52.5" x14ac:dyDescent="0.35">
      <c r="A2021" s="323"/>
      <c r="B2021" s="322" t="s">
        <v>108</v>
      </c>
      <c r="C2021" s="149" t="s">
        <v>227</v>
      </c>
      <c r="D2021" s="149">
        <f>SUM(E2026:O2026)</f>
        <v>0</v>
      </c>
      <c r="E2021" s="149" t="s">
        <v>2149</v>
      </c>
      <c r="F2021" s="149" t="s">
        <v>2150</v>
      </c>
      <c r="G2021" s="149" t="s">
        <v>2151</v>
      </c>
      <c r="H2021" s="149" t="s">
        <v>2152</v>
      </c>
      <c r="I2021" s="149" t="s">
        <v>2153</v>
      </c>
      <c r="J2021" s="149" t="s">
        <v>2154</v>
      </c>
      <c r="K2021" s="149" t="s">
        <v>2181</v>
      </c>
      <c r="L2021" s="149" t="s">
        <v>2178</v>
      </c>
      <c r="M2021" s="149" t="s">
        <v>2175</v>
      </c>
      <c r="N2021" s="149" t="s">
        <v>2157</v>
      </c>
      <c r="O2021" s="149" t="s">
        <v>2158</v>
      </c>
    </row>
    <row r="2022" spans="1:15" x14ac:dyDescent="0.35">
      <c r="A2022" s="321"/>
      <c r="B2022" s="320"/>
      <c r="C2022" s="153"/>
      <c r="D2022" s="154"/>
      <c r="E2022" s="154"/>
      <c r="F2022" s="154"/>
      <c r="G2022" s="154"/>
      <c r="H2022" s="154"/>
      <c r="I2022" s="154"/>
      <c r="J2022" s="154"/>
      <c r="K2022" s="154"/>
      <c r="L2022" s="165"/>
      <c r="M2022" s="154"/>
      <c r="N2022" s="154"/>
      <c r="O2022" s="154"/>
    </row>
    <row r="2023" spans="1:15" x14ac:dyDescent="0.35">
      <c r="A2023" s="321"/>
      <c r="B2023" s="320" t="s">
        <v>2201</v>
      </c>
      <c r="C2023" s="153"/>
      <c r="D2023" s="154"/>
      <c r="E2023" s="154"/>
      <c r="F2023" s="154"/>
      <c r="G2023" s="154"/>
      <c r="H2023" s="154"/>
      <c r="I2023" s="154"/>
      <c r="J2023" s="154"/>
      <c r="K2023" s="154"/>
      <c r="L2023" s="165"/>
      <c r="M2023" s="154"/>
      <c r="N2023" s="154"/>
      <c r="O2023" s="154">
        <f>O2013</f>
        <v>0</v>
      </c>
    </row>
    <row r="2024" spans="1:15" x14ac:dyDescent="0.35">
      <c r="A2024" s="321"/>
      <c r="B2024" s="320" t="s">
        <v>2202</v>
      </c>
      <c r="C2024" s="153"/>
      <c r="D2024" s="154"/>
      <c r="E2024" s="154"/>
      <c r="F2024" s="154"/>
      <c r="G2024" s="154"/>
      <c r="H2024" s="154"/>
      <c r="I2024" s="154"/>
      <c r="J2024" s="154"/>
      <c r="K2024" s="154"/>
      <c r="L2024" s="165"/>
      <c r="M2024" s="154"/>
      <c r="N2024" s="154"/>
      <c r="O2024" s="154">
        <f>O2018</f>
        <v>0</v>
      </c>
    </row>
    <row r="2025" spans="1:15" x14ac:dyDescent="0.35">
      <c r="A2025" s="321"/>
      <c r="B2025" s="320"/>
      <c r="C2025" s="153"/>
      <c r="D2025" s="154"/>
      <c r="E2025" s="154"/>
      <c r="F2025" s="154"/>
      <c r="G2025" s="154"/>
      <c r="H2025" s="154"/>
      <c r="I2025" s="154"/>
      <c r="J2025" s="154"/>
      <c r="K2025" s="154"/>
      <c r="L2025" s="165"/>
      <c r="M2025" s="154"/>
      <c r="N2025" s="154"/>
      <c r="O2025" s="154"/>
    </row>
    <row r="2026" spans="1:15" x14ac:dyDescent="0.35">
      <c r="A2026" s="321"/>
      <c r="B2026" s="318" t="s">
        <v>377</v>
      </c>
      <c r="C2026" s="158" t="s">
        <v>402</v>
      </c>
      <c r="D2026" s="158"/>
      <c r="E2026" s="158"/>
      <c r="F2026" s="158"/>
      <c r="G2026" s="158"/>
      <c r="H2026" s="158"/>
      <c r="I2026" s="158"/>
      <c r="J2026" s="158"/>
      <c r="K2026" s="158"/>
      <c r="L2026" s="158"/>
      <c r="M2026" s="158"/>
      <c r="N2026" s="158"/>
      <c r="O2026" s="158">
        <f>SUM(O2023:O2025)</f>
        <v>0</v>
      </c>
    </row>
    <row r="2027" spans="1:15" ht="31.5" x14ac:dyDescent="0.35">
      <c r="A2027" s="323"/>
      <c r="B2027" s="322" t="s">
        <v>110</v>
      </c>
      <c r="C2027" s="149" t="s">
        <v>2710</v>
      </c>
      <c r="D2027" s="149">
        <f>SUM(E2031:O2031)</f>
        <v>0</v>
      </c>
      <c r="E2027" s="149" t="s">
        <v>2149</v>
      </c>
      <c r="F2027" s="149" t="s">
        <v>2150</v>
      </c>
      <c r="G2027" s="149" t="s">
        <v>2151</v>
      </c>
      <c r="H2027" s="149" t="s">
        <v>2152</v>
      </c>
      <c r="I2027" s="149" t="s">
        <v>2153</v>
      </c>
      <c r="J2027" s="149" t="s">
        <v>2154</v>
      </c>
      <c r="K2027" s="149" t="s">
        <v>2181</v>
      </c>
      <c r="L2027" s="149" t="s">
        <v>2178</v>
      </c>
      <c r="M2027" s="149" t="s">
        <v>2175</v>
      </c>
      <c r="N2027" s="149" t="s">
        <v>2157</v>
      </c>
      <c r="O2027" s="149" t="s">
        <v>2158</v>
      </c>
    </row>
    <row r="2028" spans="1:15" x14ac:dyDescent="0.35">
      <c r="A2028" s="321"/>
      <c r="B2028" s="320"/>
      <c r="C2028" s="153"/>
      <c r="D2028" s="154"/>
      <c r="E2028" s="154"/>
      <c r="F2028" s="154"/>
      <c r="G2028" s="154"/>
      <c r="H2028" s="154"/>
      <c r="I2028" s="154"/>
      <c r="J2028" s="154"/>
      <c r="K2028" s="154"/>
      <c r="L2028" s="165"/>
      <c r="M2028" s="154"/>
      <c r="N2028" s="154"/>
      <c r="O2028" s="154"/>
    </row>
    <row r="2029" spans="1:15" x14ac:dyDescent="0.35">
      <c r="A2029" s="321"/>
      <c r="B2029" s="320" t="s">
        <v>2176</v>
      </c>
      <c r="C2029" s="160"/>
      <c r="D2029" s="161"/>
      <c r="E2029" s="161">
        <v>30</v>
      </c>
      <c r="F2029" s="154"/>
      <c r="G2029" s="154"/>
      <c r="H2029" s="154"/>
      <c r="I2029" s="154"/>
      <c r="J2029" s="154"/>
      <c r="K2029" s="154"/>
      <c r="L2029" s="165"/>
      <c r="M2029" s="161">
        <f>O2029*E2029</f>
        <v>0</v>
      </c>
      <c r="N2029" s="154"/>
      <c r="O2029" s="154">
        <f>O2026</f>
        <v>0</v>
      </c>
    </row>
    <row r="2030" spans="1:15" x14ac:dyDescent="0.35">
      <c r="A2030" s="321"/>
      <c r="B2030" s="320"/>
      <c r="C2030" s="153"/>
      <c r="D2030" s="154"/>
      <c r="E2030" s="154"/>
      <c r="F2030" s="154"/>
      <c r="G2030" s="154"/>
      <c r="H2030" s="154"/>
      <c r="I2030" s="154"/>
      <c r="J2030" s="154"/>
      <c r="K2030" s="154"/>
      <c r="L2030" s="165"/>
      <c r="M2030" s="161"/>
      <c r="N2030" s="154"/>
      <c r="O2030" s="154"/>
    </row>
    <row r="2031" spans="1:15" x14ac:dyDescent="0.35">
      <c r="A2031" s="321"/>
      <c r="B2031" s="318" t="s">
        <v>377</v>
      </c>
      <c r="C2031" s="158" t="s">
        <v>402</v>
      </c>
      <c r="D2031" s="158"/>
      <c r="E2031" s="158"/>
      <c r="F2031" s="158"/>
      <c r="G2031" s="158"/>
      <c r="H2031" s="158"/>
      <c r="I2031" s="158"/>
      <c r="J2031" s="158"/>
      <c r="K2031" s="158"/>
      <c r="L2031" s="158"/>
      <c r="M2031" s="158">
        <f>SUM(M2029:M2030)</f>
        <v>0</v>
      </c>
      <c r="N2031" s="158"/>
      <c r="O2031" s="158"/>
    </row>
    <row r="2032" spans="1:15" ht="42" x14ac:dyDescent="0.35">
      <c r="A2032" s="323"/>
      <c r="B2032" s="322" t="s">
        <v>113</v>
      </c>
      <c r="C2032" s="149" t="s">
        <v>2710</v>
      </c>
      <c r="D2032" s="149">
        <f>SUM(E2036:O2036)</f>
        <v>0</v>
      </c>
      <c r="E2032" s="149" t="s">
        <v>2149</v>
      </c>
      <c r="F2032" s="149" t="s">
        <v>2150</v>
      </c>
      <c r="G2032" s="149" t="s">
        <v>2151</v>
      </c>
      <c r="H2032" s="149" t="s">
        <v>2152</v>
      </c>
      <c r="I2032" s="149" t="s">
        <v>2153</v>
      </c>
      <c r="J2032" s="149" t="s">
        <v>2154</v>
      </c>
      <c r="K2032" s="149" t="s">
        <v>2181</v>
      </c>
      <c r="L2032" s="149" t="s">
        <v>2178</v>
      </c>
      <c r="M2032" s="149" t="s">
        <v>2175</v>
      </c>
      <c r="N2032" s="149" t="s">
        <v>2157</v>
      </c>
      <c r="O2032" s="149" t="s">
        <v>2158</v>
      </c>
    </row>
    <row r="2033" spans="1:15" x14ac:dyDescent="0.35">
      <c r="A2033" s="321"/>
      <c r="B2033" s="320"/>
      <c r="C2033" s="153"/>
      <c r="D2033" s="154"/>
      <c r="E2033" s="154"/>
      <c r="F2033" s="154"/>
      <c r="G2033" s="154"/>
      <c r="H2033" s="154"/>
      <c r="I2033" s="154"/>
      <c r="J2033" s="154"/>
      <c r="K2033" s="154"/>
      <c r="L2033" s="165"/>
      <c r="M2033" s="154"/>
      <c r="N2033" s="154"/>
      <c r="O2033" s="154"/>
    </row>
    <row r="2034" spans="1:15" x14ac:dyDescent="0.35">
      <c r="A2034" s="321"/>
      <c r="B2034" s="320" t="s">
        <v>2176</v>
      </c>
      <c r="C2034" s="153"/>
      <c r="D2034" s="154"/>
      <c r="E2034" s="154">
        <f>74.8-E2029</f>
        <v>44.8</v>
      </c>
      <c r="F2034" s="154"/>
      <c r="G2034" s="154"/>
      <c r="H2034" s="154"/>
      <c r="I2034" s="154"/>
      <c r="J2034" s="154"/>
      <c r="K2034" s="154"/>
      <c r="L2034" s="165"/>
      <c r="M2034" s="161">
        <f>O2034*E2034</f>
        <v>0</v>
      </c>
      <c r="N2034" s="154"/>
      <c r="O2034" s="154">
        <f>O2029</f>
        <v>0</v>
      </c>
    </row>
    <row r="2035" spans="1:15" x14ac:dyDescent="0.35">
      <c r="A2035" s="321"/>
      <c r="B2035" s="320"/>
      <c r="C2035" s="153"/>
      <c r="D2035" s="154"/>
      <c r="E2035" s="154"/>
      <c r="F2035" s="154"/>
      <c r="G2035" s="154"/>
      <c r="H2035" s="154"/>
      <c r="I2035" s="154"/>
      <c r="J2035" s="154"/>
      <c r="K2035" s="154"/>
      <c r="L2035" s="165"/>
      <c r="M2035" s="161"/>
      <c r="N2035" s="154"/>
      <c r="O2035" s="154"/>
    </row>
    <row r="2036" spans="1:15" x14ac:dyDescent="0.35">
      <c r="A2036" s="321"/>
      <c r="B2036" s="318" t="s">
        <v>377</v>
      </c>
      <c r="C2036" s="158" t="s">
        <v>402</v>
      </c>
      <c r="D2036" s="158"/>
      <c r="E2036" s="158"/>
      <c r="F2036" s="158"/>
      <c r="G2036" s="158"/>
      <c r="H2036" s="158"/>
      <c r="I2036" s="158"/>
      <c r="J2036" s="158"/>
      <c r="K2036" s="158"/>
      <c r="L2036" s="158"/>
      <c r="M2036" s="158">
        <f>SUM(M2034:M2035)</f>
        <v>0</v>
      </c>
      <c r="N2036" s="158"/>
      <c r="O2036" s="158"/>
    </row>
    <row r="2037" spans="1:15" x14ac:dyDescent="0.35">
      <c r="A2037" s="323"/>
      <c r="B2037" s="322" t="str">
        <f>ORÇAMENTO!D326</f>
        <v>LIGAÇÃO DE BOCA DE LOBOS A PV EXISTENTES</v>
      </c>
      <c r="C2037" s="149"/>
      <c r="D2037" s="149"/>
      <c r="E2037" s="149"/>
      <c r="F2037" s="149"/>
      <c r="G2037" s="149"/>
      <c r="H2037" s="149"/>
      <c r="I2037" s="149"/>
      <c r="J2037" s="149"/>
      <c r="K2037" s="149"/>
      <c r="L2037" s="149"/>
      <c r="M2037" s="149"/>
      <c r="N2037" s="149"/>
      <c r="O2037" s="149"/>
    </row>
    <row r="2038" spans="1:15" ht="31.5" x14ac:dyDescent="0.35">
      <c r="A2038" s="323" t="str">
        <f>ORÇAMENTO!A327</f>
        <v>5.1.1.6.1</v>
      </c>
      <c r="B2038" s="322" t="str">
        <f>VLOOKUP(A2038,ORÇAMENTO!$A:$F,4,0)</f>
        <v>DEMOLIÇÃO DE ALVENARIA DE BLOCO FURADO, DE FORMA MANUAL, SEM REAPROVEITAMENTO. AF_09/2023</v>
      </c>
      <c r="C2038" s="149" t="str">
        <f>VLOOKUP(A2038,ORÇAMENTO!$A:$F,5,0)</f>
        <v>M³</v>
      </c>
      <c r="D2038" s="149">
        <f>SUM(E2042:O2042)</f>
        <v>1.8630524081730497</v>
      </c>
      <c r="E2038" s="149" t="s">
        <v>2149</v>
      </c>
      <c r="F2038" s="149" t="s">
        <v>2150</v>
      </c>
      <c r="G2038" s="149" t="s">
        <v>2151</v>
      </c>
      <c r="H2038" s="149" t="s">
        <v>2152</v>
      </c>
      <c r="I2038" s="149" t="s">
        <v>2153</v>
      </c>
      <c r="J2038" s="149" t="s">
        <v>2154</v>
      </c>
      <c r="K2038" s="149" t="s">
        <v>2181</v>
      </c>
      <c r="L2038" s="149" t="s">
        <v>2178</v>
      </c>
      <c r="M2038" s="149" t="s">
        <v>2175</v>
      </c>
      <c r="N2038" s="149" t="s">
        <v>2157</v>
      </c>
      <c r="O2038" s="149" t="s">
        <v>2158</v>
      </c>
    </row>
    <row r="2039" spans="1:15" x14ac:dyDescent="0.35">
      <c r="A2039" s="321"/>
      <c r="B2039" s="320"/>
      <c r="C2039" s="153"/>
      <c r="D2039" s="154"/>
      <c r="E2039" s="154"/>
      <c r="F2039" s="154"/>
      <c r="G2039" s="154"/>
      <c r="H2039" s="154"/>
      <c r="I2039" s="154"/>
      <c r="J2039" s="154"/>
      <c r="K2039" s="154"/>
      <c r="L2039" s="165"/>
      <c r="M2039" s="154"/>
      <c r="N2039" s="154"/>
      <c r="O2039" s="154"/>
    </row>
    <row r="2040" spans="1:15" x14ac:dyDescent="0.35">
      <c r="A2040" s="321"/>
      <c r="B2040" s="320" t="s">
        <v>2203</v>
      </c>
      <c r="C2040" s="153"/>
      <c r="D2040" s="154"/>
      <c r="E2040" s="154"/>
      <c r="F2040" s="154"/>
      <c r="G2040" s="154"/>
      <c r="H2040" s="154"/>
      <c r="I2040" s="154"/>
      <c r="J2040" s="154"/>
      <c r="K2040" s="154"/>
      <c r="L2040" s="165"/>
      <c r="M2040" s="154"/>
      <c r="N2040" s="154"/>
      <c r="O2040" s="154">
        <f>QUANTBL!CZ221</f>
        <v>1.8630524081730497</v>
      </c>
    </row>
    <row r="2041" spans="1:15" x14ac:dyDescent="0.35">
      <c r="A2041" s="321"/>
      <c r="B2041" s="320"/>
      <c r="C2041" s="153"/>
      <c r="D2041" s="154"/>
      <c r="E2041" s="154"/>
      <c r="F2041" s="154"/>
      <c r="G2041" s="154"/>
      <c r="H2041" s="154"/>
      <c r="I2041" s="154"/>
      <c r="J2041" s="154"/>
      <c r="K2041" s="154"/>
      <c r="L2041" s="165"/>
      <c r="M2041" s="154"/>
      <c r="N2041" s="154"/>
      <c r="O2041" s="154"/>
    </row>
    <row r="2042" spans="1:15" x14ac:dyDescent="0.35">
      <c r="A2042" s="321"/>
      <c r="B2042" s="318" t="s">
        <v>377</v>
      </c>
      <c r="C2042" s="158" t="s">
        <v>402</v>
      </c>
      <c r="D2042" s="158"/>
      <c r="E2042" s="158"/>
      <c r="F2042" s="158"/>
      <c r="G2042" s="158"/>
      <c r="H2042" s="158"/>
      <c r="I2042" s="158"/>
      <c r="J2042" s="158"/>
      <c r="K2042" s="158"/>
      <c r="L2042" s="158"/>
      <c r="M2042" s="158"/>
      <c r="N2042" s="158"/>
      <c r="O2042" s="158">
        <f>SUM(O2040)</f>
        <v>1.8630524081730497</v>
      </c>
    </row>
    <row r="2043" spans="1:15" ht="52.5" x14ac:dyDescent="0.35">
      <c r="A2043" s="323" t="str">
        <f>ORÇAMENTO!A328</f>
        <v>5.1.1.6.2</v>
      </c>
      <c r="B2043" s="322" t="str">
        <f>VLOOKUP(A2043,ORÇAMENTO!$A:$F,4,0)</f>
        <v>CARGA, MANOBRA E DESCARGA DE ENTULHO EM CAMINHÃO BASCULANTE 14 M³ - CARGA COM ESCAVADEIRA HIDRÁULICA  (CAÇAMBA DE 0,80 M³ / 111 HP) E DESCARGA LIVRE (UNIDADE: M3). AF_07/2020</v>
      </c>
      <c r="C2043" s="149" t="str">
        <f>VLOOKUP(A2043,ORÇAMENTO!$A:$F,5,0)</f>
        <v>M³</v>
      </c>
      <c r="D2043" s="149">
        <f>SUM(E2047:O2047)</f>
        <v>1.8630524081730497</v>
      </c>
      <c r="E2043" s="149" t="s">
        <v>2149</v>
      </c>
      <c r="F2043" s="149" t="s">
        <v>2150</v>
      </c>
      <c r="G2043" s="149" t="s">
        <v>2151</v>
      </c>
      <c r="H2043" s="149" t="s">
        <v>2152</v>
      </c>
      <c r="I2043" s="149" t="s">
        <v>2153</v>
      </c>
      <c r="J2043" s="149" t="s">
        <v>2154</v>
      </c>
      <c r="K2043" s="149" t="s">
        <v>2181</v>
      </c>
      <c r="L2043" s="149" t="s">
        <v>2178</v>
      </c>
      <c r="M2043" s="149" t="s">
        <v>2175</v>
      </c>
      <c r="N2043" s="149" t="s">
        <v>2157</v>
      </c>
      <c r="O2043" s="149" t="s">
        <v>2158</v>
      </c>
    </row>
    <row r="2044" spans="1:15" x14ac:dyDescent="0.35">
      <c r="A2044" s="321"/>
      <c r="B2044" s="320"/>
      <c r="C2044" s="153"/>
      <c r="D2044" s="154"/>
      <c r="E2044" s="154"/>
      <c r="F2044" s="154"/>
      <c r="G2044" s="154"/>
      <c r="H2044" s="154"/>
      <c r="I2044" s="154"/>
      <c r="J2044" s="154"/>
      <c r="K2044" s="154"/>
      <c r="L2044" s="165"/>
      <c r="M2044" s="154"/>
      <c r="N2044" s="154"/>
      <c r="O2044" s="154"/>
    </row>
    <row r="2045" spans="1:15" x14ac:dyDescent="0.35">
      <c r="A2045" s="321"/>
      <c r="B2045" s="320" t="s">
        <v>2202</v>
      </c>
      <c r="C2045" s="153"/>
      <c r="D2045" s="154"/>
      <c r="E2045" s="154"/>
      <c r="F2045" s="154"/>
      <c r="G2045" s="154"/>
      <c r="H2045" s="154"/>
      <c r="I2045" s="154"/>
      <c r="J2045" s="154"/>
      <c r="K2045" s="154"/>
      <c r="L2045" s="165"/>
      <c r="M2045" s="154"/>
      <c r="N2045" s="154"/>
      <c r="O2045" s="154">
        <f>O2040</f>
        <v>1.8630524081730497</v>
      </c>
    </row>
    <row r="2046" spans="1:15" x14ac:dyDescent="0.35">
      <c r="A2046" s="321"/>
      <c r="B2046" s="320"/>
      <c r="C2046" s="153"/>
      <c r="D2046" s="154"/>
      <c r="E2046" s="154"/>
      <c r="F2046" s="154"/>
      <c r="G2046" s="154"/>
      <c r="H2046" s="154"/>
      <c r="I2046" s="154"/>
      <c r="J2046" s="154"/>
      <c r="K2046" s="154"/>
      <c r="L2046" s="165"/>
      <c r="M2046" s="154"/>
      <c r="N2046" s="154"/>
      <c r="O2046" s="154"/>
    </row>
    <row r="2047" spans="1:15" x14ac:dyDescent="0.35">
      <c r="A2047" s="321"/>
      <c r="B2047" s="318" t="s">
        <v>377</v>
      </c>
      <c r="C2047" s="158" t="s">
        <v>402</v>
      </c>
      <c r="D2047" s="158"/>
      <c r="E2047" s="158"/>
      <c r="F2047" s="158"/>
      <c r="G2047" s="158"/>
      <c r="H2047" s="158"/>
      <c r="I2047" s="158"/>
      <c r="J2047" s="158"/>
      <c r="K2047" s="158"/>
      <c r="L2047" s="158"/>
      <c r="M2047" s="158"/>
      <c r="N2047" s="158"/>
      <c r="O2047" s="158">
        <f>SUM(O2045:O2046)</f>
        <v>1.8630524081730497</v>
      </c>
    </row>
    <row r="2048" spans="1:15" ht="31.5" x14ac:dyDescent="0.35">
      <c r="A2048" s="323" t="str">
        <f>ORÇAMENTO!A329</f>
        <v>5.1.1.6.3</v>
      </c>
      <c r="B2048" s="322" t="str">
        <f>VLOOKUP(A2048,ORÇAMENTO!$A:$F,4,0)</f>
        <v>TRANSPORTE COM CAMINHÃO BASCULANTE DE 14 M³, EM VIA URBANA PAVIMENTADA, DMT ATÉ 30 KM (UNIDADE: M3XKM). AF_07/2020</v>
      </c>
      <c r="C2048" s="149" t="str">
        <f>VLOOKUP(A2048,ORÇAMENTO!$A:$F,5,0)</f>
        <v>M3XKM</v>
      </c>
      <c r="D2048" s="149">
        <f>SUM(E2052:O2052)</f>
        <v>55.89157224519149</v>
      </c>
      <c r="E2048" s="149" t="s">
        <v>2149</v>
      </c>
      <c r="F2048" s="149" t="s">
        <v>2150</v>
      </c>
      <c r="G2048" s="149" t="s">
        <v>2151</v>
      </c>
      <c r="H2048" s="149" t="s">
        <v>2152</v>
      </c>
      <c r="I2048" s="149" t="s">
        <v>2153</v>
      </c>
      <c r="J2048" s="149" t="s">
        <v>2154</v>
      </c>
      <c r="K2048" s="149" t="s">
        <v>2181</v>
      </c>
      <c r="L2048" s="149" t="s">
        <v>2178</v>
      </c>
      <c r="M2048" s="149" t="s">
        <v>2175</v>
      </c>
      <c r="N2048" s="149" t="s">
        <v>2157</v>
      </c>
      <c r="O2048" s="149" t="s">
        <v>2158</v>
      </c>
    </row>
    <row r="2049" spans="1:15" x14ac:dyDescent="0.35">
      <c r="A2049" s="321"/>
      <c r="B2049" s="320"/>
      <c r="C2049" s="153"/>
      <c r="D2049" s="154"/>
      <c r="E2049" s="154"/>
      <c r="F2049" s="154"/>
      <c r="G2049" s="154"/>
      <c r="H2049" s="154"/>
      <c r="I2049" s="154"/>
      <c r="J2049" s="154"/>
      <c r="K2049" s="154"/>
      <c r="L2049" s="165"/>
      <c r="M2049" s="154"/>
      <c r="N2049" s="154"/>
      <c r="O2049" s="154"/>
    </row>
    <row r="2050" spans="1:15" x14ac:dyDescent="0.35">
      <c r="A2050" s="321"/>
      <c r="B2050" s="320" t="s">
        <v>2176</v>
      </c>
      <c r="C2050" s="153"/>
      <c r="D2050" s="154"/>
      <c r="E2050" s="154">
        <v>30</v>
      </c>
      <c r="F2050" s="154"/>
      <c r="G2050" s="154"/>
      <c r="H2050" s="154"/>
      <c r="I2050" s="154"/>
      <c r="J2050" s="154"/>
      <c r="K2050" s="154"/>
      <c r="L2050" s="165"/>
      <c r="M2050" s="154">
        <f>O2050*E2050</f>
        <v>55.89157224519149</v>
      </c>
      <c r="N2050" s="154"/>
      <c r="O2050" s="154">
        <f>O2047</f>
        <v>1.8630524081730497</v>
      </c>
    </row>
    <row r="2051" spans="1:15" x14ac:dyDescent="0.35">
      <c r="A2051" s="321"/>
      <c r="B2051" s="320"/>
      <c r="C2051" s="153"/>
      <c r="D2051" s="154"/>
      <c r="E2051" s="154"/>
      <c r="F2051" s="154"/>
      <c r="G2051" s="154"/>
      <c r="H2051" s="154"/>
      <c r="I2051" s="154"/>
      <c r="J2051" s="154"/>
      <c r="K2051" s="154"/>
      <c r="L2051" s="165"/>
      <c r="M2051" s="154"/>
      <c r="N2051" s="154"/>
      <c r="O2051" s="154"/>
    </row>
    <row r="2052" spans="1:15" x14ac:dyDescent="0.35">
      <c r="A2052" s="321"/>
      <c r="B2052" s="318" t="s">
        <v>377</v>
      </c>
      <c r="C2052" s="158" t="s">
        <v>402</v>
      </c>
      <c r="D2052" s="158"/>
      <c r="E2052" s="158"/>
      <c r="F2052" s="158"/>
      <c r="G2052" s="158"/>
      <c r="H2052" s="158"/>
      <c r="I2052" s="158"/>
      <c r="J2052" s="158"/>
      <c r="K2052" s="158"/>
      <c r="L2052" s="158"/>
      <c r="M2052" s="158">
        <f>SUM(M2050:M2051)</f>
        <v>55.89157224519149</v>
      </c>
      <c r="N2052" s="158"/>
      <c r="O2052" s="158"/>
    </row>
    <row r="2053" spans="1:15" ht="42" x14ac:dyDescent="0.35">
      <c r="A2053" s="323" t="str">
        <f>ORÇAMENTO!A330</f>
        <v>5.1.1.6.4</v>
      </c>
      <c r="B2053" s="322" t="str">
        <f>VLOOKUP(A2053,ORÇAMENTO!$A:$F,4,0)</f>
        <v>TRANSPORTE COM CAMINHÃO BASCULANTE DE 14 M³, EM VIA URBANA PAVIMENTADA, ADICIONAL PARA DMT EXCEDENTE A 30 KM (UNIDADE: M3XKM). AF_07/2020</v>
      </c>
      <c r="C2053" s="149" t="str">
        <f>VLOOKUP(A2053,ORÇAMENTO!$A:$F,5,0)</f>
        <v>M3XKM</v>
      </c>
      <c r="D2053" s="149">
        <f>SUM(E2057:O2057)</f>
        <v>83.464747886152622</v>
      </c>
      <c r="E2053" s="149" t="s">
        <v>2149</v>
      </c>
      <c r="F2053" s="149" t="s">
        <v>2150</v>
      </c>
      <c r="G2053" s="149" t="s">
        <v>2151</v>
      </c>
      <c r="H2053" s="149" t="s">
        <v>2152</v>
      </c>
      <c r="I2053" s="149" t="s">
        <v>2153</v>
      </c>
      <c r="J2053" s="149" t="s">
        <v>2154</v>
      </c>
      <c r="K2053" s="149" t="s">
        <v>2181</v>
      </c>
      <c r="L2053" s="149" t="s">
        <v>2178</v>
      </c>
      <c r="M2053" s="149" t="s">
        <v>2175</v>
      </c>
      <c r="N2053" s="149" t="s">
        <v>2157</v>
      </c>
      <c r="O2053" s="149" t="s">
        <v>2158</v>
      </c>
    </row>
    <row r="2054" spans="1:15" x14ac:dyDescent="0.35">
      <c r="A2054" s="321"/>
      <c r="B2054" s="320"/>
      <c r="C2054" s="153"/>
      <c r="D2054" s="154"/>
      <c r="E2054" s="154"/>
      <c r="F2054" s="154"/>
      <c r="G2054" s="154"/>
      <c r="H2054" s="154"/>
      <c r="I2054" s="154"/>
      <c r="J2054" s="154"/>
      <c r="K2054" s="154"/>
      <c r="L2054" s="165"/>
      <c r="M2054" s="154"/>
      <c r="N2054" s="154"/>
      <c r="O2054" s="154"/>
    </row>
    <row r="2055" spans="1:15" x14ac:dyDescent="0.35">
      <c r="A2055" s="321"/>
      <c r="B2055" s="320" t="s">
        <v>2176</v>
      </c>
      <c r="C2055" s="153"/>
      <c r="D2055" s="154"/>
      <c r="E2055" s="154">
        <f>74.8-E2050</f>
        <v>44.8</v>
      </c>
      <c r="F2055" s="154"/>
      <c r="G2055" s="154"/>
      <c r="H2055" s="154"/>
      <c r="I2055" s="154"/>
      <c r="J2055" s="154"/>
      <c r="K2055" s="154"/>
      <c r="L2055" s="165"/>
      <c r="M2055" s="154">
        <f>O2055*E2055</f>
        <v>83.464747886152622</v>
      </c>
      <c r="N2055" s="154"/>
      <c r="O2055" s="154">
        <f>O2050</f>
        <v>1.8630524081730497</v>
      </c>
    </row>
    <row r="2056" spans="1:15" x14ac:dyDescent="0.35">
      <c r="A2056" s="321"/>
      <c r="B2056" s="320"/>
      <c r="C2056" s="153"/>
      <c r="D2056" s="154"/>
      <c r="E2056" s="154"/>
      <c r="F2056" s="154"/>
      <c r="G2056" s="154"/>
      <c r="H2056" s="154"/>
      <c r="I2056" s="154"/>
      <c r="J2056" s="154"/>
      <c r="K2056" s="154"/>
      <c r="L2056" s="165"/>
      <c r="M2056" s="154"/>
      <c r="N2056" s="154"/>
      <c r="O2056" s="154"/>
    </row>
    <row r="2057" spans="1:15" x14ac:dyDescent="0.35">
      <c r="A2057" s="321"/>
      <c r="B2057" s="318" t="s">
        <v>377</v>
      </c>
      <c r="C2057" s="158" t="s">
        <v>402</v>
      </c>
      <c r="D2057" s="158"/>
      <c r="E2057" s="158"/>
      <c r="F2057" s="158"/>
      <c r="G2057" s="158"/>
      <c r="H2057" s="158"/>
      <c r="I2057" s="158"/>
      <c r="J2057" s="158"/>
      <c r="K2057" s="158"/>
      <c r="L2057" s="158"/>
      <c r="M2057" s="158">
        <f>SUM(M2055:M2056)</f>
        <v>83.464747886152622</v>
      </c>
      <c r="N2057" s="158"/>
      <c r="O2057" s="158"/>
    </row>
    <row r="2058" spans="1:15" x14ac:dyDescent="0.35">
      <c r="A2058" s="327"/>
      <c r="B2058" s="326" t="str">
        <f>ORÇAMENTO!D331</f>
        <v>ENSAIOS</v>
      </c>
      <c r="C2058" s="143"/>
      <c r="D2058" s="143"/>
      <c r="E2058" s="144"/>
      <c r="F2058" s="144"/>
      <c r="G2058" s="144"/>
      <c r="H2058" s="144"/>
      <c r="I2058" s="144"/>
      <c r="J2058" s="144"/>
      <c r="K2058" s="144"/>
      <c r="L2058" s="144"/>
      <c r="M2058" s="144"/>
      <c r="N2058" s="144"/>
      <c r="O2058" s="144"/>
    </row>
    <row r="2059" spans="1:15" ht="31.5" x14ac:dyDescent="0.35">
      <c r="A2059" s="323" t="str">
        <f>ORÇAMENTO!A332</f>
        <v>5.1.1.7.1</v>
      </c>
      <c r="B2059" s="322" t="str">
        <f>VLOOKUP(A2059,ORÇAMENTO!$A:$F,4,0)</f>
        <v>DETERMINAÇÃO DA DENSIDADE IN SITU DAS MISTURAS ASFÁLTICAS COMPACTADAS (DNIT 431/2020-ME)</v>
      </c>
      <c r="C2059" s="149" t="str">
        <f>VLOOKUP(A2059,ORÇAMENTO!$A:$F,5,0)</f>
        <v>UN</v>
      </c>
      <c r="D2059" s="149">
        <f>SUM(E2065:O2065)</f>
        <v>27</v>
      </c>
      <c r="E2059" s="149" t="s">
        <v>2149</v>
      </c>
      <c r="F2059" s="149" t="s">
        <v>2150</v>
      </c>
      <c r="G2059" s="149" t="s">
        <v>2151</v>
      </c>
      <c r="H2059" s="149" t="s">
        <v>2152</v>
      </c>
      <c r="I2059" s="149" t="s">
        <v>2153</v>
      </c>
      <c r="J2059" s="149" t="s">
        <v>2154</v>
      </c>
      <c r="K2059" s="149" t="s">
        <v>2181</v>
      </c>
      <c r="L2059" s="149" t="s">
        <v>2178</v>
      </c>
      <c r="M2059" s="149" t="s">
        <v>2204</v>
      </c>
      <c r="N2059" s="149" t="s">
        <v>2157</v>
      </c>
      <c r="O2059" s="149" t="s">
        <v>2158</v>
      </c>
    </row>
    <row r="2060" spans="1:15" x14ac:dyDescent="0.35">
      <c r="A2060" s="321"/>
      <c r="B2060" s="318" t="s">
        <v>2205</v>
      </c>
      <c r="C2060" s="153"/>
      <c r="D2060" s="153"/>
      <c r="E2060" s="154"/>
      <c r="F2060" s="154"/>
      <c r="G2060" s="154"/>
      <c r="H2060" s="154"/>
      <c r="I2060" s="154"/>
      <c r="J2060" s="154"/>
      <c r="K2060" s="154"/>
      <c r="L2060" s="154"/>
      <c r="M2060" s="154"/>
      <c r="N2060" s="154"/>
      <c r="O2060" s="154"/>
    </row>
    <row r="2061" spans="1:15" x14ac:dyDescent="0.35">
      <c r="A2061" s="321"/>
      <c r="B2061" s="318" t="s">
        <v>2206</v>
      </c>
      <c r="C2061" s="153"/>
      <c r="D2061" s="153"/>
      <c r="E2061" s="154">
        <f>SUMIF(Quantitativos!$O$45:$O$105,"ASFALTO",Quantitativos!$F$45:$F$105)</f>
        <v>1439.64</v>
      </c>
      <c r="F2061" s="154"/>
      <c r="G2061" s="154"/>
      <c r="H2061" s="154"/>
      <c r="I2061" s="154"/>
      <c r="J2061" s="154"/>
      <c r="K2061" s="154">
        <f>ROUND(E2061/100,0)</f>
        <v>14</v>
      </c>
      <c r="L2061" s="154"/>
      <c r="M2061" s="154"/>
      <c r="N2061" s="154"/>
      <c r="O2061" s="154"/>
    </row>
    <row r="2062" spans="1:15" x14ac:dyDescent="0.35">
      <c r="A2062" s="321"/>
      <c r="B2062" s="318" t="str">
        <f>B3012</f>
        <v>VIA 9 - ESTACA 0+0,00 A 33+9,92</v>
      </c>
      <c r="C2062" s="153"/>
      <c r="D2062" s="153"/>
      <c r="E2062" s="154">
        <f>E3012</f>
        <v>669.92</v>
      </c>
      <c r="F2062" s="154"/>
      <c r="G2062" s="154"/>
      <c r="H2062" s="154"/>
      <c r="I2062" s="154"/>
      <c r="J2062" s="154"/>
      <c r="K2062" s="154">
        <f>ROUND(E2062/100,0)</f>
        <v>7</v>
      </c>
      <c r="L2062" s="154"/>
      <c r="M2062" s="154"/>
      <c r="N2062" s="154"/>
      <c r="O2062" s="348"/>
    </row>
    <row r="2063" spans="1:15" x14ac:dyDescent="0.35">
      <c r="A2063" s="321"/>
      <c r="B2063" s="318" t="str">
        <f>B3013</f>
        <v>VIA 11 - ESTACA 1+17,69 A 33+11,57</v>
      </c>
      <c r="C2063" s="153"/>
      <c r="D2063" s="153"/>
      <c r="E2063" s="154">
        <f>E3013</f>
        <v>633.88000000000011</v>
      </c>
      <c r="F2063" s="154"/>
      <c r="G2063" s="154"/>
      <c r="H2063" s="154"/>
      <c r="I2063" s="154"/>
      <c r="J2063" s="154"/>
      <c r="K2063" s="154">
        <f>ROUND(E2063/100,0)</f>
        <v>6</v>
      </c>
      <c r="L2063" s="154"/>
      <c r="M2063" s="154"/>
      <c r="N2063" s="154"/>
      <c r="O2063" s="348"/>
    </row>
    <row r="2064" spans="1:15" x14ac:dyDescent="0.35">
      <c r="A2064" s="321"/>
      <c r="B2064" s="320"/>
      <c r="C2064" s="154"/>
      <c r="D2064" s="154"/>
      <c r="E2064" s="154"/>
      <c r="F2064" s="154"/>
      <c r="G2064" s="154"/>
      <c r="H2064" s="154"/>
      <c r="I2064" s="154"/>
      <c r="J2064" s="154"/>
      <c r="K2064" s="154"/>
      <c r="L2064" s="154"/>
      <c r="M2064" s="154"/>
      <c r="N2064" s="154"/>
      <c r="O2064" s="324"/>
    </row>
    <row r="2065" spans="1:15" x14ac:dyDescent="0.35">
      <c r="A2065" s="319"/>
      <c r="B2065" s="318" t="s">
        <v>377</v>
      </c>
      <c r="C2065" s="158" t="s">
        <v>402</v>
      </c>
      <c r="D2065" s="158"/>
      <c r="E2065" s="158"/>
      <c r="F2065" s="158"/>
      <c r="G2065" s="158"/>
      <c r="H2065" s="158"/>
      <c r="I2065" s="158"/>
      <c r="J2065" s="158"/>
      <c r="K2065" s="170">
        <f>SUM(K2060:K2064)</f>
        <v>27</v>
      </c>
      <c r="L2065" s="158"/>
      <c r="M2065" s="158"/>
      <c r="N2065" s="158"/>
      <c r="O2065" s="170"/>
    </row>
    <row r="2066" spans="1:15" ht="21" x14ac:dyDescent="0.35">
      <c r="A2066" s="323" t="str">
        <f>ORÇAMENTO!A333</f>
        <v>5.1.1.7.2</v>
      </c>
      <c r="B2066" s="322" t="str">
        <f>VLOOKUP(A2066,ORÇAMENTO!$A:$F,4,0)</f>
        <v>ENSAIO QUIMICO COMPLETO DE CAL</v>
      </c>
      <c r="C2066" s="149" t="str">
        <f>VLOOKUP(A2066,ORÇAMENTO!$A:$F,5,0)</f>
        <v>UN</v>
      </c>
      <c r="D2066" s="149">
        <f>SUM(E2072:O2072)</f>
        <v>27</v>
      </c>
      <c r="E2066" s="149" t="s">
        <v>2149</v>
      </c>
      <c r="F2066" s="149" t="s">
        <v>2150</v>
      </c>
      <c r="G2066" s="149" t="s">
        <v>2151</v>
      </c>
      <c r="H2066" s="149" t="s">
        <v>2152</v>
      </c>
      <c r="I2066" s="149" t="s">
        <v>2153</v>
      </c>
      <c r="J2066" s="149" t="s">
        <v>2154</v>
      </c>
      <c r="K2066" s="149" t="s">
        <v>2181</v>
      </c>
      <c r="L2066" s="149" t="s">
        <v>2178</v>
      </c>
      <c r="M2066" s="149" t="s">
        <v>2204</v>
      </c>
      <c r="N2066" s="149" t="s">
        <v>2157</v>
      </c>
      <c r="O2066" s="149" t="s">
        <v>2158</v>
      </c>
    </row>
    <row r="2067" spans="1:15" x14ac:dyDescent="0.35">
      <c r="A2067" s="321"/>
      <c r="B2067" s="318" t="str">
        <f>B2060</f>
        <v>1 ENSAIO A CADA 100M</v>
      </c>
      <c r="C2067" s="153"/>
      <c r="D2067" s="153"/>
      <c r="E2067" s="154"/>
      <c r="F2067" s="154"/>
      <c r="G2067" s="154"/>
      <c r="H2067" s="154"/>
      <c r="I2067" s="154"/>
      <c r="J2067" s="154"/>
      <c r="K2067" s="154"/>
      <c r="L2067" s="154"/>
      <c r="M2067" s="154"/>
      <c r="N2067" s="154"/>
      <c r="O2067" s="154"/>
    </row>
    <row r="2068" spans="1:15" x14ac:dyDescent="0.35">
      <c r="A2068" s="321"/>
      <c r="B2068" s="318" t="str">
        <f>B2061</f>
        <v>EXTENSÃO REDE ASFALTADA</v>
      </c>
      <c r="C2068" s="153"/>
      <c r="D2068" s="153"/>
      <c r="E2068" s="154">
        <f>E2061</f>
        <v>1439.64</v>
      </c>
      <c r="F2068" s="154"/>
      <c r="G2068" s="154"/>
      <c r="H2068" s="154"/>
      <c r="I2068" s="154"/>
      <c r="J2068" s="154"/>
      <c r="K2068" s="154">
        <f>ROUND(E2068/100,0)</f>
        <v>14</v>
      </c>
      <c r="L2068" s="154"/>
      <c r="M2068" s="154"/>
      <c r="N2068" s="154"/>
      <c r="O2068" s="154"/>
    </row>
    <row r="2069" spans="1:15" x14ac:dyDescent="0.35">
      <c r="A2069" s="321"/>
      <c r="B2069" s="318" t="str">
        <f>B2062</f>
        <v>VIA 9 - ESTACA 0+0,00 A 33+9,92</v>
      </c>
      <c r="C2069" s="153"/>
      <c r="D2069" s="153"/>
      <c r="E2069" s="154">
        <f>E2062</f>
        <v>669.92</v>
      </c>
      <c r="F2069" s="154"/>
      <c r="G2069" s="154"/>
      <c r="H2069" s="154"/>
      <c r="I2069" s="154"/>
      <c r="J2069" s="154"/>
      <c r="K2069" s="154">
        <f>ROUND(E2069/100,0)</f>
        <v>7</v>
      </c>
      <c r="L2069" s="154"/>
      <c r="M2069" s="154"/>
      <c r="N2069" s="154"/>
      <c r="O2069" s="348"/>
    </row>
    <row r="2070" spans="1:15" x14ac:dyDescent="0.35">
      <c r="A2070" s="321"/>
      <c r="B2070" s="318" t="str">
        <f>B2063</f>
        <v>VIA 11 - ESTACA 1+17,69 A 33+11,57</v>
      </c>
      <c r="C2070" s="153"/>
      <c r="D2070" s="153"/>
      <c r="E2070" s="154">
        <f>E2063</f>
        <v>633.88000000000011</v>
      </c>
      <c r="F2070" s="154"/>
      <c r="G2070" s="154"/>
      <c r="H2070" s="154"/>
      <c r="I2070" s="154"/>
      <c r="J2070" s="154"/>
      <c r="K2070" s="154">
        <f>ROUND(E2070/100,0)</f>
        <v>6</v>
      </c>
      <c r="L2070" s="154"/>
      <c r="M2070" s="154"/>
      <c r="N2070" s="154"/>
      <c r="O2070" s="348"/>
    </row>
    <row r="2071" spans="1:15" x14ac:dyDescent="0.35">
      <c r="A2071" s="321"/>
      <c r="B2071" s="320"/>
      <c r="C2071" s="154"/>
      <c r="D2071" s="154"/>
      <c r="E2071" s="154"/>
      <c r="F2071" s="154"/>
      <c r="G2071" s="154"/>
      <c r="H2071" s="154"/>
      <c r="I2071" s="154"/>
      <c r="J2071" s="154"/>
      <c r="K2071" s="154"/>
      <c r="L2071" s="154"/>
      <c r="M2071" s="154"/>
      <c r="N2071" s="154"/>
      <c r="O2071" s="324"/>
    </row>
    <row r="2072" spans="1:15" x14ac:dyDescent="0.35">
      <c r="A2072" s="319"/>
      <c r="B2072" s="318" t="s">
        <v>377</v>
      </c>
      <c r="C2072" s="158" t="s">
        <v>402</v>
      </c>
      <c r="D2072" s="158"/>
      <c r="E2072" s="158"/>
      <c r="F2072" s="158"/>
      <c r="G2072" s="158"/>
      <c r="H2072" s="158"/>
      <c r="I2072" s="158"/>
      <c r="J2072" s="158"/>
      <c r="K2072" s="170">
        <f>SUM(K2067:K2071)</f>
        <v>27</v>
      </c>
      <c r="L2072" s="158"/>
      <c r="M2072" s="158"/>
      <c r="N2072" s="158"/>
      <c r="O2072" s="170"/>
    </row>
    <row r="2073" spans="1:15" x14ac:dyDescent="0.35">
      <c r="A2073" s="327" t="str">
        <f>ORÇAMENTO!A334</f>
        <v>5.1.2</v>
      </c>
      <c r="B2073" s="326" t="str">
        <f>VLOOKUP(A2073,ORÇAMENTO!$A:$F,4,0)</f>
        <v>REDES DE DRENAGEM DE ÁGUAS PLUVIAIS</v>
      </c>
      <c r="C2073" s="143"/>
      <c r="D2073" s="143"/>
      <c r="E2073" s="144"/>
      <c r="F2073" s="144"/>
      <c r="G2073" s="144"/>
      <c r="H2073" s="144"/>
      <c r="I2073" s="144"/>
      <c r="J2073" s="144"/>
      <c r="K2073" s="144"/>
      <c r="L2073" s="144"/>
      <c r="M2073" s="144"/>
      <c r="N2073" s="144"/>
      <c r="O2073" s="144"/>
    </row>
    <row r="2074" spans="1:15" ht="31.5" x14ac:dyDescent="0.35">
      <c r="A2074" s="327" t="str">
        <f>ORÇAMENTO!A335</f>
        <v>5.1.2.1</v>
      </c>
      <c r="B2074" s="326" t="str">
        <f>VLOOKUP(A2074,ORÇAMENTO!$A:$F,4,0)</f>
        <v>ESCAVAÇÕES PARA SISTEMAS DESTRUTIVOS, COM DEPOSIÇÃO LATERAL PARA POSTERIOR REAPROVEITAMENTO</v>
      </c>
      <c r="C2074" s="143"/>
      <c r="D2074" s="143"/>
      <c r="E2074" s="144"/>
      <c r="F2074" s="144"/>
      <c r="G2074" s="144"/>
      <c r="H2074" s="144"/>
      <c r="I2074" s="144"/>
      <c r="J2074" s="144"/>
      <c r="K2074" s="144"/>
      <c r="L2074" s="144"/>
      <c r="M2074" s="144"/>
      <c r="N2074" s="144"/>
      <c r="O2074" s="144"/>
    </row>
    <row r="2075" spans="1:15" ht="63" x14ac:dyDescent="0.35">
      <c r="A2075" s="323" t="str">
        <f>ORÇAMENTO!A336</f>
        <v>5.1.2.1.1</v>
      </c>
      <c r="B2075" s="322" t="str">
        <f>VLOOKUP(A2075,ORÇAMENTO!$A:$F,4,0)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C2075" s="149" t="str">
        <f>VLOOKUP(A2075,ORÇAMENTO!$A:$F,5,0)</f>
        <v>M³</v>
      </c>
      <c r="D2075" s="149">
        <f>SUM(E2079:O2079)</f>
        <v>120.9496</v>
      </c>
      <c r="E2075" s="149" t="s">
        <v>2149</v>
      </c>
      <c r="F2075" s="149" t="s">
        <v>2150</v>
      </c>
      <c r="G2075" s="149" t="s">
        <v>2151</v>
      </c>
      <c r="H2075" s="149" t="s">
        <v>2152</v>
      </c>
      <c r="I2075" s="149" t="s">
        <v>2153</v>
      </c>
      <c r="J2075" s="149" t="s">
        <v>2154</v>
      </c>
      <c r="K2075" s="149" t="s">
        <v>2172</v>
      </c>
      <c r="L2075" s="149" t="s">
        <v>2178</v>
      </c>
      <c r="M2075" s="149" t="s">
        <v>2207</v>
      </c>
      <c r="N2075" s="149" t="s">
        <v>2157</v>
      </c>
      <c r="O2075" s="149" t="s">
        <v>2158</v>
      </c>
    </row>
    <row r="2076" spans="1:15" x14ac:dyDescent="0.35">
      <c r="A2076" s="321"/>
      <c r="B2076" s="320"/>
      <c r="C2076" s="153"/>
      <c r="D2076" s="154"/>
      <c r="E2076" s="154"/>
      <c r="F2076" s="154"/>
      <c r="G2076" s="154"/>
      <c r="H2076" s="154"/>
      <c r="I2076" s="154"/>
      <c r="J2076" s="154"/>
      <c r="K2076" s="154"/>
      <c r="L2076" s="154"/>
      <c r="M2076" s="154"/>
      <c r="N2076" s="154"/>
      <c r="O2076" s="154"/>
    </row>
    <row r="2077" spans="1:15" x14ac:dyDescent="0.35">
      <c r="A2077" s="321"/>
      <c r="B2077" s="320" t="s">
        <v>2161</v>
      </c>
      <c r="C2077" s="153"/>
      <c r="D2077" s="154"/>
      <c r="E2077" s="154"/>
      <c r="F2077" s="154"/>
      <c r="G2077" s="154"/>
      <c r="H2077" s="154"/>
      <c r="I2077" s="154"/>
      <c r="J2077" s="154"/>
      <c r="K2077" s="154"/>
      <c r="L2077" s="154"/>
      <c r="M2077" s="154"/>
      <c r="N2077" s="154"/>
      <c r="O2077" s="154">
        <f>Quantitativos!AD106</f>
        <v>120.9496</v>
      </c>
    </row>
    <row r="2078" spans="1:15" x14ac:dyDescent="0.35">
      <c r="A2078" s="321"/>
      <c r="B2078" s="320"/>
      <c r="C2078" s="153"/>
      <c r="D2078" s="154"/>
      <c r="E2078" s="154"/>
      <c r="F2078" s="154"/>
      <c r="G2078" s="154"/>
      <c r="H2078" s="154"/>
      <c r="I2078" s="154"/>
      <c r="J2078" s="154"/>
      <c r="K2078" s="154"/>
      <c r="L2078" s="154"/>
      <c r="M2078" s="154"/>
      <c r="N2078" s="154"/>
      <c r="O2078" s="154"/>
    </row>
    <row r="2079" spans="1:15" x14ac:dyDescent="0.35">
      <c r="A2079" s="321"/>
      <c r="B2079" s="318" t="s">
        <v>377</v>
      </c>
      <c r="C2079" s="158" t="s">
        <v>402</v>
      </c>
      <c r="D2079" s="158"/>
      <c r="E2079" s="158"/>
      <c r="F2079" s="158"/>
      <c r="G2079" s="158"/>
      <c r="H2079" s="158"/>
      <c r="I2079" s="158"/>
      <c r="J2079" s="158"/>
      <c r="K2079" s="158"/>
      <c r="L2079" s="158"/>
      <c r="M2079" s="158"/>
      <c r="N2079" s="158"/>
      <c r="O2079" s="158">
        <f>SUM(O2076:O2078)</f>
        <v>120.9496</v>
      </c>
    </row>
    <row r="2080" spans="1:15" ht="63" x14ac:dyDescent="0.35">
      <c r="A2080" s="323" t="str">
        <f>ORÇAMENTO!A337</f>
        <v>5.1.2.1.2</v>
      </c>
      <c r="B2080" s="322" t="str">
        <f>VLOOKUP(A2080,ORÇAMENTO!$A:$F,4,0)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C2080" s="149" t="str">
        <f>VLOOKUP(A2080,ORÇAMENTO!$A:$F,5,0)</f>
        <v>M³</v>
      </c>
      <c r="D2080" s="149">
        <f>SUM(E2084:O2084)</f>
        <v>33.6</v>
      </c>
      <c r="E2080" s="149" t="s">
        <v>2149</v>
      </c>
      <c r="F2080" s="149" t="s">
        <v>2150</v>
      </c>
      <c r="G2080" s="149" t="s">
        <v>2151</v>
      </c>
      <c r="H2080" s="149" t="s">
        <v>2152</v>
      </c>
      <c r="I2080" s="149" t="s">
        <v>2153</v>
      </c>
      <c r="J2080" s="149" t="s">
        <v>2154</v>
      </c>
      <c r="K2080" s="149" t="s">
        <v>2172</v>
      </c>
      <c r="L2080" s="149" t="s">
        <v>2178</v>
      </c>
      <c r="M2080" s="149" t="s">
        <v>2207</v>
      </c>
      <c r="N2080" s="149" t="s">
        <v>2157</v>
      </c>
      <c r="O2080" s="149" t="s">
        <v>2158</v>
      </c>
    </row>
    <row r="2081" spans="1:15" x14ac:dyDescent="0.35">
      <c r="A2081" s="321"/>
      <c r="B2081" s="320"/>
      <c r="C2081" s="153"/>
      <c r="D2081" s="154"/>
      <c r="E2081" s="154"/>
      <c r="F2081" s="154"/>
      <c r="G2081" s="154"/>
      <c r="H2081" s="154"/>
      <c r="I2081" s="154"/>
      <c r="J2081" s="154"/>
      <c r="K2081" s="154"/>
      <c r="L2081" s="154"/>
      <c r="M2081" s="154"/>
      <c r="N2081" s="154"/>
      <c r="O2081" s="154"/>
    </row>
    <row r="2082" spans="1:15" x14ac:dyDescent="0.35">
      <c r="A2082" s="321"/>
      <c r="B2082" s="320" t="s">
        <v>2161</v>
      </c>
      <c r="C2082" s="153"/>
      <c r="D2082" s="154"/>
      <c r="E2082" s="154"/>
      <c r="F2082" s="154"/>
      <c r="G2082" s="154"/>
      <c r="H2082" s="154"/>
      <c r="I2082" s="154"/>
      <c r="J2082" s="154"/>
      <c r="K2082" s="154"/>
      <c r="L2082" s="154"/>
      <c r="M2082" s="154"/>
      <c r="N2082" s="154"/>
      <c r="O2082" s="154">
        <f>Quantitativos!AE106</f>
        <v>33.6</v>
      </c>
    </row>
    <row r="2083" spans="1:15" x14ac:dyDescent="0.35">
      <c r="A2083" s="321"/>
      <c r="B2083" s="320"/>
      <c r="C2083" s="153"/>
      <c r="D2083" s="154"/>
      <c r="E2083" s="154"/>
      <c r="F2083" s="154"/>
      <c r="G2083" s="154"/>
      <c r="H2083" s="154"/>
      <c r="I2083" s="154"/>
      <c r="J2083" s="154"/>
      <c r="K2083" s="154"/>
      <c r="L2083" s="154"/>
      <c r="M2083" s="154"/>
      <c r="N2083" s="154"/>
      <c r="O2083" s="154"/>
    </row>
    <row r="2084" spans="1:15" x14ac:dyDescent="0.35">
      <c r="A2084" s="321"/>
      <c r="B2084" s="318" t="s">
        <v>377</v>
      </c>
      <c r="C2084" s="158" t="s">
        <v>402</v>
      </c>
      <c r="D2084" s="158"/>
      <c r="E2084" s="158"/>
      <c r="F2084" s="158"/>
      <c r="G2084" s="158"/>
      <c r="H2084" s="158"/>
      <c r="I2084" s="158"/>
      <c r="J2084" s="158"/>
      <c r="K2084" s="158"/>
      <c r="L2084" s="158"/>
      <c r="M2084" s="158"/>
      <c r="N2084" s="158"/>
      <c r="O2084" s="158">
        <f>SUM(O2081:O2083)</f>
        <v>33.6</v>
      </c>
    </row>
    <row r="2085" spans="1:15" ht="63" x14ac:dyDescent="0.35">
      <c r="A2085" s="323"/>
      <c r="B2085" s="322" t="s">
        <v>216</v>
      </c>
      <c r="C2085" s="149" t="s">
        <v>227</v>
      </c>
      <c r="D2085" s="149">
        <f>SUM(E2089:O2089)</f>
        <v>0</v>
      </c>
      <c r="E2085" s="149" t="s">
        <v>2149</v>
      </c>
      <c r="F2085" s="149" t="s">
        <v>2150</v>
      </c>
      <c r="G2085" s="149" t="s">
        <v>2151</v>
      </c>
      <c r="H2085" s="149" t="s">
        <v>2152</v>
      </c>
      <c r="I2085" s="149" t="s">
        <v>2153</v>
      </c>
      <c r="J2085" s="149" t="s">
        <v>2154</v>
      </c>
      <c r="K2085" s="149" t="s">
        <v>2172</v>
      </c>
      <c r="L2085" s="149" t="s">
        <v>2178</v>
      </c>
      <c r="M2085" s="149" t="s">
        <v>2207</v>
      </c>
      <c r="N2085" s="149" t="s">
        <v>2157</v>
      </c>
      <c r="O2085" s="149" t="s">
        <v>2158</v>
      </c>
    </row>
    <row r="2086" spans="1:15" x14ac:dyDescent="0.35">
      <c r="A2086" s="321"/>
      <c r="B2086" s="320"/>
      <c r="C2086" s="153"/>
      <c r="D2086" s="154"/>
      <c r="E2086" s="154"/>
      <c r="F2086" s="154"/>
      <c r="G2086" s="154"/>
      <c r="H2086" s="154"/>
      <c r="I2086" s="154"/>
      <c r="J2086" s="154"/>
      <c r="K2086" s="154"/>
      <c r="L2086" s="154"/>
      <c r="M2086" s="154"/>
      <c r="N2086" s="154"/>
      <c r="O2086" s="154"/>
    </row>
    <row r="2087" spans="1:15" x14ac:dyDescent="0.35">
      <c r="A2087" s="321"/>
      <c r="B2087" s="320" t="s">
        <v>2161</v>
      </c>
      <c r="C2087" s="153"/>
      <c r="D2087" s="154"/>
      <c r="E2087" s="154"/>
      <c r="F2087" s="154"/>
      <c r="G2087" s="154"/>
      <c r="H2087" s="154"/>
      <c r="I2087" s="154"/>
      <c r="J2087" s="154"/>
      <c r="K2087" s="154"/>
      <c r="L2087" s="154"/>
      <c r="M2087" s="154"/>
      <c r="N2087" s="154"/>
      <c r="O2087" s="154">
        <f>Quantitativos!AG106</f>
        <v>0</v>
      </c>
    </row>
    <row r="2088" spans="1:15" x14ac:dyDescent="0.35">
      <c r="A2088" s="321"/>
      <c r="B2088" s="320"/>
      <c r="C2088" s="153"/>
      <c r="D2088" s="154"/>
      <c r="E2088" s="154"/>
      <c r="F2088" s="154"/>
      <c r="G2088" s="154"/>
      <c r="H2088" s="154"/>
      <c r="I2088" s="154"/>
      <c r="J2088" s="154"/>
      <c r="K2088" s="154"/>
      <c r="L2088" s="154"/>
      <c r="M2088" s="154"/>
      <c r="N2088" s="154"/>
      <c r="O2088" s="154"/>
    </row>
    <row r="2089" spans="1:15" x14ac:dyDescent="0.35">
      <c r="A2089" s="321"/>
      <c r="B2089" s="318" t="s">
        <v>377</v>
      </c>
      <c r="C2089" s="158" t="s">
        <v>402</v>
      </c>
      <c r="D2089" s="158"/>
      <c r="E2089" s="158"/>
      <c r="F2089" s="158"/>
      <c r="G2089" s="158"/>
      <c r="H2089" s="158"/>
      <c r="I2089" s="158"/>
      <c r="J2089" s="158"/>
      <c r="K2089" s="158"/>
      <c r="L2089" s="158"/>
      <c r="M2089" s="158"/>
      <c r="N2089" s="158"/>
      <c r="O2089" s="158">
        <f>SUM(O2086:O2088)</f>
        <v>0</v>
      </c>
    </row>
    <row r="2090" spans="1:15" ht="63" x14ac:dyDescent="0.35">
      <c r="A2090" s="323" t="str">
        <f>ORÇAMENTO!A338</f>
        <v>5.1.2.1.3</v>
      </c>
      <c r="B2090" s="322" t="str">
        <f>VLOOKUP(A2090,ORÇAMENTO!$A:$F,4,0)</f>
        <v>ESCAVAÇÃO MECANIZADA DE VALA COM PROF. DE 3,0 M ATÉ 4,5 M (MÉDIA MONTANTE E JUSANTE/UMA COMPOSIÇÃO POR TRECHO), ESCAVADEIRA (1,2 M3), LARG. DE 1,5 M A 2,5 M, EM SOLO MOLE, EM LOCAIS COM ALTO NÍVEL DE INTERFERÊNCIA. AF_09/2024</v>
      </c>
      <c r="C2090" s="149" t="str">
        <f>VLOOKUP(A2090,ORÇAMENTO!$A:$F,5,0)</f>
        <v>M³</v>
      </c>
      <c r="D2090" s="149">
        <f>SUM(E2094:O2094)</f>
        <v>97.819200000000023</v>
      </c>
      <c r="E2090" s="149" t="s">
        <v>2149</v>
      </c>
      <c r="F2090" s="149" t="s">
        <v>2150</v>
      </c>
      <c r="G2090" s="149" t="s">
        <v>2151</v>
      </c>
      <c r="H2090" s="149" t="s">
        <v>2152</v>
      </c>
      <c r="I2090" s="149" t="s">
        <v>2153</v>
      </c>
      <c r="J2090" s="149" t="s">
        <v>2154</v>
      </c>
      <c r="K2090" s="149" t="s">
        <v>2172</v>
      </c>
      <c r="L2090" s="149" t="s">
        <v>2178</v>
      </c>
      <c r="M2090" s="149" t="s">
        <v>2207</v>
      </c>
      <c r="N2090" s="149" t="s">
        <v>2157</v>
      </c>
      <c r="O2090" s="149" t="s">
        <v>2158</v>
      </c>
    </row>
    <row r="2091" spans="1:15" x14ac:dyDescent="0.35">
      <c r="A2091" s="321"/>
      <c r="B2091" s="320"/>
      <c r="C2091" s="153"/>
      <c r="D2091" s="154"/>
      <c r="E2091" s="154"/>
      <c r="F2091" s="154"/>
      <c r="G2091" s="154"/>
      <c r="H2091" s="154"/>
      <c r="I2091" s="154"/>
      <c r="J2091" s="154"/>
      <c r="K2091" s="154"/>
      <c r="L2091" s="154"/>
      <c r="M2091" s="154"/>
      <c r="N2091" s="154"/>
      <c r="O2091" s="154"/>
    </row>
    <row r="2092" spans="1:15" x14ac:dyDescent="0.35">
      <c r="A2092" s="321"/>
      <c r="B2092" s="320" t="s">
        <v>2161</v>
      </c>
      <c r="C2092" s="153"/>
      <c r="D2092" s="154"/>
      <c r="E2092" s="154"/>
      <c r="F2092" s="154"/>
      <c r="G2092" s="154"/>
      <c r="H2092" s="154"/>
      <c r="I2092" s="154"/>
      <c r="J2092" s="154"/>
      <c r="K2092" s="154"/>
      <c r="L2092" s="154"/>
      <c r="M2092" s="154"/>
      <c r="N2092" s="154"/>
      <c r="O2092" s="154">
        <f>Quantitativos!AH106</f>
        <v>97.819200000000023</v>
      </c>
    </row>
    <row r="2093" spans="1:15" x14ac:dyDescent="0.35">
      <c r="A2093" s="321"/>
      <c r="B2093" s="320"/>
      <c r="C2093" s="153"/>
      <c r="D2093" s="154"/>
      <c r="E2093" s="154"/>
      <c r="F2093" s="154"/>
      <c r="G2093" s="154"/>
      <c r="H2093" s="154"/>
      <c r="I2093" s="154"/>
      <c r="J2093" s="154"/>
      <c r="K2093" s="154"/>
      <c r="L2093" s="154"/>
      <c r="M2093" s="154"/>
      <c r="N2093" s="154"/>
      <c r="O2093" s="154"/>
    </row>
    <row r="2094" spans="1:15" x14ac:dyDescent="0.35">
      <c r="A2094" s="321"/>
      <c r="B2094" s="318" t="s">
        <v>377</v>
      </c>
      <c r="C2094" s="158" t="s">
        <v>402</v>
      </c>
      <c r="D2094" s="158"/>
      <c r="E2094" s="158"/>
      <c r="F2094" s="158"/>
      <c r="G2094" s="158"/>
      <c r="H2094" s="158"/>
      <c r="I2094" s="158"/>
      <c r="J2094" s="158"/>
      <c r="K2094" s="158"/>
      <c r="L2094" s="158"/>
      <c r="M2094" s="158"/>
      <c r="N2094" s="158"/>
      <c r="O2094" s="158">
        <f>SUM(O2091:O2093)</f>
        <v>97.819200000000023</v>
      </c>
    </row>
    <row r="2095" spans="1:15" ht="63" x14ac:dyDescent="0.35">
      <c r="A2095" s="323" t="str">
        <f>ORÇAMENTO!A339</f>
        <v>5.1.2.1.4</v>
      </c>
      <c r="B2095" s="322" t="str">
        <f>VLOOKUP(A2095,ORÇAMENTO!$A:$F,4,0)</f>
        <v>ESCAVAÇÃO MECANIZADA DE VALA COM PROF. MAIOR QUE 4,5 M ATÉ 6,0 M (MÉDIA MONTANTE E JUSANTE/UMA COMPOSIÇÃO POR TRECHO), ESCAVADEIRA (1,2 M3), LARG. DE 1,5 M A 2,5 M, EM SOLO MOLE, EM LOCAIS COM ALTO NÍVEL DE INTERFERÊNCIA. AF_09/2024</v>
      </c>
      <c r="C2095" s="149" t="str">
        <f>VLOOKUP(A2095,ORÇAMENTO!$A:$F,5,0)</f>
        <v>M³</v>
      </c>
      <c r="D2095" s="149">
        <f>SUM(E2099:O2099)</f>
        <v>135.2088</v>
      </c>
      <c r="E2095" s="149" t="s">
        <v>2149</v>
      </c>
      <c r="F2095" s="149" t="s">
        <v>2150</v>
      </c>
      <c r="G2095" s="149" t="s">
        <v>2151</v>
      </c>
      <c r="H2095" s="149" t="s">
        <v>2152</v>
      </c>
      <c r="I2095" s="149" t="s">
        <v>2153</v>
      </c>
      <c r="J2095" s="149" t="s">
        <v>2154</v>
      </c>
      <c r="K2095" s="149" t="s">
        <v>2172</v>
      </c>
      <c r="L2095" s="149" t="s">
        <v>2178</v>
      </c>
      <c r="M2095" s="149" t="s">
        <v>2207</v>
      </c>
      <c r="N2095" s="149" t="s">
        <v>2157</v>
      </c>
      <c r="O2095" s="149" t="s">
        <v>2158</v>
      </c>
    </row>
    <row r="2096" spans="1:15" x14ac:dyDescent="0.35">
      <c r="A2096" s="321"/>
      <c r="B2096" s="320"/>
      <c r="C2096" s="153"/>
      <c r="D2096" s="154"/>
      <c r="E2096" s="154"/>
      <c r="F2096" s="154"/>
      <c r="G2096" s="154"/>
      <c r="H2096" s="154"/>
      <c r="I2096" s="154"/>
      <c r="J2096" s="154"/>
      <c r="K2096" s="154"/>
      <c r="L2096" s="154"/>
      <c r="M2096" s="154"/>
      <c r="N2096" s="154"/>
      <c r="O2096" s="154"/>
    </row>
    <row r="2097" spans="1:15" x14ac:dyDescent="0.35">
      <c r="A2097" s="321"/>
      <c r="B2097" s="320" t="s">
        <v>2161</v>
      </c>
      <c r="C2097" s="153"/>
      <c r="D2097" s="154"/>
      <c r="E2097" s="154"/>
      <c r="F2097" s="154"/>
      <c r="G2097" s="154"/>
      <c r="H2097" s="154"/>
      <c r="I2097" s="154"/>
      <c r="J2097" s="154"/>
      <c r="K2097" s="154"/>
      <c r="L2097" s="154"/>
      <c r="M2097" s="154"/>
      <c r="N2097" s="154"/>
      <c r="O2097" s="154">
        <f>Quantitativos!AI106</f>
        <v>135.2088</v>
      </c>
    </row>
    <row r="2098" spans="1:15" x14ac:dyDescent="0.35">
      <c r="A2098" s="321"/>
      <c r="B2098" s="320"/>
      <c r="C2098" s="153"/>
      <c r="D2098" s="154"/>
      <c r="E2098" s="154"/>
      <c r="F2098" s="154"/>
      <c r="G2098" s="154"/>
      <c r="H2098" s="154"/>
      <c r="I2098" s="154"/>
      <c r="J2098" s="154"/>
      <c r="K2098" s="154"/>
      <c r="L2098" s="154"/>
      <c r="M2098" s="154"/>
      <c r="N2098" s="154"/>
      <c r="O2098" s="154"/>
    </row>
    <row r="2099" spans="1:15" x14ac:dyDescent="0.35">
      <c r="A2099" s="321"/>
      <c r="B2099" s="318" t="s">
        <v>377</v>
      </c>
      <c r="C2099" s="158" t="s">
        <v>402</v>
      </c>
      <c r="D2099" s="158"/>
      <c r="E2099" s="158"/>
      <c r="F2099" s="158"/>
      <c r="G2099" s="158"/>
      <c r="H2099" s="158"/>
      <c r="I2099" s="158"/>
      <c r="J2099" s="158"/>
      <c r="K2099" s="158"/>
      <c r="L2099" s="158"/>
      <c r="M2099" s="158"/>
      <c r="N2099" s="158"/>
      <c r="O2099" s="158">
        <f>SUM(O2096:O2098)</f>
        <v>135.2088</v>
      </c>
    </row>
    <row r="2100" spans="1:15" ht="63" x14ac:dyDescent="0.35">
      <c r="A2100" s="323" t="str">
        <f>ORÇAMENTO!A340</f>
        <v>5.1.2.1.5</v>
      </c>
      <c r="B2100" s="322" t="str">
        <f>VLOOKUP(A2100,ORÇAMENTO!$A:$F,4,0)</f>
        <v>ESCAVAÇÃO MECANIZADA DE VALA COM PROF. ATÉ 1,5 M (MÉDIA MONTANTE E JUSANTE/UMA COMPOSIÇÃO POR TRECHO), ESCAVADEIRA (0,8 M3), LARG. MENOR QUE 1,5 M, EM SOLO DE 1A CATEGORIA, EM LOCAIS COM ALTO NÍVEL DE INTERFERÊNCIA. AF_09/2024</v>
      </c>
      <c r="C2100" s="149" t="str">
        <f>VLOOKUP(A2100,ORÇAMENTO!$A:$F,5,0)</f>
        <v>M³</v>
      </c>
      <c r="D2100" s="149">
        <f>SUM(E2104:O2104)</f>
        <v>1786.5060000000001</v>
      </c>
      <c r="E2100" s="149" t="s">
        <v>2149</v>
      </c>
      <c r="F2100" s="149" t="s">
        <v>2150</v>
      </c>
      <c r="G2100" s="149" t="s">
        <v>2151</v>
      </c>
      <c r="H2100" s="149" t="s">
        <v>2152</v>
      </c>
      <c r="I2100" s="149" t="s">
        <v>2153</v>
      </c>
      <c r="J2100" s="149" t="s">
        <v>2154</v>
      </c>
      <c r="K2100" s="149" t="s">
        <v>2172</v>
      </c>
      <c r="L2100" s="149" t="s">
        <v>2178</v>
      </c>
      <c r="M2100" s="149" t="s">
        <v>2207</v>
      </c>
      <c r="N2100" s="149" t="s">
        <v>2157</v>
      </c>
      <c r="O2100" s="149" t="s">
        <v>2158</v>
      </c>
    </row>
    <row r="2101" spans="1:15" x14ac:dyDescent="0.35">
      <c r="A2101" s="321"/>
      <c r="B2101" s="320"/>
      <c r="C2101" s="153"/>
      <c r="D2101" s="154"/>
      <c r="E2101" s="154"/>
      <c r="F2101" s="154"/>
      <c r="G2101" s="154"/>
      <c r="H2101" s="154"/>
      <c r="I2101" s="154"/>
      <c r="J2101" s="154"/>
      <c r="K2101" s="154"/>
      <c r="L2101" s="154"/>
      <c r="M2101" s="154"/>
      <c r="N2101" s="154"/>
      <c r="O2101" s="154"/>
    </row>
    <row r="2102" spans="1:15" x14ac:dyDescent="0.35">
      <c r="A2102" s="321"/>
      <c r="B2102" s="320" t="s">
        <v>2161</v>
      </c>
      <c r="C2102" s="153"/>
      <c r="D2102" s="154"/>
      <c r="E2102" s="154"/>
      <c r="F2102" s="154"/>
      <c r="G2102" s="154"/>
      <c r="H2102" s="154"/>
      <c r="I2102" s="154"/>
      <c r="J2102" s="154"/>
      <c r="K2102" s="154"/>
      <c r="L2102" s="154"/>
      <c r="M2102" s="154"/>
      <c r="N2102" s="154"/>
      <c r="O2102" s="154">
        <f>Quantitativos!AJ106</f>
        <v>1786.5060000000001</v>
      </c>
    </row>
    <row r="2103" spans="1:15" x14ac:dyDescent="0.35">
      <c r="A2103" s="321"/>
      <c r="B2103" s="320"/>
      <c r="C2103" s="153"/>
      <c r="D2103" s="154"/>
      <c r="E2103" s="154"/>
      <c r="F2103" s="154"/>
      <c r="G2103" s="154"/>
      <c r="H2103" s="154"/>
      <c r="I2103" s="154"/>
      <c r="J2103" s="154"/>
      <c r="K2103" s="154"/>
      <c r="L2103" s="154"/>
      <c r="M2103" s="154"/>
      <c r="N2103" s="154"/>
      <c r="O2103" s="154"/>
    </row>
    <row r="2104" spans="1:15" x14ac:dyDescent="0.35">
      <c r="A2104" s="321"/>
      <c r="B2104" s="318" t="s">
        <v>377</v>
      </c>
      <c r="C2104" s="158" t="s">
        <v>402</v>
      </c>
      <c r="D2104" s="158"/>
      <c r="E2104" s="158"/>
      <c r="F2104" s="158"/>
      <c r="G2104" s="158"/>
      <c r="H2104" s="158"/>
      <c r="I2104" s="158"/>
      <c r="J2104" s="158"/>
      <c r="K2104" s="158"/>
      <c r="L2104" s="158"/>
      <c r="M2104" s="158"/>
      <c r="N2104" s="158"/>
      <c r="O2104" s="158">
        <f>SUM(O2101:O2103)</f>
        <v>1786.5060000000001</v>
      </c>
    </row>
    <row r="2105" spans="1:15" ht="63" x14ac:dyDescent="0.35">
      <c r="A2105" s="323" t="str">
        <f>ORÇAMENTO!A341</f>
        <v>5.1.2.1.6</v>
      </c>
      <c r="B2105" s="322" t="str">
        <f>VLOOKUP(A2105,ORÇAMENTO!$A:$F,4,0)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C2105" s="149" t="str">
        <f>VLOOKUP(A2105,ORÇAMENTO!$A:$F,5,0)</f>
        <v>M³</v>
      </c>
      <c r="D2105" s="149">
        <f>SUM(E2109:O2109)</f>
        <v>541.53148604839862</v>
      </c>
      <c r="E2105" s="149" t="s">
        <v>2149</v>
      </c>
      <c r="F2105" s="149" t="s">
        <v>2150</v>
      </c>
      <c r="G2105" s="149" t="s">
        <v>2151</v>
      </c>
      <c r="H2105" s="149" t="s">
        <v>2152</v>
      </c>
      <c r="I2105" s="149" t="s">
        <v>2153</v>
      </c>
      <c r="J2105" s="149" t="s">
        <v>2154</v>
      </c>
      <c r="K2105" s="149" t="s">
        <v>2172</v>
      </c>
      <c r="L2105" s="149" t="s">
        <v>2178</v>
      </c>
      <c r="M2105" s="149" t="s">
        <v>2207</v>
      </c>
      <c r="N2105" s="149" t="s">
        <v>2157</v>
      </c>
      <c r="O2105" s="149" t="s">
        <v>2158</v>
      </c>
    </row>
    <row r="2106" spans="1:15" x14ac:dyDescent="0.35">
      <c r="A2106" s="321"/>
      <c r="B2106" s="320"/>
      <c r="C2106" s="153"/>
      <c r="D2106" s="154"/>
      <c r="E2106" s="154"/>
      <c r="F2106" s="154"/>
      <c r="G2106" s="154"/>
      <c r="H2106" s="154"/>
      <c r="I2106" s="154"/>
      <c r="J2106" s="154"/>
      <c r="K2106" s="154"/>
      <c r="L2106" s="154"/>
      <c r="M2106" s="154"/>
      <c r="N2106" s="154"/>
      <c r="O2106" s="154"/>
    </row>
    <row r="2107" spans="1:15" x14ac:dyDescent="0.35">
      <c r="A2107" s="321"/>
      <c r="B2107" s="320" t="s">
        <v>2161</v>
      </c>
      <c r="C2107" s="153"/>
      <c r="D2107" s="154"/>
      <c r="E2107" s="154"/>
      <c r="F2107" s="154"/>
      <c r="G2107" s="154"/>
      <c r="H2107" s="154"/>
      <c r="I2107" s="154"/>
      <c r="J2107" s="154"/>
      <c r="K2107" s="154"/>
      <c r="L2107" s="154"/>
      <c r="M2107" s="154"/>
      <c r="N2107" s="154"/>
      <c r="O2107" s="154">
        <f>Quantitativos!AK106</f>
        <v>541.53148604839862</v>
      </c>
    </row>
    <row r="2108" spans="1:15" x14ac:dyDescent="0.35">
      <c r="A2108" s="321"/>
      <c r="B2108" s="320"/>
      <c r="C2108" s="153"/>
      <c r="D2108" s="154"/>
      <c r="E2108" s="154"/>
      <c r="F2108" s="154"/>
      <c r="G2108" s="154"/>
      <c r="H2108" s="154"/>
      <c r="I2108" s="154"/>
      <c r="J2108" s="154"/>
      <c r="K2108" s="154"/>
      <c r="L2108" s="154"/>
      <c r="M2108" s="154"/>
      <c r="N2108" s="154"/>
      <c r="O2108" s="154"/>
    </row>
    <row r="2109" spans="1:15" x14ac:dyDescent="0.35">
      <c r="A2109" s="321"/>
      <c r="B2109" s="318" t="s">
        <v>377</v>
      </c>
      <c r="C2109" s="158" t="s">
        <v>402</v>
      </c>
      <c r="D2109" s="158"/>
      <c r="E2109" s="158"/>
      <c r="F2109" s="158"/>
      <c r="G2109" s="158"/>
      <c r="H2109" s="158"/>
      <c r="I2109" s="158"/>
      <c r="J2109" s="158"/>
      <c r="K2109" s="158"/>
      <c r="L2109" s="158"/>
      <c r="M2109" s="158"/>
      <c r="N2109" s="158"/>
      <c r="O2109" s="158">
        <f>SUM(O2106:O2108)</f>
        <v>541.53148604839862</v>
      </c>
    </row>
    <row r="2110" spans="1:15" ht="63" x14ac:dyDescent="0.35">
      <c r="A2110" s="323" t="str">
        <f>ORÇAMENTO!A342</f>
        <v>5.1.2.1.7</v>
      </c>
      <c r="B2110" s="322" t="str">
        <f>VLOOKUP(A2110,ORÇAMENTO!$A:$F,4,0)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2110" s="149" t="str">
        <f>VLOOKUP(A2110,ORÇAMENTO!$A:$F,5,0)</f>
        <v>M³</v>
      </c>
      <c r="D2110" s="149">
        <f>SUM(E2114:O2114)</f>
        <v>3442.8075000000008</v>
      </c>
      <c r="E2110" s="149" t="s">
        <v>2149</v>
      </c>
      <c r="F2110" s="149" t="s">
        <v>2150</v>
      </c>
      <c r="G2110" s="149" t="s">
        <v>2151</v>
      </c>
      <c r="H2110" s="149" t="s">
        <v>2152</v>
      </c>
      <c r="I2110" s="149" t="s">
        <v>2153</v>
      </c>
      <c r="J2110" s="149" t="s">
        <v>2154</v>
      </c>
      <c r="K2110" s="149" t="s">
        <v>2172</v>
      </c>
      <c r="L2110" s="149" t="s">
        <v>2178</v>
      </c>
      <c r="M2110" s="149" t="s">
        <v>2207</v>
      </c>
      <c r="N2110" s="149" t="s">
        <v>2157</v>
      </c>
      <c r="O2110" s="149" t="s">
        <v>2158</v>
      </c>
    </row>
    <row r="2111" spans="1:15" x14ac:dyDescent="0.35">
      <c r="A2111" s="321"/>
      <c r="B2111" s="320"/>
      <c r="C2111" s="153"/>
      <c r="D2111" s="154"/>
      <c r="E2111" s="154"/>
      <c r="F2111" s="154"/>
      <c r="G2111" s="154"/>
      <c r="H2111" s="154"/>
      <c r="I2111" s="154"/>
      <c r="J2111" s="154"/>
      <c r="K2111" s="154"/>
      <c r="L2111" s="154"/>
      <c r="M2111" s="154"/>
      <c r="N2111" s="154"/>
      <c r="O2111" s="154"/>
    </row>
    <row r="2112" spans="1:15" x14ac:dyDescent="0.35">
      <c r="A2112" s="321"/>
      <c r="B2112" s="320" t="s">
        <v>2161</v>
      </c>
      <c r="C2112" s="153"/>
      <c r="D2112" s="154"/>
      <c r="E2112" s="154"/>
      <c r="F2112" s="154"/>
      <c r="G2112" s="154"/>
      <c r="H2112" s="154"/>
      <c r="I2112" s="154"/>
      <c r="J2112" s="154"/>
      <c r="K2112" s="154"/>
      <c r="L2112" s="154"/>
      <c r="M2112" s="154"/>
      <c r="N2112" s="154"/>
      <c r="O2112" s="154">
        <f>Quantitativos!AL106</f>
        <v>3442.8075000000008</v>
      </c>
    </row>
    <row r="2113" spans="1:15" x14ac:dyDescent="0.35">
      <c r="A2113" s="321"/>
      <c r="B2113" s="320"/>
      <c r="C2113" s="153"/>
      <c r="D2113" s="154"/>
      <c r="E2113" s="154"/>
      <c r="F2113" s="154"/>
      <c r="G2113" s="154"/>
      <c r="H2113" s="154"/>
      <c r="I2113" s="154"/>
      <c r="J2113" s="154"/>
      <c r="K2113" s="154"/>
      <c r="L2113" s="154"/>
      <c r="M2113" s="154"/>
      <c r="N2113" s="154"/>
      <c r="O2113" s="154"/>
    </row>
    <row r="2114" spans="1:15" x14ac:dyDescent="0.35">
      <c r="A2114" s="321"/>
      <c r="B2114" s="318" t="s">
        <v>377</v>
      </c>
      <c r="C2114" s="158" t="s">
        <v>402</v>
      </c>
      <c r="D2114" s="158"/>
      <c r="E2114" s="158"/>
      <c r="F2114" s="158"/>
      <c r="G2114" s="158"/>
      <c r="H2114" s="158"/>
      <c r="I2114" s="158"/>
      <c r="J2114" s="158"/>
      <c r="K2114" s="158"/>
      <c r="L2114" s="158"/>
      <c r="M2114" s="158"/>
      <c r="N2114" s="158"/>
      <c r="O2114" s="158">
        <f>SUM(O2111:O2113)</f>
        <v>3442.8075000000008</v>
      </c>
    </row>
    <row r="2115" spans="1:15" ht="63" x14ac:dyDescent="0.35">
      <c r="A2115" s="323" t="str">
        <f>ORÇAMENTO!A343</f>
        <v>5.1.2.1.8</v>
      </c>
      <c r="B2115" s="322" t="str">
        <f>VLOOKUP(A2115,ORÇAMENTO!$A:$F,4,0)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C2115" s="149" t="str">
        <f>VLOOKUP(A2115,ORÇAMENTO!$A:$F,5,0)</f>
        <v>M³</v>
      </c>
      <c r="D2115" s="149">
        <f>SUM(E2119:O2119)</f>
        <v>2531.1519210409251</v>
      </c>
      <c r="E2115" s="149" t="s">
        <v>2149</v>
      </c>
      <c r="F2115" s="149" t="s">
        <v>2150</v>
      </c>
      <c r="G2115" s="149" t="s">
        <v>2151</v>
      </c>
      <c r="H2115" s="149" t="s">
        <v>2152</v>
      </c>
      <c r="I2115" s="149" t="s">
        <v>2153</v>
      </c>
      <c r="J2115" s="149" t="s">
        <v>2154</v>
      </c>
      <c r="K2115" s="149" t="s">
        <v>2172</v>
      </c>
      <c r="L2115" s="149" t="s">
        <v>2178</v>
      </c>
      <c r="M2115" s="149" t="s">
        <v>2207</v>
      </c>
      <c r="N2115" s="149" t="s">
        <v>2157</v>
      </c>
      <c r="O2115" s="149" t="s">
        <v>2158</v>
      </c>
    </row>
    <row r="2116" spans="1:15" x14ac:dyDescent="0.35">
      <c r="A2116" s="321"/>
      <c r="B2116" s="320"/>
      <c r="C2116" s="153"/>
      <c r="D2116" s="154"/>
      <c r="E2116" s="154"/>
      <c r="F2116" s="154"/>
      <c r="G2116" s="154"/>
      <c r="H2116" s="154"/>
      <c r="I2116" s="154"/>
      <c r="J2116" s="154"/>
      <c r="K2116" s="154"/>
      <c r="L2116" s="154"/>
      <c r="M2116" s="154"/>
      <c r="N2116" s="154"/>
      <c r="O2116" s="154"/>
    </row>
    <row r="2117" spans="1:15" x14ac:dyDescent="0.35">
      <c r="A2117" s="321"/>
      <c r="B2117" s="320" t="s">
        <v>2161</v>
      </c>
      <c r="C2117" s="153"/>
      <c r="D2117" s="154"/>
      <c r="E2117" s="154"/>
      <c r="F2117" s="154"/>
      <c r="G2117" s="154"/>
      <c r="H2117" s="154"/>
      <c r="I2117" s="154"/>
      <c r="J2117" s="154"/>
      <c r="K2117" s="154"/>
      <c r="L2117" s="154"/>
      <c r="M2117" s="154"/>
      <c r="N2117" s="154"/>
      <c r="O2117" s="154">
        <f>Quantitativos!AM106</f>
        <v>2531.1519210409251</v>
      </c>
    </row>
    <row r="2118" spans="1:15" x14ac:dyDescent="0.35">
      <c r="A2118" s="321"/>
      <c r="B2118" s="320"/>
      <c r="C2118" s="153"/>
      <c r="D2118" s="154"/>
      <c r="E2118" s="154"/>
      <c r="F2118" s="154"/>
      <c r="G2118" s="154"/>
      <c r="H2118" s="154"/>
      <c r="I2118" s="154"/>
      <c r="J2118" s="154"/>
      <c r="K2118" s="154"/>
      <c r="L2118" s="154"/>
      <c r="M2118" s="154"/>
      <c r="N2118" s="154"/>
      <c r="O2118" s="154"/>
    </row>
    <row r="2119" spans="1:15" x14ac:dyDescent="0.35">
      <c r="A2119" s="321"/>
      <c r="B2119" s="318" t="s">
        <v>377</v>
      </c>
      <c r="C2119" s="158" t="s">
        <v>402</v>
      </c>
      <c r="D2119" s="158"/>
      <c r="E2119" s="158"/>
      <c r="F2119" s="158"/>
      <c r="G2119" s="158"/>
      <c r="H2119" s="158"/>
      <c r="I2119" s="158"/>
      <c r="J2119" s="158"/>
      <c r="K2119" s="158"/>
      <c r="L2119" s="158"/>
      <c r="M2119" s="158"/>
      <c r="N2119" s="158"/>
      <c r="O2119" s="158">
        <f>SUM(O2116:O2118)</f>
        <v>2531.1519210409251</v>
      </c>
    </row>
    <row r="2120" spans="1:15" ht="63" x14ac:dyDescent="0.35">
      <c r="A2120" s="323" t="str">
        <f>ORÇAMENTO!A344</f>
        <v>5.1.2.1.9</v>
      </c>
      <c r="B2120" s="322" t="str">
        <f>VLOOKUP(A2120,ORÇAMENTO!$A:$F,4,0)</f>
        <v>ESCAVAÇÃO MECANIZADA DE VALA COM PROF. DE 3,0 M ATÉ 4,5 M(MÉDIA MONTANTE E JUSANTE/UMA COMPOSIÇÃO POR TRECHO), ESCAVADEIRA (1,2 M3), LARG. DE 1,5 M A 2,5 M, EM SOLO DE 1A CATEGORIA, EM LOCAIS COM ALTO NÍVEL DE INTERFERÊNCIA. AF_09/2024</v>
      </c>
      <c r="C2120" s="149" t="str">
        <f>VLOOKUP(A2120,ORÇAMENTO!$A:$F,5,0)</f>
        <v>M³</v>
      </c>
      <c r="D2120" s="149">
        <f>SUM(E2124:O2124)</f>
        <v>400.85382371324113</v>
      </c>
      <c r="E2120" s="149" t="s">
        <v>2149</v>
      </c>
      <c r="F2120" s="149" t="s">
        <v>2150</v>
      </c>
      <c r="G2120" s="149" t="s">
        <v>2151</v>
      </c>
      <c r="H2120" s="149" t="s">
        <v>2152</v>
      </c>
      <c r="I2120" s="149" t="s">
        <v>2153</v>
      </c>
      <c r="J2120" s="149" t="s">
        <v>2154</v>
      </c>
      <c r="K2120" s="149" t="s">
        <v>2172</v>
      </c>
      <c r="L2120" s="149" t="s">
        <v>2178</v>
      </c>
      <c r="M2120" s="149" t="s">
        <v>2207</v>
      </c>
      <c r="N2120" s="149" t="s">
        <v>2157</v>
      </c>
      <c r="O2120" s="149" t="s">
        <v>2158</v>
      </c>
    </row>
    <row r="2121" spans="1:15" x14ac:dyDescent="0.35">
      <c r="A2121" s="321"/>
      <c r="B2121" s="320"/>
      <c r="C2121" s="153"/>
      <c r="D2121" s="154"/>
      <c r="E2121" s="154"/>
      <c r="F2121" s="154"/>
      <c r="G2121" s="154"/>
      <c r="H2121" s="154"/>
      <c r="I2121" s="154"/>
      <c r="J2121" s="154"/>
      <c r="K2121" s="154"/>
      <c r="L2121" s="154"/>
      <c r="M2121" s="154"/>
      <c r="N2121" s="154"/>
      <c r="O2121" s="154"/>
    </row>
    <row r="2122" spans="1:15" x14ac:dyDescent="0.35">
      <c r="A2122" s="321"/>
      <c r="B2122" s="320" t="s">
        <v>2161</v>
      </c>
      <c r="C2122" s="153"/>
      <c r="D2122" s="154"/>
      <c r="E2122" s="154"/>
      <c r="F2122" s="154"/>
      <c r="G2122" s="154"/>
      <c r="H2122" s="154"/>
      <c r="I2122" s="154"/>
      <c r="J2122" s="154"/>
      <c r="K2122" s="154"/>
      <c r="L2122" s="154"/>
      <c r="M2122" s="154"/>
      <c r="N2122" s="154"/>
      <c r="O2122" s="154">
        <f>Quantitativos!AN106</f>
        <v>400.85382371324113</v>
      </c>
    </row>
    <row r="2123" spans="1:15" x14ac:dyDescent="0.35">
      <c r="A2123" s="321"/>
      <c r="B2123" s="320"/>
      <c r="C2123" s="153"/>
      <c r="D2123" s="154"/>
      <c r="E2123" s="154"/>
      <c r="F2123" s="154"/>
      <c r="G2123" s="154"/>
      <c r="H2123" s="154"/>
      <c r="I2123" s="154"/>
      <c r="J2123" s="154"/>
      <c r="K2123" s="154"/>
      <c r="L2123" s="154"/>
      <c r="M2123" s="154"/>
      <c r="N2123" s="154"/>
      <c r="O2123" s="154"/>
    </row>
    <row r="2124" spans="1:15" x14ac:dyDescent="0.35">
      <c r="A2124" s="321"/>
      <c r="B2124" s="318" t="s">
        <v>377</v>
      </c>
      <c r="C2124" s="158" t="s">
        <v>402</v>
      </c>
      <c r="D2124" s="158"/>
      <c r="E2124" s="158"/>
      <c r="F2124" s="158"/>
      <c r="G2124" s="158"/>
      <c r="H2124" s="158"/>
      <c r="I2124" s="158"/>
      <c r="J2124" s="158"/>
      <c r="K2124" s="158"/>
      <c r="L2124" s="158"/>
      <c r="M2124" s="158"/>
      <c r="N2124" s="158"/>
      <c r="O2124" s="158">
        <f>SUM(O2121:O2123)</f>
        <v>400.85382371324113</v>
      </c>
    </row>
    <row r="2125" spans="1:15" ht="31.5" x14ac:dyDescent="0.35">
      <c r="A2125" s="323" t="str">
        <f>ORÇAMENTO!A345</f>
        <v>5.1.2.1.10</v>
      </c>
      <c r="B2125" s="322" t="str">
        <f>VLOOKUP(A2125,ORÇAMENTO!$A:$F,4,0)</f>
        <v>ESCAVAÇÃO MECANIZADA DE VALAS EM MATERIAL DE 1ª E/OU 2ª CATEGORIAS, LARGURA MAIOR QUE 2,5M E ATÉ 2,00 M DE PROFUNDIDADE</v>
      </c>
      <c r="C2125" s="149" t="str">
        <f>VLOOKUP(A2125,ORÇAMENTO!$A:$F,5,0)</f>
        <v>M³</v>
      </c>
      <c r="D2125" s="149">
        <f>SUM(E2129:O2129)</f>
        <v>2619.0714380102308</v>
      </c>
      <c r="E2125" s="149" t="s">
        <v>2149</v>
      </c>
      <c r="F2125" s="149" t="s">
        <v>2150</v>
      </c>
      <c r="G2125" s="149" t="s">
        <v>2151</v>
      </c>
      <c r="H2125" s="149" t="s">
        <v>2152</v>
      </c>
      <c r="I2125" s="149" t="s">
        <v>2153</v>
      </c>
      <c r="J2125" s="149" t="s">
        <v>2154</v>
      </c>
      <c r="K2125" s="149" t="s">
        <v>2172</v>
      </c>
      <c r="L2125" s="149" t="s">
        <v>2178</v>
      </c>
      <c r="M2125" s="149" t="s">
        <v>2207</v>
      </c>
      <c r="N2125" s="149" t="s">
        <v>2157</v>
      </c>
      <c r="O2125" s="149" t="s">
        <v>2158</v>
      </c>
    </row>
    <row r="2126" spans="1:15" x14ac:dyDescent="0.35">
      <c r="A2126" s="321"/>
      <c r="B2126" s="320"/>
      <c r="C2126" s="153"/>
      <c r="D2126" s="154"/>
      <c r="E2126" s="154"/>
      <c r="F2126" s="154"/>
      <c r="G2126" s="154"/>
      <c r="H2126" s="154"/>
      <c r="I2126" s="154"/>
      <c r="J2126" s="154"/>
      <c r="K2126" s="154"/>
      <c r="L2126" s="154"/>
      <c r="M2126" s="154"/>
      <c r="N2126" s="154"/>
      <c r="O2126" s="154"/>
    </row>
    <row r="2127" spans="1:15" x14ac:dyDescent="0.35">
      <c r="A2127" s="321"/>
      <c r="B2127" s="320" t="s">
        <v>2161</v>
      </c>
      <c r="C2127" s="153"/>
      <c r="D2127" s="154"/>
      <c r="E2127" s="154"/>
      <c r="F2127" s="154"/>
      <c r="G2127" s="154"/>
      <c r="H2127" s="154"/>
      <c r="I2127" s="154"/>
      <c r="J2127" s="154"/>
      <c r="K2127" s="154"/>
      <c r="L2127" s="154"/>
      <c r="M2127" s="154"/>
      <c r="N2127" s="154"/>
      <c r="O2127" s="154">
        <f>Quantitativos!AO106</f>
        <v>2619.0714380102308</v>
      </c>
    </row>
    <row r="2128" spans="1:15" x14ac:dyDescent="0.35">
      <c r="A2128" s="321"/>
      <c r="B2128" s="320"/>
      <c r="C2128" s="153"/>
      <c r="D2128" s="154"/>
      <c r="E2128" s="154"/>
      <c r="F2128" s="154"/>
      <c r="G2128" s="154"/>
      <c r="H2128" s="154"/>
      <c r="I2128" s="154"/>
      <c r="J2128" s="154"/>
      <c r="K2128" s="154"/>
      <c r="L2128" s="154"/>
      <c r="M2128" s="154"/>
      <c r="N2128" s="154"/>
      <c r="O2128" s="154"/>
    </row>
    <row r="2129" spans="1:15" x14ac:dyDescent="0.35">
      <c r="A2129" s="321"/>
      <c r="B2129" s="318" t="s">
        <v>377</v>
      </c>
      <c r="C2129" s="158" t="s">
        <v>402</v>
      </c>
      <c r="D2129" s="158"/>
      <c r="E2129" s="158"/>
      <c r="F2129" s="158"/>
      <c r="G2129" s="158"/>
      <c r="H2129" s="158"/>
      <c r="I2129" s="158"/>
      <c r="J2129" s="158"/>
      <c r="K2129" s="158"/>
      <c r="L2129" s="158"/>
      <c r="M2129" s="158"/>
      <c r="N2129" s="158"/>
      <c r="O2129" s="158">
        <f>SUM(O2126:O2128)</f>
        <v>2619.0714380102308</v>
      </c>
    </row>
    <row r="2130" spans="1:15" ht="42" x14ac:dyDescent="0.35">
      <c r="A2130" s="323" t="str">
        <f>ORÇAMENTO!A346</f>
        <v>5.1.2.1.11</v>
      </c>
      <c r="B2130" s="322" t="str">
        <f>VLOOKUP(A2130,ORÇAMENTO!$A:$F,4,0)</f>
        <v>ESCAVAÇÃO MECANIZADA DE VALAS EM MATERIAL DE 1ª E/OU 2ª CATEGORIAS, LARGURA MAIOR QUE 2,5M EACIMA DE 2,00 M  E ATÉ 4,00 M DE PROFUNDIDADE.</v>
      </c>
      <c r="C2130" s="149" t="str">
        <f>VLOOKUP(A2130,ORÇAMENTO!$A:$F,5,0)</f>
        <v>M³</v>
      </c>
      <c r="D2130" s="149">
        <f>SUM(E2134:O2134)</f>
        <v>1127.8564247435831</v>
      </c>
      <c r="E2130" s="149" t="s">
        <v>2149</v>
      </c>
      <c r="F2130" s="149" t="s">
        <v>2150</v>
      </c>
      <c r="G2130" s="149" t="s">
        <v>2151</v>
      </c>
      <c r="H2130" s="149" t="s">
        <v>2152</v>
      </c>
      <c r="I2130" s="149" t="s">
        <v>2153</v>
      </c>
      <c r="J2130" s="149" t="s">
        <v>2154</v>
      </c>
      <c r="K2130" s="149" t="s">
        <v>2172</v>
      </c>
      <c r="L2130" s="149" t="s">
        <v>2178</v>
      </c>
      <c r="M2130" s="149" t="s">
        <v>2207</v>
      </c>
      <c r="N2130" s="149" t="s">
        <v>2157</v>
      </c>
      <c r="O2130" s="149" t="s">
        <v>2158</v>
      </c>
    </row>
    <row r="2131" spans="1:15" x14ac:dyDescent="0.35">
      <c r="A2131" s="321"/>
      <c r="B2131" s="320"/>
      <c r="C2131" s="153"/>
      <c r="D2131" s="154"/>
      <c r="E2131" s="154"/>
      <c r="F2131" s="154"/>
      <c r="G2131" s="154"/>
      <c r="H2131" s="154"/>
      <c r="I2131" s="154"/>
      <c r="J2131" s="154"/>
      <c r="K2131" s="154"/>
      <c r="L2131" s="154"/>
      <c r="M2131" s="154"/>
      <c r="N2131" s="154"/>
      <c r="O2131" s="154"/>
    </row>
    <row r="2132" spans="1:15" x14ac:dyDescent="0.35">
      <c r="A2132" s="321"/>
      <c r="B2132" s="320" t="s">
        <v>2161</v>
      </c>
      <c r="C2132" s="153"/>
      <c r="D2132" s="154"/>
      <c r="E2132" s="154"/>
      <c r="F2132" s="154"/>
      <c r="G2132" s="154"/>
      <c r="H2132" s="154"/>
      <c r="I2132" s="154"/>
      <c r="J2132" s="154"/>
      <c r="K2132" s="154"/>
      <c r="L2132" s="154"/>
      <c r="M2132" s="154"/>
      <c r="N2132" s="154"/>
      <c r="O2132" s="154">
        <f>Quantitativos!AP106</f>
        <v>1127.8564247435831</v>
      </c>
    </row>
    <row r="2133" spans="1:15" x14ac:dyDescent="0.35">
      <c r="A2133" s="321"/>
      <c r="B2133" s="320"/>
      <c r="C2133" s="153"/>
      <c r="D2133" s="154"/>
      <c r="E2133" s="154"/>
      <c r="F2133" s="154"/>
      <c r="G2133" s="154"/>
      <c r="H2133" s="154"/>
      <c r="I2133" s="154"/>
      <c r="J2133" s="154"/>
      <c r="K2133" s="154"/>
      <c r="L2133" s="154"/>
      <c r="M2133" s="154"/>
      <c r="N2133" s="154"/>
      <c r="O2133" s="154"/>
    </row>
    <row r="2134" spans="1:15" x14ac:dyDescent="0.35">
      <c r="A2134" s="321"/>
      <c r="B2134" s="318" t="s">
        <v>377</v>
      </c>
      <c r="C2134" s="158" t="s">
        <v>402</v>
      </c>
      <c r="D2134" s="158"/>
      <c r="E2134" s="158"/>
      <c r="F2134" s="158"/>
      <c r="G2134" s="158"/>
      <c r="H2134" s="158"/>
      <c r="I2134" s="158"/>
      <c r="J2134" s="158"/>
      <c r="K2134" s="158"/>
      <c r="L2134" s="158"/>
      <c r="M2134" s="158"/>
      <c r="N2134" s="158"/>
      <c r="O2134" s="158">
        <f>SUM(O2131:O2133)</f>
        <v>1127.8564247435831</v>
      </c>
    </row>
    <row r="2135" spans="1:15" ht="42" x14ac:dyDescent="0.35">
      <c r="A2135" s="323" t="str">
        <f>ORÇAMENTO!A347</f>
        <v>5.1.2.1.12</v>
      </c>
      <c r="B2135" s="322" t="str">
        <f>VLOOKUP(A2135,ORÇAMENTO!$A:$F,4,0)</f>
        <v>ESCAVAÇÃO MECANIZADA DE VALAS EM MATERIAL DE 1ª E/OU 2ª CATEGORIAS, LARGURA MAIOR QUE 2,5M E ACIMA DE 4,00 M E ATÉ 6,00 M DE PROFUNDIDADE.</v>
      </c>
      <c r="C2135" s="149" t="str">
        <f>VLOOKUP(A2135,ORÇAMENTO!$A:$F,5,0)</f>
        <v>M³</v>
      </c>
      <c r="D2135" s="149">
        <f>SUM(E2139:O2139)</f>
        <v>199.37329589352612</v>
      </c>
      <c r="E2135" s="149" t="s">
        <v>2149</v>
      </c>
      <c r="F2135" s="149" t="s">
        <v>2150</v>
      </c>
      <c r="G2135" s="149" t="s">
        <v>2151</v>
      </c>
      <c r="H2135" s="149" t="s">
        <v>2152</v>
      </c>
      <c r="I2135" s="149" t="s">
        <v>2153</v>
      </c>
      <c r="J2135" s="149" t="s">
        <v>2154</v>
      </c>
      <c r="K2135" s="149" t="s">
        <v>2172</v>
      </c>
      <c r="L2135" s="149" t="s">
        <v>2178</v>
      </c>
      <c r="M2135" s="149" t="s">
        <v>2207</v>
      </c>
      <c r="N2135" s="149" t="s">
        <v>2157</v>
      </c>
      <c r="O2135" s="149" t="s">
        <v>2158</v>
      </c>
    </row>
    <row r="2136" spans="1:15" x14ac:dyDescent="0.35">
      <c r="A2136" s="321"/>
      <c r="B2136" s="320"/>
      <c r="C2136" s="153"/>
      <c r="D2136" s="154"/>
      <c r="E2136" s="154"/>
      <c r="F2136" s="154"/>
      <c r="G2136" s="154"/>
      <c r="H2136" s="154"/>
      <c r="I2136" s="154"/>
      <c r="J2136" s="154"/>
      <c r="K2136" s="154"/>
      <c r="L2136" s="154"/>
      <c r="M2136" s="154"/>
      <c r="N2136" s="154"/>
      <c r="O2136" s="154"/>
    </row>
    <row r="2137" spans="1:15" x14ac:dyDescent="0.35">
      <c r="A2137" s="321"/>
      <c r="B2137" s="320" t="s">
        <v>2161</v>
      </c>
      <c r="C2137" s="153"/>
      <c r="D2137" s="154"/>
      <c r="E2137" s="154"/>
      <c r="F2137" s="154"/>
      <c r="G2137" s="154"/>
      <c r="H2137" s="154"/>
      <c r="I2137" s="154"/>
      <c r="J2137" s="154"/>
      <c r="K2137" s="154"/>
      <c r="L2137" s="154"/>
      <c r="M2137" s="154"/>
      <c r="N2137" s="154"/>
      <c r="O2137" s="154">
        <f>Quantitativos!AQ106</f>
        <v>199.37329589352612</v>
      </c>
    </row>
    <row r="2138" spans="1:15" x14ac:dyDescent="0.35">
      <c r="A2138" s="321"/>
      <c r="B2138" s="320"/>
      <c r="C2138" s="153"/>
      <c r="D2138" s="154"/>
      <c r="E2138" s="154"/>
      <c r="F2138" s="154"/>
      <c r="G2138" s="154"/>
      <c r="H2138" s="154"/>
      <c r="I2138" s="154"/>
      <c r="J2138" s="154"/>
      <c r="K2138" s="154"/>
      <c r="L2138" s="154"/>
      <c r="M2138" s="154"/>
      <c r="N2138" s="154"/>
      <c r="O2138" s="154"/>
    </row>
    <row r="2139" spans="1:15" x14ac:dyDescent="0.35">
      <c r="A2139" s="321"/>
      <c r="B2139" s="318" t="s">
        <v>377</v>
      </c>
      <c r="C2139" s="158" t="s">
        <v>402</v>
      </c>
      <c r="D2139" s="158"/>
      <c r="E2139" s="158"/>
      <c r="F2139" s="158"/>
      <c r="G2139" s="158"/>
      <c r="H2139" s="158"/>
      <c r="I2139" s="158"/>
      <c r="J2139" s="158"/>
      <c r="K2139" s="158"/>
      <c r="L2139" s="158"/>
      <c r="M2139" s="158"/>
      <c r="N2139" s="158"/>
      <c r="O2139" s="158">
        <f>SUM(O2136:O2138)</f>
        <v>199.37329589352612</v>
      </c>
    </row>
    <row r="2140" spans="1:15" ht="31.5" x14ac:dyDescent="0.35">
      <c r="A2140" s="323" t="str">
        <f>ORÇAMENTO!A348</f>
        <v>5.1.2.1.13</v>
      </c>
      <c r="B2140" s="322" t="str">
        <f>VLOOKUP(A2140,ORÇAMENTO!$A:$F,4,0)</f>
        <v>ESCAVAÇÃO DE VALA EM MATERIAL DE 3ª CATEGORIA COM ESCAVADEIRA E ROMPEDOR HIDRÁULICO DE 1700KG</v>
      </c>
      <c r="C2140" s="149" t="str">
        <f>VLOOKUP(A2140,ORÇAMENTO!$A:$F,5,0)</f>
        <v>M³</v>
      </c>
      <c r="D2140" s="149">
        <f>SUM(E2144:O2144)</f>
        <v>663.17471063731489</v>
      </c>
      <c r="E2140" s="149" t="s">
        <v>2149</v>
      </c>
      <c r="F2140" s="149" t="s">
        <v>2150</v>
      </c>
      <c r="G2140" s="149" t="s">
        <v>2151</v>
      </c>
      <c r="H2140" s="149" t="s">
        <v>2152</v>
      </c>
      <c r="I2140" s="149" t="s">
        <v>2153</v>
      </c>
      <c r="J2140" s="149" t="s">
        <v>2154</v>
      </c>
      <c r="K2140" s="149" t="s">
        <v>2172</v>
      </c>
      <c r="L2140" s="149" t="s">
        <v>2178</v>
      </c>
      <c r="M2140" s="149" t="s">
        <v>2207</v>
      </c>
      <c r="N2140" s="149" t="s">
        <v>2157</v>
      </c>
      <c r="O2140" s="149" t="s">
        <v>2158</v>
      </c>
    </row>
    <row r="2141" spans="1:15" x14ac:dyDescent="0.35">
      <c r="A2141" s="321"/>
      <c r="B2141" s="320"/>
      <c r="C2141" s="153"/>
      <c r="D2141" s="154"/>
      <c r="E2141" s="154"/>
      <c r="F2141" s="154"/>
      <c r="G2141" s="154"/>
      <c r="H2141" s="154"/>
      <c r="I2141" s="154"/>
      <c r="J2141" s="154"/>
      <c r="K2141" s="154"/>
      <c r="L2141" s="154"/>
      <c r="M2141" s="154"/>
      <c r="N2141" s="154"/>
      <c r="O2141" s="154"/>
    </row>
    <row r="2142" spans="1:15" x14ac:dyDescent="0.35">
      <c r="A2142" s="321"/>
      <c r="B2142" s="320" t="s">
        <v>2161</v>
      </c>
      <c r="C2142" s="153"/>
      <c r="D2142" s="154"/>
      <c r="E2142" s="154"/>
      <c r="F2142" s="154"/>
      <c r="G2142" s="154"/>
      <c r="H2142" s="154"/>
      <c r="I2142" s="154"/>
      <c r="J2142" s="154"/>
      <c r="K2142" s="154"/>
      <c r="L2142" s="154"/>
      <c r="M2142" s="154"/>
      <c r="N2142" s="154"/>
      <c r="O2142" s="154">
        <f>Quantitativos!AR106</f>
        <v>663.17471063731489</v>
      </c>
    </row>
    <row r="2143" spans="1:15" x14ac:dyDescent="0.35">
      <c r="A2143" s="321"/>
      <c r="B2143" s="320"/>
      <c r="C2143" s="153"/>
      <c r="D2143" s="154"/>
      <c r="E2143" s="154"/>
      <c r="F2143" s="154"/>
      <c r="G2143" s="154"/>
      <c r="H2143" s="154"/>
      <c r="I2143" s="154"/>
      <c r="J2143" s="154"/>
      <c r="K2143" s="154"/>
      <c r="L2143" s="154"/>
      <c r="M2143" s="154"/>
      <c r="N2143" s="154"/>
      <c r="O2143" s="154"/>
    </row>
    <row r="2144" spans="1:15" x14ac:dyDescent="0.35">
      <c r="A2144" s="321"/>
      <c r="B2144" s="318" t="s">
        <v>377</v>
      </c>
      <c r="C2144" s="158" t="s">
        <v>402</v>
      </c>
      <c r="D2144" s="158"/>
      <c r="E2144" s="158"/>
      <c r="F2144" s="158"/>
      <c r="G2144" s="158"/>
      <c r="H2144" s="158"/>
      <c r="I2144" s="158"/>
      <c r="J2144" s="158"/>
      <c r="K2144" s="158"/>
      <c r="L2144" s="158"/>
      <c r="M2144" s="158"/>
      <c r="N2144" s="158"/>
      <c r="O2144" s="158">
        <f>SUM(O2141:O2143)</f>
        <v>663.17471063731489</v>
      </c>
    </row>
    <row r="2145" spans="1:15" ht="52.5" x14ac:dyDescent="0.35">
      <c r="A2145" s="323" t="str">
        <f>ORÇAMENTO!A349</f>
        <v>5.1.2.1.14</v>
      </c>
      <c r="B2145" s="322" t="str">
        <f>VLOOKUP(A2145,ORÇAMENTO!$A:$F,4,0)</f>
        <v>CARGA, MANOBRA E DESCARGA DE SOLOS E MATERIAIS GRANULARES EM CAMINHÃO BASCULANTE 14 M³ - CARGA COM ESCAVADEIRA HIDRÁULICA (CAÇAMBA DE 1,20 M³ / 155 HP) E DESCARGA LIVRE (UNIDADE: M3). AF_07/2020</v>
      </c>
      <c r="C2145" s="149" t="str">
        <f>VLOOKUP(A2145,ORÇAMENTO!$A:$F,5,0)</f>
        <v>M³</v>
      </c>
      <c r="D2145" s="149">
        <f>SUM(E2148:O2148)</f>
        <v>1387.7777590350001</v>
      </c>
      <c r="E2145" s="149" t="s">
        <v>2149</v>
      </c>
      <c r="F2145" s="149" t="s">
        <v>2150</v>
      </c>
      <c r="G2145" s="149" t="s">
        <v>2151</v>
      </c>
      <c r="H2145" s="149" t="s">
        <v>2152</v>
      </c>
      <c r="I2145" s="149" t="s">
        <v>2153</v>
      </c>
      <c r="J2145" s="149" t="s">
        <v>2154</v>
      </c>
      <c r="K2145" s="149" t="s">
        <v>2172</v>
      </c>
      <c r="L2145" s="149" t="s">
        <v>2178</v>
      </c>
      <c r="M2145" s="149" t="s">
        <v>2207</v>
      </c>
      <c r="N2145" s="149" t="s">
        <v>2157</v>
      </c>
      <c r="O2145" s="149" t="s">
        <v>2158</v>
      </c>
    </row>
    <row r="2146" spans="1:15" x14ac:dyDescent="0.35">
      <c r="A2146" s="321"/>
      <c r="B2146" s="320"/>
      <c r="C2146" s="153"/>
      <c r="D2146" s="154"/>
      <c r="E2146" s="154"/>
      <c r="F2146" s="154"/>
      <c r="G2146" s="154"/>
      <c r="H2146" s="154"/>
      <c r="I2146" s="154"/>
      <c r="J2146" s="154"/>
      <c r="K2146" s="154"/>
      <c r="L2146" s="154"/>
      <c r="M2146" s="154"/>
      <c r="N2146" s="154"/>
      <c r="O2146" s="154"/>
    </row>
    <row r="2147" spans="1:15" x14ac:dyDescent="0.35">
      <c r="A2147" s="321"/>
      <c r="B2147" s="320" t="s">
        <v>2208</v>
      </c>
      <c r="C2147" s="160"/>
      <c r="D2147" s="161"/>
      <c r="E2147" s="161"/>
      <c r="F2147" s="161"/>
      <c r="G2147" s="161"/>
      <c r="H2147" s="161"/>
      <c r="I2147" s="161"/>
      <c r="J2147" s="161"/>
      <c r="K2147" s="161"/>
      <c r="L2147" s="171"/>
      <c r="M2147" s="161"/>
      <c r="N2147" s="161"/>
      <c r="O2147" s="161">
        <f>Quantitativos!BL106</f>
        <v>1387.7777590350001</v>
      </c>
    </row>
    <row r="2148" spans="1:15" x14ac:dyDescent="0.35">
      <c r="A2148" s="321"/>
      <c r="B2148" s="318" t="s">
        <v>377</v>
      </c>
      <c r="C2148" s="158" t="s">
        <v>402</v>
      </c>
      <c r="D2148" s="158"/>
      <c r="E2148" s="158"/>
      <c r="F2148" s="158"/>
      <c r="G2148" s="158"/>
      <c r="H2148" s="158"/>
      <c r="I2148" s="158"/>
      <c r="J2148" s="158"/>
      <c r="K2148" s="158"/>
      <c r="L2148" s="158"/>
      <c r="M2148" s="158"/>
      <c r="N2148" s="158"/>
      <c r="O2148" s="158">
        <f>SUM(O2146:O2147)</f>
        <v>1387.7777590350001</v>
      </c>
    </row>
    <row r="2149" spans="1:15" ht="31.5" x14ac:dyDescent="0.35">
      <c r="A2149" s="323" t="str">
        <f>ORÇAMENTO!A350</f>
        <v>5.1.2.1.15</v>
      </c>
      <c r="B2149" s="322" t="str">
        <f>VLOOKUP(A2149,ORÇAMENTO!$A:$F,4,0)</f>
        <v>TRANSPORTE COM CAMINHÃO BASCULANTE DE 14 M³, EM VIA URBANA PAVIMENTADA, DMT ATÉ 30 KM (UNIDADE: M3XKM). AF_07/2020</v>
      </c>
      <c r="C2149" s="149" t="str">
        <f>VLOOKUP(A2149,ORÇAMENTO!$A:$F,5,0)</f>
        <v>M3XKM</v>
      </c>
      <c r="D2149" s="149">
        <f>SUM(E2152:O2152)</f>
        <v>41633.332771050002</v>
      </c>
      <c r="E2149" s="149" t="s">
        <v>2177</v>
      </c>
      <c r="F2149" s="149" t="s">
        <v>2150</v>
      </c>
      <c r="G2149" s="149" t="s">
        <v>2151</v>
      </c>
      <c r="H2149" s="149" t="s">
        <v>2152</v>
      </c>
      <c r="I2149" s="149" t="s">
        <v>2153</v>
      </c>
      <c r="J2149" s="149" t="s">
        <v>2154</v>
      </c>
      <c r="K2149" s="149" t="s">
        <v>2172</v>
      </c>
      <c r="L2149" s="149" t="s">
        <v>2178</v>
      </c>
      <c r="M2149" s="149" t="s">
        <v>2175</v>
      </c>
      <c r="N2149" s="149" t="s">
        <v>2157</v>
      </c>
      <c r="O2149" s="149" t="s">
        <v>2158</v>
      </c>
    </row>
    <row r="2150" spans="1:15" ht="21" x14ac:dyDescent="0.35">
      <c r="A2150" s="321"/>
      <c r="B2150" s="320" t="s">
        <v>2209</v>
      </c>
      <c r="C2150" s="153"/>
      <c r="D2150" s="154"/>
      <c r="E2150" s="154">
        <v>30</v>
      </c>
      <c r="F2150" s="154"/>
      <c r="G2150" s="154"/>
      <c r="H2150" s="154"/>
      <c r="I2150" s="154"/>
      <c r="J2150" s="154"/>
      <c r="K2150" s="154"/>
      <c r="L2150" s="165"/>
      <c r="M2150" s="154">
        <f>E2150*O2150</f>
        <v>21738.091451930555</v>
      </c>
      <c r="N2150" s="154"/>
      <c r="O2150" s="154">
        <f>Quantitativos!BL108</f>
        <v>724.60304839768514</v>
      </c>
    </row>
    <row r="2151" spans="1:15" ht="21" x14ac:dyDescent="0.35">
      <c r="A2151" s="321"/>
      <c r="B2151" s="320" t="s">
        <v>2210</v>
      </c>
      <c r="C2151" s="153"/>
      <c r="D2151" s="154"/>
      <c r="E2151" s="154">
        <v>30</v>
      </c>
      <c r="F2151" s="154"/>
      <c r="G2151" s="154"/>
      <c r="H2151" s="154"/>
      <c r="I2151" s="154"/>
      <c r="J2151" s="154"/>
      <c r="K2151" s="154"/>
      <c r="L2151" s="165"/>
      <c r="M2151" s="154">
        <f>E2151*O2151</f>
        <v>19895.241319119446</v>
      </c>
      <c r="N2151" s="154"/>
      <c r="O2151" s="154">
        <f>Quantitativos!BL107</f>
        <v>663.17471063731489</v>
      </c>
    </row>
    <row r="2152" spans="1:15" x14ac:dyDescent="0.35">
      <c r="A2152" s="321"/>
      <c r="B2152" s="318" t="s">
        <v>377</v>
      </c>
      <c r="C2152" s="158" t="s">
        <v>402</v>
      </c>
      <c r="D2152" s="158"/>
      <c r="E2152" s="158"/>
      <c r="F2152" s="158"/>
      <c r="G2152" s="158"/>
      <c r="H2152" s="158"/>
      <c r="I2152" s="158"/>
      <c r="J2152" s="158"/>
      <c r="K2152" s="158"/>
      <c r="L2152" s="158"/>
      <c r="M2152" s="158">
        <f>SUM(M2150:M2151)</f>
        <v>41633.332771050002</v>
      </c>
      <c r="N2152" s="158"/>
      <c r="O2152" s="158"/>
    </row>
    <row r="2153" spans="1:15" ht="42" x14ac:dyDescent="0.35">
      <c r="A2153" s="323" t="str">
        <f>ORÇAMENTO!A351</f>
        <v>5.1.2.1.16</v>
      </c>
      <c r="B2153" s="322" t="str">
        <f>VLOOKUP(A2153,ORÇAMENTO!$A:$F,4,0)</f>
        <v>TRANSPORTE COM CAMINHÃO BASCULANTE DE 14 M³, EM VIA URBANA PAVIMENTADA, ADICIONAL PARA DMT EXCEDENTE A 30 KM (UNIDADE: M3XKM). AF_07/2020</v>
      </c>
      <c r="C2153" s="149" t="str">
        <f>VLOOKUP(A2153,ORÇAMENTO!$A:$F,5,0)</f>
        <v>M3XKM</v>
      </c>
      <c r="D2153" s="149">
        <f>SUM(E2157:O2157)</f>
        <v>39999.590323798839</v>
      </c>
      <c r="E2153" s="149" t="s">
        <v>2177</v>
      </c>
      <c r="F2153" s="149" t="s">
        <v>2150</v>
      </c>
      <c r="G2153" s="149" t="s">
        <v>2151</v>
      </c>
      <c r="H2153" s="149" t="s">
        <v>2152</v>
      </c>
      <c r="I2153" s="149" t="s">
        <v>2153</v>
      </c>
      <c r="J2153" s="149" t="s">
        <v>2154</v>
      </c>
      <c r="K2153" s="149" t="s">
        <v>2172</v>
      </c>
      <c r="L2153" s="149" t="s">
        <v>2178</v>
      </c>
      <c r="M2153" s="149" t="s">
        <v>2175</v>
      </c>
      <c r="N2153" s="149" t="s">
        <v>2157</v>
      </c>
      <c r="O2153" s="149" t="s">
        <v>2158</v>
      </c>
    </row>
    <row r="2154" spans="1:15" ht="21" x14ac:dyDescent="0.35">
      <c r="A2154" s="321"/>
      <c r="B2154" s="318" t="str">
        <f>B2150</f>
        <v>TRANSPORTE ATÉ ATERRO ESTRUTURAL - BOTA FORA - MATERIAL NÃO APROVEITADO</v>
      </c>
      <c r="C2154" s="153"/>
      <c r="D2154" s="154"/>
      <c r="E2154" s="154">
        <f>44.2-E2150</f>
        <v>14.200000000000003</v>
      </c>
      <c r="F2154" s="154"/>
      <c r="G2154" s="154"/>
      <c r="H2154" s="154"/>
      <c r="I2154" s="154"/>
      <c r="J2154" s="154"/>
      <c r="K2154" s="154"/>
      <c r="L2154" s="165"/>
      <c r="M2154" s="154">
        <f>E2154*O2154</f>
        <v>10289.363287247132</v>
      </c>
      <c r="N2154" s="154"/>
      <c r="O2154" s="154">
        <f>O2150</f>
        <v>724.60304839768514</v>
      </c>
    </row>
    <row r="2155" spans="1:15" ht="21" x14ac:dyDescent="0.35">
      <c r="A2155" s="321"/>
      <c r="B2155" s="318" t="str">
        <f>B2151</f>
        <v>TRANSPORTE ATÉ ATERRO SAMAMBIA - BOTA FORA - ROCHA</v>
      </c>
      <c r="C2155" s="153"/>
      <c r="D2155" s="154"/>
      <c r="E2155" s="154">
        <f>74.8-E2151</f>
        <v>44.8</v>
      </c>
      <c r="F2155" s="154"/>
      <c r="G2155" s="154"/>
      <c r="H2155" s="154"/>
      <c r="I2155" s="154"/>
      <c r="J2155" s="154"/>
      <c r="K2155" s="154"/>
      <c r="L2155" s="165"/>
      <c r="M2155" s="154">
        <f>E2155*O2155</f>
        <v>29710.227036551703</v>
      </c>
      <c r="N2155" s="154"/>
      <c r="O2155" s="154">
        <f>O2151</f>
        <v>663.17471063731489</v>
      </c>
    </row>
    <row r="2156" spans="1:15" x14ac:dyDescent="0.35">
      <c r="A2156" s="321"/>
      <c r="B2156" s="320"/>
      <c r="C2156" s="153"/>
      <c r="D2156" s="154"/>
      <c r="E2156" s="154"/>
      <c r="F2156" s="154"/>
      <c r="G2156" s="154"/>
      <c r="H2156" s="154"/>
      <c r="I2156" s="154"/>
      <c r="J2156" s="154"/>
      <c r="K2156" s="154"/>
      <c r="L2156" s="165"/>
      <c r="M2156" s="154"/>
      <c r="N2156" s="154"/>
      <c r="O2156" s="154"/>
    </row>
    <row r="2157" spans="1:15" x14ac:dyDescent="0.35">
      <c r="A2157" s="321"/>
      <c r="B2157" s="318" t="s">
        <v>377</v>
      </c>
      <c r="C2157" s="158" t="s">
        <v>402</v>
      </c>
      <c r="D2157" s="158"/>
      <c r="E2157" s="158"/>
      <c r="F2157" s="158"/>
      <c r="G2157" s="158"/>
      <c r="H2157" s="158"/>
      <c r="I2157" s="158"/>
      <c r="J2157" s="158"/>
      <c r="K2157" s="158"/>
      <c r="L2157" s="158"/>
      <c r="M2157" s="158">
        <f>SUM(M2154:M2156)</f>
        <v>39999.590323798839</v>
      </c>
      <c r="N2157" s="158"/>
      <c r="O2157" s="158"/>
    </row>
    <row r="2158" spans="1:15" ht="21" x14ac:dyDescent="0.35">
      <c r="A2158" s="323" t="str">
        <f>ORÇAMENTO!A352</f>
        <v>5.1.2.1.17</v>
      </c>
      <c r="B2158" s="322" t="str">
        <f>VLOOKUP(A2158,ORÇAMENTO!$A:$F,4,0)</f>
        <v>ESPALHAMENTO DE MATERIAL COM TRATOR DE ESTEIRAS. AF_09/2024</v>
      </c>
      <c r="C2158" s="149" t="str">
        <f>VLOOKUP(A2158,ORÇAMENTO!$A:$F,5,0)</f>
        <v>M³</v>
      </c>
      <c r="D2158" s="149">
        <f>SUM(E2160:O2160)</f>
        <v>1387.7777590350001</v>
      </c>
      <c r="E2158" s="149" t="s">
        <v>2177</v>
      </c>
      <c r="F2158" s="149" t="s">
        <v>2150</v>
      </c>
      <c r="G2158" s="149" t="s">
        <v>2151</v>
      </c>
      <c r="H2158" s="149" t="s">
        <v>2152</v>
      </c>
      <c r="I2158" s="149" t="s">
        <v>2153</v>
      </c>
      <c r="J2158" s="149" t="s">
        <v>2154</v>
      </c>
      <c r="K2158" s="149" t="s">
        <v>2172</v>
      </c>
      <c r="L2158" s="149" t="s">
        <v>2178</v>
      </c>
      <c r="M2158" s="149" t="s">
        <v>2175</v>
      </c>
      <c r="N2158" s="149" t="s">
        <v>2157</v>
      </c>
      <c r="O2158" s="149" t="s">
        <v>2158</v>
      </c>
    </row>
    <row r="2159" spans="1:15" x14ac:dyDescent="0.35">
      <c r="A2159" s="321"/>
      <c r="B2159" s="320" t="s">
        <v>2211</v>
      </c>
      <c r="C2159" s="153"/>
      <c r="D2159" s="154"/>
      <c r="E2159" s="154"/>
      <c r="F2159" s="154"/>
      <c r="G2159" s="154"/>
      <c r="H2159" s="154"/>
      <c r="I2159" s="154"/>
      <c r="J2159" s="154"/>
      <c r="K2159" s="154"/>
      <c r="L2159" s="165"/>
      <c r="M2159" s="154"/>
      <c r="N2159" s="154"/>
      <c r="O2159" s="154">
        <f>Quantitativos!BL106</f>
        <v>1387.7777590350001</v>
      </c>
    </row>
    <row r="2160" spans="1:15" x14ac:dyDescent="0.35">
      <c r="A2160" s="321"/>
      <c r="B2160" s="318" t="s">
        <v>377</v>
      </c>
      <c r="C2160" s="158" t="s">
        <v>402</v>
      </c>
      <c r="D2160" s="158"/>
      <c r="E2160" s="158"/>
      <c r="F2160" s="158"/>
      <c r="G2160" s="158"/>
      <c r="H2160" s="158"/>
      <c r="I2160" s="158"/>
      <c r="J2160" s="158"/>
      <c r="K2160" s="158"/>
      <c r="L2160" s="158"/>
      <c r="M2160" s="158"/>
      <c r="N2160" s="158"/>
      <c r="O2160" s="158">
        <f>SUM(O2159)</f>
        <v>1387.7777590350001</v>
      </c>
    </row>
    <row r="2161" spans="1:15" x14ac:dyDescent="0.35">
      <c r="A2161" s="327" t="str">
        <f>ORÇAMENTO!A353</f>
        <v>5.1.2.2</v>
      </c>
      <c r="B2161" s="326" t="str">
        <f>VLOOKUP(A2161,ORÇAMENTO!$A:$F,4,0)</f>
        <v>ESGOTAMENTO DE VALAS</v>
      </c>
      <c r="C2161" s="143"/>
      <c r="D2161" s="143"/>
      <c r="E2161" s="144"/>
      <c r="F2161" s="144"/>
      <c r="G2161" s="144"/>
      <c r="H2161" s="144"/>
      <c r="I2161" s="144"/>
      <c r="J2161" s="144"/>
      <c r="K2161" s="144"/>
      <c r="L2161" s="144"/>
      <c r="M2161" s="144"/>
      <c r="N2161" s="144"/>
      <c r="O2161" s="144"/>
    </row>
    <row r="2162" spans="1:15" ht="21" x14ac:dyDescent="0.35">
      <c r="A2162" s="323" t="str">
        <f>ORÇAMENTO!A354</f>
        <v>5.1.2.2.1</v>
      </c>
      <c r="B2162" s="322" t="str">
        <f>VLOOKUP(A2162,ORÇAMENTO!$A:$F,4,0)</f>
        <v>ESGOTAMENTO DE ÁGUA COM BOMBA SUBMERSA</v>
      </c>
      <c r="C2162" s="149" t="str">
        <f>VLOOKUP(A2162,ORÇAMENTO!$A:$F,5,0)</f>
        <v>H</v>
      </c>
      <c r="D2162" s="149">
        <f>SUM(E2165:O2165)</f>
        <v>18.366678000000004</v>
      </c>
      <c r="E2162" s="149" t="s">
        <v>2149</v>
      </c>
      <c r="F2162" s="149" t="s">
        <v>2150</v>
      </c>
      <c r="G2162" s="149" t="s">
        <v>2151</v>
      </c>
      <c r="H2162" s="149" t="s">
        <v>2152</v>
      </c>
      <c r="I2162" s="149" t="s">
        <v>2153</v>
      </c>
      <c r="J2162" s="149" t="s">
        <v>2154</v>
      </c>
      <c r="K2162" s="149" t="s">
        <v>2155</v>
      </c>
      <c r="L2162" s="149" t="s">
        <v>2178</v>
      </c>
      <c r="M2162" s="149" t="s">
        <v>2160</v>
      </c>
      <c r="N2162" s="149" t="s">
        <v>2709</v>
      </c>
      <c r="O2162" s="149" t="s">
        <v>2158</v>
      </c>
    </row>
    <row r="2163" spans="1:15" x14ac:dyDescent="0.35">
      <c r="A2163" s="321"/>
      <c r="B2163" s="318" t="s">
        <v>2161</v>
      </c>
      <c r="C2163" s="153"/>
      <c r="D2163" s="154"/>
      <c r="E2163" s="154"/>
      <c r="F2163" s="154"/>
      <c r="G2163" s="154"/>
      <c r="H2163" s="154"/>
      <c r="I2163" s="154"/>
      <c r="J2163" s="154"/>
      <c r="K2163" s="154"/>
      <c r="L2163" s="154"/>
      <c r="M2163" s="154"/>
      <c r="N2163" s="154">
        <f>Quantitativos!AS106</f>
        <v>18.366678000000004</v>
      </c>
      <c r="O2163" s="154"/>
    </row>
    <row r="2164" spans="1:15" x14ac:dyDescent="0.35">
      <c r="A2164" s="321"/>
      <c r="B2164" s="320"/>
      <c r="C2164" s="153"/>
      <c r="D2164" s="154"/>
      <c r="E2164" s="154"/>
      <c r="F2164" s="154"/>
      <c r="G2164" s="154"/>
      <c r="H2164" s="154"/>
      <c r="I2164" s="154"/>
      <c r="J2164" s="154"/>
      <c r="K2164" s="154"/>
      <c r="L2164" s="154"/>
      <c r="M2164" s="154"/>
      <c r="N2164" s="154"/>
      <c r="O2164" s="154"/>
    </row>
    <row r="2165" spans="1:15" x14ac:dyDescent="0.35">
      <c r="A2165" s="321"/>
      <c r="B2165" s="318" t="s">
        <v>377</v>
      </c>
      <c r="C2165" s="158" t="s">
        <v>402</v>
      </c>
      <c r="D2165" s="158"/>
      <c r="E2165" s="158"/>
      <c r="F2165" s="158"/>
      <c r="G2165" s="158"/>
      <c r="H2165" s="158"/>
      <c r="I2165" s="158"/>
      <c r="J2165" s="158"/>
      <c r="K2165" s="158"/>
      <c r="L2165" s="158"/>
      <c r="M2165" s="158"/>
      <c r="N2165" s="158">
        <f>SUM(N2163:N2164)</f>
        <v>18.366678000000004</v>
      </c>
      <c r="O2165" s="158"/>
    </row>
    <row r="2166" spans="1:15" ht="21" x14ac:dyDescent="0.35">
      <c r="A2166" s="327" t="str">
        <f>ORÇAMENTO!A355</f>
        <v>5.1.2.3</v>
      </c>
      <c r="B2166" s="326" t="str">
        <f>VLOOKUP(A2166,ORÇAMENTO!$A:$F,4,0)</f>
        <v>ESCORAMENTOS DE VALAS PARA REDE DE DRENAGEM</v>
      </c>
      <c r="C2166" s="143"/>
      <c r="D2166" s="143"/>
      <c r="E2166" s="144"/>
      <c r="F2166" s="144"/>
      <c r="G2166" s="144"/>
      <c r="H2166" s="144"/>
      <c r="I2166" s="144"/>
      <c r="J2166" s="144"/>
      <c r="K2166" s="144"/>
      <c r="L2166" s="144"/>
      <c r="M2166" s="144"/>
      <c r="N2166" s="144"/>
      <c r="O2166" s="144"/>
    </row>
    <row r="2167" spans="1:15" ht="42" x14ac:dyDescent="0.35">
      <c r="A2167" s="323" t="str">
        <f>ORÇAMENTO!A356</f>
        <v>5.1.2.3.1</v>
      </c>
      <c r="B2167" s="322" t="str">
        <f>VLOOKUP(A2167,ORÇAMENTO!$A:$F,4,0)</f>
        <v>ESCORAMENTO DE VALA, TIPO BLINDAGEM, COM PROFUNDIDADE DE 0 A 1,5 M, LARGURA MENOR QUE 1,5 M - EXECUÇÃO E FORNECIMENTO, INCLUI MATERIAL (ESCAVAÇÃO EXTERNA AO BLINDADO)</v>
      </c>
      <c r="C2167" s="149" t="str">
        <f>VLOOKUP(A2167,ORÇAMENTO!$A:$F,5,0)</f>
        <v>M²</v>
      </c>
      <c r="D2167" s="149">
        <f>SUM(E2170:O2170)</f>
        <v>2904.2400000000002</v>
      </c>
      <c r="E2167" s="149" t="s">
        <v>2149</v>
      </c>
      <c r="F2167" s="149" t="s">
        <v>2150</v>
      </c>
      <c r="G2167" s="149" t="s">
        <v>2151</v>
      </c>
      <c r="H2167" s="149" t="s">
        <v>2152</v>
      </c>
      <c r="I2167" s="149" t="s">
        <v>2153</v>
      </c>
      <c r="J2167" s="149" t="s">
        <v>2154</v>
      </c>
      <c r="K2167" s="149" t="s">
        <v>2155</v>
      </c>
      <c r="L2167" s="149" t="s">
        <v>2178</v>
      </c>
      <c r="M2167" s="149" t="s">
        <v>2160</v>
      </c>
      <c r="N2167" s="149" t="s">
        <v>2157</v>
      </c>
      <c r="O2167" s="149" t="s">
        <v>2158</v>
      </c>
    </row>
    <row r="2168" spans="1:15" x14ac:dyDescent="0.35">
      <c r="A2168" s="321"/>
      <c r="B2168" s="318" t="s">
        <v>2161</v>
      </c>
      <c r="C2168" s="153"/>
      <c r="D2168" s="154"/>
      <c r="E2168" s="154"/>
      <c r="F2168" s="154"/>
      <c r="G2168" s="154"/>
      <c r="H2168" s="154"/>
      <c r="I2168" s="154"/>
      <c r="J2168" s="154"/>
      <c r="K2168" s="154"/>
      <c r="L2168" s="154"/>
      <c r="M2168" s="154"/>
      <c r="N2168" s="154">
        <f>Quantitativos!DG106</f>
        <v>2904.2400000000002</v>
      </c>
      <c r="O2168" s="154"/>
    </row>
    <row r="2169" spans="1:15" x14ac:dyDescent="0.35">
      <c r="A2169" s="321"/>
      <c r="B2169" s="320"/>
      <c r="C2169" s="153"/>
      <c r="D2169" s="154"/>
      <c r="E2169" s="154"/>
      <c r="F2169" s="154"/>
      <c r="G2169" s="154"/>
      <c r="H2169" s="154"/>
      <c r="I2169" s="154"/>
      <c r="J2169" s="154"/>
      <c r="K2169" s="154"/>
      <c r="L2169" s="154"/>
      <c r="M2169" s="154"/>
      <c r="N2169" s="154"/>
      <c r="O2169" s="154"/>
    </row>
    <row r="2170" spans="1:15" x14ac:dyDescent="0.35">
      <c r="A2170" s="321"/>
      <c r="B2170" s="318" t="s">
        <v>377</v>
      </c>
      <c r="C2170" s="158" t="s">
        <v>402</v>
      </c>
      <c r="D2170" s="158"/>
      <c r="E2170" s="158"/>
      <c r="F2170" s="158"/>
      <c r="G2170" s="158"/>
      <c r="H2170" s="158"/>
      <c r="I2170" s="158"/>
      <c r="J2170" s="158"/>
      <c r="K2170" s="158"/>
      <c r="L2170" s="158"/>
      <c r="M2170" s="158"/>
      <c r="N2170" s="158">
        <f>SUM(N2168:N2169)</f>
        <v>2904.2400000000002</v>
      </c>
      <c r="O2170" s="158"/>
    </row>
    <row r="2171" spans="1:15" ht="42" x14ac:dyDescent="0.35">
      <c r="A2171" s="323" t="str">
        <f>ORÇAMENTO!A357</f>
        <v>5.1.2.3.2</v>
      </c>
      <c r="B2171" s="322" t="str">
        <f>VLOOKUP(A2171,ORÇAMENTO!$A:$F,4,0)</f>
        <v>ESCORAMENTO DE VALA, TIPO BLINDAGEM, COM PROFUNDIDADE DE 1,5 A 3,0 M, LARGURA MENOR QUE 1,5 M - EXECUÇÃO E FORNECIMENTO, INCLUI MATERIAL (ESCAVAÇÃO INTERNA AO BLINDADO)</v>
      </c>
      <c r="C2171" s="149" t="str">
        <f>VLOOKUP(A2171,ORÇAMENTO!$A:$F,5,0)</f>
        <v>M²</v>
      </c>
      <c r="D2171" s="149">
        <f>SUM(E2174:O2174)</f>
        <v>1055.9877000000001</v>
      </c>
      <c r="E2171" s="149" t="s">
        <v>2149</v>
      </c>
      <c r="F2171" s="149" t="s">
        <v>2150</v>
      </c>
      <c r="G2171" s="149" t="s">
        <v>2151</v>
      </c>
      <c r="H2171" s="149" t="s">
        <v>2152</v>
      </c>
      <c r="I2171" s="149" t="s">
        <v>2153</v>
      </c>
      <c r="J2171" s="149" t="s">
        <v>2154</v>
      </c>
      <c r="K2171" s="149" t="s">
        <v>2155</v>
      </c>
      <c r="L2171" s="149" t="s">
        <v>2178</v>
      </c>
      <c r="M2171" s="149" t="s">
        <v>2160</v>
      </c>
      <c r="N2171" s="149" t="s">
        <v>2157</v>
      </c>
      <c r="O2171" s="149" t="s">
        <v>2158</v>
      </c>
    </row>
    <row r="2172" spans="1:15" x14ac:dyDescent="0.35">
      <c r="A2172" s="321"/>
      <c r="B2172" s="318" t="s">
        <v>2161</v>
      </c>
      <c r="C2172" s="153"/>
      <c r="D2172" s="154"/>
      <c r="E2172" s="154"/>
      <c r="F2172" s="154"/>
      <c r="G2172" s="154"/>
      <c r="H2172" s="154"/>
      <c r="I2172" s="154"/>
      <c r="J2172" s="154"/>
      <c r="K2172" s="154"/>
      <c r="L2172" s="154"/>
      <c r="M2172" s="154"/>
      <c r="N2172" s="154">
        <f>Quantitativos!DH106</f>
        <v>1055.9877000000001</v>
      </c>
      <c r="O2172" s="154"/>
    </row>
    <row r="2173" spans="1:15" x14ac:dyDescent="0.35">
      <c r="A2173" s="321"/>
      <c r="B2173" s="320"/>
      <c r="C2173" s="153"/>
      <c r="D2173" s="154"/>
      <c r="E2173" s="154"/>
      <c r="F2173" s="154"/>
      <c r="G2173" s="154"/>
      <c r="H2173" s="154"/>
      <c r="I2173" s="154"/>
      <c r="J2173" s="154"/>
      <c r="K2173" s="154"/>
      <c r="L2173" s="154"/>
      <c r="M2173" s="154"/>
      <c r="N2173" s="158"/>
      <c r="O2173" s="154"/>
    </row>
    <row r="2174" spans="1:15" x14ac:dyDescent="0.35">
      <c r="A2174" s="321"/>
      <c r="B2174" s="318" t="s">
        <v>377</v>
      </c>
      <c r="C2174" s="158" t="s">
        <v>402</v>
      </c>
      <c r="D2174" s="158"/>
      <c r="E2174" s="158"/>
      <c r="F2174" s="158"/>
      <c r="G2174" s="158"/>
      <c r="H2174" s="158"/>
      <c r="I2174" s="158"/>
      <c r="J2174" s="158"/>
      <c r="K2174" s="158"/>
      <c r="L2174" s="158"/>
      <c r="M2174" s="158"/>
      <c r="N2174" s="158">
        <f>SUM(N2172:N2173)</f>
        <v>1055.9877000000001</v>
      </c>
      <c r="O2174" s="158"/>
    </row>
    <row r="2175" spans="1:15" ht="52.5" x14ac:dyDescent="0.35">
      <c r="A2175" s="323" t="str">
        <f>ORÇAMENTO!A358</f>
        <v>5.1.2.3.3</v>
      </c>
      <c r="B2175" s="322" t="str">
        <f>VLOOKUP(A2175,ORÇAMENTO!$A:$F,4,0)</f>
        <v>ESCORAMENTO DE VALA, TIPO BLINDADEM, COM PROFUNDIDADE DE 0 A 1,5 M, LARGURA MAIOR OU IGUAL A 1,5 M EMENOR QUE 2,5 M - EXECUÇÃO E FORNECIMENTO, INCLUI MATERIAL (ESCAVAÇÃO EXTERNA AO BLINDADO)</v>
      </c>
      <c r="C2175" s="149" t="str">
        <f>VLOOKUP(A2175,ORÇAMENTO!$A:$F,5,0)</f>
        <v>M²</v>
      </c>
      <c r="D2175" s="149">
        <f>SUM(E2178:O2178)</f>
        <v>3572.0400000000009</v>
      </c>
      <c r="E2175" s="149" t="s">
        <v>2149</v>
      </c>
      <c r="F2175" s="149" t="s">
        <v>2150</v>
      </c>
      <c r="G2175" s="149" t="s">
        <v>2151</v>
      </c>
      <c r="H2175" s="149" t="s">
        <v>2152</v>
      </c>
      <c r="I2175" s="149" t="s">
        <v>2153</v>
      </c>
      <c r="J2175" s="149" t="s">
        <v>2154</v>
      </c>
      <c r="K2175" s="149" t="s">
        <v>2155</v>
      </c>
      <c r="L2175" s="149" t="s">
        <v>2178</v>
      </c>
      <c r="M2175" s="149" t="s">
        <v>2160</v>
      </c>
      <c r="N2175" s="149" t="s">
        <v>2157</v>
      </c>
      <c r="O2175" s="149" t="s">
        <v>2158</v>
      </c>
    </row>
    <row r="2176" spans="1:15" x14ac:dyDescent="0.35">
      <c r="A2176" s="321"/>
      <c r="B2176" s="318" t="s">
        <v>2161</v>
      </c>
      <c r="C2176" s="160"/>
      <c r="D2176" s="161"/>
      <c r="E2176" s="161"/>
      <c r="F2176" s="161"/>
      <c r="G2176" s="161"/>
      <c r="H2176" s="161"/>
      <c r="I2176" s="161"/>
      <c r="J2176" s="161"/>
      <c r="K2176" s="161"/>
      <c r="L2176" s="161"/>
      <c r="M2176" s="161"/>
      <c r="N2176" s="161">
        <f>Quantitativos!DJ106</f>
        <v>3572.0400000000009</v>
      </c>
      <c r="O2176" s="161"/>
    </row>
    <row r="2177" spans="1:15" x14ac:dyDescent="0.35">
      <c r="A2177" s="321"/>
      <c r="B2177" s="320"/>
      <c r="C2177" s="160"/>
      <c r="D2177" s="161"/>
      <c r="E2177" s="161"/>
      <c r="F2177" s="161"/>
      <c r="G2177" s="161"/>
      <c r="H2177" s="161"/>
      <c r="I2177" s="161"/>
      <c r="J2177" s="161"/>
      <c r="K2177" s="161"/>
      <c r="L2177" s="161"/>
      <c r="M2177" s="161"/>
      <c r="N2177" s="161"/>
      <c r="O2177" s="161"/>
    </row>
    <row r="2178" spans="1:15" x14ac:dyDescent="0.35">
      <c r="A2178" s="321"/>
      <c r="B2178" s="318" t="s">
        <v>377</v>
      </c>
      <c r="C2178" s="158" t="s">
        <v>402</v>
      </c>
      <c r="D2178" s="158"/>
      <c r="E2178" s="158"/>
      <c r="F2178" s="158"/>
      <c r="G2178" s="158"/>
      <c r="H2178" s="158"/>
      <c r="I2178" s="158"/>
      <c r="J2178" s="158"/>
      <c r="K2178" s="158"/>
      <c r="L2178" s="158"/>
      <c r="M2178" s="158"/>
      <c r="N2178" s="158">
        <f>SUM(N2176:N2177)</f>
        <v>3572.0400000000009</v>
      </c>
      <c r="O2178" s="158"/>
    </row>
    <row r="2179" spans="1:15" ht="42" x14ac:dyDescent="0.35">
      <c r="A2179" s="323" t="str">
        <f>ORÇAMENTO!A359</f>
        <v>5.1.2.3.4</v>
      </c>
      <c r="B2179" s="322" t="str">
        <f>VLOOKUP(A2179,ORÇAMENTO!$A:$F,4,0)</f>
        <v>ESCORAMENTO DE VALA, TIPO BLINDAGEM, COM PROFUNDIDADE DE 1,5 A 3,0 M, LARGURA DE 1,5 A 2,5 M -EXECUÇÃO E FORNECIMENTO, INCLUI MATERIAL (ESCAVAÇÃO INTERNA AO BLINDADO)</v>
      </c>
      <c r="C2179" s="149" t="str">
        <f>VLOOKUP(A2179,ORÇAMENTO!$A:$F,5,0)</f>
        <v>M²</v>
      </c>
      <c r="D2179" s="149">
        <f>SUM(E2182:O2182)</f>
        <v>3081.1026999999995</v>
      </c>
      <c r="E2179" s="149" t="s">
        <v>2149</v>
      </c>
      <c r="F2179" s="149" t="s">
        <v>2150</v>
      </c>
      <c r="G2179" s="149" t="s">
        <v>2151</v>
      </c>
      <c r="H2179" s="149" t="s">
        <v>2152</v>
      </c>
      <c r="I2179" s="149" t="s">
        <v>2153</v>
      </c>
      <c r="J2179" s="149" t="s">
        <v>2154</v>
      </c>
      <c r="K2179" s="149" t="s">
        <v>2155</v>
      </c>
      <c r="L2179" s="149" t="s">
        <v>2178</v>
      </c>
      <c r="M2179" s="149" t="s">
        <v>2160</v>
      </c>
      <c r="N2179" s="149" t="s">
        <v>2157</v>
      </c>
      <c r="O2179" s="149" t="s">
        <v>2158</v>
      </c>
    </row>
    <row r="2180" spans="1:15" x14ac:dyDescent="0.35">
      <c r="A2180" s="321"/>
      <c r="B2180" s="318" t="s">
        <v>2161</v>
      </c>
      <c r="C2180" s="160"/>
      <c r="D2180" s="161"/>
      <c r="E2180" s="161"/>
      <c r="F2180" s="161"/>
      <c r="G2180" s="161"/>
      <c r="H2180" s="161"/>
      <c r="I2180" s="161"/>
      <c r="J2180" s="161"/>
      <c r="K2180" s="161"/>
      <c r="L2180" s="161"/>
      <c r="M2180" s="161"/>
      <c r="N2180" s="161">
        <f>Quantitativos!DK106</f>
        <v>3081.1026999999995</v>
      </c>
      <c r="O2180" s="161"/>
    </row>
    <row r="2181" spans="1:15" x14ac:dyDescent="0.35">
      <c r="A2181" s="321"/>
      <c r="B2181" s="320"/>
      <c r="C2181" s="160"/>
      <c r="D2181" s="161"/>
      <c r="E2181" s="161"/>
      <c r="F2181" s="161"/>
      <c r="G2181" s="161"/>
      <c r="H2181" s="161"/>
      <c r="I2181" s="161"/>
      <c r="J2181" s="161"/>
      <c r="K2181" s="161"/>
      <c r="L2181" s="161"/>
      <c r="M2181" s="161"/>
      <c r="N2181" s="158"/>
      <c r="O2181" s="161"/>
    </row>
    <row r="2182" spans="1:15" x14ac:dyDescent="0.35">
      <c r="A2182" s="321"/>
      <c r="B2182" s="318" t="s">
        <v>377</v>
      </c>
      <c r="C2182" s="158" t="s">
        <v>402</v>
      </c>
      <c r="D2182" s="158"/>
      <c r="E2182" s="158"/>
      <c r="F2182" s="158"/>
      <c r="G2182" s="158"/>
      <c r="H2182" s="158"/>
      <c r="I2182" s="158"/>
      <c r="J2182" s="158"/>
      <c r="K2182" s="158"/>
      <c r="L2182" s="158"/>
      <c r="M2182" s="158"/>
      <c r="N2182" s="158">
        <f>SUM(N2180:N2181)</f>
        <v>3081.1026999999995</v>
      </c>
      <c r="O2182" s="158"/>
    </row>
    <row r="2183" spans="1:15" ht="52.5" x14ac:dyDescent="0.35">
      <c r="A2183" s="323" t="str">
        <f>ORÇAMENTO!A360</f>
        <v>5.1.2.3.5</v>
      </c>
      <c r="B2183" s="322" t="str">
        <f>VLOOKUP(A2183,ORÇAMENTO!$A:$F,4,0)</f>
        <v>ESCORAMENTO DE VALA, TIPO BLINDAGEM, COM PROFUNDIDADE DE 3,0 A 4,5 M, LARGURA MAIOR OU IGUAL A 1,5 M EMENOR QUE 2,5 M - EXECUÇÃO E FORNECIMENTO, INCLUI MATERIAL (ESCAVAÇÃO EXTERNA AO BLINDADO)</v>
      </c>
      <c r="C2183" s="149" t="str">
        <f>VLOOKUP(A2183,ORÇAMENTO!$A:$F,5,0)</f>
        <v>M²</v>
      </c>
      <c r="D2183" s="149">
        <f>SUM(E2186:O2186)</f>
        <v>748.99900000000025</v>
      </c>
      <c r="E2183" s="149" t="s">
        <v>2149</v>
      </c>
      <c r="F2183" s="149" t="s">
        <v>2150</v>
      </c>
      <c r="G2183" s="149" t="s">
        <v>2151</v>
      </c>
      <c r="H2183" s="149" t="s">
        <v>2152</v>
      </c>
      <c r="I2183" s="149" t="s">
        <v>2153</v>
      </c>
      <c r="J2183" s="149" t="s">
        <v>2154</v>
      </c>
      <c r="K2183" s="149" t="s">
        <v>2155</v>
      </c>
      <c r="L2183" s="149" t="s">
        <v>2178</v>
      </c>
      <c r="M2183" s="149" t="s">
        <v>2160</v>
      </c>
      <c r="N2183" s="149" t="s">
        <v>2157</v>
      </c>
      <c r="O2183" s="149" t="s">
        <v>2158</v>
      </c>
    </row>
    <row r="2184" spans="1:15" x14ac:dyDescent="0.35">
      <c r="A2184" s="321"/>
      <c r="B2184" s="318" t="s">
        <v>2161</v>
      </c>
      <c r="C2184" s="153"/>
      <c r="D2184" s="154"/>
      <c r="E2184" s="154"/>
      <c r="F2184" s="154"/>
      <c r="G2184" s="154"/>
      <c r="H2184" s="154"/>
      <c r="I2184" s="154"/>
      <c r="J2184" s="154"/>
      <c r="K2184" s="154"/>
      <c r="L2184" s="154"/>
      <c r="M2184" s="154"/>
      <c r="N2184" s="154">
        <f>Quantitativos!DL106</f>
        <v>748.99900000000025</v>
      </c>
      <c r="O2184" s="154"/>
    </row>
    <row r="2185" spans="1:15" x14ac:dyDescent="0.35">
      <c r="A2185" s="321"/>
      <c r="B2185" s="320"/>
      <c r="C2185" s="153"/>
      <c r="D2185" s="154"/>
      <c r="E2185" s="154"/>
      <c r="F2185" s="154"/>
      <c r="G2185" s="154"/>
      <c r="H2185" s="154"/>
      <c r="I2185" s="154"/>
      <c r="J2185" s="154"/>
      <c r="K2185" s="154"/>
      <c r="L2185" s="154"/>
      <c r="M2185" s="154"/>
      <c r="N2185" s="154"/>
      <c r="O2185" s="154"/>
    </row>
    <row r="2186" spans="1:15" x14ac:dyDescent="0.35">
      <c r="A2186" s="321"/>
      <c r="B2186" s="318" t="s">
        <v>377</v>
      </c>
      <c r="C2186" s="158" t="s">
        <v>402</v>
      </c>
      <c r="D2186" s="158"/>
      <c r="E2186" s="158"/>
      <c r="F2186" s="158"/>
      <c r="G2186" s="158"/>
      <c r="H2186" s="158"/>
      <c r="I2186" s="158"/>
      <c r="J2186" s="158"/>
      <c r="K2186" s="158"/>
      <c r="L2186" s="158"/>
      <c r="M2186" s="158"/>
      <c r="N2186" s="158">
        <f>SUM(N2184:N2185)</f>
        <v>748.99900000000025</v>
      </c>
      <c r="O2186" s="158"/>
    </row>
    <row r="2187" spans="1:15" ht="52.5" x14ac:dyDescent="0.35">
      <c r="A2187" s="323" t="str">
        <f>ORÇAMENTO!A361</f>
        <v>5.1.2.3.6</v>
      </c>
      <c r="B2187" s="322" t="str">
        <f>VLOOKUP(A2187,ORÇAMENTO!$A:$F,4,0)</f>
        <v>ESCORAMENTO DE VALA, TIPO BLINDADEM, COM PROFUNDIDADE DE 0 A 1,5 M, LARGURA MAIOR OU IGUAL A 2,5 M EMENOR QUE 3,5 M - EXECUÇÃO E FORNECIMENTO, INCLUI MATERIAL (ESCAVAÇÃO EXTERNA AO BLINDADO)</v>
      </c>
      <c r="C2187" s="149" t="str">
        <f>VLOOKUP(A2187,ORÇAMENTO!$A:$F,5,0)</f>
        <v>M²</v>
      </c>
      <c r="D2187" s="149">
        <f>SUM(E2190:O2190)</f>
        <v>1492.4999999999998</v>
      </c>
      <c r="E2187" s="149" t="s">
        <v>2149</v>
      </c>
      <c r="F2187" s="149" t="s">
        <v>2150</v>
      </c>
      <c r="G2187" s="149" t="s">
        <v>2151</v>
      </c>
      <c r="H2187" s="149" t="s">
        <v>2152</v>
      </c>
      <c r="I2187" s="149" t="s">
        <v>2153</v>
      </c>
      <c r="J2187" s="149" t="s">
        <v>2154</v>
      </c>
      <c r="K2187" s="149" t="s">
        <v>2155</v>
      </c>
      <c r="L2187" s="149" t="s">
        <v>2178</v>
      </c>
      <c r="M2187" s="149" t="s">
        <v>2160</v>
      </c>
      <c r="N2187" s="149" t="s">
        <v>2157</v>
      </c>
      <c r="O2187" s="149" t="s">
        <v>2158</v>
      </c>
    </row>
    <row r="2188" spans="1:15" x14ac:dyDescent="0.35">
      <c r="A2188" s="321"/>
      <c r="B2188" s="318" t="s">
        <v>2161</v>
      </c>
      <c r="C2188" s="153"/>
      <c r="D2188" s="154"/>
      <c r="E2188" s="154"/>
      <c r="F2188" s="154"/>
      <c r="G2188" s="154"/>
      <c r="H2188" s="154"/>
      <c r="I2188" s="154"/>
      <c r="J2188" s="154"/>
      <c r="K2188" s="154"/>
      <c r="L2188" s="154"/>
      <c r="M2188" s="154"/>
      <c r="N2188" s="154">
        <f>Quantitativos!DM106</f>
        <v>1492.4999999999998</v>
      </c>
      <c r="O2188" s="154"/>
    </row>
    <row r="2189" spans="1:15" x14ac:dyDescent="0.35">
      <c r="A2189" s="321"/>
      <c r="B2189" s="320"/>
      <c r="C2189" s="153"/>
      <c r="D2189" s="154"/>
      <c r="E2189" s="154"/>
      <c r="F2189" s="154"/>
      <c r="G2189" s="154"/>
      <c r="H2189" s="154"/>
      <c r="I2189" s="154"/>
      <c r="J2189" s="154"/>
      <c r="K2189" s="154"/>
      <c r="L2189" s="154"/>
      <c r="M2189" s="154"/>
      <c r="N2189" s="158"/>
      <c r="O2189" s="154"/>
    </row>
    <row r="2190" spans="1:15" x14ac:dyDescent="0.35">
      <c r="A2190" s="321"/>
      <c r="B2190" s="318" t="s">
        <v>377</v>
      </c>
      <c r="C2190" s="158" t="s">
        <v>402</v>
      </c>
      <c r="D2190" s="158"/>
      <c r="E2190" s="158"/>
      <c r="F2190" s="158"/>
      <c r="G2190" s="158"/>
      <c r="H2190" s="158"/>
      <c r="I2190" s="158"/>
      <c r="J2190" s="158"/>
      <c r="K2190" s="158"/>
      <c r="L2190" s="158"/>
      <c r="M2190" s="158"/>
      <c r="N2190" s="158">
        <f>SUM(N2188:N2189)</f>
        <v>1492.4999999999998</v>
      </c>
      <c r="O2190" s="158"/>
    </row>
    <row r="2191" spans="1:15" ht="42" x14ac:dyDescent="0.35">
      <c r="A2191" s="323" t="str">
        <f>ORÇAMENTO!A362</f>
        <v>5.1.2.3.7</v>
      </c>
      <c r="B2191" s="322" t="str">
        <f>VLOOKUP(A2191,ORÇAMENTO!$A:$F,4,0)</f>
        <v>ESCORAMENTO DE VALA, TIPO BLINDAGEM, COM PROFUNDIDADE DE 1,5 A 3,0 M, LARGURA DE 2,5 A 3,5 M -EXECUÇÃO E FORNECIMENTO, INCLUI MATERIAL (ESCAVAÇÃO INTERNA AO BLINDADO)</v>
      </c>
      <c r="C2191" s="149" t="str">
        <f>VLOOKUP(A2191,ORÇAMENTO!$A:$F,5,0)</f>
        <v>M²</v>
      </c>
      <c r="D2191" s="149">
        <f>SUM(E2194:O2194)</f>
        <v>1223.4009999999998</v>
      </c>
      <c r="E2191" s="149" t="s">
        <v>2149</v>
      </c>
      <c r="F2191" s="149" t="s">
        <v>2150</v>
      </c>
      <c r="G2191" s="149" t="s">
        <v>2151</v>
      </c>
      <c r="H2191" s="149" t="s">
        <v>2152</v>
      </c>
      <c r="I2191" s="149" t="s">
        <v>2153</v>
      </c>
      <c r="J2191" s="149" t="s">
        <v>2154</v>
      </c>
      <c r="K2191" s="149" t="s">
        <v>2155</v>
      </c>
      <c r="L2191" s="149" t="s">
        <v>2178</v>
      </c>
      <c r="M2191" s="149" t="s">
        <v>2160</v>
      </c>
      <c r="N2191" s="149" t="s">
        <v>2157</v>
      </c>
      <c r="O2191" s="149" t="s">
        <v>2158</v>
      </c>
    </row>
    <row r="2192" spans="1:15" x14ac:dyDescent="0.35">
      <c r="A2192" s="321"/>
      <c r="B2192" s="318" t="s">
        <v>2161</v>
      </c>
      <c r="C2192" s="160"/>
      <c r="D2192" s="161"/>
      <c r="E2192" s="161"/>
      <c r="F2192" s="161"/>
      <c r="G2192" s="161"/>
      <c r="H2192" s="161"/>
      <c r="I2192" s="161"/>
      <c r="J2192" s="161"/>
      <c r="K2192" s="161"/>
      <c r="L2192" s="161"/>
      <c r="M2192" s="161"/>
      <c r="N2192" s="161">
        <f>Quantitativos!DN106</f>
        <v>1223.4009999999998</v>
      </c>
      <c r="O2192" s="161"/>
    </row>
    <row r="2193" spans="1:15" x14ac:dyDescent="0.35">
      <c r="A2193" s="321"/>
      <c r="B2193" s="320"/>
      <c r="C2193" s="160"/>
      <c r="D2193" s="161"/>
      <c r="E2193" s="161"/>
      <c r="F2193" s="161"/>
      <c r="G2193" s="161"/>
      <c r="H2193" s="161"/>
      <c r="I2193" s="161"/>
      <c r="J2193" s="161"/>
      <c r="K2193" s="161"/>
      <c r="L2193" s="161"/>
      <c r="M2193" s="161"/>
      <c r="N2193" s="161"/>
      <c r="O2193" s="161"/>
    </row>
    <row r="2194" spans="1:15" x14ac:dyDescent="0.35">
      <c r="A2194" s="321"/>
      <c r="B2194" s="318" t="s">
        <v>377</v>
      </c>
      <c r="C2194" s="158" t="s">
        <v>402</v>
      </c>
      <c r="D2194" s="158"/>
      <c r="E2194" s="158"/>
      <c r="F2194" s="158"/>
      <c r="G2194" s="158"/>
      <c r="H2194" s="158"/>
      <c r="I2194" s="158"/>
      <c r="J2194" s="158"/>
      <c r="K2194" s="158"/>
      <c r="L2194" s="158"/>
      <c r="M2194" s="158"/>
      <c r="N2194" s="158">
        <f>SUM(N2192:N2193)</f>
        <v>1223.4009999999998</v>
      </c>
      <c r="O2194" s="158"/>
    </row>
    <row r="2195" spans="1:15" ht="52.5" x14ac:dyDescent="0.35">
      <c r="A2195" s="323" t="str">
        <f>ORÇAMENTO!A363</f>
        <v>5.1.2.3.8</v>
      </c>
      <c r="B2195" s="322" t="str">
        <f>VLOOKUP(A2195,ORÇAMENTO!$A:$F,4,0)</f>
        <v>ESCORAMENTO DE VALA, TIPO BLINDAGEM, COM PROFUNDIDADE DE 3,0 A 4,5 M, LARGURA MAIOR OU IGUAL A 2,5 M EMENOR QUE 3,5 M - EXECUÇÃO E FORNECIMENTO, INCLUI MATERIAL (ESCAVAÇÃO EXTERNA AO BLINDADO)</v>
      </c>
      <c r="C2195" s="149" t="str">
        <f>VLOOKUP(A2195,ORÇAMENTO!$A:$F,5,0)</f>
        <v>M²</v>
      </c>
      <c r="D2195" s="149">
        <f>SUM(E2198:O2198)</f>
        <v>728.01109999999994</v>
      </c>
      <c r="E2195" s="149" t="s">
        <v>2149</v>
      </c>
      <c r="F2195" s="149" t="s">
        <v>2150</v>
      </c>
      <c r="G2195" s="149" t="s">
        <v>2151</v>
      </c>
      <c r="H2195" s="149" t="s">
        <v>2152</v>
      </c>
      <c r="I2195" s="149" t="s">
        <v>2153</v>
      </c>
      <c r="J2195" s="149" t="s">
        <v>2154</v>
      </c>
      <c r="K2195" s="149" t="s">
        <v>2155</v>
      </c>
      <c r="L2195" s="149" t="s">
        <v>2178</v>
      </c>
      <c r="M2195" s="149" t="s">
        <v>2160</v>
      </c>
      <c r="N2195" s="149" t="s">
        <v>2157</v>
      </c>
      <c r="O2195" s="149" t="s">
        <v>2158</v>
      </c>
    </row>
    <row r="2196" spans="1:15" x14ac:dyDescent="0.35">
      <c r="A2196" s="321"/>
      <c r="B2196" s="318" t="s">
        <v>2161</v>
      </c>
      <c r="C2196" s="160"/>
      <c r="D2196" s="161"/>
      <c r="E2196" s="161"/>
      <c r="F2196" s="161"/>
      <c r="G2196" s="161"/>
      <c r="H2196" s="161"/>
      <c r="I2196" s="161"/>
      <c r="J2196" s="161"/>
      <c r="K2196" s="161"/>
      <c r="L2196" s="161"/>
      <c r="M2196" s="161"/>
      <c r="N2196" s="161">
        <f>Quantitativos!DO106</f>
        <v>728.01109999999994</v>
      </c>
      <c r="O2196" s="161"/>
    </row>
    <row r="2197" spans="1:15" x14ac:dyDescent="0.35">
      <c r="A2197" s="321"/>
      <c r="B2197" s="320"/>
      <c r="C2197" s="160"/>
      <c r="D2197" s="161"/>
      <c r="E2197" s="161"/>
      <c r="F2197" s="161"/>
      <c r="G2197" s="161"/>
      <c r="H2197" s="161"/>
      <c r="I2197" s="161"/>
      <c r="J2197" s="161"/>
      <c r="K2197" s="161"/>
      <c r="L2197" s="161"/>
      <c r="M2197" s="161"/>
      <c r="N2197" s="158"/>
      <c r="O2197" s="161"/>
    </row>
    <row r="2198" spans="1:15" x14ac:dyDescent="0.35">
      <c r="A2198" s="321"/>
      <c r="B2198" s="318" t="s">
        <v>377</v>
      </c>
      <c r="C2198" s="158" t="s">
        <v>402</v>
      </c>
      <c r="D2198" s="158"/>
      <c r="E2198" s="158"/>
      <c r="F2198" s="158"/>
      <c r="G2198" s="158"/>
      <c r="H2198" s="158"/>
      <c r="I2198" s="158"/>
      <c r="J2198" s="158"/>
      <c r="K2198" s="158"/>
      <c r="L2198" s="158"/>
      <c r="M2198" s="158"/>
      <c r="N2198" s="158">
        <f>SUM(N2196:N2197)</f>
        <v>728.01109999999994</v>
      </c>
      <c r="O2198" s="158"/>
    </row>
    <row r="2199" spans="1:15" ht="52.5" x14ac:dyDescent="0.35">
      <c r="A2199" s="323" t="str">
        <f>ORÇAMENTO!A364</f>
        <v>5.1.2.3.9</v>
      </c>
      <c r="B2199" s="322" t="str">
        <f>VLOOKUP(A2199,ORÇAMENTO!$A:$F,4,0)</f>
        <v>ESCORAMENTO DE VALA, TIPO BLINDAGEM, COM PROFUNDIDADE DE 4,5 A 6,0 M, LARGURA MAIOR OU IGUAL A 2,5 M EMENOR QUE 3,5 M - EXECUÇÃO E FORNECIMENTO, INCLUI MATERIAL (ESCAVAÇÃO EXTERNA AO BLINDADO)</v>
      </c>
      <c r="C2199" s="149" t="str">
        <f>VLOOKUP(A2199,ORÇAMENTO!$A:$F,5,0)</f>
        <v>M²</v>
      </c>
      <c r="D2199" s="149">
        <f>SUM(E2202:O2202)</f>
        <v>150.47740000000013</v>
      </c>
      <c r="E2199" s="149" t="s">
        <v>2149</v>
      </c>
      <c r="F2199" s="149" t="s">
        <v>2150</v>
      </c>
      <c r="G2199" s="149" t="s">
        <v>2151</v>
      </c>
      <c r="H2199" s="149" t="s">
        <v>2152</v>
      </c>
      <c r="I2199" s="149" t="s">
        <v>2153</v>
      </c>
      <c r="J2199" s="149" t="s">
        <v>2154</v>
      </c>
      <c r="K2199" s="149" t="s">
        <v>2155</v>
      </c>
      <c r="L2199" s="149" t="s">
        <v>2178</v>
      </c>
      <c r="M2199" s="149" t="s">
        <v>2160</v>
      </c>
      <c r="N2199" s="149" t="s">
        <v>2157</v>
      </c>
      <c r="O2199" s="149" t="s">
        <v>2158</v>
      </c>
    </row>
    <row r="2200" spans="1:15" x14ac:dyDescent="0.35">
      <c r="A2200" s="321"/>
      <c r="B2200" s="318" t="s">
        <v>2161</v>
      </c>
      <c r="C2200" s="160"/>
      <c r="D2200" s="161"/>
      <c r="E2200" s="161"/>
      <c r="F2200" s="161"/>
      <c r="G2200" s="161"/>
      <c r="H2200" s="161"/>
      <c r="I2200" s="161"/>
      <c r="J2200" s="161"/>
      <c r="K2200" s="161"/>
      <c r="L2200" s="161"/>
      <c r="M2200" s="161"/>
      <c r="N2200" s="161">
        <f>Quantitativos!DP106</f>
        <v>150.47740000000013</v>
      </c>
      <c r="O2200" s="161"/>
    </row>
    <row r="2201" spans="1:15" x14ac:dyDescent="0.35">
      <c r="A2201" s="321"/>
      <c r="B2201" s="320"/>
      <c r="C2201" s="160"/>
      <c r="D2201" s="161"/>
      <c r="E2201" s="161"/>
      <c r="F2201" s="161"/>
      <c r="G2201" s="161"/>
      <c r="H2201" s="161"/>
      <c r="I2201" s="161"/>
      <c r="J2201" s="161"/>
      <c r="K2201" s="161"/>
      <c r="L2201" s="161"/>
      <c r="M2201" s="161"/>
      <c r="N2201" s="158"/>
      <c r="O2201" s="161"/>
    </row>
    <row r="2202" spans="1:15" x14ac:dyDescent="0.35">
      <c r="A2202" s="321"/>
      <c r="B2202" s="318" t="s">
        <v>377</v>
      </c>
      <c r="C2202" s="158" t="s">
        <v>402</v>
      </c>
      <c r="D2202" s="158"/>
      <c r="E2202" s="158"/>
      <c r="F2202" s="158"/>
      <c r="G2202" s="158"/>
      <c r="H2202" s="158"/>
      <c r="I2202" s="158"/>
      <c r="J2202" s="158"/>
      <c r="K2202" s="158"/>
      <c r="L2202" s="158"/>
      <c r="M2202" s="158"/>
      <c r="N2202" s="158">
        <f>SUM(N2200:N2201)</f>
        <v>150.47740000000013</v>
      </c>
      <c r="O2202" s="158"/>
    </row>
    <row r="2203" spans="1:15" ht="21" x14ac:dyDescent="0.35">
      <c r="A2203" s="327" t="str">
        <f>ORÇAMENTO!A365</f>
        <v>5.1.2.4</v>
      </c>
      <c r="B2203" s="326" t="str">
        <f>VLOOKUP(A2203,ORÇAMENTO!$A:$F,4,0)</f>
        <v>PREENCHIMENTO DE VALAS E ASSENTAMENTO DE TUBOS</v>
      </c>
      <c r="C2203" s="143"/>
      <c r="D2203" s="143"/>
      <c r="E2203" s="144"/>
      <c r="F2203" s="144"/>
      <c r="G2203" s="144"/>
      <c r="H2203" s="144"/>
      <c r="I2203" s="144"/>
      <c r="J2203" s="144"/>
      <c r="K2203" s="144"/>
      <c r="L2203" s="144"/>
      <c r="M2203" s="144"/>
      <c r="N2203" s="144"/>
      <c r="O2203" s="144"/>
    </row>
    <row r="2204" spans="1:15" ht="31.5" x14ac:dyDescent="0.35">
      <c r="A2204" s="323" t="str">
        <f>ORÇAMENTO!A366</f>
        <v>5.1.2.4.1</v>
      </c>
      <c r="B2204" s="322" t="str">
        <f>VLOOKUP(A2204,ORÇAMENTO!$A:$F,4,0)</f>
        <v>PREPARO DE FUNDO DE VALA COM LARGURA MENOR QUE 1,5 M, COM CAMADA DE BRITA, LANÇAMENTO MECANIZADO. AF_08/2020</v>
      </c>
      <c r="C2204" s="149" t="str">
        <f>VLOOKUP(A2204,ORÇAMENTO!$A:$F,5,0)</f>
        <v>M³</v>
      </c>
      <c r="D2204" s="149">
        <f>SUM(E2207:O2207)</f>
        <v>98.561900000000009</v>
      </c>
      <c r="E2204" s="149" t="s">
        <v>2149</v>
      </c>
      <c r="F2204" s="149" t="s">
        <v>2150</v>
      </c>
      <c r="G2204" s="149" t="s">
        <v>2151</v>
      </c>
      <c r="H2204" s="149" t="s">
        <v>2152</v>
      </c>
      <c r="I2204" s="149" t="s">
        <v>2153</v>
      </c>
      <c r="J2204" s="149" t="s">
        <v>2154</v>
      </c>
      <c r="K2204" s="149" t="s">
        <v>2155</v>
      </c>
      <c r="L2204" s="149" t="s">
        <v>2178</v>
      </c>
      <c r="M2204" s="149" t="s">
        <v>2160</v>
      </c>
      <c r="N2204" s="149" t="s">
        <v>2157</v>
      </c>
      <c r="O2204" s="149" t="s">
        <v>2158</v>
      </c>
    </row>
    <row r="2205" spans="1:15" x14ac:dyDescent="0.35">
      <c r="A2205" s="321"/>
      <c r="B2205" s="318" t="s">
        <v>2125</v>
      </c>
      <c r="C2205" s="153"/>
      <c r="D2205" s="154"/>
      <c r="E2205" s="154"/>
      <c r="F2205" s="154"/>
      <c r="G2205" s="154"/>
      <c r="H2205" s="154"/>
      <c r="I2205" s="154"/>
      <c r="J2205" s="154"/>
      <c r="K2205" s="154"/>
      <c r="L2205" s="154"/>
      <c r="M2205" s="154"/>
      <c r="N2205" s="154"/>
      <c r="O2205" s="154">
        <f>Quantitativos!AU106</f>
        <v>98.561900000000009</v>
      </c>
    </row>
    <row r="2206" spans="1:15" x14ac:dyDescent="0.35">
      <c r="A2206" s="321"/>
      <c r="B2206" s="320"/>
      <c r="C2206" s="153"/>
      <c r="D2206" s="154"/>
      <c r="E2206" s="154"/>
      <c r="F2206" s="154"/>
      <c r="G2206" s="154"/>
      <c r="H2206" s="154"/>
      <c r="I2206" s="154"/>
      <c r="J2206" s="154"/>
      <c r="K2206" s="154"/>
      <c r="L2206" s="154"/>
      <c r="M2206" s="154"/>
      <c r="N2206" s="154"/>
      <c r="O2206" s="154"/>
    </row>
    <row r="2207" spans="1:15" x14ac:dyDescent="0.35">
      <c r="A2207" s="321"/>
      <c r="B2207" s="318" t="s">
        <v>377</v>
      </c>
      <c r="C2207" s="158" t="s">
        <v>402</v>
      </c>
      <c r="D2207" s="158"/>
      <c r="E2207" s="158"/>
      <c r="F2207" s="158"/>
      <c r="G2207" s="158"/>
      <c r="H2207" s="158"/>
      <c r="I2207" s="158"/>
      <c r="J2207" s="158"/>
      <c r="K2207" s="158"/>
      <c r="L2207" s="158"/>
      <c r="M2207" s="158"/>
      <c r="N2207" s="158"/>
      <c r="O2207" s="158">
        <f>SUM(O2205:O2206)</f>
        <v>98.561900000000009</v>
      </c>
    </row>
    <row r="2208" spans="1:15" ht="42" x14ac:dyDescent="0.35">
      <c r="A2208" s="323" t="str">
        <f>ORÇAMENTO!A367</f>
        <v>5.1.2.4.2</v>
      </c>
      <c r="B2208" s="322" t="str">
        <f>VLOOKUP(A2208,ORÇAMENTO!$A:$F,4,0)</f>
        <v>PREPARO DE FUNDO DE VALA COM LARGURA MAIOR OU IGUAL A 1,5 M E MENOR QUE 2,5 M, COM CAMADA DE BRITA, LANÇAMENTO MECANIZADO. AF_08/2020</v>
      </c>
      <c r="C2208" s="149" t="str">
        <f>VLOOKUP(A2208,ORÇAMENTO!$A:$F,5,0)</f>
        <v>M³</v>
      </c>
      <c r="D2208" s="149">
        <f>SUM(E2211:O2211)</f>
        <v>583.98749999999995</v>
      </c>
      <c r="E2208" s="149" t="s">
        <v>2149</v>
      </c>
      <c r="F2208" s="149" t="s">
        <v>2150</v>
      </c>
      <c r="G2208" s="149" t="s">
        <v>2151</v>
      </c>
      <c r="H2208" s="149" t="s">
        <v>2152</v>
      </c>
      <c r="I2208" s="149" t="s">
        <v>2153</v>
      </c>
      <c r="J2208" s="149" t="s">
        <v>2154</v>
      </c>
      <c r="K2208" s="149" t="s">
        <v>2155</v>
      </c>
      <c r="L2208" s="149" t="s">
        <v>2178</v>
      </c>
      <c r="M2208" s="149" t="s">
        <v>2160</v>
      </c>
      <c r="N2208" s="149" t="s">
        <v>2157</v>
      </c>
      <c r="O2208" s="149" t="s">
        <v>2158</v>
      </c>
    </row>
    <row r="2209" spans="1:15" x14ac:dyDescent="0.35">
      <c r="A2209" s="321"/>
      <c r="B2209" s="318" t="s">
        <v>2125</v>
      </c>
      <c r="C2209" s="160"/>
      <c r="D2209" s="161"/>
      <c r="E2209" s="161"/>
      <c r="F2209" s="161"/>
      <c r="G2209" s="161"/>
      <c r="H2209" s="161"/>
      <c r="I2209" s="161"/>
      <c r="J2209" s="161"/>
      <c r="K2209" s="161"/>
      <c r="L2209" s="161"/>
      <c r="M2209" s="161"/>
      <c r="N2209" s="161"/>
      <c r="O2209" s="161">
        <f>Quantitativos!AV106</f>
        <v>583.98749999999995</v>
      </c>
    </row>
    <row r="2210" spans="1:15" x14ac:dyDescent="0.35">
      <c r="A2210" s="321"/>
      <c r="B2210" s="320"/>
      <c r="C2210" s="160"/>
      <c r="D2210" s="161"/>
      <c r="E2210" s="161"/>
      <c r="F2210" s="161"/>
      <c r="G2210" s="161"/>
      <c r="H2210" s="161"/>
      <c r="I2210" s="161"/>
      <c r="J2210" s="161"/>
      <c r="K2210" s="161"/>
      <c r="L2210" s="161"/>
      <c r="M2210" s="161"/>
      <c r="N2210" s="161"/>
      <c r="O2210" s="161"/>
    </row>
    <row r="2211" spans="1:15" x14ac:dyDescent="0.35">
      <c r="A2211" s="321"/>
      <c r="B2211" s="318" t="s">
        <v>377</v>
      </c>
      <c r="C2211" s="158" t="s">
        <v>402</v>
      </c>
      <c r="D2211" s="158"/>
      <c r="E2211" s="158"/>
      <c r="F2211" s="158"/>
      <c r="G2211" s="158"/>
      <c r="H2211" s="158"/>
      <c r="I2211" s="158"/>
      <c r="J2211" s="158"/>
      <c r="K2211" s="158"/>
      <c r="L2211" s="158"/>
      <c r="M2211" s="158"/>
      <c r="N2211" s="158"/>
      <c r="O2211" s="158">
        <f>SUM(O2209:O2210)</f>
        <v>583.98749999999995</v>
      </c>
    </row>
    <row r="2212" spans="1:15" ht="52.5" x14ac:dyDescent="0.35">
      <c r="A2212" s="323" t="str">
        <f>ORÇAMENTO!A368</f>
        <v>5.1.2.4.3</v>
      </c>
      <c r="B2212" s="322" t="str">
        <f>VLOOKUP(A2212,ORÇAMENTO!$A:$F,4,0)</f>
        <v>EXECUÇÃO E COMPACTAÇÃO DE BASE E OU SUB BASE PARA PAVIMENTAÇÃO DE SOLO (PREDOMINANTEMENTE ARENOSO) COM CAL (TEOR DE 4%) - EXCLUSIVE SOLO, ESCAVAÇÃO, CARGA E TRANSPORTE.</v>
      </c>
      <c r="C2212" s="149" t="str">
        <f>VLOOKUP(A2212,ORÇAMENTO!$A:$F,5,0)</f>
        <v>M³</v>
      </c>
      <c r="D2212" s="149">
        <f>SUM(E2215:O2215)</f>
        <v>376.51920000000001</v>
      </c>
      <c r="E2212" s="149" t="s">
        <v>2149</v>
      </c>
      <c r="F2212" s="149" t="s">
        <v>2150</v>
      </c>
      <c r="G2212" s="149" t="s">
        <v>2151</v>
      </c>
      <c r="H2212" s="149" t="s">
        <v>2152</v>
      </c>
      <c r="I2212" s="149" t="s">
        <v>2153</v>
      </c>
      <c r="J2212" s="149" t="s">
        <v>2154</v>
      </c>
      <c r="K2212" s="149" t="s">
        <v>2155</v>
      </c>
      <c r="L2212" s="149" t="s">
        <v>2178</v>
      </c>
      <c r="M2212" s="149" t="s">
        <v>2160</v>
      </c>
      <c r="N2212" s="149" t="s">
        <v>2157</v>
      </c>
      <c r="O2212" s="149" t="s">
        <v>2158</v>
      </c>
    </row>
    <row r="2213" spans="1:15" x14ac:dyDescent="0.35">
      <c r="A2213" s="321"/>
      <c r="B2213" s="318" t="s">
        <v>2125</v>
      </c>
      <c r="C2213" s="160"/>
      <c r="D2213" s="161"/>
      <c r="E2213" s="161"/>
      <c r="F2213" s="161"/>
      <c r="G2213" s="161"/>
      <c r="H2213" s="161"/>
      <c r="I2213" s="161"/>
      <c r="J2213" s="161"/>
      <c r="K2213" s="161"/>
      <c r="L2213" s="161"/>
      <c r="M2213" s="161"/>
      <c r="N2213" s="161"/>
      <c r="O2213" s="161"/>
    </row>
    <row r="2214" spans="1:15" ht="21" x14ac:dyDescent="0.35">
      <c r="A2214" s="321"/>
      <c r="B2214" s="320" t="s">
        <v>2212</v>
      </c>
      <c r="C2214" s="160"/>
      <c r="D2214" s="161"/>
      <c r="E2214" s="161"/>
      <c r="F2214" s="161"/>
      <c r="G2214" s="161"/>
      <c r="H2214" s="161"/>
      <c r="I2214" s="161"/>
      <c r="J2214" s="161"/>
      <c r="K2214" s="161"/>
      <c r="L2214" s="161"/>
      <c r="M2214" s="161"/>
      <c r="N2214" s="161"/>
      <c r="O2214" s="161">
        <f>Quantitativos!BB106</f>
        <v>376.51920000000001</v>
      </c>
    </row>
    <row r="2215" spans="1:15" x14ac:dyDescent="0.35">
      <c r="A2215" s="321"/>
      <c r="B2215" s="318" t="s">
        <v>377</v>
      </c>
      <c r="C2215" s="158" t="s">
        <v>402</v>
      </c>
      <c r="D2215" s="158"/>
      <c r="E2215" s="158"/>
      <c r="F2215" s="158"/>
      <c r="G2215" s="158"/>
      <c r="H2215" s="158"/>
      <c r="I2215" s="158"/>
      <c r="J2215" s="158"/>
      <c r="K2215" s="158"/>
      <c r="L2215" s="158"/>
      <c r="M2215" s="158"/>
      <c r="N2215" s="158"/>
      <c r="O2215" s="158">
        <f>SUM(O2213:O2214)</f>
        <v>376.51920000000001</v>
      </c>
    </row>
    <row r="2216" spans="1:15" ht="21" x14ac:dyDescent="0.35">
      <c r="A2216" s="323" t="str">
        <f>ORÇAMENTO!A369</f>
        <v>5.1.2.4.4</v>
      </c>
      <c r="B2216" s="322" t="str">
        <f>VLOOKUP(A2216,ORÇAMENTO!$A:$F,4,0)</f>
        <v>BASE OU SUB-BASE DE BRITA GRADUADA COM BRITA COMERCIAL</v>
      </c>
      <c r="C2216" s="149" t="str">
        <f>VLOOKUP(A2216,ORÇAMENTO!$A:$F,5,0)</f>
        <v>M³</v>
      </c>
      <c r="D2216" s="149">
        <f>SUM(E2219:O2219)</f>
        <v>376.51920000000001</v>
      </c>
      <c r="E2216" s="149" t="s">
        <v>2149</v>
      </c>
      <c r="F2216" s="149" t="s">
        <v>2150</v>
      </c>
      <c r="G2216" s="149" t="s">
        <v>2151</v>
      </c>
      <c r="H2216" s="149" t="s">
        <v>2152</v>
      </c>
      <c r="I2216" s="149" t="s">
        <v>2153</v>
      </c>
      <c r="J2216" s="149" t="s">
        <v>2154</v>
      </c>
      <c r="K2216" s="149" t="s">
        <v>2155</v>
      </c>
      <c r="L2216" s="149" t="s">
        <v>2178</v>
      </c>
      <c r="M2216" s="149" t="s">
        <v>2160</v>
      </c>
      <c r="N2216" s="149" t="s">
        <v>2157</v>
      </c>
      <c r="O2216" s="149" t="s">
        <v>2158</v>
      </c>
    </row>
    <row r="2217" spans="1:15" x14ac:dyDescent="0.35">
      <c r="A2217" s="321"/>
      <c r="B2217" s="318" t="s">
        <v>2125</v>
      </c>
      <c r="C2217" s="160"/>
      <c r="D2217" s="161"/>
      <c r="E2217" s="161"/>
      <c r="F2217" s="161"/>
      <c r="G2217" s="161"/>
      <c r="H2217" s="161"/>
      <c r="I2217" s="161"/>
      <c r="J2217" s="161"/>
      <c r="K2217" s="161"/>
      <c r="L2217" s="161"/>
      <c r="M2217" s="161"/>
      <c r="N2217" s="161"/>
      <c r="O2217" s="161"/>
    </row>
    <row r="2218" spans="1:15" ht="21" x14ac:dyDescent="0.35">
      <c r="A2218" s="321"/>
      <c r="B2218" s="320" t="s">
        <v>2212</v>
      </c>
      <c r="C2218" s="160"/>
      <c r="D2218" s="161"/>
      <c r="E2218" s="161"/>
      <c r="F2218" s="161"/>
      <c r="G2218" s="161"/>
      <c r="H2218" s="161"/>
      <c r="I2218" s="161"/>
      <c r="J2218" s="161"/>
      <c r="K2218" s="161"/>
      <c r="L2218" s="161"/>
      <c r="M2218" s="161"/>
      <c r="N2218" s="161"/>
      <c r="O2218" s="161">
        <f>Quantitativos!BC106</f>
        <v>376.51920000000001</v>
      </c>
    </row>
    <row r="2219" spans="1:15" x14ac:dyDescent="0.35">
      <c r="A2219" s="321"/>
      <c r="B2219" s="318" t="s">
        <v>377</v>
      </c>
      <c r="C2219" s="158" t="s">
        <v>402</v>
      </c>
      <c r="D2219" s="158"/>
      <c r="E2219" s="158"/>
      <c r="F2219" s="158"/>
      <c r="G2219" s="158"/>
      <c r="H2219" s="158"/>
      <c r="I2219" s="158"/>
      <c r="J2219" s="158"/>
      <c r="K2219" s="158"/>
      <c r="L2219" s="158"/>
      <c r="M2219" s="158"/>
      <c r="N2219" s="158"/>
      <c r="O2219" s="158">
        <f>SUM(O2217:O2218)</f>
        <v>376.51920000000001</v>
      </c>
    </row>
    <row r="2220" spans="1:15" ht="21" x14ac:dyDescent="0.35">
      <c r="A2220" s="323" t="str">
        <f>ORÇAMENTO!A370</f>
        <v>5.1.2.4.5</v>
      </c>
      <c r="B2220" s="322" t="str">
        <f>VLOOKUP(A2220,ORÇAMENTO!$A:$F,4,0)</f>
        <v>PINTURA DE LIGAÇÃO (SEM MATERIAL)</v>
      </c>
      <c r="C2220" s="149" t="str">
        <f>VLOOKUP(A2220,ORÇAMENTO!$A:$F,5,0)</f>
        <v>M²</v>
      </c>
      <c r="D2220" s="149">
        <f>SUM(E2223:O2223)</f>
        <v>2510.1280000000002</v>
      </c>
      <c r="E2220" s="149" t="s">
        <v>2149</v>
      </c>
      <c r="F2220" s="149" t="s">
        <v>2150</v>
      </c>
      <c r="G2220" s="149" t="s">
        <v>2151</v>
      </c>
      <c r="H2220" s="149" t="s">
        <v>2152</v>
      </c>
      <c r="I2220" s="149" t="s">
        <v>2153</v>
      </c>
      <c r="J2220" s="149" t="s">
        <v>2154</v>
      </c>
      <c r="K2220" s="149" t="s">
        <v>2155</v>
      </c>
      <c r="L2220" s="149" t="s">
        <v>2178</v>
      </c>
      <c r="M2220" s="149" t="s">
        <v>2160</v>
      </c>
      <c r="N2220" s="149" t="s">
        <v>2157</v>
      </c>
      <c r="O2220" s="149" t="s">
        <v>2158</v>
      </c>
    </row>
    <row r="2221" spans="1:15" x14ac:dyDescent="0.35">
      <c r="A2221" s="321"/>
      <c r="B2221" s="318" t="s">
        <v>2125</v>
      </c>
      <c r="C2221" s="160"/>
      <c r="D2221" s="161"/>
      <c r="E2221" s="161"/>
      <c r="F2221" s="161"/>
      <c r="G2221" s="161"/>
      <c r="H2221" s="161"/>
      <c r="I2221" s="161"/>
      <c r="J2221" s="161"/>
      <c r="K2221" s="161"/>
      <c r="L2221" s="161"/>
      <c r="M2221" s="161"/>
      <c r="N2221" s="161">
        <f>Quantitativos!AA106</f>
        <v>2510.1280000000002</v>
      </c>
      <c r="O2221" s="161"/>
    </row>
    <row r="2222" spans="1:15" x14ac:dyDescent="0.35">
      <c r="A2222" s="321"/>
      <c r="B2222" s="320"/>
      <c r="C2222" s="160"/>
      <c r="D2222" s="161"/>
      <c r="E2222" s="161"/>
      <c r="F2222" s="161"/>
      <c r="G2222" s="161"/>
      <c r="H2222" s="161"/>
      <c r="I2222" s="161"/>
      <c r="J2222" s="161"/>
      <c r="K2222" s="161"/>
      <c r="L2222" s="161"/>
      <c r="M2222" s="161"/>
      <c r="N2222" s="161"/>
      <c r="O2222" s="161"/>
    </row>
    <row r="2223" spans="1:15" x14ac:dyDescent="0.35">
      <c r="A2223" s="321"/>
      <c r="B2223" s="318" t="s">
        <v>377</v>
      </c>
      <c r="C2223" s="158" t="s">
        <v>402</v>
      </c>
      <c r="D2223" s="158"/>
      <c r="E2223" s="158"/>
      <c r="F2223" s="158"/>
      <c r="G2223" s="158"/>
      <c r="H2223" s="158"/>
      <c r="I2223" s="158"/>
      <c r="J2223" s="158"/>
      <c r="K2223" s="158"/>
      <c r="L2223" s="158"/>
      <c r="M2223" s="158"/>
      <c r="N2223" s="158">
        <f>SUM(N2221:N2222)</f>
        <v>2510.1280000000002</v>
      </c>
      <c r="O2223" s="158"/>
    </row>
    <row r="2224" spans="1:15" ht="21" x14ac:dyDescent="0.35">
      <c r="A2224" s="323" t="str">
        <f>ORÇAMENTO!A371</f>
        <v>5.1.2.4.6</v>
      </c>
      <c r="B2224" s="322" t="str">
        <f>VLOOKUP(A2224,ORÇAMENTO!$A:$F,4,0)</f>
        <v>EMULSÃO ASFÁLTICA - RR-1C - FORNECIMENTO E TRANSPORTE</v>
      </c>
      <c r="C2224" s="149" t="str">
        <f>VLOOKUP(A2224,ORÇAMENTO!$A:$F,5,0)</f>
        <v>T</v>
      </c>
      <c r="D2224" s="149">
        <f>ROUND(SUM(E2229:O2229),2)</f>
        <v>1.1299999999999999</v>
      </c>
      <c r="E2224" s="149" t="s">
        <v>2149</v>
      </c>
      <c r="F2224" s="149" t="s">
        <v>2150</v>
      </c>
      <c r="G2224" s="149" t="s">
        <v>2151</v>
      </c>
      <c r="H2224" s="149" t="s">
        <v>2152</v>
      </c>
      <c r="I2224" s="149" t="s">
        <v>2153</v>
      </c>
      <c r="J2224" s="149" t="s">
        <v>2154</v>
      </c>
      <c r="K2224" s="149" t="s">
        <v>2172</v>
      </c>
      <c r="L2224" s="149" t="s">
        <v>2213</v>
      </c>
      <c r="M2224" s="149" t="s">
        <v>413</v>
      </c>
      <c r="N2224" s="149" t="s">
        <v>2214</v>
      </c>
      <c r="O2224" s="149" t="s">
        <v>2158</v>
      </c>
    </row>
    <row r="2225" spans="1:15" ht="21" x14ac:dyDescent="0.35">
      <c r="A2225" s="321"/>
      <c r="B2225" s="318" t="s">
        <v>2215</v>
      </c>
      <c r="C2225" s="153"/>
      <c r="D2225" s="154"/>
      <c r="E2225" s="154"/>
      <c r="F2225" s="154"/>
      <c r="G2225" s="154"/>
      <c r="H2225" s="154"/>
      <c r="I2225" s="154"/>
      <c r="J2225" s="154"/>
      <c r="K2225" s="154"/>
      <c r="L2225" s="154"/>
      <c r="M2225" s="154"/>
      <c r="N2225" s="154">
        <f>N2221</f>
        <v>2510.1280000000002</v>
      </c>
      <c r="O2225" s="154"/>
    </row>
    <row r="2226" spans="1:15" ht="31.5" x14ac:dyDescent="0.35">
      <c r="A2226" s="321"/>
      <c r="B2226" s="320" t="s">
        <v>2216</v>
      </c>
      <c r="C2226" s="153"/>
      <c r="D2226" s="154"/>
      <c r="E2226" s="154"/>
      <c r="F2226" s="154"/>
      <c r="G2226" s="154"/>
      <c r="H2226" s="154"/>
      <c r="I2226" s="154"/>
      <c r="J2226" s="154"/>
      <c r="K2226" s="154"/>
      <c r="L2226" s="172">
        <v>4.4999999999999999E-4</v>
      </c>
      <c r="M2226" s="154"/>
      <c r="N2226" s="338"/>
      <c r="O2226" s="154"/>
    </row>
    <row r="2227" spans="1:15" x14ac:dyDescent="0.35">
      <c r="A2227" s="321"/>
      <c r="B2227" s="320"/>
      <c r="C2227" s="153"/>
      <c r="D2227" s="154"/>
      <c r="E2227" s="154"/>
      <c r="F2227" s="154"/>
      <c r="G2227" s="154"/>
      <c r="H2227" s="154"/>
      <c r="I2227" s="154"/>
      <c r="J2227" s="154"/>
      <c r="K2227" s="154">
        <f>L2226*N2225</f>
        <v>1.1295576000000001</v>
      </c>
      <c r="L2227" s="154"/>
      <c r="M2227" s="154"/>
      <c r="N2227" s="338"/>
      <c r="O2227" s="154"/>
    </row>
    <row r="2228" spans="1:15" x14ac:dyDescent="0.35">
      <c r="A2228" s="321"/>
      <c r="B2228" s="320"/>
      <c r="C2228" s="153"/>
      <c r="D2228" s="154"/>
      <c r="E2228" s="154"/>
      <c r="F2228" s="154"/>
      <c r="G2228" s="154"/>
      <c r="H2228" s="154"/>
      <c r="I2228" s="154"/>
      <c r="J2228" s="154"/>
      <c r="K2228" s="154"/>
      <c r="L2228" s="154"/>
      <c r="M2228" s="154"/>
      <c r="N2228" s="338"/>
      <c r="O2228" s="154"/>
    </row>
    <row r="2229" spans="1:15" x14ac:dyDescent="0.35">
      <c r="A2229" s="321"/>
      <c r="B2229" s="318" t="s">
        <v>377</v>
      </c>
      <c r="C2229" s="158" t="s">
        <v>402</v>
      </c>
      <c r="D2229" s="158"/>
      <c r="E2229" s="158"/>
      <c r="F2229" s="158"/>
      <c r="G2229" s="158"/>
      <c r="H2229" s="158"/>
      <c r="I2229" s="158"/>
      <c r="J2229" s="158"/>
      <c r="K2229" s="153">
        <f>SUM(K2225:K2228)</f>
        <v>1.1295576000000001</v>
      </c>
      <c r="L2229" s="158"/>
      <c r="M2229" s="158"/>
      <c r="N2229" s="153"/>
      <c r="O2229" s="153"/>
    </row>
    <row r="2230" spans="1:15" ht="21" x14ac:dyDescent="0.35">
      <c r="A2230" s="323" t="str">
        <f>ORÇAMENTO!A372</f>
        <v>5.1.2.4.7</v>
      </c>
      <c r="B2230" s="322" t="str">
        <f>VLOOKUP(A2230,ORÇAMENTO!$A:$F,4,0)</f>
        <v>IMPRIMAÇÃO COM EMULSÃO ASFÁLTICA (SEM MATERIAL)</v>
      </c>
      <c r="C2230" s="149" t="str">
        <f>VLOOKUP(A2230,ORÇAMENTO!$A:$F,5,0)</f>
        <v>M²</v>
      </c>
      <c r="D2230" s="149">
        <f>SUM(E2233:O2233)</f>
        <v>2510.1280000000002</v>
      </c>
      <c r="E2230" s="149" t="s">
        <v>2149</v>
      </c>
      <c r="F2230" s="149" t="s">
        <v>2150</v>
      </c>
      <c r="G2230" s="149" t="s">
        <v>2151</v>
      </c>
      <c r="H2230" s="149" t="s">
        <v>2152</v>
      </c>
      <c r="I2230" s="149" t="s">
        <v>2153</v>
      </c>
      <c r="J2230" s="149" t="s">
        <v>2154</v>
      </c>
      <c r="K2230" s="149" t="s">
        <v>2155</v>
      </c>
      <c r="L2230" s="149" t="s">
        <v>2178</v>
      </c>
      <c r="M2230" s="149" t="s">
        <v>2160</v>
      </c>
      <c r="N2230" s="149" t="s">
        <v>2157</v>
      </c>
      <c r="O2230" s="149" t="s">
        <v>2158</v>
      </c>
    </row>
    <row r="2231" spans="1:15" x14ac:dyDescent="0.35">
      <c r="A2231" s="321"/>
      <c r="B2231" s="318" t="s">
        <v>2125</v>
      </c>
      <c r="C2231" s="160"/>
      <c r="D2231" s="161"/>
      <c r="E2231" s="161"/>
      <c r="F2231" s="161"/>
      <c r="G2231" s="161"/>
      <c r="H2231" s="161"/>
      <c r="I2231" s="161"/>
      <c r="J2231" s="161"/>
      <c r="K2231" s="161"/>
      <c r="L2231" s="161"/>
      <c r="M2231" s="161"/>
      <c r="N2231" s="161">
        <f>N2221</f>
        <v>2510.1280000000002</v>
      </c>
      <c r="O2231" s="161"/>
    </row>
    <row r="2232" spans="1:15" x14ac:dyDescent="0.35">
      <c r="A2232" s="321"/>
      <c r="B2232" s="320"/>
      <c r="C2232" s="160"/>
      <c r="D2232" s="161"/>
      <c r="E2232" s="161"/>
      <c r="F2232" s="161"/>
      <c r="G2232" s="161"/>
      <c r="H2232" s="161"/>
      <c r="I2232" s="161"/>
      <c r="J2232" s="161"/>
      <c r="K2232" s="161"/>
      <c r="L2232" s="161"/>
      <c r="M2232" s="161"/>
      <c r="N2232" s="161"/>
      <c r="O2232" s="161"/>
    </row>
    <row r="2233" spans="1:15" x14ac:dyDescent="0.35">
      <c r="A2233" s="321"/>
      <c r="B2233" s="318" t="s">
        <v>377</v>
      </c>
      <c r="C2233" s="158" t="s">
        <v>402</v>
      </c>
      <c r="D2233" s="158"/>
      <c r="E2233" s="158"/>
      <c r="F2233" s="158"/>
      <c r="G2233" s="158"/>
      <c r="H2233" s="158"/>
      <c r="I2233" s="158"/>
      <c r="J2233" s="158"/>
      <c r="K2233" s="158"/>
      <c r="L2233" s="158"/>
      <c r="M2233" s="158"/>
      <c r="N2233" s="158">
        <f>SUM(N2231:N2232)</f>
        <v>2510.1280000000002</v>
      </c>
      <c r="O2233" s="158"/>
    </row>
    <row r="2234" spans="1:15" ht="21" x14ac:dyDescent="0.35">
      <c r="A2234" s="323" t="str">
        <f>ORÇAMENTO!A373</f>
        <v>5.1.2.4.8</v>
      </c>
      <c r="B2234" s="322" t="str">
        <f>VLOOKUP(A2234,ORÇAMENTO!$A:$F,4,0)</f>
        <v>EMULSÃO ASFÁLTICA PARA IMPRIMAÇÃO - FORNECIMENTO E TRANSPORTE</v>
      </c>
      <c r="C2234" s="149" t="str">
        <f>VLOOKUP(A2234,ORÇAMENTO!$A:$F,5,0)</f>
        <v>T</v>
      </c>
      <c r="D2234" s="149">
        <f>ROUND(SUM(E2239:O2239),2)</f>
        <v>3.26</v>
      </c>
      <c r="E2234" s="149" t="s">
        <v>2149</v>
      </c>
      <c r="F2234" s="149" t="s">
        <v>2150</v>
      </c>
      <c r="G2234" s="149" t="s">
        <v>2151</v>
      </c>
      <c r="H2234" s="149" t="s">
        <v>2152</v>
      </c>
      <c r="I2234" s="149" t="s">
        <v>2153</v>
      </c>
      <c r="J2234" s="149" t="s">
        <v>2154</v>
      </c>
      <c r="K2234" s="149" t="s">
        <v>2172</v>
      </c>
      <c r="L2234" s="149" t="s">
        <v>2213</v>
      </c>
      <c r="M2234" s="149" t="s">
        <v>413</v>
      </c>
      <c r="N2234" s="149" t="s">
        <v>2214</v>
      </c>
      <c r="O2234" s="149" t="s">
        <v>2158</v>
      </c>
    </row>
    <row r="2235" spans="1:15" x14ac:dyDescent="0.35">
      <c r="A2235" s="321"/>
      <c r="B2235" s="318" t="s">
        <v>2217</v>
      </c>
      <c r="C2235" s="153"/>
      <c r="D2235" s="154"/>
      <c r="E2235" s="154"/>
      <c r="F2235" s="154"/>
      <c r="G2235" s="154"/>
      <c r="H2235" s="154"/>
      <c r="I2235" s="154"/>
      <c r="J2235" s="154"/>
      <c r="K2235" s="154"/>
      <c r="L2235" s="154"/>
      <c r="M2235" s="154"/>
      <c r="N2235" s="154">
        <f>N2231</f>
        <v>2510.1280000000002</v>
      </c>
      <c r="O2235" s="154"/>
    </row>
    <row r="2236" spans="1:15" ht="42" x14ac:dyDescent="0.35">
      <c r="A2236" s="321"/>
      <c r="B2236" s="320" t="s">
        <v>2218</v>
      </c>
      <c r="C2236" s="153"/>
      <c r="D2236" s="154"/>
      <c r="E2236" s="154"/>
      <c r="F2236" s="154"/>
      <c r="G2236" s="154"/>
      <c r="H2236" s="154"/>
      <c r="I2236" s="154"/>
      <c r="J2236" s="154"/>
      <c r="K2236" s="154"/>
      <c r="L2236" s="172">
        <v>1.2999999999999999E-3</v>
      </c>
      <c r="M2236" s="154"/>
      <c r="N2236" s="338"/>
      <c r="O2236" s="154"/>
    </row>
    <row r="2237" spans="1:15" x14ac:dyDescent="0.35">
      <c r="A2237" s="321"/>
      <c r="B2237" s="320"/>
      <c r="C2237" s="153"/>
      <c r="D2237" s="154"/>
      <c r="E2237" s="154"/>
      <c r="F2237" s="154"/>
      <c r="G2237" s="154"/>
      <c r="H2237" s="154"/>
      <c r="I2237" s="154"/>
      <c r="J2237" s="154"/>
      <c r="K2237" s="154">
        <f>L2236*N2235</f>
        <v>3.2631664000000002</v>
      </c>
      <c r="L2237" s="154"/>
      <c r="M2237" s="154"/>
      <c r="N2237" s="338"/>
      <c r="O2237" s="154"/>
    </row>
    <row r="2238" spans="1:15" x14ac:dyDescent="0.35">
      <c r="A2238" s="321"/>
      <c r="B2238" s="320"/>
      <c r="C2238" s="153"/>
      <c r="D2238" s="154"/>
      <c r="E2238" s="154"/>
      <c r="F2238" s="154"/>
      <c r="G2238" s="154"/>
      <c r="H2238" s="154"/>
      <c r="I2238" s="154"/>
      <c r="J2238" s="154"/>
      <c r="K2238" s="154"/>
      <c r="L2238" s="154"/>
      <c r="M2238" s="154"/>
      <c r="N2238" s="338"/>
      <c r="O2238" s="154"/>
    </row>
    <row r="2239" spans="1:15" x14ac:dyDescent="0.35">
      <c r="A2239" s="321"/>
      <c r="B2239" s="318" t="s">
        <v>377</v>
      </c>
      <c r="C2239" s="158" t="s">
        <v>402</v>
      </c>
      <c r="D2239" s="158"/>
      <c r="E2239" s="158"/>
      <c r="F2239" s="158"/>
      <c r="G2239" s="158"/>
      <c r="H2239" s="158"/>
      <c r="I2239" s="158"/>
      <c r="J2239" s="158"/>
      <c r="K2239" s="153">
        <f>SUM(K2235:K2238)</f>
        <v>3.2631664000000002</v>
      </c>
      <c r="L2239" s="158"/>
      <c r="M2239" s="158"/>
      <c r="N2239" s="153"/>
      <c r="O2239" s="153"/>
    </row>
    <row r="2240" spans="1:15" ht="21" x14ac:dyDescent="0.35">
      <c r="A2240" s="323" t="str">
        <f>ORÇAMENTO!A374</f>
        <v>5.1.2.4.9</v>
      </c>
      <c r="B2240" s="322" t="str">
        <f>VLOOKUP(A2240,ORÇAMENTO!$A:$F,4,0)</f>
        <v>CAL HIDRATADA - A GRANEL</v>
      </c>
      <c r="C2240" s="149" t="str">
        <f>VLOOKUP(A2240,ORÇAMENTO!$A:$F,5,0)</f>
        <v>KG</v>
      </c>
      <c r="D2240" s="149">
        <f>SUM(E2243:O2243)</f>
        <v>79767.429871999979</v>
      </c>
      <c r="E2240" s="149" t="s">
        <v>2149</v>
      </c>
      <c r="F2240" s="149" t="s">
        <v>2150</v>
      </c>
      <c r="G2240" s="149" t="s">
        <v>2151</v>
      </c>
      <c r="H2240" s="149" t="s">
        <v>2152</v>
      </c>
      <c r="I2240" s="149" t="s">
        <v>2153</v>
      </c>
      <c r="J2240" s="149" t="s">
        <v>2154</v>
      </c>
      <c r="K2240" s="149" t="s">
        <v>2155</v>
      </c>
      <c r="L2240" s="149" t="s">
        <v>2178</v>
      </c>
      <c r="M2240" s="149" t="s">
        <v>2160</v>
      </c>
      <c r="N2240" s="149" t="s">
        <v>2157</v>
      </c>
      <c r="O2240" s="149" t="s">
        <v>2158</v>
      </c>
    </row>
    <row r="2241" spans="1:15" x14ac:dyDescent="0.35">
      <c r="A2241" s="321"/>
      <c r="B2241" s="318" t="s">
        <v>2125</v>
      </c>
      <c r="C2241" s="160"/>
      <c r="D2241" s="161"/>
      <c r="E2241" s="161"/>
      <c r="F2241" s="161"/>
      <c r="G2241" s="161"/>
      <c r="H2241" s="161"/>
      <c r="I2241" s="161"/>
      <c r="J2241" s="161"/>
      <c r="K2241" s="161"/>
      <c r="L2241" s="161"/>
      <c r="M2241" s="161"/>
      <c r="N2241" s="161"/>
      <c r="O2241" s="161">
        <f>Quantitativos!BM106</f>
        <v>38.665743999999989</v>
      </c>
    </row>
    <row r="2242" spans="1:15" ht="31.5" x14ac:dyDescent="0.35">
      <c r="A2242" s="321"/>
      <c r="B2242" s="320" t="s">
        <v>2219</v>
      </c>
      <c r="C2242" s="160"/>
      <c r="D2242" s="161"/>
      <c r="E2242" s="161"/>
      <c r="F2242" s="161"/>
      <c r="G2242" s="161"/>
      <c r="H2242" s="161"/>
      <c r="I2242" s="161"/>
      <c r="J2242" s="161"/>
      <c r="K2242" s="161">
        <f>L2242*O2241</f>
        <v>79767.429871999979</v>
      </c>
      <c r="L2242" s="161">
        <f>82.52/0.04</f>
        <v>2063</v>
      </c>
      <c r="M2242" s="161"/>
      <c r="N2242" s="161"/>
      <c r="O2242" s="161"/>
    </row>
    <row r="2243" spans="1:15" x14ac:dyDescent="0.35">
      <c r="A2243" s="321"/>
      <c r="B2243" s="318" t="s">
        <v>377</v>
      </c>
      <c r="C2243" s="158" t="s">
        <v>402</v>
      </c>
      <c r="D2243" s="158"/>
      <c r="E2243" s="158"/>
      <c r="F2243" s="158"/>
      <c r="G2243" s="158"/>
      <c r="H2243" s="158"/>
      <c r="I2243" s="158"/>
      <c r="J2243" s="158"/>
      <c r="K2243" s="158">
        <f>SUM(K2241:K2242)</f>
        <v>79767.429871999979</v>
      </c>
      <c r="L2243" s="158"/>
      <c r="M2243" s="158"/>
      <c r="N2243" s="158"/>
      <c r="O2243" s="158"/>
    </row>
    <row r="2244" spans="1:15" ht="52.5" x14ac:dyDescent="0.35">
      <c r="A2244" s="323" t="str">
        <f>ORÇAMENTO!A375</f>
        <v>5.1.2.4.10</v>
      </c>
      <c r="B2244" s="322" t="str">
        <f>VLOOKUP(A2244,ORÇAMENTO!$A:$F,4,0)</f>
        <v>CONSTRUÇÃO DE PAVIMENTO COM APLICAÇÃO CONCRETO BETUMINOSO USINADO A QUENTE (CBUQ), CAMADA DE ROLAMENTO - EXCLUSIVE TRANSPORTE E CARGA  AF_03/2017 (SEM MATERIAL)</v>
      </c>
      <c r="C2244" s="149" t="str">
        <f>VLOOKUP(A2244,ORÇAMENTO!$A:$F,5,0)</f>
        <v>M³</v>
      </c>
      <c r="D2244" s="149">
        <f>SUM(E2248:O2248)</f>
        <v>107.37773999999997</v>
      </c>
      <c r="E2244" s="149" t="s">
        <v>2149</v>
      </c>
      <c r="F2244" s="149" t="s">
        <v>2150</v>
      </c>
      <c r="G2244" s="149" t="s">
        <v>2151</v>
      </c>
      <c r="H2244" s="149" t="s">
        <v>2152</v>
      </c>
      <c r="I2244" s="149" t="s">
        <v>2153</v>
      </c>
      <c r="J2244" s="149" t="s">
        <v>2154</v>
      </c>
      <c r="K2244" s="149" t="s">
        <v>2155</v>
      </c>
      <c r="L2244" s="149" t="s">
        <v>2220</v>
      </c>
      <c r="M2244" s="149" t="s">
        <v>2160</v>
      </c>
      <c r="N2244" s="149" t="s">
        <v>2157</v>
      </c>
      <c r="O2244" s="149" t="s">
        <v>2158</v>
      </c>
    </row>
    <row r="2245" spans="1:15" x14ac:dyDescent="0.35">
      <c r="A2245" s="321"/>
      <c r="B2245" s="318" t="s">
        <v>2171</v>
      </c>
      <c r="C2245" s="160"/>
      <c r="D2245" s="161"/>
      <c r="E2245" s="161"/>
      <c r="F2245" s="161"/>
      <c r="G2245" s="161"/>
      <c r="H2245" s="161"/>
      <c r="I2245" s="161"/>
      <c r="J2245" s="161"/>
      <c r="K2245" s="161"/>
      <c r="L2245" s="161"/>
      <c r="M2245" s="161"/>
      <c r="N2245" s="161"/>
      <c r="O2245" s="161"/>
    </row>
    <row r="2246" spans="1:15" x14ac:dyDescent="0.35">
      <c r="A2246" s="321"/>
      <c r="B2246" s="320" t="s">
        <v>2221</v>
      </c>
      <c r="C2246" s="160"/>
      <c r="D2246" s="161"/>
      <c r="E2246" s="161"/>
      <c r="F2246" s="161"/>
      <c r="G2246" s="161"/>
      <c r="H2246" s="161">
        <v>0.03</v>
      </c>
      <c r="I2246" s="161"/>
      <c r="J2246" s="161"/>
      <c r="K2246" s="161"/>
      <c r="L2246" s="161"/>
      <c r="M2246" s="161"/>
      <c r="N2246" s="161">
        <f>N1876</f>
        <v>3579.2579999999994</v>
      </c>
      <c r="O2246" s="161">
        <f>N2246*H2246</f>
        <v>107.37773999999997</v>
      </c>
    </row>
    <row r="2247" spans="1:15" x14ac:dyDescent="0.35">
      <c r="A2247" s="321"/>
      <c r="B2247" s="320"/>
      <c r="C2247" s="160"/>
      <c r="D2247" s="161"/>
      <c r="E2247" s="161"/>
      <c r="F2247" s="161"/>
      <c r="G2247" s="161"/>
      <c r="H2247" s="161"/>
      <c r="I2247" s="161"/>
      <c r="J2247" s="161"/>
      <c r="K2247" s="161"/>
      <c r="L2247" s="162"/>
      <c r="M2247" s="161"/>
      <c r="N2247" s="161"/>
      <c r="O2247" s="161"/>
    </row>
    <row r="2248" spans="1:15" x14ac:dyDescent="0.35">
      <c r="A2248" s="321"/>
      <c r="B2248" s="318" t="s">
        <v>377</v>
      </c>
      <c r="C2248" s="158" t="s">
        <v>402</v>
      </c>
      <c r="D2248" s="158"/>
      <c r="E2248" s="158"/>
      <c r="F2248" s="158"/>
      <c r="G2248" s="158"/>
      <c r="H2248" s="158"/>
      <c r="I2248" s="158"/>
      <c r="J2248" s="158"/>
      <c r="K2248" s="158"/>
      <c r="L2248" s="158"/>
      <c r="M2248" s="158"/>
      <c r="N2248" s="158"/>
      <c r="O2248" s="158">
        <f>SUM(O2246:O2247)</f>
        <v>107.37773999999997</v>
      </c>
    </row>
    <row r="2249" spans="1:15" ht="21" x14ac:dyDescent="0.35">
      <c r="A2249" s="323" t="str">
        <f>ORÇAMENTO!A376</f>
        <v>5.1.2.4.11</v>
      </c>
      <c r="B2249" s="322" t="str">
        <f>VLOOKUP(A2249,ORÇAMENTO!$A:$F,4,0)</f>
        <v>USINAGEM DE CBUQ SEM  CAP 50/70, PARA CAPA DE ROLAMENTO (SEM MATERIAL  E TRANSPORTE)</v>
      </c>
      <c r="C2249" s="149" t="str">
        <f>VLOOKUP(A2249,ORÇAMENTO!$A:$F,5,0)</f>
        <v>T</v>
      </c>
      <c r="D2249" s="149">
        <f>SUM(E2254:O2254)</f>
        <v>257.70657599999993</v>
      </c>
      <c r="E2249" s="149" t="s">
        <v>2149</v>
      </c>
      <c r="F2249" s="149" t="s">
        <v>2150</v>
      </c>
      <c r="G2249" s="149" t="s">
        <v>2151</v>
      </c>
      <c r="H2249" s="149" t="s">
        <v>2152</v>
      </c>
      <c r="I2249" s="149" t="s">
        <v>2153</v>
      </c>
      <c r="J2249" s="149" t="s">
        <v>2154</v>
      </c>
      <c r="K2249" s="149" t="s">
        <v>2172</v>
      </c>
      <c r="L2249" s="149" t="s">
        <v>2178</v>
      </c>
      <c r="M2249" s="149" t="s">
        <v>2160</v>
      </c>
      <c r="N2249" s="149" t="s">
        <v>2157</v>
      </c>
      <c r="O2249" s="149" t="s">
        <v>2158</v>
      </c>
    </row>
    <row r="2250" spans="1:15" x14ac:dyDescent="0.35">
      <c r="A2250" s="321"/>
      <c r="B2250" s="318" t="s">
        <v>2171</v>
      </c>
      <c r="C2250" s="160"/>
      <c r="D2250" s="161"/>
      <c r="E2250" s="161"/>
      <c r="F2250" s="161"/>
      <c r="G2250" s="161"/>
      <c r="H2250" s="161"/>
      <c r="I2250" s="161"/>
      <c r="J2250" s="161"/>
      <c r="K2250" s="161"/>
      <c r="L2250" s="161"/>
      <c r="M2250" s="161"/>
      <c r="N2250" s="161"/>
      <c r="O2250" s="161"/>
    </row>
    <row r="2251" spans="1:15" x14ac:dyDescent="0.35">
      <c r="A2251" s="321"/>
      <c r="B2251" s="320" t="s">
        <v>2222</v>
      </c>
      <c r="C2251" s="160"/>
      <c r="D2251" s="161"/>
      <c r="E2251" s="161"/>
      <c r="F2251" s="161"/>
      <c r="G2251" s="161"/>
      <c r="H2251" s="161"/>
      <c r="I2251" s="161"/>
      <c r="J2251" s="161"/>
      <c r="K2251" s="161"/>
      <c r="L2251" s="161">
        <v>2.4</v>
      </c>
      <c r="M2251" s="161"/>
      <c r="N2251" s="161"/>
      <c r="O2251" s="161"/>
    </row>
    <row r="2252" spans="1:15" x14ac:dyDescent="0.35">
      <c r="A2252" s="321"/>
      <c r="B2252" s="320" t="str">
        <f>B2246</f>
        <v>CONCRETO BETUMINOSO USINADO A QUENTE</v>
      </c>
      <c r="C2252" s="160"/>
      <c r="D2252" s="161"/>
      <c r="E2252" s="161"/>
      <c r="F2252" s="161"/>
      <c r="G2252" s="161"/>
      <c r="H2252" s="161">
        <f>H2246</f>
        <v>0.03</v>
      </c>
      <c r="I2252" s="161"/>
      <c r="J2252" s="161"/>
      <c r="K2252" s="161">
        <f>L2251*O2252</f>
        <v>257.70657599999993</v>
      </c>
      <c r="L2252" s="161"/>
      <c r="M2252" s="161"/>
      <c r="N2252" s="161">
        <f>N2246</f>
        <v>3579.2579999999994</v>
      </c>
      <c r="O2252" s="161">
        <f>O2246</f>
        <v>107.37773999999997</v>
      </c>
    </row>
    <row r="2253" spans="1:15" x14ac:dyDescent="0.35">
      <c r="A2253" s="321"/>
      <c r="B2253" s="320"/>
      <c r="C2253" s="160"/>
      <c r="D2253" s="161"/>
      <c r="E2253" s="161"/>
      <c r="F2253" s="161"/>
      <c r="G2253" s="161"/>
      <c r="H2253" s="161"/>
      <c r="I2253" s="161"/>
      <c r="J2253" s="161"/>
      <c r="K2253" s="161"/>
      <c r="L2253" s="162"/>
      <c r="M2253" s="161"/>
      <c r="N2253" s="161"/>
      <c r="O2253" s="161"/>
    </row>
    <row r="2254" spans="1:15" x14ac:dyDescent="0.35">
      <c r="A2254" s="321"/>
      <c r="B2254" s="318" t="s">
        <v>377</v>
      </c>
      <c r="C2254" s="158" t="s">
        <v>402</v>
      </c>
      <c r="D2254" s="158"/>
      <c r="E2254" s="158"/>
      <c r="F2254" s="158"/>
      <c r="G2254" s="158"/>
      <c r="H2254" s="158"/>
      <c r="I2254" s="158"/>
      <c r="J2254" s="158"/>
      <c r="K2254" s="158">
        <f>SUM(K2252:K2253)</f>
        <v>257.70657599999993</v>
      </c>
      <c r="L2254" s="158"/>
      <c r="M2254" s="158"/>
      <c r="N2254" s="158"/>
      <c r="O2254" s="158"/>
    </row>
    <row r="2255" spans="1:15" ht="21" x14ac:dyDescent="0.35">
      <c r="A2255" s="323" t="str">
        <f>ORÇAMENTO!A377</f>
        <v>5.1.2.4.12</v>
      </c>
      <c r="B2255" s="322" t="str">
        <f>VLOOKUP(A2255,ORÇAMENTO!$A:$F,4,0)</f>
        <v>CIMENTO ASFÁLTICO DE PETRÓLEO - CAP 50/70 FORNECIMENTO E TRANSPORTE</v>
      </c>
      <c r="C2255" s="149" t="str">
        <f>VLOOKUP(A2255,ORÇAMENTO!$A:$F,5,0)</f>
        <v>T</v>
      </c>
      <c r="D2255" s="149">
        <f>SUM(E2260:O2260)</f>
        <v>16.294786800479994</v>
      </c>
      <c r="E2255" s="149" t="s">
        <v>2149</v>
      </c>
      <c r="F2255" s="149" t="s">
        <v>2150</v>
      </c>
      <c r="G2255" s="149" t="s">
        <v>2151</v>
      </c>
      <c r="H2255" s="149" t="s">
        <v>2152</v>
      </c>
      <c r="I2255" s="149" t="s">
        <v>2153</v>
      </c>
      <c r="J2255" s="149" t="s">
        <v>2154</v>
      </c>
      <c r="K2255" s="149" t="s">
        <v>2172</v>
      </c>
      <c r="L2255" s="149" t="s">
        <v>2213</v>
      </c>
      <c r="M2255" s="149" t="s">
        <v>2160</v>
      </c>
      <c r="N2255" s="149" t="s">
        <v>2157</v>
      </c>
      <c r="O2255" s="149" t="s">
        <v>2158</v>
      </c>
    </row>
    <row r="2256" spans="1:15" x14ac:dyDescent="0.35">
      <c r="A2256" s="321"/>
      <c r="B2256" s="320" t="str">
        <f>B2252</f>
        <v>CONCRETO BETUMINOSO USINADO A QUENTE</v>
      </c>
      <c r="C2256" s="160"/>
      <c r="D2256" s="161"/>
      <c r="E2256" s="161"/>
      <c r="F2256" s="161"/>
      <c r="G2256" s="161"/>
      <c r="H2256" s="161"/>
      <c r="I2256" s="161"/>
      <c r="J2256" s="161"/>
      <c r="K2256" s="161">
        <f>K2252</f>
        <v>257.70657599999993</v>
      </c>
      <c r="L2256" s="161"/>
      <c r="M2256" s="161"/>
      <c r="N2256" s="161"/>
      <c r="O2256" s="161"/>
    </row>
    <row r="2257" spans="1:15" x14ac:dyDescent="0.35">
      <c r="A2257" s="321"/>
      <c r="B2257" s="320" t="s">
        <v>2223</v>
      </c>
      <c r="C2257" s="160"/>
      <c r="D2257" s="161"/>
      <c r="E2257" s="161"/>
      <c r="F2257" s="161"/>
      <c r="G2257" s="161"/>
      <c r="H2257" s="161"/>
      <c r="I2257" s="161"/>
      <c r="J2257" s="161"/>
      <c r="K2257" s="161"/>
      <c r="L2257" s="161">
        <v>6.3229999999999995E-2</v>
      </c>
      <c r="M2257" s="161"/>
      <c r="N2257" s="161"/>
      <c r="O2257" s="161"/>
    </row>
    <row r="2258" spans="1:15" x14ac:dyDescent="0.35">
      <c r="A2258" s="321"/>
      <c r="B2258" s="320"/>
      <c r="C2258" s="160"/>
      <c r="D2258" s="161"/>
      <c r="E2258" s="161"/>
      <c r="F2258" s="161"/>
      <c r="G2258" s="161"/>
      <c r="H2258" s="161"/>
      <c r="I2258" s="161"/>
      <c r="J2258" s="161"/>
      <c r="K2258" s="161">
        <f>K2256*L2257</f>
        <v>16.294786800479994</v>
      </c>
      <c r="L2258" s="161"/>
      <c r="M2258" s="161"/>
      <c r="N2258" s="161"/>
      <c r="O2258" s="161"/>
    </row>
    <row r="2259" spans="1:15" x14ac:dyDescent="0.35">
      <c r="A2259" s="321"/>
      <c r="B2259" s="320"/>
      <c r="C2259" s="160"/>
      <c r="D2259" s="161"/>
      <c r="E2259" s="161"/>
      <c r="F2259" s="161"/>
      <c r="G2259" s="161"/>
      <c r="H2259" s="161"/>
      <c r="I2259" s="161"/>
      <c r="J2259" s="161"/>
      <c r="K2259" s="161"/>
      <c r="L2259" s="162"/>
      <c r="M2259" s="161"/>
      <c r="N2259" s="161"/>
      <c r="O2259" s="161"/>
    </row>
    <row r="2260" spans="1:15" x14ac:dyDescent="0.35">
      <c r="A2260" s="321"/>
      <c r="B2260" s="318" t="s">
        <v>377</v>
      </c>
      <c r="C2260" s="158" t="s">
        <v>402</v>
      </c>
      <c r="D2260" s="158"/>
      <c r="E2260" s="158"/>
      <c r="F2260" s="158"/>
      <c r="G2260" s="158"/>
      <c r="H2260" s="158"/>
      <c r="I2260" s="158"/>
      <c r="J2260" s="158"/>
      <c r="K2260" s="158">
        <f>SUM(K2258:K2259)</f>
        <v>16.294786800479994</v>
      </c>
      <c r="L2260" s="158"/>
      <c r="M2260" s="158"/>
      <c r="N2260" s="158"/>
      <c r="O2260" s="158"/>
    </row>
    <row r="2261" spans="1:15" ht="21" x14ac:dyDescent="0.35">
      <c r="A2261" s="323" t="str">
        <f>ORÇAMENTO!A378</f>
        <v>5.1.2.4.13</v>
      </c>
      <c r="B2261" s="322" t="str">
        <f>VLOOKUP(A2261,ORÇAMENTO!$A:$F,4,0)</f>
        <v>REATERRO MANUAL APILOADO COM SOQUETE</v>
      </c>
      <c r="C2261" s="149" t="str">
        <f>VLOOKUP(A2261,ORÇAMENTO!$A:$F,5,0)</f>
        <v>M³</v>
      </c>
      <c r="D2261" s="149">
        <f>SUM(E2264:O2264)</f>
        <v>4446.4034260522194</v>
      </c>
      <c r="E2261" s="149" t="s">
        <v>2149</v>
      </c>
      <c r="F2261" s="149" t="s">
        <v>2150</v>
      </c>
      <c r="G2261" s="149" t="s">
        <v>2151</v>
      </c>
      <c r="H2261" s="149" t="s">
        <v>2152</v>
      </c>
      <c r="I2261" s="149" t="s">
        <v>2153</v>
      </c>
      <c r="J2261" s="149" t="s">
        <v>2154</v>
      </c>
      <c r="K2261" s="149" t="s">
        <v>2155</v>
      </c>
      <c r="L2261" s="149" t="s">
        <v>2178</v>
      </c>
      <c r="M2261" s="149" t="s">
        <v>2160</v>
      </c>
      <c r="N2261" s="149" t="s">
        <v>2157</v>
      </c>
      <c r="O2261" s="149" t="s">
        <v>2158</v>
      </c>
    </row>
    <row r="2262" spans="1:15" x14ac:dyDescent="0.35">
      <c r="A2262" s="321"/>
      <c r="B2262" s="320" t="s">
        <v>2224</v>
      </c>
      <c r="C2262" s="160"/>
      <c r="D2262" s="161"/>
      <c r="E2262" s="161"/>
      <c r="F2262" s="161"/>
      <c r="G2262" s="161"/>
      <c r="H2262" s="161"/>
      <c r="I2262" s="161"/>
      <c r="J2262" s="161"/>
      <c r="K2262" s="161"/>
      <c r="L2262" s="161"/>
      <c r="M2262" s="161"/>
      <c r="N2262" s="161"/>
      <c r="O2262" s="161">
        <f>Quantitativos!AZ106</f>
        <v>4446.4034260522194</v>
      </c>
    </row>
    <row r="2263" spans="1:15" x14ac:dyDescent="0.35">
      <c r="A2263" s="321"/>
      <c r="B2263" s="320"/>
      <c r="C2263" s="160"/>
      <c r="D2263" s="161"/>
      <c r="E2263" s="161"/>
      <c r="F2263" s="161"/>
      <c r="G2263" s="161"/>
      <c r="H2263" s="161"/>
      <c r="I2263" s="161"/>
      <c r="J2263" s="161"/>
      <c r="K2263" s="161"/>
      <c r="L2263" s="161"/>
      <c r="M2263" s="161"/>
      <c r="N2263" s="161"/>
      <c r="O2263" s="161"/>
    </row>
    <row r="2264" spans="1:15" x14ac:dyDescent="0.35">
      <c r="A2264" s="321"/>
      <c r="B2264" s="318" t="s">
        <v>377</v>
      </c>
      <c r="C2264" s="158" t="s">
        <v>402</v>
      </c>
      <c r="D2264" s="158"/>
      <c r="E2264" s="158"/>
      <c r="F2264" s="158"/>
      <c r="G2264" s="158"/>
      <c r="H2264" s="158"/>
      <c r="I2264" s="158"/>
      <c r="J2264" s="158"/>
      <c r="K2264" s="158"/>
      <c r="L2264" s="158"/>
      <c r="M2264" s="158"/>
      <c r="N2264" s="158"/>
      <c r="O2264" s="158">
        <f>SUM(O2262:O2263)</f>
        <v>4446.4034260522194</v>
      </c>
    </row>
    <row r="2265" spans="1:15" ht="31.5" x14ac:dyDescent="0.35">
      <c r="A2265" s="323" t="str">
        <f>ORÇAMENTO!A379</f>
        <v>5.1.2.4.14</v>
      </c>
      <c r="B2265" s="322" t="str">
        <f>VLOOKUP(A2265,ORÇAMENTO!$A:$F,4,0)</f>
        <v>REATERRO COMPACTADO MECANICAMENTE EM CAMADAS DE 0,20 M COM APROVEITAMENTO DO MATERIAL ESCAVADO.</v>
      </c>
      <c r="C2265" s="149" t="str">
        <f>VLOOKUP(A2265,ORÇAMENTO!$A:$F,5,0)</f>
        <v>M³</v>
      </c>
      <c r="D2265" s="149">
        <f>SUM(E2270:O2270)</f>
        <v>7489.2038150000017</v>
      </c>
      <c r="E2265" s="149" t="s">
        <v>2149</v>
      </c>
      <c r="F2265" s="149" t="s">
        <v>2150</v>
      </c>
      <c r="G2265" s="149" t="s">
        <v>2151</v>
      </c>
      <c r="H2265" s="149" t="s">
        <v>2152</v>
      </c>
      <c r="I2265" s="149" t="s">
        <v>2153</v>
      </c>
      <c r="J2265" s="149" t="s">
        <v>2154</v>
      </c>
      <c r="K2265" s="149" t="s">
        <v>2155</v>
      </c>
      <c r="L2265" s="149" t="s">
        <v>2178</v>
      </c>
      <c r="M2265" s="149" t="s">
        <v>2160</v>
      </c>
      <c r="N2265" s="149" t="s">
        <v>2157</v>
      </c>
      <c r="O2265" s="149" t="s">
        <v>2158</v>
      </c>
    </row>
    <row r="2266" spans="1:15" x14ac:dyDescent="0.35">
      <c r="A2266" s="321"/>
      <c r="B2266" s="320" t="s">
        <v>2224</v>
      </c>
      <c r="C2266" s="160"/>
      <c r="D2266" s="161"/>
      <c r="E2266" s="161"/>
      <c r="F2266" s="161"/>
      <c r="G2266" s="161"/>
      <c r="H2266" s="161"/>
      <c r="I2266" s="161"/>
      <c r="J2266" s="161"/>
      <c r="K2266" s="161"/>
      <c r="L2266" s="161"/>
      <c r="M2266" s="161"/>
      <c r="N2266" s="161"/>
      <c r="O2266" s="161">
        <f>Quantitativos!BG106</f>
        <v>6386.6410510141286</v>
      </c>
    </row>
    <row r="2267" spans="1:15" ht="21" x14ac:dyDescent="0.35">
      <c r="A2267" s="321"/>
      <c r="B2267" s="320" t="s">
        <v>2225</v>
      </c>
      <c r="C2267" s="160"/>
      <c r="D2267" s="161"/>
      <c r="E2267" s="161"/>
      <c r="F2267" s="161"/>
      <c r="G2267" s="161"/>
      <c r="H2267" s="161"/>
      <c r="I2267" s="161"/>
      <c r="J2267" s="161"/>
      <c r="K2267" s="161"/>
      <c r="L2267" s="161"/>
      <c r="M2267" s="161"/>
      <c r="N2267" s="161"/>
      <c r="O2267" s="161">
        <f>Quantitativos!BJ106</f>
        <v>405.50516398587285</v>
      </c>
    </row>
    <row r="2268" spans="1:15" x14ac:dyDescent="0.35">
      <c r="A2268" s="321"/>
      <c r="B2268" s="320" t="s">
        <v>2226</v>
      </c>
      <c r="C2268" s="160"/>
      <c r="D2268" s="161"/>
      <c r="E2268" s="161"/>
      <c r="F2268" s="161"/>
      <c r="G2268" s="161"/>
      <c r="H2268" s="161"/>
      <c r="I2268" s="161"/>
      <c r="J2268" s="161"/>
      <c r="K2268" s="161"/>
      <c r="L2268" s="161"/>
      <c r="M2268" s="161"/>
      <c r="N2268" s="161"/>
      <c r="O2268" s="161">
        <f>Quantitativos!BK106</f>
        <v>0</v>
      </c>
    </row>
    <row r="2269" spans="1:15" x14ac:dyDescent="0.35">
      <c r="A2269" s="321"/>
      <c r="B2269" s="320" t="s">
        <v>2227</v>
      </c>
      <c r="C2269" s="160"/>
      <c r="D2269" s="161"/>
      <c r="E2269" s="161"/>
      <c r="F2269" s="161"/>
      <c r="G2269" s="161"/>
      <c r="H2269" s="161"/>
      <c r="I2269" s="161"/>
      <c r="J2269" s="161"/>
      <c r="K2269" s="161"/>
      <c r="L2269" s="161"/>
      <c r="M2269" s="161"/>
      <c r="N2269" s="161"/>
      <c r="O2269" s="161">
        <f>Quantitativos!AW106</f>
        <v>697.05759999999998</v>
      </c>
    </row>
    <row r="2270" spans="1:15" x14ac:dyDescent="0.35">
      <c r="A2270" s="321"/>
      <c r="B2270" s="318" t="s">
        <v>377</v>
      </c>
      <c r="C2270" s="158" t="s">
        <v>402</v>
      </c>
      <c r="D2270" s="158"/>
      <c r="E2270" s="158"/>
      <c r="F2270" s="158"/>
      <c r="G2270" s="158"/>
      <c r="H2270" s="158"/>
      <c r="I2270" s="158"/>
      <c r="J2270" s="158"/>
      <c r="K2270" s="158"/>
      <c r="L2270" s="158"/>
      <c r="M2270" s="158"/>
      <c r="N2270" s="158"/>
      <c r="O2270" s="158">
        <f>SUM(O2266:O2269)</f>
        <v>7489.2038150000017</v>
      </c>
    </row>
    <row r="2271" spans="1:15" ht="52.5" x14ac:dyDescent="0.35">
      <c r="A2271" s="323" t="str">
        <f>ORÇAMENTO!A380</f>
        <v>5.1.2.4.15</v>
      </c>
      <c r="B2271" s="322" t="str">
        <f>VLOOKUP(A2271,ORÇAMENTO!$A:$F,4,0)</f>
        <v>CARGA, MANOBRA E DESCARGA DE SOLOS E MATERIAIS GRANULARES EM CAMINHÃO BASCULANTE 14 M³ - CARGA COM ESCAVADEIRA HIDRÁULICA (CAÇAMBA DE 1,20 M³ / 155 HP) E DESCARGA LIVRE (UNIDADE: M3). AF_07/2020</v>
      </c>
      <c r="C2271" s="149" t="str">
        <f>VLOOKUP(A2271,ORÇAMENTO!$A:$F,5,0)</f>
        <v>M³</v>
      </c>
      <c r="D2271" s="149">
        <f>SUM(E2276:O2276)</f>
        <v>1088.0545639858728</v>
      </c>
      <c r="E2271" s="149" t="s">
        <v>2177</v>
      </c>
      <c r="F2271" s="149" t="s">
        <v>2150</v>
      </c>
      <c r="G2271" s="149" t="s">
        <v>2151</v>
      </c>
      <c r="H2271" s="149" t="s">
        <v>2152</v>
      </c>
      <c r="I2271" s="149" t="s">
        <v>2153</v>
      </c>
      <c r="J2271" s="149" t="s">
        <v>2154</v>
      </c>
      <c r="K2271" s="149" t="s">
        <v>2172</v>
      </c>
      <c r="L2271" s="149" t="s">
        <v>2178</v>
      </c>
      <c r="M2271" s="149" t="s">
        <v>2160</v>
      </c>
      <c r="N2271" s="149" t="s">
        <v>2157</v>
      </c>
      <c r="O2271" s="149" t="s">
        <v>2158</v>
      </c>
    </row>
    <row r="2272" spans="1:15" ht="21" x14ac:dyDescent="0.35">
      <c r="A2272" s="321"/>
      <c r="B2272" s="320" t="s">
        <v>2228</v>
      </c>
      <c r="C2272" s="160"/>
      <c r="D2272" s="161"/>
      <c r="E2272" s="161"/>
      <c r="F2272" s="161"/>
      <c r="G2272" s="161"/>
      <c r="H2272" s="161"/>
      <c r="I2272" s="161"/>
      <c r="J2272" s="161"/>
      <c r="K2272" s="161"/>
      <c r="L2272" s="171"/>
      <c r="M2272" s="161"/>
      <c r="N2272" s="161"/>
      <c r="O2272" s="161">
        <f>O2278+O2279+O2280</f>
        <v>405.50516398587285</v>
      </c>
    </row>
    <row r="2273" spans="1:15" ht="21" x14ac:dyDescent="0.35">
      <c r="A2273" s="321"/>
      <c r="B2273" s="320" t="s">
        <v>2229</v>
      </c>
      <c r="C2273" s="160"/>
      <c r="D2273" s="161"/>
      <c r="E2273" s="161"/>
      <c r="F2273" s="161"/>
      <c r="G2273" s="161"/>
      <c r="H2273" s="161"/>
      <c r="I2273" s="161"/>
      <c r="J2273" s="161"/>
      <c r="K2273" s="161"/>
      <c r="L2273" s="171"/>
      <c r="M2273" s="161"/>
      <c r="N2273" s="161"/>
      <c r="O2273" s="161">
        <f>O2207</f>
        <v>98.561900000000009</v>
      </c>
    </row>
    <row r="2274" spans="1:15" ht="31.5" x14ac:dyDescent="0.35">
      <c r="A2274" s="321"/>
      <c r="B2274" s="320" t="s">
        <v>2230</v>
      </c>
      <c r="C2274" s="160"/>
      <c r="D2274" s="161"/>
      <c r="E2274" s="161"/>
      <c r="F2274" s="161"/>
      <c r="G2274" s="161"/>
      <c r="H2274" s="161"/>
      <c r="I2274" s="161"/>
      <c r="J2274" s="161"/>
      <c r="K2274" s="161"/>
      <c r="L2274" s="171"/>
      <c r="M2274" s="161"/>
      <c r="N2274" s="161"/>
      <c r="O2274" s="161">
        <f>O2211</f>
        <v>583.98749999999995</v>
      </c>
    </row>
    <row r="2275" spans="1:15" x14ac:dyDescent="0.35">
      <c r="A2275" s="321"/>
      <c r="B2275" s="320"/>
      <c r="C2275" s="160"/>
      <c r="D2275" s="161"/>
      <c r="E2275" s="161"/>
      <c r="F2275" s="161"/>
      <c r="G2275" s="161"/>
      <c r="H2275" s="161"/>
      <c r="I2275" s="161"/>
      <c r="J2275" s="161"/>
      <c r="K2275" s="161"/>
      <c r="L2275" s="171"/>
      <c r="M2275" s="161"/>
      <c r="N2275" s="161"/>
      <c r="O2275" s="161"/>
    </row>
    <row r="2276" spans="1:15" x14ac:dyDescent="0.35">
      <c r="A2276" s="321"/>
      <c r="B2276" s="318" t="s">
        <v>377</v>
      </c>
      <c r="C2276" s="158" t="s">
        <v>402</v>
      </c>
      <c r="D2276" s="158"/>
      <c r="E2276" s="158"/>
      <c r="F2276" s="158"/>
      <c r="G2276" s="158"/>
      <c r="H2276" s="158"/>
      <c r="I2276" s="158"/>
      <c r="J2276" s="158"/>
      <c r="K2276" s="158"/>
      <c r="L2276" s="158"/>
      <c r="M2276" s="160"/>
      <c r="N2276" s="158"/>
      <c r="O2276" s="158">
        <f>SUM(O2272:O2275)</f>
        <v>1088.0545639858728</v>
      </c>
    </row>
    <row r="2277" spans="1:15" ht="31.5" x14ac:dyDescent="0.35">
      <c r="A2277" s="323" t="str">
        <f>ORÇAMENTO!A381</f>
        <v>5.1.2.4.16</v>
      </c>
      <c r="B2277" s="322" t="str">
        <f>VLOOKUP(A2277,ORÇAMENTO!$A:$F,4,0)</f>
        <v>TRANSPORTE COM CAMINHÃO BASCULANTE DE 14 M³, EM VIA URBANA PAVIMENTADA, DMT ATÉ 30 KM (UNIDADE: M3XKM). AF_07/2020</v>
      </c>
      <c r="C2277" s="149" t="str">
        <f>VLOOKUP(A2277,ORÇAMENTO!$A:$F,5,0)</f>
        <v>M3XKM</v>
      </c>
      <c r="D2277" s="149">
        <f>SUM(E2284:O2284)</f>
        <v>17554.365672797176</v>
      </c>
      <c r="E2277" s="149" t="s">
        <v>2174</v>
      </c>
      <c r="F2277" s="149" t="s">
        <v>2150</v>
      </c>
      <c r="G2277" s="149" t="s">
        <v>2151</v>
      </c>
      <c r="H2277" s="149" t="s">
        <v>2152</v>
      </c>
      <c r="I2277" s="149" t="s">
        <v>2153</v>
      </c>
      <c r="J2277" s="149" t="s">
        <v>2154</v>
      </c>
      <c r="K2277" s="149" t="s">
        <v>2155</v>
      </c>
      <c r="L2277" s="149" t="s">
        <v>2178</v>
      </c>
      <c r="M2277" s="149" t="s">
        <v>2175</v>
      </c>
      <c r="N2277" s="149" t="s">
        <v>2157</v>
      </c>
      <c r="O2277" s="149" t="s">
        <v>2158</v>
      </c>
    </row>
    <row r="2278" spans="1:15" ht="21" x14ac:dyDescent="0.35">
      <c r="A2278" s="321"/>
      <c r="B2278" s="320" t="s">
        <v>2231</v>
      </c>
      <c r="C2278" s="160"/>
      <c r="D2278" s="161"/>
      <c r="E2278" s="161">
        <v>0.2</v>
      </c>
      <c r="F2278" s="161"/>
      <c r="G2278" s="161"/>
      <c r="H2278" s="161"/>
      <c r="I2278" s="161"/>
      <c r="J2278" s="161"/>
      <c r="K2278" s="161"/>
      <c r="L2278" s="161"/>
      <c r="M2278" s="161">
        <f>O2278*E2278</f>
        <v>81.101032797174582</v>
      </c>
      <c r="N2278" s="161"/>
      <c r="O2278" s="161">
        <f>O2267</f>
        <v>405.50516398587285</v>
      </c>
    </row>
    <row r="2279" spans="1:15" ht="31.5" x14ac:dyDescent="0.35">
      <c r="A2279" s="321"/>
      <c r="B2279" s="320" t="s">
        <v>2232</v>
      </c>
      <c r="C2279" s="160"/>
      <c r="D2279" s="161"/>
      <c r="E2279" s="161">
        <v>0.2</v>
      </c>
      <c r="F2279" s="161"/>
      <c r="G2279" s="161"/>
      <c r="H2279" s="161"/>
      <c r="I2279" s="161"/>
      <c r="J2279" s="161"/>
      <c r="K2279" s="161"/>
      <c r="L2279" s="161"/>
      <c r="M2279" s="161">
        <f>O2279*E2279</f>
        <v>0</v>
      </c>
      <c r="N2279" s="161"/>
      <c r="O2279" s="161">
        <f>Quantitativos!AX106</f>
        <v>0</v>
      </c>
    </row>
    <row r="2280" spans="1:15" ht="31.5" x14ac:dyDescent="0.35">
      <c r="A2280" s="321"/>
      <c r="B2280" s="320" t="s">
        <v>2233</v>
      </c>
      <c r="C2280" s="160"/>
      <c r="D2280" s="161"/>
      <c r="E2280" s="161">
        <v>0.2</v>
      </c>
      <c r="F2280" s="161"/>
      <c r="G2280" s="161"/>
      <c r="H2280" s="161"/>
      <c r="I2280" s="161"/>
      <c r="J2280" s="161"/>
      <c r="K2280" s="161"/>
      <c r="L2280" s="161"/>
      <c r="M2280" s="161">
        <f>O2280*E2280</f>
        <v>0</v>
      </c>
      <c r="N2280" s="161"/>
      <c r="O2280" s="161">
        <f>Quantitativos!BA106</f>
        <v>0</v>
      </c>
    </row>
    <row r="2281" spans="1:15" ht="31.5" x14ac:dyDescent="0.35">
      <c r="A2281" s="321"/>
      <c r="B2281" s="320" t="s">
        <v>2234</v>
      </c>
      <c r="C2281" s="160"/>
      <c r="D2281" s="161"/>
      <c r="E2281" s="161">
        <v>25.6</v>
      </c>
      <c r="F2281" s="161"/>
      <c r="G2281" s="161"/>
      <c r="H2281" s="161"/>
      <c r="I2281" s="161"/>
      <c r="J2281" s="161"/>
      <c r="K2281" s="161"/>
      <c r="L2281" s="161"/>
      <c r="M2281" s="161">
        <f>O2281*E2281</f>
        <v>2523.1846400000004</v>
      </c>
      <c r="N2281" s="161"/>
      <c r="O2281" s="161">
        <f>O2273</f>
        <v>98.561900000000009</v>
      </c>
    </row>
    <row r="2282" spans="1:15" ht="31.5" x14ac:dyDescent="0.35">
      <c r="A2282" s="321"/>
      <c r="B2282" s="320" t="s">
        <v>2235</v>
      </c>
      <c r="C2282" s="160"/>
      <c r="D2282" s="161"/>
      <c r="E2282" s="161">
        <v>25.6</v>
      </c>
      <c r="F2282" s="161"/>
      <c r="G2282" s="161"/>
      <c r="H2282" s="161"/>
      <c r="I2282" s="161"/>
      <c r="J2282" s="161"/>
      <c r="K2282" s="161"/>
      <c r="L2282" s="161"/>
      <c r="M2282" s="161">
        <f>O2282*E2282</f>
        <v>14950.08</v>
      </c>
      <c r="N2282" s="161"/>
      <c r="O2282" s="161">
        <f>O2274</f>
        <v>583.98749999999995</v>
      </c>
    </row>
    <row r="2283" spans="1:15" x14ac:dyDescent="0.35">
      <c r="A2283" s="321"/>
      <c r="B2283" s="320"/>
      <c r="C2283" s="160"/>
      <c r="D2283" s="161"/>
      <c r="E2283" s="161"/>
      <c r="F2283" s="161"/>
      <c r="G2283" s="161"/>
      <c r="H2283" s="161"/>
      <c r="I2283" s="161"/>
      <c r="J2283" s="161"/>
      <c r="K2283" s="161"/>
      <c r="L2283" s="161"/>
      <c r="M2283" s="161"/>
      <c r="N2283" s="161"/>
      <c r="O2283" s="161"/>
    </row>
    <row r="2284" spans="1:15" x14ac:dyDescent="0.35">
      <c r="A2284" s="321"/>
      <c r="B2284" s="318" t="s">
        <v>377</v>
      </c>
      <c r="C2284" s="158" t="s">
        <v>402</v>
      </c>
      <c r="D2284" s="158"/>
      <c r="E2284" s="158"/>
      <c r="F2284" s="158"/>
      <c r="G2284" s="158"/>
      <c r="H2284" s="158"/>
      <c r="I2284" s="158"/>
      <c r="J2284" s="158"/>
      <c r="K2284" s="158"/>
      <c r="L2284" s="158"/>
      <c r="M2284" s="158">
        <f>SUM(M2278:M2283)</f>
        <v>17554.365672797176</v>
      </c>
      <c r="N2284" s="158"/>
      <c r="O2284" s="158"/>
    </row>
    <row r="2285" spans="1:15" ht="52.5" x14ac:dyDescent="0.35">
      <c r="A2285" s="323" t="str">
        <f>ORÇAMENTO!A382</f>
        <v>5.1.2.4.17</v>
      </c>
      <c r="B2285" s="322" t="str">
        <f>VLOOKUP(A2285,ORÇAMENTO!$A:$F,4,0)</f>
        <v>ASSENTAMENTO DE TUBO DE CONCRETO PARA REDES COLETORAS DE ÁGUAS PLUVIAIS, DIÂMETRO DE 400 MM, JUNTA RÍGIDA, INSTALADO EM LOCAL COM ALTO NÍVEL DE INTERFERÊNCIAS (NÃO INCLUI FORNECIMENTO). AF_03/2024</v>
      </c>
      <c r="C2285" s="149" t="str">
        <f>VLOOKUP(A2285,ORÇAMENTO!$A:$F,5,0)</f>
        <v>M</v>
      </c>
      <c r="D2285" s="149">
        <f>SUM(E2288:O2288)</f>
        <v>410.77</v>
      </c>
      <c r="E2285" s="149" t="s">
        <v>2149</v>
      </c>
      <c r="F2285" s="149" t="s">
        <v>2150</v>
      </c>
      <c r="G2285" s="149" t="s">
        <v>2151</v>
      </c>
      <c r="H2285" s="149" t="s">
        <v>2152</v>
      </c>
      <c r="I2285" s="149" t="s">
        <v>2153</v>
      </c>
      <c r="J2285" s="149" t="s">
        <v>2154</v>
      </c>
      <c r="K2285" s="149" t="s">
        <v>2155</v>
      </c>
      <c r="L2285" s="149" t="s">
        <v>2178</v>
      </c>
      <c r="M2285" s="149" t="s">
        <v>2160</v>
      </c>
      <c r="N2285" s="149" t="s">
        <v>2157</v>
      </c>
      <c r="O2285" s="149" t="s">
        <v>2158</v>
      </c>
    </row>
    <row r="2286" spans="1:15" x14ac:dyDescent="0.35">
      <c r="A2286" s="321"/>
      <c r="B2286" s="318"/>
      <c r="C2286" s="160"/>
      <c r="D2286" s="161"/>
      <c r="E2286" s="161">
        <f>Quantitativos!BO109</f>
        <v>410.77</v>
      </c>
      <c r="F2286" s="161"/>
      <c r="G2286" s="161"/>
      <c r="H2286" s="161"/>
      <c r="I2286" s="161"/>
      <c r="J2286" s="161"/>
      <c r="K2286" s="161"/>
      <c r="L2286" s="161"/>
      <c r="M2286" s="161"/>
      <c r="N2286" s="161"/>
      <c r="O2286" s="161"/>
    </row>
    <row r="2287" spans="1:15" x14ac:dyDescent="0.35">
      <c r="A2287" s="321"/>
      <c r="B2287" s="320"/>
      <c r="C2287" s="160"/>
      <c r="D2287" s="161"/>
      <c r="E2287" s="161"/>
      <c r="F2287" s="161"/>
      <c r="G2287" s="161"/>
      <c r="H2287" s="161"/>
      <c r="I2287" s="161"/>
      <c r="J2287" s="161"/>
      <c r="K2287" s="161"/>
      <c r="L2287" s="161"/>
      <c r="M2287" s="161"/>
      <c r="N2287" s="161"/>
      <c r="O2287" s="161"/>
    </row>
    <row r="2288" spans="1:15" x14ac:dyDescent="0.35">
      <c r="A2288" s="321"/>
      <c r="B2288" s="318" t="s">
        <v>377</v>
      </c>
      <c r="C2288" s="158" t="s">
        <v>402</v>
      </c>
      <c r="D2288" s="158"/>
      <c r="E2288" s="158">
        <f>SUM(E2286:E2287)</f>
        <v>410.77</v>
      </c>
      <c r="F2288" s="158"/>
      <c r="G2288" s="158"/>
      <c r="H2288" s="158"/>
      <c r="I2288" s="158"/>
      <c r="J2288" s="158"/>
      <c r="K2288" s="158"/>
      <c r="L2288" s="158"/>
      <c r="M2288" s="158"/>
      <c r="N2288" s="158"/>
      <c r="O2288" s="158"/>
    </row>
    <row r="2289" spans="1:15" ht="52.5" x14ac:dyDescent="0.35">
      <c r="A2289" s="323" t="str">
        <f>ORÇAMENTO!A383</f>
        <v>5.1.2.4.18</v>
      </c>
      <c r="B2289" s="322" t="str">
        <f>VLOOKUP(A2289,ORÇAMENTO!$A:$F,4,0)</f>
        <v>ASSENTAMENTO DE TUBO DE CONCRETO PARA REDES COLETORAS DE ÁGUAS PLUVIAIS, DIÂMETRO DE 600 MM, JUNTA RÍGIDA, INSTALADO EM LOCAL COM ALTO NÍVEL DE INTERFERÊNCIAS (NÃO INCLUI FORNECIMENTO). AF_03/2024</v>
      </c>
      <c r="C2289" s="149" t="str">
        <f>VLOOKUP(A2289,ORÇAMENTO!$A:$F,5,0)</f>
        <v>M</v>
      </c>
      <c r="D2289" s="149">
        <f>SUM(E2292:O2292)</f>
        <v>557.31000000000006</v>
      </c>
      <c r="E2289" s="149" t="s">
        <v>2149</v>
      </c>
      <c r="F2289" s="149" t="s">
        <v>2150</v>
      </c>
      <c r="G2289" s="149" t="s">
        <v>2151</v>
      </c>
      <c r="H2289" s="149" t="s">
        <v>2152</v>
      </c>
      <c r="I2289" s="149" t="s">
        <v>2153</v>
      </c>
      <c r="J2289" s="149" t="s">
        <v>2154</v>
      </c>
      <c r="K2289" s="149" t="s">
        <v>2155</v>
      </c>
      <c r="L2289" s="149" t="s">
        <v>2178</v>
      </c>
      <c r="M2289" s="149" t="s">
        <v>2160</v>
      </c>
      <c r="N2289" s="149" t="s">
        <v>2157</v>
      </c>
      <c r="O2289" s="149" t="s">
        <v>2158</v>
      </c>
    </row>
    <row r="2290" spans="1:15" x14ac:dyDescent="0.35">
      <c r="A2290" s="321"/>
      <c r="B2290" s="318"/>
      <c r="C2290" s="160"/>
      <c r="D2290" s="161"/>
      <c r="E2290" s="161">
        <f>Quantitativos!BU109</f>
        <v>557.31000000000006</v>
      </c>
      <c r="F2290" s="161"/>
      <c r="G2290" s="161"/>
      <c r="H2290" s="161"/>
      <c r="I2290" s="161"/>
      <c r="J2290" s="161"/>
      <c r="K2290" s="161"/>
      <c r="L2290" s="161"/>
      <c r="M2290" s="161"/>
      <c r="N2290" s="161"/>
      <c r="O2290" s="161"/>
    </row>
    <row r="2291" spans="1:15" x14ac:dyDescent="0.35">
      <c r="A2291" s="321"/>
      <c r="B2291" s="320"/>
      <c r="C2291" s="160"/>
      <c r="D2291" s="161"/>
      <c r="E2291" s="161"/>
      <c r="F2291" s="161"/>
      <c r="G2291" s="161"/>
      <c r="H2291" s="161"/>
      <c r="I2291" s="161"/>
      <c r="J2291" s="161"/>
      <c r="K2291" s="161"/>
      <c r="L2291" s="161"/>
      <c r="M2291" s="161"/>
      <c r="N2291" s="161"/>
      <c r="O2291" s="161"/>
    </row>
    <row r="2292" spans="1:15" x14ac:dyDescent="0.35">
      <c r="A2292" s="321"/>
      <c r="B2292" s="318" t="s">
        <v>377</v>
      </c>
      <c r="C2292" s="158" t="s">
        <v>402</v>
      </c>
      <c r="D2292" s="158"/>
      <c r="E2292" s="158">
        <f>SUM(E2290:E2291)</f>
        <v>557.31000000000006</v>
      </c>
      <c r="F2292" s="158"/>
      <c r="G2292" s="158"/>
      <c r="H2292" s="158"/>
      <c r="I2292" s="158"/>
      <c r="J2292" s="158"/>
      <c r="K2292" s="158"/>
      <c r="L2292" s="158"/>
      <c r="M2292" s="158"/>
      <c r="N2292" s="158"/>
      <c r="O2292" s="158"/>
    </row>
    <row r="2293" spans="1:15" ht="52.5" x14ac:dyDescent="0.35">
      <c r="A2293" s="323" t="str">
        <f>ORÇAMENTO!A384</f>
        <v>5.1.2.4.19</v>
      </c>
      <c r="B2293" s="322" t="str">
        <f>VLOOKUP(A2293,ORÇAMENTO!$A:$F,4,0)</f>
        <v>ASSENTAMENTO DE TUBO DE CONCRETO PARA REDES COLETORAS DE ÁGUAS PLUVIAIS, DIÂMETRO DE 800 MM, JUNTA RÍGIDA, INSTALADO EM LOCAL COM ALTO NÍVEL DE INTERFERÊNCIAS (NÃO INCLUI FORNECIMENTO). AF_03/2024</v>
      </c>
      <c r="C2293" s="149" t="str">
        <f>VLOOKUP(A2293,ORÇAMENTO!$A:$F,5,0)</f>
        <v>M</v>
      </c>
      <c r="D2293" s="149">
        <f>SUM(E2296:O2296)</f>
        <v>495.52999999999992</v>
      </c>
      <c r="E2293" s="149" t="s">
        <v>2149</v>
      </c>
      <c r="F2293" s="149" t="s">
        <v>2150</v>
      </c>
      <c r="G2293" s="149" t="s">
        <v>2151</v>
      </c>
      <c r="H2293" s="149" t="s">
        <v>2152</v>
      </c>
      <c r="I2293" s="149" t="s">
        <v>2153</v>
      </c>
      <c r="J2293" s="149" t="s">
        <v>2154</v>
      </c>
      <c r="K2293" s="149" t="s">
        <v>2155</v>
      </c>
      <c r="L2293" s="149" t="s">
        <v>2178</v>
      </c>
      <c r="M2293" s="149" t="s">
        <v>2160</v>
      </c>
      <c r="N2293" s="149" t="s">
        <v>2157</v>
      </c>
      <c r="O2293" s="149" t="s">
        <v>2158</v>
      </c>
    </row>
    <row r="2294" spans="1:15" x14ac:dyDescent="0.35">
      <c r="A2294" s="321"/>
      <c r="B2294" s="318"/>
      <c r="C2294" s="160"/>
      <c r="D2294" s="161"/>
      <c r="E2294" s="161">
        <f>Quantitativos!BY109</f>
        <v>495.52999999999992</v>
      </c>
      <c r="F2294" s="161"/>
      <c r="G2294" s="161"/>
      <c r="H2294" s="161"/>
      <c r="I2294" s="161"/>
      <c r="J2294" s="161"/>
      <c r="K2294" s="161"/>
      <c r="L2294" s="161"/>
      <c r="M2294" s="161"/>
      <c r="N2294" s="161"/>
      <c r="O2294" s="161"/>
    </row>
    <row r="2295" spans="1:15" x14ac:dyDescent="0.35">
      <c r="A2295" s="321"/>
      <c r="B2295" s="320"/>
      <c r="C2295" s="160"/>
      <c r="D2295" s="161"/>
      <c r="E2295" s="161"/>
      <c r="F2295" s="161"/>
      <c r="G2295" s="161"/>
      <c r="H2295" s="161"/>
      <c r="I2295" s="161"/>
      <c r="J2295" s="161"/>
      <c r="K2295" s="161"/>
      <c r="L2295" s="161"/>
      <c r="M2295" s="161"/>
      <c r="N2295" s="161"/>
      <c r="O2295" s="161"/>
    </row>
    <row r="2296" spans="1:15" x14ac:dyDescent="0.35">
      <c r="A2296" s="321"/>
      <c r="B2296" s="318" t="s">
        <v>377</v>
      </c>
      <c r="C2296" s="158" t="s">
        <v>402</v>
      </c>
      <c r="D2296" s="158"/>
      <c r="E2296" s="158">
        <f>SUM(E2294:E2295)</f>
        <v>495.52999999999992</v>
      </c>
      <c r="F2296" s="158"/>
      <c r="G2296" s="158"/>
      <c r="H2296" s="158"/>
      <c r="I2296" s="158"/>
      <c r="J2296" s="158"/>
      <c r="K2296" s="158"/>
      <c r="L2296" s="158"/>
      <c r="M2296" s="158"/>
      <c r="N2296" s="158"/>
      <c r="O2296" s="158"/>
    </row>
    <row r="2297" spans="1:15" ht="52.5" x14ac:dyDescent="0.35">
      <c r="A2297" s="323" t="str">
        <f>ORÇAMENTO!A385</f>
        <v>5.1.2.4.20</v>
      </c>
      <c r="B2297" s="322" t="str">
        <f>VLOOKUP(A2297,ORÇAMENTO!$A:$F,4,0)</f>
        <v>ASSENTAMENTO DE TUBO DE CONCRETO PARA REDES COLETORAS DE ÁGUAS PLUVIAIS, DIÂMETRO DE 1000 MM, JUNTA RÍGIDA, INSTALADO EM LOCAL COM ALTO NÍVEL DE INTERFERÊNCIAS (NÃO INCLUI FORNECIMENTO). AF_03/2024</v>
      </c>
      <c r="C2297" s="149" t="str">
        <f>VLOOKUP(A2297,ORÇAMENTO!$A:$F,5,0)</f>
        <v>M</v>
      </c>
      <c r="D2297" s="149">
        <f>SUM(E2300:O2300)</f>
        <v>382.63</v>
      </c>
      <c r="E2297" s="149" t="s">
        <v>2149</v>
      </c>
      <c r="F2297" s="149" t="s">
        <v>2150</v>
      </c>
      <c r="G2297" s="149" t="s">
        <v>2151</v>
      </c>
      <c r="H2297" s="149" t="s">
        <v>2152</v>
      </c>
      <c r="I2297" s="149" t="s">
        <v>2153</v>
      </c>
      <c r="J2297" s="149" t="s">
        <v>2154</v>
      </c>
      <c r="K2297" s="149" t="s">
        <v>2155</v>
      </c>
      <c r="L2297" s="149" t="s">
        <v>2178</v>
      </c>
      <c r="M2297" s="149" t="s">
        <v>2160</v>
      </c>
      <c r="N2297" s="149" t="s">
        <v>2157</v>
      </c>
      <c r="O2297" s="149" t="s">
        <v>2158</v>
      </c>
    </row>
    <row r="2298" spans="1:15" x14ac:dyDescent="0.35">
      <c r="A2298" s="321"/>
      <c r="B2298" s="318"/>
      <c r="C2298" s="160"/>
      <c r="D2298" s="161"/>
      <c r="E2298" s="161">
        <f>Quantitativos!CC109</f>
        <v>382.63</v>
      </c>
      <c r="F2298" s="161"/>
      <c r="G2298" s="161"/>
      <c r="H2298" s="161"/>
      <c r="I2298" s="161"/>
      <c r="J2298" s="161"/>
      <c r="K2298" s="161"/>
      <c r="L2298" s="161"/>
      <c r="M2298" s="161"/>
      <c r="N2298" s="161"/>
      <c r="O2298" s="161"/>
    </row>
    <row r="2299" spans="1:15" x14ac:dyDescent="0.35">
      <c r="A2299" s="321"/>
      <c r="B2299" s="320"/>
      <c r="C2299" s="160"/>
      <c r="D2299" s="161"/>
      <c r="E2299" s="161"/>
      <c r="F2299" s="161"/>
      <c r="G2299" s="161"/>
      <c r="H2299" s="161"/>
      <c r="I2299" s="161"/>
      <c r="J2299" s="161"/>
      <c r="K2299" s="161"/>
      <c r="L2299" s="161"/>
      <c r="M2299" s="161"/>
      <c r="N2299" s="161"/>
      <c r="O2299" s="161"/>
    </row>
    <row r="2300" spans="1:15" x14ac:dyDescent="0.35">
      <c r="A2300" s="321"/>
      <c r="B2300" s="318" t="s">
        <v>377</v>
      </c>
      <c r="C2300" s="158" t="s">
        <v>402</v>
      </c>
      <c r="D2300" s="158"/>
      <c r="E2300" s="158">
        <f>SUM(E2298:E2299)</f>
        <v>382.63</v>
      </c>
      <c r="F2300" s="158"/>
      <c r="G2300" s="158"/>
      <c r="H2300" s="158"/>
      <c r="I2300" s="158"/>
      <c r="J2300" s="158"/>
      <c r="K2300" s="158"/>
      <c r="L2300" s="158"/>
      <c r="M2300" s="158"/>
      <c r="N2300" s="158"/>
      <c r="O2300" s="158"/>
    </row>
    <row r="2301" spans="1:15" ht="52.5" x14ac:dyDescent="0.35">
      <c r="A2301" s="323" t="str">
        <f>ORÇAMENTO!A386</f>
        <v>5.1.2.4.21</v>
      </c>
      <c r="B2301" s="322" t="str">
        <f>VLOOKUP(A2301,ORÇAMENTO!$A:$F,4,0)</f>
        <v>ASSENTAMENTO DE TUBO DE CONCRETO PARA REDES COLETORAS DE ÁGUAS PLUVIAIS, DIÂMETRO DE 1200 MM, JUNTA RÍGIDA, INSTALADO EM LOCAL COM ALTO NÍVEL DE INTERFERÊNCIAS (NÃO INCLUI FORNECIMENTO). AF_03/2024</v>
      </c>
      <c r="C2301" s="149" t="str">
        <f>VLOOKUP(A2301,ORÇAMENTO!$A:$F,5,0)</f>
        <v>M</v>
      </c>
      <c r="D2301" s="149">
        <f>SUM(E2304:O2304)</f>
        <v>312.52</v>
      </c>
      <c r="E2301" s="149" t="s">
        <v>2149</v>
      </c>
      <c r="F2301" s="149" t="s">
        <v>2150</v>
      </c>
      <c r="G2301" s="149" t="s">
        <v>2151</v>
      </c>
      <c r="H2301" s="149" t="s">
        <v>2152</v>
      </c>
      <c r="I2301" s="149" t="s">
        <v>2153</v>
      </c>
      <c r="J2301" s="149" t="s">
        <v>2154</v>
      </c>
      <c r="K2301" s="149" t="s">
        <v>2155</v>
      </c>
      <c r="L2301" s="149" t="s">
        <v>2178</v>
      </c>
      <c r="M2301" s="149" t="s">
        <v>2160</v>
      </c>
      <c r="N2301" s="149" t="s">
        <v>2157</v>
      </c>
      <c r="O2301" s="149" t="s">
        <v>2158</v>
      </c>
    </row>
    <row r="2302" spans="1:15" x14ac:dyDescent="0.35">
      <c r="A2302" s="321"/>
      <c r="B2302" s="318"/>
      <c r="C2302" s="160"/>
      <c r="D2302" s="161"/>
      <c r="E2302" s="161">
        <f>Quantitativos!CG109</f>
        <v>312.52</v>
      </c>
      <c r="F2302" s="161"/>
      <c r="G2302" s="161"/>
      <c r="H2302" s="161"/>
      <c r="I2302" s="161"/>
      <c r="J2302" s="161"/>
      <c r="K2302" s="161"/>
      <c r="L2302" s="161"/>
      <c r="M2302" s="161"/>
      <c r="N2302" s="161"/>
      <c r="O2302" s="161"/>
    </row>
    <row r="2303" spans="1:15" x14ac:dyDescent="0.35">
      <c r="A2303" s="321"/>
      <c r="B2303" s="320"/>
      <c r="C2303" s="160"/>
      <c r="D2303" s="161"/>
      <c r="E2303" s="161"/>
      <c r="F2303" s="161"/>
      <c r="G2303" s="161"/>
      <c r="H2303" s="161"/>
      <c r="I2303" s="161"/>
      <c r="J2303" s="161"/>
      <c r="K2303" s="161"/>
      <c r="L2303" s="161"/>
      <c r="M2303" s="161"/>
      <c r="N2303" s="161"/>
      <c r="O2303" s="161"/>
    </row>
    <row r="2304" spans="1:15" x14ac:dyDescent="0.35">
      <c r="A2304" s="321"/>
      <c r="B2304" s="318" t="s">
        <v>377</v>
      </c>
      <c r="C2304" s="158" t="s">
        <v>402</v>
      </c>
      <c r="D2304" s="158"/>
      <c r="E2304" s="158">
        <f>SUM(E2302:E2303)</f>
        <v>312.52</v>
      </c>
      <c r="F2304" s="158"/>
      <c r="G2304" s="158"/>
      <c r="H2304" s="158"/>
      <c r="I2304" s="158"/>
      <c r="J2304" s="158"/>
      <c r="K2304" s="158"/>
      <c r="L2304" s="158"/>
      <c r="M2304" s="158"/>
      <c r="N2304" s="158"/>
      <c r="O2304" s="158"/>
    </row>
    <row r="2305" spans="1:15" ht="52.5" x14ac:dyDescent="0.35">
      <c r="A2305" s="323" t="str">
        <f>ORÇAMENTO!A387</f>
        <v>5.1.2.4.22</v>
      </c>
      <c r="B2305" s="322" t="str">
        <f>VLOOKUP(A2305,ORÇAMENTO!$A:$F,4,0)</f>
        <v>ASSENTAMENTO DE TUBO DE CONCRETO PARA REDES COLETORAS DE ÁGUAS PLUVIAIS, DIÂMETRO DE 1500 MM, JUNTA RÍGIDA, INSTALADO EM LOCAL COM ALTO NÍVEL DE INTERFERÊNCIAS (NÃO INCLUI FORNECIMENTO). AF_03/2024</v>
      </c>
      <c r="C2305" s="149" t="str">
        <f>VLOOKUP(A2305,ORÇAMENTO!$A:$F,5,0)</f>
        <v>M</v>
      </c>
      <c r="D2305" s="149">
        <f>SUM(E2308:O2308)</f>
        <v>218.81</v>
      </c>
      <c r="E2305" s="149" t="s">
        <v>2149</v>
      </c>
      <c r="F2305" s="149" t="s">
        <v>2150</v>
      </c>
      <c r="G2305" s="149" t="s">
        <v>2151</v>
      </c>
      <c r="H2305" s="149" t="s">
        <v>2152</v>
      </c>
      <c r="I2305" s="149" t="s">
        <v>2153</v>
      </c>
      <c r="J2305" s="149" t="s">
        <v>2154</v>
      </c>
      <c r="K2305" s="149" t="s">
        <v>2155</v>
      </c>
      <c r="L2305" s="149" t="s">
        <v>2178</v>
      </c>
      <c r="M2305" s="149" t="s">
        <v>2160</v>
      </c>
      <c r="N2305" s="149" t="s">
        <v>2157</v>
      </c>
      <c r="O2305" s="149" t="s">
        <v>2158</v>
      </c>
    </row>
    <row r="2306" spans="1:15" x14ac:dyDescent="0.35">
      <c r="A2306" s="321"/>
      <c r="B2306" s="318"/>
      <c r="C2306" s="160"/>
      <c r="D2306" s="161"/>
      <c r="E2306" s="161">
        <f>Quantitativos!CK109</f>
        <v>218.81</v>
      </c>
      <c r="F2306" s="161"/>
      <c r="G2306" s="161"/>
      <c r="H2306" s="161"/>
      <c r="I2306" s="161"/>
      <c r="J2306" s="161"/>
      <c r="K2306" s="161"/>
      <c r="L2306" s="161"/>
      <c r="M2306" s="161"/>
      <c r="N2306" s="161"/>
      <c r="O2306" s="161"/>
    </row>
    <row r="2307" spans="1:15" x14ac:dyDescent="0.35">
      <c r="A2307" s="321"/>
      <c r="B2307" s="320"/>
      <c r="C2307" s="160"/>
      <c r="D2307" s="161"/>
      <c r="E2307" s="161"/>
      <c r="F2307" s="161"/>
      <c r="G2307" s="161"/>
      <c r="H2307" s="161"/>
      <c r="I2307" s="161"/>
      <c r="J2307" s="161"/>
      <c r="K2307" s="161"/>
      <c r="L2307" s="161"/>
      <c r="M2307" s="161"/>
      <c r="N2307" s="161"/>
      <c r="O2307" s="161"/>
    </row>
    <row r="2308" spans="1:15" x14ac:dyDescent="0.35">
      <c r="A2308" s="321"/>
      <c r="B2308" s="318" t="s">
        <v>377</v>
      </c>
      <c r="C2308" s="158" t="s">
        <v>402</v>
      </c>
      <c r="D2308" s="158"/>
      <c r="E2308" s="158">
        <f>SUM(E2306:E2307)</f>
        <v>218.81</v>
      </c>
      <c r="F2308" s="158"/>
      <c r="G2308" s="158"/>
      <c r="H2308" s="158"/>
      <c r="I2308" s="158"/>
      <c r="J2308" s="158"/>
      <c r="K2308" s="158"/>
      <c r="L2308" s="158"/>
      <c r="M2308" s="158"/>
      <c r="N2308" s="158"/>
      <c r="O2308" s="158"/>
    </row>
    <row r="2309" spans="1:15" x14ac:dyDescent="0.35">
      <c r="A2309" s="323" t="str">
        <f>ORÇAMENTO!A388</f>
        <v>5.1.2.5</v>
      </c>
      <c r="B2309" s="322" t="str">
        <f>VLOOKUP(A2309,ORÇAMENTO!$A:$F,4,0)</f>
        <v>FORNECIMENTO DE TUBOS</v>
      </c>
      <c r="C2309" s="149"/>
      <c r="D2309" s="149"/>
      <c r="E2309" s="149"/>
      <c r="F2309" s="149"/>
      <c r="G2309" s="149"/>
      <c r="H2309" s="149"/>
      <c r="I2309" s="149"/>
      <c r="J2309" s="149"/>
      <c r="K2309" s="149"/>
      <c r="L2309" s="149"/>
      <c r="M2309" s="149"/>
      <c r="N2309" s="149"/>
      <c r="O2309" s="149"/>
    </row>
    <row r="2310" spans="1:15" ht="42" x14ac:dyDescent="0.35">
      <c r="A2310" s="323" t="str">
        <f>ORÇAMENTO!A389</f>
        <v>5.1.2.5.1</v>
      </c>
      <c r="B2310" s="322" t="str">
        <f>VLOOKUP(A2310,ORÇAMENTO!$A:$F,4,0)</f>
        <v>TRANSPORTE COM CAMINHÃO CARROCERIA COM GUINDAUTO (MUNCK),  MOMENTO MÁXIMO DE CARGA 11,7 TM, EM VIA URBANA PAVIMENTADA, DMT ATÉ 30KM (UNIDADE: TXKM). AF_07/2020</v>
      </c>
      <c r="C2310" s="149" t="str">
        <f>VLOOKUP(A2310,ORÇAMENTO!$A:$F,5,0)</f>
        <v>TXKM</v>
      </c>
      <c r="D2310" s="149">
        <f>SUM(E2313:O2313)</f>
        <v>72742.615239999999</v>
      </c>
      <c r="E2310" s="149" t="s">
        <v>2174</v>
      </c>
      <c r="F2310" s="149" t="s">
        <v>2150</v>
      </c>
      <c r="G2310" s="149" t="s">
        <v>2151</v>
      </c>
      <c r="H2310" s="149" t="s">
        <v>2152</v>
      </c>
      <c r="I2310" s="149" t="s">
        <v>2153</v>
      </c>
      <c r="J2310" s="149" t="s">
        <v>2154</v>
      </c>
      <c r="K2310" s="149" t="s">
        <v>2172</v>
      </c>
      <c r="L2310" s="149" t="s">
        <v>2236</v>
      </c>
      <c r="M2310" s="149" t="s">
        <v>2160</v>
      </c>
      <c r="N2310" s="149" t="s">
        <v>2157</v>
      </c>
      <c r="O2310" s="149" t="s">
        <v>2158</v>
      </c>
    </row>
    <row r="2311" spans="1:15" ht="21" x14ac:dyDescent="0.35">
      <c r="A2311" s="321"/>
      <c r="B2311" s="318" t="s">
        <v>2237</v>
      </c>
      <c r="C2311" s="160"/>
      <c r="D2311" s="161"/>
      <c r="E2311" s="161">
        <v>40</v>
      </c>
      <c r="F2311" s="161"/>
      <c r="G2311" s="161"/>
      <c r="H2311" s="161"/>
      <c r="I2311" s="161"/>
      <c r="J2311" s="161"/>
      <c r="K2311" s="161">
        <f>K2317+K2329+K2337+K2349+K2361+K2369</f>
        <v>1818.5653809999999</v>
      </c>
      <c r="L2311" s="161"/>
      <c r="M2311" s="161">
        <f>K2311*E2311</f>
        <v>72742.615239999999</v>
      </c>
      <c r="N2311" s="161"/>
      <c r="O2311" s="161"/>
    </row>
    <row r="2312" spans="1:15" x14ac:dyDescent="0.35">
      <c r="A2312" s="321"/>
      <c r="B2312" s="320"/>
      <c r="C2312" s="160"/>
      <c r="D2312" s="161"/>
      <c r="E2312" s="161"/>
      <c r="F2312" s="161"/>
      <c r="G2312" s="161"/>
      <c r="H2312" s="161"/>
      <c r="I2312" s="161"/>
      <c r="J2312" s="161"/>
      <c r="K2312" s="161"/>
      <c r="L2312" s="161"/>
      <c r="M2312" s="161"/>
      <c r="N2312" s="161"/>
      <c r="O2312" s="161"/>
    </row>
    <row r="2313" spans="1:15" x14ac:dyDescent="0.35">
      <c r="A2313" s="321"/>
      <c r="B2313" s="318" t="s">
        <v>377</v>
      </c>
      <c r="C2313" s="158" t="s">
        <v>402</v>
      </c>
      <c r="D2313" s="158"/>
      <c r="E2313" s="158"/>
      <c r="F2313" s="158"/>
      <c r="G2313" s="158"/>
      <c r="H2313" s="158"/>
      <c r="I2313" s="158"/>
      <c r="J2313" s="158"/>
      <c r="K2313" s="158"/>
      <c r="L2313" s="158"/>
      <c r="M2313" s="158">
        <f>SUM(M2311:M2312)</f>
        <v>72742.615239999999</v>
      </c>
      <c r="N2313" s="158"/>
      <c r="O2313" s="158">
        <f>SUM(O2312:O2312)</f>
        <v>0</v>
      </c>
    </row>
    <row r="2314" spans="1:15" ht="42" x14ac:dyDescent="0.35">
      <c r="A2314" s="323" t="str">
        <f>ORÇAMENTO!A390</f>
        <v>5.1.2.5.2</v>
      </c>
      <c r="B2314" s="322" t="str">
        <f>VLOOKUP(A2314,ORÇAMENTO!$A:$F,4,0)</f>
        <v>CARGA, MANOBRA E DESCARGA DE TUBOS DE CONCRETO, DN 400 MM, EM CAMINHÃO CARROCERIA COM GUINDAUTO (MUNCK) 11,7 TM. AF_07/2020</v>
      </c>
      <c r="C2314" s="149" t="str">
        <f>VLOOKUP(A2314,ORÇAMENTO!$A:$F,5,0)</f>
        <v>T</v>
      </c>
      <c r="D2314" s="149">
        <f>SUM(E2317:O2317)</f>
        <v>93.655559999999994</v>
      </c>
      <c r="E2314" s="149" t="s">
        <v>2149</v>
      </c>
      <c r="F2314" s="149" t="s">
        <v>2150</v>
      </c>
      <c r="G2314" s="149" t="s">
        <v>2151</v>
      </c>
      <c r="H2314" s="149" t="s">
        <v>2152</v>
      </c>
      <c r="I2314" s="149" t="s">
        <v>2153</v>
      </c>
      <c r="J2314" s="149" t="s">
        <v>2154</v>
      </c>
      <c r="K2314" s="149" t="s">
        <v>2172</v>
      </c>
      <c r="L2314" s="149" t="s">
        <v>2236</v>
      </c>
      <c r="M2314" s="149" t="s">
        <v>2160</v>
      </c>
      <c r="N2314" s="149" t="s">
        <v>2157</v>
      </c>
      <c r="O2314" s="149" t="s">
        <v>2158</v>
      </c>
    </row>
    <row r="2315" spans="1:15" ht="31.5" x14ac:dyDescent="0.35">
      <c r="A2315" s="321"/>
      <c r="B2315" s="318" t="s">
        <v>2238</v>
      </c>
      <c r="C2315" s="160"/>
      <c r="D2315" s="161"/>
      <c r="E2315" s="161">
        <f>E2319+E2323</f>
        <v>410.77</v>
      </c>
      <c r="F2315" s="161"/>
      <c r="G2315" s="161"/>
      <c r="H2315" s="161"/>
      <c r="I2315" s="161"/>
      <c r="J2315" s="161"/>
      <c r="K2315" s="161">
        <f>L2315*E2315</f>
        <v>93.655559999999994</v>
      </c>
      <c r="L2315" s="161">
        <v>0.22800000000000001</v>
      </c>
      <c r="M2315" s="161"/>
      <c r="N2315" s="161"/>
      <c r="O2315" s="161"/>
    </row>
    <row r="2316" spans="1:15" x14ac:dyDescent="0.35">
      <c r="A2316" s="321"/>
      <c r="B2316" s="320"/>
      <c r="C2316" s="160"/>
      <c r="D2316" s="161"/>
      <c r="E2316" s="161"/>
      <c r="F2316" s="161"/>
      <c r="G2316" s="161"/>
      <c r="H2316" s="161"/>
      <c r="I2316" s="161"/>
      <c r="J2316" s="161"/>
      <c r="K2316" s="161"/>
      <c r="L2316" s="161"/>
      <c r="M2316" s="161"/>
      <c r="N2316" s="161"/>
      <c r="O2316" s="161"/>
    </row>
    <row r="2317" spans="1:15" x14ac:dyDescent="0.35">
      <c r="A2317" s="321"/>
      <c r="B2317" s="318" t="s">
        <v>377</v>
      </c>
      <c r="C2317" s="158" t="s">
        <v>402</v>
      </c>
      <c r="D2317" s="158"/>
      <c r="E2317" s="158"/>
      <c r="F2317" s="158"/>
      <c r="G2317" s="158"/>
      <c r="H2317" s="158"/>
      <c r="I2317" s="158"/>
      <c r="J2317" s="158"/>
      <c r="K2317" s="158">
        <f>SUM(K2315:K2316)</f>
        <v>93.655559999999994</v>
      </c>
      <c r="L2317" s="158"/>
      <c r="M2317" s="158"/>
      <c r="N2317" s="158"/>
      <c r="O2317" s="158">
        <f>SUM(O2316:O2316)</f>
        <v>0</v>
      </c>
    </row>
    <row r="2318" spans="1:15" ht="31.5" x14ac:dyDescent="0.35">
      <c r="A2318" s="323" t="str">
        <f>ORÇAMENTO!A391</f>
        <v>5.1.2.5.3</v>
      </c>
      <c r="B2318" s="322" t="str">
        <f>VLOOKUP(A2318,ORÇAMENTO!$A:$F,4,0)</f>
        <v>TUBO DE CONCRETO SIMPLES PARA AGUAS PLUVIAIS, CLASSE PS1, COM ENCAIXE PONTA E BOLSA, DIAMETRO NOMINAL DE 400 MM</v>
      </c>
      <c r="C2318" s="149" t="str">
        <f>VLOOKUP(A2318,ORÇAMENTO!$A:$F,5,0)</f>
        <v>M</v>
      </c>
      <c r="D2318" s="149">
        <f>SUM(E2321:O2321)</f>
        <v>275.74</v>
      </c>
      <c r="E2318" s="149" t="s">
        <v>2149</v>
      </c>
      <c r="F2318" s="149" t="s">
        <v>2150</v>
      </c>
      <c r="G2318" s="149" t="s">
        <v>2151</v>
      </c>
      <c r="H2318" s="149" t="s">
        <v>2152</v>
      </c>
      <c r="I2318" s="149" t="s">
        <v>2153</v>
      </c>
      <c r="J2318" s="149" t="s">
        <v>2154</v>
      </c>
      <c r="K2318" s="149" t="s">
        <v>2172</v>
      </c>
      <c r="L2318" s="149" t="s">
        <v>2236</v>
      </c>
      <c r="M2318" s="149" t="s">
        <v>2160</v>
      </c>
      <c r="N2318" s="149" t="s">
        <v>2157</v>
      </c>
      <c r="O2318" s="149" t="s">
        <v>2158</v>
      </c>
    </row>
    <row r="2319" spans="1:15" x14ac:dyDescent="0.35">
      <c r="A2319" s="321"/>
      <c r="B2319" s="318"/>
      <c r="C2319" s="153"/>
      <c r="D2319" s="154"/>
      <c r="E2319" s="154">
        <f>Quantitativos!BO108</f>
        <v>275.74</v>
      </c>
      <c r="F2319" s="154"/>
      <c r="G2319" s="154"/>
      <c r="H2319" s="154"/>
      <c r="I2319" s="154"/>
      <c r="J2319" s="154"/>
      <c r="K2319" s="154"/>
      <c r="L2319" s="154"/>
      <c r="M2319" s="154"/>
      <c r="N2319" s="154"/>
      <c r="O2319" s="154"/>
    </row>
    <row r="2320" spans="1:15" x14ac:dyDescent="0.35">
      <c r="A2320" s="321"/>
      <c r="B2320" s="320"/>
      <c r="C2320" s="153"/>
      <c r="D2320" s="154"/>
      <c r="E2320" s="154"/>
      <c r="F2320" s="154"/>
      <c r="G2320" s="154"/>
      <c r="H2320" s="154"/>
      <c r="I2320" s="154"/>
      <c r="J2320" s="154"/>
      <c r="K2320" s="154"/>
      <c r="L2320" s="154"/>
      <c r="M2320" s="154"/>
      <c r="N2320" s="154"/>
      <c r="O2320" s="154"/>
    </row>
    <row r="2321" spans="1:15" x14ac:dyDescent="0.35">
      <c r="A2321" s="321"/>
      <c r="B2321" s="318" t="s">
        <v>377</v>
      </c>
      <c r="C2321" s="158" t="s">
        <v>402</v>
      </c>
      <c r="D2321" s="158"/>
      <c r="E2321" s="158">
        <f>SUM(E2319:E2320)</f>
        <v>275.74</v>
      </c>
      <c r="F2321" s="158"/>
      <c r="G2321" s="158"/>
      <c r="H2321" s="158"/>
      <c r="I2321" s="158"/>
      <c r="J2321" s="158"/>
      <c r="K2321" s="158"/>
      <c r="L2321" s="158"/>
      <c r="M2321" s="158"/>
      <c r="N2321" s="158"/>
      <c r="O2321" s="158"/>
    </row>
    <row r="2322" spans="1:15" ht="31.5" x14ac:dyDescent="0.35">
      <c r="A2322" s="323" t="str">
        <f>ORÇAMENTO!A392</f>
        <v>5.1.2.5.4</v>
      </c>
      <c r="B2322" s="322" t="str">
        <f>VLOOKUP(A2322,ORÇAMENTO!$A:$F,4,0)</f>
        <v>TUBO DE CONCRETO SIMPLES PARA AGUAS PLUVIAIS, CLASSE PS2, COM ENCAIXE PONTA E BOLSA, DIAMETRO NOMINAL DE 400 MM</v>
      </c>
      <c r="C2322" s="149" t="str">
        <f>VLOOKUP(A2322,ORÇAMENTO!$A:$F,5,0)</f>
        <v>M</v>
      </c>
      <c r="D2322" s="149">
        <f>SUM(E2325:O2325)</f>
        <v>135.03</v>
      </c>
      <c r="E2322" s="149" t="s">
        <v>2149</v>
      </c>
      <c r="F2322" s="149" t="s">
        <v>2150</v>
      </c>
      <c r="G2322" s="149" t="s">
        <v>2151</v>
      </c>
      <c r="H2322" s="149" t="s">
        <v>2152</v>
      </c>
      <c r="I2322" s="149" t="s">
        <v>2153</v>
      </c>
      <c r="J2322" s="149" t="s">
        <v>2154</v>
      </c>
      <c r="K2322" s="149" t="s">
        <v>2172</v>
      </c>
      <c r="L2322" s="149" t="s">
        <v>2236</v>
      </c>
      <c r="M2322" s="149" t="s">
        <v>2160</v>
      </c>
      <c r="N2322" s="149" t="s">
        <v>2157</v>
      </c>
      <c r="O2322" s="149" t="s">
        <v>2158</v>
      </c>
    </row>
    <row r="2323" spans="1:15" x14ac:dyDescent="0.35">
      <c r="A2323" s="321"/>
      <c r="B2323" s="318"/>
      <c r="C2323" s="153"/>
      <c r="D2323" s="154"/>
      <c r="E2323" s="154">
        <f>Quantitativos!BP108</f>
        <v>135.03</v>
      </c>
      <c r="F2323" s="154"/>
      <c r="G2323" s="154"/>
      <c r="H2323" s="154"/>
      <c r="I2323" s="154"/>
      <c r="J2323" s="154"/>
      <c r="K2323" s="154"/>
      <c r="L2323" s="154"/>
      <c r="M2323" s="154"/>
      <c r="N2323" s="154"/>
      <c r="O2323" s="154"/>
    </row>
    <row r="2324" spans="1:15" x14ac:dyDescent="0.35">
      <c r="A2324" s="321"/>
      <c r="B2324" s="320"/>
      <c r="C2324" s="153"/>
      <c r="D2324" s="154"/>
      <c r="E2324" s="154"/>
      <c r="F2324" s="154"/>
      <c r="G2324" s="154"/>
      <c r="H2324" s="154"/>
      <c r="I2324" s="154"/>
      <c r="J2324" s="154"/>
      <c r="K2324" s="154"/>
      <c r="L2324" s="154"/>
      <c r="M2324" s="154"/>
      <c r="N2324" s="154"/>
      <c r="O2324" s="154"/>
    </row>
    <row r="2325" spans="1:15" x14ac:dyDescent="0.35">
      <c r="A2325" s="321"/>
      <c r="B2325" s="318" t="s">
        <v>377</v>
      </c>
      <c r="C2325" s="158" t="s">
        <v>402</v>
      </c>
      <c r="D2325" s="158"/>
      <c r="E2325" s="158">
        <f>SUM(E2323:E2324)</f>
        <v>135.03</v>
      </c>
      <c r="F2325" s="158"/>
      <c r="G2325" s="158"/>
      <c r="H2325" s="158"/>
      <c r="I2325" s="158"/>
      <c r="J2325" s="158"/>
      <c r="K2325" s="158"/>
      <c r="L2325" s="158"/>
      <c r="M2325" s="158"/>
      <c r="N2325" s="158"/>
      <c r="O2325" s="158"/>
    </row>
    <row r="2326" spans="1:15" ht="42" x14ac:dyDescent="0.35">
      <c r="A2326" s="323" t="str">
        <f>ORÇAMENTO!A393</f>
        <v>5.1.2.5.5</v>
      </c>
      <c r="B2326" s="322" t="str">
        <f>VLOOKUP(A2326,ORÇAMENTO!$A:$F,4,0)</f>
        <v>CARGA, MANOBRA E DESCARGA DE TUBOS DE CONCRETO, DN 600 MM, EM CAMINHÃO CARROCERIA COM GUINDAUTO (MUNCK) 11,7 TM. AF_07/2020</v>
      </c>
      <c r="C2326" s="149" t="str">
        <f>VLOOKUP(A2326,ORÇAMENTO!$A:$F,5,0)</f>
        <v>T</v>
      </c>
      <c r="D2326" s="149">
        <f>SUM(E2329:O2329)</f>
        <v>245.21640000000002</v>
      </c>
      <c r="E2326" s="149" t="s">
        <v>2149</v>
      </c>
      <c r="F2326" s="149" t="s">
        <v>2150</v>
      </c>
      <c r="G2326" s="149" t="s">
        <v>2151</v>
      </c>
      <c r="H2326" s="149" t="s">
        <v>2152</v>
      </c>
      <c r="I2326" s="149" t="s">
        <v>2153</v>
      </c>
      <c r="J2326" s="149" t="s">
        <v>2154</v>
      </c>
      <c r="K2326" s="149" t="s">
        <v>2172</v>
      </c>
      <c r="L2326" s="149" t="s">
        <v>2236</v>
      </c>
      <c r="M2326" s="149" t="s">
        <v>2160</v>
      </c>
      <c r="N2326" s="149" t="s">
        <v>2157</v>
      </c>
      <c r="O2326" s="149" t="s">
        <v>2158</v>
      </c>
    </row>
    <row r="2327" spans="1:15" ht="31.5" x14ac:dyDescent="0.35">
      <c r="A2327" s="321"/>
      <c r="B2327" s="318" t="s">
        <v>2238</v>
      </c>
      <c r="C2327" s="160"/>
      <c r="D2327" s="161"/>
      <c r="E2327" s="161">
        <f>E2331</f>
        <v>557.31000000000006</v>
      </c>
      <c r="F2327" s="161"/>
      <c r="G2327" s="161"/>
      <c r="H2327" s="161"/>
      <c r="I2327" s="161"/>
      <c r="J2327" s="161"/>
      <c r="K2327" s="161">
        <f>L2327*E2327</f>
        <v>245.21640000000002</v>
      </c>
      <c r="L2327" s="161">
        <v>0.44</v>
      </c>
      <c r="M2327" s="161"/>
      <c r="N2327" s="161"/>
      <c r="O2327" s="161"/>
    </row>
    <row r="2328" spans="1:15" x14ac:dyDescent="0.35">
      <c r="A2328" s="321"/>
      <c r="B2328" s="320"/>
      <c r="C2328" s="160"/>
      <c r="D2328" s="161"/>
      <c r="E2328" s="161"/>
      <c r="F2328" s="161"/>
      <c r="G2328" s="161"/>
      <c r="H2328" s="161"/>
      <c r="I2328" s="161"/>
      <c r="J2328" s="161"/>
      <c r="K2328" s="161"/>
      <c r="L2328" s="161"/>
      <c r="M2328" s="161"/>
      <c r="N2328" s="161"/>
      <c r="O2328" s="161"/>
    </row>
    <row r="2329" spans="1:15" x14ac:dyDescent="0.35">
      <c r="A2329" s="321"/>
      <c r="B2329" s="318" t="s">
        <v>377</v>
      </c>
      <c r="C2329" s="158" t="s">
        <v>402</v>
      </c>
      <c r="D2329" s="158"/>
      <c r="E2329" s="158"/>
      <c r="F2329" s="158"/>
      <c r="G2329" s="158"/>
      <c r="H2329" s="158"/>
      <c r="I2329" s="158"/>
      <c r="J2329" s="158"/>
      <c r="K2329" s="158">
        <f>SUM(K2327:K2328)</f>
        <v>245.21640000000002</v>
      </c>
      <c r="L2329" s="158"/>
      <c r="M2329" s="158"/>
      <c r="N2329" s="158"/>
      <c r="O2329" s="158">
        <f>SUM(O2328:O2328)</f>
        <v>0</v>
      </c>
    </row>
    <row r="2330" spans="1:15" ht="31.5" x14ac:dyDescent="0.35">
      <c r="A2330" s="323" t="str">
        <f>ORÇAMENTO!A394</f>
        <v>5.1.2.5.6</v>
      </c>
      <c r="B2330" s="322" t="str">
        <f>VLOOKUP(A2330,ORÇAMENTO!$A:$F,4,0)</f>
        <v>TUBO DE CONCRETO ARMADO PARA AGUAS PLUVIAIS, CLASSE PA-1, COM ENCAIXE PONTA E BOLSA, DIAMETRO NOMINAL DE = 600 MM</v>
      </c>
      <c r="C2330" s="149" t="str">
        <f>VLOOKUP(A2330,ORÇAMENTO!$A:$F,5,0)</f>
        <v>M</v>
      </c>
      <c r="D2330" s="149">
        <f>SUM(E2333:O2333)</f>
        <v>557.31000000000006</v>
      </c>
      <c r="E2330" s="149" t="s">
        <v>2149</v>
      </c>
      <c r="F2330" s="149" t="s">
        <v>2150</v>
      </c>
      <c r="G2330" s="149" t="s">
        <v>2151</v>
      </c>
      <c r="H2330" s="149" t="s">
        <v>2152</v>
      </c>
      <c r="I2330" s="149" t="s">
        <v>2153</v>
      </c>
      <c r="J2330" s="149" t="s">
        <v>2154</v>
      </c>
      <c r="K2330" s="149" t="s">
        <v>2172</v>
      </c>
      <c r="L2330" s="149" t="s">
        <v>2236</v>
      </c>
      <c r="M2330" s="149" t="s">
        <v>2160</v>
      </c>
      <c r="N2330" s="149" t="s">
        <v>2157</v>
      </c>
      <c r="O2330" s="149" t="s">
        <v>2158</v>
      </c>
    </row>
    <row r="2331" spans="1:15" x14ac:dyDescent="0.35">
      <c r="A2331" s="321"/>
      <c r="B2331" s="318"/>
      <c r="C2331" s="153"/>
      <c r="D2331" s="154"/>
      <c r="E2331" s="154">
        <f>Quantitativos!BU108</f>
        <v>557.31000000000006</v>
      </c>
      <c r="F2331" s="154"/>
      <c r="G2331" s="154"/>
      <c r="H2331" s="154"/>
      <c r="I2331" s="154"/>
      <c r="J2331" s="154"/>
      <c r="K2331" s="154"/>
      <c r="L2331" s="154"/>
      <c r="M2331" s="154"/>
      <c r="N2331" s="154"/>
      <c r="O2331" s="154"/>
    </row>
    <row r="2332" spans="1:15" x14ac:dyDescent="0.35">
      <c r="A2332" s="321"/>
      <c r="B2332" s="320"/>
      <c r="C2332" s="153"/>
      <c r="D2332" s="154"/>
      <c r="E2332" s="154"/>
      <c r="F2332" s="154"/>
      <c r="G2332" s="154"/>
      <c r="H2332" s="154"/>
      <c r="I2332" s="154"/>
      <c r="J2332" s="154"/>
      <c r="K2332" s="154"/>
      <c r="L2332" s="154"/>
      <c r="M2332" s="154"/>
      <c r="N2332" s="154"/>
      <c r="O2332" s="154"/>
    </row>
    <row r="2333" spans="1:15" x14ac:dyDescent="0.35">
      <c r="A2333" s="321"/>
      <c r="B2333" s="318" t="s">
        <v>377</v>
      </c>
      <c r="C2333" s="158" t="s">
        <v>402</v>
      </c>
      <c r="D2333" s="158"/>
      <c r="E2333" s="158">
        <f>SUM(E2331:E2332)</f>
        <v>557.31000000000006</v>
      </c>
      <c r="F2333" s="158"/>
      <c r="G2333" s="158"/>
      <c r="H2333" s="158"/>
      <c r="I2333" s="158"/>
      <c r="J2333" s="158"/>
      <c r="K2333" s="158"/>
      <c r="L2333" s="158"/>
      <c r="M2333" s="158"/>
      <c r="N2333" s="158"/>
      <c r="O2333" s="158"/>
    </row>
    <row r="2334" spans="1:15" ht="42" x14ac:dyDescent="0.35">
      <c r="A2334" s="323" t="str">
        <f>ORÇAMENTO!A395</f>
        <v>5.1.2.5.7</v>
      </c>
      <c r="B2334" s="322" t="str">
        <f>VLOOKUP(A2334,ORÇAMENTO!$A:$F,4,0)</f>
        <v>CARGA, MANOBRA E DESCARGA DE TUBOS DE CONCRETO, DN 800 MM, EM CAMINHÃO CARROCERIA COM GUINDAUTO (MUNCK) 11,7 TM. AF_07/2020</v>
      </c>
      <c r="C2334" s="149" t="str">
        <f>VLOOKUP(A2334,ORÇAMENTO!$A:$F,5,0)</f>
        <v>T</v>
      </c>
      <c r="D2334" s="149">
        <f>SUM(E2337:O2337)</f>
        <v>346.87099999999992</v>
      </c>
      <c r="E2334" s="149" t="s">
        <v>2149</v>
      </c>
      <c r="F2334" s="149" t="s">
        <v>2150</v>
      </c>
      <c r="G2334" s="149" t="s">
        <v>2151</v>
      </c>
      <c r="H2334" s="149" t="s">
        <v>2152</v>
      </c>
      <c r="I2334" s="149" t="s">
        <v>2153</v>
      </c>
      <c r="J2334" s="149" t="s">
        <v>2154</v>
      </c>
      <c r="K2334" s="149" t="s">
        <v>2172</v>
      </c>
      <c r="L2334" s="149" t="s">
        <v>2236</v>
      </c>
      <c r="M2334" s="149" t="s">
        <v>2160</v>
      </c>
      <c r="N2334" s="149" t="s">
        <v>2157</v>
      </c>
      <c r="O2334" s="149" t="s">
        <v>2158</v>
      </c>
    </row>
    <row r="2335" spans="1:15" ht="31.5" x14ac:dyDescent="0.35">
      <c r="A2335" s="321"/>
      <c r="B2335" s="318" t="s">
        <v>2238</v>
      </c>
      <c r="C2335" s="160"/>
      <c r="D2335" s="161"/>
      <c r="E2335" s="161">
        <f>E2339+E2343</f>
        <v>495.52999999999992</v>
      </c>
      <c r="F2335" s="161"/>
      <c r="G2335" s="161"/>
      <c r="H2335" s="161"/>
      <c r="I2335" s="161"/>
      <c r="J2335" s="161"/>
      <c r="K2335" s="161">
        <f>L2335*E2335</f>
        <v>346.87099999999992</v>
      </c>
      <c r="L2335" s="161">
        <v>0.7</v>
      </c>
      <c r="M2335" s="161"/>
      <c r="N2335" s="161"/>
      <c r="O2335" s="161"/>
    </row>
    <row r="2336" spans="1:15" x14ac:dyDescent="0.35">
      <c r="A2336" s="321"/>
      <c r="B2336" s="320"/>
      <c r="C2336" s="160"/>
      <c r="D2336" s="161"/>
      <c r="E2336" s="161"/>
      <c r="F2336" s="161"/>
      <c r="G2336" s="161"/>
      <c r="H2336" s="161"/>
      <c r="I2336" s="161"/>
      <c r="J2336" s="161"/>
      <c r="K2336" s="161"/>
      <c r="L2336" s="161"/>
      <c r="M2336" s="161"/>
      <c r="N2336" s="161"/>
      <c r="O2336" s="161"/>
    </row>
    <row r="2337" spans="1:15" x14ac:dyDescent="0.35">
      <c r="A2337" s="321"/>
      <c r="B2337" s="318" t="s">
        <v>377</v>
      </c>
      <c r="C2337" s="158" t="s">
        <v>402</v>
      </c>
      <c r="D2337" s="158"/>
      <c r="E2337" s="158"/>
      <c r="F2337" s="158"/>
      <c r="G2337" s="158"/>
      <c r="H2337" s="158"/>
      <c r="I2337" s="158"/>
      <c r="J2337" s="158"/>
      <c r="K2337" s="158">
        <f>SUM(K2335:K2336)</f>
        <v>346.87099999999992</v>
      </c>
      <c r="L2337" s="158"/>
      <c r="M2337" s="158"/>
      <c r="N2337" s="158"/>
      <c r="O2337" s="158"/>
    </row>
    <row r="2338" spans="1:15" ht="31.5" x14ac:dyDescent="0.35">
      <c r="A2338" s="323" t="str">
        <f>ORÇAMENTO!A396</f>
        <v>5.1.2.5.8</v>
      </c>
      <c r="B2338" s="322" t="str">
        <f>VLOOKUP(A2338,ORÇAMENTO!$A:$F,4,0)</f>
        <v>TUBO DE CONCRETO ARMADO PARA AGUAS PLUVIAIS, CLASSE PA-1, COM ENCAIXE PONTA E BOLSA, DIAMETRO NOMINAL DE 800 MM</v>
      </c>
      <c r="C2338" s="149" t="str">
        <f>VLOOKUP(A2338,ORÇAMENTO!$A:$F,5,0)</f>
        <v>M</v>
      </c>
      <c r="D2338" s="149">
        <f>SUM(E2341:O2341)</f>
        <v>445.70999999999992</v>
      </c>
      <c r="E2338" s="149" t="s">
        <v>2149</v>
      </c>
      <c r="F2338" s="149" t="s">
        <v>2150</v>
      </c>
      <c r="G2338" s="149" t="s">
        <v>2151</v>
      </c>
      <c r="H2338" s="149" t="s">
        <v>2152</v>
      </c>
      <c r="I2338" s="149" t="s">
        <v>2153</v>
      </c>
      <c r="J2338" s="149" t="s">
        <v>2154</v>
      </c>
      <c r="K2338" s="149" t="s">
        <v>2155</v>
      </c>
      <c r="L2338" s="149" t="s">
        <v>2178</v>
      </c>
      <c r="M2338" s="149" t="s">
        <v>2160</v>
      </c>
      <c r="N2338" s="149" t="s">
        <v>2157</v>
      </c>
      <c r="O2338" s="149" t="s">
        <v>2158</v>
      </c>
    </row>
    <row r="2339" spans="1:15" x14ac:dyDescent="0.35">
      <c r="A2339" s="321"/>
      <c r="B2339" s="318"/>
      <c r="C2339" s="160"/>
      <c r="D2339" s="161"/>
      <c r="E2339" s="161">
        <f>Quantitativos!BY108</f>
        <v>445.70999999999992</v>
      </c>
      <c r="F2339" s="161"/>
      <c r="G2339" s="161"/>
      <c r="H2339" s="161"/>
      <c r="I2339" s="161"/>
      <c r="J2339" s="161"/>
      <c r="K2339" s="161"/>
      <c r="L2339" s="161"/>
      <c r="M2339" s="161"/>
      <c r="N2339" s="161"/>
      <c r="O2339" s="161"/>
    </row>
    <row r="2340" spans="1:15" x14ac:dyDescent="0.35">
      <c r="A2340" s="321"/>
      <c r="B2340" s="320"/>
      <c r="C2340" s="160"/>
      <c r="D2340" s="161"/>
      <c r="E2340" s="161"/>
      <c r="F2340" s="161"/>
      <c r="G2340" s="161"/>
      <c r="H2340" s="161"/>
      <c r="I2340" s="161"/>
      <c r="J2340" s="161"/>
      <c r="K2340" s="161"/>
      <c r="L2340" s="161"/>
      <c r="M2340" s="161"/>
      <c r="N2340" s="161"/>
      <c r="O2340" s="161"/>
    </row>
    <row r="2341" spans="1:15" x14ac:dyDescent="0.35">
      <c r="A2341" s="321"/>
      <c r="B2341" s="318" t="s">
        <v>377</v>
      </c>
      <c r="C2341" s="158" t="s">
        <v>402</v>
      </c>
      <c r="D2341" s="158"/>
      <c r="E2341" s="158">
        <f>SUM(E2339:E2340)</f>
        <v>445.70999999999992</v>
      </c>
      <c r="F2341" s="158"/>
      <c r="G2341" s="158"/>
      <c r="H2341" s="158"/>
      <c r="I2341" s="158"/>
      <c r="J2341" s="158"/>
      <c r="K2341" s="158"/>
      <c r="L2341" s="158"/>
      <c r="M2341" s="158"/>
      <c r="N2341" s="158"/>
      <c r="O2341" s="158"/>
    </row>
    <row r="2342" spans="1:15" ht="31.5" x14ac:dyDescent="0.35">
      <c r="A2342" s="323" t="str">
        <f>ORÇAMENTO!A397</f>
        <v>5.1.2.5.9</v>
      </c>
      <c r="B2342" s="322" t="str">
        <f>VLOOKUP(A2342,ORÇAMENTO!$A:$F,4,0)</f>
        <v>TUBO DE CONCRETO ARMADO PARA AGUAS PLUVIAIS, CLASSE PA-2, COM ENCAIXE PONTA E BOLSA, DIAMETRO NOMINAL DE 800 MM</v>
      </c>
      <c r="C2342" s="149" t="str">
        <f>VLOOKUP(A2342,ORÇAMENTO!$A:$F,5,0)</f>
        <v>M</v>
      </c>
      <c r="D2342" s="149">
        <f>SUM(E2345:O2345)</f>
        <v>49.82</v>
      </c>
      <c r="E2342" s="149" t="s">
        <v>2149</v>
      </c>
      <c r="F2342" s="149" t="s">
        <v>2150</v>
      </c>
      <c r="G2342" s="149" t="s">
        <v>2151</v>
      </c>
      <c r="H2342" s="149" t="s">
        <v>2152</v>
      </c>
      <c r="I2342" s="149" t="s">
        <v>2153</v>
      </c>
      <c r="J2342" s="149" t="s">
        <v>2154</v>
      </c>
      <c r="K2342" s="149" t="s">
        <v>2155</v>
      </c>
      <c r="L2342" s="149" t="s">
        <v>2178</v>
      </c>
      <c r="M2342" s="149" t="s">
        <v>2160</v>
      </c>
      <c r="N2342" s="149" t="s">
        <v>2157</v>
      </c>
      <c r="O2342" s="149" t="s">
        <v>2158</v>
      </c>
    </row>
    <row r="2343" spans="1:15" x14ac:dyDescent="0.35">
      <c r="A2343" s="321"/>
      <c r="B2343" s="318"/>
      <c r="C2343" s="160"/>
      <c r="D2343" s="161"/>
      <c r="E2343" s="161">
        <f>Quantitativos!BZ108</f>
        <v>49.82</v>
      </c>
      <c r="F2343" s="161"/>
      <c r="G2343" s="161"/>
      <c r="H2343" s="161"/>
      <c r="I2343" s="161"/>
      <c r="J2343" s="161"/>
      <c r="K2343" s="161"/>
      <c r="L2343" s="161"/>
      <c r="M2343" s="161"/>
      <c r="N2343" s="161"/>
      <c r="O2343" s="161"/>
    </row>
    <row r="2344" spans="1:15" x14ac:dyDescent="0.35">
      <c r="A2344" s="321"/>
      <c r="B2344" s="320"/>
      <c r="C2344" s="160"/>
      <c r="D2344" s="161"/>
      <c r="E2344" s="161"/>
      <c r="F2344" s="161"/>
      <c r="G2344" s="161"/>
      <c r="H2344" s="161"/>
      <c r="I2344" s="161"/>
      <c r="J2344" s="161"/>
      <c r="K2344" s="161"/>
      <c r="L2344" s="161"/>
      <c r="M2344" s="161"/>
      <c r="N2344" s="161"/>
      <c r="O2344" s="161"/>
    </row>
    <row r="2345" spans="1:15" x14ac:dyDescent="0.35">
      <c r="A2345" s="321"/>
      <c r="B2345" s="318" t="s">
        <v>377</v>
      </c>
      <c r="C2345" s="158" t="s">
        <v>402</v>
      </c>
      <c r="D2345" s="158"/>
      <c r="E2345" s="158">
        <f>SUM(E2343:E2344)</f>
        <v>49.82</v>
      </c>
      <c r="F2345" s="158"/>
      <c r="G2345" s="158"/>
      <c r="H2345" s="158"/>
      <c r="I2345" s="158"/>
      <c r="J2345" s="158"/>
      <c r="K2345" s="158"/>
      <c r="L2345" s="158"/>
      <c r="M2345" s="158"/>
      <c r="N2345" s="158"/>
      <c r="O2345" s="158"/>
    </row>
    <row r="2346" spans="1:15" ht="42" x14ac:dyDescent="0.35">
      <c r="A2346" s="323" t="str">
        <f>ORÇAMENTO!A398</f>
        <v>5.1.2.5.10</v>
      </c>
      <c r="B2346" s="322" t="str">
        <f>VLOOKUP(A2346,ORÇAMENTO!$A:$F,4,0)</f>
        <v>CARGA, MANOBRA E DESCARGA DE TUBOS DE CONCRETO, DN 1000 MM, EM CAMINHÃO CARROCERIA COM GUINDAUTO (MUNCK) 11,7 TM. AF_07/2020</v>
      </c>
      <c r="C2346" s="149" t="str">
        <f>VLOOKUP(A2346,ORÇAMENTO!$A:$F,5,0)</f>
        <v>T</v>
      </c>
      <c r="D2346" s="149">
        <f>SUM(E2349:O2349)</f>
        <v>385.19362099999995</v>
      </c>
      <c r="E2346" s="149" t="s">
        <v>2149</v>
      </c>
      <c r="F2346" s="149" t="s">
        <v>2150</v>
      </c>
      <c r="G2346" s="149" t="s">
        <v>2151</v>
      </c>
      <c r="H2346" s="149" t="s">
        <v>2152</v>
      </c>
      <c r="I2346" s="149" t="s">
        <v>2153</v>
      </c>
      <c r="J2346" s="149" t="s">
        <v>2154</v>
      </c>
      <c r="K2346" s="149" t="s">
        <v>2172</v>
      </c>
      <c r="L2346" s="149" t="s">
        <v>2236</v>
      </c>
      <c r="M2346" s="149" t="s">
        <v>2160</v>
      </c>
      <c r="N2346" s="149" t="s">
        <v>2157</v>
      </c>
      <c r="O2346" s="149" t="s">
        <v>2158</v>
      </c>
    </row>
    <row r="2347" spans="1:15" ht="31.5" x14ac:dyDescent="0.35">
      <c r="A2347" s="321"/>
      <c r="B2347" s="318" t="s">
        <v>2238</v>
      </c>
      <c r="C2347" s="160"/>
      <c r="D2347" s="161"/>
      <c r="E2347" s="161">
        <f>E2351+E2355</f>
        <v>382.63</v>
      </c>
      <c r="F2347" s="161"/>
      <c r="G2347" s="161"/>
      <c r="H2347" s="161"/>
      <c r="I2347" s="161"/>
      <c r="J2347" s="161"/>
      <c r="K2347" s="161">
        <f>L2347*E2347</f>
        <v>385.19362099999995</v>
      </c>
      <c r="L2347" s="161">
        <v>1.0066999999999999</v>
      </c>
      <c r="M2347" s="161"/>
      <c r="N2347" s="161"/>
      <c r="O2347" s="161"/>
    </row>
    <row r="2348" spans="1:15" x14ac:dyDescent="0.35">
      <c r="A2348" s="321"/>
      <c r="B2348" s="320"/>
      <c r="C2348" s="160"/>
      <c r="D2348" s="161"/>
      <c r="E2348" s="161"/>
      <c r="F2348" s="161"/>
      <c r="G2348" s="161"/>
      <c r="H2348" s="161"/>
      <c r="I2348" s="161"/>
      <c r="J2348" s="161"/>
      <c r="K2348" s="161"/>
      <c r="L2348" s="161"/>
      <c r="M2348" s="161"/>
      <c r="N2348" s="161"/>
      <c r="O2348" s="161"/>
    </row>
    <row r="2349" spans="1:15" x14ac:dyDescent="0.35">
      <c r="A2349" s="321"/>
      <c r="B2349" s="318" t="s">
        <v>377</v>
      </c>
      <c r="C2349" s="158" t="s">
        <v>402</v>
      </c>
      <c r="D2349" s="158"/>
      <c r="E2349" s="158"/>
      <c r="F2349" s="158"/>
      <c r="G2349" s="158"/>
      <c r="H2349" s="158"/>
      <c r="I2349" s="158"/>
      <c r="J2349" s="158"/>
      <c r="K2349" s="158">
        <f>SUM(K2347:K2348)</f>
        <v>385.19362099999995</v>
      </c>
      <c r="L2349" s="158"/>
      <c r="M2349" s="158"/>
      <c r="N2349" s="158"/>
      <c r="O2349" s="158"/>
    </row>
    <row r="2350" spans="1:15" ht="31.5" x14ac:dyDescent="0.35">
      <c r="A2350" s="323" t="str">
        <f>ORÇAMENTO!A399</f>
        <v>5.1.2.5.11</v>
      </c>
      <c r="B2350" s="322" t="str">
        <f>VLOOKUP(A2350,ORÇAMENTO!$A:$F,4,0)</f>
        <v>TUBO DE CONCRETO ARMADO PARA AGUAS PLUVIAIS, CLASSE PA-1, COM ENCAIXE PONTA E BOLSA, DIAMETRO NOMINAL DE 1000 MM</v>
      </c>
      <c r="C2350" s="149" t="str">
        <f>VLOOKUP(A2350,ORÇAMENTO!$A:$F,5,0)</f>
        <v>M</v>
      </c>
      <c r="D2350" s="149">
        <f>SUM(E2353:O2353)</f>
        <v>137.27000000000001</v>
      </c>
      <c r="E2350" s="149" t="s">
        <v>2149</v>
      </c>
      <c r="F2350" s="149" t="s">
        <v>2150</v>
      </c>
      <c r="G2350" s="149" t="s">
        <v>2151</v>
      </c>
      <c r="H2350" s="149" t="s">
        <v>2152</v>
      </c>
      <c r="I2350" s="149" t="s">
        <v>2153</v>
      </c>
      <c r="J2350" s="149" t="s">
        <v>2154</v>
      </c>
      <c r="K2350" s="149" t="s">
        <v>2155</v>
      </c>
      <c r="L2350" s="149" t="s">
        <v>2178</v>
      </c>
      <c r="M2350" s="149" t="s">
        <v>2160</v>
      </c>
      <c r="N2350" s="149" t="s">
        <v>2157</v>
      </c>
      <c r="O2350" s="149" t="s">
        <v>2158</v>
      </c>
    </row>
    <row r="2351" spans="1:15" x14ac:dyDescent="0.35">
      <c r="A2351" s="321"/>
      <c r="B2351" s="318"/>
      <c r="C2351" s="160"/>
      <c r="D2351" s="161"/>
      <c r="E2351" s="161">
        <f>Quantitativos!CC108</f>
        <v>137.27000000000001</v>
      </c>
      <c r="F2351" s="161"/>
      <c r="G2351" s="161"/>
      <c r="H2351" s="161"/>
      <c r="I2351" s="161"/>
      <c r="J2351" s="161"/>
      <c r="K2351" s="161"/>
      <c r="L2351" s="161"/>
      <c r="M2351" s="161"/>
      <c r="N2351" s="161"/>
      <c r="O2351" s="161"/>
    </row>
    <row r="2352" spans="1:15" x14ac:dyDescent="0.35">
      <c r="A2352" s="321"/>
      <c r="B2352" s="320"/>
      <c r="C2352" s="160"/>
      <c r="D2352" s="161"/>
      <c r="E2352" s="161"/>
      <c r="F2352" s="161"/>
      <c r="G2352" s="161"/>
      <c r="H2352" s="161"/>
      <c r="I2352" s="161"/>
      <c r="J2352" s="161"/>
      <c r="K2352" s="161"/>
      <c r="L2352" s="161"/>
      <c r="M2352" s="161"/>
      <c r="N2352" s="161"/>
      <c r="O2352" s="161"/>
    </row>
    <row r="2353" spans="1:15" x14ac:dyDescent="0.35">
      <c r="A2353" s="321"/>
      <c r="B2353" s="318" t="s">
        <v>377</v>
      </c>
      <c r="C2353" s="158" t="s">
        <v>402</v>
      </c>
      <c r="D2353" s="158"/>
      <c r="E2353" s="158">
        <f>SUM(E2351:E2352)</f>
        <v>137.27000000000001</v>
      </c>
      <c r="F2353" s="158"/>
      <c r="G2353" s="158"/>
      <c r="H2353" s="158"/>
      <c r="I2353" s="158"/>
      <c r="J2353" s="158"/>
      <c r="K2353" s="158"/>
      <c r="L2353" s="158"/>
      <c r="M2353" s="158"/>
      <c r="N2353" s="158"/>
      <c r="O2353" s="158"/>
    </row>
    <row r="2354" spans="1:15" ht="31.5" x14ac:dyDescent="0.35">
      <c r="A2354" s="323" t="str">
        <f>ORÇAMENTO!A400</f>
        <v>5.1.2.5.12</v>
      </c>
      <c r="B2354" s="322" t="str">
        <f>VLOOKUP(A2354,ORÇAMENTO!$A:$F,4,0)</f>
        <v>TUBO DE CONCRETO ARMADO PARA AGUAS PLUVIAIS, CLASSE PA-2, COM ENCAIXE PONTA E BOLSA, DIAMETRO NOMINAL DE 1000 MM</v>
      </c>
      <c r="C2354" s="149" t="str">
        <f>VLOOKUP(A2354,ORÇAMENTO!$A:$F,5,0)</f>
        <v>M</v>
      </c>
      <c r="D2354" s="149">
        <f>SUM(E2357:O2357)</f>
        <v>245.36</v>
      </c>
      <c r="E2354" s="149" t="s">
        <v>2149</v>
      </c>
      <c r="F2354" s="149" t="s">
        <v>2150</v>
      </c>
      <c r="G2354" s="149" t="s">
        <v>2151</v>
      </c>
      <c r="H2354" s="149" t="s">
        <v>2152</v>
      </c>
      <c r="I2354" s="149" t="s">
        <v>2153</v>
      </c>
      <c r="J2354" s="149" t="s">
        <v>2154</v>
      </c>
      <c r="K2354" s="149" t="s">
        <v>2155</v>
      </c>
      <c r="L2354" s="149" t="s">
        <v>2178</v>
      </c>
      <c r="M2354" s="149" t="s">
        <v>2160</v>
      </c>
      <c r="N2354" s="149" t="s">
        <v>2157</v>
      </c>
      <c r="O2354" s="149" t="s">
        <v>2158</v>
      </c>
    </row>
    <row r="2355" spans="1:15" x14ac:dyDescent="0.35">
      <c r="A2355" s="321"/>
      <c r="B2355" s="318"/>
      <c r="C2355" s="160"/>
      <c r="D2355" s="161"/>
      <c r="E2355" s="161">
        <f>Quantitativos!CD108</f>
        <v>245.36</v>
      </c>
      <c r="F2355" s="161"/>
      <c r="G2355" s="161"/>
      <c r="H2355" s="161"/>
      <c r="I2355" s="161"/>
      <c r="J2355" s="161"/>
      <c r="K2355" s="161"/>
      <c r="L2355" s="161"/>
      <c r="M2355" s="161"/>
      <c r="N2355" s="161"/>
      <c r="O2355" s="161"/>
    </row>
    <row r="2356" spans="1:15" x14ac:dyDescent="0.35">
      <c r="A2356" s="321"/>
      <c r="B2356" s="320"/>
      <c r="C2356" s="160"/>
      <c r="D2356" s="161"/>
      <c r="E2356" s="161"/>
      <c r="F2356" s="161"/>
      <c r="G2356" s="161"/>
      <c r="H2356" s="161"/>
      <c r="I2356" s="161"/>
      <c r="J2356" s="161"/>
      <c r="K2356" s="161"/>
      <c r="L2356" s="161"/>
      <c r="M2356" s="161"/>
      <c r="N2356" s="161"/>
      <c r="O2356" s="161"/>
    </row>
    <row r="2357" spans="1:15" x14ac:dyDescent="0.35">
      <c r="A2357" s="321"/>
      <c r="B2357" s="318" t="s">
        <v>377</v>
      </c>
      <c r="C2357" s="158" t="s">
        <v>402</v>
      </c>
      <c r="D2357" s="158"/>
      <c r="E2357" s="158">
        <f>SUM(E2355:E2356)</f>
        <v>245.36</v>
      </c>
      <c r="F2357" s="158"/>
      <c r="G2357" s="158"/>
      <c r="H2357" s="158"/>
      <c r="I2357" s="158"/>
      <c r="J2357" s="158"/>
      <c r="K2357" s="158"/>
      <c r="L2357" s="158"/>
      <c r="M2357" s="158"/>
      <c r="N2357" s="158"/>
      <c r="O2357" s="158"/>
    </row>
    <row r="2358" spans="1:15" ht="42" x14ac:dyDescent="0.35">
      <c r="A2358" s="323" t="str">
        <f>ORÇAMENTO!A401</f>
        <v>5.1.2.5.13</v>
      </c>
      <c r="B2358" s="322" t="str">
        <f>VLOOKUP(A2358,ORÇAMENTO!$A:$F,4,0)</f>
        <v>CARGA, MANOBRA E DESCARGA DE TUBOS DE CONCRETO, DN 1200 MM, EM CAMINHÃO CARROCERIA COM GUINDAUTO (MUNCK) 11,7 TM. AF_07/2020</v>
      </c>
      <c r="C2358" s="149" t="str">
        <f>VLOOKUP(A2358,ORÇAMENTO!$A:$F,5,0)</f>
        <v>T</v>
      </c>
      <c r="D2358" s="149">
        <f>SUM(E2361:O2361)</f>
        <v>362.52319999999997</v>
      </c>
      <c r="E2358" s="149" t="s">
        <v>2149</v>
      </c>
      <c r="F2358" s="149" t="s">
        <v>2150</v>
      </c>
      <c r="G2358" s="149" t="s">
        <v>2151</v>
      </c>
      <c r="H2358" s="149" t="s">
        <v>2152</v>
      </c>
      <c r="I2358" s="149" t="s">
        <v>2153</v>
      </c>
      <c r="J2358" s="149" t="s">
        <v>2154</v>
      </c>
      <c r="K2358" s="149" t="s">
        <v>2172</v>
      </c>
      <c r="L2358" s="149" t="s">
        <v>2236</v>
      </c>
      <c r="M2358" s="149" t="s">
        <v>2160</v>
      </c>
      <c r="N2358" s="149" t="s">
        <v>2157</v>
      </c>
      <c r="O2358" s="149" t="s">
        <v>2158</v>
      </c>
    </row>
    <row r="2359" spans="1:15" ht="31.5" x14ac:dyDescent="0.35">
      <c r="A2359" s="321"/>
      <c r="B2359" s="318" t="s">
        <v>2238</v>
      </c>
      <c r="C2359" s="160"/>
      <c r="D2359" s="161"/>
      <c r="E2359" s="161">
        <f>E2363</f>
        <v>312.52</v>
      </c>
      <c r="F2359" s="161"/>
      <c r="G2359" s="161"/>
      <c r="H2359" s="161"/>
      <c r="I2359" s="161"/>
      <c r="J2359" s="161"/>
      <c r="K2359" s="161">
        <f>L2359*E2359</f>
        <v>362.52319999999997</v>
      </c>
      <c r="L2359" s="161">
        <v>1.1599999999999999</v>
      </c>
      <c r="M2359" s="161"/>
      <c r="N2359" s="161"/>
      <c r="O2359" s="161"/>
    </row>
    <row r="2360" spans="1:15" x14ac:dyDescent="0.35">
      <c r="A2360" s="321"/>
      <c r="B2360" s="320"/>
      <c r="C2360" s="160"/>
      <c r="D2360" s="161"/>
      <c r="E2360" s="161"/>
      <c r="F2360" s="161"/>
      <c r="G2360" s="161"/>
      <c r="H2360" s="161"/>
      <c r="I2360" s="161"/>
      <c r="J2360" s="161"/>
      <c r="K2360" s="161"/>
      <c r="L2360" s="161"/>
      <c r="M2360" s="161"/>
      <c r="N2360" s="161"/>
      <c r="O2360" s="161"/>
    </row>
    <row r="2361" spans="1:15" x14ac:dyDescent="0.35">
      <c r="A2361" s="321"/>
      <c r="B2361" s="318" t="s">
        <v>377</v>
      </c>
      <c r="C2361" s="158" t="s">
        <v>402</v>
      </c>
      <c r="D2361" s="158"/>
      <c r="E2361" s="158"/>
      <c r="F2361" s="158"/>
      <c r="G2361" s="158"/>
      <c r="H2361" s="158"/>
      <c r="I2361" s="158"/>
      <c r="J2361" s="158"/>
      <c r="K2361" s="158">
        <f>SUM(K2359:K2360)</f>
        <v>362.52319999999997</v>
      </c>
      <c r="L2361" s="158"/>
      <c r="M2361" s="158"/>
      <c r="N2361" s="158"/>
      <c r="O2361" s="158">
        <f>SUM(O2360:O2360)</f>
        <v>0</v>
      </c>
    </row>
    <row r="2362" spans="1:15" ht="31.5" x14ac:dyDescent="0.35">
      <c r="A2362" s="323" t="str">
        <f>ORÇAMENTO!A402</f>
        <v>5.1.2.5.14</v>
      </c>
      <c r="B2362" s="322" t="str">
        <f>VLOOKUP(A2362,ORÇAMENTO!$A:$F,4,0)</f>
        <v>TUBO DE CONCRETO ARMADO PARA AGUAS PLUVIAIS, CLASSE PA-2, COM ENCAIXE PONTA E BOLSA, DIAMETRO NOMINAL DE 1200 MM</v>
      </c>
      <c r="C2362" s="149" t="str">
        <f>VLOOKUP(A2362,ORÇAMENTO!$A:$F,5,0)</f>
        <v>M</v>
      </c>
      <c r="D2362" s="149">
        <f>SUM(E2365:O2365)</f>
        <v>312.52</v>
      </c>
      <c r="E2362" s="149" t="s">
        <v>2149</v>
      </c>
      <c r="F2362" s="149" t="s">
        <v>2150</v>
      </c>
      <c r="G2362" s="149" t="s">
        <v>2151</v>
      </c>
      <c r="H2362" s="149" t="s">
        <v>2152</v>
      </c>
      <c r="I2362" s="149" t="s">
        <v>2153</v>
      </c>
      <c r="J2362" s="149" t="s">
        <v>2154</v>
      </c>
      <c r="K2362" s="149" t="s">
        <v>2172</v>
      </c>
      <c r="L2362" s="149" t="s">
        <v>2236</v>
      </c>
      <c r="M2362" s="149" t="s">
        <v>2160</v>
      </c>
      <c r="N2362" s="149" t="s">
        <v>2157</v>
      </c>
      <c r="O2362" s="149" t="s">
        <v>2158</v>
      </c>
    </row>
    <row r="2363" spans="1:15" x14ac:dyDescent="0.35">
      <c r="A2363" s="321"/>
      <c r="B2363" s="318"/>
      <c r="C2363" s="153"/>
      <c r="D2363" s="154"/>
      <c r="E2363" s="154">
        <f>Quantitativos!CH108</f>
        <v>312.52</v>
      </c>
      <c r="F2363" s="154"/>
      <c r="G2363" s="154"/>
      <c r="H2363" s="154"/>
      <c r="I2363" s="154"/>
      <c r="J2363" s="154"/>
      <c r="K2363" s="154"/>
      <c r="L2363" s="154"/>
      <c r="M2363" s="154"/>
      <c r="N2363" s="154"/>
      <c r="O2363" s="154"/>
    </row>
    <row r="2364" spans="1:15" x14ac:dyDescent="0.35">
      <c r="A2364" s="321"/>
      <c r="B2364" s="320"/>
      <c r="C2364" s="153"/>
      <c r="D2364" s="154"/>
      <c r="E2364" s="154"/>
      <c r="F2364" s="154"/>
      <c r="G2364" s="154"/>
      <c r="H2364" s="154"/>
      <c r="I2364" s="154"/>
      <c r="J2364" s="154"/>
      <c r="K2364" s="154"/>
      <c r="L2364" s="154"/>
      <c r="M2364" s="154"/>
      <c r="N2364" s="154"/>
      <c r="O2364" s="154"/>
    </row>
    <row r="2365" spans="1:15" x14ac:dyDescent="0.35">
      <c r="A2365" s="321"/>
      <c r="B2365" s="318" t="s">
        <v>377</v>
      </c>
      <c r="C2365" s="158" t="s">
        <v>402</v>
      </c>
      <c r="D2365" s="158"/>
      <c r="E2365" s="158">
        <f>SUM(E2363:E2364)</f>
        <v>312.52</v>
      </c>
      <c r="F2365" s="158"/>
      <c r="G2365" s="158"/>
      <c r="H2365" s="158"/>
      <c r="I2365" s="158"/>
      <c r="J2365" s="158"/>
      <c r="K2365" s="158"/>
      <c r="L2365" s="158"/>
      <c r="M2365" s="158"/>
      <c r="N2365" s="158"/>
      <c r="O2365" s="158"/>
    </row>
    <row r="2366" spans="1:15" ht="31.5" x14ac:dyDescent="0.35">
      <c r="A2366" s="323" t="str">
        <f>ORÇAMENTO!A403</f>
        <v>5.1.2.5.15</v>
      </c>
      <c r="B2366" s="322" t="str">
        <f>VLOOKUP(A2366,ORÇAMENTO!$A:$F,4,0)</f>
        <v>CARGA, MANOBRA E DESCARGA DE TUBOS DE CONCRETO, DN 1500 MM, EM CAMINHÃO CARROCERIA COM GUINDAUTO (MUNCK) 11,7 TM.</v>
      </c>
      <c r="C2366" s="149" t="str">
        <f>VLOOKUP(A2366,ORÇAMENTO!$A:$F,5,0)</f>
        <v>T</v>
      </c>
      <c r="D2366" s="149">
        <f>SUM(E2369:O2369)</f>
        <v>385.10559999999998</v>
      </c>
      <c r="E2366" s="149" t="s">
        <v>2149</v>
      </c>
      <c r="F2366" s="149" t="s">
        <v>2150</v>
      </c>
      <c r="G2366" s="149" t="s">
        <v>2151</v>
      </c>
      <c r="H2366" s="149" t="s">
        <v>2152</v>
      </c>
      <c r="I2366" s="149" t="s">
        <v>2153</v>
      </c>
      <c r="J2366" s="149" t="s">
        <v>2154</v>
      </c>
      <c r="K2366" s="149" t="s">
        <v>2172</v>
      </c>
      <c r="L2366" s="149" t="s">
        <v>2236</v>
      </c>
      <c r="M2366" s="149" t="s">
        <v>2160</v>
      </c>
      <c r="N2366" s="149" t="s">
        <v>2157</v>
      </c>
      <c r="O2366" s="149" t="s">
        <v>2158</v>
      </c>
    </row>
    <row r="2367" spans="1:15" ht="31.5" x14ac:dyDescent="0.35">
      <c r="A2367" s="321"/>
      <c r="B2367" s="318" t="s">
        <v>2238</v>
      </c>
      <c r="C2367" s="160"/>
      <c r="D2367" s="161"/>
      <c r="E2367" s="161">
        <f>E2371+E2375</f>
        <v>218.81</v>
      </c>
      <c r="F2367" s="161"/>
      <c r="G2367" s="161"/>
      <c r="H2367" s="161"/>
      <c r="I2367" s="161"/>
      <c r="J2367" s="161"/>
      <c r="K2367" s="161">
        <f>L2367*E2367</f>
        <v>385.10559999999998</v>
      </c>
      <c r="L2367" s="161">
        <v>1.76</v>
      </c>
      <c r="M2367" s="161"/>
      <c r="N2367" s="161"/>
      <c r="O2367" s="161"/>
    </row>
    <row r="2368" spans="1:15" x14ac:dyDescent="0.35">
      <c r="A2368" s="321"/>
      <c r="B2368" s="320"/>
      <c r="C2368" s="160"/>
      <c r="D2368" s="161"/>
      <c r="E2368" s="161"/>
      <c r="F2368" s="161"/>
      <c r="G2368" s="161"/>
      <c r="H2368" s="161"/>
      <c r="I2368" s="161"/>
      <c r="J2368" s="161"/>
      <c r="K2368" s="161"/>
      <c r="L2368" s="161"/>
      <c r="M2368" s="161"/>
      <c r="N2368" s="161"/>
      <c r="O2368" s="161"/>
    </row>
    <row r="2369" spans="1:15" x14ac:dyDescent="0.35">
      <c r="A2369" s="321"/>
      <c r="B2369" s="318" t="s">
        <v>377</v>
      </c>
      <c r="C2369" s="158" t="s">
        <v>402</v>
      </c>
      <c r="D2369" s="158"/>
      <c r="E2369" s="158"/>
      <c r="F2369" s="158"/>
      <c r="G2369" s="158"/>
      <c r="H2369" s="158"/>
      <c r="I2369" s="158"/>
      <c r="J2369" s="158"/>
      <c r="K2369" s="158">
        <f>SUM(K2367:K2368)</f>
        <v>385.10559999999998</v>
      </c>
      <c r="L2369" s="158"/>
      <c r="M2369" s="158"/>
      <c r="N2369" s="158"/>
      <c r="O2369" s="158"/>
    </row>
    <row r="2370" spans="1:15" ht="31.5" x14ac:dyDescent="0.35">
      <c r="A2370" s="323" t="str">
        <f>ORÇAMENTO!A404</f>
        <v>5.1.2.5.16</v>
      </c>
      <c r="B2370" s="322" t="str">
        <f>VLOOKUP(A2370,ORÇAMENTO!$A:$F,4,0)</f>
        <v>TUBO DE CONCRETO ARMADO PARA AGUAS PLUVIAIS, CLASSE PA-1, COM ENCAIXE PONTA E BOLSA, DIAMETRO NOMINAL DE 1500 MM</v>
      </c>
      <c r="C2370" s="149" t="str">
        <f>VLOOKUP(A2370,ORÇAMENTO!$A:$F,5,0)</f>
        <v>M</v>
      </c>
      <c r="D2370" s="149">
        <f>SUM(E2373:O2373)</f>
        <v>39.090000000000003</v>
      </c>
      <c r="E2370" s="149" t="s">
        <v>2149</v>
      </c>
      <c r="F2370" s="149" t="s">
        <v>2150</v>
      </c>
      <c r="G2370" s="149" t="s">
        <v>2151</v>
      </c>
      <c r="H2370" s="149" t="s">
        <v>2152</v>
      </c>
      <c r="I2370" s="149" t="s">
        <v>2153</v>
      </c>
      <c r="J2370" s="149" t="s">
        <v>2154</v>
      </c>
      <c r="K2370" s="149" t="s">
        <v>2155</v>
      </c>
      <c r="L2370" s="149" t="s">
        <v>2178</v>
      </c>
      <c r="M2370" s="149" t="s">
        <v>2160</v>
      </c>
      <c r="N2370" s="149" t="s">
        <v>2157</v>
      </c>
      <c r="O2370" s="149" t="s">
        <v>2158</v>
      </c>
    </row>
    <row r="2371" spans="1:15" x14ac:dyDescent="0.35">
      <c r="A2371" s="321"/>
      <c r="B2371" s="318"/>
      <c r="C2371" s="160"/>
      <c r="D2371" s="161"/>
      <c r="E2371" s="161">
        <f>Quantitativos!CK108</f>
        <v>39.090000000000003</v>
      </c>
      <c r="F2371" s="161"/>
      <c r="G2371" s="161"/>
      <c r="H2371" s="161"/>
      <c r="I2371" s="161"/>
      <c r="J2371" s="161"/>
      <c r="K2371" s="161"/>
      <c r="L2371" s="161"/>
      <c r="M2371" s="161"/>
      <c r="N2371" s="161"/>
      <c r="O2371" s="161"/>
    </row>
    <row r="2372" spans="1:15" x14ac:dyDescent="0.35">
      <c r="A2372" s="321"/>
      <c r="B2372" s="320"/>
      <c r="C2372" s="160"/>
      <c r="D2372" s="161"/>
      <c r="E2372" s="161"/>
      <c r="F2372" s="161"/>
      <c r="G2372" s="161"/>
      <c r="H2372" s="161"/>
      <c r="I2372" s="161"/>
      <c r="J2372" s="161"/>
      <c r="K2372" s="161"/>
      <c r="L2372" s="161"/>
      <c r="M2372" s="161"/>
      <c r="N2372" s="161"/>
      <c r="O2372" s="161"/>
    </row>
    <row r="2373" spans="1:15" x14ac:dyDescent="0.35">
      <c r="A2373" s="321"/>
      <c r="B2373" s="318" t="s">
        <v>377</v>
      </c>
      <c r="C2373" s="158" t="s">
        <v>402</v>
      </c>
      <c r="D2373" s="158"/>
      <c r="E2373" s="158">
        <f>SUM(E2371:E2372)</f>
        <v>39.090000000000003</v>
      </c>
      <c r="F2373" s="158"/>
      <c r="G2373" s="158"/>
      <c r="H2373" s="158"/>
      <c r="I2373" s="158"/>
      <c r="J2373" s="158"/>
      <c r="K2373" s="158"/>
      <c r="L2373" s="158"/>
      <c r="M2373" s="158"/>
      <c r="N2373" s="158"/>
      <c r="O2373" s="158"/>
    </row>
    <row r="2374" spans="1:15" ht="31.5" x14ac:dyDescent="0.35">
      <c r="A2374" s="323" t="str">
        <f>ORÇAMENTO!A405</f>
        <v>5.1.2.5.17</v>
      </c>
      <c r="B2374" s="322" t="str">
        <f>VLOOKUP(A2374,ORÇAMENTO!$A:$F,4,0)</f>
        <v>TUBO DE CONCRETO ARMADO PARA AGUAS PLUVIAIS, CLASSE PA-2, COM ENCAIXE PONTA E BOLSA, DIAMETRO NOMINAL DE 1500 MM</v>
      </c>
      <c r="C2374" s="149" t="str">
        <f>VLOOKUP(A2374,ORÇAMENTO!$A:$F,5,0)</f>
        <v>M</v>
      </c>
      <c r="D2374" s="149">
        <f>SUM(E2377:O2377)</f>
        <v>179.72</v>
      </c>
      <c r="E2374" s="149" t="s">
        <v>2149</v>
      </c>
      <c r="F2374" s="149" t="s">
        <v>2150</v>
      </c>
      <c r="G2374" s="149" t="s">
        <v>2151</v>
      </c>
      <c r="H2374" s="149" t="s">
        <v>2152</v>
      </c>
      <c r="I2374" s="149" t="s">
        <v>2153</v>
      </c>
      <c r="J2374" s="149" t="s">
        <v>2154</v>
      </c>
      <c r="K2374" s="149" t="s">
        <v>2155</v>
      </c>
      <c r="L2374" s="149" t="s">
        <v>2178</v>
      </c>
      <c r="M2374" s="149" t="s">
        <v>2160</v>
      </c>
      <c r="N2374" s="149" t="s">
        <v>2157</v>
      </c>
      <c r="O2374" s="149" t="s">
        <v>2158</v>
      </c>
    </row>
    <row r="2375" spans="1:15" x14ac:dyDescent="0.35">
      <c r="A2375" s="321"/>
      <c r="B2375" s="318"/>
      <c r="C2375" s="160"/>
      <c r="D2375" s="161"/>
      <c r="E2375" s="161">
        <f>Quantitativos!CL108</f>
        <v>179.72</v>
      </c>
      <c r="F2375" s="161"/>
      <c r="G2375" s="161"/>
      <c r="H2375" s="161"/>
      <c r="I2375" s="161"/>
      <c r="J2375" s="161"/>
      <c r="K2375" s="161"/>
      <c r="L2375" s="161"/>
      <c r="M2375" s="161"/>
      <c r="N2375" s="161"/>
      <c r="O2375" s="161"/>
    </row>
    <row r="2376" spans="1:15" x14ac:dyDescent="0.35">
      <c r="A2376" s="321"/>
      <c r="B2376" s="320"/>
      <c r="C2376" s="160"/>
      <c r="D2376" s="161"/>
      <c r="E2376" s="161"/>
      <c r="F2376" s="161"/>
      <c r="G2376" s="161"/>
      <c r="H2376" s="161"/>
      <c r="I2376" s="161"/>
      <c r="J2376" s="161"/>
      <c r="K2376" s="161"/>
      <c r="L2376" s="161"/>
      <c r="M2376" s="161"/>
      <c r="N2376" s="161"/>
      <c r="O2376" s="161"/>
    </row>
    <row r="2377" spans="1:15" x14ac:dyDescent="0.35">
      <c r="A2377" s="321"/>
      <c r="B2377" s="318" t="s">
        <v>377</v>
      </c>
      <c r="C2377" s="158" t="s">
        <v>402</v>
      </c>
      <c r="D2377" s="158"/>
      <c r="E2377" s="158">
        <f>SUM(E2375:E2376)</f>
        <v>179.72</v>
      </c>
      <c r="F2377" s="158"/>
      <c r="G2377" s="158"/>
      <c r="H2377" s="158"/>
      <c r="I2377" s="158"/>
      <c r="J2377" s="158"/>
      <c r="K2377" s="158"/>
      <c r="L2377" s="158"/>
      <c r="M2377" s="158"/>
      <c r="N2377" s="158"/>
      <c r="O2377" s="158"/>
    </row>
    <row r="2378" spans="1:15" x14ac:dyDescent="0.35">
      <c r="A2378" s="347" t="str">
        <f>ORÇAMENTO!A406</f>
        <v>5.1.2.6</v>
      </c>
      <c r="B2378" s="346" t="str">
        <f>VLOOKUP(A2378,ORÇAMENTO!$A:$F,4,0)</f>
        <v>DRENAGEM POR SISTEMA NÃO DESTRUTIVO</v>
      </c>
      <c r="C2378" s="143"/>
      <c r="D2378" s="143"/>
      <c r="E2378" s="144"/>
      <c r="F2378" s="144"/>
      <c r="G2378" s="144"/>
      <c r="H2378" s="144"/>
      <c r="I2378" s="144"/>
      <c r="J2378" s="144"/>
      <c r="K2378" s="144"/>
      <c r="L2378" s="144"/>
      <c r="M2378" s="144"/>
      <c r="N2378" s="144"/>
      <c r="O2378" s="144"/>
    </row>
    <row r="2379" spans="1:15" ht="63" x14ac:dyDescent="0.35">
      <c r="A2379" s="323" t="str">
        <f>ORÇAMENTO!A407</f>
        <v>5.1.2.6.1</v>
      </c>
      <c r="B2379" s="322" t="str">
        <f>VLOOKUP(A2379,ORÇAMENTO!$A:$F,4,0)</f>
        <v>BUEIRO METÁLICO SEM INTERRUPÇÃO DE TRÁFEGO COM D = 1,80 M - CHAPA GALVANIZADA - ESCAVADO EM MATERIAL DE 1ª CATEGORIA - ATERRO RODOVIÁRIO MÁXIMO = 6 M, COM REVESTIMENTO INTERNO DE 360º COM COCNRETO, ESP. 10 CM - DIÂMETRO ACABADO = 1,60 M.</v>
      </c>
      <c r="C2379" s="149" t="str">
        <f>VLOOKUP(A2379,ORÇAMENTO!$A:$F,5,0)</f>
        <v>M</v>
      </c>
      <c r="D2379" s="149">
        <f>SUM(E2382:O2382)</f>
        <v>20.79</v>
      </c>
      <c r="E2379" s="149" t="s">
        <v>2149</v>
      </c>
      <c r="F2379" s="149" t="s">
        <v>2150</v>
      </c>
      <c r="G2379" s="149" t="s">
        <v>2151</v>
      </c>
      <c r="H2379" s="149" t="s">
        <v>2152</v>
      </c>
      <c r="I2379" s="149" t="s">
        <v>2153</v>
      </c>
      <c r="J2379" s="149" t="s">
        <v>2154</v>
      </c>
      <c r="K2379" s="149" t="s">
        <v>2155</v>
      </c>
      <c r="L2379" s="149" t="s">
        <v>2178</v>
      </c>
      <c r="M2379" s="149" t="s">
        <v>2160</v>
      </c>
      <c r="N2379" s="149" t="s">
        <v>2157</v>
      </c>
      <c r="O2379" s="149" t="s">
        <v>2158</v>
      </c>
    </row>
    <row r="2380" spans="1:15" x14ac:dyDescent="0.35">
      <c r="A2380" s="321"/>
      <c r="B2380" s="318"/>
      <c r="C2380" s="160"/>
      <c r="D2380" s="161"/>
      <c r="E2380" s="161">
        <f>Quantitativos!CO109</f>
        <v>20.79</v>
      </c>
      <c r="F2380" s="161"/>
      <c r="G2380" s="161"/>
      <c r="H2380" s="161"/>
      <c r="I2380" s="161"/>
      <c r="J2380" s="161"/>
      <c r="K2380" s="161"/>
      <c r="L2380" s="161"/>
      <c r="M2380" s="161"/>
      <c r="N2380" s="161"/>
      <c r="O2380" s="161"/>
    </row>
    <row r="2381" spans="1:15" x14ac:dyDescent="0.35">
      <c r="A2381" s="321"/>
      <c r="B2381" s="320"/>
      <c r="C2381" s="160"/>
      <c r="D2381" s="161"/>
      <c r="E2381" s="161"/>
      <c r="F2381" s="161"/>
      <c r="G2381" s="161"/>
      <c r="H2381" s="161"/>
      <c r="I2381" s="161"/>
      <c r="J2381" s="161"/>
      <c r="K2381" s="161"/>
      <c r="L2381" s="161"/>
      <c r="M2381" s="161"/>
      <c r="N2381" s="161"/>
      <c r="O2381" s="161"/>
    </row>
    <row r="2382" spans="1:15" x14ac:dyDescent="0.35">
      <c r="A2382" s="321"/>
      <c r="B2382" s="318" t="s">
        <v>377</v>
      </c>
      <c r="C2382" s="158" t="s">
        <v>402</v>
      </c>
      <c r="D2382" s="158"/>
      <c r="E2382" s="158">
        <f>SUM(E2380:E2381)</f>
        <v>20.79</v>
      </c>
      <c r="F2382" s="158"/>
      <c r="G2382" s="158"/>
      <c r="H2382" s="158"/>
      <c r="I2382" s="158"/>
      <c r="J2382" s="158"/>
      <c r="K2382" s="158"/>
      <c r="L2382" s="158"/>
      <c r="M2382" s="158"/>
      <c r="N2382" s="158"/>
      <c r="O2382" s="158"/>
    </row>
    <row r="2383" spans="1:15" x14ac:dyDescent="0.35">
      <c r="A2383" s="347" t="str">
        <f>ORÇAMENTO!A408</f>
        <v>5.1.2.7</v>
      </c>
      <c r="B2383" s="346" t="str">
        <f>VLOOKUP(A2383,ORÇAMENTO!$A:$F,4,0)</f>
        <v>BOCAS DE LOBO</v>
      </c>
      <c r="C2383" s="143"/>
      <c r="D2383" s="143"/>
      <c r="E2383" s="144"/>
      <c r="F2383" s="144"/>
      <c r="G2383" s="144"/>
      <c r="H2383" s="144"/>
      <c r="I2383" s="144"/>
      <c r="J2383" s="144"/>
      <c r="K2383" s="144"/>
      <c r="L2383" s="144"/>
      <c r="M2383" s="144"/>
      <c r="N2383" s="144"/>
      <c r="O2383" s="144"/>
    </row>
    <row r="2384" spans="1:15" ht="21" x14ac:dyDescent="0.35">
      <c r="A2384" s="323" t="str">
        <f>ORÇAMENTO!A409</f>
        <v>5.1.2.7.1</v>
      </c>
      <c r="B2384" s="322" t="str">
        <f>VLOOKUP(A2384,ORÇAMENTO!$A:$F,4,0)</f>
        <v>LOCAÇÃO DE REDE DE DRENAGEM</v>
      </c>
      <c r="C2384" s="149" t="str">
        <f>VLOOKUP(A2384,ORÇAMENTO!$A:$F,5,0)</f>
        <v>M</v>
      </c>
      <c r="D2384" s="149">
        <f>ROUND(SUM(E2387:O2387),2)</f>
        <v>831.13</v>
      </c>
      <c r="E2384" s="149" t="s">
        <v>2149</v>
      </c>
      <c r="F2384" s="149" t="s">
        <v>2150</v>
      </c>
      <c r="G2384" s="149" t="s">
        <v>2151</v>
      </c>
      <c r="H2384" s="149" t="s">
        <v>2152</v>
      </c>
      <c r="I2384" s="149" t="s">
        <v>2153</v>
      </c>
      <c r="J2384" s="149" t="s">
        <v>2154</v>
      </c>
      <c r="K2384" s="149" t="s">
        <v>2155</v>
      </c>
      <c r="L2384" s="149" t="s">
        <v>2239</v>
      </c>
      <c r="M2384" s="149" t="s">
        <v>413</v>
      </c>
      <c r="N2384" s="149" t="s">
        <v>2240</v>
      </c>
      <c r="O2384" s="149" t="s">
        <v>2158</v>
      </c>
    </row>
    <row r="2385" spans="1:15" x14ac:dyDescent="0.35">
      <c r="A2385" s="321"/>
      <c r="B2385" s="320" t="s">
        <v>2241</v>
      </c>
      <c r="C2385" s="153"/>
      <c r="D2385" s="154"/>
      <c r="E2385" s="154">
        <f>QUANTBL!O221/1</f>
        <v>831.12999999999965</v>
      </c>
      <c r="F2385" s="154"/>
      <c r="G2385" s="154"/>
      <c r="H2385" s="154"/>
      <c r="I2385" s="154"/>
      <c r="J2385" s="154"/>
      <c r="K2385" s="154"/>
      <c r="L2385" s="154"/>
      <c r="M2385" s="154"/>
      <c r="N2385" s="338"/>
      <c r="O2385" s="154"/>
    </row>
    <row r="2386" spans="1:15" x14ac:dyDescent="0.35">
      <c r="A2386" s="321"/>
      <c r="B2386" s="320"/>
      <c r="C2386" s="153"/>
      <c r="D2386" s="154"/>
      <c r="E2386" s="154"/>
      <c r="F2386" s="154"/>
      <c r="G2386" s="154"/>
      <c r="H2386" s="154"/>
      <c r="I2386" s="154"/>
      <c r="J2386" s="154"/>
      <c r="K2386" s="154"/>
      <c r="L2386" s="154"/>
      <c r="M2386" s="154"/>
      <c r="N2386" s="338"/>
      <c r="O2386" s="154"/>
    </row>
    <row r="2387" spans="1:15" x14ac:dyDescent="0.35">
      <c r="A2387" s="321"/>
      <c r="B2387" s="318" t="s">
        <v>377</v>
      </c>
      <c r="C2387" s="158" t="s">
        <v>402</v>
      </c>
      <c r="D2387" s="158"/>
      <c r="E2387" s="153">
        <f>SUM(E2385:E2385)</f>
        <v>831.12999999999965</v>
      </c>
      <c r="F2387" s="158"/>
      <c r="G2387" s="158"/>
      <c r="H2387" s="158"/>
      <c r="I2387" s="158"/>
      <c r="J2387" s="158"/>
      <c r="K2387" s="154"/>
      <c r="L2387" s="158"/>
      <c r="M2387" s="158"/>
      <c r="N2387" s="153"/>
      <c r="O2387" s="153"/>
    </row>
    <row r="2388" spans="1:15" ht="21" x14ac:dyDescent="0.35">
      <c r="A2388" s="323" t="str">
        <f>ORÇAMENTO!A410</f>
        <v>5.1.2.7.2</v>
      </c>
      <c r="B2388" s="322" t="str">
        <f>VLOOKUP(A2388,ORÇAMENTO!$A:$F,4,0)</f>
        <v>PASSARELA, EM MADEIRA, PARA COBERTA DE VALAS PARA PASSAGEM DE PEDESTRES.</v>
      </c>
      <c r="C2388" s="149" t="str">
        <f>VLOOKUP(A2388,ORÇAMENTO!$A:$F,5,0)</f>
        <v>M²</v>
      </c>
      <c r="D2388" s="149">
        <f>ROUND(SUM(E2391:O2391),2)</f>
        <v>8</v>
      </c>
      <c r="E2388" s="149" t="s">
        <v>2149</v>
      </c>
      <c r="F2388" s="149" t="s">
        <v>2150</v>
      </c>
      <c r="G2388" s="149" t="s">
        <v>2151</v>
      </c>
      <c r="H2388" s="149" t="s">
        <v>2152</v>
      </c>
      <c r="I2388" s="149" t="s">
        <v>2153</v>
      </c>
      <c r="J2388" s="149" t="s">
        <v>2154</v>
      </c>
      <c r="K2388" s="149" t="s">
        <v>2155</v>
      </c>
      <c r="L2388" s="149" t="s">
        <v>2239</v>
      </c>
      <c r="M2388" s="149" t="s">
        <v>413</v>
      </c>
      <c r="N2388" s="149" t="s">
        <v>2157</v>
      </c>
      <c r="O2388" s="149" t="s">
        <v>2158</v>
      </c>
    </row>
    <row r="2389" spans="1:15" x14ac:dyDescent="0.35">
      <c r="A2389" s="321"/>
      <c r="B2389" s="320" t="s">
        <v>2164</v>
      </c>
      <c r="C2389" s="153"/>
      <c r="D2389" s="154"/>
      <c r="E2389" s="154">
        <f>E2387</f>
        <v>831.12999999999965</v>
      </c>
      <c r="F2389" s="154">
        <v>2</v>
      </c>
      <c r="G2389" s="154">
        <v>1</v>
      </c>
      <c r="H2389" s="154"/>
      <c r="I2389" s="154"/>
      <c r="J2389" s="154"/>
      <c r="K2389" s="154"/>
      <c r="L2389" s="154"/>
      <c r="M2389" s="154">
        <f>ROUND(E2389/200,0)</f>
        <v>4</v>
      </c>
      <c r="N2389" s="338">
        <f>M2389*G2389*F2389</f>
        <v>8</v>
      </c>
      <c r="O2389" s="154"/>
    </row>
    <row r="2390" spans="1:15" x14ac:dyDescent="0.35">
      <c r="A2390" s="321"/>
      <c r="B2390" s="320"/>
      <c r="C2390" s="153"/>
      <c r="D2390" s="154"/>
      <c r="E2390" s="154"/>
      <c r="F2390" s="154"/>
      <c r="G2390" s="154"/>
      <c r="H2390" s="154"/>
      <c r="I2390" s="154"/>
      <c r="J2390" s="154"/>
      <c r="K2390" s="154"/>
      <c r="L2390" s="154"/>
      <c r="M2390" s="154"/>
      <c r="N2390" s="338"/>
      <c r="O2390" s="154"/>
    </row>
    <row r="2391" spans="1:15" x14ac:dyDescent="0.35">
      <c r="A2391" s="321"/>
      <c r="B2391" s="318" t="s">
        <v>377</v>
      </c>
      <c r="C2391" s="158" t="s">
        <v>402</v>
      </c>
      <c r="D2391" s="158"/>
      <c r="E2391" s="153"/>
      <c r="F2391" s="158"/>
      <c r="G2391" s="158"/>
      <c r="H2391" s="158"/>
      <c r="I2391" s="158"/>
      <c r="J2391" s="158"/>
      <c r="K2391" s="154"/>
      <c r="L2391" s="158"/>
      <c r="M2391" s="158"/>
      <c r="N2391" s="153">
        <f>SUM(N2389:N2389)</f>
        <v>8</v>
      </c>
      <c r="O2391" s="153"/>
    </row>
    <row r="2392" spans="1:15" ht="21" x14ac:dyDescent="0.35">
      <c r="A2392" s="323" t="str">
        <f>ORÇAMENTO!A411</f>
        <v>5.1.2.7.3</v>
      </c>
      <c r="B2392" s="322" t="str">
        <f>VLOOKUP(A2392,ORÇAMENTO!$A:$F,4,0)</f>
        <v>TELA TAPUME, COR LARANJA, COM SUPORTE A CADA 2M (FORNECIMENTO E INSTALAÇÃO)</v>
      </c>
      <c r="C2392" s="149" t="str">
        <f>VLOOKUP(A2392,ORÇAMENTO!$A:$F,5,0)</f>
        <v>M</v>
      </c>
      <c r="D2392" s="149">
        <f>ROUND(SUM(E2395:O2395),2)</f>
        <v>1662.26</v>
      </c>
      <c r="E2392" s="149" t="s">
        <v>2149</v>
      </c>
      <c r="F2392" s="149" t="s">
        <v>2150</v>
      </c>
      <c r="G2392" s="149" t="s">
        <v>2151</v>
      </c>
      <c r="H2392" s="149" t="s">
        <v>2152</v>
      </c>
      <c r="I2392" s="149" t="s">
        <v>2153</v>
      </c>
      <c r="J2392" s="149" t="s">
        <v>2154</v>
      </c>
      <c r="K2392" s="149" t="s">
        <v>2155</v>
      </c>
      <c r="L2392" s="149" t="s">
        <v>2239</v>
      </c>
      <c r="M2392" s="149" t="s">
        <v>413</v>
      </c>
      <c r="N2392" s="149" t="s">
        <v>2157</v>
      </c>
      <c r="O2392" s="149" t="s">
        <v>2158</v>
      </c>
    </row>
    <row r="2393" spans="1:15" x14ac:dyDescent="0.35">
      <c r="A2393" s="321"/>
      <c r="B2393" s="320" t="s">
        <v>2166</v>
      </c>
      <c r="C2393" s="153"/>
      <c r="D2393" s="154"/>
      <c r="E2393" s="154">
        <f>2*E2389</f>
        <v>1662.2599999999993</v>
      </c>
      <c r="F2393" s="154"/>
      <c r="G2393" s="154"/>
      <c r="H2393" s="154"/>
      <c r="I2393" s="154"/>
      <c r="J2393" s="154"/>
      <c r="K2393" s="154"/>
      <c r="L2393" s="154"/>
      <c r="M2393" s="154"/>
      <c r="N2393" s="338"/>
      <c r="O2393" s="154"/>
    </row>
    <row r="2394" spans="1:15" x14ac:dyDescent="0.35">
      <c r="A2394" s="321"/>
      <c r="B2394" s="320"/>
      <c r="C2394" s="153"/>
      <c r="D2394" s="154"/>
      <c r="E2394" s="154"/>
      <c r="F2394" s="154"/>
      <c r="G2394" s="154"/>
      <c r="H2394" s="154"/>
      <c r="I2394" s="154"/>
      <c r="J2394" s="154"/>
      <c r="K2394" s="154"/>
      <c r="L2394" s="154"/>
      <c r="M2394" s="154"/>
      <c r="N2394" s="338"/>
      <c r="O2394" s="154"/>
    </row>
    <row r="2395" spans="1:15" x14ac:dyDescent="0.35">
      <c r="A2395" s="321"/>
      <c r="B2395" s="318" t="s">
        <v>377</v>
      </c>
      <c r="C2395" s="158" t="s">
        <v>402</v>
      </c>
      <c r="D2395" s="158"/>
      <c r="E2395" s="153">
        <f>SUM(E2393:E2393)</f>
        <v>1662.2599999999993</v>
      </c>
      <c r="F2395" s="158"/>
      <c r="G2395" s="158"/>
      <c r="H2395" s="158"/>
      <c r="I2395" s="158"/>
      <c r="J2395" s="158"/>
      <c r="K2395" s="154"/>
      <c r="L2395" s="158"/>
      <c r="M2395" s="158"/>
      <c r="N2395" s="153"/>
      <c r="O2395" s="153"/>
    </row>
    <row r="2396" spans="1:15" ht="31.5" x14ac:dyDescent="0.35">
      <c r="A2396" s="323" t="str">
        <f>ORÇAMENTO!A412</f>
        <v>5.1.2.7.4</v>
      </c>
      <c r="B2396" s="322" t="str">
        <f>VLOOKUP(A2396,ORÇAMENTO!$A:$F,4,0)</f>
        <v>PLACA DE SINALIZAÇÃO E ADVERTÊNCIA EM CHAPA DE AÇO GALVANIZADA Nº 16 (FORNECIMENTO E FIXAÇÃO)</v>
      </c>
      <c r="C2396" s="149" t="str">
        <f>VLOOKUP(A2396,ORÇAMENTO!$A:$F,5,0)</f>
        <v>UN</v>
      </c>
      <c r="D2396" s="149">
        <f>ROUND(SUM(E2399:O2399),2)</f>
        <v>17</v>
      </c>
      <c r="E2396" s="149" t="s">
        <v>2149</v>
      </c>
      <c r="F2396" s="149" t="s">
        <v>2150</v>
      </c>
      <c r="G2396" s="149" t="s">
        <v>2151</v>
      </c>
      <c r="H2396" s="149" t="s">
        <v>2152</v>
      </c>
      <c r="I2396" s="149" t="s">
        <v>2153</v>
      </c>
      <c r="J2396" s="149" t="s">
        <v>2154</v>
      </c>
      <c r="K2396" s="149" t="s">
        <v>2155</v>
      </c>
      <c r="L2396" s="149" t="s">
        <v>2239</v>
      </c>
      <c r="M2396" s="149" t="s">
        <v>413</v>
      </c>
      <c r="N2396" s="149" t="s">
        <v>2157</v>
      </c>
      <c r="O2396" s="149" t="s">
        <v>2158</v>
      </c>
    </row>
    <row r="2397" spans="1:15" x14ac:dyDescent="0.35">
      <c r="A2397" s="321"/>
      <c r="B2397" s="320" t="s">
        <v>2242</v>
      </c>
      <c r="C2397" s="153"/>
      <c r="D2397" s="154"/>
      <c r="E2397" s="154">
        <f>E2393</f>
        <v>1662.2599999999993</v>
      </c>
      <c r="F2397" s="154"/>
      <c r="G2397" s="154"/>
      <c r="H2397" s="154"/>
      <c r="I2397" s="154"/>
      <c r="J2397" s="154"/>
      <c r="K2397" s="154"/>
      <c r="L2397" s="154"/>
      <c r="M2397" s="154">
        <f>ROUND(E2397/100,0)</f>
        <v>17</v>
      </c>
      <c r="N2397" s="338"/>
      <c r="O2397" s="154"/>
    </row>
    <row r="2398" spans="1:15" x14ac:dyDescent="0.35">
      <c r="A2398" s="321"/>
      <c r="B2398" s="320"/>
      <c r="C2398" s="153"/>
      <c r="D2398" s="154"/>
      <c r="E2398" s="154"/>
      <c r="F2398" s="154"/>
      <c r="G2398" s="154"/>
      <c r="H2398" s="154"/>
      <c r="I2398" s="154"/>
      <c r="J2398" s="154"/>
      <c r="K2398" s="154"/>
      <c r="L2398" s="154"/>
      <c r="M2398" s="154"/>
      <c r="N2398" s="338"/>
      <c r="O2398" s="154"/>
    </row>
    <row r="2399" spans="1:15" x14ac:dyDescent="0.35">
      <c r="A2399" s="321"/>
      <c r="B2399" s="318" t="s">
        <v>377</v>
      </c>
      <c r="C2399" s="158" t="s">
        <v>402</v>
      </c>
      <c r="D2399" s="158"/>
      <c r="E2399" s="153"/>
      <c r="F2399" s="158"/>
      <c r="G2399" s="158"/>
      <c r="H2399" s="158"/>
      <c r="I2399" s="158"/>
      <c r="J2399" s="158"/>
      <c r="K2399" s="154"/>
      <c r="L2399" s="158"/>
      <c r="M2399" s="153">
        <f>SUM(M2397:M2397)</f>
        <v>17</v>
      </c>
      <c r="N2399" s="153"/>
      <c r="O2399" s="153"/>
    </row>
    <row r="2400" spans="1:15" ht="21" x14ac:dyDescent="0.35">
      <c r="A2400" s="323" t="str">
        <f>ORÇAMENTO!A413</f>
        <v>5.1.2.7.5</v>
      </c>
      <c r="B2400" s="322" t="str">
        <f>VLOOKUP(A2400,ORÇAMENTO!$A:$F,4,0)</f>
        <v>SINALIZADOR ELETRÔNICO</v>
      </c>
      <c r="C2400" s="149" t="str">
        <f>VLOOKUP(A2400,ORÇAMENTO!$A:$F,5,0)</f>
        <v>UN</v>
      </c>
      <c r="D2400" s="149">
        <f>ROUND(SUM(E2403:O2403),2)</f>
        <v>17</v>
      </c>
      <c r="E2400" s="149" t="s">
        <v>2149</v>
      </c>
      <c r="F2400" s="149" t="s">
        <v>2150</v>
      </c>
      <c r="G2400" s="149" t="s">
        <v>2151</v>
      </c>
      <c r="H2400" s="149" t="s">
        <v>2152</v>
      </c>
      <c r="I2400" s="149" t="s">
        <v>2153</v>
      </c>
      <c r="J2400" s="149" t="s">
        <v>2154</v>
      </c>
      <c r="K2400" s="149" t="s">
        <v>2155</v>
      </c>
      <c r="L2400" s="149" t="s">
        <v>2239</v>
      </c>
      <c r="M2400" s="149" t="s">
        <v>413</v>
      </c>
      <c r="N2400" s="149" t="s">
        <v>2157</v>
      </c>
      <c r="O2400" s="149" t="s">
        <v>2158</v>
      </c>
    </row>
    <row r="2401" spans="1:15" ht="21" x14ac:dyDescent="0.35">
      <c r="A2401" s="321"/>
      <c r="B2401" s="320" t="s">
        <v>2167</v>
      </c>
      <c r="C2401" s="153"/>
      <c r="D2401" s="154"/>
      <c r="E2401" s="154">
        <f>E2389</f>
        <v>831.12999999999965</v>
      </c>
      <c r="F2401" s="154"/>
      <c r="G2401" s="154"/>
      <c r="H2401" s="154"/>
      <c r="I2401" s="154"/>
      <c r="J2401" s="154"/>
      <c r="K2401" s="154"/>
      <c r="L2401" s="154"/>
      <c r="M2401" s="154">
        <f>ROUND(E2401*0.2/10,0)</f>
        <v>17</v>
      </c>
      <c r="N2401" s="338"/>
      <c r="O2401" s="154"/>
    </row>
    <row r="2402" spans="1:15" x14ac:dyDescent="0.35">
      <c r="A2402" s="321"/>
      <c r="B2402" s="320"/>
      <c r="C2402" s="153"/>
      <c r="D2402" s="154"/>
      <c r="E2402" s="154"/>
      <c r="F2402" s="154"/>
      <c r="G2402" s="154"/>
      <c r="H2402" s="154"/>
      <c r="I2402" s="154"/>
      <c r="J2402" s="154"/>
      <c r="K2402" s="154"/>
      <c r="L2402" s="154"/>
      <c r="M2402" s="154"/>
      <c r="N2402" s="338"/>
      <c r="O2402" s="154"/>
    </row>
    <row r="2403" spans="1:15" x14ac:dyDescent="0.35">
      <c r="A2403" s="321"/>
      <c r="B2403" s="318" t="s">
        <v>377</v>
      </c>
      <c r="C2403" s="158" t="s">
        <v>402</v>
      </c>
      <c r="D2403" s="158"/>
      <c r="E2403" s="153"/>
      <c r="F2403" s="158"/>
      <c r="G2403" s="158"/>
      <c r="H2403" s="158"/>
      <c r="I2403" s="158"/>
      <c r="J2403" s="158"/>
      <c r="K2403" s="154"/>
      <c r="L2403" s="158"/>
      <c r="M2403" s="153">
        <f>SUM(M2401:M2401)</f>
        <v>17</v>
      </c>
      <c r="N2403" s="153"/>
      <c r="O2403" s="153"/>
    </row>
    <row r="2404" spans="1:15" ht="63" x14ac:dyDescent="0.35">
      <c r="A2404" s="323" t="str">
        <f>ORÇAMENTO!A414</f>
        <v>5.1.2.7.6</v>
      </c>
      <c r="B2404" s="322" t="str">
        <f>VLOOKUP(A2404,ORÇAMENTO!$A:$F,4,0)</f>
        <v>ESCAVAÇÃO MECANIZADA DE VALA COM PROF. ATÉ 1,5 M (MÉDIA MONTANTE E JUSANTE/UMA COMPOSIÇÃO POR TRECHO), ESCAVADEIRA (0,8 M3),LARG. MENOR QUE 1,5 M, EM SOLO DE MOLE, EM LOCAIS COM ALTO NÍVEL DE INTERFERÊNCIA. AF_09/2024</v>
      </c>
      <c r="C2404" s="149" t="str">
        <f>VLOOKUP(A2404,ORÇAMENTO!$A:$F,5,0)</f>
        <v>M³</v>
      </c>
      <c r="D2404" s="149">
        <f>ROUND(SUM(E2409:O2409),2)</f>
        <v>428.78</v>
      </c>
      <c r="E2404" s="149" t="s">
        <v>2149</v>
      </c>
      <c r="F2404" s="149" t="s">
        <v>2150</v>
      </c>
      <c r="G2404" s="149" t="s">
        <v>2151</v>
      </c>
      <c r="H2404" s="149" t="s">
        <v>2152</v>
      </c>
      <c r="I2404" s="149" t="s">
        <v>2153</v>
      </c>
      <c r="J2404" s="149" t="s">
        <v>2154</v>
      </c>
      <c r="K2404" s="149" t="s">
        <v>2155</v>
      </c>
      <c r="L2404" s="149" t="s">
        <v>2239</v>
      </c>
      <c r="M2404" s="149" t="s">
        <v>413</v>
      </c>
      <c r="N2404" s="149" t="s">
        <v>2240</v>
      </c>
      <c r="O2404" s="149" t="s">
        <v>2158</v>
      </c>
    </row>
    <row r="2405" spans="1:15" x14ac:dyDescent="0.35">
      <c r="A2405" s="321"/>
      <c r="B2405" s="320"/>
      <c r="C2405" s="153"/>
      <c r="D2405" s="154"/>
      <c r="E2405" s="154"/>
      <c r="F2405" s="154"/>
      <c r="G2405" s="154"/>
      <c r="H2405" s="154"/>
      <c r="I2405" s="154"/>
      <c r="J2405" s="154"/>
      <c r="K2405" s="154"/>
      <c r="L2405" s="154"/>
      <c r="M2405" s="154"/>
      <c r="N2405" s="338"/>
      <c r="O2405" s="154"/>
    </row>
    <row r="2406" spans="1:15" ht="21" x14ac:dyDescent="0.35">
      <c r="A2406" s="321"/>
      <c r="B2406" s="320" t="s">
        <v>2243</v>
      </c>
      <c r="C2406" s="153"/>
      <c r="D2406" s="154"/>
      <c r="E2406" s="154"/>
      <c r="F2406" s="154"/>
      <c r="G2406" s="154"/>
      <c r="H2406" s="154"/>
      <c r="I2406" s="154"/>
      <c r="J2406" s="154"/>
      <c r="K2406" s="154"/>
      <c r="L2406" s="154"/>
      <c r="M2406" s="154"/>
      <c r="N2406" s="338"/>
      <c r="O2406" s="154">
        <f>QUANTBL!AC221</f>
        <v>428.77500000000009</v>
      </c>
    </row>
    <row r="2407" spans="1:15" x14ac:dyDescent="0.35">
      <c r="A2407" s="321"/>
      <c r="B2407" s="320"/>
      <c r="C2407" s="153"/>
      <c r="D2407" s="154"/>
      <c r="E2407" s="154"/>
      <c r="F2407" s="154"/>
      <c r="G2407" s="154"/>
      <c r="H2407" s="154"/>
      <c r="I2407" s="154"/>
      <c r="J2407" s="154"/>
      <c r="K2407" s="154"/>
      <c r="L2407" s="154"/>
      <c r="M2407" s="154"/>
      <c r="N2407" s="338"/>
      <c r="O2407" s="154"/>
    </row>
    <row r="2408" spans="1:15" x14ac:dyDescent="0.35">
      <c r="A2408" s="321"/>
      <c r="B2408" s="320"/>
      <c r="C2408" s="153"/>
      <c r="D2408" s="154"/>
      <c r="E2408" s="154"/>
      <c r="F2408" s="154"/>
      <c r="G2408" s="154"/>
      <c r="H2408" s="154"/>
      <c r="I2408" s="154"/>
      <c r="J2408" s="154"/>
      <c r="K2408" s="154"/>
      <c r="L2408" s="154"/>
      <c r="M2408" s="154"/>
      <c r="N2408" s="338"/>
      <c r="O2408" s="154"/>
    </row>
    <row r="2409" spans="1:15" x14ac:dyDescent="0.35">
      <c r="A2409" s="321"/>
      <c r="B2409" s="318" t="s">
        <v>377</v>
      </c>
      <c r="C2409" s="158" t="s">
        <v>402</v>
      </c>
      <c r="D2409" s="158"/>
      <c r="E2409" s="158"/>
      <c r="F2409" s="158"/>
      <c r="G2409" s="158"/>
      <c r="H2409" s="158"/>
      <c r="I2409" s="158"/>
      <c r="J2409" s="158"/>
      <c r="K2409" s="154"/>
      <c r="L2409" s="158"/>
      <c r="M2409" s="158"/>
      <c r="N2409" s="153"/>
      <c r="O2409" s="153">
        <f>SUM(O2405:O2406)</f>
        <v>428.77500000000009</v>
      </c>
    </row>
    <row r="2410" spans="1:15" ht="63" x14ac:dyDescent="0.35">
      <c r="A2410" s="323" t="str">
        <f>ORÇAMENTO!A415</f>
        <v>5.1.2.7.7</v>
      </c>
      <c r="B2410" s="322" t="str">
        <f>VLOOKUP(A2410,ORÇAMENTO!$A:$F,4,0)</f>
        <v>ESCAVAÇÃO MECANIZADA DE VALA COM PROF. MAIOR QUE 1,5 M ATÉ 3,0 M (MÉDIA MONTANTE E JUSANTE/UMA COMPOSIÇÃO POR TRECHO), ESCAVADEIRA (0,8 M3), LARGURA ATÉ 1,5 M, EM SOLO MOLE, EM LOCAIS COM ALTO NÍVEL DE INTERFERÊNCIA. AF_09/2024</v>
      </c>
      <c r="C2410" s="149" t="str">
        <f>VLOOKUP(A2410,ORÇAMENTO!$A:$F,5,0)</f>
        <v>M³</v>
      </c>
      <c r="D2410" s="149">
        <f>ROUND(SUM(E2415:O2415),2)</f>
        <v>370.52</v>
      </c>
      <c r="E2410" s="149" t="s">
        <v>2149</v>
      </c>
      <c r="F2410" s="149" t="s">
        <v>2150</v>
      </c>
      <c r="G2410" s="149" t="s">
        <v>2151</v>
      </c>
      <c r="H2410" s="149" t="s">
        <v>2152</v>
      </c>
      <c r="I2410" s="149" t="s">
        <v>2153</v>
      </c>
      <c r="J2410" s="149" t="s">
        <v>2154</v>
      </c>
      <c r="K2410" s="149" t="s">
        <v>2155</v>
      </c>
      <c r="L2410" s="149" t="s">
        <v>2239</v>
      </c>
      <c r="M2410" s="149" t="s">
        <v>413</v>
      </c>
      <c r="N2410" s="149" t="s">
        <v>2240</v>
      </c>
      <c r="O2410" s="149" t="s">
        <v>2158</v>
      </c>
    </row>
    <row r="2411" spans="1:15" x14ac:dyDescent="0.35">
      <c r="A2411" s="321"/>
      <c r="B2411" s="320"/>
      <c r="C2411" s="153"/>
      <c r="D2411" s="154"/>
      <c r="E2411" s="154"/>
      <c r="F2411" s="154"/>
      <c r="G2411" s="154"/>
      <c r="H2411" s="154"/>
      <c r="I2411" s="154"/>
      <c r="J2411" s="154"/>
      <c r="K2411" s="154"/>
      <c r="L2411" s="154"/>
      <c r="M2411" s="154"/>
      <c r="N2411" s="338"/>
      <c r="O2411" s="154"/>
    </row>
    <row r="2412" spans="1:15" ht="21" x14ac:dyDescent="0.35">
      <c r="A2412" s="321"/>
      <c r="B2412" s="320" t="s">
        <v>2243</v>
      </c>
      <c r="C2412" s="153"/>
      <c r="D2412" s="154"/>
      <c r="E2412" s="154"/>
      <c r="F2412" s="154"/>
      <c r="G2412" s="154"/>
      <c r="H2412" s="154"/>
      <c r="I2412" s="154"/>
      <c r="J2412" s="154"/>
      <c r="K2412" s="154"/>
      <c r="L2412" s="154"/>
      <c r="M2412" s="154"/>
      <c r="N2412" s="338"/>
      <c r="O2412" s="154">
        <f>QUANTBL!AD221</f>
        <v>370.51701800000012</v>
      </c>
    </row>
    <row r="2413" spans="1:15" x14ac:dyDescent="0.35">
      <c r="A2413" s="321"/>
      <c r="B2413" s="320"/>
      <c r="C2413" s="153"/>
      <c r="D2413" s="154"/>
      <c r="E2413" s="154"/>
      <c r="F2413" s="154"/>
      <c r="G2413" s="154"/>
      <c r="H2413" s="154"/>
      <c r="I2413" s="154"/>
      <c r="J2413" s="154"/>
      <c r="K2413" s="154"/>
      <c r="L2413" s="154"/>
      <c r="M2413" s="154"/>
      <c r="N2413" s="338"/>
      <c r="O2413" s="154"/>
    </row>
    <row r="2414" spans="1:15" x14ac:dyDescent="0.35">
      <c r="A2414" s="321"/>
      <c r="B2414" s="320"/>
      <c r="C2414" s="153"/>
      <c r="D2414" s="154"/>
      <c r="E2414" s="154"/>
      <c r="F2414" s="154"/>
      <c r="G2414" s="154"/>
      <c r="H2414" s="154"/>
      <c r="I2414" s="154"/>
      <c r="J2414" s="154"/>
      <c r="K2414" s="154"/>
      <c r="L2414" s="154"/>
      <c r="M2414" s="154"/>
      <c r="N2414" s="338"/>
      <c r="O2414" s="154"/>
    </row>
    <row r="2415" spans="1:15" x14ac:dyDescent="0.35">
      <c r="A2415" s="321"/>
      <c r="B2415" s="318" t="s">
        <v>377</v>
      </c>
      <c r="C2415" s="158" t="s">
        <v>402</v>
      </c>
      <c r="D2415" s="158"/>
      <c r="E2415" s="158"/>
      <c r="F2415" s="158"/>
      <c r="G2415" s="158"/>
      <c r="H2415" s="158"/>
      <c r="I2415" s="158"/>
      <c r="J2415" s="158"/>
      <c r="K2415" s="154"/>
      <c r="L2415" s="158"/>
      <c r="M2415" s="158"/>
      <c r="N2415" s="153"/>
      <c r="O2415" s="153">
        <f>SUM(O2411:O2412)</f>
        <v>370.51701800000012</v>
      </c>
    </row>
    <row r="2416" spans="1:15" ht="63" x14ac:dyDescent="0.35">
      <c r="A2416" s="323" t="str">
        <f>ORÇAMENTO!A416</f>
        <v>5.1.2.7.8</v>
      </c>
      <c r="B2416" s="322" t="str">
        <f>VLOOKUP(A2416,ORÇAMENTO!$A:$F,4,0)</f>
        <v>ESCAVAÇÃO MECANIZADA DE VALA COM PROF. MAIOR QUE 3,0 M ATÉ 4,5 M (MÉDIA MONTANTE E JUSANTE/UMA COMPOSIÇÃO POR TRECHO), ESCAVADEIRA (0,8 M3), LARG. MENOR QUE 1,5 M, EM SOLO MOLE, EM LOCAIS COM ALTO NÍVEL DE INTERFERÊNCIA. AF_09/2024</v>
      </c>
      <c r="C2416" s="149" t="str">
        <f>VLOOKUP(A2416,ORÇAMENTO!$A:$F,5,0)</f>
        <v>M³</v>
      </c>
      <c r="D2416" s="149">
        <f>ROUND(SUM(E2421:O2421),2)</f>
        <v>133.37</v>
      </c>
      <c r="E2416" s="149" t="s">
        <v>2149</v>
      </c>
      <c r="F2416" s="149" t="s">
        <v>2150</v>
      </c>
      <c r="G2416" s="149" t="s">
        <v>2151</v>
      </c>
      <c r="H2416" s="149" t="s">
        <v>2152</v>
      </c>
      <c r="I2416" s="149" t="s">
        <v>2153</v>
      </c>
      <c r="J2416" s="149" t="s">
        <v>2154</v>
      </c>
      <c r="K2416" s="149" t="s">
        <v>2155</v>
      </c>
      <c r="L2416" s="149" t="s">
        <v>2239</v>
      </c>
      <c r="M2416" s="149" t="s">
        <v>413</v>
      </c>
      <c r="N2416" s="149" t="s">
        <v>2240</v>
      </c>
      <c r="O2416" s="149" t="s">
        <v>2158</v>
      </c>
    </row>
    <row r="2417" spans="1:15" x14ac:dyDescent="0.35">
      <c r="A2417" s="321"/>
      <c r="B2417" s="320"/>
      <c r="C2417" s="153"/>
      <c r="D2417" s="154"/>
      <c r="E2417" s="154"/>
      <c r="F2417" s="154"/>
      <c r="G2417" s="154"/>
      <c r="H2417" s="154"/>
      <c r="I2417" s="154"/>
      <c r="J2417" s="154"/>
      <c r="K2417" s="154"/>
      <c r="L2417" s="154"/>
      <c r="M2417" s="154"/>
      <c r="N2417" s="338"/>
      <c r="O2417" s="154"/>
    </row>
    <row r="2418" spans="1:15" ht="21" x14ac:dyDescent="0.35">
      <c r="A2418" s="321"/>
      <c r="B2418" s="320" t="s">
        <v>2243</v>
      </c>
      <c r="C2418" s="153"/>
      <c r="D2418" s="154"/>
      <c r="E2418" s="154"/>
      <c r="F2418" s="154"/>
      <c r="G2418" s="154"/>
      <c r="H2418" s="154"/>
      <c r="I2418" s="154"/>
      <c r="J2418" s="154"/>
      <c r="K2418" s="154"/>
      <c r="L2418" s="154"/>
      <c r="M2418" s="154"/>
      <c r="N2418" s="338"/>
      <c r="O2418" s="154">
        <f>QUANTBL!AE221</f>
        <v>133.36824000000053</v>
      </c>
    </row>
    <row r="2419" spans="1:15" x14ac:dyDescent="0.35">
      <c r="A2419" s="321"/>
      <c r="B2419" s="320"/>
      <c r="C2419" s="153"/>
      <c r="D2419" s="154"/>
      <c r="E2419" s="154"/>
      <c r="F2419" s="154"/>
      <c r="G2419" s="154"/>
      <c r="H2419" s="154"/>
      <c r="I2419" s="154"/>
      <c r="J2419" s="154"/>
      <c r="K2419" s="154"/>
      <c r="L2419" s="154"/>
      <c r="M2419" s="154"/>
      <c r="N2419" s="338"/>
      <c r="O2419" s="154"/>
    </row>
    <row r="2420" spans="1:15" x14ac:dyDescent="0.35">
      <c r="A2420" s="321"/>
      <c r="B2420" s="320"/>
      <c r="C2420" s="153"/>
      <c r="D2420" s="154"/>
      <c r="E2420" s="154"/>
      <c r="F2420" s="154"/>
      <c r="G2420" s="154"/>
      <c r="H2420" s="154"/>
      <c r="I2420" s="154"/>
      <c r="J2420" s="154"/>
      <c r="K2420" s="154"/>
      <c r="L2420" s="154"/>
      <c r="M2420" s="154"/>
      <c r="N2420" s="338"/>
      <c r="O2420" s="154"/>
    </row>
    <row r="2421" spans="1:15" x14ac:dyDescent="0.35">
      <c r="A2421" s="321"/>
      <c r="B2421" s="318" t="s">
        <v>377</v>
      </c>
      <c r="C2421" s="158" t="s">
        <v>402</v>
      </c>
      <c r="D2421" s="158"/>
      <c r="E2421" s="158"/>
      <c r="F2421" s="158"/>
      <c r="G2421" s="158"/>
      <c r="H2421" s="158"/>
      <c r="I2421" s="158"/>
      <c r="J2421" s="158"/>
      <c r="K2421" s="154"/>
      <c r="L2421" s="158"/>
      <c r="M2421" s="158"/>
      <c r="N2421" s="153"/>
      <c r="O2421" s="153">
        <f>SUM(O2417:O2418)</f>
        <v>133.36824000000053</v>
      </c>
    </row>
    <row r="2422" spans="1:15" ht="63" x14ac:dyDescent="0.35">
      <c r="A2422" s="323" t="str">
        <f>ORÇAMENTO!A417</f>
        <v>5.1.2.7.9</v>
      </c>
      <c r="B2422" s="322" t="str">
        <f>VLOOKUP(A2422,ORÇAMENTO!$A:$F,4,0)</f>
        <v>ESCAVAÇÃO MECANIZADA DE VALA COM PROF. ATÉ 1,5 M (MÉDIA MONTANTE E JUSANTE/UMA COMPOSIÇÃO POR TRECHO), ESCAVADEIRA (0,8 M3), LARG. DE 1,5 M A 2,5 M, EM SOLO MOLE, EM LOCAIS COM ALTO NÍVEL DE INTERFERÊNCIA. AF_09/2024</v>
      </c>
      <c r="C2422" s="149" t="str">
        <f>VLOOKUP(A2422,ORÇAMENTO!$A:$F,5,0)</f>
        <v>M³</v>
      </c>
      <c r="D2422" s="149">
        <f>ROUND(SUM(E2426:O2426),2)</f>
        <v>456.46</v>
      </c>
      <c r="E2422" s="149" t="s">
        <v>2149</v>
      </c>
      <c r="F2422" s="149" t="s">
        <v>2150</v>
      </c>
      <c r="G2422" s="149" t="s">
        <v>2151</v>
      </c>
      <c r="H2422" s="149" t="s">
        <v>2152</v>
      </c>
      <c r="I2422" s="149" t="s">
        <v>2153</v>
      </c>
      <c r="J2422" s="149" t="s">
        <v>2154</v>
      </c>
      <c r="K2422" s="149" t="s">
        <v>2155</v>
      </c>
      <c r="L2422" s="149" t="s">
        <v>2239</v>
      </c>
      <c r="M2422" s="149" t="s">
        <v>413</v>
      </c>
      <c r="N2422" s="149" t="s">
        <v>2244</v>
      </c>
      <c r="O2422" s="149" t="s">
        <v>2158</v>
      </c>
    </row>
    <row r="2423" spans="1:15" x14ac:dyDescent="0.35">
      <c r="A2423" s="321"/>
      <c r="B2423" s="320"/>
      <c r="C2423" s="153"/>
      <c r="D2423" s="154"/>
      <c r="E2423" s="154"/>
      <c r="F2423" s="154"/>
      <c r="G2423" s="154"/>
      <c r="H2423" s="154"/>
      <c r="I2423" s="154"/>
      <c r="J2423" s="154"/>
      <c r="K2423" s="154"/>
      <c r="L2423" s="154"/>
      <c r="M2423" s="154"/>
      <c r="N2423" s="338"/>
      <c r="O2423" s="154"/>
    </row>
    <row r="2424" spans="1:15" x14ac:dyDescent="0.35">
      <c r="A2424" s="321"/>
      <c r="B2424" s="320" t="s">
        <v>2245</v>
      </c>
      <c r="C2424" s="153"/>
      <c r="D2424" s="154"/>
      <c r="E2424" s="154"/>
      <c r="F2424" s="154"/>
      <c r="G2424" s="154"/>
      <c r="H2424" s="154"/>
      <c r="I2424" s="154"/>
      <c r="J2424" s="154"/>
      <c r="K2424" s="154"/>
      <c r="L2424" s="154"/>
      <c r="M2424" s="154"/>
      <c r="N2424" s="338"/>
      <c r="O2424" s="154">
        <f>QUANTBL!CE221</f>
        <v>456.46020000000004</v>
      </c>
    </row>
    <row r="2425" spans="1:15" x14ac:dyDescent="0.35">
      <c r="A2425" s="321"/>
      <c r="B2425" s="320"/>
      <c r="C2425" s="153"/>
      <c r="D2425" s="154"/>
      <c r="E2425" s="154"/>
      <c r="F2425" s="154"/>
      <c r="G2425" s="154"/>
      <c r="H2425" s="154"/>
      <c r="I2425" s="154"/>
      <c r="J2425" s="154"/>
      <c r="K2425" s="154"/>
      <c r="L2425" s="154"/>
      <c r="M2425" s="154"/>
      <c r="N2425" s="338"/>
      <c r="O2425" s="154"/>
    </row>
    <row r="2426" spans="1:15" x14ac:dyDescent="0.35">
      <c r="A2426" s="321"/>
      <c r="B2426" s="318" t="s">
        <v>377</v>
      </c>
      <c r="C2426" s="158" t="s">
        <v>402</v>
      </c>
      <c r="D2426" s="158"/>
      <c r="E2426" s="158"/>
      <c r="F2426" s="158"/>
      <c r="G2426" s="158"/>
      <c r="H2426" s="158"/>
      <c r="I2426" s="158"/>
      <c r="J2426" s="158"/>
      <c r="K2426" s="154"/>
      <c r="L2426" s="158"/>
      <c r="M2426" s="158"/>
      <c r="N2426" s="153"/>
      <c r="O2426" s="153">
        <f>SUM(O2423:O2425)</f>
        <v>456.46020000000004</v>
      </c>
    </row>
    <row r="2427" spans="1:15" ht="63" x14ac:dyDescent="0.35">
      <c r="A2427" s="323" t="str">
        <f>ORÇAMENTO!A418</f>
        <v>5.1.2.7.10</v>
      </c>
      <c r="B2427" s="322" t="str">
        <f>VLOOKUP(A2427,ORÇAMENTO!$A:$F,4,0)</f>
        <v>ESCAVAÇÃO MECANIZADA DE VALA COM PROF. MAIOR QUE 1,5 M ATÉ 3,0 M (MÉDIA MONTANTE E JUSANTE/UMA COMPOSIÇÃO POR TRECHO),COM ESCAVADEIRA (1,2 M3),LARG. DE 1,5 M A 2,5 M, EM SOLO MOLE, EM LOCAIS COM ALTO NÍVEL DE INTERFERÊNCIA. AF_09/2024</v>
      </c>
      <c r="C2427" s="149" t="str">
        <f>VLOOKUP(A2427,ORÇAMENTO!$A:$F,5,0)</f>
        <v>M³</v>
      </c>
      <c r="D2427" s="149">
        <f>ROUND(SUM(E2431:O2431),2)</f>
        <v>322.39999999999998</v>
      </c>
      <c r="E2427" s="149" t="s">
        <v>2149</v>
      </c>
      <c r="F2427" s="149" t="s">
        <v>2150</v>
      </c>
      <c r="G2427" s="149" t="s">
        <v>2151</v>
      </c>
      <c r="H2427" s="149" t="s">
        <v>2152</v>
      </c>
      <c r="I2427" s="149" t="s">
        <v>2153</v>
      </c>
      <c r="J2427" s="149" t="s">
        <v>2154</v>
      </c>
      <c r="K2427" s="149" t="s">
        <v>2155</v>
      </c>
      <c r="L2427" s="149" t="s">
        <v>2239</v>
      </c>
      <c r="M2427" s="149" t="s">
        <v>413</v>
      </c>
      <c r="N2427" s="149" t="s">
        <v>2244</v>
      </c>
      <c r="O2427" s="149" t="s">
        <v>2158</v>
      </c>
    </row>
    <row r="2428" spans="1:15" x14ac:dyDescent="0.35">
      <c r="A2428" s="321"/>
      <c r="B2428" s="320"/>
      <c r="C2428" s="153"/>
      <c r="D2428" s="154"/>
      <c r="E2428" s="154"/>
      <c r="F2428" s="154"/>
      <c r="G2428" s="154"/>
      <c r="H2428" s="154"/>
      <c r="I2428" s="154"/>
      <c r="J2428" s="154"/>
      <c r="K2428" s="154"/>
      <c r="L2428" s="154"/>
      <c r="M2428" s="154"/>
      <c r="N2428" s="338"/>
      <c r="O2428" s="154"/>
    </row>
    <row r="2429" spans="1:15" x14ac:dyDescent="0.35">
      <c r="A2429" s="321"/>
      <c r="B2429" s="320" t="s">
        <v>2245</v>
      </c>
      <c r="C2429" s="153"/>
      <c r="D2429" s="154"/>
      <c r="E2429" s="154"/>
      <c r="F2429" s="154"/>
      <c r="G2429" s="154"/>
      <c r="H2429" s="154"/>
      <c r="I2429" s="154"/>
      <c r="J2429" s="154"/>
      <c r="K2429" s="154"/>
      <c r="L2429" s="154"/>
      <c r="M2429" s="154"/>
      <c r="N2429" s="338"/>
      <c r="O2429" s="154">
        <f>QUANTBL!CF221</f>
        <v>322.39664687999976</v>
      </c>
    </row>
    <row r="2430" spans="1:15" x14ac:dyDescent="0.35">
      <c r="A2430" s="321"/>
      <c r="B2430" s="320"/>
      <c r="C2430" s="153"/>
      <c r="D2430" s="154"/>
      <c r="E2430" s="154"/>
      <c r="F2430" s="154"/>
      <c r="G2430" s="154"/>
      <c r="H2430" s="154"/>
      <c r="I2430" s="154"/>
      <c r="J2430" s="154"/>
      <c r="K2430" s="154"/>
      <c r="L2430" s="154"/>
      <c r="M2430" s="154"/>
      <c r="N2430" s="338"/>
      <c r="O2430" s="154"/>
    </row>
    <row r="2431" spans="1:15" x14ac:dyDescent="0.35">
      <c r="A2431" s="321"/>
      <c r="B2431" s="318" t="s">
        <v>377</v>
      </c>
      <c r="C2431" s="158" t="s">
        <v>402</v>
      </c>
      <c r="D2431" s="158"/>
      <c r="E2431" s="158"/>
      <c r="F2431" s="158"/>
      <c r="G2431" s="158"/>
      <c r="H2431" s="158"/>
      <c r="I2431" s="158"/>
      <c r="J2431" s="158"/>
      <c r="K2431" s="154"/>
      <c r="L2431" s="158"/>
      <c r="M2431" s="158"/>
      <c r="N2431" s="153"/>
      <c r="O2431" s="153">
        <f>SUM(O2428:O2430)</f>
        <v>322.39664687999976</v>
      </c>
    </row>
    <row r="2432" spans="1:15" ht="63" x14ac:dyDescent="0.35">
      <c r="A2432" s="323" t="str">
        <f>ORÇAMENTO!A419</f>
        <v>5.1.2.7.11</v>
      </c>
      <c r="B2432" s="322" t="str">
        <f>VLOOKUP(A2432,ORÇAMENTO!$A:$F,4,0)</f>
        <v>ESCAVAÇÃO MECANIZADA DE VALA COM PROF. ATÉ 1,5 M (MÉDIA MONTANTE E JUSANTE/UMA COMPOSIÇÃO POR TRECHO), ESCAVADEIRA (0,8 M3), LARG. MENOR QUE 1,5 M, EM SOLO DE 1A CATEGORIA, EM LOCAIS COM ALTO NÍVEL DE INTERFERÊNCIA. AF_09/2024</v>
      </c>
      <c r="C2432" s="149" t="str">
        <f>VLOOKUP(A2432,ORÇAMENTO!$A:$F,5,0)</f>
        <v>M³</v>
      </c>
      <c r="D2432" s="149">
        <f>ROUND(SUM(E2437:O2437),2)</f>
        <v>817.92</v>
      </c>
      <c r="E2432" s="149" t="s">
        <v>2149</v>
      </c>
      <c r="F2432" s="149" t="s">
        <v>2150</v>
      </c>
      <c r="G2432" s="149" t="s">
        <v>2151</v>
      </c>
      <c r="H2432" s="149" t="s">
        <v>2152</v>
      </c>
      <c r="I2432" s="149" t="s">
        <v>2153</v>
      </c>
      <c r="J2432" s="149" t="s">
        <v>2154</v>
      </c>
      <c r="K2432" s="149" t="s">
        <v>2155</v>
      </c>
      <c r="L2432" s="149" t="s">
        <v>2239</v>
      </c>
      <c r="M2432" s="149" t="s">
        <v>413</v>
      </c>
      <c r="N2432" s="149" t="s">
        <v>2240</v>
      </c>
      <c r="O2432" s="149" t="s">
        <v>2158</v>
      </c>
    </row>
    <row r="2433" spans="1:15" x14ac:dyDescent="0.35">
      <c r="A2433" s="321"/>
      <c r="B2433" s="320"/>
      <c r="C2433" s="153"/>
      <c r="D2433" s="154"/>
      <c r="E2433" s="154"/>
      <c r="F2433" s="154"/>
      <c r="G2433" s="154"/>
      <c r="H2433" s="154"/>
      <c r="I2433" s="154"/>
      <c r="J2433" s="154"/>
      <c r="K2433" s="154"/>
      <c r="L2433" s="154"/>
      <c r="M2433" s="154"/>
      <c r="N2433" s="338"/>
      <c r="O2433" s="154"/>
    </row>
    <row r="2434" spans="1:15" ht="21" x14ac:dyDescent="0.35">
      <c r="A2434" s="321"/>
      <c r="B2434" s="320" t="s">
        <v>2243</v>
      </c>
      <c r="C2434" s="153"/>
      <c r="D2434" s="154"/>
      <c r="E2434" s="154"/>
      <c r="F2434" s="154"/>
      <c r="G2434" s="154"/>
      <c r="H2434" s="154"/>
      <c r="I2434" s="154"/>
      <c r="J2434" s="154"/>
      <c r="K2434" s="154"/>
      <c r="L2434" s="154"/>
      <c r="M2434" s="154"/>
      <c r="N2434" s="338"/>
      <c r="O2434" s="154">
        <f>QUANTBL!AF221</f>
        <v>817.92</v>
      </c>
    </row>
    <row r="2435" spans="1:15" x14ac:dyDescent="0.35">
      <c r="A2435" s="321"/>
      <c r="B2435" s="320"/>
      <c r="C2435" s="153"/>
      <c r="D2435" s="154"/>
      <c r="E2435" s="154"/>
      <c r="F2435" s="154"/>
      <c r="G2435" s="154"/>
      <c r="H2435" s="154"/>
      <c r="I2435" s="154"/>
      <c r="J2435" s="154"/>
      <c r="K2435" s="154"/>
      <c r="L2435" s="154"/>
      <c r="M2435" s="154"/>
      <c r="N2435" s="338"/>
      <c r="O2435" s="154"/>
    </row>
    <row r="2436" spans="1:15" x14ac:dyDescent="0.35">
      <c r="A2436" s="321"/>
      <c r="B2436" s="320"/>
      <c r="C2436" s="153"/>
      <c r="D2436" s="154"/>
      <c r="E2436" s="154"/>
      <c r="F2436" s="154"/>
      <c r="G2436" s="154"/>
      <c r="H2436" s="154"/>
      <c r="I2436" s="154"/>
      <c r="J2436" s="154"/>
      <c r="K2436" s="154"/>
      <c r="L2436" s="154"/>
      <c r="M2436" s="154"/>
      <c r="N2436" s="338"/>
      <c r="O2436" s="154"/>
    </row>
    <row r="2437" spans="1:15" x14ac:dyDescent="0.35">
      <c r="A2437" s="321"/>
      <c r="B2437" s="318" t="s">
        <v>377</v>
      </c>
      <c r="C2437" s="158" t="s">
        <v>402</v>
      </c>
      <c r="D2437" s="158"/>
      <c r="E2437" s="158"/>
      <c r="F2437" s="158"/>
      <c r="G2437" s="158"/>
      <c r="H2437" s="158"/>
      <c r="I2437" s="158"/>
      <c r="J2437" s="158"/>
      <c r="K2437" s="154"/>
      <c r="L2437" s="158"/>
      <c r="M2437" s="158"/>
      <c r="N2437" s="153"/>
      <c r="O2437" s="153">
        <f>SUM(O2433:O2434)</f>
        <v>817.92</v>
      </c>
    </row>
    <row r="2438" spans="1:15" ht="63" x14ac:dyDescent="0.35">
      <c r="A2438" s="323" t="str">
        <f>ORÇAMENTO!A420</f>
        <v>5.1.2.7.12</v>
      </c>
      <c r="B2438" s="322" t="str">
        <f>VLOOKUP(A2438,ORÇAMENTO!$A:$F,4,0)</f>
        <v>ESCAVAÇÃO MECANIZADA DE VALA COM PROF. MAIOR QUE 1,5 M ATÉ 3,0 M (MÉDIA MONTANTE E JUSANTE/UMA COMPOSIÇÃO POR TRECHO), ESCAVADEIRA (0,8 M3), LARGURA ATÉ 1,5 M, EM SOLO DE 1A CATEGORIA, EM LOCAIS COM ALTO NÍVEL DE INTERFERÊNCIA. AF_09/2024</v>
      </c>
      <c r="C2438" s="149" t="str">
        <f>VLOOKUP(A2438,ORÇAMENTO!$A:$F,5,0)</f>
        <v>M³</v>
      </c>
      <c r="D2438" s="149">
        <f>ROUND(SUM(E2443:O2443),2)</f>
        <v>321.57</v>
      </c>
      <c r="E2438" s="149" t="s">
        <v>2149</v>
      </c>
      <c r="F2438" s="149" t="s">
        <v>2150</v>
      </c>
      <c r="G2438" s="149" t="s">
        <v>2151</v>
      </c>
      <c r="H2438" s="149" t="s">
        <v>2152</v>
      </c>
      <c r="I2438" s="149" t="s">
        <v>2153</v>
      </c>
      <c r="J2438" s="149" t="s">
        <v>2154</v>
      </c>
      <c r="K2438" s="149" t="s">
        <v>2155</v>
      </c>
      <c r="L2438" s="149" t="s">
        <v>2239</v>
      </c>
      <c r="M2438" s="149" t="s">
        <v>413</v>
      </c>
      <c r="N2438" s="149" t="s">
        <v>2240</v>
      </c>
      <c r="O2438" s="149" t="s">
        <v>2158</v>
      </c>
    </row>
    <row r="2439" spans="1:15" x14ac:dyDescent="0.35">
      <c r="A2439" s="321"/>
      <c r="B2439" s="320"/>
      <c r="C2439" s="153"/>
      <c r="D2439" s="154"/>
      <c r="E2439" s="154"/>
      <c r="F2439" s="154"/>
      <c r="G2439" s="154"/>
      <c r="H2439" s="154"/>
      <c r="I2439" s="154"/>
      <c r="J2439" s="154"/>
      <c r="K2439" s="154"/>
      <c r="L2439" s="154"/>
      <c r="M2439" s="154"/>
      <c r="N2439" s="338"/>
      <c r="O2439" s="154"/>
    </row>
    <row r="2440" spans="1:15" ht="21" x14ac:dyDescent="0.35">
      <c r="A2440" s="321"/>
      <c r="B2440" s="320" t="s">
        <v>2243</v>
      </c>
      <c r="C2440" s="153"/>
      <c r="D2440" s="154"/>
      <c r="E2440" s="154"/>
      <c r="F2440" s="154"/>
      <c r="G2440" s="154"/>
      <c r="H2440" s="154"/>
      <c r="I2440" s="154"/>
      <c r="J2440" s="154"/>
      <c r="K2440" s="154"/>
      <c r="L2440" s="154"/>
      <c r="M2440" s="154"/>
      <c r="N2440" s="338"/>
      <c r="O2440" s="154">
        <f>QUANTBL!AG221</f>
        <v>321.56723000000022</v>
      </c>
    </row>
    <row r="2441" spans="1:15" x14ac:dyDescent="0.35">
      <c r="A2441" s="321"/>
      <c r="B2441" s="320"/>
      <c r="C2441" s="153"/>
      <c r="D2441" s="154"/>
      <c r="E2441" s="154"/>
      <c r="F2441" s="154"/>
      <c r="G2441" s="154"/>
      <c r="H2441" s="154"/>
      <c r="I2441" s="154"/>
      <c r="J2441" s="154"/>
      <c r="K2441" s="154"/>
      <c r="L2441" s="154"/>
      <c r="M2441" s="154"/>
      <c r="N2441" s="338"/>
      <c r="O2441" s="154"/>
    </row>
    <row r="2442" spans="1:15" x14ac:dyDescent="0.35">
      <c r="A2442" s="321"/>
      <c r="B2442" s="320"/>
      <c r="C2442" s="153"/>
      <c r="D2442" s="154"/>
      <c r="E2442" s="154"/>
      <c r="F2442" s="154"/>
      <c r="G2442" s="154"/>
      <c r="H2442" s="154"/>
      <c r="I2442" s="154"/>
      <c r="J2442" s="154"/>
      <c r="K2442" s="154"/>
      <c r="L2442" s="154"/>
      <c r="M2442" s="154"/>
      <c r="N2442" s="338"/>
      <c r="O2442" s="154"/>
    </row>
    <row r="2443" spans="1:15" x14ac:dyDescent="0.35">
      <c r="A2443" s="321"/>
      <c r="B2443" s="318" t="s">
        <v>377</v>
      </c>
      <c r="C2443" s="158" t="s">
        <v>402</v>
      </c>
      <c r="D2443" s="158"/>
      <c r="E2443" s="158"/>
      <c r="F2443" s="158"/>
      <c r="G2443" s="158"/>
      <c r="H2443" s="158"/>
      <c r="I2443" s="158"/>
      <c r="J2443" s="158"/>
      <c r="K2443" s="154"/>
      <c r="L2443" s="158"/>
      <c r="M2443" s="158"/>
      <c r="N2443" s="153"/>
      <c r="O2443" s="153">
        <f>SUM(O2439:O2440)</f>
        <v>321.56723000000022</v>
      </c>
    </row>
    <row r="2444" spans="1:15" ht="63" x14ac:dyDescent="0.35">
      <c r="A2444" s="323" t="str">
        <f>ORÇAMENTO!A421</f>
        <v>5.1.2.7.13</v>
      </c>
      <c r="B2444" s="322" t="str">
        <f>VLOOKUP(A2444,ORÇAMENTO!$A:$F,4,0)</f>
        <v>ESCAVAÇÃO MECANIZADA DE VALA COM PROF. MAIOR QUE 3,0 M ATÉ 4,5 M(MÉDIA MONTANTE E JUSANTE/UMA COMPOSIÇÃO POR TRECHO), ESCAVADEIRA (0,8 M3), LARG. MENOR QUE 1,5 M, EM SOLO DE 1A CATEGORIA, EM LOCAIS COM ALTO NÍVEL DE INTERFERÊNCIA. AF_09/2024</v>
      </c>
      <c r="C2444" s="149" t="str">
        <f>VLOOKUP(A2444,ORÇAMENTO!$A:$F,5,0)</f>
        <v>M³</v>
      </c>
      <c r="D2444" s="149">
        <f>ROUND(SUM(E2449:O2449),2)</f>
        <v>13.67</v>
      </c>
      <c r="E2444" s="149" t="s">
        <v>2149</v>
      </c>
      <c r="F2444" s="149" t="s">
        <v>2150</v>
      </c>
      <c r="G2444" s="149" t="s">
        <v>2151</v>
      </c>
      <c r="H2444" s="149" t="s">
        <v>2152</v>
      </c>
      <c r="I2444" s="149" t="s">
        <v>2153</v>
      </c>
      <c r="J2444" s="149" t="s">
        <v>2154</v>
      </c>
      <c r="K2444" s="149" t="s">
        <v>2155</v>
      </c>
      <c r="L2444" s="149" t="s">
        <v>2239</v>
      </c>
      <c r="M2444" s="149" t="s">
        <v>413</v>
      </c>
      <c r="N2444" s="149" t="s">
        <v>2240</v>
      </c>
      <c r="O2444" s="149" t="s">
        <v>2158</v>
      </c>
    </row>
    <row r="2445" spans="1:15" x14ac:dyDescent="0.35">
      <c r="A2445" s="321"/>
      <c r="B2445" s="320"/>
      <c r="C2445" s="153"/>
      <c r="D2445" s="154"/>
      <c r="E2445" s="154"/>
      <c r="F2445" s="154"/>
      <c r="G2445" s="154"/>
      <c r="H2445" s="154"/>
      <c r="I2445" s="154"/>
      <c r="J2445" s="154"/>
      <c r="K2445" s="154"/>
      <c r="L2445" s="154"/>
      <c r="M2445" s="154"/>
      <c r="N2445" s="338"/>
      <c r="O2445" s="154"/>
    </row>
    <row r="2446" spans="1:15" ht="21" x14ac:dyDescent="0.35">
      <c r="A2446" s="321"/>
      <c r="B2446" s="320" t="s">
        <v>2243</v>
      </c>
      <c r="C2446" s="153"/>
      <c r="D2446" s="154"/>
      <c r="E2446" s="154"/>
      <c r="F2446" s="154"/>
      <c r="G2446" s="154"/>
      <c r="H2446" s="154"/>
      <c r="I2446" s="154"/>
      <c r="J2446" s="154"/>
      <c r="K2446" s="154"/>
      <c r="L2446" s="154"/>
      <c r="M2446" s="154"/>
      <c r="N2446" s="338"/>
      <c r="O2446" s="154">
        <f>QUANTBL!AH221</f>
        <v>13.67135000000104</v>
      </c>
    </row>
    <row r="2447" spans="1:15" x14ac:dyDescent="0.35">
      <c r="A2447" s="321"/>
      <c r="B2447" s="320"/>
      <c r="C2447" s="153"/>
      <c r="D2447" s="154"/>
      <c r="E2447" s="154"/>
      <c r="F2447" s="154"/>
      <c r="G2447" s="154"/>
      <c r="H2447" s="154"/>
      <c r="I2447" s="154"/>
      <c r="J2447" s="154"/>
      <c r="K2447" s="154"/>
      <c r="L2447" s="154"/>
      <c r="M2447" s="154"/>
      <c r="N2447" s="338"/>
      <c r="O2447" s="154"/>
    </row>
    <row r="2448" spans="1:15" x14ac:dyDescent="0.35">
      <c r="A2448" s="321"/>
      <c r="B2448" s="320"/>
      <c r="C2448" s="153"/>
      <c r="D2448" s="154"/>
      <c r="E2448" s="154"/>
      <c r="F2448" s="154"/>
      <c r="G2448" s="154"/>
      <c r="H2448" s="154"/>
      <c r="I2448" s="154"/>
      <c r="J2448" s="154"/>
      <c r="K2448" s="154"/>
      <c r="L2448" s="154"/>
      <c r="M2448" s="154"/>
      <c r="N2448" s="338"/>
      <c r="O2448" s="154"/>
    </row>
    <row r="2449" spans="1:15" x14ac:dyDescent="0.35">
      <c r="A2449" s="321"/>
      <c r="B2449" s="318" t="s">
        <v>377</v>
      </c>
      <c r="C2449" s="158" t="s">
        <v>402</v>
      </c>
      <c r="D2449" s="158"/>
      <c r="E2449" s="158"/>
      <c r="F2449" s="158"/>
      <c r="G2449" s="158"/>
      <c r="H2449" s="158"/>
      <c r="I2449" s="158"/>
      <c r="J2449" s="158"/>
      <c r="K2449" s="154"/>
      <c r="L2449" s="158"/>
      <c r="M2449" s="158"/>
      <c r="N2449" s="153"/>
      <c r="O2449" s="153">
        <f>SUM(O2445:O2446)</f>
        <v>13.67135000000104</v>
      </c>
    </row>
    <row r="2450" spans="1:15" ht="63" x14ac:dyDescent="0.35">
      <c r="A2450" s="323" t="str">
        <f>ORÇAMENTO!A422</f>
        <v>5.1.2.7.14</v>
      </c>
      <c r="B2450" s="322" t="str">
        <f>VLOOKUP(A2450,ORÇAMENTO!$A:$F,4,0)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2450" s="149" t="str">
        <f>VLOOKUP(A2450,ORÇAMENTO!$A:$F,5,0)</f>
        <v>M³</v>
      </c>
      <c r="D2450" s="149">
        <f>ROUND(SUM(E2454:O2454),2)</f>
        <v>1018.68</v>
      </c>
      <c r="E2450" s="149" t="s">
        <v>2149</v>
      </c>
      <c r="F2450" s="149" t="s">
        <v>2150</v>
      </c>
      <c r="G2450" s="149" t="s">
        <v>2151</v>
      </c>
      <c r="H2450" s="149" t="s">
        <v>2152</v>
      </c>
      <c r="I2450" s="149" t="s">
        <v>2153</v>
      </c>
      <c r="J2450" s="149" t="s">
        <v>2154</v>
      </c>
      <c r="K2450" s="149" t="s">
        <v>2155</v>
      </c>
      <c r="L2450" s="149" t="s">
        <v>2239</v>
      </c>
      <c r="M2450" s="149" t="s">
        <v>413</v>
      </c>
      <c r="N2450" s="149" t="s">
        <v>2240</v>
      </c>
      <c r="O2450" s="149" t="s">
        <v>2158</v>
      </c>
    </row>
    <row r="2451" spans="1:15" x14ac:dyDescent="0.35">
      <c r="A2451" s="321"/>
      <c r="B2451" s="320"/>
      <c r="C2451" s="153"/>
      <c r="D2451" s="154"/>
      <c r="E2451" s="154"/>
      <c r="F2451" s="154"/>
      <c r="G2451" s="154"/>
      <c r="H2451" s="154"/>
      <c r="I2451" s="154"/>
      <c r="J2451" s="154"/>
      <c r="K2451" s="154"/>
      <c r="L2451" s="154"/>
      <c r="M2451" s="154"/>
      <c r="N2451" s="338"/>
      <c r="O2451" s="154"/>
    </row>
    <row r="2452" spans="1:15" x14ac:dyDescent="0.35">
      <c r="A2452" s="321"/>
      <c r="B2452" s="320" t="s">
        <v>2245</v>
      </c>
      <c r="C2452" s="153"/>
      <c r="D2452" s="154"/>
      <c r="E2452" s="154"/>
      <c r="F2452" s="154"/>
      <c r="G2452" s="154"/>
      <c r="H2452" s="154"/>
      <c r="I2452" s="154"/>
      <c r="J2452" s="154"/>
      <c r="K2452" s="154"/>
      <c r="L2452" s="154"/>
      <c r="M2452" s="154"/>
      <c r="N2452" s="338"/>
      <c r="O2452" s="154">
        <f>QUANTBL!CC221</f>
        <v>1018.6834492800004</v>
      </c>
    </row>
    <row r="2453" spans="1:15" x14ac:dyDescent="0.35">
      <c r="A2453" s="321"/>
      <c r="B2453" s="320"/>
      <c r="C2453" s="153"/>
      <c r="D2453" s="154"/>
      <c r="E2453" s="154"/>
      <c r="F2453" s="154"/>
      <c r="G2453" s="154"/>
      <c r="H2453" s="154"/>
      <c r="I2453" s="154"/>
      <c r="J2453" s="154"/>
      <c r="K2453" s="154"/>
      <c r="L2453" s="154"/>
      <c r="M2453" s="154"/>
      <c r="N2453" s="338"/>
      <c r="O2453" s="154"/>
    </row>
    <row r="2454" spans="1:15" x14ac:dyDescent="0.35">
      <c r="A2454" s="321"/>
      <c r="B2454" s="318" t="s">
        <v>377</v>
      </c>
      <c r="C2454" s="158" t="s">
        <v>402</v>
      </c>
      <c r="D2454" s="158"/>
      <c r="E2454" s="158"/>
      <c r="F2454" s="158"/>
      <c r="G2454" s="158"/>
      <c r="H2454" s="158"/>
      <c r="I2454" s="158"/>
      <c r="J2454" s="158"/>
      <c r="K2454" s="154"/>
      <c r="L2454" s="158"/>
      <c r="M2454" s="158"/>
      <c r="N2454" s="153"/>
      <c r="O2454" s="153">
        <f>SUM(O2452:O2453)</f>
        <v>1018.6834492800004</v>
      </c>
    </row>
    <row r="2455" spans="1:15" ht="63" x14ac:dyDescent="0.35">
      <c r="A2455" s="323" t="str">
        <f>ORÇAMENTO!A423</f>
        <v>5.1.2.7.15</v>
      </c>
      <c r="B2455" s="322" t="str">
        <f>VLOOKUP(A2455,ORÇAMENTO!$A:$F,4,0)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C2455" s="149" t="str">
        <f>VLOOKUP(A2455,ORÇAMENTO!$A:$F,5,0)</f>
        <v>M³</v>
      </c>
      <c r="D2455" s="149">
        <f>ROUND(SUM(E2459:O2459),2)</f>
        <v>174.47</v>
      </c>
      <c r="E2455" s="149" t="s">
        <v>2149</v>
      </c>
      <c r="F2455" s="149" t="s">
        <v>2150</v>
      </c>
      <c r="G2455" s="149" t="s">
        <v>2151</v>
      </c>
      <c r="H2455" s="149" t="s">
        <v>2152</v>
      </c>
      <c r="I2455" s="149" t="s">
        <v>2153</v>
      </c>
      <c r="J2455" s="149" t="s">
        <v>2154</v>
      </c>
      <c r="K2455" s="149" t="s">
        <v>2155</v>
      </c>
      <c r="L2455" s="149" t="s">
        <v>2239</v>
      </c>
      <c r="M2455" s="149" t="s">
        <v>413</v>
      </c>
      <c r="N2455" s="149" t="s">
        <v>2244</v>
      </c>
      <c r="O2455" s="149" t="s">
        <v>2158</v>
      </c>
    </row>
    <row r="2456" spans="1:15" x14ac:dyDescent="0.35">
      <c r="A2456" s="321"/>
      <c r="B2456" s="320"/>
      <c r="C2456" s="153"/>
      <c r="D2456" s="154"/>
      <c r="E2456" s="154"/>
      <c r="F2456" s="154"/>
      <c r="G2456" s="154"/>
      <c r="H2456" s="154"/>
      <c r="I2456" s="154"/>
      <c r="J2456" s="154"/>
      <c r="K2456" s="154"/>
      <c r="L2456" s="154"/>
      <c r="M2456" s="154"/>
      <c r="N2456" s="338"/>
      <c r="O2456" s="154"/>
    </row>
    <row r="2457" spans="1:15" x14ac:dyDescent="0.35">
      <c r="A2457" s="321"/>
      <c r="B2457" s="320" t="s">
        <v>2245</v>
      </c>
      <c r="C2457" s="153"/>
      <c r="D2457" s="154"/>
      <c r="E2457" s="154"/>
      <c r="F2457" s="154"/>
      <c r="G2457" s="154"/>
      <c r="H2457" s="154"/>
      <c r="I2457" s="154"/>
      <c r="J2457" s="154"/>
      <c r="K2457" s="154"/>
      <c r="L2457" s="154"/>
      <c r="M2457" s="154"/>
      <c r="N2457" s="338"/>
      <c r="O2457" s="154">
        <f>QUANTBL!CD221</f>
        <v>174.47417288000005</v>
      </c>
    </row>
    <row r="2458" spans="1:15" x14ac:dyDescent="0.35">
      <c r="A2458" s="321"/>
      <c r="B2458" s="320"/>
      <c r="C2458" s="153"/>
      <c r="D2458" s="154"/>
      <c r="E2458" s="154"/>
      <c r="F2458" s="154"/>
      <c r="G2458" s="154"/>
      <c r="H2458" s="154"/>
      <c r="I2458" s="154"/>
      <c r="J2458" s="154"/>
      <c r="K2458" s="154"/>
      <c r="L2458" s="154"/>
      <c r="M2458" s="154"/>
      <c r="N2458" s="338"/>
      <c r="O2458" s="154"/>
    </row>
    <row r="2459" spans="1:15" x14ac:dyDescent="0.35">
      <c r="A2459" s="321"/>
      <c r="B2459" s="318" t="s">
        <v>377</v>
      </c>
      <c r="C2459" s="158" t="s">
        <v>402</v>
      </c>
      <c r="D2459" s="158"/>
      <c r="E2459" s="158"/>
      <c r="F2459" s="158"/>
      <c r="G2459" s="158"/>
      <c r="H2459" s="158"/>
      <c r="I2459" s="158"/>
      <c r="J2459" s="158"/>
      <c r="K2459" s="154"/>
      <c r="L2459" s="158"/>
      <c r="M2459" s="158"/>
      <c r="N2459" s="153"/>
      <c r="O2459" s="153">
        <f>SUM(O2456:O2458)</f>
        <v>174.47417288000005</v>
      </c>
    </row>
    <row r="2460" spans="1:15" ht="31.5" x14ac:dyDescent="0.35">
      <c r="A2460" s="323" t="str">
        <f>ORÇAMENTO!A424</f>
        <v>5.1.2.7.16</v>
      </c>
      <c r="B2460" s="322" t="str">
        <f>VLOOKUP(A2460,ORÇAMENTO!$A:$F,4,0)</f>
        <v>ESCAVAÇÃO DE VALA EM MATERIAL DE 3ª CATEGORIA COM ESCAVADEIRA E ROMPEDOR HIDRÁULICO DE 1700KG</v>
      </c>
      <c r="C2460" s="149" t="str">
        <f>VLOOKUP(A2460,ORÇAMENTO!$A:$F,5,0)</f>
        <v>M³</v>
      </c>
      <c r="D2460" s="149">
        <f>ROUND(SUM(E2465:O2465),2)</f>
        <v>12.93</v>
      </c>
      <c r="E2460" s="149" t="s">
        <v>2149</v>
      </c>
      <c r="F2460" s="149" t="s">
        <v>2150</v>
      </c>
      <c r="G2460" s="149" t="s">
        <v>2151</v>
      </c>
      <c r="H2460" s="149" t="s">
        <v>2152</v>
      </c>
      <c r="I2460" s="149" t="s">
        <v>2153</v>
      </c>
      <c r="J2460" s="149" t="s">
        <v>2154</v>
      </c>
      <c r="K2460" s="149" t="s">
        <v>2155</v>
      </c>
      <c r="L2460" s="149" t="s">
        <v>2239</v>
      </c>
      <c r="M2460" s="149" t="s">
        <v>413</v>
      </c>
      <c r="N2460" s="149" t="s">
        <v>2240</v>
      </c>
      <c r="O2460" s="149" t="s">
        <v>2158</v>
      </c>
    </row>
    <row r="2461" spans="1:15" x14ac:dyDescent="0.35">
      <c r="A2461" s="321"/>
      <c r="B2461" s="320"/>
      <c r="C2461" s="153"/>
      <c r="D2461" s="154"/>
      <c r="E2461" s="154"/>
      <c r="F2461" s="154"/>
      <c r="G2461" s="154"/>
      <c r="H2461" s="154"/>
      <c r="I2461" s="154"/>
      <c r="J2461" s="154"/>
      <c r="K2461" s="154"/>
      <c r="L2461" s="154"/>
      <c r="M2461" s="154"/>
      <c r="N2461" s="338"/>
      <c r="O2461" s="154"/>
    </row>
    <row r="2462" spans="1:15" ht="21" x14ac:dyDescent="0.35">
      <c r="A2462" s="321"/>
      <c r="B2462" s="320" t="s">
        <v>2243</v>
      </c>
      <c r="C2462" s="153"/>
      <c r="D2462" s="154"/>
      <c r="E2462" s="154"/>
      <c r="F2462" s="154"/>
      <c r="G2462" s="154"/>
      <c r="H2462" s="154"/>
      <c r="I2462" s="154"/>
      <c r="J2462" s="154"/>
      <c r="K2462" s="154"/>
      <c r="L2462" s="154"/>
      <c r="M2462" s="154"/>
      <c r="N2462" s="338"/>
      <c r="O2462" s="154">
        <f>QUANTBL!AJ221</f>
        <v>12.931116000000211</v>
      </c>
    </row>
    <row r="2463" spans="1:15" x14ac:dyDescent="0.35">
      <c r="A2463" s="321"/>
      <c r="B2463" s="320" t="s">
        <v>2245</v>
      </c>
      <c r="C2463" s="153"/>
      <c r="D2463" s="154"/>
      <c r="E2463" s="154"/>
      <c r="F2463" s="154"/>
      <c r="G2463" s="154"/>
      <c r="H2463" s="154"/>
      <c r="I2463" s="154"/>
      <c r="J2463" s="154"/>
      <c r="K2463" s="154"/>
      <c r="L2463" s="154"/>
      <c r="M2463" s="154"/>
      <c r="N2463" s="338"/>
      <c r="O2463" s="154">
        <f>QUANTBL!CG221</f>
        <v>27.016988880000437</v>
      </c>
    </row>
    <row r="2464" spans="1:15" x14ac:dyDescent="0.35">
      <c r="A2464" s="321"/>
      <c r="B2464" s="320"/>
      <c r="C2464" s="153"/>
      <c r="D2464" s="154"/>
      <c r="E2464" s="154"/>
      <c r="F2464" s="154"/>
      <c r="G2464" s="154"/>
      <c r="H2464" s="154"/>
      <c r="I2464" s="154"/>
      <c r="J2464" s="154"/>
      <c r="K2464" s="154"/>
      <c r="L2464" s="154"/>
      <c r="M2464" s="154"/>
      <c r="N2464" s="338"/>
      <c r="O2464" s="154"/>
    </row>
    <row r="2465" spans="1:15" x14ac:dyDescent="0.35">
      <c r="A2465" s="321"/>
      <c r="B2465" s="318" t="s">
        <v>377</v>
      </c>
      <c r="C2465" s="158" t="s">
        <v>402</v>
      </c>
      <c r="D2465" s="158"/>
      <c r="E2465" s="158"/>
      <c r="F2465" s="158"/>
      <c r="G2465" s="158"/>
      <c r="H2465" s="158"/>
      <c r="I2465" s="158"/>
      <c r="J2465" s="158"/>
      <c r="K2465" s="154"/>
      <c r="L2465" s="158"/>
      <c r="M2465" s="158"/>
      <c r="N2465" s="153"/>
      <c r="O2465" s="153">
        <f>SUM(O2461:O2462)</f>
        <v>12.931116000000211</v>
      </c>
    </row>
    <row r="2466" spans="1:15" ht="42" x14ac:dyDescent="0.35">
      <c r="A2466" s="323" t="str">
        <f>ORÇAMENTO!A425</f>
        <v>5.1.2.7.17</v>
      </c>
      <c r="B2466" s="322" t="str">
        <f>VLOOKUP(A2466,ORÇAMENTO!$A:$F,4,0)</f>
        <v>ESCORAMENTO DE VALA, TIPO BLINDAGEM, COM PROFUNDIDADE DE 0 A 1,5 M, LARGURA MENOR QUE 1,5 M - EXECUÇÃO E FORNECIMENTO, INCLUI MATERIAL (ESCAVAÇÃO EXTERNA AO BLINDADO)</v>
      </c>
      <c r="C2466" s="149" t="str">
        <f>VLOOKUP(A2466,ORÇAMENTO!$A:$F,5,0)</f>
        <v>M²</v>
      </c>
      <c r="D2466" s="149">
        <f>ROUND(SUM(E2470:O2470),2)</f>
        <v>2493.39</v>
      </c>
      <c r="E2466" s="149" t="s">
        <v>2149</v>
      </c>
      <c r="F2466" s="149" t="s">
        <v>2150</v>
      </c>
      <c r="G2466" s="149" t="s">
        <v>2151</v>
      </c>
      <c r="H2466" s="149" t="s">
        <v>2152</v>
      </c>
      <c r="I2466" s="149" t="s">
        <v>2153</v>
      </c>
      <c r="J2466" s="149" t="s">
        <v>2154</v>
      </c>
      <c r="K2466" s="149" t="s">
        <v>2155</v>
      </c>
      <c r="L2466" s="149" t="s">
        <v>2239</v>
      </c>
      <c r="M2466" s="149" t="s">
        <v>413</v>
      </c>
      <c r="N2466" s="149" t="s">
        <v>2214</v>
      </c>
      <c r="O2466" s="149" t="s">
        <v>2158</v>
      </c>
    </row>
    <row r="2467" spans="1:15" x14ac:dyDescent="0.35">
      <c r="A2467" s="321"/>
      <c r="B2467" s="320"/>
      <c r="C2467" s="153"/>
      <c r="D2467" s="154"/>
      <c r="E2467" s="154"/>
      <c r="F2467" s="154"/>
      <c r="G2467" s="154"/>
      <c r="H2467" s="154"/>
      <c r="I2467" s="154"/>
      <c r="J2467" s="154"/>
      <c r="K2467" s="154"/>
      <c r="L2467" s="154"/>
      <c r="M2467" s="154"/>
      <c r="N2467" s="338"/>
      <c r="O2467" s="154"/>
    </row>
    <row r="2468" spans="1:15" x14ac:dyDescent="0.35">
      <c r="A2468" s="321"/>
      <c r="B2468" s="320" t="s">
        <v>2246</v>
      </c>
      <c r="C2468" s="153"/>
      <c r="D2468" s="154"/>
      <c r="E2468" s="154"/>
      <c r="F2468" s="154"/>
      <c r="G2468" s="154"/>
      <c r="H2468" s="154"/>
      <c r="I2468" s="154"/>
      <c r="J2468" s="154"/>
      <c r="K2468" s="154"/>
      <c r="L2468" s="154"/>
      <c r="M2468" s="154"/>
      <c r="N2468" s="154">
        <f>QUANTBL!BQ221</f>
        <v>2493.3900000000017</v>
      </c>
      <c r="O2468" s="154"/>
    </row>
    <row r="2469" spans="1:15" x14ac:dyDescent="0.35">
      <c r="A2469" s="321"/>
      <c r="B2469" s="320"/>
      <c r="C2469" s="153"/>
      <c r="D2469" s="154"/>
      <c r="E2469" s="154"/>
      <c r="F2469" s="154"/>
      <c r="G2469" s="154"/>
      <c r="H2469" s="154"/>
      <c r="I2469" s="154"/>
      <c r="J2469" s="154"/>
      <c r="K2469" s="154"/>
      <c r="L2469" s="154"/>
      <c r="M2469" s="154"/>
      <c r="N2469" s="338"/>
      <c r="O2469" s="154"/>
    </row>
    <row r="2470" spans="1:15" x14ac:dyDescent="0.35">
      <c r="A2470" s="321"/>
      <c r="B2470" s="318" t="s">
        <v>377</v>
      </c>
      <c r="C2470" s="158" t="s">
        <v>402</v>
      </c>
      <c r="D2470" s="158"/>
      <c r="E2470" s="158"/>
      <c r="F2470" s="158"/>
      <c r="G2470" s="158"/>
      <c r="H2470" s="158"/>
      <c r="I2470" s="158"/>
      <c r="J2470" s="158"/>
      <c r="K2470" s="154"/>
      <c r="L2470" s="158"/>
      <c r="M2470" s="158"/>
      <c r="N2470" s="153">
        <f>SUM(N2467:N2469)</f>
        <v>2493.3900000000017</v>
      </c>
      <c r="O2470" s="153"/>
    </row>
    <row r="2471" spans="1:15" ht="42" x14ac:dyDescent="0.35">
      <c r="A2471" s="323" t="str">
        <f>ORÇAMENTO!A426</f>
        <v>5.1.2.7.18</v>
      </c>
      <c r="B2471" s="322" t="str">
        <f>VLOOKUP(A2471,ORÇAMENTO!$A:$F,4,0)</f>
        <v>ESCORAMENTO DE VALA, TIPO BLINDAGEM, COM PROFUNDIDADE DE 1,5 A 3,0 M, LARGURA MENOR QUE 1,5 M - EXECUÇÃO E FORNECIMENTO, INCLUI MATERIAL (ESCAVAÇÃO INTERNA AO BLINDADO)</v>
      </c>
      <c r="C2471" s="149" t="str">
        <f>VLOOKUP(A2471,ORÇAMENTO!$A:$F,5,0)</f>
        <v>M²</v>
      </c>
      <c r="D2471" s="149">
        <f>ROUND(SUM(E2475:O2475),2)</f>
        <v>1426.5</v>
      </c>
      <c r="E2471" s="149" t="s">
        <v>2149</v>
      </c>
      <c r="F2471" s="149" t="s">
        <v>2150</v>
      </c>
      <c r="G2471" s="149" t="s">
        <v>2151</v>
      </c>
      <c r="H2471" s="149" t="s">
        <v>2152</v>
      </c>
      <c r="I2471" s="149" t="s">
        <v>2153</v>
      </c>
      <c r="J2471" s="149" t="s">
        <v>2154</v>
      </c>
      <c r="K2471" s="149" t="s">
        <v>2155</v>
      </c>
      <c r="L2471" s="149" t="s">
        <v>2239</v>
      </c>
      <c r="M2471" s="149" t="s">
        <v>413</v>
      </c>
      <c r="N2471" s="149" t="s">
        <v>2214</v>
      </c>
      <c r="O2471" s="149" t="s">
        <v>2158</v>
      </c>
    </row>
    <row r="2472" spans="1:15" x14ac:dyDescent="0.35">
      <c r="A2472" s="321"/>
      <c r="B2472" s="320"/>
      <c r="C2472" s="153"/>
      <c r="D2472" s="154"/>
      <c r="E2472" s="154"/>
      <c r="F2472" s="154"/>
      <c r="G2472" s="154"/>
      <c r="H2472" s="154"/>
      <c r="I2472" s="154"/>
      <c r="J2472" s="154"/>
      <c r="K2472" s="154"/>
      <c r="L2472" s="154"/>
      <c r="M2472" s="154"/>
      <c r="N2472" s="338"/>
      <c r="O2472" s="154"/>
    </row>
    <row r="2473" spans="1:15" x14ac:dyDescent="0.35">
      <c r="A2473" s="321"/>
      <c r="B2473" s="320" t="s">
        <v>2246</v>
      </c>
      <c r="C2473" s="153"/>
      <c r="D2473" s="154"/>
      <c r="E2473" s="154"/>
      <c r="F2473" s="154"/>
      <c r="G2473" s="154"/>
      <c r="H2473" s="154"/>
      <c r="I2473" s="154"/>
      <c r="J2473" s="154"/>
      <c r="K2473" s="154"/>
      <c r="L2473" s="154"/>
      <c r="M2473" s="154"/>
      <c r="N2473" s="338">
        <f>QUANTBL!BR221</f>
        <v>1426.5049840000004</v>
      </c>
      <c r="O2473" s="154"/>
    </row>
    <row r="2474" spans="1:15" x14ac:dyDescent="0.35">
      <c r="A2474" s="321"/>
      <c r="B2474" s="320"/>
      <c r="C2474" s="153"/>
      <c r="D2474" s="154"/>
      <c r="E2474" s="154"/>
      <c r="F2474" s="154"/>
      <c r="G2474" s="154"/>
      <c r="H2474" s="154"/>
      <c r="I2474" s="154"/>
      <c r="J2474" s="154"/>
      <c r="K2474" s="154"/>
      <c r="L2474" s="154"/>
      <c r="M2474" s="154"/>
      <c r="N2474" s="338"/>
      <c r="O2474" s="154"/>
    </row>
    <row r="2475" spans="1:15" x14ac:dyDescent="0.35">
      <c r="A2475" s="321"/>
      <c r="B2475" s="318" t="s">
        <v>377</v>
      </c>
      <c r="C2475" s="158" t="s">
        <v>402</v>
      </c>
      <c r="D2475" s="158"/>
      <c r="E2475" s="158"/>
      <c r="F2475" s="158"/>
      <c r="G2475" s="158"/>
      <c r="H2475" s="158"/>
      <c r="I2475" s="158"/>
      <c r="J2475" s="158"/>
      <c r="K2475" s="154"/>
      <c r="L2475" s="158"/>
      <c r="M2475" s="158"/>
      <c r="N2475" s="153">
        <f>SUM(N2472:N2474)</f>
        <v>1426.5049840000004</v>
      </c>
      <c r="O2475" s="153"/>
    </row>
    <row r="2476" spans="1:15" ht="42" x14ac:dyDescent="0.35">
      <c r="A2476" s="323" t="str">
        <f>ORÇAMENTO!A427</f>
        <v>5.1.2.7.19</v>
      </c>
      <c r="B2476" s="322" t="str">
        <f>VLOOKUP(A2476,ORÇAMENTO!$A:$F,4,0)</f>
        <v>ESCORAMENTO DE VALA, TIPO BLINDAGEM, COM PROFUNDIDADE DE 3,0 A 4,5 M, LARGURA MENOR QUE 1,5 M -EXECUÇÃO E FORNECIMENTO, INCLUI MATERIAL (ESCAVAÇÃO EXTERNA AO BLINDADO)</v>
      </c>
      <c r="C2476" s="149" t="str">
        <f>VLOOKUP(A2476,ORÇAMENTO!$A:$F,5,0)</f>
        <v>M²</v>
      </c>
      <c r="D2476" s="149">
        <f>ROUND(SUM(E2480:O2480),2)</f>
        <v>334.77</v>
      </c>
      <c r="E2476" s="149" t="s">
        <v>2149</v>
      </c>
      <c r="F2476" s="149" t="s">
        <v>2150</v>
      </c>
      <c r="G2476" s="149" t="s">
        <v>2151</v>
      </c>
      <c r="H2476" s="149" t="s">
        <v>2152</v>
      </c>
      <c r="I2476" s="149" t="s">
        <v>2153</v>
      </c>
      <c r="J2476" s="149" t="s">
        <v>2154</v>
      </c>
      <c r="K2476" s="149" t="s">
        <v>2155</v>
      </c>
      <c r="L2476" s="149" t="s">
        <v>2239</v>
      </c>
      <c r="M2476" s="149" t="s">
        <v>413</v>
      </c>
      <c r="N2476" s="149" t="s">
        <v>2214</v>
      </c>
      <c r="O2476" s="149" t="s">
        <v>2158</v>
      </c>
    </row>
    <row r="2477" spans="1:15" x14ac:dyDescent="0.35">
      <c r="A2477" s="321"/>
      <c r="B2477" s="320"/>
      <c r="C2477" s="153"/>
      <c r="D2477" s="154"/>
      <c r="E2477" s="154"/>
      <c r="F2477" s="154"/>
      <c r="G2477" s="154"/>
      <c r="H2477" s="154"/>
      <c r="I2477" s="154"/>
      <c r="J2477" s="154"/>
      <c r="K2477" s="154"/>
      <c r="L2477" s="154"/>
      <c r="M2477" s="154"/>
      <c r="N2477" s="338"/>
      <c r="O2477" s="154"/>
    </row>
    <row r="2478" spans="1:15" x14ac:dyDescent="0.35">
      <c r="A2478" s="321"/>
      <c r="B2478" s="320" t="s">
        <v>2246</v>
      </c>
      <c r="C2478" s="153"/>
      <c r="D2478" s="154"/>
      <c r="E2478" s="154"/>
      <c r="F2478" s="154"/>
      <c r="G2478" s="154"/>
      <c r="H2478" s="154"/>
      <c r="I2478" s="154"/>
      <c r="J2478" s="154"/>
      <c r="K2478" s="154"/>
      <c r="L2478" s="154"/>
      <c r="M2478" s="154"/>
      <c r="N2478" s="338">
        <f>QUANTBL!BS221</f>
        <v>334.77492400000307</v>
      </c>
      <c r="O2478" s="154"/>
    </row>
    <row r="2479" spans="1:15" x14ac:dyDescent="0.35">
      <c r="A2479" s="321"/>
      <c r="B2479" s="320"/>
      <c r="C2479" s="153"/>
      <c r="D2479" s="154"/>
      <c r="E2479" s="154"/>
      <c r="F2479" s="154"/>
      <c r="G2479" s="154"/>
      <c r="H2479" s="154"/>
      <c r="I2479" s="154"/>
      <c r="J2479" s="154"/>
      <c r="K2479" s="154"/>
      <c r="L2479" s="154"/>
      <c r="M2479" s="154"/>
      <c r="N2479" s="338"/>
      <c r="O2479" s="154"/>
    </row>
    <row r="2480" spans="1:15" x14ac:dyDescent="0.35">
      <c r="A2480" s="321"/>
      <c r="B2480" s="318" t="s">
        <v>377</v>
      </c>
      <c r="C2480" s="158" t="s">
        <v>402</v>
      </c>
      <c r="D2480" s="158"/>
      <c r="E2480" s="158"/>
      <c r="F2480" s="158"/>
      <c r="G2480" s="158"/>
      <c r="H2480" s="158"/>
      <c r="I2480" s="158"/>
      <c r="J2480" s="158"/>
      <c r="K2480" s="154"/>
      <c r="L2480" s="158"/>
      <c r="M2480" s="158"/>
      <c r="N2480" s="153">
        <f>SUM(N2477:N2479)</f>
        <v>334.77492400000307</v>
      </c>
      <c r="O2480" s="153"/>
    </row>
    <row r="2481" spans="1:15" ht="52.5" x14ac:dyDescent="0.35">
      <c r="A2481" s="323" t="str">
        <f>ORÇAMENTO!A428</f>
        <v>5.1.2.7.20</v>
      </c>
      <c r="B2481" s="322" t="str">
        <f>VLOOKUP(A2481,ORÇAMENTO!$A:$F,4,0)</f>
        <v>ESCORAMENTO DE VALA, TIPO BLINDADEM, COM PROFUNDIDADE DE 0 A 1,5 M, LARGURA MAIOR OU IGUAL A 1,5 M EMENOR QUE 2,5 M - EXECUÇÃO E FORNECIMENTO, INCLUI MATERIAL (ESCAVAÇÃO EXTERNA AO BLINDADO)</v>
      </c>
      <c r="C2481" s="149" t="str">
        <f>VLOOKUP(A2481,ORÇAMENTO!$A:$F,5,0)</f>
        <v>M²</v>
      </c>
      <c r="D2481" s="149">
        <f>ROUND(SUM(E2485:O2485),2)</f>
        <v>1419.67</v>
      </c>
      <c r="E2481" s="149" t="s">
        <v>2149</v>
      </c>
      <c r="F2481" s="149" t="s">
        <v>2150</v>
      </c>
      <c r="G2481" s="149" t="s">
        <v>2151</v>
      </c>
      <c r="H2481" s="149" t="s">
        <v>2152</v>
      </c>
      <c r="I2481" s="149" t="s">
        <v>2153</v>
      </c>
      <c r="J2481" s="149" t="s">
        <v>2154</v>
      </c>
      <c r="K2481" s="149" t="s">
        <v>2155</v>
      </c>
      <c r="L2481" s="149" t="s">
        <v>2239</v>
      </c>
      <c r="M2481" s="149" t="s">
        <v>413</v>
      </c>
      <c r="N2481" s="149" t="s">
        <v>2214</v>
      </c>
      <c r="O2481" s="149" t="s">
        <v>2158</v>
      </c>
    </row>
    <row r="2482" spans="1:15" x14ac:dyDescent="0.35">
      <c r="A2482" s="321"/>
      <c r="B2482" s="320"/>
      <c r="C2482" s="153"/>
      <c r="D2482" s="154"/>
      <c r="E2482" s="154"/>
      <c r="F2482" s="154"/>
      <c r="G2482" s="154"/>
      <c r="H2482" s="154"/>
      <c r="I2482" s="154"/>
      <c r="J2482" s="154"/>
      <c r="K2482" s="154"/>
      <c r="L2482" s="154"/>
      <c r="M2482" s="154"/>
      <c r="N2482" s="338"/>
      <c r="O2482" s="154"/>
    </row>
    <row r="2483" spans="1:15" x14ac:dyDescent="0.35">
      <c r="A2483" s="321"/>
      <c r="B2483" s="320" t="s">
        <v>2144</v>
      </c>
      <c r="C2483" s="153"/>
      <c r="D2483" s="154"/>
      <c r="E2483" s="154"/>
      <c r="F2483" s="154"/>
      <c r="G2483" s="154"/>
      <c r="H2483" s="154"/>
      <c r="I2483" s="154"/>
      <c r="J2483" s="154"/>
      <c r="K2483" s="154"/>
      <c r="L2483" s="154"/>
      <c r="M2483" s="154"/>
      <c r="N2483" s="338">
        <f>QUANTBL!CP221</f>
        <v>1419.666192000002</v>
      </c>
      <c r="O2483" s="154"/>
    </row>
    <row r="2484" spans="1:15" x14ac:dyDescent="0.35">
      <c r="A2484" s="321"/>
      <c r="B2484" s="320"/>
      <c r="C2484" s="153"/>
      <c r="D2484" s="154"/>
      <c r="E2484" s="154"/>
      <c r="F2484" s="154"/>
      <c r="G2484" s="154"/>
      <c r="H2484" s="154"/>
      <c r="I2484" s="154"/>
      <c r="J2484" s="154"/>
      <c r="K2484" s="154"/>
      <c r="L2484" s="154"/>
      <c r="M2484" s="154"/>
      <c r="N2484" s="338"/>
      <c r="O2484" s="154"/>
    </row>
    <row r="2485" spans="1:15" x14ac:dyDescent="0.35">
      <c r="A2485" s="321"/>
      <c r="B2485" s="318" t="s">
        <v>377</v>
      </c>
      <c r="C2485" s="158" t="s">
        <v>402</v>
      </c>
      <c r="D2485" s="158"/>
      <c r="E2485" s="158"/>
      <c r="F2485" s="158"/>
      <c r="G2485" s="158"/>
      <c r="H2485" s="158"/>
      <c r="I2485" s="158"/>
      <c r="J2485" s="158"/>
      <c r="K2485" s="154"/>
      <c r="L2485" s="158"/>
      <c r="M2485" s="158"/>
      <c r="N2485" s="153">
        <f>SUM(N2482:N2484)</f>
        <v>1419.666192000002</v>
      </c>
      <c r="O2485" s="153"/>
    </row>
    <row r="2486" spans="1:15" ht="42" x14ac:dyDescent="0.35">
      <c r="A2486" s="323" t="str">
        <f>ORÇAMENTO!A429</f>
        <v>5.1.2.7.21</v>
      </c>
      <c r="B2486" s="322" t="str">
        <f>VLOOKUP(A2486,ORÇAMENTO!$A:$F,4,0)</f>
        <v>ESCORAMENTO DE VALA, TIPO BLINDAGEM, COM PROFUNDIDADE DE 1,5 A 3,0 M, LARGURA DE 1,5 A 2,5 M -EXECUÇÃO E FORNECIMENTO, INCLUI MATERIAL (ESCAVAÇÃO INTERNA AO BLINDADO)</v>
      </c>
      <c r="C2486" s="149" t="str">
        <f>VLOOKUP(A2486,ORÇAMENTO!$A:$F,5,0)</f>
        <v>M²</v>
      </c>
      <c r="D2486" s="149">
        <f>ROUND(SUM(E2490:O2490),2)</f>
        <v>536.74</v>
      </c>
      <c r="E2486" s="149" t="s">
        <v>2149</v>
      </c>
      <c r="F2486" s="149" t="s">
        <v>2150</v>
      </c>
      <c r="G2486" s="149" t="s">
        <v>2151</v>
      </c>
      <c r="H2486" s="149" t="s">
        <v>2152</v>
      </c>
      <c r="I2486" s="149" t="s">
        <v>2153</v>
      </c>
      <c r="J2486" s="149" t="s">
        <v>2154</v>
      </c>
      <c r="K2486" s="149" t="s">
        <v>2155</v>
      </c>
      <c r="L2486" s="149" t="s">
        <v>2239</v>
      </c>
      <c r="M2486" s="149" t="s">
        <v>413</v>
      </c>
      <c r="N2486" s="149" t="s">
        <v>2214</v>
      </c>
      <c r="O2486" s="149" t="s">
        <v>2158</v>
      </c>
    </row>
    <row r="2487" spans="1:15" x14ac:dyDescent="0.35">
      <c r="A2487" s="321"/>
      <c r="B2487" s="320"/>
      <c r="C2487" s="153"/>
      <c r="D2487" s="154"/>
      <c r="E2487" s="154"/>
      <c r="F2487" s="154"/>
      <c r="G2487" s="154"/>
      <c r="H2487" s="154"/>
      <c r="I2487" s="154"/>
      <c r="J2487" s="154"/>
      <c r="K2487" s="154"/>
      <c r="L2487" s="154"/>
      <c r="M2487" s="154"/>
      <c r="N2487" s="338"/>
      <c r="O2487" s="154"/>
    </row>
    <row r="2488" spans="1:15" x14ac:dyDescent="0.35">
      <c r="A2488" s="321"/>
      <c r="B2488" s="320" t="s">
        <v>2144</v>
      </c>
      <c r="C2488" s="153"/>
      <c r="D2488" s="154"/>
      <c r="E2488" s="154"/>
      <c r="F2488" s="154"/>
      <c r="G2488" s="154"/>
      <c r="H2488" s="154"/>
      <c r="I2488" s="154"/>
      <c r="J2488" s="154"/>
      <c r="K2488" s="154"/>
      <c r="L2488" s="154"/>
      <c r="M2488" s="154"/>
      <c r="N2488" s="338">
        <f>QUANTBL!CQ221</f>
        <v>536.73569599999996</v>
      </c>
      <c r="O2488" s="154"/>
    </row>
    <row r="2489" spans="1:15" x14ac:dyDescent="0.35">
      <c r="A2489" s="321"/>
      <c r="B2489" s="320"/>
      <c r="C2489" s="153"/>
      <c r="D2489" s="154"/>
      <c r="E2489" s="154"/>
      <c r="F2489" s="154"/>
      <c r="G2489" s="154"/>
      <c r="H2489" s="154"/>
      <c r="I2489" s="154"/>
      <c r="J2489" s="154"/>
      <c r="K2489" s="154"/>
      <c r="L2489" s="154"/>
      <c r="M2489" s="154"/>
      <c r="N2489" s="338"/>
      <c r="O2489" s="154"/>
    </row>
    <row r="2490" spans="1:15" x14ac:dyDescent="0.35">
      <c r="A2490" s="321"/>
      <c r="B2490" s="318" t="s">
        <v>377</v>
      </c>
      <c r="C2490" s="158" t="s">
        <v>402</v>
      </c>
      <c r="D2490" s="158"/>
      <c r="E2490" s="158"/>
      <c r="F2490" s="158"/>
      <c r="G2490" s="158"/>
      <c r="H2490" s="158"/>
      <c r="I2490" s="158"/>
      <c r="J2490" s="158"/>
      <c r="K2490" s="154"/>
      <c r="L2490" s="158"/>
      <c r="M2490" s="158"/>
      <c r="N2490" s="153">
        <f>SUM(N2487:N2489)</f>
        <v>536.73569599999996</v>
      </c>
      <c r="O2490" s="153"/>
    </row>
    <row r="2491" spans="1:15" ht="21" x14ac:dyDescent="0.35">
      <c r="A2491" s="323" t="str">
        <f>ORÇAMENTO!A430</f>
        <v>5.1.2.7.22</v>
      </c>
      <c r="B2491" s="322" t="str">
        <f>VLOOKUP(A2491,ORÇAMENTO!$A:$F,4,0)</f>
        <v>ESGOTAMENTO DE ÁGUA COM BOMBA SUBMERSA</v>
      </c>
      <c r="C2491" s="149" t="str">
        <f>VLOOKUP(A2491,ORÇAMENTO!$A:$F,5,0)</f>
        <v>H</v>
      </c>
      <c r="D2491" s="149">
        <f>ROUND(SUM(E2495:O2495),2)</f>
        <v>3</v>
      </c>
      <c r="E2491" s="149" t="s">
        <v>2149</v>
      </c>
      <c r="F2491" s="149" t="s">
        <v>2150</v>
      </c>
      <c r="G2491" s="149" t="s">
        <v>2151</v>
      </c>
      <c r="H2491" s="149" t="s">
        <v>2152</v>
      </c>
      <c r="I2491" s="149" t="s">
        <v>2153</v>
      </c>
      <c r="J2491" s="149" t="s">
        <v>2154</v>
      </c>
      <c r="K2491" s="149" t="s">
        <v>2155</v>
      </c>
      <c r="L2491" s="149" t="s">
        <v>2239</v>
      </c>
      <c r="M2491" s="149" t="s">
        <v>413</v>
      </c>
      <c r="N2491" s="149" t="s">
        <v>2214</v>
      </c>
      <c r="O2491" s="149" t="s">
        <v>2158</v>
      </c>
    </row>
    <row r="2492" spans="1:15" x14ac:dyDescent="0.35">
      <c r="A2492" s="321"/>
      <c r="B2492" s="320"/>
      <c r="C2492" s="153"/>
      <c r="D2492" s="154"/>
      <c r="E2492" s="154"/>
      <c r="F2492" s="154"/>
      <c r="G2492" s="154"/>
      <c r="H2492" s="154"/>
      <c r="I2492" s="154"/>
      <c r="J2492" s="154"/>
      <c r="K2492" s="154"/>
      <c r="L2492" s="154"/>
      <c r="M2492" s="154"/>
      <c r="N2492" s="338"/>
      <c r="O2492" s="154"/>
    </row>
    <row r="2493" spans="1:15" x14ac:dyDescent="0.35">
      <c r="A2493" s="321"/>
      <c r="B2493" s="320" t="s">
        <v>2144</v>
      </c>
      <c r="C2493" s="153"/>
      <c r="D2493" s="154"/>
      <c r="E2493" s="154"/>
      <c r="F2493" s="154"/>
      <c r="G2493" s="154"/>
      <c r="H2493" s="154"/>
      <c r="I2493" s="154"/>
      <c r="J2493" s="154"/>
      <c r="K2493" s="154"/>
      <c r="L2493" s="154"/>
      <c r="M2493" s="154"/>
      <c r="N2493" s="338"/>
      <c r="O2493" s="154">
        <f>QUANTBL!AK221</f>
        <v>3.003469653333334</v>
      </c>
    </row>
    <row r="2494" spans="1:15" x14ac:dyDescent="0.35">
      <c r="A2494" s="321"/>
      <c r="B2494" s="320"/>
      <c r="C2494" s="153"/>
      <c r="D2494" s="154"/>
      <c r="E2494" s="154"/>
      <c r="F2494" s="154"/>
      <c r="G2494" s="154"/>
      <c r="H2494" s="154"/>
      <c r="I2494" s="154"/>
      <c r="J2494" s="154"/>
      <c r="K2494" s="154"/>
      <c r="L2494" s="154"/>
      <c r="M2494" s="154"/>
      <c r="N2494" s="338"/>
      <c r="O2494" s="154"/>
    </row>
    <row r="2495" spans="1:15" x14ac:dyDescent="0.35">
      <c r="A2495" s="321"/>
      <c r="B2495" s="318" t="s">
        <v>377</v>
      </c>
      <c r="C2495" s="158" t="s">
        <v>402</v>
      </c>
      <c r="D2495" s="158"/>
      <c r="E2495" s="158"/>
      <c r="F2495" s="158"/>
      <c r="G2495" s="158"/>
      <c r="H2495" s="158"/>
      <c r="I2495" s="158"/>
      <c r="J2495" s="158"/>
      <c r="K2495" s="154"/>
      <c r="L2495" s="158"/>
      <c r="M2495" s="158"/>
      <c r="N2495" s="153"/>
      <c r="O2495" s="153">
        <f>SUM(O2492:O2494)</f>
        <v>3.003469653333334</v>
      </c>
    </row>
    <row r="2496" spans="1:15" ht="31.5" x14ac:dyDescent="0.35">
      <c r="A2496" s="323" t="str">
        <f>ORÇAMENTO!A431</f>
        <v>5.1.2.7.23</v>
      </c>
      <c r="B2496" s="322" t="str">
        <f>VLOOKUP(A2496,ORÇAMENTO!$A:$F,4,0)</f>
        <v>PREPARO DE FUNDO DE VALA COM LARGURA MENOR QUE 1,5 M, COM CAMADA DE BRITA, LANÇAMENTO MECANIZADO. AF_08/2020</v>
      </c>
      <c r="C2496" s="149" t="str">
        <f>VLOOKUP(A2496,ORÇAMENTO!$A:$F,5,0)</f>
        <v>M³</v>
      </c>
      <c r="D2496" s="149">
        <f>ROUND(SUM(E2499:O2499),2)</f>
        <v>41.56</v>
      </c>
      <c r="E2496" s="149" t="s">
        <v>2149</v>
      </c>
      <c r="F2496" s="149" t="s">
        <v>2150</v>
      </c>
      <c r="G2496" s="149" t="s">
        <v>2151</v>
      </c>
      <c r="H2496" s="149" t="s">
        <v>2152</v>
      </c>
      <c r="I2496" s="149" t="s">
        <v>2153</v>
      </c>
      <c r="J2496" s="149" t="s">
        <v>2154</v>
      </c>
      <c r="K2496" s="149" t="s">
        <v>2155</v>
      </c>
      <c r="L2496" s="149" t="s">
        <v>2239</v>
      </c>
      <c r="M2496" s="149" t="s">
        <v>413</v>
      </c>
      <c r="N2496" s="149" t="s">
        <v>2214</v>
      </c>
      <c r="O2496" s="149" t="s">
        <v>2158</v>
      </c>
    </row>
    <row r="2497" spans="1:15" x14ac:dyDescent="0.35">
      <c r="A2497" s="321"/>
      <c r="B2497" s="320" t="s">
        <v>2247</v>
      </c>
      <c r="C2497" s="153"/>
      <c r="D2497" s="154"/>
      <c r="E2497" s="154"/>
      <c r="F2497" s="154"/>
      <c r="G2497" s="154"/>
      <c r="H2497" s="154"/>
      <c r="I2497" s="154"/>
      <c r="J2497" s="154"/>
      <c r="K2497" s="154"/>
      <c r="L2497" s="154"/>
      <c r="M2497" s="154"/>
      <c r="N2497" s="338"/>
      <c r="O2497" s="154">
        <f>QUANTBL!AM221</f>
        <v>41.5565</v>
      </c>
    </row>
    <row r="2498" spans="1:15" x14ac:dyDescent="0.35">
      <c r="A2498" s="321"/>
      <c r="B2498" s="320"/>
      <c r="C2498" s="153"/>
      <c r="D2498" s="154"/>
      <c r="E2498" s="154"/>
      <c r="F2498" s="154"/>
      <c r="G2498" s="154"/>
      <c r="H2498" s="154"/>
      <c r="I2498" s="154"/>
      <c r="J2498" s="154"/>
      <c r="K2498" s="154"/>
      <c r="L2498" s="154"/>
      <c r="M2498" s="154"/>
      <c r="N2498" s="338"/>
      <c r="O2498" s="154"/>
    </row>
    <row r="2499" spans="1:15" x14ac:dyDescent="0.35">
      <c r="A2499" s="321"/>
      <c r="B2499" s="318" t="s">
        <v>377</v>
      </c>
      <c r="C2499" s="158" t="s">
        <v>402</v>
      </c>
      <c r="D2499" s="158"/>
      <c r="E2499" s="158"/>
      <c r="F2499" s="158"/>
      <c r="G2499" s="158"/>
      <c r="H2499" s="158"/>
      <c r="I2499" s="158"/>
      <c r="J2499" s="158"/>
      <c r="K2499" s="154"/>
      <c r="L2499" s="158"/>
      <c r="M2499" s="158"/>
      <c r="N2499" s="153"/>
      <c r="O2499" s="153">
        <f>SUM(O2497:O2498)</f>
        <v>41.5565</v>
      </c>
    </row>
    <row r="2500" spans="1:15" ht="52.5" x14ac:dyDescent="0.35">
      <c r="A2500" s="323" t="str">
        <f>ORÇAMENTO!A432</f>
        <v>5.1.2.7.24</v>
      </c>
      <c r="B2500" s="322" t="str">
        <f>VLOOKUP(A2500,ORÇAMENTO!$A:$F,4,0)</f>
        <v>CONSTRUÇÃO DE PAVIMENTO COM APLICAÇÃO CONCRETO BETUMINOSO USINADO A QUENTE (CBUQ), CAMADA DE ROLAMENTO - EXCLUSIVE TRANSPORTE E CARGA  AF_03/2017 (SEM MATERIAL)</v>
      </c>
      <c r="C2500" s="149" t="str">
        <f>VLOOKUP(A2500,ORÇAMENTO!$A:$F,5,0)</f>
        <v>M³</v>
      </c>
      <c r="D2500" s="149">
        <f>ROUND(SUM(E2503:O2503),2)</f>
        <v>24.93</v>
      </c>
      <c r="E2500" s="149" t="s">
        <v>2149</v>
      </c>
      <c r="F2500" s="149" t="s">
        <v>2150</v>
      </c>
      <c r="G2500" s="149" t="s">
        <v>2151</v>
      </c>
      <c r="H2500" s="149" t="s">
        <v>2152</v>
      </c>
      <c r="I2500" s="149" t="s">
        <v>2153</v>
      </c>
      <c r="J2500" s="149" t="s">
        <v>2154</v>
      </c>
      <c r="K2500" s="149" t="s">
        <v>2155</v>
      </c>
      <c r="L2500" s="149" t="s">
        <v>2239</v>
      </c>
      <c r="M2500" s="149" t="s">
        <v>413</v>
      </c>
      <c r="N2500" s="149" t="s">
        <v>2214</v>
      </c>
      <c r="O2500" s="149" t="s">
        <v>2158</v>
      </c>
    </row>
    <row r="2501" spans="1:15" x14ac:dyDescent="0.35">
      <c r="A2501" s="321"/>
      <c r="B2501" s="320" t="s">
        <v>2221</v>
      </c>
      <c r="C2501" s="153"/>
      <c r="D2501" s="154"/>
      <c r="E2501" s="154"/>
      <c r="F2501" s="154"/>
      <c r="G2501" s="154"/>
      <c r="H2501" s="154"/>
      <c r="I2501" s="154"/>
      <c r="J2501" s="154"/>
      <c r="K2501" s="154"/>
      <c r="L2501" s="154"/>
      <c r="M2501" s="154"/>
      <c r="N2501" s="154">
        <f>QUANTBL!O221</f>
        <v>831.12999999999965</v>
      </c>
      <c r="O2501" s="154">
        <f>QUANTBL!AV221</f>
        <v>24.933899999999998</v>
      </c>
    </row>
    <row r="2502" spans="1:15" x14ac:dyDescent="0.35">
      <c r="A2502" s="321"/>
      <c r="B2502" s="320"/>
      <c r="C2502" s="153"/>
      <c r="D2502" s="154"/>
      <c r="E2502" s="154"/>
      <c r="F2502" s="154"/>
      <c r="G2502" s="154"/>
      <c r="H2502" s="154"/>
      <c r="I2502" s="154"/>
      <c r="J2502" s="154"/>
      <c r="K2502" s="154"/>
      <c r="L2502" s="154"/>
      <c r="M2502" s="154"/>
      <c r="N2502" s="338"/>
      <c r="O2502" s="154"/>
    </row>
    <row r="2503" spans="1:15" x14ac:dyDescent="0.35">
      <c r="A2503" s="321"/>
      <c r="B2503" s="318" t="s">
        <v>377</v>
      </c>
      <c r="C2503" s="158" t="s">
        <v>402</v>
      </c>
      <c r="D2503" s="158"/>
      <c r="E2503" s="158"/>
      <c r="F2503" s="158"/>
      <c r="G2503" s="158"/>
      <c r="H2503" s="158"/>
      <c r="I2503" s="158"/>
      <c r="J2503" s="158"/>
      <c r="K2503" s="154"/>
      <c r="L2503" s="158"/>
      <c r="M2503" s="158"/>
      <c r="N2503" s="153"/>
      <c r="O2503" s="153">
        <f>SUM(O2501:O2502)</f>
        <v>24.933899999999998</v>
      </c>
    </row>
    <row r="2504" spans="1:15" ht="21" x14ac:dyDescent="0.35">
      <c r="A2504" s="323" t="str">
        <f>ORÇAMENTO!A433</f>
        <v>5.1.2.7.25</v>
      </c>
      <c r="B2504" s="322" t="str">
        <f>VLOOKUP(A2504,ORÇAMENTO!$A:$F,4,0)</f>
        <v>PINTURA DE LIGAÇÃO (SEM MATERIAL)</v>
      </c>
      <c r="C2504" s="149" t="str">
        <f>VLOOKUP(A2504,ORÇAMENTO!$A:$F,5,0)</f>
        <v>M²</v>
      </c>
      <c r="D2504" s="149">
        <f>ROUND(SUM(E2507:O2507),2)</f>
        <v>831.13</v>
      </c>
      <c r="E2504" s="149" t="s">
        <v>2149</v>
      </c>
      <c r="F2504" s="149" t="s">
        <v>2150</v>
      </c>
      <c r="G2504" s="149" t="s">
        <v>2151</v>
      </c>
      <c r="H2504" s="149" t="s">
        <v>2152</v>
      </c>
      <c r="I2504" s="149" t="s">
        <v>2153</v>
      </c>
      <c r="J2504" s="149" t="s">
        <v>2154</v>
      </c>
      <c r="K2504" s="149" t="s">
        <v>2155</v>
      </c>
      <c r="L2504" s="149" t="s">
        <v>2239</v>
      </c>
      <c r="M2504" s="149" t="s">
        <v>413</v>
      </c>
      <c r="N2504" s="149" t="s">
        <v>2214</v>
      </c>
      <c r="O2504" s="149" t="s">
        <v>2158</v>
      </c>
    </row>
    <row r="2505" spans="1:15" x14ac:dyDescent="0.35">
      <c r="A2505" s="321"/>
      <c r="B2505" s="320" t="str">
        <f>B2497</f>
        <v>VALAS DO TUBO DE LIGAÇÃO DN 400MM</v>
      </c>
      <c r="C2505" s="153"/>
      <c r="D2505" s="154"/>
      <c r="E2505" s="154"/>
      <c r="F2505" s="154"/>
      <c r="G2505" s="154"/>
      <c r="H2505" s="154"/>
      <c r="I2505" s="154"/>
      <c r="J2505" s="154"/>
      <c r="K2505" s="154"/>
      <c r="L2505" s="154"/>
      <c r="M2505" s="154"/>
      <c r="N2505" s="154">
        <f>N2501</f>
        <v>831.12999999999965</v>
      </c>
      <c r="O2505" s="154"/>
    </row>
    <row r="2506" spans="1:15" x14ac:dyDescent="0.35">
      <c r="A2506" s="321"/>
      <c r="B2506" s="320"/>
      <c r="C2506" s="153"/>
      <c r="D2506" s="154"/>
      <c r="E2506" s="154"/>
      <c r="F2506" s="154"/>
      <c r="G2506" s="154"/>
      <c r="H2506" s="154"/>
      <c r="I2506" s="154"/>
      <c r="J2506" s="154"/>
      <c r="K2506" s="154"/>
      <c r="L2506" s="154"/>
      <c r="M2506" s="154"/>
      <c r="N2506" s="338"/>
      <c r="O2506" s="154"/>
    </row>
    <row r="2507" spans="1:15" x14ac:dyDescent="0.35">
      <c r="A2507" s="321"/>
      <c r="B2507" s="318" t="s">
        <v>377</v>
      </c>
      <c r="C2507" s="158" t="s">
        <v>402</v>
      </c>
      <c r="D2507" s="158"/>
      <c r="E2507" s="158"/>
      <c r="F2507" s="158"/>
      <c r="G2507" s="158"/>
      <c r="H2507" s="158"/>
      <c r="I2507" s="158"/>
      <c r="J2507" s="158"/>
      <c r="K2507" s="154"/>
      <c r="L2507" s="158"/>
      <c r="M2507" s="158"/>
      <c r="N2507" s="153">
        <f>SUM(N2505:N2506)</f>
        <v>831.12999999999965</v>
      </c>
      <c r="O2507" s="153"/>
    </row>
    <row r="2508" spans="1:15" ht="21" x14ac:dyDescent="0.35">
      <c r="A2508" s="323" t="str">
        <f>ORÇAMENTO!A434</f>
        <v>5.1.2.7.26</v>
      </c>
      <c r="B2508" s="322" t="str">
        <f>VLOOKUP(A2508,ORÇAMENTO!$A:$F,4,0)</f>
        <v>EMULSÃO ASFÁLTICA - RR-1C - FORNECIMENTO E TRANSPORTE</v>
      </c>
      <c r="C2508" s="149" t="str">
        <f>VLOOKUP(A2508,ORÇAMENTO!$A:$F,5,0)</f>
        <v>T</v>
      </c>
      <c r="D2508" s="149">
        <f>ROUND(SUM(E2513:O2513),2)</f>
        <v>0.37</v>
      </c>
      <c r="E2508" s="149" t="s">
        <v>2149</v>
      </c>
      <c r="F2508" s="149" t="s">
        <v>2150</v>
      </c>
      <c r="G2508" s="149" t="s">
        <v>2151</v>
      </c>
      <c r="H2508" s="149" t="s">
        <v>2152</v>
      </c>
      <c r="I2508" s="149" t="s">
        <v>2153</v>
      </c>
      <c r="J2508" s="149" t="s">
        <v>2154</v>
      </c>
      <c r="K2508" s="149" t="s">
        <v>2172</v>
      </c>
      <c r="L2508" s="149" t="s">
        <v>2213</v>
      </c>
      <c r="M2508" s="149" t="s">
        <v>413</v>
      </c>
      <c r="N2508" s="149" t="s">
        <v>2214</v>
      </c>
      <c r="O2508" s="149" t="s">
        <v>2158</v>
      </c>
    </row>
    <row r="2509" spans="1:15" ht="21" x14ac:dyDescent="0.35">
      <c r="A2509" s="321"/>
      <c r="B2509" s="318" t="s">
        <v>2215</v>
      </c>
      <c r="C2509" s="153"/>
      <c r="D2509" s="154"/>
      <c r="E2509" s="154"/>
      <c r="F2509" s="154"/>
      <c r="G2509" s="154"/>
      <c r="H2509" s="154"/>
      <c r="I2509" s="154"/>
      <c r="J2509" s="154"/>
      <c r="K2509" s="154"/>
      <c r="L2509" s="154"/>
      <c r="M2509" s="154"/>
      <c r="N2509" s="154">
        <f>N2505</f>
        <v>831.12999999999965</v>
      </c>
      <c r="O2509" s="154"/>
    </row>
    <row r="2510" spans="1:15" ht="31.5" x14ac:dyDescent="0.35">
      <c r="A2510" s="321"/>
      <c r="B2510" s="320" t="s">
        <v>2216</v>
      </c>
      <c r="C2510" s="153"/>
      <c r="D2510" s="154"/>
      <c r="E2510" s="154"/>
      <c r="F2510" s="154"/>
      <c r="G2510" s="154"/>
      <c r="H2510" s="154"/>
      <c r="I2510" s="154"/>
      <c r="J2510" s="154"/>
      <c r="K2510" s="154"/>
      <c r="L2510" s="172">
        <v>4.4999999999999999E-4</v>
      </c>
      <c r="M2510" s="154"/>
      <c r="N2510" s="338"/>
      <c r="O2510" s="154"/>
    </row>
    <row r="2511" spans="1:15" x14ac:dyDescent="0.35">
      <c r="A2511" s="321"/>
      <c r="B2511" s="320"/>
      <c r="C2511" s="153"/>
      <c r="D2511" s="154"/>
      <c r="E2511" s="154"/>
      <c r="F2511" s="154"/>
      <c r="G2511" s="154"/>
      <c r="H2511" s="154"/>
      <c r="I2511" s="154"/>
      <c r="J2511" s="154"/>
      <c r="K2511" s="154">
        <f>L2510*N2509</f>
        <v>0.37400849999999985</v>
      </c>
      <c r="L2511" s="154"/>
      <c r="M2511" s="154"/>
      <c r="N2511" s="338"/>
      <c r="O2511" s="154"/>
    </row>
    <row r="2512" spans="1:15" x14ac:dyDescent="0.35">
      <c r="A2512" s="321"/>
      <c r="B2512" s="320"/>
      <c r="C2512" s="153"/>
      <c r="D2512" s="154"/>
      <c r="E2512" s="154"/>
      <c r="F2512" s="154"/>
      <c r="G2512" s="154"/>
      <c r="H2512" s="154"/>
      <c r="I2512" s="154"/>
      <c r="J2512" s="154"/>
      <c r="K2512" s="154"/>
      <c r="L2512" s="154"/>
      <c r="M2512" s="154"/>
      <c r="N2512" s="338"/>
      <c r="O2512" s="154"/>
    </row>
    <row r="2513" spans="1:15" x14ac:dyDescent="0.35">
      <c r="A2513" s="321"/>
      <c r="B2513" s="318" t="s">
        <v>377</v>
      </c>
      <c r="C2513" s="158" t="s">
        <v>402</v>
      </c>
      <c r="D2513" s="158"/>
      <c r="E2513" s="158"/>
      <c r="F2513" s="158"/>
      <c r="G2513" s="158"/>
      <c r="H2513" s="158"/>
      <c r="I2513" s="158"/>
      <c r="J2513" s="158"/>
      <c r="K2513" s="153">
        <f>SUM(K2509:K2512)</f>
        <v>0.37400849999999985</v>
      </c>
      <c r="L2513" s="158"/>
      <c r="M2513" s="158"/>
      <c r="N2513" s="153"/>
      <c r="O2513" s="153"/>
    </row>
    <row r="2514" spans="1:15" ht="21" x14ac:dyDescent="0.35">
      <c r="A2514" s="323" t="str">
        <f>ORÇAMENTO!A435</f>
        <v>5.1.2.7.27</v>
      </c>
      <c r="B2514" s="322" t="str">
        <f>VLOOKUP(A2514,ORÇAMENTO!$A:$F,4,0)</f>
        <v>IMPRIMAÇÃO COM EMULSÃO ASFÁLTICA (SEM MATERIAL)</v>
      </c>
      <c r="C2514" s="149" t="str">
        <f>VLOOKUP(A2514,ORÇAMENTO!$A:$F,5,0)</f>
        <v>M²</v>
      </c>
      <c r="D2514" s="149">
        <f>ROUND(SUM(E2517:O2517),2)</f>
        <v>831.13</v>
      </c>
      <c r="E2514" s="149" t="s">
        <v>2149</v>
      </c>
      <c r="F2514" s="149" t="s">
        <v>2150</v>
      </c>
      <c r="G2514" s="149" t="s">
        <v>2151</v>
      </c>
      <c r="H2514" s="149" t="s">
        <v>2152</v>
      </c>
      <c r="I2514" s="149" t="s">
        <v>2153</v>
      </c>
      <c r="J2514" s="149" t="s">
        <v>2154</v>
      </c>
      <c r="K2514" s="149" t="s">
        <v>2155</v>
      </c>
      <c r="L2514" s="149" t="s">
        <v>2239</v>
      </c>
      <c r="M2514" s="149" t="s">
        <v>413</v>
      </c>
      <c r="N2514" s="149" t="s">
        <v>2214</v>
      </c>
      <c r="O2514" s="149" t="s">
        <v>2158</v>
      </c>
    </row>
    <row r="2515" spans="1:15" x14ac:dyDescent="0.35">
      <c r="A2515" s="321"/>
      <c r="B2515" s="320" t="str">
        <f>B2505</f>
        <v>VALAS DO TUBO DE LIGAÇÃO DN 400MM</v>
      </c>
      <c r="C2515" s="153"/>
      <c r="D2515" s="154"/>
      <c r="E2515" s="154"/>
      <c r="F2515" s="154"/>
      <c r="G2515" s="154"/>
      <c r="H2515" s="154"/>
      <c r="I2515" s="154"/>
      <c r="J2515" s="154"/>
      <c r="K2515" s="154"/>
      <c r="L2515" s="154"/>
      <c r="M2515" s="154"/>
      <c r="N2515" s="154">
        <f>N2505</f>
        <v>831.12999999999965</v>
      </c>
      <c r="O2515" s="154"/>
    </row>
    <row r="2516" spans="1:15" x14ac:dyDescent="0.35">
      <c r="A2516" s="321"/>
      <c r="B2516" s="320"/>
      <c r="C2516" s="153"/>
      <c r="D2516" s="154"/>
      <c r="E2516" s="154"/>
      <c r="F2516" s="154"/>
      <c r="G2516" s="154"/>
      <c r="H2516" s="154"/>
      <c r="I2516" s="154"/>
      <c r="J2516" s="154"/>
      <c r="K2516" s="154"/>
      <c r="L2516" s="154"/>
      <c r="M2516" s="154"/>
      <c r="N2516" s="338"/>
      <c r="O2516" s="154"/>
    </row>
    <row r="2517" spans="1:15" x14ac:dyDescent="0.35">
      <c r="A2517" s="321"/>
      <c r="B2517" s="318" t="s">
        <v>377</v>
      </c>
      <c r="C2517" s="158" t="s">
        <v>402</v>
      </c>
      <c r="D2517" s="158"/>
      <c r="E2517" s="158"/>
      <c r="F2517" s="158"/>
      <c r="G2517" s="158"/>
      <c r="H2517" s="158"/>
      <c r="I2517" s="158"/>
      <c r="J2517" s="158"/>
      <c r="K2517" s="154"/>
      <c r="L2517" s="158"/>
      <c r="M2517" s="158"/>
      <c r="N2517" s="153">
        <f>SUM(N2515:N2516)</f>
        <v>831.12999999999965</v>
      </c>
      <c r="O2517" s="153"/>
    </row>
    <row r="2518" spans="1:15" ht="21" x14ac:dyDescent="0.35">
      <c r="A2518" s="323" t="str">
        <f>ORÇAMENTO!A436</f>
        <v>5.1.2.7.28</v>
      </c>
      <c r="B2518" s="322" t="str">
        <f>VLOOKUP(A2518,ORÇAMENTO!$A:$F,4,0)</f>
        <v>EMULSÃO ASFÁLTICA PARA IMPRIMAÇÃO - FORNECIMENTO E TRANSPORTE</v>
      </c>
      <c r="C2518" s="149" t="str">
        <f>VLOOKUP(A2518,ORÇAMENTO!$A:$F,5,0)</f>
        <v>T</v>
      </c>
      <c r="D2518" s="149">
        <f>ROUND(SUM(E2523:O2523),2)</f>
        <v>1.08</v>
      </c>
      <c r="E2518" s="149" t="s">
        <v>2149</v>
      </c>
      <c r="F2518" s="149" t="s">
        <v>2150</v>
      </c>
      <c r="G2518" s="149" t="s">
        <v>2151</v>
      </c>
      <c r="H2518" s="149" t="s">
        <v>2152</v>
      </c>
      <c r="I2518" s="149" t="s">
        <v>2153</v>
      </c>
      <c r="J2518" s="149" t="s">
        <v>2154</v>
      </c>
      <c r="K2518" s="149" t="s">
        <v>2172</v>
      </c>
      <c r="L2518" s="149" t="s">
        <v>2213</v>
      </c>
      <c r="M2518" s="149" t="s">
        <v>413</v>
      </c>
      <c r="N2518" s="149" t="s">
        <v>2214</v>
      </c>
      <c r="O2518" s="149" t="s">
        <v>2158</v>
      </c>
    </row>
    <row r="2519" spans="1:15" x14ac:dyDescent="0.35">
      <c r="A2519" s="321"/>
      <c r="B2519" s="318" t="s">
        <v>2217</v>
      </c>
      <c r="C2519" s="153"/>
      <c r="D2519" s="154"/>
      <c r="E2519" s="154"/>
      <c r="F2519" s="154"/>
      <c r="G2519" s="154"/>
      <c r="H2519" s="154"/>
      <c r="I2519" s="154"/>
      <c r="J2519" s="154"/>
      <c r="K2519" s="154"/>
      <c r="L2519" s="154"/>
      <c r="M2519" s="154"/>
      <c r="N2519" s="154">
        <f>N2515</f>
        <v>831.12999999999965</v>
      </c>
      <c r="O2519" s="154"/>
    </row>
    <row r="2520" spans="1:15" ht="42" x14ac:dyDescent="0.35">
      <c r="A2520" s="321"/>
      <c r="B2520" s="320" t="s">
        <v>2218</v>
      </c>
      <c r="C2520" s="153"/>
      <c r="D2520" s="154"/>
      <c r="E2520" s="154"/>
      <c r="F2520" s="154"/>
      <c r="G2520" s="154"/>
      <c r="H2520" s="154"/>
      <c r="I2520" s="154"/>
      <c r="J2520" s="154"/>
      <c r="K2520" s="154"/>
      <c r="L2520" s="172">
        <v>1.2999999999999999E-3</v>
      </c>
      <c r="M2520" s="154"/>
      <c r="N2520" s="338"/>
      <c r="O2520" s="154"/>
    </row>
    <row r="2521" spans="1:15" x14ac:dyDescent="0.35">
      <c r="A2521" s="321"/>
      <c r="B2521" s="320"/>
      <c r="C2521" s="153"/>
      <c r="D2521" s="154"/>
      <c r="E2521" s="154"/>
      <c r="F2521" s="154"/>
      <c r="G2521" s="154"/>
      <c r="H2521" s="154"/>
      <c r="I2521" s="154"/>
      <c r="J2521" s="154"/>
      <c r="K2521" s="154">
        <f>L2520*N2519</f>
        <v>1.0804689999999995</v>
      </c>
      <c r="L2521" s="154"/>
      <c r="M2521" s="154"/>
      <c r="N2521" s="338"/>
      <c r="O2521" s="154"/>
    </row>
    <row r="2522" spans="1:15" x14ac:dyDescent="0.35">
      <c r="A2522" s="321"/>
      <c r="B2522" s="320"/>
      <c r="C2522" s="153"/>
      <c r="D2522" s="154"/>
      <c r="E2522" s="154"/>
      <c r="F2522" s="154"/>
      <c r="G2522" s="154"/>
      <c r="H2522" s="154"/>
      <c r="I2522" s="154"/>
      <c r="J2522" s="154"/>
      <c r="K2522" s="154"/>
      <c r="L2522" s="154"/>
      <c r="M2522" s="154"/>
      <c r="N2522" s="338"/>
      <c r="O2522" s="154"/>
    </row>
    <row r="2523" spans="1:15" x14ac:dyDescent="0.35">
      <c r="A2523" s="321"/>
      <c r="B2523" s="318" t="s">
        <v>377</v>
      </c>
      <c r="C2523" s="158" t="s">
        <v>402</v>
      </c>
      <c r="D2523" s="158"/>
      <c r="E2523" s="158"/>
      <c r="F2523" s="158"/>
      <c r="G2523" s="158"/>
      <c r="H2523" s="158"/>
      <c r="I2523" s="158"/>
      <c r="J2523" s="158"/>
      <c r="K2523" s="153">
        <f>SUM(K2519:K2522)</f>
        <v>1.0804689999999995</v>
      </c>
      <c r="L2523" s="158"/>
      <c r="M2523" s="158"/>
      <c r="N2523" s="153"/>
      <c r="O2523" s="153"/>
    </row>
    <row r="2524" spans="1:15" ht="21" x14ac:dyDescent="0.35">
      <c r="A2524" s="323" t="str">
        <f>ORÇAMENTO!A437</f>
        <v>5.1.2.7.29</v>
      </c>
      <c r="B2524" s="322" t="str">
        <f>VLOOKUP(A2524,ORÇAMENTO!$A:$F,4,0)</f>
        <v>USINAGEM DE CBUQ SEM  CAP 50/70, PARA CAPA DE ROLAMENTO (SEM MATERIAL  E TRANSPORTE)</v>
      </c>
      <c r="C2524" s="149" t="str">
        <f>VLOOKUP(A2524,ORÇAMENTO!$A:$F,5,0)</f>
        <v>T</v>
      </c>
      <c r="D2524" s="149">
        <f>ROUND(SUM(E2529:O2529),2)</f>
        <v>59.84</v>
      </c>
      <c r="E2524" s="149" t="s">
        <v>2149</v>
      </c>
      <c r="F2524" s="149" t="s">
        <v>2150</v>
      </c>
      <c r="G2524" s="149" t="s">
        <v>2151</v>
      </c>
      <c r="H2524" s="149" t="s">
        <v>2152</v>
      </c>
      <c r="I2524" s="149" t="s">
        <v>2153</v>
      </c>
      <c r="J2524" s="149" t="s">
        <v>2154</v>
      </c>
      <c r="K2524" s="149" t="s">
        <v>2172</v>
      </c>
      <c r="L2524" s="149" t="s">
        <v>2239</v>
      </c>
      <c r="M2524" s="149" t="s">
        <v>413</v>
      </c>
      <c r="N2524" s="149" t="s">
        <v>2214</v>
      </c>
      <c r="O2524" s="149" t="s">
        <v>2158</v>
      </c>
    </row>
    <row r="2525" spans="1:15" x14ac:dyDescent="0.35">
      <c r="A2525" s="321"/>
      <c r="B2525" s="318" t="s">
        <v>2171</v>
      </c>
      <c r="C2525" s="153"/>
      <c r="D2525" s="154"/>
      <c r="E2525" s="154"/>
      <c r="F2525" s="154"/>
      <c r="G2525" s="154"/>
      <c r="H2525" s="154"/>
      <c r="I2525" s="154"/>
      <c r="J2525" s="154"/>
      <c r="K2525" s="154"/>
      <c r="L2525" s="154"/>
      <c r="M2525" s="154"/>
      <c r="N2525" s="154"/>
      <c r="O2525" s="154"/>
    </row>
    <row r="2526" spans="1:15" x14ac:dyDescent="0.35">
      <c r="A2526" s="321"/>
      <c r="B2526" s="320" t="s">
        <v>2222</v>
      </c>
      <c r="C2526" s="153"/>
      <c r="D2526" s="154"/>
      <c r="E2526" s="154"/>
      <c r="F2526" s="154"/>
      <c r="G2526" s="154"/>
      <c r="H2526" s="154"/>
      <c r="I2526" s="154"/>
      <c r="J2526" s="154"/>
      <c r="K2526" s="154"/>
      <c r="L2526" s="154">
        <v>2.4</v>
      </c>
      <c r="M2526" s="154"/>
      <c r="N2526" s="154"/>
      <c r="O2526" s="154"/>
    </row>
    <row r="2527" spans="1:15" x14ac:dyDescent="0.35">
      <c r="A2527" s="321"/>
      <c r="B2527" s="320" t="str">
        <f>B2501</f>
        <v>CONCRETO BETUMINOSO USINADO A QUENTE</v>
      </c>
      <c r="C2527" s="153"/>
      <c r="D2527" s="154"/>
      <c r="E2527" s="154"/>
      <c r="F2527" s="154"/>
      <c r="G2527" s="154"/>
      <c r="H2527" s="154"/>
      <c r="I2527" s="154"/>
      <c r="J2527" s="154"/>
      <c r="K2527" s="154">
        <f>L2526*O2527</f>
        <v>59.841359999999995</v>
      </c>
      <c r="L2527" s="154"/>
      <c r="M2527" s="154"/>
      <c r="N2527" s="154"/>
      <c r="O2527" s="154">
        <f>O2503</f>
        <v>24.933899999999998</v>
      </c>
    </row>
    <row r="2528" spans="1:15" x14ac:dyDescent="0.35">
      <c r="A2528" s="321"/>
      <c r="B2528" s="320"/>
      <c r="C2528" s="153"/>
      <c r="D2528" s="154"/>
      <c r="E2528" s="154"/>
      <c r="F2528" s="154"/>
      <c r="G2528" s="154"/>
      <c r="H2528" s="154"/>
      <c r="I2528" s="154"/>
      <c r="J2528" s="154"/>
      <c r="K2528" s="154"/>
      <c r="L2528" s="154"/>
      <c r="M2528" s="154"/>
      <c r="N2528" s="338"/>
      <c r="O2528" s="154"/>
    </row>
    <row r="2529" spans="1:15" x14ac:dyDescent="0.35">
      <c r="A2529" s="321"/>
      <c r="B2529" s="318" t="s">
        <v>377</v>
      </c>
      <c r="C2529" s="158" t="s">
        <v>402</v>
      </c>
      <c r="D2529" s="158"/>
      <c r="E2529" s="158"/>
      <c r="F2529" s="158"/>
      <c r="G2529" s="158"/>
      <c r="H2529" s="158"/>
      <c r="I2529" s="158"/>
      <c r="J2529" s="158"/>
      <c r="K2529" s="153">
        <f>SUM(K2525:K2528)</f>
        <v>59.841359999999995</v>
      </c>
      <c r="L2529" s="158"/>
      <c r="M2529" s="158"/>
      <c r="N2529" s="153"/>
      <c r="O2529" s="153"/>
    </row>
    <row r="2530" spans="1:15" ht="21" x14ac:dyDescent="0.35">
      <c r="A2530" s="323" t="str">
        <f>ORÇAMENTO!A438</f>
        <v>5.1.2.7.30</v>
      </c>
      <c r="B2530" s="322" t="str">
        <f>VLOOKUP(A2530,ORÇAMENTO!$A:$F,4,0)</f>
        <v>CIMENTO ASFÁLTICO DE PETRÓLEO - CAP 50/70 FORNECIMENTO E TRANSPORTE</v>
      </c>
      <c r="C2530" s="149" t="str">
        <f>VLOOKUP(A2530,ORÇAMENTO!$A:$F,5,0)</f>
        <v>T</v>
      </c>
      <c r="D2530" s="149">
        <f>ROUND(SUM(E2534:O2534),2)</f>
        <v>3.78</v>
      </c>
      <c r="E2530" s="149" t="s">
        <v>2149</v>
      </c>
      <c r="F2530" s="149" t="s">
        <v>2150</v>
      </c>
      <c r="G2530" s="149" t="s">
        <v>2151</v>
      </c>
      <c r="H2530" s="149" t="s">
        <v>2152</v>
      </c>
      <c r="I2530" s="149" t="s">
        <v>2153</v>
      </c>
      <c r="J2530" s="149" t="s">
        <v>2154</v>
      </c>
      <c r="K2530" s="149" t="s">
        <v>2172</v>
      </c>
      <c r="L2530" s="149" t="s">
        <v>2178</v>
      </c>
      <c r="M2530" s="149" t="s">
        <v>2160</v>
      </c>
      <c r="N2530" s="149" t="s">
        <v>2157</v>
      </c>
      <c r="O2530" s="149" t="s">
        <v>2158</v>
      </c>
    </row>
    <row r="2531" spans="1:15" x14ac:dyDescent="0.35">
      <c r="A2531" s="321"/>
      <c r="B2531" s="320" t="str">
        <f>B2527</f>
        <v>CONCRETO BETUMINOSO USINADO A QUENTE</v>
      </c>
      <c r="C2531" s="153"/>
      <c r="D2531" s="154"/>
      <c r="E2531" s="154"/>
      <c r="F2531" s="154"/>
      <c r="G2531" s="154"/>
      <c r="H2531" s="154"/>
      <c r="I2531" s="154"/>
      <c r="J2531" s="154"/>
      <c r="K2531" s="154">
        <f>K2527</f>
        <v>59.841359999999995</v>
      </c>
      <c r="L2531" s="154"/>
      <c r="M2531" s="154"/>
      <c r="N2531" s="154"/>
      <c r="O2531" s="154"/>
    </row>
    <row r="2532" spans="1:15" x14ac:dyDescent="0.35">
      <c r="A2532" s="321"/>
      <c r="B2532" s="320" t="s">
        <v>2223</v>
      </c>
      <c r="C2532" s="153"/>
      <c r="D2532" s="154"/>
      <c r="E2532" s="154"/>
      <c r="F2532" s="154"/>
      <c r="G2532" s="154"/>
      <c r="H2532" s="154"/>
      <c r="I2532" s="154"/>
      <c r="J2532" s="154"/>
      <c r="K2532" s="154"/>
      <c r="L2532" s="172">
        <v>6.3229999999999995E-2</v>
      </c>
      <c r="M2532" s="154"/>
      <c r="N2532" s="154"/>
      <c r="O2532" s="154"/>
    </row>
    <row r="2533" spans="1:15" x14ac:dyDescent="0.35">
      <c r="A2533" s="321"/>
      <c r="B2533" s="320"/>
      <c r="C2533" s="153"/>
      <c r="D2533" s="154"/>
      <c r="E2533" s="154"/>
      <c r="F2533" s="154"/>
      <c r="G2533" s="154"/>
      <c r="H2533" s="154"/>
      <c r="I2533" s="154"/>
      <c r="J2533" s="154"/>
      <c r="K2533" s="154">
        <f>K2531*L2532</f>
        <v>3.7837691927999995</v>
      </c>
      <c r="L2533" s="154"/>
      <c r="M2533" s="154"/>
      <c r="N2533" s="154"/>
      <c r="O2533" s="154"/>
    </row>
    <row r="2534" spans="1:15" x14ac:dyDescent="0.35">
      <c r="A2534" s="321"/>
      <c r="B2534" s="318" t="s">
        <v>377</v>
      </c>
      <c r="C2534" s="158" t="s">
        <v>402</v>
      </c>
      <c r="D2534" s="158"/>
      <c r="E2534" s="158"/>
      <c r="F2534" s="158"/>
      <c r="G2534" s="158"/>
      <c r="H2534" s="158"/>
      <c r="I2534" s="158"/>
      <c r="J2534" s="158"/>
      <c r="K2534" s="153">
        <f>SUM(K2533)</f>
        <v>3.7837691927999995</v>
      </c>
      <c r="L2534" s="158"/>
      <c r="M2534" s="158"/>
      <c r="N2534" s="153"/>
      <c r="O2534" s="153"/>
    </row>
    <row r="2535" spans="1:15" ht="52.5" x14ac:dyDescent="0.35">
      <c r="A2535" s="323" t="str">
        <f>ORÇAMENTO!A439</f>
        <v>5.1.2.7.31</v>
      </c>
      <c r="B2535" s="322" t="str">
        <f>VLOOKUP(A2535,ORÇAMENTO!$A:$F,4,0)</f>
        <v>EXECUÇÃO E COMPACTAÇÃO DE BASE E OU SUB BASE PARA PAVIMENTAÇÃO DE SOLO (PREDOMINANTEMENTE ARENOSO) COM CAL (TEOR DE 4%) - EXCLUSIVE SOLO, ESCAVAÇÃO, CARGA E TRANSPORTE.</v>
      </c>
      <c r="C2535" s="149" t="str">
        <f>VLOOKUP(A2535,ORÇAMENTO!$A:$F,5,0)</f>
        <v>M³</v>
      </c>
      <c r="D2535" s="149">
        <f>ROUND(SUM(E2539:O2539),2)</f>
        <v>124.67</v>
      </c>
      <c r="E2535" s="149" t="s">
        <v>2149</v>
      </c>
      <c r="F2535" s="149" t="s">
        <v>2150</v>
      </c>
      <c r="G2535" s="149" t="s">
        <v>2151</v>
      </c>
      <c r="H2535" s="149" t="s">
        <v>2152</v>
      </c>
      <c r="I2535" s="149" t="s">
        <v>2153</v>
      </c>
      <c r="J2535" s="149" t="s">
        <v>2154</v>
      </c>
      <c r="K2535" s="149" t="s">
        <v>2155</v>
      </c>
      <c r="L2535" s="149" t="s">
        <v>2239</v>
      </c>
      <c r="M2535" s="149" t="s">
        <v>413</v>
      </c>
      <c r="N2535" s="149" t="s">
        <v>2214</v>
      </c>
      <c r="O2535" s="149" t="s">
        <v>2158</v>
      </c>
    </row>
    <row r="2536" spans="1:15" x14ac:dyDescent="0.35">
      <c r="A2536" s="321"/>
      <c r="B2536" s="320" t="s">
        <v>2247</v>
      </c>
      <c r="C2536" s="153"/>
      <c r="D2536" s="154"/>
      <c r="E2536" s="154"/>
      <c r="F2536" s="154"/>
      <c r="G2536" s="154"/>
      <c r="H2536" s="154"/>
      <c r="I2536" s="154"/>
      <c r="J2536" s="154"/>
      <c r="K2536" s="154"/>
      <c r="L2536" s="154"/>
      <c r="M2536" s="154"/>
      <c r="N2536" s="338"/>
      <c r="O2536" s="154">
        <f>QUANTBL!AT221</f>
        <v>124.66949999999996</v>
      </c>
    </row>
    <row r="2537" spans="1:15" x14ac:dyDescent="0.35">
      <c r="A2537" s="321"/>
      <c r="B2537" s="320"/>
      <c r="C2537" s="153"/>
      <c r="D2537" s="154"/>
      <c r="E2537" s="154"/>
      <c r="F2537" s="154"/>
      <c r="G2537" s="154"/>
      <c r="H2537" s="154"/>
      <c r="I2537" s="154"/>
      <c r="J2537" s="154"/>
      <c r="K2537" s="154"/>
      <c r="L2537" s="154"/>
      <c r="M2537" s="154"/>
      <c r="N2537" s="338"/>
      <c r="O2537" s="154"/>
    </row>
    <row r="2538" spans="1:15" x14ac:dyDescent="0.35">
      <c r="A2538" s="321"/>
      <c r="B2538" s="320"/>
      <c r="C2538" s="153"/>
      <c r="D2538" s="154"/>
      <c r="E2538" s="154"/>
      <c r="F2538" s="154"/>
      <c r="G2538" s="154"/>
      <c r="H2538" s="154"/>
      <c r="I2538" s="154"/>
      <c r="J2538" s="154"/>
      <c r="K2538" s="154"/>
      <c r="L2538" s="154"/>
      <c r="M2538" s="154"/>
      <c r="N2538" s="338"/>
      <c r="O2538" s="154"/>
    </row>
    <row r="2539" spans="1:15" x14ac:dyDescent="0.35">
      <c r="A2539" s="321"/>
      <c r="B2539" s="318" t="s">
        <v>377</v>
      </c>
      <c r="C2539" s="158" t="s">
        <v>402</v>
      </c>
      <c r="D2539" s="158"/>
      <c r="E2539" s="158"/>
      <c r="F2539" s="158"/>
      <c r="G2539" s="158"/>
      <c r="H2539" s="158"/>
      <c r="I2539" s="158"/>
      <c r="J2539" s="158"/>
      <c r="K2539" s="154"/>
      <c r="L2539" s="158"/>
      <c r="M2539" s="158"/>
      <c r="N2539" s="153"/>
      <c r="O2539" s="153">
        <f>SUM(O2536:O2538)</f>
        <v>124.66949999999996</v>
      </c>
    </row>
    <row r="2540" spans="1:15" ht="21" x14ac:dyDescent="0.35">
      <c r="A2540" s="323" t="str">
        <f>ORÇAMENTO!A440</f>
        <v>5.1.2.7.32</v>
      </c>
      <c r="B2540" s="322" t="str">
        <f>VLOOKUP(A2540,ORÇAMENTO!$A:$F,4,0)</f>
        <v>BASE OU SUB-BASE DE BRITA GRADUADA COM BRITA COMERCIAL</v>
      </c>
      <c r="C2540" s="149" t="str">
        <f>VLOOKUP(A2540,ORÇAMENTO!$A:$F,5,0)</f>
        <v>M³</v>
      </c>
      <c r="D2540" s="149">
        <f>ROUND(SUM(E2544:O2544),2)</f>
        <v>124.67</v>
      </c>
      <c r="E2540" s="149" t="s">
        <v>2149</v>
      </c>
      <c r="F2540" s="149" t="s">
        <v>2150</v>
      </c>
      <c r="G2540" s="149" t="s">
        <v>2151</v>
      </c>
      <c r="H2540" s="149" t="s">
        <v>2152</v>
      </c>
      <c r="I2540" s="149" t="s">
        <v>2153</v>
      </c>
      <c r="J2540" s="149" t="s">
        <v>2154</v>
      </c>
      <c r="K2540" s="149" t="s">
        <v>2155</v>
      </c>
      <c r="L2540" s="149" t="s">
        <v>2239</v>
      </c>
      <c r="M2540" s="149" t="s">
        <v>413</v>
      </c>
      <c r="N2540" s="149" t="s">
        <v>2214</v>
      </c>
      <c r="O2540" s="149" t="s">
        <v>2158</v>
      </c>
    </row>
    <row r="2541" spans="1:15" x14ac:dyDescent="0.35">
      <c r="A2541" s="321"/>
      <c r="B2541" s="320" t="s">
        <v>2247</v>
      </c>
      <c r="C2541" s="153"/>
      <c r="D2541" s="154"/>
      <c r="E2541" s="154"/>
      <c r="F2541" s="154"/>
      <c r="G2541" s="154"/>
      <c r="H2541" s="154"/>
      <c r="I2541" s="154"/>
      <c r="J2541" s="154"/>
      <c r="K2541" s="154"/>
      <c r="L2541" s="154"/>
      <c r="M2541" s="154"/>
      <c r="N2541" s="338"/>
      <c r="O2541" s="154">
        <f>QUANTBL!AU221</f>
        <v>124.66949999999996</v>
      </c>
    </row>
    <row r="2542" spans="1:15" x14ac:dyDescent="0.35">
      <c r="A2542" s="321"/>
      <c r="B2542" s="320"/>
      <c r="C2542" s="153"/>
      <c r="D2542" s="154"/>
      <c r="E2542" s="154"/>
      <c r="F2542" s="154"/>
      <c r="G2542" s="154"/>
      <c r="H2542" s="154"/>
      <c r="I2542" s="154"/>
      <c r="J2542" s="154"/>
      <c r="K2542" s="154"/>
      <c r="L2542" s="154"/>
      <c r="M2542" s="154"/>
      <c r="N2542" s="338"/>
      <c r="O2542" s="154"/>
    </row>
    <row r="2543" spans="1:15" x14ac:dyDescent="0.35">
      <c r="A2543" s="321"/>
      <c r="B2543" s="320"/>
      <c r="C2543" s="153"/>
      <c r="D2543" s="154"/>
      <c r="E2543" s="154"/>
      <c r="F2543" s="154"/>
      <c r="G2543" s="154"/>
      <c r="H2543" s="154"/>
      <c r="I2543" s="154"/>
      <c r="J2543" s="154"/>
      <c r="K2543" s="154"/>
      <c r="L2543" s="154"/>
      <c r="M2543" s="154"/>
      <c r="N2543" s="338"/>
      <c r="O2543" s="154"/>
    </row>
    <row r="2544" spans="1:15" x14ac:dyDescent="0.35">
      <c r="A2544" s="321"/>
      <c r="B2544" s="318" t="s">
        <v>377</v>
      </c>
      <c r="C2544" s="158" t="s">
        <v>402</v>
      </c>
      <c r="D2544" s="158"/>
      <c r="E2544" s="158"/>
      <c r="F2544" s="158"/>
      <c r="G2544" s="158"/>
      <c r="H2544" s="158"/>
      <c r="I2544" s="158"/>
      <c r="J2544" s="158"/>
      <c r="K2544" s="154"/>
      <c r="L2544" s="158"/>
      <c r="M2544" s="158"/>
      <c r="N2544" s="153"/>
      <c r="O2544" s="153">
        <f>SUM(O2541:O2543)</f>
        <v>124.66949999999996</v>
      </c>
    </row>
    <row r="2545" spans="1:15" ht="21" x14ac:dyDescent="0.35">
      <c r="A2545" s="323" t="str">
        <f>ORÇAMENTO!A441</f>
        <v>5.1.2.7.33</v>
      </c>
      <c r="B2545" s="322" t="str">
        <f>VLOOKUP(A2545,ORÇAMENTO!$A:$F,4,0)</f>
        <v>CAL HIDRATADA - A GRANEL</v>
      </c>
      <c r="C2545" s="149" t="str">
        <f>VLOOKUP(A2545,ORÇAMENTO!$A:$F,5,0)</f>
        <v>KG</v>
      </c>
      <c r="D2545" s="149">
        <f>ROUND(SUM(E2549:O2549),2)</f>
        <v>32278.76</v>
      </c>
      <c r="E2545" s="149" t="s">
        <v>2149</v>
      </c>
      <c r="F2545" s="149" t="s">
        <v>2150</v>
      </c>
      <c r="G2545" s="149" t="s">
        <v>2151</v>
      </c>
      <c r="H2545" s="149" t="s">
        <v>2152</v>
      </c>
      <c r="I2545" s="149" t="s">
        <v>2153</v>
      </c>
      <c r="J2545" s="149" t="s">
        <v>2154</v>
      </c>
      <c r="K2545" s="149" t="s">
        <v>2155</v>
      </c>
      <c r="L2545" s="149" t="s">
        <v>2178</v>
      </c>
      <c r="M2545" s="149" t="s">
        <v>413</v>
      </c>
      <c r="N2545" s="149" t="s">
        <v>2214</v>
      </c>
      <c r="O2545" s="149" t="s">
        <v>2158</v>
      </c>
    </row>
    <row r="2546" spans="1:15" x14ac:dyDescent="0.35">
      <c r="A2546" s="321"/>
      <c r="B2546" s="318" t="s">
        <v>2248</v>
      </c>
      <c r="C2546" s="153"/>
      <c r="D2546" s="154"/>
      <c r="E2546" s="154"/>
      <c r="F2546" s="154"/>
      <c r="G2546" s="154"/>
      <c r="H2546" s="154"/>
      <c r="I2546" s="154"/>
      <c r="J2546" s="154"/>
      <c r="K2546" s="154"/>
      <c r="L2546" s="154"/>
      <c r="M2546" s="154"/>
      <c r="N2546" s="338"/>
      <c r="O2546" s="154">
        <f>QUANTBL!BD221</f>
        <v>9.5603799999999985</v>
      </c>
    </row>
    <row r="2547" spans="1:15" x14ac:dyDescent="0.35">
      <c r="A2547" s="321"/>
      <c r="B2547" s="318" t="s">
        <v>295</v>
      </c>
      <c r="C2547" s="153"/>
      <c r="D2547" s="154"/>
      <c r="E2547" s="154"/>
      <c r="F2547" s="154"/>
      <c r="G2547" s="154"/>
      <c r="H2547" s="154"/>
      <c r="I2547" s="154"/>
      <c r="J2547" s="154"/>
      <c r="K2547" s="154"/>
      <c r="L2547" s="154"/>
      <c r="M2547" s="154"/>
      <c r="N2547" s="338"/>
      <c r="O2547" s="154">
        <f>QUANTBL!CM221</f>
        <v>6.086135999999998</v>
      </c>
    </row>
    <row r="2548" spans="1:15" ht="31.5" x14ac:dyDescent="0.35">
      <c r="A2548" s="321"/>
      <c r="B2548" s="320" t="s">
        <v>2219</v>
      </c>
      <c r="C2548" s="153"/>
      <c r="D2548" s="154"/>
      <c r="E2548" s="154"/>
      <c r="F2548" s="154"/>
      <c r="G2548" s="154"/>
      <c r="H2548" s="154"/>
      <c r="I2548" s="154"/>
      <c r="J2548" s="154"/>
      <c r="K2548" s="154">
        <f>L2548*O2546+L2548*O2547</f>
        <v>32278.762507999993</v>
      </c>
      <c r="L2548" s="154">
        <f>82.52/0.04</f>
        <v>2063</v>
      </c>
      <c r="M2548" s="154"/>
      <c r="N2548" s="338"/>
      <c r="O2548" s="154"/>
    </row>
    <row r="2549" spans="1:15" x14ac:dyDescent="0.35">
      <c r="A2549" s="321"/>
      <c r="B2549" s="318" t="s">
        <v>377</v>
      </c>
      <c r="C2549" s="158" t="s">
        <v>402</v>
      </c>
      <c r="D2549" s="158"/>
      <c r="E2549" s="158"/>
      <c r="F2549" s="158"/>
      <c r="G2549" s="158"/>
      <c r="H2549" s="158"/>
      <c r="I2549" s="158"/>
      <c r="J2549" s="158"/>
      <c r="K2549" s="153">
        <f>SUM(K2546:K2548)</f>
        <v>32278.762507999993</v>
      </c>
      <c r="L2549" s="158"/>
      <c r="M2549" s="158"/>
      <c r="N2549" s="153"/>
      <c r="O2549" s="153"/>
    </row>
    <row r="2550" spans="1:15" ht="21" x14ac:dyDescent="0.35">
      <c r="A2550" s="323" t="str">
        <f>ORÇAMENTO!A442</f>
        <v>5.1.2.7.34</v>
      </c>
      <c r="B2550" s="322" t="str">
        <f>VLOOKUP(A2550,ORÇAMENTO!$A:$F,4,0)</f>
        <v>REATERRO MANUAL APILOADO COM SOQUETE</v>
      </c>
      <c r="C2550" s="149" t="str">
        <f>VLOOKUP(A2550,ORÇAMENTO!$A:$F,5,0)</f>
        <v>M³</v>
      </c>
      <c r="D2550" s="149">
        <f>ROUND(SUM(E2553:O2553),2)</f>
        <v>477.35</v>
      </c>
      <c r="E2550" s="149" t="s">
        <v>2149</v>
      </c>
      <c r="F2550" s="149" t="s">
        <v>2150</v>
      </c>
      <c r="G2550" s="149" t="s">
        <v>2151</v>
      </c>
      <c r="H2550" s="149" t="s">
        <v>2152</v>
      </c>
      <c r="I2550" s="149" t="s">
        <v>2153</v>
      </c>
      <c r="J2550" s="149" t="s">
        <v>2154</v>
      </c>
      <c r="K2550" s="149" t="s">
        <v>2155</v>
      </c>
      <c r="L2550" s="149" t="s">
        <v>2178</v>
      </c>
      <c r="M2550" s="149" t="s">
        <v>413</v>
      </c>
      <c r="N2550" s="149" t="s">
        <v>2214</v>
      </c>
      <c r="O2550" s="149" t="s">
        <v>2158</v>
      </c>
    </row>
    <row r="2551" spans="1:15" x14ac:dyDescent="0.35">
      <c r="A2551" s="321"/>
      <c r="B2551" s="318" t="s">
        <v>2248</v>
      </c>
      <c r="C2551" s="153"/>
      <c r="D2551" s="154"/>
      <c r="E2551" s="154"/>
      <c r="F2551" s="154"/>
      <c r="G2551" s="154"/>
      <c r="H2551" s="154"/>
      <c r="I2551" s="154"/>
      <c r="J2551" s="154"/>
      <c r="K2551" s="154"/>
      <c r="L2551" s="154"/>
      <c r="M2551" s="154"/>
      <c r="N2551" s="338"/>
      <c r="O2551" s="154"/>
    </row>
    <row r="2552" spans="1:15" x14ac:dyDescent="0.35">
      <c r="A2552" s="321"/>
      <c r="B2552" s="320" t="s">
        <v>2224</v>
      </c>
      <c r="C2552" s="153"/>
      <c r="D2552" s="154"/>
      <c r="E2552" s="154"/>
      <c r="F2552" s="154"/>
      <c r="G2552" s="154"/>
      <c r="H2552" s="154"/>
      <c r="I2552" s="154"/>
      <c r="J2552" s="154"/>
      <c r="K2552" s="154"/>
      <c r="L2552" s="154"/>
      <c r="M2552" s="154"/>
      <c r="N2552" s="338"/>
      <c r="O2552" s="154">
        <f>QUANTBL!AR221</f>
        <v>477.3481239128767</v>
      </c>
    </row>
    <row r="2553" spans="1:15" x14ac:dyDescent="0.35">
      <c r="A2553" s="321"/>
      <c r="B2553" s="318" t="s">
        <v>377</v>
      </c>
      <c r="C2553" s="158" t="s">
        <v>402</v>
      </c>
      <c r="D2553" s="158"/>
      <c r="E2553" s="158"/>
      <c r="F2553" s="158"/>
      <c r="G2553" s="158"/>
      <c r="H2553" s="158"/>
      <c r="I2553" s="158"/>
      <c r="J2553" s="158"/>
      <c r="K2553" s="153"/>
      <c r="L2553" s="158"/>
      <c r="M2553" s="158"/>
      <c r="N2553" s="153"/>
      <c r="O2553" s="153">
        <f>SUM(O2552:O2552)</f>
        <v>477.3481239128767</v>
      </c>
    </row>
    <row r="2554" spans="1:15" ht="31.5" x14ac:dyDescent="0.35">
      <c r="A2554" s="323" t="str">
        <f>ORÇAMENTO!A443</f>
        <v>5.1.2.7.35</v>
      </c>
      <c r="B2554" s="322" t="str">
        <f>VLOOKUP(A2554,ORÇAMENTO!$A:$F,4,0)</f>
        <v>REATERRO COMPACTADO MECANICAMENTE EM CAMADAS DE 0,20 M COM APROVEITAMENTO DO MATERIAL ESCAVADO.</v>
      </c>
      <c r="C2554" s="149" t="str">
        <f>VLOOKUP(A2554,ORÇAMENTO!$A:$F,5,0)</f>
        <v>M³</v>
      </c>
      <c r="D2554" s="149">
        <f>ROUND(SUM(E2561:O2561),2)</f>
        <v>1642.03</v>
      </c>
      <c r="E2554" s="149" t="s">
        <v>2149</v>
      </c>
      <c r="F2554" s="149" t="s">
        <v>2150</v>
      </c>
      <c r="G2554" s="149" t="s">
        <v>2151</v>
      </c>
      <c r="H2554" s="149" t="s">
        <v>2152</v>
      </c>
      <c r="I2554" s="149" t="s">
        <v>2153</v>
      </c>
      <c r="J2554" s="149" t="s">
        <v>2154</v>
      </c>
      <c r="K2554" s="149" t="s">
        <v>2155</v>
      </c>
      <c r="L2554" s="149" t="s">
        <v>2178</v>
      </c>
      <c r="M2554" s="149" t="s">
        <v>413</v>
      </c>
      <c r="N2554" s="149" t="s">
        <v>2214</v>
      </c>
      <c r="O2554" s="149" t="s">
        <v>2158</v>
      </c>
    </row>
    <row r="2555" spans="1:15" x14ac:dyDescent="0.35">
      <c r="A2555" s="321"/>
      <c r="B2555" s="318" t="s">
        <v>2248</v>
      </c>
      <c r="C2555" s="153"/>
      <c r="D2555" s="154"/>
      <c r="E2555" s="154"/>
      <c r="F2555" s="154"/>
      <c r="G2555" s="154"/>
      <c r="H2555" s="154"/>
      <c r="I2555" s="154"/>
      <c r="J2555" s="154"/>
      <c r="K2555" s="154"/>
      <c r="L2555" s="154"/>
      <c r="M2555" s="154"/>
      <c r="N2555" s="338"/>
      <c r="O2555" s="154"/>
    </row>
    <row r="2556" spans="1:15" x14ac:dyDescent="0.35">
      <c r="A2556" s="321"/>
      <c r="B2556" s="320" t="s">
        <v>2224</v>
      </c>
      <c r="C2556" s="153"/>
      <c r="D2556" s="154"/>
      <c r="E2556" s="154"/>
      <c r="F2556" s="154"/>
      <c r="G2556" s="154"/>
      <c r="H2556" s="154"/>
      <c r="I2556" s="154"/>
      <c r="J2556" s="154"/>
      <c r="K2556" s="154"/>
      <c r="L2556" s="154"/>
      <c r="M2556" s="154"/>
      <c r="N2556" s="338"/>
      <c r="O2556" s="154">
        <f>QUANTBL!AY221</f>
        <v>266.02955836173891</v>
      </c>
    </row>
    <row r="2557" spans="1:15" x14ac:dyDescent="0.35">
      <c r="A2557" s="321"/>
      <c r="B2557" s="320" t="s">
        <v>2249</v>
      </c>
      <c r="C2557" s="153"/>
      <c r="D2557" s="154"/>
      <c r="E2557" s="154"/>
      <c r="F2557" s="154"/>
      <c r="G2557" s="154"/>
      <c r="H2557" s="154"/>
      <c r="I2557" s="154"/>
      <c r="J2557" s="154"/>
      <c r="K2557" s="154"/>
      <c r="L2557" s="154"/>
      <c r="M2557" s="154"/>
      <c r="N2557" s="338"/>
      <c r="O2557" s="154">
        <f>QUANTBL!BA221</f>
        <v>170.77139772538547</v>
      </c>
    </row>
    <row r="2558" spans="1:15" x14ac:dyDescent="0.35">
      <c r="A2558" s="321"/>
      <c r="B2558" s="320" t="s">
        <v>2227</v>
      </c>
      <c r="C2558" s="153"/>
      <c r="D2558" s="154"/>
      <c r="E2558" s="154"/>
      <c r="F2558" s="154"/>
      <c r="G2558" s="154"/>
      <c r="H2558" s="154"/>
      <c r="I2558" s="154"/>
      <c r="J2558" s="154"/>
      <c r="K2558" s="154"/>
      <c r="L2558" s="154"/>
      <c r="M2558" s="154"/>
      <c r="N2558" s="338"/>
      <c r="O2558" s="154">
        <f>QUANTBL!AO221</f>
        <v>114.33999999999999</v>
      </c>
    </row>
    <row r="2559" spans="1:15" x14ac:dyDescent="0.35">
      <c r="A2559" s="321"/>
      <c r="B2559" s="318" t="s">
        <v>295</v>
      </c>
      <c r="C2559" s="153"/>
      <c r="D2559" s="154"/>
      <c r="E2559" s="154"/>
      <c r="F2559" s="154"/>
      <c r="G2559" s="154"/>
      <c r="H2559" s="154"/>
      <c r="I2559" s="154"/>
      <c r="J2559" s="154"/>
      <c r="K2559" s="154"/>
      <c r="L2559" s="154"/>
      <c r="M2559" s="154"/>
      <c r="N2559" s="338"/>
      <c r="O2559" s="154"/>
    </row>
    <row r="2560" spans="1:15" x14ac:dyDescent="0.35">
      <c r="A2560" s="321"/>
      <c r="B2560" s="320" t="s">
        <v>2224</v>
      </c>
      <c r="C2560" s="153"/>
      <c r="D2560" s="154"/>
      <c r="E2560" s="154"/>
      <c r="F2560" s="154"/>
      <c r="G2560" s="154"/>
      <c r="H2560" s="154"/>
      <c r="I2560" s="154"/>
      <c r="J2560" s="154"/>
      <c r="K2560" s="154"/>
      <c r="L2560" s="154"/>
      <c r="M2560" s="154"/>
      <c r="N2560" s="338"/>
      <c r="O2560" s="154">
        <f>QUANTBL!CK221</f>
        <v>1090.8877000000011</v>
      </c>
    </row>
    <row r="2561" spans="1:15" x14ac:dyDescent="0.35">
      <c r="A2561" s="321"/>
      <c r="B2561" s="318" t="s">
        <v>377</v>
      </c>
      <c r="C2561" s="158" t="s">
        <v>402</v>
      </c>
      <c r="D2561" s="158"/>
      <c r="E2561" s="158"/>
      <c r="F2561" s="158"/>
      <c r="G2561" s="158"/>
      <c r="H2561" s="158"/>
      <c r="I2561" s="158"/>
      <c r="J2561" s="158"/>
      <c r="K2561" s="153"/>
      <c r="L2561" s="158"/>
      <c r="M2561" s="158"/>
      <c r="N2561" s="153"/>
      <c r="O2561" s="153">
        <f>SUM(O2556:O2560)</f>
        <v>1642.0286560871255</v>
      </c>
    </row>
    <row r="2562" spans="1:15" ht="52.5" x14ac:dyDescent="0.35">
      <c r="A2562" s="323" t="str">
        <f>ORÇAMENTO!A444</f>
        <v>5.1.2.7.36</v>
      </c>
      <c r="B2562" s="322" t="str">
        <f>VLOOKUP(A2562,ORÇAMENTO!$A:$F,4,0)</f>
        <v>CARGA, MANOBRA E DESCARGA DE SOLOS E MATERIAIS GRANULARES EM CAMINHÃO BASCULANTE 14 M³ - CARGA COM ESCAVADEIRA HIDRÁULICA (CAÇAMBA DE 1,20 M³ / 155 HP) E DESCARGA LIVRE (UNIDADE: M3). AF_07/2020</v>
      </c>
      <c r="C2562" s="149" t="str">
        <f>VLOOKUP(A2562,ORÇAMENTO!$A:$F,5,0)</f>
        <v>M³</v>
      </c>
      <c r="D2562" s="149">
        <f>ROUND(SUM(E2577:O2577),2)</f>
        <v>2344.58</v>
      </c>
      <c r="E2562" s="149" t="s">
        <v>2149</v>
      </c>
      <c r="F2562" s="149" t="s">
        <v>2150</v>
      </c>
      <c r="G2562" s="149" t="s">
        <v>2151</v>
      </c>
      <c r="H2562" s="149" t="s">
        <v>2152</v>
      </c>
      <c r="I2562" s="149" t="s">
        <v>2153</v>
      </c>
      <c r="J2562" s="149" t="s">
        <v>2154</v>
      </c>
      <c r="K2562" s="149" t="s">
        <v>2155</v>
      </c>
      <c r="L2562" s="149" t="s">
        <v>2239</v>
      </c>
      <c r="M2562" s="149" t="s">
        <v>413</v>
      </c>
      <c r="N2562" s="149" t="s">
        <v>2244</v>
      </c>
      <c r="O2562" s="149" t="s">
        <v>2158</v>
      </c>
    </row>
    <row r="2563" spans="1:15" x14ac:dyDescent="0.35">
      <c r="A2563" s="336"/>
      <c r="B2563" s="318" t="s">
        <v>2208</v>
      </c>
      <c r="C2563" s="153"/>
      <c r="D2563" s="153"/>
      <c r="E2563" s="153"/>
      <c r="F2563" s="153"/>
      <c r="G2563" s="153"/>
      <c r="H2563" s="153"/>
      <c r="I2563" s="153"/>
      <c r="J2563" s="153"/>
      <c r="K2563" s="153"/>
      <c r="L2563" s="153"/>
      <c r="M2563" s="153"/>
      <c r="N2563" s="339"/>
      <c r="O2563" s="153"/>
    </row>
    <row r="2564" spans="1:15" x14ac:dyDescent="0.35">
      <c r="A2564" s="336"/>
      <c r="B2564" s="318" t="str">
        <f>B2555</f>
        <v>LIGAÇÃO BOCA - PV</v>
      </c>
      <c r="C2564" s="153"/>
      <c r="D2564" s="153"/>
      <c r="E2564" s="153"/>
      <c r="F2564" s="153"/>
      <c r="G2564" s="153"/>
      <c r="H2564" s="153"/>
      <c r="I2564" s="153"/>
      <c r="J2564" s="153"/>
      <c r="K2564" s="153"/>
      <c r="L2564" s="153"/>
      <c r="M2564" s="153"/>
      <c r="N2564" s="339"/>
      <c r="O2564" s="153"/>
    </row>
    <row r="2565" spans="1:15" x14ac:dyDescent="0.35">
      <c r="A2565" s="321"/>
      <c r="B2565" s="320" t="s">
        <v>2141</v>
      </c>
      <c r="C2565" s="153"/>
      <c r="D2565" s="154"/>
      <c r="E2565" s="154"/>
      <c r="F2565" s="154"/>
      <c r="G2565" s="154"/>
      <c r="H2565" s="154"/>
      <c r="I2565" s="154"/>
      <c r="J2565" s="154"/>
      <c r="K2565" s="154"/>
      <c r="L2565" s="154"/>
      <c r="M2565" s="154"/>
      <c r="N2565" s="338"/>
      <c r="O2565" s="154">
        <f>QUANTBL!BC223</f>
        <v>932.66025800000079</v>
      </c>
    </row>
    <row r="2566" spans="1:15" x14ac:dyDescent="0.35">
      <c r="A2566" s="321"/>
      <c r="B2566" s="337" t="s">
        <v>2140</v>
      </c>
      <c r="C2566" s="153"/>
      <c r="D2566" s="154"/>
      <c r="E2566" s="154"/>
      <c r="F2566" s="154"/>
      <c r="G2566" s="154"/>
      <c r="H2566" s="154"/>
      <c r="I2566" s="154"/>
      <c r="J2566" s="154"/>
      <c r="K2566" s="154"/>
      <c r="L2566" s="154"/>
      <c r="M2566" s="154"/>
      <c r="N2566" s="338"/>
      <c r="O2566" s="154">
        <f>QUANTBL!BC222</f>
        <v>12.931116000000211</v>
      </c>
    </row>
    <row r="2567" spans="1:15" x14ac:dyDescent="0.35">
      <c r="A2567" s="336"/>
      <c r="B2567" s="345" t="str">
        <f>B2559</f>
        <v>BOCAS DE LOBO</v>
      </c>
      <c r="C2567" s="153"/>
      <c r="D2567" s="153"/>
      <c r="E2567" s="153"/>
      <c r="F2567" s="153"/>
      <c r="G2567" s="153"/>
      <c r="H2567" s="153"/>
      <c r="I2567" s="153"/>
      <c r="J2567" s="153"/>
      <c r="K2567" s="153"/>
      <c r="L2567" s="153"/>
      <c r="M2567" s="153"/>
      <c r="N2567" s="339"/>
      <c r="O2567" s="153"/>
    </row>
    <row r="2568" spans="1:15" x14ac:dyDescent="0.35">
      <c r="A2568" s="321"/>
      <c r="B2568" s="320" t="s">
        <v>2141</v>
      </c>
      <c r="C2568" s="153"/>
      <c r="D2568" s="154"/>
      <c r="E2568" s="154"/>
      <c r="F2568" s="154"/>
      <c r="G2568" s="154"/>
      <c r="H2568" s="154"/>
      <c r="I2568" s="154"/>
      <c r="J2568" s="154"/>
      <c r="K2568" s="154"/>
      <c r="L2568" s="154"/>
      <c r="M2568" s="154"/>
      <c r="N2568" s="338"/>
      <c r="O2568" s="154">
        <f>QUANTBL!CM224</f>
        <v>881.1267690399992</v>
      </c>
    </row>
    <row r="2569" spans="1:15" x14ac:dyDescent="0.35">
      <c r="A2569" s="321"/>
      <c r="B2569" s="337" t="s">
        <v>2140</v>
      </c>
      <c r="C2569" s="153"/>
      <c r="D2569" s="154"/>
      <c r="E2569" s="154"/>
      <c r="F2569" s="154"/>
      <c r="G2569" s="154"/>
      <c r="H2569" s="154"/>
      <c r="I2569" s="154"/>
      <c r="J2569" s="154"/>
      <c r="K2569" s="154"/>
      <c r="L2569" s="154"/>
      <c r="M2569" s="154"/>
      <c r="N2569" s="338"/>
      <c r="O2569" s="154">
        <f>QUANTBL!CM223</f>
        <v>27.016988880000437</v>
      </c>
    </row>
    <row r="2570" spans="1:15" x14ac:dyDescent="0.35">
      <c r="A2570" s="321"/>
      <c r="B2570" s="337"/>
      <c r="C2570" s="153"/>
      <c r="D2570" s="154"/>
      <c r="E2570" s="154"/>
      <c r="F2570" s="154"/>
      <c r="G2570" s="154"/>
      <c r="H2570" s="154"/>
      <c r="I2570" s="154"/>
      <c r="J2570" s="154"/>
      <c r="K2570" s="154"/>
      <c r="L2570" s="154"/>
      <c r="M2570" s="154"/>
      <c r="N2570" s="338"/>
      <c r="O2570" s="154"/>
    </row>
    <row r="2571" spans="1:15" x14ac:dyDescent="0.35">
      <c r="A2571" s="336"/>
      <c r="B2571" s="345" t="s">
        <v>2250</v>
      </c>
      <c r="C2571" s="153"/>
      <c r="D2571" s="153"/>
      <c r="E2571" s="153"/>
      <c r="F2571" s="153"/>
      <c r="G2571" s="153"/>
      <c r="H2571" s="153"/>
      <c r="I2571" s="153"/>
      <c r="J2571" s="153"/>
      <c r="K2571" s="153"/>
      <c r="L2571" s="153"/>
      <c r="M2571" s="153"/>
      <c r="N2571" s="339"/>
      <c r="O2571" s="153"/>
    </row>
    <row r="2572" spans="1:15" x14ac:dyDescent="0.35">
      <c r="A2572" s="321"/>
      <c r="B2572" s="337" t="s">
        <v>2251</v>
      </c>
      <c r="C2572" s="153"/>
      <c r="D2572" s="154"/>
      <c r="E2572" s="154"/>
      <c r="F2572" s="154"/>
      <c r="G2572" s="154"/>
      <c r="H2572" s="154"/>
      <c r="I2572" s="154"/>
      <c r="J2572" s="154"/>
      <c r="K2572" s="154"/>
      <c r="L2572" s="154"/>
      <c r="M2572" s="154"/>
      <c r="N2572" s="338"/>
      <c r="O2572" s="154">
        <f>QUANTBL!AP221</f>
        <v>114.33999999999999</v>
      </c>
    </row>
    <row r="2573" spans="1:15" x14ac:dyDescent="0.35">
      <c r="A2573" s="321"/>
      <c r="B2573" s="337" t="s">
        <v>2252</v>
      </c>
      <c r="C2573" s="153"/>
      <c r="D2573" s="154"/>
      <c r="E2573" s="154"/>
      <c r="F2573" s="154"/>
      <c r="G2573" s="154"/>
      <c r="H2573" s="154"/>
      <c r="I2573" s="154"/>
      <c r="J2573" s="154"/>
      <c r="K2573" s="154"/>
      <c r="L2573" s="154"/>
      <c r="M2573" s="154"/>
      <c r="N2573" s="338"/>
      <c r="O2573" s="154">
        <f>QUANTBL!AS221</f>
        <v>164.17402959885433</v>
      </c>
    </row>
    <row r="2574" spans="1:15" x14ac:dyDescent="0.35">
      <c r="A2574" s="321"/>
      <c r="B2574" s="337" t="s">
        <v>2253</v>
      </c>
      <c r="C2574" s="153"/>
      <c r="D2574" s="154"/>
      <c r="E2574" s="154"/>
      <c r="F2574" s="154"/>
      <c r="G2574" s="154"/>
      <c r="H2574" s="154"/>
      <c r="I2574" s="154"/>
      <c r="J2574" s="154"/>
      <c r="K2574" s="154"/>
      <c r="L2574" s="154"/>
      <c r="M2574" s="154"/>
      <c r="N2574" s="338"/>
      <c r="O2574" s="154">
        <f>QUANTBL!BA221</f>
        <v>170.77139772538547</v>
      </c>
    </row>
    <row r="2575" spans="1:15" ht="21" x14ac:dyDescent="0.35">
      <c r="A2575" s="321"/>
      <c r="B2575" s="320" t="s">
        <v>2229</v>
      </c>
      <c r="C2575" s="153"/>
      <c r="D2575" s="154"/>
      <c r="E2575" s="154"/>
      <c r="F2575" s="154"/>
      <c r="G2575" s="154"/>
      <c r="H2575" s="154"/>
      <c r="I2575" s="154"/>
      <c r="J2575" s="154"/>
      <c r="K2575" s="154"/>
      <c r="L2575" s="154"/>
      <c r="M2575" s="154"/>
      <c r="N2575" s="338"/>
      <c r="O2575" s="154">
        <f>O2499</f>
        <v>41.5565</v>
      </c>
    </row>
    <row r="2576" spans="1:15" x14ac:dyDescent="0.35">
      <c r="A2576" s="321"/>
      <c r="B2576" s="320"/>
      <c r="C2576" s="153"/>
      <c r="D2576" s="154"/>
      <c r="E2576" s="154"/>
      <c r="F2576" s="154"/>
      <c r="G2576" s="154"/>
      <c r="H2576" s="154"/>
      <c r="I2576" s="154"/>
      <c r="J2576" s="154"/>
      <c r="K2576" s="154"/>
      <c r="L2576" s="154"/>
      <c r="M2576" s="154"/>
      <c r="N2576" s="338"/>
      <c r="O2576" s="154"/>
    </row>
    <row r="2577" spans="1:15" x14ac:dyDescent="0.35">
      <c r="A2577" s="321"/>
      <c r="B2577" s="318" t="s">
        <v>377</v>
      </c>
      <c r="C2577" s="158" t="s">
        <v>402</v>
      </c>
      <c r="D2577" s="158"/>
      <c r="E2577" s="158"/>
      <c r="F2577" s="158"/>
      <c r="G2577" s="158"/>
      <c r="H2577" s="158"/>
      <c r="I2577" s="158"/>
      <c r="J2577" s="158"/>
      <c r="K2577" s="154"/>
      <c r="L2577" s="158"/>
      <c r="M2577" s="158"/>
      <c r="N2577" s="153"/>
      <c r="O2577" s="153">
        <f>SUM(O2563:O2576)</f>
        <v>2344.5770592442404</v>
      </c>
    </row>
    <row r="2578" spans="1:15" ht="31.5" x14ac:dyDescent="0.35">
      <c r="A2578" s="323" t="str">
        <f>ORÇAMENTO!A445</f>
        <v>5.1.2.7.37</v>
      </c>
      <c r="B2578" s="322" t="str">
        <f>VLOOKUP(A2578,ORÇAMENTO!$A:$F,4,0)</f>
        <v>TRANSPORTE COM CAMINHÃO BASCULANTE DE 14 M³, EM VIA URBANA PAVIMENTADA, DMT ATÉ 30 KM (UNIDADE: M3XKM). AF_07/2020</v>
      </c>
      <c r="C2578" s="149" t="str">
        <f>VLOOKUP(A2578,ORÇAMENTO!$A:$F,5,0)</f>
        <v>M3XKM</v>
      </c>
      <c r="D2578" s="149">
        <f>SUM(E2584:O2584)</f>
        <v>56765.757443064867</v>
      </c>
      <c r="E2578" s="149" t="s">
        <v>2177</v>
      </c>
      <c r="F2578" s="149" t="s">
        <v>2150</v>
      </c>
      <c r="G2578" s="149" t="s">
        <v>2151</v>
      </c>
      <c r="H2578" s="149" t="s">
        <v>2152</v>
      </c>
      <c r="I2578" s="149" t="s">
        <v>2153</v>
      </c>
      <c r="J2578" s="149" t="s">
        <v>2154</v>
      </c>
      <c r="K2578" s="149" t="s">
        <v>2172</v>
      </c>
      <c r="L2578" s="149" t="s">
        <v>2178</v>
      </c>
      <c r="M2578" s="149" t="s">
        <v>2175</v>
      </c>
      <c r="N2578" s="149" t="s">
        <v>2157</v>
      </c>
      <c r="O2578" s="149" t="s">
        <v>2158</v>
      </c>
    </row>
    <row r="2579" spans="1:15" ht="21" x14ac:dyDescent="0.35">
      <c r="A2579" s="321"/>
      <c r="B2579" s="320" t="s">
        <v>2209</v>
      </c>
      <c r="C2579" s="153"/>
      <c r="D2579" s="154"/>
      <c r="E2579" s="154">
        <v>30</v>
      </c>
      <c r="F2579" s="154"/>
      <c r="G2579" s="154"/>
      <c r="H2579" s="154"/>
      <c r="I2579" s="154"/>
      <c r="J2579" s="154"/>
      <c r="K2579" s="154"/>
      <c r="L2579" s="165"/>
      <c r="M2579" s="154">
        <f>E2579*O2579</f>
        <v>54413.610811199993</v>
      </c>
      <c r="N2579" s="154"/>
      <c r="O2579" s="154">
        <f>O2565+O2568</f>
        <v>1813.7870270399999</v>
      </c>
    </row>
    <row r="2580" spans="1:15" ht="21" x14ac:dyDescent="0.35">
      <c r="A2580" s="321"/>
      <c r="B2580" s="320" t="s">
        <v>2210</v>
      </c>
      <c r="C2580" s="153"/>
      <c r="D2580" s="154"/>
      <c r="E2580" s="154">
        <v>30</v>
      </c>
      <c r="F2580" s="154"/>
      <c r="G2580" s="154"/>
      <c r="H2580" s="154"/>
      <c r="I2580" s="154"/>
      <c r="J2580" s="154"/>
      <c r="K2580" s="154"/>
      <c r="L2580" s="165"/>
      <c r="M2580" s="154">
        <f>E2580*O2580</f>
        <v>1198.4431464000195</v>
      </c>
      <c r="N2580" s="154"/>
      <c r="O2580" s="154">
        <f>O2566+O2569</f>
        <v>39.948104880000649</v>
      </c>
    </row>
    <row r="2581" spans="1:15" x14ac:dyDescent="0.35">
      <c r="A2581" s="321"/>
      <c r="B2581" s="320"/>
      <c r="C2581" s="153"/>
      <c r="D2581" s="154"/>
      <c r="E2581" s="154"/>
      <c r="F2581" s="154"/>
      <c r="G2581" s="154"/>
      <c r="H2581" s="154"/>
      <c r="I2581" s="154"/>
      <c r="J2581" s="154"/>
      <c r="K2581" s="154"/>
      <c r="L2581" s="165"/>
      <c r="M2581" s="154"/>
      <c r="N2581" s="154"/>
      <c r="O2581" s="154"/>
    </row>
    <row r="2582" spans="1:15" ht="21" x14ac:dyDescent="0.35">
      <c r="A2582" s="321"/>
      <c r="B2582" s="320" t="s">
        <v>2231</v>
      </c>
      <c r="C2582" s="153"/>
      <c r="D2582" s="154"/>
      <c r="E2582" s="154">
        <v>0.2</v>
      </c>
      <c r="F2582" s="154"/>
      <c r="G2582" s="154"/>
      <c r="H2582" s="154"/>
      <c r="I2582" s="154"/>
      <c r="J2582" s="154"/>
      <c r="K2582" s="154"/>
      <c r="L2582" s="165"/>
      <c r="M2582" s="154">
        <f>E2582*O2582</f>
        <v>89.857085464847955</v>
      </c>
      <c r="N2582" s="154"/>
      <c r="O2582" s="154">
        <f>SUM(O2572:O2574)</f>
        <v>449.28542732423978</v>
      </c>
    </row>
    <row r="2583" spans="1:15" ht="31.5" x14ac:dyDescent="0.35">
      <c r="A2583" s="321"/>
      <c r="B2583" s="320" t="s">
        <v>2234</v>
      </c>
      <c r="C2583" s="153"/>
      <c r="D2583" s="154"/>
      <c r="E2583" s="154">
        <v>25.6</v>
      </c>
      <c r="F2583" s="154"/>
      <c r="G2583" s="154"/>
      <c r="H2583" s="154"/>
      <c r="I2583" s="154"/>
      <c r="J2583" s="154"/>
      <c r="K2583" s="154"/>
      <c r="L2583" s="165"/>
      <c r="M2583" s="154">
        <f>E2583*O2583</f>
        <v>1063.8464000000001</v>
      </c>
      <c r="N2583" s="154"/>
      <c r="O2583" s="154">
        <f>O2575</f>
        <v>41.5565</v>
      </c>
    </row>
    <row r="2584" spans="1:15" x14ac:dyDescent="0.35">
      <c r="A2584" s="321"/>
      <c r="B2584" s="318" t="s">
        <v>377</v>
      </c>
      <c r="C2584" s="158" t="s">
        <v>402</v>
      </c>
      <c r="D2584" s="158"/>
      <c r="E2584" s="158"/>
      <c r="F2584" s="158"/>
      <c r="G2584" s="158"/>
      <c r="H2584" s="158"/>
      <c r="I2584" s="158"/>
      <c r="J2584" s="158"/>
      <c r="K2584" s="158"/>
      <c r="L2584" s="158"/>
      <c r="M2584" s="158">
        <f>SUM(M2579:M2583)</f>
        <v>56765.757443064867</v>
      </c>
      <c r="N2584" s="158"/>
      <c r="O2584" s="158"/>
    </row>
    <row r="2585" spans="1:15" ht="42" x14ac:dyDescent="0.35">
      <c r="A2585" s="323" t="str">
        <f>ORÇAMENTO!A446</f>
        <v>5.1.2.7.38</v>
      </c>
      <c r="B2585" s="322" t="str">
        <f>VLOOKUP(A2585,ORÇAMENTO!$A:$F,4,0)</f>
        <v>TRANSPORTE COM CAMINHÃO BASCULANTE DE 14 M³, EM VIA URBANA PAVIMENTADA, ADICIONAL PARA DMT EXCEDENTE A 30 KM (UNIDADE: M3XKM). AF_07/2020</v>
      </c>
      <c r="C2585" s="149" t="str">
        <f>VLOOKUP(A2585,ORÇAMENTO!$A:$F,5,0)</f>
        <v>M3XKM</v>
      </c>
      <c r="D2585" s="149">
        <f>SUM(E2588:O2588)</f>
        <v>27545.450882592035</v>
      </c>
      <c r="E2585" s="149" t="s">
        <v>2177</v>
      </c>
      <c r="F2585" s="149" t="s">
        <v>2150</v>
      </c>
      <c r="G2585" s="149" t="s">
        <v>2151</v>
      </c>
      <c r="H2585" s="149" t="s">
        <v>2152</v>
      </c>
      <c r="I2585" s="149" t="s">
        <v>2153</v>
      </c>
      <c r="J2585" s="149" t="s">
        <v>2154</v>
      </c>
      <c r="K2585" s="149" t="s">
        <v>2172</v>
      </c>
      <c r="L2585" s="149" t="s">
        <v>2178</v>
      </c>
      <c r="M2585" s="149" t="s">
        <v>2175</v>
      </c>
      <c r="N2585" s="149" t="s">
        <v>2157</v>
      </c>
      <c r="O2585" s="149" t="s">
        <v>2158</v>
      </c>
    </row>
    <row r="2586" spans="1:15" ht="21" x14ac:dyDescent="0.35">
      <c r="A2586" s="321"/>
      <c r="B2586" s="320" t="str">
        <f>B2579</f>
        <v>TRANSPORTE ATÉ ATERRO ESTRUTURAL - BOTA FORA - MATERIAL NÃO APROVEITADO</v>
      </c>
      <c r="C2586" s="153"/>
      <c r="D2586" s="154"/>
      <c r="E2586" s="154">
        <f>44.2-E2579</f>
        <v>14.200000000000003</v>
      </c>
      <c r="F2586" s="154"/>
      <c r="G2586" s="154"/>
      <c r="H2586" s="154"/>
      <c r="I2586" s="154"/>
      <c r="J2586" s="154"/>
      <c r="K2586" s="154"/>
      <c r="L2586" s="165"/>
      <c r="M2586" s="154">
        <f>E2586*O2586</f>
        <v>25755.775783968005</v>
      </c>
      <c r="N2586" s="154"/>
      <c r="O2586" s="154">
        <f>O2579</f>
        <v>1813.7870270399999</v>
      </c>
    </row>
    <row r="2587" spans="1:15" ht="21" x14ac:dyDescent="0.35">
      <c r="A2587" s="321"/>
      <c r="B2587" s="320" t="str">
        <f>B2580</f>
        <v>TRANSPORTE ATÉ ATERRO SAMAMBIA - BOTA FORA - ROCHA</v>
      </c>
      <c r="C2587" s="153"/>
      <c r="D2587" s="154"/>
      <c r="E2587" s="154">
        <f>74.8-E2580</f>
        <v>44.8</v>
      </c>
      <c r="F2587" s="154"/>
      <c r="G2587" s="154"/>
      <c r="H2587" s="154"/>
      <c r="I2587" s="154"/>
      <c r="J2587" s="154"/>
      <c r="K2587" s="154"/>
      <c r="L2587" s="165"/>
      <c r="M2587" s="154">
        <f>E2587*O2587</f>
        <v>1789.675098624029</v>
      </c>
      <c r="N2587" s="154"/>
      <c r="O2587" s="154">
        <f>O2580</f>
        <v>39.948104880000649</v>
      </c>
    </row>
    <row r="2588" spans="1:15" x14ac:dyDescent="0.35">
      <c r="A2588" s="321"/>
      <c r="B2588" s="318" t="s">
        <v>377</v>
      </c>
      <c r="C2588" s="158" t="s">
        <v>402</v>
      </c>
      <c r="D2588" s="158"/>
      <c r="E2588" s="158"/>
      <c r="F2588" s="158"/>
      <c r="G2588" s="158"/>
      <c r="H2588" s="158"/>
      <c r="I2588" s="158"/>
      <c r="J2588" s="158"/>
      <c r="K2588" s="158"/>
      <c r="L2588" s="158"/>
      <c r="M2588" s="158">
        <f>SUM(M2586:M2587)</f>
        <v>27545.450882592035</v>
      </c>
      <c r="N2588" s="158"/>
      <c r="O2588" s="158"/>
    </row>
    <row r="2589" spans="1:15" ht="21" x14ac:dyDescent="0.35">
      <c r="A2589" s="323" t="str">
        <f>ORÇAMENTO!A447</f>
        <v>5.1.2.7.39</v>
      </c>
      <c r="B2589" s="322" t="str">
        <f>VLOOKUP(A2589,ORÇAMENTO!$A:$F,4,0)</f>
        <v>ESPALHAMENTO DE MATERIAL COM TRATOR DE ESTEIRAS. AF_09/2024</v>
      </c>
      <c r="C2589" s="149" t="str">
        <f>VLOOKUP(A2589,ORÇAMENTO!$A:$F,5,0)</f>
        <v>M³</v>
      </c>
      <c r="D2589" s="149">
        <f>SUM(E2591:O2591)</f>
        <v>1853.7351319200006</v>
      </c>
      <c r="E2589" s="149" t="s">
        <v>2177</v>
      </c>
      <c r="F2589" s="149" t="s">
        <v>2150</v>
      </c>
      <c r="G2589" s="149" t="s">
        <v>2151</v>
      </c>
      <c r="H2589" s="149" t="s">
        <v>2152</v>
      </c>
      <c r="I2589" s="149" t="s">
        <v>2153</v>
      </c>
      <c r="J2589" s="149" t="s">
        <v>2154</v>
      </c>
      <c r="K2589" s="149" t="s">
        <v>2172</v>
      </c>
      <c r="L2589" s="149" t="s">
        <v>2178</v>
      </c>
      <c r="M2589" s="149" t="s">
        <v>2175</v>
      </c>
      <c r="N2589" s="149" t="s">
        <v>2157</v>
      </c>
      <c r="O2589" s="149" t="s">
        <v>2158</v>
      </c>
    </row>
    <row r="2590" spans="1:15" x14ac:dyDescent="0.35">
      <c r="A2590" s="321"/>
      <c r="B2590" s="320" t="s">
        <v>2211</v>
      </c>
      <c r="C2590" s="153"/>
      <c r="D2590" s="154"/>
      <c r="E2590" s="154"/>
      <c r="F2590" s="154"/>
      <c r="G2590" s="154"/>
      <c r="H2590" s="154"/>
      <c r="I2590" s="154"/>
      <c r="J2590" s="154"/>
      <c r="K2590" s="154"/>
      <c r="L2590" s="165"/>
      <c r="M2590" s="154"/>
      <c r="N2590" s="154"/>
      <c r="O2590" s="154">
        <f>SUM(O2586:O2587)</f>
        <v>1853.7351319200006</v>
      </c>
    </row>
    <row r="2591" spans="1:15" x14ac:dyDescent="0.35">
      <c r="A2591" s="321"/>
      <c r="B2591" s="318" t="s">
        <v>377</v>
      </c>
      <c r="C2591" s="158" t="s">
        <v>402</v>
      </c>
      <c r="D2591" s="158"/>
      <c r="E2591" s="158"/>
      <c r="F2591" s="158"/>
      <c r="G2591" s="158"/>
      <c r="H2591" s="158"/>
      <c r="I2591" s="158"/>
      <c r="J2591" s="158"/>
      <c r="K2591" s="158"/>
      <c r="L2591" s="158"/>
      <c r="M2591" s="158"/>
      <c r="N2591" s="158"/>
      <c r="O2591" s="158">
        <f>SUM(O2590)</f>
        <v>1853.7351319200006</v>
      </c>
    </row>
    <row r="2592" spans="1:15" ht="31.5" x14ac:dyDescent="0.35">
      <c r="A2592" s="323" t="str">
        <f>ORÇAMENTO!A448</f>
        <v>5.1.2.7.40</v>
      </c>
      <c r="B2592" s="322" t="str">
        <f>VLOOKUP(A2592,ORÇAMENTO!$A:$F,4,0)</f>
        <v>EXECUÇÃO DE SARJETA DE CONCRETO USINADO, MOLDADA  IN LOCO  EM TRECHO RETO, 60 CM BASE X 15 CM ALTURA. AF_01/2024</v>
      </c>
      <c r="C2592" s="149" t="str">
        <f>VLOOKUP(A2592,ORÇAMENTO!$A:$F,5,0)</f>
        <v>M</v>
      </c>
      <c r="D2592" s="149">
        <f>ROUND(SUM(E2595:O2595),2)</f>
        <v>476</v>
      </c>
      <c r="E2592" s="149" t="s">
        <v>2149</v>
      </c>
      <c r="F2592" s="149" t="s">
        <v>2150</v>
      </c>
      <c r="G2592" s="149" t="s">
        <v>2151</v>
      </c>
      <c r="H2592" s="149" t="s">
        <v>2152</v>
      </c>
      <c r="I2592" s="149" t="s">
        <v>2153</v>
      </c>
      <c r="J2592" s="149" t="s">
        <v>2154</v>
      </c>
      <c r="K2592" s="149" t="s">
        <v>2155</v>
      </c>
      <c r="L2592" s="149" t="s">
        <v>2239</v>
      </c>
      <c r="M2592" s="149" t="s">
        <v>413</v>
      </c>
      <c r="N2592" s="149" t="s">
        <v>2244</v>
      </c>
      <c r="O2592" s="149" t="s">
        <v>2158</v>
      </c>
    </row>
    <row r="2593" spans="1:15" x14ac:dyDescent="0.35">
      <c r="A2593" s="321"/>
      <c r="B2593" s="320"/>
      <c r="C2593" s="153"/>
      <c r="D2593" s="154"/>
      <c r="E2593" s="154">
        <f>QUANTBL!CX221</f>
        <v>475.9999999999992</v>
      </c>
      <c r="F2593" s="154"/>
      <c r="G2593" s="154"/>
      <c r="H2593" s="154"/>
      <c r="I2593" s="154"/>
      <c r="J2593" s="154"/>
      <c r="K2593" s="154"/>
      <c r="L2593" s="154"/>
      <c r="M2593" s="154"/>
      <c r="N2593" s="338"/>
      <c r="O2593" s="154"/>
    </row>
    <row r="2594" spans="1:15" x14ac:dyDescent="0.35">
      <c r="A2594" s="321"/>
      <c r="B2594" s="320"/>
      <c r="C2594" s="153"/>
      <c r="D2594" s="154"/>
      <c r="E2594" s="154"/>
      <c r="F2594" s="154"/>
      <c r="G2594" s="154"/>
      <c r="H2594" s="154"/>
      <c r="I2594" s="154"/>
      <c r="J2594" s="154"/>
      <c r="K2594" s="154"/>
      <c r="L2594" s="154"/>
      <c r="M2594" s="154"/>
      <c r="N2594" s="338"/>
      <c r="O2594" s="154"/>
    </row>
    <row r="2595" spans="1:15" x14ac:dyDescent="0.35">
      <c r="A2595" s="321"/>
      <c r="B2595" s="318" t="s">
        <v>377</v>
      </c>
      <c r="C2595" s="158"/>
      <c r="D2595" s="158"/>
      <c r="E2595" s="158">
        <f>SUM(E2593:E2594)</f>
        <v>475.9999999999992</v>
      </c>
      <c r="F2595" s="158"/>
      <c r="G2595" s="158"/>
      <c r="H2595" s="158"/>
      <c r="I2595" s="158"/>
      <c r="J2595" s="158"/>
      <c r="K2595" s="153"/>
      <c r="L2595" s="158"/>
      <c r="M2595" s="158"/>
      <c r="N2595" s="153"/>
      <c r="O2595" s="153"/>
    </row>
    <row r="2596" spans="1:15" ht="42" x14ac:dyDescent="0.35">
      <c r="A2596" s="323" t="str">
        <f>ORÇAMENTO!A449</f>
        <v>5.1.2.7.41</v>
      </c>
      <c r="B2596" s="322" t="str">
        <f>VLOOKUP(A2596,ORÇAMENTO!$A:$F,4,0)</f>
        <v>CONCRETO MAGRO PARA LASTRO, TRAÇO 1:4,5:4,5 (EM MASSA SECA DE CIMENTO/ AREIA MÉDIA/ BRITA 1) - PREPARO MECÂNICO COM BETONEIRA 600 L. AF_05/2021</v>
      </c>
      <c r="C2596" s="149" t="str">
        <f>VLOOKUP(A2596,ORÇAMENTO!$A:$F,5,0)</f>
        <v>M³</v>
      </c>
      <c r="D2596" s="149">
        <f>ROUND(SUM(E2599:O2599),2)</f>
        <v>45.41</v>
      </c>
      <c r="E2596" s="149" t="s">
        <v>2149</v>
      </c>
      <c r="F2596" s="149" t="s">
        <v>2150</v>
      </c>
      <c r="G2596" s="149" t="s">
        <v>2151</v>
      </c>
      <c r="H2596" s="149" t="s">
        <v>2152</v>
      </c>
      <c r="I2596" s="149" t="s">
        <v>2153</v>
      </c>
      <c r="J2596" s="149" t="s">
        <v>2154</v>
      </c>
      <c r="K2596" s="149" t="s">
        <v>2155</v>
      </c>
      <c r="L2596" s="149" t="s">
        <v>2239</v>
      </c>
      <c r="M2596" s="149" t="s">
        <v>413</v>
      </c>
      <c r="N2596" s="149" t="s">
        <v>2244</v>
      </c>
      <c r="O2596" s="149" t="s">
        <v>2158</v>
      </c>
    </row>
    <row r="2597" spans="1:15" x14ac:dyDescent="0.35">
      <c r="A2597" s="321"/>
      <c r="B2597" s="320" t="s">
        <v>2254</v>
      </c>
      <c r="C2597" s="153"/>
      <c r="D2597" s="154"/>
      <c r="E2597" s="154"/>
      <c r="F2597" s="154"/>
      <c r="G2597" s="154"/>
      <c r="H2597" s="154"/>
      <c r="I2597" s="154"/>
      <c r="J2597" s="154"/>
      <c r="K2597" s="154"/>
      <c r="L2597" s="154"/>
      <c r="M2597" s="154"/>
      <c r="N2597" s="338"/>
      <c r="O2597" s="154">
        <f>QUANTBL!CT221</f>
        <v>45.406493799999936</v>
      </c>
    </row>
    <row r="2598" spans="1:15" x14ac:dyDescent="0.35">
      <c r="A2598" s="321"/>
      <c r="B2598" s="320"/>
      <c r="C2598" s="153"/>
      <c r="D2598" s="154"/>
      <c r="E2598" s="154"/>
      <c r="F2598" s="154"/>
      <c r="G2598" s="154"/>
      <c r="H2598" s="154"/>
      <c r="I2598" s="154"/>
      <c r="J2598" s="154"/>
      <c r="K2598" s="154"/>
      <c r="L2598" s="154"/>
      <c r="M2598" s="154"/>
      <c r="N2598" s="338"/>
      <c r="O2598" s="154"/>
    </row>
    <row r="2599" spans="1:15" x14ac:dyDescent="0.35">
      <c r="A2599" s="321"/>
      <c r="B2599" s="318" t="s">
        <v>377</v>
      </c>
      <c r="C2599" s="158" t="s">
        <v>402</v>
      </c>
      <c r="D2599" s="158"/>
      <c r="E2599" s="158"/>
      <c r="F2599" s="158"/>
      <c r="G2599" s="158"/>
      <c r="H2599" s="158"/>
      <c r="I2599" s="158"/>
      <c r="J2599" s="158"/>
      <c r="K2599" s="153"/>
      <c r="L2599" s="158"/>
      <c r="M2599" s="158"/>
      <c r="N2599" s="153"/>
      <c r="O2599" s="153">
        <f>SUM(O2597:O2598)</f>
        <v>45.406493799999936</v>
      </c>
    </row>
    <row r="2600" spans="1:15" ht="21" x14ac:dyDescent="0.35">
      <c r="A2600" s="323" t="str">
        <f>ORÇAMENTO!A450</f>
        <v>5.1.2.7.42</v>
      </c>
      <c r="B2600" s="322" t="str">
        <f>VLOOKUP(A2600,ORÇAMENTO!$A:$F,4,0)</f>
        <v>ARMAÇÃO EM AÇO CA-50 - FORNECIMENTO, PREPARO E COLOCAÇÃO</v>
      </c>
      <c r="C2600" s="149" t="str">
        <f>VLOOKUP(A2600,ORÇAMENTO!$A:$F,5,0)</f>
        <v>KG</v>
      </c>
      <c r="D2600" s="149">
        <f>ROUND(SUM(E2615:O2615),2)</f>
        <v>3200</v>
      </c>
      <c r="E2600" s="149" t="s">
        <v>2149</v>
      </c>
      <c r="F2600" s="149" t="s">
        <v>2150</v>
      </c>
      <c r="G2600" s="149" t="s">
        <v>2151</v>
      </c>
      <c r="H2600" s="149" t="s">
        <v>2152</v>
      </c>
      <c r="I2600" s="149" t="s">
        <v>2153</v>
      </c>
      <c r="J2600" s="149" t="s">
        <v>2154</v>
      </c>
      <c r="K2600" s="149" t="s">
        <v>2155</v>
      </c>
      <c r="L2600" s="149" t="s">
        <v>2239</v>
      </c>
      <c r="M2600" s="149" t="s">
        <v>413</v>
      </c>
      <c r="N2600" s="149" t="s">
        <v>2255</v>
      </c>
      <c r="O2600" s="149" t="s">
        <v>2158</v>
      </c>
    </row>
    <row r="2601" spans="1:15" x14ac:dyDescent="0.35">
      <c r="A2601" s="321"/>
      <c r="B2601" s="320" t="s">
        <v>2256</v>
      </c>
      <c r="C2601" s="153"/>
      <c r="D2601" s="154"/>
      <c r="E2601" s="154"/>
      <c r="F2601" s="154"/>
      <c r="G2601" s="154"/>
      <c r="H2601" s="154"/>
      <c r="I2601" s="154"/>
      <c r="J2601" s="154"/>
      <c r="K2601" s="154"/>
      <c r="L2601" s="154"/>
      <c r="M2601" s="154"/>
      <c r="N2601" s="338"/>
      <c r="O2601" s="154"/>
    </row>
    <row r="2602" spans="1:15" ht="21" x14ac:dyDescent="0.35">
      <c r="A2602" s="321"/>
      <c r="B2602" s="320" t="str">
        <f t="shared" ref="B2602:B2613" si="80">B1948</f>
        <v>BOCA DE LOBO SIMPLES EXISTENTE COM BOCA DE LOBO DUPLA PROJETADA</v>
      </c>
      <c r="C2602" s="153"/>
      <c r="D2602" s="154"/>
      <c r="E2602" s="154"/>
      <c r="F2602" s="154"/>
      <c r="G2602" s="154"/>
      <c r="H2602" s="154"/>
      <c r="I2602" s="154"/>
      <c r="J2602" s="154"/>
      <c r="K2602" s="154">
        <v>24</v>
      </c>
      <c r="L2602" s="154"/>
      <c r="M2602" s="154">
        <f t="shared" ref="M2602:M2613" si="81">K1948</f>
        <v>0</v>
      </c>
      <c r="N2602" s="338">
        <f t="shared" ref="N2602:N2613" si="82">M2602*K2602</f>
        <v>0</v>
      </c>
      <c r="O2602" s="154"/>
    </row>
    <row r="2603" spans="1:15" ht="21" x14ac:dyDescent="0.35">
      <c r="A2603" s="321"/>
      <c r="B2603" s="320" t="str">
        <f t="shared" si="80"/>
        <v>BOCA DE LOBO SIMPLES EXISTENTE COM BOCA DE LOBO SIMPLES PROJETADA</v>
      </c>
      <c r="C2603" s="153"/>
      <c r="D2603" s="154"/>
      <c r="E2603" s="154"/>
      <c r="F2603" s="154"/>
      <c r="G2603" s="154"/>
      <c r="H2603" s="154"/>
      <c r="I2603" s="154"/>
      <c r="J2603" s="154"/>
      <c r="K2603" s="154">
        <v>16</v>
      </c>
      <c r="L2603" s="154"/>
      <c r="M2603" s="154">
        <f t="shared" si="81"/>
        <v>0</v>
      </c>
      <c r="N2603" s="338">
        <f t="shared" si="82"/>
        <v>0</v>
      </c>
      <c r="O2603" s="154"/>
    </row>
    <row r="2604" spans="1:15" ht="21" x14ac:dyDescent="0.35">
      <c r="A2604" s="321"/>
      <c r="B2604" s="320" t="str">
        <f t="shared" si="80"/>
        <v>BOCA DE LOBO SIMPLES EXISTENTE COM BOCA DE LOBO TRIPLA PROJETADA</v>
      </c>
      <c r="C2604" s="153"/>
      <c r="D2604" s="154"/>
      <c r="E2604" s="154"/>
      <c r="F2604" s="154"/>
      <c r="G2604" s="154"/>
      <c r="H2604" s="154"/>
      <c r="I2604" s="154"/>
      <c r="J2604" s="154"/>
      <c r="K2604" s="154">
        <v>32</v>
      </c>
      <c r="L2604" s="154"/>
      <c r="M2604" s="154">
        <f t="shared" si="81"/>
        <v>0</v>
      </c>
      <c r="N2604" s="338">
        <f t="shared" si="82"/>
        <v>0</v>
      </c>
      <c r="O2604" s="154"/>
    </row>
    <row r="2605" spans="1:15" ht="21" x14ac:dyDescent="0.35">
      <c r="A2605" s="321"/>
      <c r="B2605" s="320" t="str">
        <f t="shared" si="80"/>
        <v>BOCA DE LOBO DUPLA EXISTENTE COM BOCA DE LOBO SIMPLES PROJETADA</v>
      </c>
      <c r="C2605" s="153"/>
      <c r="D2605" s="154"/>
      <c r="E2605" s="154"/>
      <c r="F2605" s="154"/>
      <c r="G2605" s="154"/>
      <c r="H2605" s="154"/>
      <c r="I2605" s="154"/>
      <c r="J2605" s="154"/>
      <c r="K2605" s="154">
        <v>16</v>
      </c>
      <c r="L2605" s="154"/>
      <c r="M2605" s="154">
        <f t="shared" si="81"/>
        <v>0</v>
      </c>
      <c r="N2605" s="338">
        <f t="shared" si="82"/>
        <v>0</v>
      </c>
      <c r="O2605" s="154"/>
    </row>
    <row r="2606" spans="1:15" ht="21" x14ac:dyDescent="0.35">
      <c r="A2606" s="321"/>
      <c r="B2606" s="320" t="str">
        <f t="shared" si="80"/>
        <v>BOCA DE LOBO DUPLA EXISTENTE COM BOCA DE LOBO DUPLA PROJETADA</v>
      </c>
      <c r="C2606" s="153"/>
      <c r="D2606" s="154"/>
      <c r="E2606" s="154"/>
      <c r="F2606" s="154"/>
      <c r="G2606" s="154"/>
      <c r="H2606" s="154"/>
      <c r="I2606" s="154"/>
      <c r="J2606" s="154"/>
      <c r="K2606" s="154">
        <v>24</v>
      </c>
      <c r="L2606" s="154"/>
      <c r="M2606" s="154">
        <f t="shared" si="81"/>
        <v>0</v>
      </c>
      <c r="N2606" s="338">
        <f t="shared" si="82"/>
        <v>0</v>
      </c>
      <c r="O2606" s="154"/>
    </row>
    <row r="2607" spans="1:15" ht="21" x14ac:dyDescent="0.35">
      <c r="A2607" s="321"/>
      <c r="B2607" s="320" t="str">
        <f t="shared" si="80"/>
        <v>BOCA DE LOBO DUPLA EXISTENTE COM BOCA DE LOBO TRIPLA PROJETADA</v>
      </c>
      <c r="C2607" s="153"/>
      <c r="D2607" s="154"/>
      <c r="E2607" s="154"/>
      <c r="F2607" s="154"/>
      <c r="G2607" s="154"/>
      <c r="H2607" s="154"/>
      <c r="I2607" s="154"/>
      <c r="J2607" s="154"/>
      <c r="K2607" s="154">
        <v>32</v>
      </c>
      <c r="L2607" s="154"/>
      <c r="M2607" s="154">
        <f t="shared" si="81"/>
        <v>0</v>
      </c>
      <c r="N2607" s="338">
        <f t="shared" si="82"/>
        <v>0</v>
      </c>
      <c r="O2607" s="154"/>
    </row>
    <row r="2608" spans="1:15" ht="21" x14ac:dyDescent="0.35">
      <c r="A2608" s="321"/>
      <c r="B2608" s="320" t="str">
        <f t="shared" si="80"/>
        <v>BOCA DE LOBO TRIPLA EXISTENTE COM BOCA DE LOBO SIMPLES PROJETADA</v>
      </c>
      <c r="C2608" s="153"/>
      <c r="D2608" s="154"/>
      <c r="E2608" s="154"/>
      <c r="F2608" s="154"/>
      <c r="G2608" s="154"/>
      <c r="H2608" s="154"/>
      <c r="I2608" s="154"/>
      <c r="J2608" s="154"/>
      <c r="K2608" s="154">
        <v>16</v>
      </c>
      <c r="L2608" s="154"/>
      <c r="M2608" s="154">
        <f t="shared" si="81"/>
        <v>0</v>
      </c>
      <c r="N2608" s="338">
        <f t="shared" si="82"/>
        <v>0</v>
      </c>
      <c r="O2608" s="154"/>
    </row>
    <row r="2609" spans="1:15" ht="21" x14ac:dyDescent="0.35">
      <c r="A2609" s="321"/>
      <c r="B2609" s="320" t="str">
        <f t="shared" si="80"/>
        <v>BOCA DE LOBO TRIPLA EXISTENTE COM BOCA DE LOBO DUPLA PROJETADA</v>
      </c>
      <c r="C2609" s="153"/>
      <c r="D2609" s="154"/>
      <c r="E2609" s="154"/>
      <c r="F2609" s="154"/>
      <c r="G2609" s="154"/>
      <c r="H2609" s="154"/>
      <c r="I2609" s="154"/>
      <c r="J2609" s="154"/>
      <c r="K2609" s="154">
        <v>24</v>
      </c>
      <c r="L2609" s="154"/>
      <c r="M2609" s="154">
        <f t="shared" si="81"/>
        <v>0</v>
      </c>
      <c r="N2609" s="338">
        <f t="shared" si="82"/>
        <v>0</v>
      </c>
      <c r="O2609" s="154"/>
    </row>
    <row r="2610" spans="1:15" ht="21" x14ac:dyDescent="0.35">
      <c r="A2610" s="321"/>
      <c r="B2610" s="320" t="str">
        <f t="shared" si="80"/>
        <v>BOCA DE LOBO TRIPLA EXISTENTE COM BOCA DE LOBO TRIPLA PROJETADA</v>
      </c>
      <c r="C2610" s="153"/>
      <c r="D2610" s="154"/>
      <c r="E2610" s="154"/>
      <c r="F2610" s="154"/>
      <c r="G2610" s="154"/>
      <c r="H2610" s="154"/>
      <c r="I2610" s="154"/>
      <c r="J2610" s="154"/>
      <c r="K2610" s="154">
        <v>32</v>
      </c>
      <c r="L2610" s="154"/>
      <c r="M2610" s="154">
        <f t="shared" si="81"/>
        <v>0</v>
      </c>
      <c r="N2610" s="338">
        <f t="shared" si="82"/>
        <v>0</v>
      </c>
      <c r="O2610" s="154"/>
    </row>
    <row r="2611" spans="1:15" x14ac:dyDescent="0.35">
      <c r="A2611" s="321"/>
      <c r="B2611" s="320" t="str">
        <f t="shared" si="80"/>
        <v>BOCA DE LOBO PROJETADA SIMPLES</v>
      </c>
      <c r="C2611" s="153"/>
      <c r="D2611" s="154"/>
      <c r="E2611" s="154"/>
      <c r="F2611" s="154"/>
      <c r="G2611" s="154"/>
      <c r="H2611" s="154"/>
      <c r="I2611" s="154"/>
      <c r="J2611" s="154"/>
      <c r="K2611" s="154">
        <v>16</v>
      </c>
      <c r="L2611" s="154"/>
      <c r="M2611" s="154">
        <f t="shared" si="81"/>
        <v>0</v>
      </c>
      <c r="N2611" s="338">
        <f t="shared" si="82"/>
        <v>0</v>
      </c>
      <c r="O2611" s="154"/>
    </row>
    <row r="2612" spans="1:15" x14ac:dyDescent="0.35">
      <c r="A2612" s="321"/>
      <c r="B2612" s="320" t="str">
        <f t="shared" si="80"/>
        <v>BOCA DE LOBO PROJETADA DUPLA</v>
      </c>
      <c r="C2612" s="153"/>
      <c r="D2612" s="154"/>
      <c r="E2612" s="154"/>
      <c r="F2612" s="154"/>
      <c r="G2612" s="154"/>
      <c r="H2612" s="154"/>
      <c r="I2612" s="154"/>
      <c r="J2612" s="154"/>
      <c r="K2612" s="154">
        <v>24</v>
      </c>
      <c r="L2612" s="154"/>
      <c r="M2612" s="154">
        <f t="shared" si="81"/>
        <v>116</v>
      </c>
      <c r="N2612" s="338">
        <f t="shared" si="82"/>
        <v>2784</v>
      </c>
      <c r="O2612" s="154"/>
    </row>
    <row r="2613" spans="1:15" x14ac:dyDescent="0.35">
      <c r="A2613" s="321"/>
      <c r="B2613" s="320" t="str">
        <f t="shared" si="80"/>
        <v>BOCA DE LOBO PROJETADA TRIPLA</v>
      </c>
      <c r="C2613" s="153"/>
      <c r="D2613" s="154"/>
      <c r="E2613" s="154"/>
      <c r="F2613" s="154"/>
      <c r="G2613" s="154"/>
      <c r="H2613" s="154"/>
      <c r="I2613" s="154"/>
      <c r="J2613" s="154"/>
      <c r="K2613" s="154">
        <v>32</v>
      </c>
      <c r="L2613" s="154"/>
      <c r="M2613" s="154">
        <f t="shared" si="81"/>
        <v>13</v>
      </c>
      <c r="N2613" s="338">
        <f t="shared" si="82"/>
        <v>416</v>
      </c>
      <c r="O2613" s="154"/>
    </row>
    <row r="2614" spans="1:15" x14ac:dyDescent="0.35">
      <c r="A2614" s="321"/>
      <c r="B2614" s="320"/>
      <c r="C2614" s="153"/>
      <c r="D2614" s="154"/>
      <c r="E2614" s="154"/>
      <c r="F2614" s="154"/>
      <c r="G2614" s="154"/>
      <c r="H2614" s="154"/>
      <c r="I2614" s="154"/>
      <c r="J2614" s="154"/>
      <c r="K2614" s="154"/>
      <c r="L2614" s="154"/>
      <c r="M2614" s="154"/>
      <c r="N2614" s="338"/>
      <c r="O2614" s="154"/>
    </row>
    <row r="2615" spans="1:15" x14ac:dyDescent="0.35">
      <c r="A2615" s="321"/>
      <c r="B2615" s="318" t="s">
        <v>377</v>
      </c>
      <c r="C2615" s="158" t="s">
        <v>402</v>
      </c>
      <c r="D2615" s="158"/>
      <c r="E2615" s="158"/>
      <c r="F2615" s="158"/>
      <c r="G2615" s="158"/>
      <c r="H2615" s="158"/>
      <c r="I2615" s="158"/>
      <c r="J2615" s="158"/>
      <c r="K2615" s="153"/>
      <c r="L2615" s="158"/>
      <c r="M2615" s="158"/>
      <c r="N2615" s="153">
        <f>SUM(N2601:N2614)</f>
        <v>3200</v>
      </c>
      <c r="O2615" s="158"/>
    </row>
    <row r="2616" spans="1:15" ht="42" x14ac:dyDescent="0.35">
      <c r="A2616" s="323" t="str">
        <f>ORÇAMENTO!A451</f>
        <v>5.1.2.7.43</v>
      </c>
      <c r="B2616" s="322" t="str">
        <f>VLOOKUP(A2616,ORÇAMENTO!$A:$F,4,0)</f>
        <v>ALVENARIA DE VEDAÇÃO DE BLOCOS VAZADOS DE CONCRETO DE 19X19X39 CM (ESPESSURA 19 CM) E ARGAMASSA DE ASSENTAMENTO COM PREPARO EM BETONEIRA. AF_12/2021</v>
      </c>
      <c r="C2616" s="149" t="str">
        <f>VLOOKUP(A2616,ORÇAMENTO!$A:$F,5,0)</f>
        <v>M²</v>
      </c>
      <c r="D2616" s="149">
        <f>ROUND(SUM(E2619:O2619),2)</f>
        <v>1318.39</v>
      </c>
      <c r="E2616" s="149" t="s">
        <v>2149</v>
      </c>
      <c r="F2616" s="149" t="s">
        <v>2150</v>
      </c>
      <c r="G2616" s="149" t="s">
        <v>2151</v>
      </c>
      <c r="H2616" s="149" t="s">
        <v>2152</v>
      </c>
      <c r="I2616" s="149" t="s">
        <v>2153</v>
      </c>
      <c r="J2616" s="149" t="s">
        <v>2154</v>
      </c>
      <c r="K2616" s="149" t="s">
        <v>2155</v>
      </c>
      <c r="L2616" s="149" t="s">
        <v>2239</v>
      </c>
      <c r="M2616" s="149" t="s">
        <v>413</v>
      </c>
      <c r="N2616" s="149" t="s">
        <v>2257</v>
      </c>
      <c r="O2616" s="149" t="s">
        <v>2158</v>
      </c>
    </row>
    <row r="2617" spans="1:15" x14ac:dyDescent="0.35">
      <c r="A2617" s="321"/>
      <c r="B2617" s="320" t="s">
        <v>2258</v>
      </c>
      <c r="C2617" s="153"/>
      <c r="D2617" s="154"/>
      <c r="E2617" s="154"/>
      <c r="F2617" s="154"/>
      <c r="G2617" s="154"/>
      <c r="H2617" s="154"/>
      <c r="I2617" s="154"/>
      <c r="J2617" s="154"/>
      <c r="K2617" s="154"/>
      <c r="L2617" s="154"/>
      <c r="M2617" s="154"/>
      <c r="N2617" s="338">
        <f>QUANTBL!CU221</f>
        <v>1318.3878400000012</v>
      </c>
      <c r="O2617" s="154"/>
    </row>
    <row r="2618" spans="1:15" x14ac:dyDescent="0.35">
      <c r="A2618" s="321"/>
      <c r="B2618" s="320"/>
      <c r="C2618" s="153"/>
      <c r="D2618" s="154"/>
      <c r="E2618" s="154"/>
      <c r="F2618" s="154"/>
      <c r="G2618" s="154"/>
      <c r="H2618" s="154"/>
      <c r="I2618" s="154"/>
      <c r="J2618" s="154"/>
      <c r="K2618" s="154"/>
      <c r="L2618" s="154"/>
      <c r="M2618" s="154"/>
      <c r="N2618" s="338"/>
      <c r="O2618" s="154"/>
    </row>
    <row r="2619" spans="1:15" x14ac:dyDescent="0.35">
      <c r="A2619" s="321"/>
      <c r="B2619" s="318" t="s">
        <v>377</v>
      </c>
      <c r="C2619" s="158" t="s">
        <v>402</v>
      </c>
      <c r="D2619" s="158"/>
      <c r="E2619" s="158"/>
      <c r="F2619" s="158"/>
      <c r="G2619" s="158"/>
      <c r="H2619" s="158"/>
      <c r="I2619" s="158"/>
      <c r="J2619" s="158"/>
      <c r="K2619" s="154"/>
      <c r="L2619" s="158"/>
      <c r="M2619" s="158"/>
      <c r="N2619" s="153">
        <f>SUM(N2617:N2618)</f>
        <v>1318.3878400000012</v>
      </c>
      <c r="O2619" s="158"/>
    </row>
    <row r="2620" spans="1:15" ht="31.5" x14ac:dyDescent="0.35">
      <c r="A2620" s="323" t="str">
        <f>ORÇAMENTO!A452</f>
        <v>5.1.2.7.44</v>
      </c>
      <c r="B2620" s="322" t="str">
        <f>VLOOKUP(A2620,ORÇAMENTO!$A:$F,4,0)</f>
        <v>FÔRMAS DE COMPENSADO RESINADO 12 MM - USO GERAL - UTILIZAÇÃO DE 2 VEZES - CONFECÇÃO, INSTALAÇÃO E RETIRADA</v>
      </c>
      <c r="C2620" s="149" t="str">
        <f>VLOOKUP(A2620,ORÇAMENTO!$A:$F,5,0)</f>
        <v>M²</v>
      </c>
      <c r="D2620" s="149">
        <f>ROUND(SUM(E2622:O2622),2)</f>
        <v>2469.06</v>
      </c>
      <c r="E2620" s="149" t="s">
        <v>2149</v>
      </c>
      <c r="F2620" s="149" t="s">
        <v>2150</v>
      </c>
      <c r="G2620" s="149" t="s">
        <v>2151</v>
      </c>
      <c r="H2620" s="149" t="s">
        <v>2152</v>
      </c>
      <c r="I2620" s="149" t="s">
        <v>2153</v>
      </c>
      <c r="J2620" s="149" t="s">
        <v>2154</v>
      </c>
      <c r="K2620" s="149" t="s">
        <v>2155</v>
      </c>
      <c r="L2620" s="149" t="s">
        <v>2239</v>
      </c>
      <c r="M2620" s="149" t="s">
        <v>413</v>
      </c>
      <c r="N2620" s="149" t="s">
        <v>2257</v>
      </c>
      <c r="O2620" s="149" t="s">
        <v>2158</v>
      </c>
    </row>
    <row r="2621" spans="1:15" x14ac:dyDescent="0.35">
      <c r="A2621" s="321"/>
      <c r="B2621" s="320" t="s">
        <v>2258</v>
      </c>
      <c r="C2621" s="153"/>
      <c r="D2621" s="154"/>
      <c r="E2621" s="154"/>
      <c r="F2621" s="154"/>
      <c r="G2621" s="154"/>
      <c r="H2621" s="154"/>
      <c r="I2621" s="154"/>
      <c r="J2621" s="154"/>
      <c r="K2621" s="154"/>
      <c r="L2621" s="154"/>
      <c r="M2621" s="154"/>
      <c r="N2621" s="338">
        <f>QUANTBL!CW221</f>
        <v>2469.0620560000011</v>
      </c>
      <c r="O2621" s="154"/>
    </row>
    <row r="2622" spans="1:15" x14ac:dyDescent="0.35">
      <c r="A2622" s="321"/>
      <c r="B2622" s="318" t="s">
        <v>377</v>
      </c>
      <c r="C2622" s="158" t="s">
        <v>402</v>
      </c>
      <c r="D2622" s="158"/>
      <c r="E2622" s="158"/>
      <c r="F2622" s="158"/>
      <c r="G2622" s="158"/>
      <c r="H2622" s="158"/>
      <c r="I2622" s="158"/>
      <c r="J2622" s="158"/>
      <c r="K2622" s="154"/>
      <c r="L2622" s="158"/>
      <c r="M2622" s="158"/>
      <c r="N2622" s="153">
        <f>SUM(N2621)</f>
        <v>2469.0620560000011</v>
      </c>
      <c r="O2622" s="153"/>
    </row>
    <row r="2623" spans="1:15" ht="42" x14ac:dyDescent="0.35">
      <c r="A2623" s="323" t="str">
        <f>ORÇAMENTO!A453</f>
        <v>5.1.2.7.45</v>
      </c>
      <c r="B2623" s="322" t="str">
        <f>VLOOKUP(A2623,ORÇAMENTO!$A:$F,4,0)</f>
        <v>CONCRETO FCK = 25MPA, TRAÇO 1:2,3:2,7 (EM MASSA SECA DE CIMENTO/ AREIA MÉDIA/ BRITA 1) - PREPARO MECÂNICO COM BETONEIRA 600 L. AF_05/2021</v>
      </c>
      <c r="C2623" s="149" t="str">
        <f>VLOOKUP(A2623,ORÇAMENTO!$A:$F,5,0)</f>
        <v>M³</v>
      </c>
      <c r="D2623" s="149">
        <f>ROUND(SUM(E2625:O2625),2)</f>
        <v>167.69</v>
      </c>
      <c r="E2623" s="149" t="s">
        <v>2149</v>
      </c>
      <c r="F2623" s="149" t="s">
        <v>2150</v>
      </c>
      <c r="G2623" s="149" t="s">
        <v>2151</v>
      </c>
      <c r="H2623" s="149" t="s">
        <v>2152</v>
      </c>
      <c r="I2623" s="149" t="s">
        <v>2153</v>
      </c>
      <c r="J2623" s="149" t="s">
        <v>2154</v>
      </c>
      <c r="K2623" s="149" t="s">
        <v>2155</v>
      </c>
      <c r="L2623" s="149" t="s">
        <v>2239</v>
      </c>
      <c r="M2623" s="149" t="s">
        <v>413</v>
      </c>
      <c r="N2623" s="149" t="s">
        <v>2244</v>
      </c>
      <c r="O2623" s="149" t="s">
        <v>2158</v>
      </c>
    </row>
    <row r="2624" spans="1:15" x14ac:dyDescent="0.35">
      <c r="A2624" s="321"/>
      <c r="B2624" s="320" t="s">
        <v>2259</v>
      </c>
      <c r="C2624" s="153"/>
      <c r="D2624" s="154"/>
      <c r="E2624" s="154"/>
      <c r="F2624" s="154"/>
      <c r="G2624" s="154"/>
      <c r="H2624" s="154"/>
      <c r="I2624" s="154"/>
      <c r="J2624" s="154"/>
      <c r="K2624" s="154"/>
      <c r="L2624" s="154"/>
      <c r="M2624" s="154"/>
      <c r="N2624" s="338"/>
      <c r="O2624" s="154">
        <f>QUANTBL!CV221</f>
        <v>167.69038020000002</v>
      </c>
    </row>
    <row r="2625" spans="1:15" x14ac:dyDescent="0.35">
      <c r="A2625" s="321"/>
      <c r="B2625" s="318" t="s">
        <v>377</v>
      </c>
      <c r="C2625" s="158" t="s">
        <v>402</v>
      </c>
      <c r="D2625" s="158"/>
      <c r="E2625" s="158"/>
      <c r="F2625" s="158"/>
      <c r="G2625" s="158"/>
      <c r="H2625" s="158"/>
      <c r="I2625" s="158"/>
      <c r="J2625" s="158"/>
      <c r="K2625" s="154"/>
      <c r="L2625" s="158"/>
      <c r="M2625" s="158"/>
      <c r="N2625" s="153"/>
      <c r="O2625" s="153">
        <f>SUM(O2624)</f>
        <v>167.69038020000002</v>
      </c>
    </row>
    <row r="2626" spans="1:15" ht="31.5" x14ac:dyDescent="0.35">
      <c r="A2626" s="323" t="str">
        <f>ORÇAMENTO!A454</f>
        <v>5.1.2.7.46</v>
      </c>
      <c r="B2626" s="322" t="str">
        <f>VLOOKUP(A2626,ORÇAMENTO!$A:$F,4,0)</f>
        <v>LANÇAMENTO COM USO DE BALDES, ADENSAMENTO E ACABAMENTO DE CONCRETO EM ESTRUTURAS. AF_02/2022</v>
      </c>
      <c r="C2626" s="149" t="str">
        <f>VLOOKUP(A2626,ORÇAMENTO!$A:$F,5,0)</f>
        <v>M³</v>
      </c>
      <c r="D2626" s="149">
        <f>ROUND(SUM(E2630:O2630),2)</f>
        <v>213.1</v>
      </c>
      <c r="E2626" s="149" t="s">
        <v>2149</v>
      </c>
      <c r="F2626" s="149" t="s">
        <v>2150</v>
      </c>
      <c r="G2626" s="149" t="s">
        <v>2151</v>
      </c>
      <c r="H2626" s="149" t="s">
        <v>2152</v>
      </c>
      <c r="I2626" s="149" t="s">
        <v>2153</v>
      </c>
      <c r="J2626" s="149" t="s">
        <v>2154</v>
      </c>
      <c r="K2626" s="149" t="s">
        <v>2155</v>
      </c>
      <c r="L2626" s="149" t="s">
        <v>2239</v>
      </c>
      <c r="M2626" s="149" t="s">
        <v>413</v>
      </c>
      <c r="N2626" s="149" t="s">
        <v>2244</v>
      </c>
      <c r="O2626" s="149" t="s">
        <v>2158</v>
      </c>
    </row>
    <row r="2627" spans="1:15" ht="42" x14ac:dyDescent="0.35">
      <c r="A2627" s="321"/>
      <c r="B2627" s="320" t="str">
        <f>B2596</f>
        <v>CONCRETO MAGRO PARA LASTRO, TRAÇO 1:4,5:4,5 (EM MASSA SECA DE CIMENTO/ AREIA MÉDIA/ BRITA 1) - PREPARO MECÂNICO COM BETONEIRA 600 L. AF_05/2021</v>
      </c>
      <c r="C2627" s="153"/>
      <c r="D2627" s="154"/>
      <c r="E2627" s="154"/>
      <c r="F2627" s="154"/>
      <c r="G2627" s="154"/>
      <c r="H2627" s="154"/>
      <c r="I2627" s="154"/>
      <c r="J2627" s="154"/>
      <c r="K2627" s="154"/>
      <c r="L2627" s="154"/>
      <c r="M2627" s="154"/>
      <c r="N2627" s="338"/>
      <c r="O2627" s="154">
        <f>O2599</f>
        <v>45.406493799999936</v>
      </c>
    </row>
    <row r="2628" spans="1:15" ht="42" x14ac:dyDescent="0.35">
      <c r="A2628" s="321"/>
      <c r="B2628" s="320" t="str">
        <f>B2623</f>
        <v>CONCRETO FCK = 25MPA, TRAÇO 1:2,3:2,7 (EM MASSA SECA DE CIMENTO/ AREIA MÉDIA/ BRITA 1) - PREPARO MECÂNICO COM BETONEIRA 600 L. AF_05/2021</v>
      </c>
      <c r="C2628" s="153"/>
      <c r="D2628" s="154"/>
      <c r="E2628" s="154"/>
      <c r="F2628" s="154"/>
      <c r="G2628" s="154"/>
      <c r="H2628" s="154"/>
      <c r="I2628" s="154"/>
      <c r="J2628" s="154"/>
      <c r="K2628" s="154"/>
      <c r="L2628" s="154"/>
      <c r="M2628" s="154"/>
      <c r="N2628" s="338"/>
      <c r="O2628" s="154">
        <f>O2625</f>
        <v>167.69038020000002</v>
      </c>
    </row>
    <row r="2629" spans="1:15" x14ac:dyDescent="0.35">
      <c r="A2629" s="321"/>
      <c r="B2629" s="320"/>
      <c r="C2629" s="153"/>
      <c r="D2629" s="154"/>
      <c r="E2629" s="154"/>
      <c r="F2629" s="154"/>
      <c r="G2629" s="154"/>
      <c r="H2629" s="154"/>
      <c r="I2629" s="154"/>
      <c r="J2629" s="154"/>
      <c r="K2629" s="154"/>
      <c r="L2629" s="154"/>
      <c r="M2629" s="154"/>
      <c r="N2629" s="338"/>
      <c r="O2629" s="154"/>
    </row>
    <row r="2630" spans="1:15" x14ac:dyDescent="0.35">
      <c r="A2630" s="321"/>
      <c r="B2630" s="318" t="s">
        <v>377</v>
      </c>
      <c r="C2630" s="158" t="s">
        <v>402</v>
      </c>
      <c r="D2630" s="158"/>
      <c r="E2630" s="158"/>
      <c r="F2630" s="158"/>
      <c r="G2630" s="158"/>
      <c r="H2630" s="158"/>
      <c r="I2630" s="158"/>
      <c r="J2630" s="158"/>
      <c r="K2630" s="153"/>
      <c r="L2630" s="158"/>
      <c r="M2630" s="158"/>
      <c r="N2630" s="153"/>
      <c r="O2630" s="153">
        <f>SUM(O2627:O2629)</f>
        <v>213.09687399999996</v>
      </c>
    </row>
    <row r="2631" spans="1:15" ht="31.5" x14ac:dyDescent="0.35">
      <c r="A2631" s="323" t="str">
        <f>ORÇAMENTO!A455</f>
        <v>5.1.2.7.47</v>
      </c>
      <c r="B2631" s="322" t="str">
        <f>VLOOKUP(A2631,ORÇAMENTO!$A:$F,4,0)</f>
        <v>TUBO DE CONCRETO SIMPLES PARA AGUAS PLUVIAIS, CLASSE PS1, COM ENCAIXE PONTA E BOLSA, DIAMETRO NOMINAL DE 400 MM</v>
      </c>
      <c r="C2631" s="149" t="str">
        <f>VLOOKUP(A2631,ORÇAMENTO!$A:$F,5,0)</f>
        <v>M</v>
      </c>
      <c r="D2631" s="149">
        <f>ROUND(SUM(E2634:O2634),2)</f>
        <v>76</v>
      </c>
      <c r="E2631" s="149" t="s">
        <v>2149</v>
      </c>
      <c r="F2631" s="149" t="s">
        <v>2150</v>
      </c>
      <c r="G2631" s="149" t="s">
        <v>2151</v>
      </c>
      <c r="H2631" s="149" t="s">
        <v>2152</v>
      </c>
      <c r="I2631" s="149" t="s">
        <v>2153</v>
      </c>
      <c r="J2631" s="149" t="s">
        <v>2154</v>
      </c>
      <c r="K2631" s="149" t="s">
        <v>2155</v>
      </c>
      <c r="L2631" s="149" t="s">
        <v>2239</v>
      </c>
      <c r="M2631" s="149" t="s">
        <v>413</v>
      </c>
      <c r="N2631" s="149" t="s">
        <v>2244</v>
      </c>
      <c r="O2631" s="149" t="s">
        <v>2158</v>
      </c>
    </row>
    <row r="2632" spans="1:15" x14ac:dyDescent="0.35">
      <c r="A2632" s="321"/>
      <c r="B2632" s="320" t="s">
        <v>2260</v>
      </c>
      <c r="C2632" s="153"/>
      <c r="D2632" s="154"/>
      <c r="E2632" s="154">
        <f>QUANTBL!BF223</f>
        <v>76</v>
      </c>
      <c r="F2632" s="154"/>
      <c r="G2632" s="154"/>
      <c r="H2632" s="154"/>
      <c r="I2632" s="154"/>
      <c r="J2632" s="154"/>
      <c r="K2632" s="154"/>
      <c r="L2632" s="154"/>
      <c r="M2632" s="154"/>
      <c r="N2632" s="338"/>
      <c r="O2632" s="154"/>
    </row>
    <row r="2633" spans="1:15" x14ac:dyDescent="0.35">
      <c r="A2633" s="321"/>
      <c r="B2633" s="320"/>
      <c r="C2633" s="153"/>
      <c r="D2633" s="154"/>
      <c r="E2633" s="154"/>
      <c r="F2633" s="154"/>
      <c r="G2633" s="154"/>
      <c r="H2633" s="154"/>
      <c r="I2633" s="154"/>
      <c r="J2633" s="154"/>
      <c r="K2633" s="154"/>
      <c r="L2633" s="154"/>
      <c r="M2633" s="154"/>
      <c r="N2633" s="338"/>
      <c r="O2633" s="154"/>
    </row>
    <row r="2634" spans="1:15" x14ac:dyDescent="0.35">
      <c r="A2634" s="321"/>
      <c r="B2634" s="318" t="s">
        <v>377</v>
      </c>
      <c r="C2634" s="158" t="s">
        <v>402</v>
      </c>
      <c r="D2634" s="158"/>
      <c r="E2634" s="153">
        <f>SUM(E2632:E2633)</f>
        <v>76</v>
      </c>
      <c r="F2634" s="158"/>
      <c r="G2634" s="158"/>
      <c r="H2634" s="158"/>
      <c r="I2634" s="158"/>
      <c r="J2634" s="158"/>
      <c r="K2634" s="153"/>
      <c r="L2634" s="158"/>
      <c r="M2634" s="158"/>
      <c r="N2634" s="153"/>
      <c r="O2634" s="153"/>
    </row>
    <row r="2635" spans="1:15" ht="31.5" x14ac:dyDescent="0.35">
      <c r="A2635" s="323" t="str">
        <f>ORÇAMENTO!A456</f>
        <v>5.1.2.7.48</v>
      </c>
      <c r="B2635" s="322" t="str">
        <f>VLOOKUP(A2635,ORÇAMENTO!$A:$F,4,0)</f>
        <v>TUBO DE CONCRETO SIMPLES PARA AGUAS PLUVIAIS, CLASSE PS2, COM ENCAIXE PONTA E BOLSA, DIAMETRO NOMINAL DE 400 MM</v>
      </c>
      <c r="C2635" s="149" t="str">
        <f>VLOOKUP(A2635,ORÇAMENTO!$A:$F,5,0)</f>
        <v>M</v>
      </c>
      <c r="D2635" s="149">
        <f>ROUND(SUM(E2638:O2638),2)</f>
        <v>583.74</v>
      </c>
      <c r="E2635" s="149" t="s">
        <v>2149</v>
      </c>
      <c r="F2635" s="149" t="s">
        <v>2150</v>
      </c>
      <c r="G2635" s="149" t="s">
        <v>2151</v>
      </c>
      <c r="H2635" s="149" t="s">
        <v>2152</v>
      </c>
      <c r="I2635" s="149" t="s">
        <v>2153</v>
      </c>
      <c r="J2635" s="149" t="s">
        <v>2154</v>
      </c>
      <c r="K2635" s="149" t="s">
        <v>2155</v>
      </c>
      <c r="L2635" s="149" t="s">
        <v>2239</v>
      </c>
      <c r="M2635" s="149" t="s">
        <v>413</v>
      </c>
      <c r="N2635" s="149" t="s">
        <v>2244</v>
      </c>
      <c r="O2635" s="149" t="s">
        <v>2158</v>
      </c>
    </row>
    <row r="2636" spans="1:15" ht="21" x14ac:dyDescent="0.35">
      <c r="A2636" s="321"/>
      <c r="B2636" s="320" t="s">
        <v>2261</v>
      </c>
      <c r="C2636" s="153"/>
      <c r="D2636" s="154"/>
      <c r="E2636" s="154">
        <f>QUANTBL!BG223</f>
        <v>583.74</v>
      </c>
      <c r="F2636" s="154"/>
      <c r="G2636" s="154"/>
      <c r="H2636" s="154"/>
      <c r="I2636" s="154"/>
      <c r="J2636" s="154"/>
      <c r="K2636" s="154"/>
      <c r="L2636" s="154"/>
      <c r="M2636" s="154"/>
      <c r="N2636" s="338"/>
      <c r="O2636" s="154"/>
    </row>
    <row r="2637" spans="1:15" x14ac:dyDescent="0.35">
      <c r="A2637" s="321"/>
      <c r="B2637" s="320"/>
      <c r="C2637" s="153"/>
      <c r="D2637" s="154"/>
      <c r="E2637" s="154"/>
      <c r="F2637" s="154"/>
      <c r="G2637" s="154"/>
      <c r="H2637" s="154"/>
      <c r="I2637" s="154"/>
      <c r="J2637" s="154"/>
      <c r="K2637" s="154"/>
      <c r="L2637" s="154"/>
      <c r="M2637" s="154"/>
      <c r="N2637" s="338"/>
      <c r="O2637" s="154"/>
    </row>
    <row r="2638" spans="1:15" x14ac:dyDescent="0.35">
      <c r="A2638" s="321"/>
      <c r="B2638" s="318" t="s">
        <v>377</v>
      </c>
      <c r="C2638" s="158" t="s">
        <v>402</v>
      </c>
      <c r="D2638" s="158"/>
      <c r="E2638" s="153">
        <f>SUM(E2636:E2637)</f>
        <v>583.74</v>
      </c>
      <c r="F2638" s="158"/>
      <c r="G2638" s="158"/>
      <c r="H2638" s="158"/>
      <c r="I2638" s="158"/>
      <c r="J2638" s="158"/>
      <c r="K2638" s="153"/>
      <c r="L2638" s="158"/>
      <c r="M2638" s="158"/>
      <c r="N2638" s="153"/>
      <c r="O2638" s="153"/>
    </row>
    <row r="2639" spans="1:15" ht="52.5" x14ac:dyDescent="0.35">
      <c r="A2639" s="323" t="str">
        <f>ORÇAMENTO!A457</f>
        <v>5.1.2.7.49</v>
      </c>
      <c r="B2639" s="322" t="str">
        <f>VLOOKUP(A2639,ORÇAMENTO!$A:$F,4,0)</f>
        <v>ASSENTAMENTO DE TUBO DE CONCRETO PARA REDES COLETORAS DE ÁGUAS PLUVIAIS, DIÂMETRO DE 400 MM, JUNTA RÍGIDA, INSTALADO EM LOCAL COM ALTO NÍVEL DE INTERFERÊNCIAS (NÃO INCLUI FORNECIMENTO). AF_03/2024</v>
      </c>
      <c r="C2639" s="149" t="str">
        <f>VLOOKUP(A2639,ORÇAMENTO!$A:$F,5,0)</f>
        <v>M</v>
      </c>
      <c r="D2639" s="149">
        <f>ROUND(SUM(E2642:O2642),2)</f>
        <v>659.74</v>
      </c>
      <c r="E2639" s="149" t="s">
        <v>2149</v>
      </c>
      <c r="F2639" s="149" t="s">
        <v>2150</v>
      </c>
      <c r="G2639" s="149" t="s">
        <v>2151</v>
      </c>
      <c r="H2639" s="149" t="s">
        <v>2152</v>
      </c>
      <c r="I2639" s="149" t="s">
        <v>2153</v>
      </c>
      <c r="J2639" s="149" t="s">
        <v>2154</v>
      </c>
      <c r="K2639" s="149" t="s">
        <v>2155</v>
      </c>
      <c r="L2639" s="149" t="s">
        <v>2239</v>
      </c>
      <c r="M2639" s="149" t="s">
        <v>413</v>
      </c>
      <c r="N2639" s="149" t="s">
        <v>2244</v>
      </c>
      <c r="O2639" s="149" t="s">
        <v>2158</v>
      </c>
    </row>
    <row r="2640" spans="1:15" x14ac:dyDescent="0.35">
      <c r="A2640" s="321"/>
      <c r="B2640" s="320" t="s">
        <v>2262</v>
      </c>
      <c r="C2640" s="153"/>
      <c r="D2640" s="154"/>
      <c r="E2640" s="154">
        <f>E2638+E2634</f>
        <v>659.74</v>
      </c>
      <c r="F2640" s="154"/>
      <c r="G2640" s="154"/>
      <c r="H2640" s="154"/>
      <c r="I2640" s="154"/>
      <c r="J2640" s="154"/>
      <c r="K2640" s="154"/>
      <c r="L2640" s="154"/>
      <c r="M2640" s="154"/>
      <c r="N2640" s="338"/>
      <c r="O2640" s="154"/>
    </row>
    <row r="2641" spans="1:15" x14ac:dyDescent="0.35">
      <c r="A2641" s="321"/>
      <c r="B2641" s="320"/>
      <c r="C2641" s="153"/>
      <c r="D2641" s="154"/>
      <c r="E2641" s="154"/>
      <c r="F2641" s="154"/>
      <c r="G2641" s="154"/>
      <c r="H2641" s="154"/>
      <c r="I2641" s="154"/>
      <c r="J2641" s="154"/>
      <c r="K2641" s="154"/>
      <c r="L2641" s="154"/>
      <c r="M2641" s="154"/>
      <c r="N2641" s="338"/>
      <c r="O2641" s="154"/>
    </row>
    <row r="2642" spans="1:15" x14ac:dyDescent="0.35">
      <c r="A2642" s="321"/>
      <c r="B2642" s="318" t="s">
        <v>377</v>
      </c>
      <c r="C2642" s="158" t="s">
        <v>402</v>
      </c>
      <c r="D2642" s="158"/>
      <c r="E2642" s="153">
        <f>SUM(E2640:E2641)</f>
        <v>659.74</v>
      </c>
      <c r="F2642" s="158"/>
      <c r="G2642" s="158"/>
      <c r="H2642" s="158"/>
      <c r="I2642" s="158"/>
      <c r="J2642" s="158"/>
      <c r="K2642" s="153"/>
      <c r="L2642" s="158"/>
      <c r="M2642" s="158"/>
      <c r="N2642" s="153"/>
      <c r="O2642" s="153"/>
    </row>
    <row r="2643" spans="1:15" x14ac:dyDescent="0.35">
      <c r="A2643" s="327" t="str">
        <f>ORÇAMENTO!A458</f>
        <v>5.1.2.8</v>
      </c>
      <c r="B2643" s="326" t="str">
        <f>VLOOKUP(A2643,ORÇAMENTO!$A:$F,4,0)</f>
        <v>POÇOS DE VISITA</v>
      </c>
      <c r="C2643" s="143"/>
      <c r="D2643" s="143"/>
      <c r="E2643" s="144"/>
      <c r="F2643" s="144"/>
      <c r="G2643" s="144"/>
      <c r="H2643" s="144"/>
      <c r="I2643" s="144"/>
      <c r="J2643" s="144"/>
      <c r="K2643" s="144"/>
      <c r="L2643" s="144"/>
      <c r="M2643" s="144"/>
      <c r="N2643" s="144"/>
      <c r="O2643" s="144"/>
    </row>
    <row r="2644" spans="1:15" ht="21" x14ac:dyDescent="0.35">
      <c r="A2644" s="323" t="str">
        <f>ORÇAMENTO!A459</f>
        <v>5.1.2.8.1</v>
      </c>
      <c r="B2644" s="322" t="str">
        <f>VLOOKUP(A2644,ORÇAMENTO!$A:$F,4,0)</f>
        <v>REVEST. PRIMARIO C CASCALHO OU SAIBRO C\ COMPACTACAO</v>
      </c>
      <c r="C2644" s="149" t="str">
        <f>VLOOKUP(A2644,ORÇAMENTO!$A:$F,5,0)</f>
        <v>M³</v>
      </c>
      <c r="D2644" s="149">
        <f>ROUND(SUM(E2652:O2652),2)</f>
        <v>17.57</v>
      </c>
      <c r="E2644" s="149" t="s">
        <v>2149</v>
      </c>
      <c r="F2644" s="149" t="s">
        <v>2150</v>
      </c>
      <c r="G2644" s="149" t="s">
        <v>2151</v>
      </c>
      <c r="H2644" s="149" t="s">
        <v>2152</v>
      </c>
      <c r="I2644" s="149" t="s">
        <v>2153</v>
      </c>
      <c r="J2644" s="149" t="s">
        <v>2154</v>
      </c>
      <c r="K2644" s="149" t="s">
        <v>2155</v>
      </c>
      <c r="L2644" s="149" t="s">
        <v>2239</v>
      </c>
      <c r="M2644" s="149" t="s">
        <v>413</v>
      </c>
      <c r="N2644" s="149" t="s">
        <v>2244</v>
      </c>
      <c r="O2644" s="149" t="s">
        <v>2158</v>
      </c>
    </row>
    <row r="2645" spans="1:15" x14ac:dyDescent="0.35">
      <c r="A2645" s="321"/>
      <c r="B2645" s="320" t="s">
        <v>2263</v>
      </c>
      <c r="C2645" s="160"/>
      <c r="D2645" s="161"/>
      <c r="E2645" s="161"/>
      <c r="F2645" s="161"/>
      <c r="G2645" s="161"/>
      <c r="H2645" s="161"/>
      <c r="I2645" s="161"/>
      <c r="J2645" s="161"/>
      <c r="K2645" s="161"/>
      <c r="L2645" s="161"/>
      <c r="M2645" s="161"/>
      <c r="N2645" s="334"/>
      <c r="O2645" s="161"/>
    </row>
    <row r="2646" spans="1:15" x14ac:dyDescent="0.35">
      <c r="A2646" s="321"/>
      <c r="B2646" s="320" t="s">
        <v>2264</v>
      </c>
      <c r="C2646" s="160"/>
      <c r="D2646" s="161"/>
      <c r="E2646" s="161">
        <v>1.48</v>
      </c>
      <c r="F2646" s="161">
        <v>1.48</v>
      </c>
      <c r="G2646" s="161"/>
      <c r="H2646" s="161">
        <v>0.1</v>
      </c>
      <c r="I2646" s="161"/>
      <c r="J2646" s="161"/>
      <c r="K2646" s="161"/>
      <c r="L2646" s="161"/>
      <c r="M2646" s="161">
        <f>'Planilha Hidráulica'!AH115</f>
        <v>11</v>
      </c>
      <c r="N2646" s="334"/>
      <c r="O2646" s="161">
        <f>M2646*E2646*F2646*H2646</f>
        <v>2.40944</v>
      </c>
    </row>
    <row r="2647" spans="1:15" x14ac:dyDescent="0.35">
      <c r="A2647" s="321"/>
      <c r="B2647" s="320" t="s">
        <v>2265</v>
      </c>
      <c r="C2647" s="160"/>
      <c r="D2647" s="161"/>
      <c r="E2647" s="161">
        <v>1.9</v>
      </c>
      <c r="F2647" s="161">
        <v>1.9</v>
      </c>
      <c r="G2647" s="161"/>
      <c r="H2647" s="161">
        <v>0.1</v>
      </c>
      <c r="I2647" s="161"/>
      <c r="J2647" s="161"/>
      <c r="K2647" s="161"/>
      <c r="L2647" s="161"/>
      <c r="M2647" s="161">
        <f>'Planilha Hidráulica'!AI115</f>
        <v>10</v>
      </c>
      <c r="N2647" s="334"/>
      <c r="O2647" s="161">
        <f>M2647*E2647*F2647*H2647</f>
        <v>3.6100000000000003</v>
      </c>
    </row>
    <row r="2648" spans="1:15" x14ac:dyDescent="0.35">
      <c r="A2648" s="321"/>
      <c r="B2648" s="320" t="s">
        <v>2266</v>
      </c>
      <c r="C2648" s="160"/>
      <c r="D2648" s="161"/>
      <c r="E2648" s="161">
        <v>2.14</v>
      </c>
      <c r="F2648" s="161">
        <v>2.14</v>
      </c>
      <c r="G2648" s="161"/>
      <c r="H2648" s="161">
        <v>0.1</v>
      </c>
      <c r="I2648" s="161"/>
      <c r="J2648" s="161"/>
      <c r="K2648" s="161"/>
      <c r="L2648" s="161"/>
      <c r="M2648" s="161">
        <f>'Planilha Hidráulica'!AJ115</f>
        <v>8</v>
      </c>
      <c r="N2648" s="334"/>
      <c r="O2648" s="161">
        <f>M2648*E2648*F2648*H2648</f>
        <v>3.6636800000000003</v>
      </c>
    </row>
    <row r="2649" spans="1:15" x14ac:dyDescent="0.35">
      <c r="A2649" s="321"/>
      <c r="B2649" s="320" t="s">
        <v>2267</v>
      </c>
      <c r="C2649" s="160"/>
      <c r="D2649" s="161"/>
      <c r="E2649" s="161">
        <v>2.2400000000000002</v>
      </c>
      <c r="F2649" s="161">
        <v>2.2400000000000002</v>
      </c>
      <c r="G2649" s="161"/>
      <c r="H2649" s="161">
        <v>0.1</v>
      </c>
      <c r="I2649" s="161"/>
      <c r="J2649" s="161"/>
      <c r="K2649" s="161"/>
      <c r="L2649" s="161"/>
      <c r="M2649" s="161">
        <f>'Planilha Hidráulica'!AK115</f>
        <v>6</v>
      </c>
      <c r="N2649" s="334"/>
      <c r="O2649" s="161">
        <f>M2649*E2649*F2649*H2649</f>
        <v>3.0105600000000008</v>
      </c>
    </row>
    <row r="2650" spans="1:15" x14ac:dyDescent="0.35">
      <c r="A2650" s="321"/>
      <c r="B2650" s="320" t="s">
        <v>2268</v>
      </c>
      <c r="C2650" s="160"/>
      <c r="D2650" s="161"/>
      <c r="E2650" s="161">
        <v>2.64</v>
      </c>
      <c r="F2650" s="161">
        <v>2.64</v>
      </c>
      <c r="G2650" s="161"/>
      <c r="H2650" s="161">
        <v>0.1</v>
      </c>
      <c r="I2650" s="161"/>
      <c r="J2650" s="161"/>
      <c r="K2650" s="161"/>
      <c r="L2650" s="161"/>
      <c r="M2650" s="161">
        <f>'Planilha Hidráulica'!AL115</f>
        <v>7</v>
      </c>
      <c r="N2650" s="334"/>
      <c r="O2650" s="161">
        <f>M2650*E2650*F2650*H2650</f>
        <v>4.8787200000000013</v>
      </c>
    </row>
    <row r="2651" spans="1:15" x14ac:dyDescent="0.35">
      <c r="A2651" s="321"/>
      <c r="B2651" s="320"/>
      <c r="C2651" s="160"/>
      <c r="D2651" s="161"/>
      <c r="E2651" s="161"/>
      <c r="F2651" s="161"/>
      <c r="G2651" s="161"/>
      <c r="H2651" s="161"/>
      <c r="I2651" s="161"/>
      <c r="J2651" s="161"/>
      <c r="K2651" s="161"/>
      <c r="L2651" s="161"/>
      <c r="M2651" s="161"/>
      <c r="N2651" s="334"/>
      <c r="O2651" s="161"/>
    </row>
    <row r="2652" spans="1:15" x14ac:dyDescent="0.35">
      <c r="A2652" s="321"/>
      <c r="B2652" s="318" t="s">
        <v>377</v>
      </c>
      <c r="C2652" s="158" t="s">
        <v>402</v>
      </c>
      <c r="D2652" s="158"/>
      <c r="E2652" s="158"/>
      <c r="F2652" s="158"/>
      <c r="G2652" s="158"/>
      <c r="H2652" s="158"/>
      <c r="I2652" s="158"/>
      <c r="J2652" s="158"/>
      <c r="K2652" s="161"/>
      <c r="L2652" s="158"/>
      <c r="M2652" s="158"/>
      <c r="N2652" s="160"/>
      <c r="O2652" s="160">
        <f>SUM(O2646:O2650)</f>
        <v>17.572400000000002</v>
      </c>
    </row>
    <row r="2653" spans="1:15" ht="31.5" x14ac:dyDescent="0.35">
      <c r="A2653" s="323" t="str">
        <f>ORÇAMENTO!A460</f>
        <v>5.1.2.8.2</v>
      </c>
      <c r="B2653" s="322" t="str">
        <f>VLOOKUP(A2653,ORÇAMENTO!$A:$F,4,0)</f>
        <v>PEÇA RETANGULAR PRÉ-MOLDADA, VOLUME DE CONCRETO DE ATÉ 10 LITROS, TAXA DE AÇO APROXIMADA DE 30KG/M³. AF_03/2024</v>
      </c>
      <c r="C2653" s="149" t="str">
        <f>VLOOKUP(A2653,ORÇAMENTO!$A:$F,5,0)</f>
        <v>M³</v>
      </c>
      <c r="D2653" s="149">
        <f>ROUND(SUM(E2658:O2658),2)</f>
        <v>4.05</v>
      </c>
      <c r="E2653" s="149" t="s">
        <v>2149</v>
      </c>
      <c r="F2653" s="149" t="s">
        <v>2150</v>
      </c>
      <c r="G2653" s="149" t="s">
        <v>2151</v>
      </c>
      <c r="H2653" s="149" t="s">
        <v>2152</v>
      </c>
      <c r="I2653" s="149" t="s">
        <v>2153</v>
      </c>
      <c r="J2653" s="149" t="s">
        <v>2154</v>
      </c>
      <c r="K2653" s="149" t="s">
        <v>2155</v>
      </c>
      <c r="L2653" s="149" t="s">
        <v>2239</v>
      </c>
      <c r="M2653" s="149" t="s">
        <v>413</v>
      </c>
      <c r="N2653" s="149" t="s">
        <v>2244</v>
      </c>
      <c r="O2653" s="149" t="s">
        <v>2158</v>
      </c>
    </row>
    <row r="2654" spans="1:15" x14ac:dyDescent="0.35">
      <c r="A2654" s="321"/>
      <c r="B2654" s="320" t="str">
        <f>B2645</f>
        <v>CONFORME DESENHO TIPO</v>
      </c>
      <c r="C2654" s="160"/>
      <c r="D2654" s="161"/>
      <c r="E2654" s="161"/>
      <c r="F2654" s="161"/>
      <c r="G2654" s="161"/>
      <c r="H2654" s="161"/>
      <c r="I2654" s="161"/>
      <c r="J2654" s="161"/>
      <c r="K2654" s="161"/>
      <c r="L2654" s="161"/>
      <c r="M2654" s="161"/>
      <c r="N2654" s="334"/>
      <c r="O2654" s="161"/>
    </row>
    <row r="2655" spans="1:15" x14ac:dyDescent="0.35">
      <c r="A2655" s="321"/>
      <c r="B2655" s="320" t="str">
        <f>B2646</f>
        <v>PV DN 600</v>
      </c>
      <c r="C2655" s="160"/>
      <c r="D2655" s="161"/>
      <c r="E2655" s="161">
        <f>E2646-0.2</f>
        <v>1.28</v>
      </c>
      <c r="F2655" s="161">
        <f>F2646-0.2</f>
        <v>1.28</v>
      </c>
      <c r="G2655" s="161"/>
      <c r="H2655" s="161">
        <v>0.1</v>
      </c>
      <c r="I2655" s="161"/>
      <c r="J2655" s="161"/>
      <c r="K2655" s="161"/>
      <c r="L2655" s="161"/>
      <c r="M2655" s="161">
        <f>M2646</f>
        <v>11</v>
      </c>
      <c r="N2655" s="334"/>
      <c r="O2655" s="161">
        <f>M2655*E2655*F2655*H2655</f>
        <v>1.8022400000000003</v>
      </c>
    </row>
    <row r="2656" spans="1:15" x14ac:dyDescent="0.35">
      <c r="A2656" s="321"/>
      <c r="B2656" s="320" t="str">
        <f>B2647</f>
        <v>PV DN 800</v>
      </c>
      <c r="C2656" s="160"/>
      <c r="D2656" s="161"/>
      <c r="E2656" s="161">
        <f>E2647-0.2*2</f>
        <v>1.5</v>
      </c>
      <c r="F2656" s="161">
        <f>F2647-0.2*2</f>
        <v>1.5</v>
      </c>
      <c r="G2656" s="161"/>
      <c r="H2656" s="161">
        <v>0.1</v>
      </c>
      <c r="I2656" s="161"/>
      <c r="J2656" s="161"/>
      <c r="K2656" s="161"/>
      <c r="L2656" s="161"/>
      <c r="M2656" s="161">
        <f>M2647</f>
        <v>10</v>
      </c>
      <c r="N2656" s="334"/>
      <c r="O2656" s="161">
        <f>M2656*E2656*F2656*H2656</f>
        <v>2.25</v>
      </c>
    </row>
    <row r="2657" spans="1:15" x14ac:dyDescent="0.35">
      <c r="A2657" s="321"/>
      <c r="B2657" s="320"/>
      <c r="C2657" s="160"/>
      <c r="D2657" s="161"/>
      <c r="E2657" s="161"/>
      <c r="F2657" s="161"/>
      <c r="G2657" s="161"/>
      <c r="H2657" s="161"/>
      <c r="I2657" s="161"/>
      <c r="J2657" s="161"/>
      <c r="K2657" s="161"/>
      <c r="L2657" s="161"/>
      <c r="M2657" s="161"/>
      <c r="N2657" s="334"/>
      <c r="O2657" s="161"/>
    </row>
    <row r="2658" spans="1:15" x14ac:dyDescent="0.35">
      <c r="A2658" s="321"/>
      <c r="B2658" s="318" t="s">
        <v>377</v>
      </c>
      <c r="C2658" s="158" t="s">
        <v>402</v>
      </c>
      <c r="D2658" s="158"/>
      <c r="E2658" s="158"/>
      <c r="F2658" s="158"/>
      <c r="G2658" s="158"/>
      <c r="H2658" s="158"/>
      <c r="I2658" s="158"/>
      <c r="J2658" s="158"/>
      <c r="K2658" s="161"/>
      <c r="L2658" s="158"/>
      <c r="M2658" s="158"/>
      <c r="N2658" s="160"/>
      <c r="O2658" s="160">
        <f>SUM(O2654:O2657)</f>
        <v>4.0522400000000003</v>
      </c>
    </row>
    <row r="2659" spans="1:15" ht="42" x14ac:dyDescent="0.35">
      <c r="A2659" s="323" t="str">
        <f>ORÇAMENTO!A461</f>
        <v>5.1.2.8.3</v>
      </c>
      <c r="B2659" s="322" t="str">
        <f>VLOOKUP(A2659,ORÇAMENTO!$A:$F,4,0)</f>
        <v>ALVENARIA DE VEDAÇÃO DE BLOCOS VAZADOS DE CONCRETO DE 19X19X39 CM (ESPESSURA 19 CM) E ARGAMASSA DE ASSENTAMENTO COM PREPARO EM BETONEIRA. AF_12/2021</v>
      </c>
      <c r="C2659" s="149" t="str">
        <f>VLOOKUP(A2659,ORÇAMENTO!$A:$F,5,0)</f>
        <v>M²</v>
      </c>
      <c r="D2659" s="149">
        <f>ROUND(SUM(E2664:O2664),2)</f>
        <v>133.78</v>
      </c>
      <c r="E2659" s="149" t="s">
        <v>2149</v>
      </c>
      <c r="F2659" s="149" t="s">
        <v>2150</v>
      </c>
      <c r="G2659" s="149" t="s">
        <v>2151</v>
      </c>
      <c r="H2659" s="149" t="s">
        <v>2152</v>
      </c>
      <c r="I2659" s="149" t="s">
        <v>2153</v>
      </c>
      <c r="J2659" s="149" t="s">
        <v>2154</v>
      </c>
      <c r="K2659" s="149" t="s">
        <v>2155</v>
      </c>
      <c r="L2659" s="149" t="s">
        <v>2239</v>
      </c>
      <c r="M2659" s="149" t="s">
        <v>413</v>
      </c>
      <c r="N2659" s="149" t="s">
        <v>2257</v>
      </c>
      <c r="O2659" s="149" t="s">
        <v>2158</v>
      </c>
    </row>
    <row r="2660" spans="1:15" x14ac:dyDescent="0.35">
      <c r="A2660" s="321"/>
      <c r="B2660" s="320" t="str">
        <f>B2654</f>
        <v>CONFORME DESENHO TIPO</v>
      </c>
      <c r="C2660" s="160"/>
      <c r="D2660" s="161"/>
      <c r="E2660" s="161"/>
      <c r="F2660" s="161"/>
      <c r="G2660" s="161"/>
      <c r="H2660" s="161"/>
      <c r="I2660" s="161"/>
      <c r="J2660" s="161"/>
      <c r="K2660" s="161"/>
      <c r="L2660" s="161"/>
      <c r="M2660" s="161"/>
      <c r="N2660" s="334"/>
      <c r="O2660" s="161"/>
    </row>
    <row r="2661" spans="1:15" x14ac:dyDescent="0.35">
      <c r="A2661" s="321"/>
      <c r="B2661" s="320" t="str">
        <f>B2655</f>
        <v>PV DN 600</v>
      </c>
      <c r="C2661" s="160"/>
      <c r="D2661" s="161"/>
      <c r="E2661" s="161">
        <f>E2655-0.1*2</f>
        <v>1.08</v>
      </c>
      <c r="F2661" s="161">
        <f>F2655-0.1*2</f>
        <v>1.08</v>
      </c>
      <c r="G2661" s="161">
        <v>1.4</v>
      </c>
      <c r="H2661" s="161">
        <v>0.09</v>
      </c>
      <c r="I2661" s="161">
        <f>2*(E2661+F2661-2*H2661)</f>
        <v>3.9600000000000004</v>
      </c>
      <c r="J2661" s="161"/>
      <c r="K2661" s="161"/>
      <c r="L2661" s="161"/>
      <c r="M2661" s="161">
        <f>M2655</f>
        <v>11</v>
      </c>
      <c r="N2661" s="334">
        <f>M2661*I2661*G2661</f>
        <v>60.984000000000002</v>
      </c>
      <c r="O2661" s="161"/>
    </row>
    <row r="2662" spans="1:15" x14ac:dyDescent="0.35">
      <c r="A2662" s="321"/>
      <c r="B2662" s="320" t="str">
        <f>B2656</f>
        <v>PV DN 800</v>
      </c>
      <c r="C2662" s="160"/>
      <c r="D2662" s="161"/>
      <c r="E2662" s="161">
        <f>E2656</f>
        <v>1.5</v>
      </c>
      <c r="F2662" s="161">
        <f>F2656</f>
        <v>1.5</v>
      </c>
      <c r="G2662" s="161">
        <v>1.4</v>
      </c>
      <c r="H2662" s="161">
        <v>0.2</v>
      </c>
      <c r="I2662" s="161">
        <f>2*(E2662+F2662-2*H2662)</f>
        <v>5.2</v>
      </c>
      <c r="J2662" s="161"/>
      <c r="K2662" s="161"/>
      <c r="L2662" s="161"/>
      <c r="M2662" s="161">
        <f>M2656</f>
        <v>10</v>
      </c>
      <c r="N2662" s="334">
        <f>M2662*I2662*G2662</f>
        <v>72.8</v>
      </c>
      <c r="O2662" s="161"/>
    </row>
    <row r="2663" spans="1:15" x14ac:dyDescent="0.35">
      <c r="A2663" s="321"/>
      <c r="B2663" s="320"/>
      <c r="C2663" s="160"/>
      <c r="D2663" s="161"/>
      <c r="E2663" s="161"/>
      <c r="F2663" s="161"/>
      <c r="G2663" s="161"/>
      <c r="H2663" s="161"/>
      <c r="I2663" s="161"/>
      <c r="J2663" s="161"/>
      <c r="K2663" s="161"/>
      <c r="L2663" s="161"/>
      <c r="M2663" s="161"/>
      <c r="N2663" s="334"/>
      <c r="O2663" s="161"/>
    </row>
    <row r="2664" spans="1:15" x14ac:dyDescent="0.35">
      <c r="A2664" s="321"/>
      <c r="B2664" s="318" t="s">
        <v>377</v>
      </c>
      <c r="C2664" s="158" t="s">
        <v>402</v>
      </c>
      <c r="D2664" s="158"/>
      <c r="E2664" s="158"/>
      <c r="F2664" s="158"/>
      <c r="G2664" s="158"/>
      <c r="H2664" s="158"/>
      <c r="I2664" s="158"/>
      <c r="J2664" s="158"/>
      <c r="K2664" s="161"/>
      <c r="L2664" s="158"/>
      <c r="M2664" s="158"/>
      <c r="N2664" s="160">
        <f>SUM(N2660:N2663)</f>
        <v>133.78399999999999</v>
      </c>
      <c r="O2664" s="158"/>
    </row>
    <row r="2665" spans="1:15" ht="42" x14ac:dyDescent="0.35">
      <c r="A2665" s="323" t="str">
        <f>ORÇAMENTO!A462</f>
        <v>5.1.2.8.4</v>
      </c>
      <c r="B2665" s="322" t="str">
        <f>VLOOKUP(A2665,ORÇAMENTO!$A:$F,4,0)</f>
        <v>CONCRETO FCK = 15MPA, TRAÇO 1:3,4:3,5 (EM MASSA SECA DE CIMENTO/ AREIA MÉDIA/ BRITA 1) - PREPARO MECÂNICO COM BETONEIRA 600 L. AF_05/2021</v>
      </c>
      <c r="C2665" s="149" t="str">
        <f>VLOOKUP(A2665,ORÇAMENTO!$A:$F,5,0)</f>
        <v>M³</v>
      </c>
      <c r="D2665" s="149">
        <f>ROUND(SUM(E2679:O2679),2)</f>
        <v>26.18</v>
      </c>
      <c r="E2665" s="149" t="s">
        <v>2149</v>
      </c>
      <c r="F2665" s="149" t="s">
        <v>2150</v>
      </c>
      <c r="G2665" s="149" t="s">
        <v>2151</v>
      </c>
      <c r="H2665" s="149" t="s">
        <v>2152</v>
      </c>
      <c r="I2665" s="149" t="s">
        <v>2153</v>
      </c>
      <c r="J2665" s="149" t="s">
        <v>2154</v>
      </c>
      <c r="K2665" s="149" t="s">
        <v>2155</v>
      </c>
      <c r="L2665" s="149" t="s">
        <v>2239</v>
      </c>
      <c r="M2665" s="149" t="s">
        <v>413</v>
      </c>
      <c r="N2665" s="149" t="s">
        <v>2257</v>
      </c>
      <c r="O2665" s="149" t="s">
        <v>2158</v>
      </c>
    </row>
    <row r="2666" spans="1:15" x14ac:dyDescent="0.35">
      <c r="A2666" s="321"/>
      <c r="B2666" s="320" t="str">
        <f>B2681</f>
        <v>CONFORME DESENHO TIPO</v>
      </c>
      <c r="C2666" s="153"/>
      <c r="D2666" s="154"/>
      <c r="E2666" s="154"/>
      <c r="F2666" s="154"/>
      <c r="G2666" s="154"/>
      <c r="H2666" s="154"/>
      <c r="I2666" s="154"/>
      <c r="J2666" s="154"/>
      <c r="K2666" s="154"/>
      <c r="L2666" s="154"/>
      <c r="M2666" s="154"/>
      <c r="N2666" s="338"/>
      <c r="O2666" s="154"/>
    </row>
    <row r="2667" spans="1:15" x14ac:dyDescent="0.35">
      <c r="A2667" s="336"/>
      <c r="B2667" s="318" t="str">
        <f>B2648</f>
        <v>PV DN 1000</v>
      </c>
      <c r="C2667" s="153"/>
      <c r="D2667" s="153"/>
      <c r="E2667" s="153"/>
      <c r="F2667" s="153"/>
      <c r="G2667" s="153"/>
      <c r="H2667" s="153"/>
      <c r="I2667" s="153"/>
      <c r="J2667" s="153"/>
      <c r="K2667" s="153"/>
      <c r="L2667" s="153"/>
      <c r="M2667" s="153"/>
      <c r="N2667" s="339"/>
      <c r="O2667" s="153"/>
    </row>
    <row r="2668" spans="1:15" x14ac:dyDescent="0.35">
      <c r="A2668" s="321"/>
      <c r="B2668" s="320" t="s">
        <v>2269</v>
      </c>
      <c r="C2668" s="153"/>
      <c r="D2668" s="154"/>
      <c r="E2668" s="154">
        <f>E2687</f>
        <v>1.74</v>
      </c>
      <c r="F2668" s="154">
        <f>F2687</f>
        <v>1.74</v>
      </c>
      <c r="G2668" s="154"/>
      <c r="H2668" s="154">
        <v>0.05</v>
      </c>
      <c r="I2668" s="154"/>
      <c r="J2668" s="154"/>
      <c r="K2668" s="154"/>
      <c r="L2668" s="154"/>
      <c r="M2668" s="154">
        <f>M2648</f>
        <v>8</v>
      </c>
      <c r="N2668" s="338"/>
      <c r="O2668" s="154">
        <f>M2668*E2668*F2668*H2668</f>
        <v>1.2110400000000001</v>
      </c>
    </row>
    <row r="2669" spans="1:15" x14ac:dyDescent="0.35">
      <c r="A2669" s="321"/>
      <c r="B2669" s="320" t="s">
        <v>2270</v>
      </c>
      <c r="C2669" s="153"/>
      <c r="D2669" s="154"/>
      <c r="E2669" s="154">
        <f>F2688</f>
        <v>1.5</v>
      </c>
      <c r="F2669" s="154">
        <f>F2688</f>
        <v>1.5</v>
      </c>
      <c r="G2669" s="154"/>
      <c r="H2669" s="154">
        <v>0.23</v>
      </c>
      <c r="I2669" s="154"/>
      <c r="J2669" s="154"/>
      <c r="K2669" s="154"/>
      <c r="L2669" s="154"/>
      <c r="M2669" s="154">
        <f>M2668</f>
        <v>8</v>
      </c>
      <c r="N2669" s="338"/>
      <c r="O2669" s="154">
        <f>M2669*E2669*F2669*H2669</f>
        <v>4.1400000000000006</v>
      </c>
    </row>
    <row r="2670" spans="1:15" x14ac:dyDescent="0.35">
      <c r="A2670" s="321"/>
      <c r="B2670" s="320"/>
      <c r="C2670" s="153"/>
      <c r="D2670" s="154"/>
      <c r="E2670" s="154"/>
      <c r="F2670" s="154"/>
      <c r="G2670" s="154"/>
      <c r="H2670" s="154"/>
      <c r="I2670" s="154"/>
      <c r="J2670" s="154"/>
      <c r="K2670" s="154"/>
      <c r="L2670" s="154"/>
      <c r="M2670" s="154"/>
      <c r="N2670" s="338"/>
      <c r="O2670" s="154"/>
    </row>
    <row r="2671" spans="1:15" x14ac:dyDescent="0.35">
      <c r="A2671" s="336"/>
      <c r="B2671" s="318" t="str">
        <f>B2649</f>
        <v>PV DN 1200</v>
      </c>
      <c r="C2671" s="153"/>
      <c r="D2671" s="153"/>
      <c r="E2671" s="153"/>
      <c r="F2671" s="153"/>
      <c r="G2671" s="153"/>
      <c r="H2671" s="153"/>
      <c r="I2671" s="153"/>
      <c r="J2671" s="153"/>
      <c r="K2671" s="153"/>
      <c r="L2671" s="153"/>
      <c r="M2671" s="153"/>
      <c r="N2671" s="339"/>
      <c r="O2671" s="153"/>
    </row>
    <row r="2672" spans="1:15" x14ac:dyDescent="0.35">
      <c r="A2672" s="321"/>
      <c r="B2672" s="320" t="s">
        <v>2269</v>
      </c>
      <c r="C2672" s="153"/>
      <c r="D2672" s="154"/>
      <c r="E2672" s="154">
        <f>E2691</f>
        <v>2.04</v>
      </c>
      <c r="F2672" s="154">
        <f>F2691</f>
        <v>2.04</v>
      </c>
      <c r="G2672" s="154"/>
      <c r="H2672" s="154">
        <v>0.05</v>
      </c>
      <c r="I2672" s="154"/>
      <c r="J2672" s="154"/>
      <c r="K2672" s="154"/>
      <c r="L2672" s="154"/>
      <c r="M2672" s="154">
        <f>M2649</f>
        <v>6</v>
      </c>
      <c r="N2672" s="338"/>
      <c r="O2672" s="154">
        <f>M2672*E2672*F2672*H2672</f>
        <v>1.24848</v>
      </c>
    </row>
    <row r="2673" spans="1:15" x14ac:dyDescent="0.35">
      <c r="A2673" s="321"/>
      <c r="B2673" s="320" t="s">
        <v>2270</v>
      </c>
      <c r="C2673" s="153"/>
      <c r="D2673" s="154"/>
      <c r="E2673" s="154">
        <f>F2692</f>
        <v>1.8</v>
      </c>
      <c r="F2673" s="154">
        <f>F2692</f>
        <v>1.8</v>
      </c>
      <c r="G2673" s="154"/>
      <c r="H2673" s="154">
        <v>0.28999999999999998</v>
      </c>
      <c r="I2673" s="154"/>
      <c r="J2673" s="154"/>
      <c r="K2673" s="154"/>
      <c r="L2673" s="154"/>
      <c r="M2673" s="154">
        <f>M2672</f>
        <v>6</v>
      </c>
      <c r="N2673" s="338"/>
      <c r="O2673" s="154">
        <f>M2673*E2673*F2673*H2673</f>
        <v>5.6375999999999999</v>
      </c>
    </row>
    <row r="2674" spans="1:15" x14ac:dyDescent="0.35">
      <c r="A2674" s="321"/>
      <c r="B2674" s="320"/>
      <c r="C2674" s="153"/>
      <c r="D2674" s="154"/>
      <c r="E2674" s="154"/>
      <c r="F2674" s="154"/>
      <c r="G2674" s="154"/>
      <c r="H2674" s="154"/>
      <c r="I2674" s="154"/>
      <c r="J2674" s="154"/>
      <c r="K2674" s="154"/>
      <c r="L2674" s="154"/>
      <c r="M2674" s="154"/>
      <c r="N2674" s="338"/>
      <c r="O2674" s="154"/>
    </row>
    <row r="2675" spans="1:15" x14ac:dyDescent="0.35">
      <c r="A2675" s="321"/>
      <c r="B2675" s="318" t="str">
        <f>B2650</f>
        <v>PV DN 1500</v>
      </c>
      <c r="C2675" s="153"/>
      <c r="D2675" s="154"/>
      <c r="E2675" s="154"/>
      <c r="F2675" s="154"/>
      <c r="G2675" s="154"/>
      <c r="H2675" s="154"/>
      <c r="I2675" s="154"/>
      <c r="J2675" s="154"/>
      <c r="K2675" s="154"/>
      <c r="L2675" s="154"/>
      <c r="M2675" s="154"/>
      <c r="N2675" s="338"/>
      <c r="O2675" s="154"/>
    </row>
    <row r="2676" spans="1:15" x14ac:dyDescent="0.35">
      <c r="A2676" s="321"/>
      <c r="B2676" s="320" t="s">
        <v>2269</v>
      </c>
      <c r="C2676" s="153"/>
      <c r="D2676" s="154"/>
      <c r="E2676" s="154">
        <f>E2695</f>
        <v>2.44</v>
      </c>
      <c r="F2676" s="154">
        <f>F2695</f>
        <v>2.44</v>
      </c>
      <c r="G2676" s="154"/>
      <c r="H2676" s="154">
        <v>0.05</v>
      </c>
      <c r="I2676" s="154"/>
      <c r="J2676" s="154"/>
      <c r="K2676" s="154"/>
      <c r="L2676" s="154"/>
      <c r="M2676" s="154">
        <f>M2695</f>
        <v>7</v>
      </c>
      <c r="N2676" s="338"/>
      <c r="O2676" s="154">
        <f>M2676*E2676*F2676*H2676</f>
        <v>2.0837599999999998</v>
      </c>
    </row>
    <row r="2677" spans="1:15" x14ac:dyDescent="0.35">
      <c r="A2677" s="321"/>
      <c r="B2677" s="320" t="s">
        <v>2270</v>
      </c>
      <c r="C2677" s="153"/>
      <c r="D2677" s="154"/>
      <c r="E2677" s="154">
        <f>F2696</f>
        <v>2.2000000000000002</v>
      </c>
      <c r="F2677" s="154">
        <f>F2696</f>
        <v>2.2000000000000002</v>
      </c>
      <c r="G2677" s="154"/>
      <c r="H2677" s="154">
        <v>0.35</v>
      </c>
      <c r="I2677" s="154"/>
      <c r="J2677" s="154"/>
      <c r="K2677" s="154"/>
      <c r="L2677" s="154"/>
      <c r="M2677" s="154">
        <f>M2696</f>
        <v>7</v>
      </c>
      <c r="N2677" s="338"/>
      <c r="O2677" s="154">
        <f>M2677*E2677*F2677*H2677</f>
        <v>11.858000000000002</v>
      </c>
    </row>
    <row r="2678" spans="1:15" x14ac:dyDescent="0.35">
      <c r="A2678" s="321"/>
      <c r="B2678" s="320"/>
      <c r="C2678" s="153"/>
      <c r="D2678" s="154"/>
      <c r="E2678" s="154"/>
      <c r="F2678" s="154"/>
      <c r="G2678" s="154"/>
      <c r="H2678" s="154"/>
      <c r="I2678" s="154"/>
      <c r="J2678" s="154"/>
      <c r="K2678" s="154"/>
      <c r="L2678" s="154"/>
      <c r="M2678" s="154"/>
      <c r="N2678" s="338"/>
      <c r="O2678" s="154"/>
    </row>
    <row r="2679" spans="1:15" x14ac:dyDescent="0.35">
      <c r="A2679" s="321"/>
      <c r="B2679" s="318" t="s">
        <v>377</v>
      </c>
      <c r="C2679" s="158" t="s">
        <v>402</v>
      </c>
      <c r="D2679" s="158"/>
      <c r="E2679" s="158"/>
      <c r="F2679" s="158"/>
      <c r="G2679" s="158"/>
      <c r="H2679" s="158"/>
      <c r="I2679" s="158"/>
      <c r="J2679" s="158"/>
      <c r="K2679" s="154"/>
      <c r="L2679" s="158"/>
      <c r="M2679" s="158"/>
      <c r="N2679" s="153"/>
      <c r="O2679" s="153">
        <f>SUM(O2666:O2678)</f>
        <v>26.178880000000003</v>
      </c>
    </row>
    <row r="2680" spans="1:15" ht="42" x14ac:dyDescent="0.35">
      <c r="A2680" s="323" t="str">
        <f>ORÇAMENTO!A463</f>
        <v>5.1.2.8.5</v>
      </c>
      <c r="B2680" s="322" t="str">
        <f>VLOOKUP(A2680,ORÇAMENTO!$A:$F,4,0)</f>
        <v>CONCRETO FCK = 25MPA, TRAÇO 1:2,3:2,7 (EM MASSA SECA DE CIMENTO/ AREIA MÉDIA/ BRITA 1) - PREPARO MECÂNICO COM BETONEIRA 600 L. AF_05/2021</v>
      </c>
      <c r="C2680" s="149" t="str">
        <f>VLOOKUP(A2680,ORÇAMENTO!$A:$F,5,0)</f>
        <v>M³</v>
      </c>
      <c r="D2680" s="149">
        <f>ROUND(SUM(E2699:O2699),2)</f>
        <v>69.959999999999994</v>
      </c>
      <c r="E2680" s="149" t="s">
        <v>2149</v>
      </c>
      <c r="F2680" s="149" t="s">
        <v>2150</v>
      </c>
      <c r="G2680" s="149" t="s">
        <v>2151</v>
      </c>
      <c r="H2680" s="149" t="s">
        <v>2152</v>
      </c>
      <c r="I2680" s="149" t="s">
        <v>2153</v>
      </c>
      <c r="J2680" s="149" t="s">
        <v>2154</v>
      </c>
      <c r="K2680" s="149" t="s">
        <v>2155</v>
      </c>
      <c r="L2680" s="149" t="s">
        <v>2239</v>
      </c>
      <c r="M2680" s="149" t="s">
        <v>413</v>
      </c>
      <c r="N2680" s="149" t="s">
        <v>2244</v>
      </c>
      <c r="O2680" s="149" t="s">
        <v>2158</v>
      </c>
    </row>
    <row r="2681" spans="1:15" x14ac:dyDescent="0.35">
      <c r="A2681" s="321"/>
      <c r="B2681" s="320" t="str">
        <f>B2660</f>
        <v>CONFORME DESENHO TIPO</v>
      </c>
      <c r="C2681" s="160"/>
      <c r="D2681" s="161"/>
      <c r="E2681" s="161"/>
      <c r="F2681" s="161"/>
      <c r="G2681" s="161"/>
      <c r="H2681" s="161"/>
      <c r="I2681" s="161"/>
      <c r="J2681" s="161"/>
      <c r="K2681" s="161"/>
      <c r="L2681" s="161"/>
      <c r="M2681" s="161"/>
      <c r="N2681" s="334"/>
      <c r="O2681" s="161"/>
    </row>
    <row r="2682" spans="1:15" x14ac:dyDescent="0.35">
      <c r="A2682" s="336"/>
      <c r="B2682" s="318" t="str">
        <f>B2655</f>
        <v>PV DN 600</v>
      </c>
      <c r="C2682" s="160"/>
      <c r="D2682" s="160"/>
      <c r="E2682" s="160">
        <f>E2661</f>
        <v>1.08</v>
      </c>
      <c r="F2682" s="160">
        <f>F2661</f>
        <v>1.08</v>
      </c>
      <c r="G2682" s="160"/>
      <c r="H2682" s="160"/>
      <c r="I2682" s="160"/>
      <c r="J2682" s="160"/>
      <c r="K2682" s="160"/>
      <c r="L2682" s="160"/>
      <c r="M2682" s="160"/>
      <c r="N2682" s="335"/>
      <c r="O2682" s="160"/>
    </row>
    <row r="2683" spans="1:15" x14ac:dyDescent="0.35">
      <c r="A2683" s="321"/>
      <c r="B2683" s="320" t="s">
        <v>2271</v>
      </c>
      <c r="C2683" s="160"/>
      <c r="D2683" s="161"/>
      <c r="E2683" s="161">
        <f>E2682</f>
        <v>1.08</v>
      </c>
      <c r="F2683" s="161">
        <f>F2682</f>
        <v>1.08</v>
      </c>
      <c r="G2683" s="161"/>
      <c r="H2683" s="161">
        <v>0.1</v>
      </c>
      <c r="I2683" s="161"/>
      <c r="J2683" s="161"/>
      <c r="K2683" s="161"/>
      <c r="L2683" s="161"/>
      <c r="M2683" s="161">
        <f>M2655</f>
        <v>11</v>
      </c>
      <c r="N2683" s="334"/>
      <c r="O2683" s="161">
        <f>E2683*F2683*H2683*M2683</f>
        <v>1.2830400000000002</v>
      </c>
    </row>
    <row r="2684" spans="1:15" x14ac:dyDescent="0.35">
      <c r="A2684" s="336"/>
      <c r="B2684" s="318" t="str">
        <f>B2656</f>
        <v>PV DN 800</v>
      </c>
      <c r="C2684" s="160"/>
      <c r="D2684" s="160"/>
      <c r="E2684" s="160">
        <f>E2662</f>
        <v>1.5</v>
      </c>
      <c r="F2684" s="160">
        <f>F2662</f>
        <v>1.5</v>
      </c>
      <c r="G2684" s="160"/>
      <c r="H2684" s="160"/>
      <c r="I2684" s="160"/>
      <c r="J2684" s="160"/>
      <c r="K2684" s="160"/>
      <c r="L2684" s="160"/>
      <c r="M2684" s="160"/>
      <c r="N2684" s="335"/>
      <c r="O2684" s="160"/>
    </row>
    <row r="2685" spans="1:15" x14ac:dyDescent="0.35">
      <c r="A2685" s="321"/>
      <c r="B2685" s="320" t="s">
        <v>2271</v>
      </c>
      <c r="C2685" s="160"/>
      <c r="D2685" s="161"/>
      <c r="E2685" s="161">
        <f>E2684</f>
        <v>1.5</v>
      </c>
      <c r="F2685" s="161">
        <f>F2684</f>
        <v>1.5</v>
      </c>
      <c r="G2685" s="161"/>
      <c r="H2685" s="161">
        <v>0.1</v>
      </c>
      <c r="I2685" s="161"/>
      <c r="J2685" s="161"/>
      <c r="K2685" s="161"/>
      <c r="L2685" s="161"/>
      <c r="M2685" s="161">
        <f>M2656</f>
        <v>10</v>
      </c>
      <c r="N2685" s="334"/>
      <c r="O2685" s="161">
        <f>E2685*F2685*H2685*M2685</f>
        <v>2.25</v>
      </c>
    </row>
    <row r="2686" spans="1:15" x14ac:dyDescent="0.35">
      <c r="A2686" s="336"/>
      <c r="B2686" s="318" t="str">
        <f>B2667</f>
        <v>PV DN 1000</v>
      </c>
      <c r="C2686" s="160"/>
      <c r="D2686" s="160"/>
      <c r="E2686" s="160">
        <v>1.74</v>
      </c>
      <c r="F2686" s="160">
        <v>1.74</v>
      </c>
      <c r="G2686" s="160"/>
      <c r="H2686" s="160"/>
      <c r="I2686" s="160"/>
      <c r="J2686" s="160"/>
      <c r="K2686" s="160"/>
      <c r="L2686" s="160"/>
      <c r="M2686" s="160"/>
      <c r="N2686" s="335"/>
      <c r="O2686" s="160"/>
    </row>
    <row r="2687" spans="1:15" x14ac:dyDescent="0.35">
      <c r="A2687" s="321"/>
      <c r="B2687" s="320" t="s">
        <v>2271</v>
      </c>
      <c r="C2687" s="160"/>
      <c r="D2687" s="161"/>
      <c r="E2687" s="161">
        <f>E2686</f>
        <v>1.74</v>
      </c>
      <c r="F2687" s="161">
        <f>F2686</f>
        <v>1.74</v>
      </c>
      <c r="G2687" s="161"/>
      <c r="H2687" s="161">
        <v>0.1</v>
      </c>
      <c r="I2687" s="161"/>
      <c r="J2687" s="161"/>
      <c r="K2687" s="161"/>
      <c r="L2687" s="161"/>
      <c r="M2687" s="161">
        <f>M2648</f>
        <v>8</v>
      </c>
      <c r="N2687" s="334"/>
      <c r="O2687" s="161">
        <f>E2687*F2687*H2687*M2687</f>
        <v>2.4220800000000002</v>
      </c>
    </row>
    <row r="2688" spans="1:15" x14ac:dyDescent="0.35">
      <c r="A2688" s="321"/>
      <c r="B2688" s="320" t="s">
        <v>2272</v>
      </c>
      <c r="C2688" s="153"/>
      <c r="D2688" s="154"/>
      <c r="E2688" s="154">
        <f>E2687</f>
        <v>1.74</v>
      </c>
      <c r="F2688" s="154">
        <f>F2687-2*H2688</f>
        <v>1.5</v>
      </c>
      <c r="G2688" s="154">
        <v>2</v>
      </c>
      <c r="H2688" s="154">
        <v>0.12</v>
      </c>
      <c r="I2688" s="154">
        <f>2*(E2688+F2688)</f>
        <v>6.48</v>
      </c>
      <c r="J2688" s="154"/>
      <c r="K2688" s="154"/>
      <c r="L2688" s="154"/>
      <c r="M2688" s="154">
        <f>M2687</f>
        <v>8</v>
      </c>
      <c r="N2688" s="338"/>
      <c r="O2688" s="154">
        <f>M2688*I2688*G2688*H2688</f>
        <v>12.441600000000001</v>
      </c>
    </row>
    <row r="2689" spans="1:15" x14ac:dyDescent="0.35">
      <c r="A2689" s="321"/>
      <c r="B2689" s="320" t="s">
        <v>2254</v>
      </c>
      <c r="C2689" s="153"/>
      <c r="D2689" s="154"/>
      <c r="E2689" s="154">
        <f>F2688</f>
        <v>1.5</v>
      </c>
      <c r="F2689" s="154">
        <f>F2688</f>
        <v>1.5</v>
      </c>
      <c r="G2689" s="154"/>
      <c r="H2689" s="154">
        <v>0.35</v>
      </c>
      <c r="I2689" s="154"/>
      <c r="J2689" s="154"/>
      <c r="K2689" s="154"/>
      <c r="L2689" s="154"/>
      <c r="M2689" s="154">
        <f>M2688</f>
        <v>8</v>
      </c>
      <c r="N2689" s="338"/>
      <c r="O2689" s="154">
        <f>M2689*H2689*F2689*E2689</f>
        <v>6.2999999999999989</v>
      </c>
    </row>
    <row r="2690" spans="1:15" x14ac:dyDescent="0.35">
      <c r="A2690" s="336"/>
      <c r="B2690" s="318" t="str">
        <f>B2671</f>
        <v>PV DN 1200</v>
      </c>
      <c r="C2690" s="160"/>
      <c r="D2690" s="160"/>
      <c r="E2690" s="160">
        <v>2.04</v>
      </c>
      <c r="F2690" s="160">
        <v>2.04</v>
      </c>
      <c r="G2690" s="160"/>
      <c r="H2690" s="160"/>
      <c r="I2690" s="160"/>
      <c r="J2690" s="160"/>
      <c r="K2690" s="160"/>
      <c r="L2690" s="160"/>
      <c r="M2690" s="160"/>
      <c r="N2690" s="335"/>
      <c r="O2690" s="160"/>
    </row>
    <row r="2691" spans="1:15" x14ac:dyDescent="0.35">
      <c r="A2691" s="321"/>
      <c r="B2691" s="320" t="s">
        <v>2271</v>
      </c>
      <c r="C2691" s="160"/>
      <c r="D2691" s="161"/>
      <c r="E2691" s="161">
        <f>E2690</f>
        <v>2.04</v>
      </c>
      <c r="F2691" s="161">
        <f>F2690</f>
        <v>2.04</v>
      </c>
      <c r="G2691" s="161"/>
      <c r="H2691" s="161">
        <v>0.1</v>
      </c>
      <c r="I2691" s="161"/>
      <c r="J2691" s="161"/>
      <c r="K2691" s="161"/>
      <c r="L2691" s="161"/>
      <c r="M2691" s="161">
        <f>M2672</f>
        <v>6</v>
      </c>
      <c r="N2691" s="334"/>
      <c r="O2691" s="161">
        <f>E2691*F2691*H2691*M2691</f>
        <v>2.4969600000000001</v>
      </c>
    </row>
    <row r="2692" spans="1:15" x14ac:dyDescent="0.35">
      <c r="A2692" s="321"/>
      <c r="B2692" s="320" t="s">
        <v>2272</v>
      </c>
      <c r="C2692" s="153"/>
      <c r="D2692" s="154"/>
      <c r="E2692" s="154">
        <f>E2691</f>
        <v>2.04</v>
      </c>
      <c r="F2692" s="154">
        <f>F2691-2*H2692</f>
        <v>1.8</v>
      </c>
      <c r="G2692" s="154">
        <v>2</v>
      </c>
      <c r="H2692" s="154">
        <v>0.12</v>
      </c>
      <c r="I2692" s="154">
        <f>2*(E2692+F2692)</f>
        <v>7.68</v>
      </c>
      <c r="J2692" s="154"/>
      <c r="K2692" s="154"/>
      <c r="L2692" s="154"/>
      <c r="M2692" s="154">
        <f>M2691</f>
        <v>6</v>
      </c>
      <c r="N2692" s="338"/>
      <c r="O2692" s="154">
        <f>M2692*I2692*G2692*H2692</f>
        <v>11.059199999999999</v>
      </c>
    </row>
    <row r="2693" spans="1:15" x14ac:dyDescent="0.35">
      <c r="A2693" s="321"/>
      <c r="B2693" s="320" t="s">
        <v>2254</v>
      </c>
      <c r="C2693" s="153"/>
      <c r="D2693" s="154"/>
      <c r="E2693" s="154">
        <f>F2692</f>
        <v>1.8</v>
      </c>
      <c r="F2693" s="154">
        <f>F2692</f>
        <v>1.8</v>
      </c>
      <c r="G2693" s="154"/>
      <c r="H2693" s="154">
        <v>0.28000000000000003</v>
      </c>
      <c r="I2693" s="154"/>
      <c r="J2693" s="154"/>
      <c r="K2693" s="154"/>
      <c r="L2693" s="154"/>
      <c r="M2693" s="154">
        <f>M2692</f>
        <v>6</v>
      </c>
      <c r="N2693" s="338"/>
      <c r="O2693" s="154">
        <f>M2693*H2693*F2693*E2693</f>
        <v>5.4432000000000009</v>
      </c>
    </row>
    <row r="2694" spans="1:15" x14ac:dyDescent="0.35">
      <c r="A2694" s="336"/>
      <c r="B2694" s="318" t="str">
        <f>B2675</f>
        <v>PV DN 1500</v>
      </c>
      <c r="C2694" s="160"/>
      <c r="D2694" s="160"/>
      <c r="E2694" s="160">
        <v>2.44</v>
      </c>
      <c r="F2694" s="160">
        <v>2.44</v>
      </c>
      <c r="G2694" s="160"/>
      <c r="H2694" s="160"/>
      <c r="I2694" s="160"/>
      <c r="J2694" s="160"/>
      <c r="K2694" s="160"/>
      <c r="L2694" s="160"/>
      <c r="M2694" s="160"/>
      <c r="N2694" s="335"/>
      <c r="O2694" s="160"/>
    </row>
    <row r="2695" spans="1:15" x14ac:dyDescent="0.35">
      <c r="A2695" s="321"/>
      <c r="B2695" s="320" t="s">
        <v>2271</v>
      </c>
      <c r="C2695" s="160"/>
      <c r="D2695" s="161"/>
      <c r="E2695" s="161">
        <f>E2694</f>
        <v>2.44</v>
      </c>
      <c r="F2695" s="161">
        <f>F2694</f>
        <v>2.44</v>
      </c>
      <c r="G2695" s="161"/>
      <c r="H2695" s="161">
        <v>0.1</v>
      </c>
      <c r="I2695" s="161"/>
      <c r="J2695" s="161"/>
      <c r="K2695" s="161"/>
      <c r="L2695" s="161"/>
      <c r="M2695" s="161">
        <f>M2650</f>
        <v>7</v>
      </c>
      <c r="N2695" s="334"/>
      <c r="O2695" s="161">
        <f>E2695*F2695*H2695*M2695</f>
        <v>4.1675199999999997</v>
      </c>
    </row>
    <row r="2696" spans="1:15" x14ac:dyDescent="0.35">
      <c r="A2696" s="321"/>
      <c r="B2696" s="320" t="s">
        <v>2272</v>
      </c>
      <c r="C2696" s="160"/>
      <c r="D2696" s="161"/>
      <c r="E2696" s="161">
        <f>E2695</f>
        <v>2.44</v>
      </c>
      <c r="F2696" s="161">
        <f>F2695-2*H2696</f>
        <v>2.2000000000000002</v>
      </c>
      <c r="G2696" s="161">
        <v>2.4</v>
      </c>
      <c r="H2696" s="161">
        <v>0.12</v>
      </c>
      <c r="I2696" s="161">
        <f>2*(E2696+F2696)</f>
        <v>9.2800000000000011</v>
      </c>
      <c r="J2696" s="161"/>
      <c r="K2696" s="161"/>
      <c r="L2696" s="161"/>
      <c r="M2696" s="161">
        <f>M2695</f>
        <v>7</v>
      </c>
      <c r="N2696" s="334"/>
      <c r="O2696" s="161">
        <f>M2696*I2696*G2696*H2696</f>
        <v>18.708480000000002</v>
      </c>
    </row>
    <row r="2697" spans="1:15" x14ac:dyDescent="0.35">
      <c r="A2697" s="321"/>
      <c r="B2697" s="320" t="s">
        <v>2254</v>
      </c>
      <c r="C2697" s="160"/>
      <c r="D2697" s="161"/>
      <c r="E2697" s="161">
        <f>F2696</f>
        <v>2.2000000000000002</v>
      </c>
      <c r="F2697" s="161">
        <f>F2696</f>
        <v>2.2000000000000002</v>
      </c>
      <c r="G2697" s="161"/>
      <c r="H2697" s="161">
        <v>0.1</v>
      </c>
      <c r="I2697" s="161"/>
      <c r="J2697" s="161"/>
      <c r="K2697" s="161"/>
      <c r="L2697" s="161"/>
      <c r="M2697" s="161">
        <f>M2696</f>
        <v>7</v>
      </c>
      <c r="N2697" s="334"/>
      <c r="O2697" s="161">
        <f>M2697*H2697*F2697*E2697</f>
        <v>3.3880000000000008</v>
      </c>
    </row>
    <row r="2698" spans="1:15" x14ac:dyDescent="0.35">
      <c r="A2698" s="321"/>
      <c r="B2698" s="320"/>
      <c r="C2698" s="160"/>
      <c r="D2698" s="161"/>
      <c r="E2698" s="161"/>
      <c r="F2698" s="161"/>
      <c r="G2698" s="161"/>
      <c r="H2698" s="161"/>
      <c r="I2698" s="161"/>
      <c r="J2698" s="161"/>
      <c r="K2698" s="161"/>
      <c r="L2698" s="161"/>
      <c r="M2698" s="161"/>
      <c r="N2698" s="334"/>
      <c r="O2698" s="161"/>
    </row>
    <row r="2699" spans="1:15" x14ac:dyDescent="0.35">
      <c r="A2699" s="321"/>
      <c r="B2699" s="318" t="s">
        <v>377</v>
      </c>
      <c r="C2699" s="158" t="s">
        <v>402</v>
      </c>
      <c r="D2699" s="158"/>
      <c r="E2699" s="158"/>
      <c r="F2699" s="158"/>
      <c r="G2699" s="158"/>
      <c r="H2699" s="158"/>
      <c r="I2699" s="158"/>
      <c r="J2699" s="158"/>
      <c r="K2699" s="161"/>
      <c r="L2699" s="158"/>
      <c r="M2699" s="158"/>
      <c r="N2699" s="160"/>
      <c r="O2699" s="160">
        <f>SUM(O2681:O2698)</f>
        <v>69.960080000000005</v>
      </c>
    </row>
    <row r="2700" spans="1:15" ht="31.5" x14ac:dyDescent="0.35">
      <c r="A2700" s="323" t="str">
        <f>ORÇAMENTO!A464</f>
        <v>5.1.2.8.6</v>
      </c>
      <c r="B2700" s="322" t="str">
        <f>VLOOKUP(A2700,ORÇAMENTO!$A:$F,4,0)</f>
        <v>FÔRMAS DE TÁBUAS DE PINHO PARA DISPOSITIVOS DE DRENAGEM - UTILIZAÇÃO DE 3 VEZES - CONFECÇÃO, INSTALAÇÃO E RETIRADA</v>
      </c>
      <c r="C2700" s="149" t="str">
        <f>VLOOKUP(A2700,ORÇAMENTO!$A:$F,5,0)</f>
        <v>M²</v>
      </c>
      <c r="D2700" s="149">
        <f>ROUND(SUM(E2719:O2719),2)</f>
        <v>869.49</v>
      </c>
      <c r="E2700" s="149" t="s">
        <v>2149</v>
      </c>
      <c r="F2700" s="149" t="s">
        <v>2150</v>
      </c>
      <c r="G2700" s="149" t="s">
        <v>2151</v>
      </c>
      <c r="H2700" s="149" t="s">
        <v>2152</v>
      </c>
      <c r="I2700" s="149" t="s">
        <v>2153</v>
      </c>
      <c r="J2700" s="149" t="s">
        <v>2154</v>
      </c>
      <c r="K2700" s="149" t="s">
        <v>2155</v>
      </c>
      <c r="L2700" s="149" t="s">
        <v>2239</v>
      </c>
      <c r="M2700" s="149" t="s">
        <v>413</v>
      </c>
      <c r="N2700" s="149" t="s">
        <v>2257</v>
      </c>
      <c r="O2700" s="149" t="s">
        <v>2158</v>
      </c>
    </row>
    <row r="2701" spans="1:15" x14ac:dyDescent="0.35">
      <c r="A2701" s="321"/>
      <c r="B2701" s="320"/>
      <c r="C2701" s="153"/>
      <c r="D2701" s="154"/>
      <c r="E2701" s="154"/>
      <c r="F2701" s="154"/>
      <c r="G2701" s="154"/>
      <c r="H2701" s="154"/>
      <c r="I2701" s="154"/>
      <c r="J2701" s="154"/>
      <c r="K2701" s="154"/>
      <c r="L2701" s="154"/>
      <c r="M2701" s="154"/>
      <c r="N2701" s="338"/>
      <c r="O2701" s="154"/>
    </row>
    <row r="2702" spans="1:15" x14ac:dyDescent="0.35">
      <c r="A2702" s="336"/>
      <c r="B2702" s="318" t="str">
        <f t="shared" ref="B2702:B2717" si="83">B2682</f>
        <v>PV DN 600</v>
      </c>
      <c r="C2702" s="153"/>
      <c r="D2702" s="153"/>
      <c r="E2702" s="153">
        <f t="shared" ref="E2702:F2717" si="84">E2682</f>
        <v>1.08</v>
      </c>
      <c r="F2702" s="153">
        <f t="shared" si="84"/>
        <v>1.08</v>
      </c>
      <c r="G2702" s="153"/>
      <c r="H2702" s="153"/>
      <c r="I2702" s="153"/>
      <c r="J2702" s="153"/>
      <c r="K2702" s="153"/>
      <c r="L2702" s="153"/>
      <c r="M2702" s="153"/>
      <c r="N2702" s="339"/>
      <c r="O2702" s="153"/>
    </row>
    <row r="2703" spans="1:15" x14ac:dyDescent="0.35">
      <c r="A2703" s="321"/>
      <c r="B2703" s="320" t="str">
        <f t="shared" si="83"/>
        <v>TAMPA</v>
      </c>
      <c r="C2703" s="153"/>
      <c r="D2703" s="154"/>
      <c r="E2703" s="154">
        <f t="shared" si="84"/>
        <v>1.08</v>
      </c>
      <c r="F2703" s="154">
        <f t="shared" si="84"/>
        <v>1.08</v>
      </c>
      <c r="G2703" s="154"/>
      <c r="H2703" s="154">
        <f>H2683</f>
        <v>0.1</v>
      </c>
      <c r="I2703" s="154">
        <f>2*(E2703+F2703)</f>
        <v>4.32</v>
      </c>
      <c r="J2703" s="154"/>
      <c r="K2703" s="154"/>
      <c r="L2703" s="154"/>
      <c r="M2703" s="154">
        <f>M2683</f>
        <v>11</v>
      </c>
      <c r="N2703" s="338">
        <f>M2703*I2703*H2703+M2703*F2703*E2703</f>
        <v>17.5824</v>
      </c>
      <c r="O2703" s="154"/>
    </row>
    <row r="2704" spans="1:15" x14ac:dyDescent="0.35">
      <c r="A2704" s="321"/>
      <c r="B2704" s="318" t="str">
        <f t="shared" si="83"/>
        <v>PV DN 800</v>
      </c>
      <c r="C2704" s="153"/>
      <c r="D2704" s="154"/>
      <c r="E2704" s="153">
        <f t="shared" si="84"/>
        <v>1.5</v>
      </c>
      <c r="F2704" s="153">
        <f t="shared" si="84"/>
        <v>1.5</v>
      </c>
      <c r="G2704" s="154"/>
      <c r="H2704" s="154"/>
      <c r="I2704" s="154"/>
      <c r="J2704" s="154"/>
      <c r="K2704" s="154"/>
      <c r="L2704" s="154"/>
      <c r="M2704" s="154"/>
      <c r="N2704" s="338"/>
      <c r="O2704" s="154"/>
    </row>
    <row r="2705" spans="1:15" x14ac:dyDescent="0.35">
      <c r="A2705" s="321"/>
      <c r="B2705" s="320" t="str">
        <f t="shared" si="83"/>
        <v>TAMPA</v>
      </c>
      <c r="C2705" s="153"/>
      <c r="D2705" s="154"/>
      <c r="E2705" s="154">
        <f t="shared" si="84"/>
        <v>1.5</v>
      </c>
      <c r="F2705" s="154">
        <f t="shared" si="84"/>
        <v>1.5</v>
      </c>
      <c r="G2705" s="154"/>
      <c r="H2705" s="154"/>
      <c r="I2705" s="154"/>
      <c r="J2705" s="154"/>
      <c r="K2705" s="154"/>
      <c r="L2705" s="154"/>
      <c r="M2705" s="154">
        <f>M2685</f>
        <v>10</v>
      </c>
      <c r="N2705" s="338">
        <f>M2705*I2705*H2705+M2705*F2705*E2705</f>
        <v>22.5</v>
      </c>
      <c r="O2705" s="154"/>
    </row>
    <row r="2706" spans="1:15" x14ac:dyDescent="0.35">
      <c r="A2706" s="336"/>
      <c r="B2706" s="318" t="str">
        <f t="shared" si="83"/>
        <v>PV DN 1000</v>
      </c>
      <c r="C2706" s="153"/>
      <c r="D2706" s="153"/>
      <c r="E2706" s="153">
        <f t="shared" si="84"/>
        <v>1.74</v>
      </c>
      <c r="F2706" s="153">
        <f t="shared" si="84"/>
        <v>1.74</v>
      </c>
      <c r="G2706" s="153"/>
      <c r="H2706" s="153"/>
      <c r="I2706" s="153"/>
      <c r="J2706" s="153"/>
      <c r="K2706" s="153"/>
      <c r="L2706" s="153"/>
      <c r="M2706" s="153"/>
      <c r="N2706" s="339"/>
      <c r="O2706" s="153"/>
    </row>
    <row r="2707" spans="1:15" x14ac:dyDescent="0.35">
      <c r="A2707" s="321"/>
      <c r="B2707" s="320" t="str">
        <f t="shared" si="83"/>
        <v>TAMPA</v>
      </c>
      <c r="C2707" s="153"/>
      <c r="D2707" s="154"/>
      <c r="E2707" s="154">
        <f t="shared" si="84"/>
        <v>1.74</v>
      </c>
      <c r="F2707" s="154">
        <f t="shared" si="84"/>
        <v>1.74</v>
      </c>
      <c r="G2707" s="154"/>
      <c r="H2707" s="154"/>
      <c r="I2707" s="154"/>
      <c r="J2707" s="154"/>
      <c r="K2707" s="154"/>
      <c r="L2707" s="154"/>
      <c r="M2707" s="154">
        <f>M2687</f>
        <v>8</v>
      </c>
      <c r="N2707" s="338">
        <f>M2707*I2707*H2707+M2707*F2707*E2707</f>
        <v>24.220800000000001</v>
      </c>
      <c r="O2707" s="154"/>
    </row>
    <row r="2708" spans="1:15" x14ac:dyDescent="0.35">
      <c r="A2708" s="321"/>
      <c r="B2708" s="320" t="str">
        <f t="shared" si="83"/>
        <v>PAREDES</v>
      </c>
      <c r="C2708" s="153"/>
      <c r="D2708" s="154"/>
      <c r="E2708" s="154">
        <f t="shared" si="84"/>
        <v>1.74</v>
      </c>
      <c r="F2708" s="154">
        <f t="shared" si="84"/>
        <v>1.5</v>
      </c>
      <c r="G2708" s="154">
        <f>G2688</f>
        <v>2</v>
      </c>
      <c r="H2708" s="154">
        <f>H2688</f>
        <v>0.12</v>
      </c>
      <c r="I2708" s="154">
        <f>I2688</f>
        <v>6.48</v>
      </c>
      <c r="J2708" s="154"/>
      <c r="K2708" s="154"/>
      <c r="L2708" s="154"/>
      <c r="M2708" s="154">
        <f>M2688</f>
        <v>8</v>
      </c>
      <c r="N2708" s="338">
        <f>2*M2708*I2708*G2708</f>
        <v>207.36</v>
      </c>
      <c r="O2708" s="154"/>
    </row>
    <row r="2709" spans="1:15" x14ac:dyDescent="0.35">
      <c r="A2709" s="321"/>
      <c r="B2709" s="320" t="str">
        <f t="shared" si="83"/>
        <v>FUNDO</v>
      </c>
      <c r="C2709" s="153"/>
      <c r="D2709" s="154"/>
      <c r="E2709" s="154">
        <f t="shared" si="84"/>
        <v>1.5</v>
      </c>
      <c r="F2709" s="154">
        <f t="shared" si="84"/>
        <v>1.5</v>
      </c>
      <c r="G2709" s="154"/>
      <c r="H2709" s="154">
        <f>H2689</f>
        <v>0.35</v>
      </c>
      <c r="I2709" s="154">
        <f>2*(E2709+F2709)</f>
        <v>6</v>
      </c>
      <c r="J2709" s="154"/>
      <c r="K2709" s="154"/>
      <c r="L2709" s="154"/>
      <c r="M2709" s="154">
        <f>M2689</f>
        <v>8</v>
      </c>
      <c r="N2709" s="338">
        <f>M2709*I2709*H2709</f>
        <v>16.799999999999997</v>
      </c>
      <c r="O2709" s="154"/>
    </row>
    <row r="2710" spans="1:15" x14ac:dyDescent="0.35">
      <c r="A2710" s="336"/>
      <c r="B2710" s="318" t="str">
        <f t="shared" si="83"/>
        <v>PV DN 1200</v>
      </c>
      <c r="C2710" s="153"/>
      <c r="D2710" s="153"/>
      <c r="E2710" s="153">
        <f t="shared" si="84"/>
        <v>2.04</v>
      </c>
      <c r="F2710" s="153">
        <f t="shared" si="84"/>
        <v>2.04</v>
      </c>
      <c r="G2710" s="153"/>
      <c r="H2710" s="153"/>
      <c r="I2710" s="153"/>
      <c r="J2710" s="153"/>
      <c r="K2710" s="153"/>
      <c r="L2710" s="153"/>
      <c r="M2710" s="153"/>
      <c r="N2710" s="339"/>
      <c r="O2710" s="153"/>
    </row>
    <row r="2711" spans="1:15" x14ac:dyDescent="0.35">
      <c r="A2711" s="321"/>
      <c r="B2711" s="320" t="str">
        <f t="shared" si="83"/>
        <v>TAMPA</v>
      </c>
      <c r="C2711" s="153"/>
      <c r="D2711" s="154"/>
      <c r="E2711" s="154">
        <f t="shared" si="84"/>
        <v>2.04</v>
      </c>
      <c r="F2711" s="154">
        <f t="shared" si="84"/>
        <v>2.04</v>
      </c>
      <c r="G2711" s="154"/>
      <c r="H2711" s="154"/>
      <c r="I2711" s="154"/>
      <c r="J2711" s="154"/>
      <c r="K2711" s="154"/>
      <c r="L2711" s="154"/>
      <c r="M2711" s="154">
        <f>M2691</f>
        <v>6</v>
      </c>
      <c r="N2711" s="338">
        <f>M2711*I2711*H2711+M2711*F2711*E2711</f>
        <v>24.9696</v>
      </c>
      <c r="O2711" s="154"/>
    </row>
    <row r="2712" spans="1:15" x14ac:dyDescent="0.35">
      <c r="A2712" s="321"/>
      <c r="B2712" s="320" t="str">
        <f t="shared" si="83"/>
        <v>PAREDES</v>
      </c>
      <c r="C2712" s="153"/>
      <c r="D2712" s="154"/>
      <c r="E2712" s="154">
        <f t="shared" si="84"/>
        <v>2.04</v>
      </c>
      <c r="F2712" s="154">
        <f t="shared" si="84"/>
        <v>1.8</v>
      </c>
      <c r="G2712" s="154">
        <f>G2692</f>
        <v>2</v>
      </c>
      <c r="H2712" s="154">
        <f>H2692</f>
        <v>0.12</v>
      </c>
      <c r="I2712" s="154">
        <f>I2692</f>
        <v>7.68</v>
      </c>
      <c r="J2712" s="154"/>
      <c r="K2712" s="154"/>
      <c r="L2712" s="154"/>
      <c r="M2712" s="154">
        <f>M2692</f>
        <v>6</v>
      </c>
      <c r="N2712" s="338">
        <f>2*M2712*I2712*G2712</f>
        <v>184.32</v>
      </c>
      <c r="O2712" s="154"/>
    </row>
    <row r="2713" spans="1:15" x14ac:dyDescent="0.35">
      <c r="A2713" s="321"/>
      <c r="B2713" s="320" t="str">
        <f t="shared" si="83"/>
        <v>FUNDO</v>
      </c>
      <c r="C2713" s="153"/>
      <c r="D2713" s="154"/>
      <c r="E2713" s="154">
        <f t="shared" si="84"/>
        <v>1.8</v>
      </c>
      <c r="F2713" s="154">
        <f t="shared" si="84"/>
        <v>1.8</v>
      </c>
      <c r="G2713" s="154"/>
      <c r="H2713" s="154">
        <f>H2693</f>
        <v>0.28000000000000003</v>
      </c>
      <c r="I2713" s="154">
        <f>2*(E2713+F2713)</f>
        <v>7.2</v>
      </c>
      <c r="J2713" s="154"/>
      <c r="K2713" s="154"/>
      <c r="L2713" s="154"/>
      <c r="M2713" s="154">
        <f>M2693</f>
        <v>6</v>
      </c>
      <c r="N2713" s="338">
        <f>M2713*I2713*H2713</f>
        <v>12.096000000000002</v>
      </c>
      <c r="O2713" s="154"/>
    </row>
    <row r="2714" spans="1:15" x14ac:dyDescent="0.35">
      <c r="A2714" s="336"/>
      <c r="B2714" s="318" t="str">
        <f t="shared" si="83"/>
        <v>PV DN 1500</v>
      </c>
      <c r="C2714" s="153"/>
      <c r="D2714" s="153"/>
      <c r="E2714" s="153">
        <f t="shared" si="84"/>
        <v>2.44</v>
      </c>
      <c r="F2714" s="153">
        <f t="shared" si="84"/>
        <v>2.44</v>
      </c>
      <c r="G2714" s="153"/>
      <c r="H2714" s="153"/>
      <c r="I2714" s="153"/>
      <c r="J2714" s="153"/>
      <c r="K2714" s="153"/>
      <c r="L2714" s="153"/>
      <c r="M2714" s="153"/>
      <c r="N2714" s="339"/>
      <c r="O2714" s="153"/>
    </row>
    <row r="2715" spans="1:15" x14ac:dyDescent="0.35">
      <c r="A2715" s="321"/>
      <c r="B2715" s="320" t="str">
        <f t="shared" si="83"/>
        <v>TAMPA</v>
      </c>
      <c r="C2715" s="153"/>
      <c r="D2715" s="154"/>
      <c r="E2715" s="154">
        <f t="shared" si="84"/>
        <v>2.44</v>
      </c>
      <c r="F2715" s="154">
        <f t="shared" si="84"/>
        <v>2.44</v>
      </c>
      <c r="G2715" s="154"/>
      <c r="H2715" s="154"/>
      <c r="I2715" s="154"/>
      <c r="J2715" s="154"/>
      <c r="K2715" s="154"/>
      <c r="L2715" s="154"/>
      <c r="M2715" s="154">
        <f>M2695</f>
        <v>7</v>
      </c>
      <c r="N2715" s="338">
        <f>M2715*I2715*H2715+M2715*F2715*E2715</f>
        <v>41.675199999999997</v>
      </c>
      <c r="O2715" s="154"/>
    </row>
    <row r="2716" spans="1:15" x14ac:dyDescent="0.35">
      <c r="A2716" s="321"/>
      <c r="B2716" s="320" t="str">
        <f t="shared" si="83"/>
        <v>PAREDES</v>
      </c>
      <c r="C2716" s="153"/>
      <c r="D2716" s="154"/>
      <c r="E2716" s="154">
        <f t="shared" si="84"/>
        <v>2.44</v>
      </c>
      <c r="F2716" s="154">
        <f t="shared" si="84"/>
        <v>2.2000000000000002</v>
      </c>
      <c r="G2716" s="154">
        <f>G2696</f>
        <v>2.4</v>
      </c>
      <c r="H2716" s="154">
        <f>H2696</f>
        <v>0.12</v>
      </c>
      <c r="I2716" s="154">
        <f>I2696</f>
        <v>9.2800000000000011</v>
      </c>
      <c r="J2716" s="154"/>
      <c r="K2716" s="154"/>
      <c r="L2716" s="154"/>
      <c r="M2716" s="154">
        <f>M2696</f>
        <v>7</v>
      </c>
      <c r="N2716" s="338">
        <f>2*M2716*I2716*G2716</f>
        <v>311.80800000000005</v>
      </c>
      <c r="O2716" s="154"/>
    </row>
    <row r="2717" spans="1:15" x14ac:dyDescent="0.35">
      <c r="A2717" s="321"/>
      <c r="B2717" s="320" t="str">
        <f t="shared" si="83"/>
        <v>FUNDO</v>
      </c>
      <c r="C2717" s="153"/>
      <c r="D2717" s="154"/>
      <c r="E2717" s="154">
        <f t="shared" si="84"/>
        <v>2.2000000000000002</v>
      </c>
      <c r="F2717" s="154">
        <f t="shared" si="84"/>
        <v>2.2000000000000002</v>
      </c>
      <c r="G2717" s="154"/>
      <c r="H2717" s="154">
        <f>H2697</f>
        <v>0.1</v>
      </c>
      <c r="I2717" s="154">
        <f>2*(E2717+F2717)</f>
        <v>8.8000000000000007</v>
      </c>
      <c r="J2717" s="154"/>
      <c r="K2717" s="154"/>
      <c r="L2717" s="154"/>
      <c r="M2717" s="154">
        <f>M2697</f>
        <v>7</v>
      </c>
      <c r="N2717" s="338">
        <f>M2717*I2717*H2717</f>
        <v>6.160000000000001</v>
      </c>
      <c r="O2717" s="154"/>
    </row>
    <row r="2718" spans="1:15" x14ac:dyDescent="0.35">
      <c r="A2718" s="321"/>
      <c r="B2718" s="320"/>
      <c r="C2718" s="153"/>
      <c r="D2718" s="154"/>
      <c r="E2718" s="154"/>
      <c r="F2718" s="154"/>
      <c r="G2718" s="154"/>
      <c r="H2718" s="154"/>
      <c r="I2718" s="154">
        <f>(137.5-4)/24</f>
        <v>5.5625</v>
      </c>
      <c r="J2718" s="154"/>
      <c r="K2718" s="154"/>
      <c r="L2718" s="154"/>
      <c r="M2718" s="154"/>
      <c r="N2718" s="338"/>
      <c r="O2718" s="154"/>
    </row>
    <row r="2719" spans="1:15" x14ac:dyDescent="0.35">
      <c r="A2719" s="321"/>
      <c r="B2719" s="318" t="s">
        <v>377</v>
      </c>
      <c r="C2719" s="158" t="s">
        <v>402</v>
      </c>
      <c r="D2719" s="158"/>
      <c r="E2719" s="158"/>
      <c r="F2719" s="158"/>
      <c r="G2719" s="158"/>
      <c r="H2719" s="158"/>
      <c r="I2719" s="158"/>
      <c r="J2719" s="158"/>
      <c r="K2719" s="153"/>
      <c r="L2719" s="158"/>
      <c r="M2719" s="158"/>
      <c r="N2719" s="153">
        <f>SUM(N2701:N2718)</f>
        <v>869.49200000000008</v>
      </c>
      <c r="O2719" s="153"/>
    </row>
    <row r="2720" spans="1:15" ht="31.5" x14ac:dyDescent="0.35">
      <c r="A2720" s="323" t="str">
        <f>ORÇAMENTO!A465</f>
        <v>5.1.2.8.7</v>
      </c>
      <c r="B2720" s="322" t="str">
        <f>VLOOKUP(A2720,ORÇAMENTO!$A:$F,4,0)</f>
        <v>LANÇAMENTO COM USO DE BALDES, ADENSAMENTO E ACABAMENTO DE CONCRETO EM ESTRUTURAS. AF_02/2022</v>
      </c>
      <c r="C2720" s="149" t="str">
        <f>VLOOKUP(A2720,ORÇAMENTO!$A:$F,5,0)</f>
        <v>M³</v>
      </c>
      <c r="D2720" s="149">
        <f>ROUND(SUM(E2724:O2724),2)</f>
        <v>96.14</v>
      </c>
      <c r="E2720" s="149" t="s">
        <v>2149</v>
      </c>
      <c r="F2720" s="149" t="s">
        <v>2150</v>
      </c>
      <c r="G2720" s="149" t="s">
        <v>2151</v>
      </c>
      <c r="H2720" s="149" t="s">
        <v>2152</v>
      </c>
      <c r="I2720" s="149" t="s">
        <v>2153</v>
      </c>
      <c r="J2720" s="149" t="s">
        <v>2154</v>
      </c>
      <c r="K2720" s="149" t="s">
        <v>2155</v>
      </c>
      <c r="L2720" s="149" t="s">
        <v>2239</v>
      </c>
      <c r="M2720" s="149" t="s">
        <v>413</v>
      </c>
      <c r="N2720" s="149" t="s">
        <v>2244</v>
      </c>
      <c r="O2720" s="149" t="s">
        <v>2158</v>
      </c>
    </row>
    <row r="2721" spans="1:15" ht="42" x14ac:dyDescent="0.35">
      <c r="A2721" s="321"/>
      <c r="B2721" s="320" t="str">
        <f>B2665</f>
        <v>CONCRETO FCK = 15MPA, TRAÇO 1:3,4:3,5 (EM MASSA SECA DE CIMENTO/ AREIA MÉDIA/ BRITA 1) - PREPARO MECÂNICO COM BETONEIRA 600 L. AF_05/2021</v>
      </c>
      <c r="C2721" s="153"/>
      <c r="D2721" s="154"/>
      <c r="E2721" s="154"/>
      <c r="F2721" s="154"/>
      <c r="G2721" s="154"/>
      <c r="H2721" s="154"/>
      <c r="I2721" s="154"/>
      <c r="J2721" s="154"/>
      <c r="K2721" s="154"/>
      <c r="L2721" s="154"/>
      <c r="M2721" s="154"/>
      <c r="N2721" s="338"/>
      <c r="O2721" s="154">
        <f>O2679</f>
        <v>26.178880000000003</v>
      </c>
    </row>
    <row r="2722" spans="1:15" ht="42" x14ac:dyDescent="0.35">
      <c r="A2722" s="321"/>
      <c r="B2722" s="320" t="str">
        <f>B2680</f>
        <v>CONCRETO FCK = 25MPA, TRAÇO 1:2,3:2,7 (EM MASSA SECA DE CIMENTO/ AREIA MÉDIA/ BRITA 1) - PREPARO MECÂNICO COM BETONEIRA 600 L. AF_05/2021</v>
      </c>
      <c r="C2722" s="153"/>
      <c r="D2722" s="154"/>
      <c r="E2722" s="154"/>
      <c r="F2722" s="154"/>
      <c r="G2722" s="154"/>
      <c r="H2722" s="154"/>
      <c r="I2722" s="154"/>
      <c r="J2722" s="154"/>
      <c r="K2722" s="154"/>
      <c r="L2722" s="154"/>
      <c r="M2722" s="154"/>
      <c r="N2722" s="338"/>
      <c r="O2722" s="154">
        <f>O2699</f>
        <v>69.960080000000005</v>
      </c>
    </row>
    <row r="2723" spans="1:15" x14ac:dyDescent="0.35">
      <c r="A2723" s="321"/>
      <c r="B2723" s="320"/>
      <c r="C2723" s="153"/>
      <c r="D2723" s="154"/>
      <c r="E2723" s="154"/>
      <c r="F2723" s="154"/>
      <c r="G2723" s="154"/>
      <c r="H2723" s="154"/>
      <c r="I2723" s="154"/>
      <c r="J2723" s="154"/>
      <c r="K2723" s="154"/>
      <c r="L2723" s="154"/>
      <c r="M2723" s="154"/>
      <c r="N2723" s="338"/>
      <c r="O2723" s="154"/>
    </row>
    <row r="2724" spans="1:15" x14ac:dyDescent="0.35">
      <c r="A2724" s="321"/>
      <c r="B2724" s="318" t="s">
        <v>377</v>
      </c>
      <c r="C2724" s="158" t="s">
        <v>402</v>
      </c>
      <c r="D2724" s="158"/>
      <c r="E2724" s="158"/>
      <c r="F2724" s="158"/>
      <c r="G2724" s="158"/>
      <c r="H2724" s="158"/>
      <c r="I2724" s="158"/>
      <c r="J2724" s="158"/>
      <c r="K2724" s="153"/>
      <c r="L2724" s="158"/>
      <c r="M2724" s="158"/>
      <c r="N2724" s="153"/>
      <c r="O2724" s="153">
        <f>SUM(O2721:O2723)</f>
        <v>96.138960000000012</v>
      </c>
    </row>
    <row r="2725" spans="1:15" ht="21" x14ac:dyDescent="0.35">
      <c r="A2725" s="323" t="str">
        <f>ORÇAMENTO!A466</f>
        <v>5.1.2.8.8</v>
      </c>
      <c r="B2725" s="322" t="str">
        <f>VLOOKUP(A2725,ORÇAMENTO!$A:$F,4,0)</f>
        <v>ARMAÇÃO EM AÇO CA-50 - FORNECIMENTO, PREPARO E COLOCAÇÃO</v>
      </c>
      <c r="C2725" s="149" t="str">
        <f>VLOOKUP(A2725,ORÇAMENTO!$A:$F,5,0)</f>
        <v>KG</v>
      </c>
      <c r="D2725" s="149">
        <f>ROUND(SUM(E2733:O2733),2)</f>
        <v>3687.01</v>
      </c>
      <c r="E2725" s="149" t="s">
        <v>2149</v>
      </c>
      <c r="F2725" s="149" t="s">
        <v>2150</v>
      </c>
      <c r="G2725" s="149" t="s">
        <v>2151</v>
      </c>
      <c r="H2725" s="149" t="s">
        <v>2152</v>
      </c>
      <c r="I2725" s="149" t="s">
        <v>2153</v>
      </c>
      <c r="J2725" s="149" t="s">
        <v>2154</v>
      </c>
      <c r="K2725" s="149" t="s">
        <v>2155</v>
      </c>
      <c r="L2725" s="149" t="s">
        <v>2239</v>
      </c>
      <c r="M2725" s="149" t="s">
        <v>413</v>
      </c>
      <c r="N2725" s="149" t="s">
        <v>2244</v>
      </c>
      <c r="O2725" s="149" t="s">
        <v>2158</v>
      </c>
    </row>
    <row r="2726" spans="1:15" x14ac:dyDescent="0.35">
      <c r="A2726" s="321"/>
      <c r="B2726" s="320" t="str">
        <f>B2681</f>
        <v>CONFORME DESENHO TIPO</v>
      </c>
      <c r="C2726" s="160"/>
      <c r="D2726" s="161"/>
      <c r="E2726" s="161"/>
      <c r="F2726" s="161"/>
      <c r="G2726" s="161"/>
      <c r="H2726" s="161"/>
      <c r="I2726" s="161"/>
      <c r="J2726" s="161"/>
      <c r="K2726" s="161"/>
      <c r="L2726" s="161"/>
      <c r="M2726" s="161"/>
      <c r="N2726" s="334"/>
      <c r="O2726" s="161"/>
    </row>
    <row r="2727" spans="1:15" x14ac:dyDescent="0.35">
      <c r="A2727" s="321"/>
      <c r="B2727" s="320" t="str">
        <f>B2682</f>
        <v>PV DN 600</v>
      </c>
      <c r="C2727" s="160"/>
      <c r="D2727" s="161"/>
      <c r="E2727" s="161"/>
      <c r="F2727" s="161"/>
      <c r="G2727" s="161"/>
      <c r="H2727" s="161"/>
      <c r="I2727" s="161"/>
      <c r="J2727" s="161"/>
      <c r="K2727" s="161">
        <f>6.33*M2727</f>
        <v>69.63</v>
      </c>
      <c r="L2727" s="161"/>
      <c r="M2727" s="161">
        <f>M2646</f>
        <v>11</v>
      </c>
      <c r="N2727" s="334"/>
      <c r="O2727" s="161"/>
    </row>
    <row r="2728" spans="1:15" x14ac:dyDescent="0.35">
      <c r="A2728" s="321"/>
      <c r="B2728" s="320" t="str">
        <f>B2684</f>
        <v>PV DN 800</v>
      </c>
      <c r="C2728" s="160"/>
      <c r="D2728" s="161"/>
      <c r="E2728" s="161"/>
      <c r="F2728" s="161"/>
      <c r="G2728" s="161"/>
      <c r="H2728" s="161"/>
      <c r="I2728" s="161"/>
      <c r="J2728" s="161"/>
      <c r="K2728" s="161">
        <f>29.09*M2728</f>
        <v>290.89999999999998</v>
      </c>
      <c r="L2728" s="161"/>
      <c r="M2728" s="161">
        <f>M2647</f>
        <v>10</v>
      </c>
      <c r="N2728" s="334"/>
      <c r="O2728" s="161"/>
    </row>
    <row r="2729" spans="1:15" x14ac:dyDescent="0.35">
      <c r="A2729" s="321"/>
      <c r="B2729" s="320" t="str">
        <f>B2706</f>
        <v>PV DN 1000</v>
      </c>
      <c r="C2729" s="160"/>
      <c r="D2729" s="161"/>
      <c r="E2729" s="161"/>
      <c r="F2729" s="161"/>
      <c r="G2729" s="161"/>
      <c r="H2729" s="161"/>
      <c r="I2729" s="161"/>
      <c r="J2729" s="161"/>
      <c r="K2729" s="161">
        <f>92.82*M2729</f>
        <v>742.56</v>
      </c>
      <c r="L2729" s="161"/>
      <c r="M2729" s="161">
        <f>M2648</f>
        <v>8</v>
      </c>
      <c r="N2729" s="334"/>
      <c r="O2729" s="161"/>
    </row>
    <row r="2730" spans="1:15" x14ac:dyDescent="0.35">
      <c r="A2730" s="321"/>
      <c r="B2730" s="320" t="str">
        <f>B2710</f>
        <v>PV DN 1200</v>
      </c>
      <c r="C2730" s="160"/>
      <c r="D2730" s="161"/>
      <c r="E2730" s="161"/>
      <c r="F2730" s="161"/>
      <c r="G2730" s="161"/>
      <c r="H2730" s="161"/>
      <c r="I2730" s="161"/>
      <c r="J2730" s="161"/>
      <c r="K2730" s="161">
        <f>154.06*M2730</f>
        <v>924.36</v>
      </c>
      <c r="L2730" s="161"/>
      <c r="M2730" s="161">
        <f>M2649</f>
        <v>6</v>
      </c>
      <c r="N2730" s="334"/>
      <c r="O2730" s="161"/>
    </row>
    <row r="2731" spans="1:15" x14ac:dyDescent="0.35">
      <c r="A2731" s="321"/>
      <c r="B2731" s="320" t="str">
        <f>B2714</f>
        <v>PV DN 1500</v>
      </c>
      <c r="C2731" s="160"/>
      <c r="D2731" s="161"/>
      <c r="E2731" s="161"/>
      <c r="F2731" s="161"/>
      <c r="G2731" s="161"/>
      <c r="H2731" s="161"/>
      <c r="I2731" s="161"/>
      <c r="J2731" s="161"/>
      <c r="K2731" s="161">
        <f>237.08*M2731</f>
        <v>1659.5600000000002</v>
      </c>
      <c r="L2731" s="161"/>
      <c r="M2731" s="161">
        <f>M2650</f>
        <v>7</v>
      </c>
      <c r="N2731" s="334"/>
      <c r="O2731" s="161"/>
    </row>
    <row r="2732" spans="1:15" x14ac:dyDescent="0.35">
      <c r="A2732" s="321"/>
      <c r="B2732" s="320"/>
      <c r="C2732" s="160"/>
      <c r="D2732" s="161"/>
      <c r="E2732" s="161"/>
      <c r="F2732" s="161"/>
      <c r="G2732" s="161"/>
      <c r="H2732" s="161"/>
      <c r="I2732" s="161"/>
      <c r="J2732" s="161"/>
      <c r="K2732" s="161"/>
      <c r="L2732" s="161"/>
      <c r="M2732" s="161"/>
      <c r="N2732" s="334"/>
      <c r="O2732" s="161"/>
    </row>
    <row r="2733" spans="1:15" x14ac:dyDescent="0.35">
      <c r="A2733" s="321"/>
      <c r="B2733" s="318" t="s">
        <v>377</v>
      </c>
      <c r="C2733" s="158" t="s">
        <v>402</v>
      </c>
      <c r="D2733" s="158"/>
      <c r="E2733" s="158"/>
      <c r="F2733" s="158"/>
      <c r="G2733" s="158"/>
      <c r="H2733" s="158"/>
      <c r="I2733" s="158"/>
      <c r="J2733" s="158"/>
      <c r="K2733" s="160">
        <f>SUM(K2727:K2732)</f>
        <v>3687.01</v>
      </c>
      <c r="L2733" s="158"/>
      <c r="M2733" s="158"/>
      <c r="N2733" s="160"/>
      <c r="O2733" s="158"/>
    </row>
    <row r="2734" spans="1:15" ht="31.5" x14ac:dyDescent="0.35">
      <c r="A2734" s="323" t="str">
        <f>ORÇAMENTO!A467</f>
        <v>5.1.2.8.9</v>
      </c>
      <c r="B2734" s="322" t="str">
        <f>VLOOKUP(A2734,ORÇAMENTO!$A:$F,4,0)</f>
        <v>CHAMINÉ CIRCULAR PARA POÇO DE VISITA PARA DRENAGEM, EM CONCRETO PRÉ-MOLDADO, DIÂMETRO INTERNO = 0,6 M. AF_12/2020</v>
      </c>
      <c r="C2734" s="149" t="str">
        <f>VLOOKUP(A2734,ORÇAMENTO!$A:$F,5,0)</f>
        <v>M</v>
      </c>
      <c r="D2734" s="149">
        <f>ROUND(SUM(E2737:O2737),2)</f>
        <v>52.57</v>
      </c>
      <c r="E2734" s="149" t="s">
        <v>2149</v>
      </c>
      <c r="F2734" s="149" t="s">
        <v>2150</v>
      </c>
      <c r="G2734" s="149" t="s">
        <v>2151</v>
      </c>
      <c r="H2734" s="149" t="s">
        <v>2152</v>
      </c>
      <c r="I2734" s="149" t="s">
        <v>2153</v>
      </c>
      <c r="J2734" s="149" t="s">
        <v>2154</v>
      </c>
      <c r="K2734" s="149" t="s">
        <v>2155</v>
      </c>
      <c r="L2734" s="149" t="s">
        <v>2239</v>
      </c>
      <c r="M2734" s="149" t="s">
        <v>413</v>
      </c>
      <c r="N2734" s="149" t="s">
        <v>2244</v>
      </c>
      <c r="O2734" s="149" t="s">
        <v>2158</v>
      </c>
    </row>
    <row r="2735" spans="1:15" ht="21" x14ac:dyDescent="0.35">
      <c r="A2735" s="321"/>
      <c r="B2735" s="320" t="s">
        <v>2273</v>
      </c>
      <c r="C2735" s="160"/>
      <c r="D2735" s="161"/>
      <c r="E2735" s="161">
        <f>Quantitativos!DA106</f>
        <v>52.569999999999986</v>
      </c>
      <c r="F2735" s="161"/>
      <c r="G2735" s="161"/>
      <c r="H2735" s="161"/>
      <c r="I2735" s="161"/>
      <c r="J2735" s="161"/>
      <c r="K2735" s="161"/>
      <c r="L2735" s="161"/>
      <c r="M2735" s="161"/>
      <c r="N2735" s="334"/>
      <c r="O2735" s="161"/>
    </row>
    <row r="2736" spans="1:15" x14ac:dyDescent="0.35">
      <c r="A2736" s="321"/>
      <c r="B2736" s="320"/>
      <c r="C2736" s="160"/>
      <c r="D2736" s="161"/>
      <c r="E2736" s="161"/>
      <c r="F2736" s="161"/>
      <c r="G2736" s="161"/>
      <c r="H2736" s="161"/>
      <c r="I2736" s="161"/>
      <c r="J2736" s="161"/>
      <c r="K2736" s="161"/>
      <c r="L2736" s="161"/>
      <c r="M2736" s="161"/>
      <c r="N2736" s="334"/>
      <c r="O2736" s="161"/>
    </row>
    <row r="2737" spans="1:15" x14ac:dyDescent="0.35">
      <c r="A2737" s="321"/>
      <c r="B2737" s="318" t="s">
        <v>377</v>
      </c>
      <c r="C2737" s="158" t="s">
        <v>402</v>
      </c>
      <c r="D2737" s="158"/>
      <c r="E2737" s="160">
        <f>SUM(E2735:E2736)</f>
        <v>52.569999999999986</v>
      </c>
      <c r="F2737" s="158"/>
      <c r="G2737" s="158"/>
      <c r="H2737" s="158"/>
      <c r="I2737" s="158"/>
      <c r="J2737" s="158"/>
      <c r="K2737" s="161"/>
      <c r="L2737" s="158"/>
      <c r="M2737" s="158"/>
      <c r="N2737" s="160"/>
      <c r="O2737" s="158"/>
    </row>
    <row r="2738" spans="1:15" x14ac:dyDescent="0.35">
      <c r="A2738" s="327" t="str">
        <f>ORÇAMENTO!A468</f>
        <v>5.1.2.9</v>
      </c>
      <c r="B2738" s="326" t="str">
        <f>VLOOKUP(A2738,ORÇAMENTO!$A:$F,4,0)</f>
        <v>GALERIAS</v>
      </c>
      <c r="C2738" s="143"/>
      <c r="D2738" s="143"/>
      <c r="E2738" s="144"/>
      <c r="F2738" s="144"/>
      <c r="G2738" s="144"/>
      <c r="H2738" s="144"/>
      <c r="I2738" s="144"/>
      <c r="J2738" s="144"/>
      <c r="K2738" s="144"/>
      <c r="L2738" s="144"/>
      <c r="M2738" s="144"/>
      <c r="N2738" s="144"/>
      <c r="O2738" s="144"/>
    </row>
    <row r="2739" spans="1:15" ht="21" x14ac:dyDescent="0.35">
      <c r="A2739" s="323" t="str">
        <f>ORÇAMENTO!A469</f>
        <v>5.1.2.9.1</v>
      </c>
      <c r="B2739" s="322" t="str">
        <f>VLOOKUP(A2739,ORÇAMENTO!$A:$F,4,0)</f>
        <v>REVEST. PRIMARIO C CASCALHO OU SAIBRO C\ COMPACTACAO</v>
      </c>
      <c r="C2739" s="149" t="str">
        <f>VLOOKUP(A2739,ORÇAMENTO!$A:$F,5,0)</f>
        <v>M³</v>
      </c>
      <c r="D2739" s="149">
        <f>ROUND(SUM(E2744:O2744),2)</f>
        <v>100.58</v>
      </c>
      <c r="E2739" s="149" t="s">
        <v>2149</v>
      </c>
      <c r="F2739" s="149" t="s">
        <v>2150</v>
      </c>
      <c r="G2739" s="149" t="s">
        <v>2151</v>
      </c>
      <c r="H2739" s="149" t="s">
        <v>2152</v>
      </c>
      <c r="I2739" s="149" t="s">
        <v>2153</v>
      </c>
      <c r="J2739" s="149" t="s">
        <v>2154</v>
      </c>
      <c r="K2739" s="149" t="s">
        <v>2155</v>
      </c>
      <c r="L2739" s="149" t="s">
        <v>2239</v>
      </c>
      <c r="M2739" s="149" t="s">
        <v>413</v>
      </c>
      <c r="N2739" s="149" t="s">
        <v>2244</v>
      </c>
      <c r="O2739" s="149" t="s">
        <v>2158</v>
      </c>
    </row>
    <row r="2740" spans="1:15" x14ac:dyDescent="0.35">
      <c r="A2740" s="321"/>
      <c r="B2740" s="320" t="s">
        <v>2263</v>
      </c>
      <c r="C2740" s="160"/>
      <c r="D2740" s="161"/>
      <c r="E2740" s="161"/>
      <c r="F2740" s="161"/>
      <c r="G2740" s="161"/>
      <c r="H2740" s="161"/>
      <c r="I2740" s="161"/>
      <c r="J2740" s="161"/>
      <c r="K2740" s="161"/>
      <c r="L2740" s="161"/>
      <c r="M2740" s="161"/>
      <c r="N2740" s="334"/>
      <c r="O2740" s="161"/>
    </row>
    <row r="2741" spans="1:15" x14ac:dyDescent="0.35">
      <c r="A2741" s="321"/>
      <c r="B2741" s="320" t="s">
        <v>2708</v>
      </c>
      <c r="C2741" s="160"/>
      <c r="D2741" s="161"/>
      <c r="E2741" s="161">
        <f>Quantitativos!CN109</f>
        <v>257.89999999999998</v>
      </c>
      <c r="F2741" s="161">
        <v>1.95</v>
      </c>
      <c r="G2741" s="161"/>
      <c r="H2741" s="161">
        <v>0.2</v>
      </c>
      <c r="I2741" s="161"/>
      <c r="J2741" s="161"/>
      <c r="K2741" s="161"/>
      <c r="L2741" s="161"/>
      <c r="M2741" s="161"/>
      <c r="N2741" s="334"/>
      <c r="O2741" s="161">
        <f>E2741*F2741*H2741</f>
        <v>100.58099999999999</v>
      </c>
    </row>
    <row r="2742" spans="1:15" x14ac:dyDescent="0.35">
      <c r="A2742" s="321"/>
      <c r="B2742" s="320"/>
      <c r="C2742" s="160"/>
      <c r="D2742" s="161"/>
      <c r="E2742" s="161"/>
      <c r="F2742" s="161"/>
      <c r="G2742" s="161"/>
      <c r="H2742" s="161"/>
      <c r="I2742" s="161"/>
      <c r="J2742" s="161"/>
      <c r="K2742" s="161"/>
      <c r="L2742" s="161"/>
      <c r="M2742" s="161"/>
      <c r="N2742" s="334"/>
      <c r="O2742" s="161"/>
    </row>
    <row r="2743" spans="1:15" x14ac:dyDescent="0.35">
      <c r="A2743" s="344"/>
      <c r="B2743" s="343"/>
      <c r="C2743" s="342"/>
      <c r="D2743" s="340"/>
      <c r="E2743" s="340"/>
      <c r="F2743" s="340"/>
      <c r="G2743" s="340"/>
      <c r="H2743" s="340"/>
      <c r="I2743" s="340"/>
      <c r="J2743" s="340"/>
      <c r="K2743" s="340"/>
      <c r="L2743" s="340"/>
      <c r="M2743" s="340"/>
      <c r="N2743" s="341"/>
      <c r="O2743" s="340"/>
    </row>
    <row r="2744" spans="1:15" x14ac:dyDescent="0.35">
      <c r="A2744" s="321"/>
      <c r="B2744" s="318" t="s">
        <v>377</v>
      </c>
      <c r="C2744" s="158" t="s">
        <v>402</v>
      </c>
      <c r="D2744" s="158"/>
      <c r="E2744" s="158"/>
      <c r="F2744" s="158"/>
      <c r="G2744" s="158"/>
      <c r="H2744" s="158"/>
      <c r="I2744" s="158"/>
      <c r="J2744" s="158"/>
      <c r="K2744" s="161"/>
      <c r="L2744" s="158"/>
      <c r="M2744" s="158"/>
      <c r="N2744" s="160"/>
      <c r="O2744" s="160">
        <f>SUM(O2741:O2742)</f>
        <v>100.58099999999999</v>
      </c>
    </row>
    <row r="2745" spans="1:15" ht="42" x14ac:dyDescent="0.35">
      <c r="A2745" s="323" t="str">
        <f>ORÇAMENTO!A470</f>
        <v>5.1.2.9.2</v>
      </c>
      <c r="B2745" s="322" t="str">
        <f>VLOOKUP(A2745,ORÇAMENTO!$A:$F,4,0)</f>
        <v>CONCRETO FCK = 15MPA, TRAÇO 1:3,4:3,5 (EM MASSA SECA DE CIMENTO/ AREIA MÉDIA/ BRITA 1) - PREPARO MECÂNICO COM BETONEIRA 600 L. AF_05/2021</v>
      </c>
      <c r="C2745" s="149" t="str">
        <f>VLOOKUP(A2745,ORÇAMENTO!$A:$F,5,0)</f>
        <v>M³</v>
      </c>
      <c r="D2745" s="149">
        <f>ROUND(SUM(E2751:O2751),2)</f>
        <v>15.08</v>
      </c>
      <c r="E2745" s="149" t="s">
        <v>2149</v>
      </c>
      <c r="F2745" s="149" t="s">
        <v>2150</v>
      </c>
      <c r="G2745" s="149" t="s">
        <v>2151</v>
      </c>
      <c r="H2745" s="149" t="s">
        <v>2152</v>
      </c>
      <c r="I2745" s="149" t="s">
        <v>2153</v>
      </c>
      <c r="J2745" s="149" t="s">
        <v>2154</v>
      </c>
      <c r="K2745" s="149" t="s">
        <v>2155</v>
      </c>
      <c r="L2745" s="149" t="s">
        <v>2239</v>
      </c>
      <c r="M2745" s="149" t="s">
        <v>413</v>
      </c>
      <c r="N2745" s="149" t="s">
        <v>2244</v>
      </c>
      <c r="O2745" s="149" t="s">
        <v>2158</v>
      </c>
    </row>
    <row r="2746" spans="1:15" x14ac:dyDescent="0.35">
      <c r="A2746" s="321"/>
      <c r="B2746" s="320" t="str">
        <f>B2740</f>
        <v>CONFORME DESENHO TIPO</v>
      </c>
      <c r="C2746" s="160"/>
      <c r="D2746" s="161"/>
      <c r="E2746" s="161"/>
      <c r="F2746" s="161"/>
      <c r="G2746" s="161"/>
      <c r="H2746" s="161"/>
      <c r="I2746" s="161"/>
      <c r="J2746" s="161"/>
      <c r="K2746" s="161"/>
      <c r="L2746" s="161"/>
      <c r="M2746" s="161"/>
      <c r="N2746" s="334"/>
      <c r="O2746" s="161"/>
    </row>
    <row r="2747" spans="1:15" x14ac:dyDescent="0.35">
      <c r="A2747" s="321"/>
      <c r="B2747" s="318" t="s">
        <v>2269</v>
      </c>
      <c r="C2747" s="160"/>
      <c r="D2747" s="161"/>
      <c r="E2747" s="161"/>
      <c r="F2747" s="161"/>
      <c r="G2747" s="161"/>
      <c r="H2747" s="161"/>
      <c r="I2747" s="161"/>
      <c r="J2747" s="161"/>
      <c r="K2747" s="161"/>
      <c r="L2747" s="161"/>
      <c r="M2747" s="161"/>
      <c r="N2747" s="334"/>
      <c r="O2747" s="161"/>
    </row>
    <row r="2748" spans="1:15" x14ac:dyDescent="0.35">
      <c r="A2748" s="321"/>
      <c r="B2748" s="320" t="str">
        <f>B2741</f>
        <v>GALERIA MOLDADA 1,65 x 1,65</v>
      </c>
      <c r="C2748" s="160"/>
      <c r="D2748" s="161"/>
      <c r="E2748" s="161">
        <f>E2741-0.2</f>
        <v>257.7</v>
      </c>
      <c r="F2748" s="161">
        <f>F2741</f>
        <v>1.95</v>
      </c>
      <c r="G2748" s="161"/>
      <c r="H2748" s="161">
        <v>0.03</v>
      </c>
      <c r="I2748" s="161"/>
      <c r="J2748" s="161"/>
      <c r="K2748" s="161"/>
      <c r="L2748" s="161"/>
      <c r="M2748" s="161"/>
      <c r="N2748" s="334"/>
      <c r="O2748" s="161">
        <f>E2748*F2748*H2748</f>
        <v>15.075449999999998</v>
      </c>
    </row>
    <row r="2749" spans="1:15" x14ac:dyDescent="0.35">
      <c r="A2749" s="321"/>
      <c r="B2749" s="320"/>
      <c r="C2749" s="160"/>
      <c r="D2749" s="161"/>
      <c r="E2749" s="161"/>
      <c r="F2749" s="161"/>
      <c r="G2749" s="161"/>
      <c r="H2749" s="161"/>
      <c r="I2749" s="161"/>
      <c r="J2749" s="161"/>
      <c r="K2749" s="161"/>
      <c r="L2749" s="161"/>
      <c r="M2749" s="161"/>
      <c r="N2749" s="334"/>
      <c r="O2749" s="161"/>
    </row>
    <row r="2750" spans="1:15" x14ac:dyDescent="0.35">
      <c r="A2750" s="321"/>
      <c r="B2750" s="320"/>
      <c r="C2750" s="160"/>
      <c r="D2750" s="161"/>
      <c r="E2750" s="161"/>
      <c r="F2750" s="161"/>
      <c r="G2750" s="161"/>
      <c r="H2750" s="161"/>
      <c r="I2750" s="161"/>
      <c r="J2750" s="161"/>
      <c r="K2750" s="161"/>
      <c r="L2750" s="161"/>
      <c r="M2750" s="161"/>
      <c r="N2750" s="334"/>
      <c r="O2750" s="161"/>
    </row>
    <row r="2751" spans="1:15" x14ac:dyDescent="0.35">
      <c r="A2751" s="321"/>
      <c r="B2751" s="318" t="s">
        <v>377</v>
      </c>
      <c r="C2751" s="158" t="s">
        <v>402</v>
      </c>
      <c r="D2751" s="158"/>
      <c r="E2751" s="158"/>
      <c r="F2751" s="158"/>
      <c r="G2751" s="158"/>
      <c r="H2751" s="158"/>
      <c r="I2751" s="158"/>
      <c r="J2751" s="158"/>
      <c r="K2751" s="161"/>
      <c r="L2751" s="158"/>
      <c r="M2751" s="158"/>
      <c r="N2751" s="160"/>
      <c r="O2751" s="160">
        <f>SUM(O2746:O2750)</f>
        <v>15.075449999999998</v>
      </c>
    </row>
    <row r="2752" spans="1:15" ht="42" x14ac:dyDescent="0.35">
      <c r="A2752" s="323" t="str">
        <f>ORÇAMENTO!A471</f>
        <v>5.1.2.9.3</v>
      </c>
      <c r="B2752" s="322" t="str">
        <f>VLOOKUP(A2752,ORÇAMENTO!$A:$F,4,0)</f>
        <v>CONCRETO FCK = 25MPA, TRAÇO 1:2,3:2,7 (EM MASSA SECA DE CIMENTO/ AREIA MÉDIA/ BRITA 1) - PREPARO MECÂNICO COM BETONEIRA 600 L. AF_05/2021</v>
      </c>
      <c r="C2752" s="149" t="str">
        <f>VLOOKUP(A2752,ORÇAMENTO!$A:$F,5,0)</f>
        <v>M³</v>
      </c>
      <c r="D2752" s="149">
        <f>ROUND(SUM(E2757:O2757),2)</f>
        <v>288.39999999999998</v>
      </c>
      <c r="E2752" s="149" t="s">
        <v>2149</v>
      </c>
      <c r="F2752" s="149" t="s">
        <v>2150</v>
      </c>
      <c r="G2752" s="149" t="s">
        <v>2151</v>
      </c>
      <c r="H2752" s="149" t="s">
        <v>2152</v>
      </c>
      <c r="I2752" s="149" t="s">
        <v>2153</v>
      </c>
      <c r="J2752" s="149" t="s">
        <v>2154</v>
      </c>
      <c r="K2752" s="149" t="s">
        <v>2155</v>
      </c>
      <c r="L2752" s="149" t="s">
        <v>2239</v>
      </c>
      <c r="M2752" s="149" t="s">
        <v>413</v>
      </c>
      <c r="N2752" s="149" t="s">
        <v>2257</v>
      </c>
      <c r="O2752" s="149" t="s">
        <v>2158</v>
      </c>
    </row>
    <row r="2753" spans="1:15" x14ac:dyDescent="0.35">
      <c r="A2753" s="321"/>
      <c r="B2753" s="320" t="str">
        <f>B2746</f>
        <v>CONFORME DESENHO TIPO</v>
      </c>
      <c r="C2753" s="160"/>
      <c r="D2753" s="161"/>
      <c r="E2753" s="161"/>
      <c r="F2753" s="161"/>
      <c r="G2753" s="161"/>
      <c r="H2753" s="161"/>
      <c r="I2753" s="161"/>
      <c r="J2753" s="161"/>
      <c r="K2753" s="161"/>
      <c r="L2753" s="161"/>
      <c r="M2753" s="161"/>
      <c r="N2753" s="334"/>
      <c r="O2753" s="161"/>
    </row>
    <row r="2754" spans="1:15" x14ac:dyDescent="0.35">
      <c r="A2754" s="321"/>
      <c r="B2754" s="320" t="str">
        <f>B2748</f>
        <v>GALERIA MOLDADA 1,65 x 1,65</v>
      </c>
      <c r="C2754" s="160"/>
      <c r="D2754" s="161"/>
      <c r="E2754" s="161">
        <f>E2748-0.1*2</f>
        <v>257.5</v>
      </c>
      <c r="F2754" s="161"/>
      <c r="G2754" s="161"/>
      <c r="H2754" s="161"/>
      <c r="I2754" s="161"/>
      <c r="J2754" s="161"/>
      <c r="K2754" s="161"/>
      <c r="L2754" s="161"/>
      <c r="M2754" s="161"/>
      <c r="N2754" s="334">
        <v>1.1200000000000001</v>
      </c>
      <c r="O2754" s="161">
        <f>N2754*E2754</f>
        <v>288.40000000000003</v>
      </c>
    </row>
    <row r="2755" spans="1:15" x14ac:dyDescent="0.35">
      <c r="A2755" s="321"/>
      <c r="B2755" s="320"/>
      <c r="C2755" s="160"/>
      <c r="D2755" s="161"/>
      <c r="E2755" s="161"/>
      <c r="F2755" s="161"/>
      <c r="G2755" s="161"/>
      <c r="H2755" s="161"/>
      <c r="I2755" s="161"/>
      <c r="J2755" s="161"/>
      <c r="K2755" s="161"/>
      <c r="L2755" s="161"/>
      <c r="M2755" s="161"/>
      <c r="N2755" s="334"/>
      <c r="O2755" s="161"/>
    </row>
    <row r="2756" spans="1:15" x14ac:dyDescent="0.35">
      <c r="A2756" s="321"/>
      <c r="B2756" s="320"/>
      <c r="C2756" s="160"/>
      <c r="D2756" s="161"/>
      <c r="E2756" s="161"/>
      <c r="F2756" s="161"/>
      <c r="G2756" s="161"/>
      <c r="H2756" s="161"/>
      <c r="I2756" s="161"/>
      <c r="J2756" s="161"/>
      <c r="K2756" s="161"/>
      <c r="L2756" s="161"/>
      <c r="M2756" s="161"/>
      <c r="N2756" s="334"/>
      <c r="O2756" s="161"/>
    </row>
    <row r="2757" spans="1:15" x14ac:dyDescent="0.35">
      <c r="A2757" s="321"/>
      <c r="B2757" s="318" t="s">
        <v>377</v>
      </c>
      <c r="C2757" s="158" t="s">
        <v>402</v>
      </c>
      <c r="D2757" s="158"/>
      <c r="E2757" s="158"/>
      <c r="F2757" s="158"/>
      <c r="G2757" s="158"/>
      <c r="H2757" s="158"/>
      <c r="I2757" s="158"/>
      <c r="J2757" s="158"/>
      <c r="K2757" s="161"/>
      <c r="L2757" s="158"/>
      <c r="M2757" s="158"/>
      <c r="N2757" s="160"/>
      <c r="O2757" s="160">
        <f>SUM(O2753:O2756)</f>
        <v>288.40000000000003</v>
      </c>
    </row>
    <row r="2758" spans="1:15" ht="31.5" x14ac:dyDescent="0.35">
      <c r="A2758" s="323" t="str">
        <f>ORÇAMENTO!A472</f>
        <v>5.1.2.9.4</v>
      </c>
      <c r="B2758" s="322" t="str">
        <f>VLOOKUP(A2758,ORÇAMENTO!$A:$F,4,0)</f>
        <v>LANÇAMENTO COM USO DE BALDES, ADENSAMENTO E ACABAMENTO DE CONCRETO EM ESTRUTURAS. AF_02/2022</v>
      </c>
      <c r="C2758" s="149" t="str">
        <f>VLOOKUP(A2758,ORÇAMENTO!$A:$F,5,0)</f>
        <v>M³</v>
      </c>
      <c r="D2758" s="149">
        <f>ROUND(SUM(E2763:O2763),2)</f>
        <v>303.48</v>
      </c>
      <c r="E2758" s="149" t="s">
        <v>2149</v>
      </c>
      <c r="F2758" s="149" t="s">
        <v>2150</v>
      </c>
      <c r="G2758" s="149" t="s">
        <v>2151</v>
      </c>
      <c r="H2758" s="149" t="s">
        <v>2152</v>
      </c>
      <c r="I2758" s="149" t="s">
        <v>2153</v>
      </c>
      <c r="J2758" s="149" t="s">
        <v>2154</v>
      </c>
      <c r="K2758" s="149" t="s">
        <v>2155</v>
      </c>
      <c r="L2758" s="149" t="s">
        <v>2239</v>
      </c>
      <c r="M2758" s="149" t="s">
        <v>413</v>
      </c>
      <c r="N2758" s="149" t="s">
        <v>2257</v>
      </c>
      <c r="O2758" s="149" t="s">
        <v>2158</v>
      </c>
    </row>
    <row r="2759" spans="1:15" ht="42" x14ac:dyDescent="0.35">
      <c r="A2759" s="321"/>
      <c r="B2759" s="320" t="str">
        <f>B2745</f>
        <v>CONCRETO FCK = 15MPA, TRAÇO 1:3,4:3,5 (EM MASSA SECA DE CIMENTO/ AREIA MÉDIA/ BRITA 1) - PREPARO MECÂNICO COM BETONEIRA 600 L. AF_05/2021</v>
      </c>
      <c r="C2759" s="160"/>
      <c r="D2759" s="161"/>
      <c r="E2759" s="161"/>
      <c r="F2759" s="161"/>
      <c r="G2759" s="161"/>
      <c r="H2759" s="161"/>
      <c r="I2759" s="161"/>
      <c r="J2759" s="161"/>
      <c r="K2759" s="161"/>
      <c r="L2759" s="161"/>
      <c r="M2759" s="161"/>
      <c r="N2759" s="334"/>
      <c r="O2759" s="320">
        <f>D2745</f>
        <v>15.08</v>
      </c>
    </row>
    <row r="2760" spans="1:15" ht="42" x14ac:dyDescent="0.35">
      <c r="A2760" s="321"/>
      <c r="B2760" s="320" t="str">
        <f>B2752</f>
        <v>CONCRETO FCK = 25MPA, TRAÇO 1:2,3:2,7 (EM MASSA SECA DE CIMENTO/ AREIA MÉDIA/ BRITA 1) - PREPARO MECÂNICO COM BETONEIRA 600 L. AF_05/2021</v>
      </c>
      <c r="C2760" s="160"/>
      <c r="D2760" s="161"/>
      <c r="E2760" s="161"/>
      <c r="F2760" s="161"/>
      <c r="G2760" s="161"/>
      <c r="H2760" s="161"/>
      <c r="I2760" s="161"/>
      <c r="J2760" s="161"/>
      <c r="K2760" s="161"/>
      <c r="L2760" s="161"/>
      <c r="M2760" s="161"/>
      <c r="N2760" s="334"/>
      <c r="O2760" s="320">
        <f>D2752</f>
        <v>288.39999999999998</v>
      </c>
    </row>
    <row r="2761" spans="1:15" x14ac:dyDescent="0.35">
      <c r="A2761" s="321"/>
      <c r="B2761" s="320"/>
      <c r="C2761" s="160"/>
      <c r="D2761" s="161"/>
      <c r="E2761" s="161"/>
      <c r="F2761" s="161"/>
      <c r="G2761" s="161"/>
      <c r="H2761" s="161"/>
      <c r="I2761" s="161"/>
      <c r="J2761" s="161"/>
      <c r="K2761" s="161"/>
      <c r="L2761" s="161"/>
      <c r="M2761" s="161"/>
      <c r="N2761" s="334"/>
      <c r="O2761" s="161"/>
    </row>
    <row r="2762" spans="1:15" x14ac:dyDescent="0.35">
      <c r="A2762" s="321"/>
      <c r="B2762" s="320"/>
      <c r="C2762" s="160"/>
      <c r="D2762" s="161"/>
      <c r="E2762" s="161"/>
      <c r="F2762" s="161"/>
      <c r="G2762" s="161"/>
      <c r="H2762" s="161"/>
      <c r="I2762" s="161"/>
      <c r="J2762" s="161"/>
      <c r="K2762" s="161"/>
      <c r="L2762" s="161"/>
      <c r="M2762" s="161"/>
      <c r="N2762" s="334"/>
      <c r="O2762" s="161"/>
    </row>
    <row r="2763" spans="1:15" x14ac:dyDescent="0.35">
      <c r="A2763" s="321"/>
      <c r="B2763" s="318" t="s">
        <v>377</v>
      </c>
      <c r="C2763" s="158" t="s">
        <v>402</v>
      </c>
      <c r="D2763" s="158"/>
      <c r="E2763" s="158"/>
      <c r="F2763" s="158"/>
      <c r="G2763" s="158"/>
      <c r="H2763" s="158"/>
      <c r="I2763" s="158"/>
      <c r="J2763" s="158"/>
      <c r="K2763" s="161"/>
      <c r="L2763" s="158"/>
      <c r="M2763" s="158"/>
      <c r="N2763" s="160"/>
      <c r="O2763" s="160">
        <f>SUM(O2759:O2762)</f>
        <v>303.47999999999996</v>
      </c>
    </row>
    <row r="2764" spans="1:15" ht="21" x14ac:dyDescent="0.35">
      <c r="A2764" s="323" t="str">
        <f>ORÇAMENTO!A473</f>
        <v>5.1.2.9.5</v>
      </c>
      <c r="B2764" s="322" t="str">
        <f>VLOOKUP(A2764,ORÇAMENTO!$A:$F,4,0)</f>
        <v>ARMAÇÃO EM AÇO CA-50 - FORNECIMENTO, PREPARO E COLOCAÇÃO</v>
      </c>
      <c r="C2764" s="149" t="str">
        <f>VLOOKUP(A2764,ORÇAMENTO!$A:$F,5,0)</f>
        <v>KG</v>
      </c>
      <c r="D2764" s="149">
        <f>ROUND(SUM(E2769:O2769),2)</f>
        <v>14935</v>
      </c>
      <c r="E2764" s="149" t="s">
        <v>2149</v>
      </c>
      <c r="F2764" s="149" t="s">
        <v>2150</v>
      </c>
      <c r="G2764" s="149" t="s">
        <v>2151</v>
      </c>
      <c r="H2764" s="149" t="s">
        <v>2152</v>
      </c>
      <c r="I2764" s="149" t="s">
        <v>2153</v>
      </c>
      <c r="J2764" s="149" t="s">
        <v>2707</v>
      </c>
      <c r="K2764" s="149" t="s">
        <v>2155</v>
      </c>
      <c r="L2764" s="149" t="s">
        <v>2239</v>
      </c>
      <c r="M2764" s="149" t="s">
        <v>413</v>
      </c>
      <c r="N2764" s="149" t="s">
        <v>2257</v>
      </c>
      <c r="O2764" s="149" t="s">
        <v>2158</v>
      </c>
    </row>
    <row r="2765" spans="1:15" x14ac:dyDescent="0.35">
      <c r="A2765" s="321"/>
      <c r="B2765" s="320" t="str">
        <f>B2771</f>
        <v>CONFORME DESENHO TIPO</v>
      </c>
      <c r="C2765" s="153"/>
      <c r="D2765" s="154"/>
      <c r="E2765" s="154"/>
      <c r="F2765" s="154"/>
      <c r="G2765" s="154"/>
      <c r="H2765" s="154"/>
      <c r="I2765" s="154"/>
      <c r="J2765" s="154"/>
      <c r="K2765" s="154"/>
      <c r="L2765" s="154"/>
      <c r="M2765" s="154"/>
      <c r="N2765" s="338"/>
      <c r="O2765" s="154"/>
    </row>
    <row r="2766" spans="1:15" x14ac:dyDescent="0.35">
      <c r="A2766" s="321"/>
      <c r="B2766" s="320" t="str">
        <f>B2754</f>
        <v>GALERIA MOLDADA 1,65 x 1,65</v>
      </c>
      <c r="C2766" s="154"/>
      <c r="D2766" s="154"/>
      <c r="E2766" s="154">
        <f>E2754</f>
        <v>257.5</v>
      </c>
      <c r="F2766" s="154"/>
      <c r="G2766" s="154"/>
      <c r="H2766" s="154"/>
      <c r="I2766" s="154"/>
      <c r="J2766" s="154">
        <v>58</v>
      </c>
      <c r="K2766" s="154">
        <f>J2766*E2766</f>
        <v>14935</v>
      </c>
      <c r="L2766" s="154"/>
      <c r="M2766" s="154"/>
      <c r="N2766" s="338"/>
      <c r="O2766" s="154"/>
    </row>
    <row r="2767" spans="1:15" x14ac:dyDescent="0.35">
      <c r="A2767" s="321"/>
      <c r="B2767" s="320"/>
      <c r="C2767" s="153"/>
      <c r="D2767" s="154"/>
      <c r="E2767" s="154"/>
      <c r="F2767" s="154"/>
      <c r="G2767" s="154"/>
      <c r="H2767" s="154"/>
      <c r="I2767" s="154"/>
      <c r="J2767" s="154"/>
      <c r="K2767" s="154"/>
      <c r="L2767" s="154"/>
      <c r="M2767" s="154"/>
      <c r="N2767" s="338"/>
      <c r="O2767" s="154"/>
    </row>
    <row r="2768" spans="1:15" x14ac:dyDescent="0.35">
      <c r="A2768" s="321"/>
      <c r="B2768" s="320"/>
      <c r="C2768" s="153"/>
      <c r="D2768" s="154"/>
      <c r="E2768" s="154"/>
      <c r="F2768" s="154"/>
      <c r="G2768" s="154"/>
      <c r="H2768" s="154"/>
      <c r="I2768" s="154"/>
      <c r="J2768" s="154"/>
      <c r="K2768" s="154"/>
      <c r="L2768" s="154"/>
      <c r="M2768" s="154"/>
      <c r="N2768" s="338"/>
      <c r="O2768" s="154"/>
    </row>
    <row r="2769" spans="1:15" x14ac:dyDescent="0.35">
      <c r="A2769" s="321"/>
      <c r="B2769" s="318" t="s">
        <v>377</v>
      </c>
      <c r="C2769" s="158" t="s">
        <v>402</v>
      </c>
      <c r="D2769" s="158"/>
      <c r="E2769" s="158"/>
      <c r="F2769" s="158"/>
      <c r="G2769" s="158"/>
      <c r="H2769" s="158"/>
      <c r="I2769" s="158"/>
      <c r="J2769" s="158"/>
      <c r="K2769" s="153">
        <f>SUM(K2765:K2768)</f>
        <v>14935</v>
      </c>
      <c r="L2769" s="158"/>
      <c r="M2769" s="158"/>
      <c r="N2769" s="153"/>
      <c r="O2769" s="153"/>
    </row>
    <row r="2770" spans="1:15" ht="42" x14ac:dyDescent="0.35">
      <c r="A2770" s="323" t="str">
        <f>ORÇAMENTO!A474</f>
        <v>5.1.2.9.6</v>
      </c>
      <c r="B2770" s="322" t="str">
        <f>VLOOKUP(A2770,ORÇAMENTO!$A:$F,4,0)</f>
        <v>FABRICAÇÃO, MONTAGEM E DESMONTAGEM DE FÔRMA PARA BOCA PARA BUEIRO, EM CHAPA DE MADEIRA COMPENSADA RESINADA, E = 17 MM, 2 UTILIZAÇÕES. AF_07/2021</v>
      </c>
      <c r="C2770" s="149" t="str">
        <f>VLOOKUP(A2770,ORÇAMENTO!$A:$F,5,0)</f>
        <v>M²</v>
      </c>
      <c r="D2770" s="149">
        <f>ROUND(SUM(E2775:O2775),2)</f>
        <v>2652.25</v>
      </c>
      <c r="E2770" s="149" t="s">
        <v>2149</v>
      </c>
      <c r="F2770" s="149" t="s">
        <v>2150</v>
      </c>
      <c r="G2770" s="149" t="s">
        <v>2151</v>
      </c>
      <c r="H2770" s="149" t="s">
        <v>2152</v>
      </c>
      <c r="I2770" s="149" t="s">
        <v>2153</v>
      </c>
      <c r="J2770" s="149" t="s">
        <v>2154</v>
      </c>
      <c r="K2770" s="149" t="s">
        <v>2155</v>
      </c>
      <c r="L2770" s="149" t="s">
        <v>2239</v>
      </c>
      <c r="M2770" s="149" t="s">
        <v>413</v>
      </c>
      <c r="N2770" s="149" t="s">
        <v>2257</v>
      </c>
      <c r="O2770" s="149" t="s">
        <v>2158</v>
      </c>
    </row>
    <row r="2771" spans="1:15" x14ac:dyDescent="0.35">
      <c r="A2771" s="321"/>
      <c r="B2771" s="320" t="str">
        <f>B2753</f>
        <v>CONFORME DESENHO TIPO</v>
      </c>
      <c r="C2771" s="160"/>
      <c r="D2771" s="161"/>
      <c r="E2771" s="161"/>
      <c r="F2771" s="161"/>
      <c r="G2771" s="161"/>
      <c r="H2771" s="161"/>
      <c r="I2771" s="161"/>
      <c r="J2771" s="161"/>
      <c r="K2771" s="161"/>
      <c r="L2771" s="161"/>
      <c r="M2771" s="161"/>
      <c r="N2771" s="334"/>
      <c r="O2771" s="161"/>
    </row>
    <row r="2772" spans="1:15" x14ac:dyDescent="0.35">
      <c r="A2772" s="321"/>
      <c r="B2772" s="320" t="str">
        <f>B2748</f>
        <v>GALERIA MOLDADA 1,65 x 1,65</v>
      </c>
      <c r="C2772" s="161"/>
      <c r="D2772" s="161"/>
      <c r="E2772" s="161">
        <f>E2754</f>
        <v>257.5</v>
      </c>
      <c r="F2772" s="161"/>
      <c r="G2772" s="161"/>
      <c r="H2772" s="161"/>
      <c r="I2772" s="161">
        <f>6.4+1.95+1.95</f>
        <v>10.299999999999999</v>
      </c>
      <c r="J2772" s="161"/>
      <c r="K2772" s="161"/>
      <c r="L2772" s="161"/>
      <c r="M2772" s="161"/>
      <c r="N2772" s="334">
        <f>E2772*I2772</f>
        <v>2652.2499999999995</v>
      </c>
      <c r="O2772" s="161"/>
    </row>
    <row r="2773" spans="1:15" x14ac:dyDescent="0.35">
      <c r="A2773" s="321"/>
      <c r="B2773" s="320"/>
      <c r="C2773" s="161"/>
      <c r="D2773" s="161"/>
      <c r="E2773" s="161"/>
      <c r="F2773" s="161"/>
      <c r="G2773" s="161"/>
      <c r="H2773" s="161"/>
      <c r="I2773" s="161"/>
      <c r="J2773" s="161"/>
      <c r="K2773" s="161"/>
      <c r="L2773" s="161"/>
      <c r="M2773" s="161"/>
      <c r="N2773" s="334"/>
      <c r="O2773" s="161"/>
    </row>
    <row r="2774" spans="1:15" x14ac:dyDescent="0.35">
      <c r="A2774" s="321"/>
      <c r="B2774" s="320"/>
      <c r="C2774" s="160"/>
      <c r="D2774" s="161"/>
      <c r="E2774" s="161"/>
      <c r="F2774" s="161"/>
      <c r="G2774" s="161"/>
      <c r="H2774" s="161"/>
      <c r="I2774" s="161"/>
      <c r="J2774" s="161"/>
      <c r="K2774" s="161"/>
      <c r="L2774" s="161"/>
      <c r="M2774" s="161"/>
      <c r="N2774" s="334"/>
      <c r="O2774" s="161"/>
    </row>
    <row r="2775" spans="1:15" x14ac:dyDescent="0.35">
      <c r="A2775" s="321"/>
      <c r="B2775" s="318" t="s">
        <v>377</v>
      </c>
      <c r="C2775" s="158" t="s">
        <v>402</v>
      </c>
      <c r="D2775" s="158"/>
      <c r="E2775" s="158"/>
      <c r="F2775" s="158"/>
      <c r="G2775" s="158"/>
      <c r="H2775" s="158"/>
      <c r="I2775" s="158"/>
      <c r="J2775" s="158"/>
      <c r="K2775" s="161"/>
      <c r="L2775" s="158"/>
      <c r="M2775" s="158"/>
      <c r="N2775" s="160">
        <f>SUM(N2771:N2774)</f>
        <v>2652.2499999999995</v>
      </c>
      <c r="O2775" s="160"/>
    </row>
    <row r="2776" spans="1:15" x14ac:dyDescent="0.35">
      <c r="A2776" s="327" t="str">
        <f>ORÇAMENTO!A475</f>
        <v>5.1.2.10</v>
      </c>
      <c r="B2776" s="326" t="str">
        <f>VLOOKUP(A2776,ORÇAMENTO!$A:$F,4,0)</f>
        <v>DISSIPADOR DE ENERGIA</v>
      </c>
      <c r="C2776" s="143"/>
      <c r="D2776" s="143"/>
      <c r="E2776" s="144"/>
      <c r="F2776" s="144"/>
      <c r="G2776" s="144"/>
      <c r="H2776" s="144"/>
      <c r="I2776" s="144"/>
      <c r="J2776" s="144"/>
      <c r="K2776" s="144"/>
      <c r="L2776" s="144"/>
      <c r="M2776" s="144"/>
      <c r="N2776" s="144"/>
      <c r="O2776" s="144"/>
    </row>
    <row r="2777" spans="1:15" ht="21" x14ac:dyDescent="0.35">
      <c r="A2777" s="323" t="str">
        <f>ORÇAMENTO!A476</f>
        <v>5.1.2.10.1</v>
      </c>
      <c r="B2777" s="322" t="str">
        <f>VLOOKUP(A2777,ORÇAMENTO!$A:$F,4,0)</f>
        <v>LIMPEZA MANUAL DE VEGETAÇÃO EM TERRENO COM ENXADA. AF_03/2024</v>
      </c>
      <c r="C2777" s="149" t="str">
        <f>VLOOKUP(A2777,ORÇAMENTO!$A:$F,5,0)</f>
        <v>M²</v>
      </c>
      <c r="D2777" s="149">
        <f>ROUND(SUM(E2782:O2782),2)</f>
        <v>48</v>
      </c>
      <c r="E2777" s="149" t="s">
        <v>2149</v>
      </c>
      <c r="F2777" s="149" t="s">
        <v>2150</v>
      </c>
      <c r="G2777" s="149" t="s">
        <v>2151</v>
      </c>
      <c r="H2777" s="149" t="s">
        <v>2152</v>
      </c>
      <c r="I2777" s="149" t="s">
        <v>2153</v>
      </c>
      <c r="J2777" s="149" t="s">
        <v>2154</v>
      </c>
      <c r="K2777" s="149" t="s">
        <v>2155</v>
      </c>
      <c r="L2777" s="149" t="s">
        <v>2239</v>
      </c>
      <c r="M2777" s="149" t="s">
        <v>413</v>
      </c>
      <c r="N2777" s="149" t="s">
        <v>2257</v>
      </c>
      <c r="O2777" s="149" t="s">
        <v>2158</v>
      </c>
    </row>
    <row r="2778" spans="1:15" x14ac:dyDescent="0.35">
      <c r="A2778" s="321"/>
      <c r="B2778" s="318" t="s">
        <v>2263</v>
      </c>
      <c r="C2778" s="160"/>
      <c r="D2778" s="161"/>
      <c r="E2778" s="161"/>
      <c r="F2778" s="161"/>
      <c r="G2778" s="161"/>
      <c r="H2778" s="161"/>
      <c r="I2778" s="161"/>
      <c r="J2778" s="161"/>
      <c r="K2778" s="161"/>
      <c r="L2778" s="161"/>
      <c r="M2778" s="161"/>
      <c r="N2778" s="334"/>
      <c r="O2778" s="161"/>
    </row>
    <row r="2779" spans="1:15" x14ac:dyDescent="0.35">
      <c r="A2779" s="321"/>
      <c r="B2779" s="320"/>
      <c r="C2779" s="160"/>
      <c r="D2779" s="161"/>
      <c r="E2779" s="161"/>
      <c r="F2779" s="161"/>
      <c r="G2779" s="161"/>
      <c r="H2779" s="161"/>
      <c r="I2779" s="161"/>
      <c r="J2779" s="161"/>
      <c r="K2779" s="161"/>
      <c r="L2779" s="161"/>
      <c r="M2779" s="161"/>
      <c r="N2779" s="334"/>
      <c r="O2779" s="161"/>
    </row>
    <row r="2780" spans="1:15" x14ac:dyDescent="0.35">
      <c r="A2780" s="321"/>
      <c r="B2780" s="320" t="s">
        <v>2706</v>
      </c>
      <c r="C2780" s="160"/>
      <c r="D2780" s="161"/>
      <c r="E2780" s="161"/>
      <c r="F2780" s="161"/>
      <c r="G2780" s="161"/>
      <c r="H2780" s="161"/>
      <c r="I2780" s="161"/>
      <c r="J2780" s="161"/>
      <c r="K2780" s="161"/>
      <c r="L2780" s="161"/>
      <c r="M2780" s="160">
        <v>1</v>
      </c>
      <c r="N2780" s="334">
        <v>48</v>
      </c>
      <c r="O2780" s="161"/>
    </row>
    <row r="2781" spans="1:15" x14ac:dyDescent="0.35">
      <c r="A2781" s="321"/>
      <c r="B2781" s="320"/>
      <c r="C2781" s="160"/>
      <c r="D2781" s="161"/>
      <c r="E2781" s="161"/>
      <c r="F2781" s="161"/>
      <c r="G2781" s="161"/>
      <c r="H2781" s="161"/>
      <c r="I2781" s="161"/>
      <c r="J2781" s="161"/>
      <c r="K2781" s="161"/>
      <c r="L2781" s="161"/>
      <c r="M2781" s="161"/>
      <c r="N2781" s="334"/>
      <c r="O2781" s="161"/>
    </row>
    <row r="2782" spans="1:15" x14ac:dyDescent="0.35">
      <c r="A2782" s="321"/>
      <c r="B2782" s="318" t="s">
        <v>377</v>
      </c>
      <c r="C2782" s="158" t="s">
        <v>402</v>
      </c>
      <c r="D2782" s="158"/>
      <c r="E2782" s="158"/>
      <c r="F2782" s="158"/>
      <c r="G2782" s="158"/>
      <c r="H2782" s="158"/>
      <c r="I2782" s="158"/>
      <c r="J2782" s="158"/>
      <c r="K2782" s="161"/>
      <c r="L2782" s="158"/>
      <c r="M2782" s="158"/>
      <c r="N2782" s="160">
        <f>SUM(N2779:N2780)</f>
        <v>48</v>
      </c>
      <c r="O2782" s="160"/>
    </row>
    <row r="2783" spans="1:15" ht="21" x14ac:dyDescent="0.35">
      <c r="A2783" s="323" t="str">
        <f>ORÇAMENTO!A477</f>
        <v>5.1.2.10.2</v>
      </c>
      <c r="B2783" s="322" t="str">
        <f>VLOOKUP(A2783,ORÇAMENTO!$A:$F,4,0)</f>
        <v>REVEST. PRIMARIO C CASCALHO OU SAIBRO C\ COMPACTACAO</v>
      </c>
      <c r="C2783" s="149" t="str">
        <f>VLOOKUP(A2783,ORÇAMENTO!$A:$F,5,0)</f>
        <v>M³</v>
      </c>
      <c r="D2783" s="149">
        <f>ROUND(SUM(E2788:O2788),2)</f>
        <v>4.8</v>
      </c>
      <c r="E2783" s="149" t="s">
        <v>2149</v>
      </c>
      <c r="F2783" s="149" t="s">
        <v>2150</v>
      </c>
      <c r="G2783" s="149" t="s">
        <v>2151</v>
      </c>
      <c r="H2783" s="149" t="s">
        <v>2152</v>
      </c>
      <c r="I2783" s="149" t="s">
        <v>2153</v>
      </c>
      <c r="J2783" s="149" t="s">
        <v>2154</v>
      </c>
      <c r="K2783" s="149" t="s">
        <v>2155</v>
      </c>
      <c r="L2783" s="149" t="s">
        <v>2239</v>
      </c>
      <c r="M2783" s="149" t="s">
        <v>413</v>
      </c>
      <c r="N2783" s="149" t="s">
        <v>2257</v>
      </c>
      <c r="O2783" s="149" t="s">
        <v>2158</v>
      </c>
    </row>
    <row r="2784" spans="1:15" x14ac:dyDescent="0.35">
      <c r="A2784" s="321"/>
      <c r="B2784" s="318" t="str">
        <f>B2778</f>
        <v>CONFORME DESENHO TIPO</v>
      </c>
      <c r="C2784" s="160"/>
      <c r="D2784" s="161"/>
      <c r="E2784" s="161"/>
      <c r="F2784" s="161"/>
      <c r="G2784" s="161"/>
      <c r="H2784" s="161"/>
      <c r="I2784" s="161"/>
      <c r="J2784" s="161"/>
      <c r="K2784" s="161"/>
      <c r="L2784" s="161"/>
      <c r="M2784" s="161"/>
      <c r="N2784" s="334"/>
      <c r="O2784" s="161"/>
    </row>
    <row r="2785" spans="1:15" x14ac:dyDescent="0.35">
      <c r="A2785" s="321"/>
      <c r="B2785" s="320"/>
      <c r="C2785" s="160"/>
      <c r="D2785" s="161"/>
      <c r="E2785" s="161"/>
      <c r="F2785" s="161"/>
      <c r="G2785" s="161"/>
      <c r="H2785" s="161"/>
      <c r="I2785" s="161"/>
      <c r="J2785" s="161"/>
      <c r="K2785" s="161"/>
      <c r="L2785" s="161"/>
      <c r="M2785" s="161"/>
      <c r="N2785" s="334"/>
      <c r="O2785" s="161"/>
    </row>
    <row r="2786" spans="1:15" x14ac:dyDescent="0.35">
      <c r="A2786" s="321"/>
      <c r="B2786" s="320" t="str">
        <f>B2780</f>
        <v>DISSIPADOR A4</v>
      </c>
      <c r="C2786" s="160"/>
      <c r="D2786" s="161"/>
      <c r="E2786" s="161"/>
      <c r="F2786" s="161"/>
      <c r="G2786" s="161"/>
      <c r="H2786" s="161">
        <v>0.1</v>
      </c>
      <c r="I2786" s="161"/>
      <c r="J2786" s="161"/>
      <c r="K2786" s="161"/>
      <c r="L2786" s="161"/>
      <c r="M2786" s="160">
        <f>M2780</f>
        <v>1</v>
      </c>
      <c r="N2786" s="334">
        <f>N2780</f>
        <v>48</v>
      </c>
      <c r="O2786" s="161">
        <f>M2786*N2786*H2786</f>
        <v>4.8000000000000007</v>
      </c>
    </row>
    <row r="2787" spans="1:15" x14ac:dyDescent="0.35">
      <c r="A2787" s="321"/>
      <c r="B2787" s="320"/>
      <c r="C2787" s="160"/>
      <c r="D2787" s="161"/>
      <c r="E2787" s="161"/>
      <c r="F2787" s="161"/>
      <c r="G2787" s="161"/>
      <c r="H2787" s="161"/>
      <c r="I2787" s="161"/>
      <c r="J2787" s="161"/>
      <c r="K2787" s="161"/>
      <c r="L2787" s="161"/>
      <c r="M2787" s="161"/>
      <c r="N2787" s="334"/>
      <c r="O2787" s="161"/>
    </row>
    <row r="2788" spans="1:15" x14ac:dyDescent="0.35">
      <c r="A2788" s="321"/>
      <c r="B2788" s="318" t="s">
        <v>377</v>
      </c>
      <c r="C2788" s="158" t="s">
        <v>402</v>
      </c>
      <c r="D2788" s="158"/>
      <c r="E2788" s="158"/>
      <c r="F2788" s="158"/>
      <c r="G2788" s="158"/>
      <c r="H2788" s="158"/>
      <c r="I2788" s="158"/>
      <c r="J2788" s="158"/>
      <c r="K2788" s="161"/>
      <c r="L2788" s="158"/>
      <c r="M2788" s="158"/>
      <c r="N2788" s="160"/>
      <c r="O2788" s="160">
        <f>SUM(O2784:O2787)</f>
        <v>4.8000000000000007</v>
      </c>
    </row>
    <row r="2789" spans="1:15" ht="42" x14ac:dyDescent="0.35">
      <c r="A2789" s="323" t="str">
        <f>ORÇAMENTO!A478</f>
        <v>5.1.2.10.3</v>
      </c>
      <c r="B2789" s="322" t="str">
        <f>VLOOKUP(A2789,ORÇAMENTO!$A:$F,4,0)</f>
        <v>CONCRETO FCK = 15MPA, TRAÇO 1:3,4:3,5 (EM MASSA SECA DE CIMENTO/ AREIA MÉDIA/ BRITA 1) - PREPARO MECÂNICO COM BETONEIRA 600 L. AF_05/2021</v>
      </c>
      <c r="C2789" s="149" t="str">
        <f>VLOOKUP(A2789,ORÇAMENTO!$A:$F,5,0)</f>
        <v>M³</v>
      </c>
      <c r="D2789" s="149">
        <f>ROUND(SUM(E2794:O2794),2)</f>
        <v>2.4</v>
      </c>
      <c r="E2789" s="149" t="s">
        <v>2149</v>
      </c>
      <c r="F2789" s="149" t="s">
        <v>2150</v>
      </c>
      <c r="G2789" s="149" t="s">
        <v>2151</v>
      </c>
      <c r="H2789" s="149" t="s">
        <v>2152</v>
      </c>
      <c r="I2789" s="149" t="s">
        <v>2153</v>
      </c>
      <c r="J2789" s="149" t="s">
        <v>2154</v>
      </c>
      <c r="K2789" s="149" t="s">
        <v>2155</v>
      </c>
      <c r="L2789" s="149" t="s">
        <v>2239</v>
      </c>
      <c r="M2789" s="149" t="s">
        <v>413</v>
      </c>
      <c r="N2789" s="149" t="s">
        <v>2257</v>
      </c>
      <c r="O2789" s="149" t="s">
        <v>2158</v>
      </c>
    </row>
    <row r="2790" spans="1:15" x14ac:dyDescent="0.35">
      <c r="A2790" s="321"/>
      <c r="B2790" s="318" t="str">
        <f>B2784</f>
        <v>CONFORME DESENHO TIPO</v>
      </c>
      <c r="C2790" s="160"/>
      <c r="D2790" s="161"/>
      <c r="E2790" s="161"/>
      <c r="F2790" s="161"/>
      <c r="G2790" s="161"/>
      <c r="H2790" s="161"/>
      <c r="I2790" s="161"/>
      <c r="J2790" s="161"/>
      <c r="K2790" s="161"/>
      <c r="L2790" s="161"/>
      <c r="M2790" s="161"/>
      <c r="N2790" s="334"/>
      <c r="O2790" s="161"/>
    </row>
    <row r="2791" spans="1:15" x14ac:dyDescent="0.35">
      <c r="A2791" s="321"/>
      <c r="B2791" s="320" t="str">
        <f>B2786</f>
        <v>DISSIPADOR A4</v>
      </c>
      <c r="C2791" s="160"/>
      <c r="D2791" s="161"/>
      <c r="E2791" s="161"/>
      <c r="F2791" s="161"/>
      <c r="G2791" s="161"/>
      <c r="H2791" s="161"/>
      <c r="I2791" s="161"/>
      <c r="J2791" s="161"/>
      <c r="K2791" s="161"/>
      <c r="L2791" s="161"/>
      <c r="M2791" s="161"/>
      <c r="N2791" s="334"/>
      <c r="O2791" s="161"/>
    </row>
    <row r="2792" spans="1:15" x14ac:dyDescent="0.35">
      <c r="A2792" s="321"/>
      <c r="B2792" s="320" t="s">
        <v>2497</v>
      </c>
      <c r="C2792" s="160"/>
      <c r="D2792" s="161"/>
      <c r="E2792" s="161"/>
      <c r="F2792" s="161"/>
      <c r="G2792" s="161"/>
      <c r="H2792" s="161">
        <v>0.05</v>
      </c>
      <c r="I2792" s="161"/>
      <c r="J2792" s="161"/>
      <c r="K2792" s="161"/>
      <c r="L2792" s="161"/>
      <c r="M2792" s="160">
        <f>M2786</f>
        <v>1</v>
      </c>
      <c r="N2792" s="334">
        <f>N2786</f>
        <v>48</v>
      </c>
      <c r="O2792" s="161">
        <f>M2792*N2792*H2792</f>
        <v>2.4000000000000004</v>
      </c>
    </row>
    <row r="2793" spans="1:15" x14ac:dyDescent="0.35">
      <c r="A2793" s="321"/>
      <c r="B2793" s="320"/>
      <c r="C2793" s="160"/>
      <c r="D2793" s="161"/>
      <c r="E2793" s="161"/>
      <c r="F2793" s="161"/>
      <c r="G2793" s="161"/>
      <c r="H2793" s="161"/>
      <c r="I2793" s="161"/>
      <c r="J2793" s="161"/>
      <c r="K2793" s="161"/>
      <c r="L2793" s="161"/>
      <c r="M2793" s="161"/>
      <c r="N2793" s="334"/>
      <c r="O2793" s="161"/>
    </row>
    <row r="2794" spans="1:15" x14ac:dyDescent="0.35">
      <c r="A2794" s="321"/>
      <c r="B2794" s="318" t="s">
        <v>377</v>
      </c>
      <c r="C2794" s="158" t="s">
        <v>402</v>
      </c>
      <c r="D2794" s="158"/>
      <c r="E2794" s="158"/>
      <c r="F2794" s="158"/>
      <c r="G2794" s="158"/>
      <c r="H2794" s="158"/>
      <c r="I2794" s="158"/>
      <c r="J2794" s="158"/>
      <c r="K2794" s="161"/>
      <c r="L2794" s="158"/>
      <c r="M2794" s="158"/>
      <c r="N2794" s="160"/>
      <c r="O2794" s="160">
        <f>SUM(O2790:O2793)</f>
        <v>2.4000000000000004</v>
      </c>
    </row>
    <row r="2795" spans="1:15" ht="42" x14ac:dyDescent="0.35">
      <c r="A2795" s="323" t="str">
        <f>ORÇAMENTO!A479</f>
        <v>5.1.2.10.4</v>
      </c>
      <c r="B2795" s="322" t="str">
        <f>VLOOKUP(A2795,ORÇAMENTO!$A:$F,4,0)</f>
        <v>CONCRETO FCK = 25MPA, TRAÇO 1:2,3:2,7 (EM MASSA SECA DE CIMENTO/ AREIA MÉDIA/ BRITA 1) - PREPARO MECÂNICO COM BETONEIRA 600 L. AF_05/2021</v>
      </c>
      <c r="C2795" s="149" t="str">
        <f>VLOOKUP(A2795,ORÇAMENTO!$A:$F,5,0)</f>
        <v>M³</v>
      </c>
      <c r="D2795" s="149">
        <f>ROUND(SUM(E2800:O2800),2)</f>
        <v>23.26</v>
      </c>
      <c r="E2795" s="149" t="s">
        <v>2149</v>
      </c>
      <c r="F2795" s="149" t="s">
        <v>2150</v>
      </c>
      <c r="G2795" s="149" t="s">
        <v>2151</v>
      </c>
      <c r="H2795" s="149" t="s">
        <v>2152</v>
      </c>
      <c r="I2795" s="149" t="s">
        <v>2153</v>
      </c>
      <c r="J2795" s="149" t="s">
        <v>2154</v>
      </c>
      <c r="K2795" s="149" t="s">
        <v>2155</v>
      </c>
      <c r="L2795" s="149" t="s">
        <v>2239</v>
      </c>
      <c r="M2795" s="149" t="s">
        <v>413</v>
      </c>
      <c r="N2795" s="149" t="s">
        <v>2257</v>
      </c>
      <c r="O2795" s="149" t="s">
        <v>2158</v>
      </c>
    </row>
    <row r="2796" spans="1:15" x14ac:dyDescent="0.35">
      <c r="A2796" s="321"/>
      <c r="B2796" s="318" t="str">
        <f>B2808</f>
        <v>CONFORME DESENHO TIPO</v>
      </c>
      <c r="C2796" s="153"/>
      <c r="D2796" s="154"/>
      <c r="E2796" s="154"/>
      <c r="F2796" s="154"/>
      <c r="G2796" s="154"/>
      <c r="H2796" s="154"/>
      <c r="I2796" s="154"/>
      <c r="J2796" s="154"/>
      <c r="K2796" s="154"/>
      <c r="L2796" s="154"/>
      <c r="M2796" s="154"/>
      <c r="N2796" s="338"/>
      <c r="O2796" s="154"/>
    </row>
    <row r="2797" spans="1:15" x14ac:dyDescent="0.35">
      <c r="A2797" s="336"/>
      <c r="B2797" s="320"/>
      <c r="C2797" s="153"/>
      <c r="D2797" s="153"/>
      <c r="E2797" s="153"/>
      <c r="F2797" s="153"/>
      <c r="G2797" s="153"/>
      <c r="H2797" s="153"/>
      <c r="I2797" s="153"/>
      <c r="J2797" s="153"/>
      <c r="K2797" s="153"/>
      <c r="L2797" s="153"/>
      <c r="M2797" s="153"/>
      <c r="N2797" s="339"/>
      <c r="O2797" s="153"/>
    </row>
    <row r="2798" spans="1:15" x14ac:dyDescent="0.35">
      <c r="A2798" s="321"/>
      <c r="B2798" s="320" t="str">
        <f>B2791</f>
        <v>DISSIPADOR A4</v>
      </c>
      <c r="C2798" s="153"/>
      <c r="D2798" s="154"/>
      <c r="E2798" s="154"/>
      <c r="F2798" s="154"/>
      <c r="G2798" s="154"/>
      <c r="H2798" s="154"/>
      <c r="I2798" s="154"/>
      <c r="J2798" s="154"/>
      <c r="K2798" s="154"/>
      <c r="L2798" s="154"/>
      <c r="M2798" s="153">
        <f>M2792</f>
        <v>1</v>
      </c>
      <c r="N2798" s="338"/>
      <c r="O2798" s="154">
        <f>23.26*M2798</f>
        <v>23.26</v>
      </c>
    </row>
    <row r="2799" spans="1:15" x14ac:dyDescent="0.35">
      <c r="A2799" s="321"/>
      <c r="B2799" s="320"/>
      <c r="C2799" s="153"/>
      <c r="D2799" s="154"/>
      <c r="E2799" s="154"/>
      <c r="F2799" s="154"/>
      <c r="G2799" s="154"/>
      <c r="H2799" s="154"/>
      <c r="I2799" s="154"/>
      <c r="J2799" s="154"/>
      <c r="K2799" s="154"/>
      <c r="L2799" s="154"/>
      <c r="M2799" s="154"/>
      <c r="N2799" s="338"/>
      <c r="O2799" s="154"/>
    </row>
    <row r="2800" spans="1:15" x14ac:dyDescent="0.35">
      <c r="A2800" s="321"/>
      <c r="B2800" s="318" t="s">
        <v>377</v>
      </c>
      <c r="C2800" s="158" t="s">
        <v>402</v>
      </c>
      <c r="D2800" s="158"/>
      <c r="E2800" s="158"/>
      <c r="F2800" s="158"/>
      <c r="G2800" s="158"/>
      <c r="H2800" s="158"/>
      <c r="I2800" s="158"/>
      <c r="J2800" s="158"/>
      <c r="K2800" s="154"/>
      <c r="L2800" s="158"/>
      <c r="M2800" s="158"/>
      <c r="N2800" s="153"/>
      <c r="O2800" s="153">
        <f>SUM(O2796:O2799)</f>
        <v>23.26</v>
      </c>
    </row>
    <row r="2801" spans="1:15" ht="31.5" x14ac:dyDescent="0.35">
      <c r="A2801" s="323" t="str">
        <f>ORÇAMENTO!A480</f>
        <v>5.1.2.10.5</v>
      </c>
      <c r="B2801" s="322" t="str">
        <f>VLOOKUP(A2801,ORÇAMENTO!$A:$F,4,0)</f>
        <v>LANÇAMENTO COM USO DE BALDES, ADENSAMENTO E ACABAMENTO DE CONCRETO EM ESTRUTURAS. AF_02/2022</v>
      </c>
      <c r="C2801" s="149" t="str">
        <f>VLOOKUP(A2801,ORÇAMENTO!$A:$F,5,0)</f>
        <v>M³</v>
      </c>
      <c r="D2801" s="149">
        <f>ROUND(SUM(E2806:O2806),2)</f>
        <v>25.66</v>
      </c>
      <c r="E2801" s="149" t="s">
        <v>2149</v>
      </c>
      <c r="F2801" s="149" t="s">
        <v>2150</v>
      </c>
      <c r="G2801" s="149" t="s">
        <v>2151</v>
      </c>
      <c r="H2801" s="149" t="s">
        <v>2152</v>
      </c>
      <c r="I2801" s="149" t="s">
        <v>2153</v>
      </c>
      <c r="J2801" s="149" t="s">
        <v>2154</v>
      </c>
      <c r="K2801" s="149" t="s">
        <v>2155</v>
      </c>
      <c r="L2801" s="149" t="s">
        <v>2239</v>
      </c>
      <c r="M2801" s="149" t="s">
        <v>413</v>
      </c>
      <c r="N2801" s="149" t="s">
        <v>2257</v>
      </c>
      <c r="O2801" s="149" t="s">
        <v>2158</v>
      </c>
    </row>
    <row r="2802" spans="1:15" ht="42" x14ac:dyDescent="0.35">
      <c r="A2802" s="321"/>
      <c r="B2802" s="320" t="str">
        <f>B2789</f>
        <v>CONCRETO FCK = 15MPA, TRAÇO 1:3,4:3,5 (EM MASSA SECA DE CIMENTO/ AREIA MÉDIA/ BRITA 1) - PREPARO MECÂNICO COM BETONEIRA 600 L. AF_05/2021</v>
      </c>
      <c r="C2802" s="160"/>
      <c r="D2802" s="161"/>
      <c r="E2802" s="161"/>
      <c r="F2802" s="161"/>
      <c r="G2802" s="161"/>
      <c r="H2802" s="161"/>
      <c r="I2802" s="161"/>
      <c r="J2802" s="161"/>
      <c r="K2802" s="161"/>
      <c r="L2802" s="161"/>
      <c r="M2802" s="161"/>
      <c r="N2802" s="334"/>
      <c r="O2802" s="337">
        <f>O2794</f>
        <v>2.4000000000000004</v>
      </c>
    </row>
    <row r="2803" spans="1:15" ht="42" x14ac:dyDescent="0.35">
      <c r="A2803" s="321"/>
      <c r="B2803" s="320" t="str">
        <f>B2795</f>
        <v>CONCRETO FCK = 25MPA, TRAÇO 1:2,3:2,7 (EM MASSA SECA DE CIMENTO/ AREIA MÉDIA/ BRITA 1) - PREPARO MECÂNICO COM BETONEIRA 600 L. AF_05/2021</v>
      </c>
      <c r="C2803" s="160"/>
      <c r="D2803" s="161"/>
      <c r="E2803" s="161"/>
      <c r="F2803" s="161"/>
      <c r="G2803" s="161"/>
      <c r="H2803" s="161"/>
      <c r="I2803" s="161"/>
      <c r="J2803" s="161"/>
      <c r="K2803" s="161"/>
      <c r="L2803" s="161"/>
      <c r="M2803" s="161"/>
      <c r="N2803" s="334"/>
      <c r="O2803" s="337">
        <f>O2800</f>
        <v>23.26</v>
      </c>
    </row>
    <row r="2804" spans="1:15" x14ac:dyDescent="0.35">
      <c r="A2804" s="321"/>
      <c r="B2804" s="320"/>
      <c r="C2804" s="160"/>
      <c r="D2804" s="161"/>
      <c r="E2804" s="161"/>
      <c r="F2804" s="161"/>
      <c r="G2804" s="161"/>
      <c r="H2804" s="161"/>
      <c r="I2804" s="161"/>
      <c r="J2804" s="161"/>
      <c r="K2804" s="161"/>
      <c r="L2804" s="161"/>
      <c r="M2804" s="161"/>
      <c r="N2804" s="334"/>
      <c r="O2804" s="161"/>
    </row>
    <row r="2805" spans="1:15" x14ac:dyDescent="0.35">
      <c r="A2805" s="321"/>
      <c r="B2805" s="320"/>
      <c r="C2805" s="160"/>
      <c r="D2805" s="161"/>
      <c r="E2805" s="161"/>
      <c r="F2805" s="161"/>
      <c r="G2805" s="161"/>
      <c r="H2805" s="161"/>
      <c r="I2805" s="161"/>
      <c r="J2805" s="161"/>
      <c r="K2805" s="161"/>
      <c r="L2805" s="161"/>
      <c r="M2805" s="161"/>
      <c r="N2805" s="334"/>
      <c r="O2805" s="161"/>
    </row>
    <row r="2806" spans="1:15" x14ac:dyDescent="0.35">
      <c r="A2806" s="321"/>
      <c r="B2806" s="318" t="s">
        <v>377</v>
      </c>
      <c r="C2806" s="158" t="s">
        <v>402</v>
      </c>
      <c r="D2806" s="158"/>
      <c r="E2806" s="158"/>
      <c r="F2806" s="158"/>
      <c r="G2806" s="158"/>
      <c r="H2806" s="158"/>
      <c r="I2806" s="158"/>
      <c r="J2806" s="158"/>
      <c r="K2806" s="161"/>
      <c r="L2806" s="158"/>
      <c r="M2806" s="158"/>
      <c r="N2806" s="160"/>
      <c r="O2806" s="160">
        <f>SUM(O2802:O2805)</f>
        <v>25.660000000000004</v>
      </c>
    </row>
    <row r="2807" spans="1:15" ht="31.5" x14ac:dyDescent="0.35">
      <c r="A2807" s="323" t="str">
        <f>ORÇAMENTO!A481</f>
        <v>5.1.2.10.6</v>
      </c>
      <c r="B2807" s="322" t="str">
        <f>VLOOKUP(A2807,ORÇAMENTO!$A:$F,4,0)</f>
        <v>FÔRMAS DE TÁBUAS DE PINHO PARA DISPOSITIVOS DE DRENAGEM - UTILIZAÇÃO DE 3 VEZES - CONFECÇÃO, INSTALAÇÃO E RETIRADA</v>
      </c>
      <c r="C2807" s="149" t="str">
        <f>VLOOKUP(A2807,ORÇAMENTO!$A:$F,5,0)</f>
        <v>M²</v>
      </c>
      <c r="D2807" s="149">
        <f>ROUND(SUM(E2812:O2812),2)</f>
        <v>232.6</v>
      </c>
      <c r="E2807" s="149" t="s">
        <v>2149</v>
      </c>
      <c r="F2807" s="149" t="s">
        <v>2150</v>
      </c>
      <c r="G2807" s="149" t="s">
        <v>2151</v>
      </c>
      <c r="H2807" s="149" t="s">
        <v>2152</v>
      </c>
      <c r="I2807" s="149" t="s">
        <v>2153</v>
      </c>
      <c r="J2807" s="149" t="s">
        <v>2154</v>
      </c>
      <c r="K2807" s="149" t="s">
        <v>2155</v>
      </c>
      <c r="L2807" s="149" t="s">
        <v>2239</v>
      </c>
      <c r="M2807" s="149" t="s">
        <v>413</v>
      </c>
      <c r="N2807" s="149" t="s">
        <v>2257</v>
      </c>
      <c r="O2807" s="149" t="s">
        <v>2158</v>
      </c>
    </row>
    <row r="2808" spans="1:15" x14ac:dyDescent="0.35">
      <c r="A2808" s="321"/>
      <c r="B2808" s="318" t="str">
        <f>B2790</f>
        <v>CONFORME DESENHO TIPO</v>
      </c>
      <c r="C2808" s="160"/>
      <c r="D2808" s="161"/>
      <c r="E2808" s="161"/>
      <c r="F2808" s="161"/>
      <c r="G2808" s="161"/>
      <c r="H2808" s="161"/>
      <c r="I2808" s="161"/>
      <c r="J2808" s="161"/>
      <c r="K2808" s="161"/>
      <c r="L2808" s="161"/>
      <c r="M2808" s="161"/>
      <c r="N2808" s="334"/>
      <c r="O2808" s="161"/>
    </row>
    <row r="2809" spans="1:15" x14ac:dyDescent="0.35">
      <c r="A2809" s="336"/>
      <c r="B2809" s="318"/>
      <c r="C2809" s="160"/>
      <c r="D2809" s="160"/>
      <c r="E2809" s="160"/>
      <c r="F2809" s="160"/>
      <c r="G2809" s="160"/>
      <c r="H2809" s="160"/>
      <c r="I2809" s="160"/>
      <c r="J2809" s="160"/>
      <c r="K2809" s="160"/>
      <c r="L2809" s="160"/>
      <c r="M2809" s="160"/>
      <c r="N2809" s="335"/>
      <c r="O2809" s="160"/>
    </row>
    <row r="2810" spans="1:15" x14ac:dyDescent="0.35">
      <c r="A2810" s="321"/>
      <c r="B2810" s="320" t="str">
        <f>B2798</f>
        <v>DISSIPADOR A4</v>
      </c>
      <c r="C2810" s="160"/>
      <c r="D2810" s="161"/>
      <c r="E2810" s="161"/>
      <c r="F2810" s="161"/>
      <c r="G2810" s="161"/>
      <c r="H2810" s="161"/>
      <c r="I2810" s="161"/>
      <c r="J2810" s="161"/>
      <c r="K2810" s="161"/>
      <c r="L2810" s="161"/>
      <c r="M2810" s="160">
        <f>M2798</f>
        <v>1</v>
      </c>
      <c r="N2810" s="334">
        <f>232.6*M2810</f>
        <v>232.6</v>
      </c>
      <c r="O2810" s="161"/>
    </row>
    <row r="2811" spans="1:15" x14ac:dyDescent="0.35">
      <c r="A2811" s="321"/>
      <c r="B2811" s="320"/>
      <c r="C2811" s="160"/>
      <c r="D2811" s="161"/>
      <c r="E2811" s="161"/>
      <c r="F2811" s="161"/>
      <c r="G2811" s="161"/>
      <c r="H2811" s="161"/>
      <c r="I2811" s="161"/>
      <c r="J2811" s="161"/>
      <c r="K2811" s="161"/>
      <c r="L2811" s="161"/>
      <c r="M2811" s="161"/>
      <c r="N2811" s="334"/>
      <c r="O2811" s="161"/>
    </row>
    <row r="2812" spans="1:15" x14ac:dyDescent="0.35">
      <c r="A2812" s="321"/>
      <c r="B2812" s="318" t="s">
        <v>377</v>
      </c>
      <c r="C2812" s="158" t="s">
        <v>402</v>
      </c>
      <c r="D2812" s="158"/>
      <c r="E2812" s="158"/>
      <c r="F2812" s="158"/>
      <c r="G2812" s="158"/>
      <c r="H2812" s="158"/>
      <c r="I2812" s="158"/>
      <c r="J2812" s="158"/>
      <c r="K2812" s="161"/>
      <c r="L2812" s="158"/>
      <c r="M2812" s="158"/>
      <c r="N2812" s="160">
        <f>SUM(N2808:N2810)</f>
        <v>232.6</v>
      </c>
      <c r="O2812" s="160"/>
    </row>
    <row r="2813" spans="1:15" ht="21" x14ac:dyDescent="0.35">
      <c r="A2813" s="323" t="str">
        <f>ORÇAMENTO!A482</f>
        <v>5.1.2.10.7</v>
      </c>
      <c r="B2813" s="322" t="str">
        <f>VLOOKUP(A2813,ORÇAMENTO!$A:$F,4,0)</f>
        <v>ARMAÇÃO EM AÇO CA-50 - FORNECIMENTO, PREPARO E COLOCAÇÃO</v>
      </c>
      <c r="C2813" s="149" t="str">
        <f>VLOOKUP(A2813,ORÇAMENTO!$A:$F,5,0)</f>
        <v>KG</v>
      </c>
      <c r="D2813" s="149">
        <f>ROUND(SUM(E2818:O2818),2)</f>
        <v>2515.39</v>
      </c>
      <c r="E2813" s="149" t="s">
        <v>2149</v>
      </c>
      <c r="F2813" s="149" t="s">
        <v>2150</v>
      </c>
      <c r="G2813" s="149" t="s">
        <v>2151</v>
      </c>
      <c r="H2813" s="149" t="s">
        <v>2152</v>
      </c>
      <c r="I2813" s="149" t="s">
        <v>2153</v>
      </c>
      <c r="J2813" s="149" t="s">
        <v>2154</v>
      </c>
      <c r="K2813" s="149" t="s">
        <v>2155</v>
      </c>
      <c r="L2813" s="149" t="s">
        <v>2239</v>
      </c>
      <c r="M2813" s="149" t="s">
        <v>413</v>
      </c>
      <c r="N2813" s="149" t="s">
        <v>2257</v>
      </c>
      <c r="O2813" s="149" t="s">
        <v>2158</v>
      </c>
    </row>
    <row r="2814" spans="1:15" x14ac:dyDescent="0.35">
      <c r="A2814" s="321"/>
      <c r="B2814" s="318" t="str">
        <f>B2796</f>
        <v>CONFORME DESENHO TIPO</v>
      </c>
      <c r="C2814" s="160"/>
      <c r="D2814" s="161"/>
      <c r="E2814" s="161"/>
      <c r="F2814" s="161"/>
      <c r="G2814" s="161"/>
      <c r="H2814" s="161"/>
      <c r="I2814" s="161"/>
      <c r="J2814" s="161"/>
      <c r="K2814" s="161"/>
      <c r="L2814" s="161"/>
      <c r="M2814" s="161"/>
      <c r="N2814" s="334"/>
      <c r="O2814" s="161"/>
    </row>
    <row r="2815" spans="1:15" x14ac:dyDescent="0.35">
      <c r="A2815" s="336"/>
      <c r="B2815" s="318"/>
      <c r="C2815" s="160"/>
      <c r="D2815" s="160"/>
      <c r="E2815" s="160"/>
      <c r="F2815" s="160"/>
      <c r="G2815" s="160"/>
      <c r="H2815" s="160"/>
      <c r="I2815" s="160"/>
      <c r="J2815" s="160"/>
      <c r="K2815" s="160"/>
      <c r="L2815" s="160"/>
      <c r="M2815" s="160"/>
      <c r="N2815" s="335"/>
      <c r="O2815" s="160"/>
    </row>
    <row r="2816" spans="1:15" x14ac:dyDescent="0.35">
      <c r="A2816" s="321"/>
      <c r="B2816" s="320" t="str">
        <f>B2810</f>
        <v>DISSIPADOR A4</v>
      </c>
      <c r="C2816" s="160"/>
      <c r="D2816" s="161"/>
      <c r="E2816" s="161"/>
      <c r="F2816" s="161"/>
      <c r="G2816" s="161"/>
      <c r="H2816" s="161"/>
      <c r="I2816" s="161"/>
      <c r="J2816" s="161"/>
      <c r="K2816" s="161">
        <f>2515.39*M2816</f>
        <v>2515.39</v>
      </c>
      <c r="L2816" s="161"/>
      <c r="M2816" s="160">
        <f>M2810</f>
        <v>1</v>
      </c>
      <c r="N2816" s="334"/>
      <c r="O2816" s="161"/>
    </row>
    <row r="2817" spans="1:15" x14ac:dyDescent="0.35">
      <c r="A2817" s="321"/>
      <c r="B2817" s="320"/>
      <c r="C2817" s="160"/>
      <c r="D2817" s="161"/>
      <c r="E2817" s="161"/>
      <c r="F2817" s="161"/>
      <c r="G2817" s="161"/>
      <c r="H2817" s="161"/>
      <c r="I2817" s="161"/>
      <c r="J2817" s="161"/>
      <c r="K2817" s="161"/>
      <c r="L2817" s="161"/>
      <c r="M2817" s="161"/>
      <c r="N2817" s="334"/>
      <c r="O2817" s="161"/>
    </row>
    <row r="2818" spans="1:15" x14ac:dyDescent="0.35">
      <c r="A2818" s="321"/>
      <c r="B2818" s="318" t="s">
        <v>377</v>
      </c>
      <c r="C2818" s="158" t="s">
        <v>402</v>
      </c>
      <c r="D2818" s="158"/>
      <c r="E2818" s="158"/>
      <c r="F2818" s="158"/>
      <c r="G2818" s="158"/>
      <c r="H2818" s="158"/>
      <c r="I2818" s="158"/>
      <c r="J2818" s="158"/>
      <c r="K2818" s="160">
        <f>SUM(K2815:K2817)</f>
        <v>2515.39</v>
      </c>
      <c r="L2818" s="158"/>
      <c r="M2818" s="158"/>
      <c r="N2818" s="160"/>
      <c r="O2818" s="160"/>
    </row>
    <row r="2819" spans="1:15" x14ac:dyDescent="0.35">
      <c r="A2819" s="327" t="str">
        <f>ORÇAMENTO!A483</f>
        <v>5.1.2.11</v>
      </c>
      <c r="B2819" s="326" t="str">
        <f>VLOOKUP(A2819,ORÇAMENTO!$A:$F,4,0)</f>
        <v>SERVIÇOS FINAIS PARA DRENAGEM</v>
      </c>
      <c r="C2819" s="143"/>
      <c r="D2819" s="143"/>
      <c r="E2819" s="144"/>
      <c r="F2819" s="144"/>
      <c r="G2819" s="144"/>
      <c r="H2819" s="144"/>
      <c r="I2819" s="144"/>
      <c r="J2819" s="144"/>
      <c r="K2819" s="144"/>
      <c r="L2819" s="144"/>
      <c r="M2819" s="144"/>
      <c r="N2819" s="144"/>
      <c r="O2819" s="144"/>
    </row>
    <row r="2820" spans="1:15" ht="21" x14ac:dyDescent="0.35">
      <c r="A2820" s="323" t="str">
        <f>ORÇAMENTO!A484</f>
        <v>5.1.2.11.1</v>
      </c>
      <c r="B2820" s="322" t="str">
        <f>VLOOKUP(A2820,ORÇAMENTO!$A:$F,4,0)</f>
        <v>LIMPEZA E TESTE DE REDES DE DRENAGEM</v>
      </c>
      <c r="C2820" s="149" t="str">
        <f>VLOOKUP(A2820,ORÇAMENTO!$A:$F,5,0)</f>
        <v>M</v>
      </c>
      <c r="D2820" s="149">
        <f>ROUND(SUM(E2823:O2823),2)</f>
        <v>2656.26</v>
      </c>
      <c r="E2820" s="149" t="s">
        <v>2149</v>
      </c>
      <c r="F2820" s="149" t="s">
        <v>2150</v>
      </c>
      <c r="G2820" s="149" t="s">
        <v>2151</v>
      </c>
      <c r="H2820" s="149" t="s">
        <v>2152</v>
      </c>
      <c r="I2820" s="149" t="s">
        <v>2153</v>
      </c>
      <c r="J2820" s="149" t="s">
        <v>2154</v>
      </c>
      <c r="K2820" s="149" t="s">
        <v>2155</v>
      </c>
      <c r="L2820" s="149" t="s">
        <v>2239</v>
      </c>
      <c r="M2820" s="149" t="s">
        <v>413</v>
      </c>
      <c r="N2820" s="149" t="s">
        <v>2244</v>
      </c>
      <c r="O2820" s="149" t="s">
        <v>2158</v>
      </c>
    </row>
    <row r="2821" spans="1:15" x14ac:dyDescent="0.35">
      <c r="A2821" s="321"/>
      <c r="B2821" s="320" t="s">
        <v>2274</v>
      </c>
      <c r="C2821" s="160"/>
      <c r="D2821" s="161"/>
      <c r="E2821" s="161">
        <f>Quantitativos!F106</f>
        <v>2656.2599999999998</v>
      </c>
      <c r="F2821" s="161"/>
      <c r="G2821" s="161"/>
      <c r="H2821" s="161"/>
      <c r="I2821" s="161"/>
      <c r="J2821" s="161"/>
      <c r="K2821" s="161"/>
      <c r="L2821" s="161"/>
      <c r="M2821" s="161"/>
      <c r="N2821" s="334"/>
      <c r="O2821" s="161"/>
    </row>
    <row r="2822" spans="1:15" x14ac:dyDescent="0.35">
      <c r="A2822" s="321"/>
      <c r="B2822" s="320"/>
      <c r="C2822" s="160"/>
      <c r="D2822" s="161"/>
      <c r="E2822" s="161"/>
      <c r="F2822" s="161"/>
      <c r="G2822" s="161"/>
      <c r="H2822" s="161"/>
      <c r="I2822" s="161"/>
      <c r="J2822" s="161"/>
      <c r="K2822" s="161"/>
      <c r="L2822" s="161"/>
      <c r="M2822" s="161"/>
      <c r="N2822" s="334"/>
      <c r="O2822" s="161"/>
    </row>
    <row r="2823" spans="1:15" x14ac:dyDescent="0.35">
      <c r="A2823" s="321"/>
      <c r="B2823" s="318" t="s">
        <v>377</v>
      </c>
      <c r="C2823" s="158" t="s">
        <v>402</v>
      </c>
      <c r="D2823" s="158"/>
      <c r="E2823" s="160">
        <f>SUM(E2821:E2822)</f>
        <v>2656.2599999999998</v>
      </c>
      <c r="F2823" s="158"/>
      <c r="G2823" s="158"/>
      <c r="H2823" s="158"/>
      <c r="I2823" s="158"/>
      <c r="J2823" s="158"/>
      <c r="K2823" s="161"/>
      <c r="L2823" s="158"/>
      <c r="M2823" s="158"/>
      <c r="N2823" s="160"/>
      <c r="O2823" s="158"/>
    </row>
    <row r="2824" spans="1:15" ht="21" x14ac:dyDescent="0.35">
      <c r="A2824" s="327" t="str">
        <f>ORÇAMENTO!A485</f>
        <v>5.2</v>
      </c>
      <c r="B2824" s="326" t="str">
        <f>VLOOKUP(A2824,ORÇAMENTO!$A:$F,4,0)</f>
        <v>MANUTENÇÃO E LIMPEZA DO DISSIPADOR DE ENERGIA EXISTENTE</v>
      </c>
      <c r="C2824" s="143"/>
      <c r="D2824" s="143"/>
      <c r="E2824" s="144"/>
      <c r="F2824" s="144"/>
      <c r="G2824" s="144"/>
      <c r="H2824" s="144"/>
      <c r="I2824" s="144"/>
      <c r="J2824" s="144"/>
      <c r="K2824" s="144"/>
      <c r="L2824" s="144"/>
      <c r="M2824" s="144"/>
      <c r="N2824" s="144"/>
      <c r="O2824" s="144"/>
    </row>
    <row r="2825" spans="1:15" ht="21" x14ac:dyDescent="0.35">
      <c r="A2825" s="323" t="str">
        <f>ORÇAMENTO!A486</f>
        <v>5.2.1</v>
      </c>
      <c r="B2825" s="322" t="str">
        <f>VLOOKUP(A2825,ORÇAMENTO!$A:$F,4,0)</f>
        <v>LIMPEZA MANUAL DE VEGETAÇÃO EM TERRENO COM ENXADA. AF_03/2024</v>
      </c>
      <c r="C2825" s="149" t="str">
        <f>VLOOKUP(A2825,ORÇAMENTO!$A:$F,5,0)</f>
        <v>M²</v>
      </c>
      <c r="D2825" s="149">
        <f>SUM(E2830:O2830)</f>
        <v>13.5</v>
      </c>
      <c r="E2825" s="149" t="s">
        <v>2149</v>
      </c>
      <c r="F2825" s="149" t="s">
        <v>2150</v>
      </c>
      <c r="G2825" s="149" t="s">
        <v>2151</v>
      </c>
      <c r="H2825" s="149" t="s">
        <v>2152</v>
      </c>
      <c r="I2825" s="149" t="s">
        <v>2153</v>
      </c>
      <c r="J2825" s="149" t="s">
        <v>2154</v>
      </c>
      <c r="K2825" s="149" t="s">
        <v>2155</v>
      </c>
      <c r="L2825" s="149" t="s">
        <v>413</v>
      </c>
      <c r="M2825" s="331" t="s">
        <v>2175</v>
      </c>
      <c r="N2825" s="149" t="s">
        <v>2157</v>
      </c>
      <c r="O2825" s="149" t="s">
        <v>2158</v>
      </c>
    </row>
    <row r="2826" spans="1:15" x14ac:dyDescent="0.35">
      <c r="A2826" s="321"/>
      <c r="B2826" s="318"/>
      <c r="C2826" s="160"/>
      <c r="D2826" s="160"/>
      <c r="E2826" s="160"/>
      <c r="F2826" s="160"/>
      <c r="G2826" s="160"/>
      <c r="H2826" s="160"/>
      <c r="I2826" s="160"/>
      <c r="J2826" s="160"/>
      <c r="K2826" s="160"/>
      <c r="L2826" s="160"/>
      <c r="M2826" s="160"/>
      <c r="N2826" s="160"/>
      <c r="O2826" s="160"/>
    </row>
    <row r="2827" spans="1:15" x14ac:dyDescent="0.35">
      <c r="A2827" s="321"/>
      <c r="B2827" s="320" t="s">
        <v>2705</v>
      </c>
      <c r="C2827" s="160"/>
      <c r="D2827" s="160"/>
      <c r="E2827" s="161">
        <v>4.5</v>
      </c>
      <c r="F2827" s="161">
        <v>3</v>
      </c>
      <c r="G2827" s="161"/>
      <c r="H2827" s="161">
        <v>0.95</v>
      </c>
      <c r="I2827" s="161"/>
      <c r="J2827" s="161"/>
      <c r="K2827" s="161"/>
      <c r="L2827" s="161">
        <v>1</v>
      </c>
      <c r="M2827" s="160"/>
      <c r="N2827" s="161">
        <f>E2827*F2827*L2827</f>
        <v>13.5</v>
      </c>
      <c r="O2827" s="160"/>
    </row>
    <row r="2828" spans="1:15" x14ac:dyDescent="0.35">
      <c r="A2828" s="321"/>
      <c r="B2828" s="320"/>
      <c r="C2828" s="160"/>
      <c r="D2828" s="160"/>
      <c r="E2828" s="161"/>
      <c r="F2828" s="161"/>
      <c r="G2828" s="161"/>
      <c r="H2828" s="161"/>
      <c r="I2828" s="161"/>
      <c r="J2828" s="161"/>
      <c r="K2828" s="161"/>
      <c r="L2828" s="161"/>
      <c r="M2828" s="160"/>
      <c r="N2828" s="161"/>
      <c r="O2828" s="160"/>
    </row>
    <row r="2829" spans="1:15" x14ac:dyDescent="0.35">
      <c r="A2829" s="321"/>
      <c r="B2829" s="320"/>
      <c r="C2829" s="160"/>
      <c r="D2829" s="160"/>
      <c r="E2829" s="161"/>
      <c r="F2829" s="161"/>
      <c r="G2829" s="161"/>
      <c r="H2829" s="161"/>
      <c r="I2829" s="161"/>
      <c r="J2829" s="161"/>
      <c r="K2829" s="161"/>
      <c r="L2829" s="161"/>
      <c r="M2829" s="160"/>
      <c r="N2829" s="161"/>
      <c r="O2829" s="161"/>
    </row>
    <row r="2830" spans="1:15" x14ac:dyDescent="0.35">
      <c r="A2830" s="319"/>
      <c r="B2830" s="318" t="s">
        <v>377</v>
      </c>
      <c r="C2830" s="158" t="s">
        <v>402</v>
      </c>
      <c r="D2830" s="161"/>
      <c r="E2830" s="158"/>
      <c r="F2830" s="158"/>
      <c r="G2830" s="158"/>
      <c r="H2830" s="158"/>
      <c r="I2830" s="158"/>
      <c r="J2830" s="158"/>
      <c r="K2830" s="158"/>
      <c r="L2830" s="158"/>
      <c r="M2830" s="158"/>
      <c r="N2830" s="158">
        <f>ROUND(SUM(N2827:N2829),2)</f>
        <v>13.5</v>
      </c>
      <c r="O2830" s="158"/>
    </row>
    <row r="2831" spans="1:15" ht="21" x14ac:dyDescent="0.35">
      <c r="A2831" s="323" t="str">
        <f>ORÇAMENTO!A487</f>
        <v>5.2.2</v>
      </c>
      <c r="B2831" s="322" t="str">
        <f>VLOOKUP(A2831,ORÇAMENTO!$A:$F,4,0)</f>
        <v>DESASSOREAMENTO, LIMPEZA E REMOÇÃO DE MATERIAL DE GALERIA MOLDADA</v>
      </c>
      <c r="C2831" s="149" t="str">
        <f>VLOOKUP(A2831,ORÇAMENTO!$A:$F,5,0)</f>
        <v>M³</v>
      </c>
      <c r="D2831" s="149">
        <f>SUM(E2835:O2835)</f>
        <v>12.83</v>
      </c>
      <c r="E2831" s="149" t="s">
        <v>2149</v>
      </c>
      <c r="F2831" s="149" t="s">
        <v>2150</v>
      </c>
      <c r="G2831" s="149" t="s">
        <v>2151</v>
      </c>
      <c r="H2831" s="149" t="s">
        <v>2152</v>
      </c>
      <c r="I2831" s="149" t="s">
        <v>2153</v>
      </c>
      <c r="J2831" s="149" t="s">
        <v>2154</v>
      </c>
      <c r="K2831" s="149" t="s">
        <v>2155</v>
      </c>
      <c r="L2831" s="149" t="s">
        <v>413</v>
      </c>
      <c r="M2831" s="331" t="s">
        <v>2175</v>
      </c>
      <c r="N2831" s="149" t="s">
        <v>2157</v>
      </c>
      <c r="O2831" s="149" t="s">
        <v>2158</v>
      </c>
    </row>
    <row r="2832" spans="1:15" x14ac:dyDescent="0.35">
      <c r="A2832" s="321"/>
      <c r="B2832" s="318"/>
      <c r="C2832" s="160"/>
      <c r="D2832" s="160"/>
      <c r="E2832" s="160"/>
      <c r="F2832" s="160"/>
      <c r="G2832" s="160"/>
      <c r="H2832" s="160"/>
      <c r="I2832" s="160"/>
      <c r="J2832" s="160"/>
      <c r="K2832" s="160"/>
      <c r="L2832" s="160"/>
      <c r="M2832" s="160"/>
      <c r="N2832" s="160"/>
      <c r="O2832" s="160"/>
    </row>
    <row r="2833" spans="1:15" x14ac:dyDescent="0.35">
      <c r="A2833" s="321"/>
      <c r="B2833" s="320" t="str">
        <f>B2827</f>
        <v>DISSIPADOR DE ENERGIA EXISTENTE</v>
      </c>
      <c r="C2833" s="153"/>
      <c r="D2833" s="153"/>
      <c r="E2833" s="154">
        <f>E2827</f>
        <v>4.5</v>
      </c>
      <c r="F2833" s="154">
        <f>F2827</f>
        <v>3</v>
      </c>
      <c r="G2833" s="154"/>
      <c r="H2833" s="154">
        <f>H2827</f>
        <v>0.95</v>
      </c>
      <c r="I2833" s="154"/>
      <c r="J2833" s="154"/>
      <c r="K2833" s="154"/>
      <c r="L2833" s="154">
        <f>L2827</f>
        <v>1</v>
      </c>
      <c r="M2833" s="154"/>
      <c r="N2833" s="161">
        <f>E2833*F2833</f>
        <v>13.5</v>
      </c>
      <c r="O2833" s="154">
        <f>H2833*N2833*L2833</f>
        <v>12.824999999999999</v>
      </c>
    </row>
    <row r="2834" spans="1:15" x14ac:dyDescent="0.35">
      <c r="A2834" s="321"/>
      <c r="B2834" s="320"/>
      <c r="C2834" s="160"/>
      <c r="D2834" s="160"/>
      <c r="E2834" s="160"/>
      <c r="F2834" s="160"/>
      <c r="G2834" s="160"/>
      <c r="H2834" s="160"/>
      <c r="I2834" s="160"/>
      <c r="J2834" s="160"/>
      <c r="K2834" s="160"/>
      <c r="L2834" s="160"/>
      <c r="M2834" s="160"/>
      <c r="N2834" s="160"/>
      <c r="O2834" s="160"/>
    </row>
    <row r="2835" spans="1:15" x14ac:dyDescent="0.35">
      <c r="A2835" s="319"/>
      <c r="B2835" s="318" t="s">
        <v>377</v>
      </c>
      <c r="C2835" s="182" t="s">
        <v>402</v>
      </c>
      <c r="D2835" s="182"/>
      <c r="E2835" s="182"/>
      <c r="F2835" s="182"/>
      <c r="G2835" s="182"/>
      <c r="H2835" s="182"/>
      <c r="I2835" s="182"/>
      <c r="J2835" s="182"/>
      <c r="K2835" s="182"/>
      <c r="L2835" s="160"/>
      <c r="M2835" s="182"/>
      <c r="N2835" s="182"/>
      <c r="O2835" s="158">
        <f>ROUND(SUM(O2833:O2834),2)</f>
        <v>12.83</v>
      </c>
    </row>
    <row r="2836" spans="1:15" x14ac:dyDescent="0.35">
      <c r="A2836" s="327" t="str">
        <f>ORÇAMENTO!A488</f>
        <v>5.3</v>
      </c>
      <c r="B2836" s="326" t="str">
        <f>ORÇAMENTO!D488</f>
        <v>MANUTENÇÃO DE DISPOSITIVOS EXISTENTES</v>
      </c>
      <c r="C2836" s="143"/>
      <c r="D2836" s="143"/>
      <c r="E2836" s="144"/>
      <c r="F2836" s="144"/>
      <c r="G2836" s="144"/>
      <c r="H2836" s="144"/>
      <c r="I2836" s="144"/>
      <c r="J2836" s="144"/>
      <c r="K2836" s="144"/>
      <c r="L2836" s="144"/>
      <c r="M2836" s="144"/>
      <c r="N2836" s="144"/>
      <c r="O2836" s="144"/>
    </row>
    <row r="2837" spans="1:15" x14ac:dyDescent="0.35">
      <c r="A2837" s="327" t="str">
        <f>ORÇAMENTO!A489</f>
        <v>5.3.1</v>
      </c>
      <c r="B2837" s="326" t="str">
        <f>VLOOKUP(A2837,ORÇAMENTO!$A:$F,4,0)</f>
        <v>LIMPEZA E DESOBSTRUÇÃO DE BOCA DE LOBO</v>
      </c>
      <c r="C2837" s="143"/>
      <c r="D2837" s="143"/>
      <c r="E2837" s="144"/>
      <c r="F2837" s="144"/>
      <c r="G2837" s="144"/>
      <c r="H2837" s="144"/>
      <c r="I2837" s="144"/>
      <c r="J2837" s="144"/>
      <c r="K2837" s="144"/>
      <c r="L2837" s="144"/>
      <c r="M2837" s="144"/>
      <c r="N2837" s="144"/>
      <c r="O2837" s="144"/>
    </row>
    <row r="2838" spans="1:15" ht="21" x14ac:dyDescent="0.35">
      <c r="A2838" s="323" t="str">
        <f>ORÇAMENTO!A490</f>
        <v>5.3.1.1</v>
      </c>
      <c r="B2838" s="322" t="str">
        <f>VLOOKUP(A2838,ORÇAMENTO!$A:$F,4,0)</f>
        <v>DESOBSTRUÇÃO E LIMPEZA DE BOCA-DE-LOBO</v>
      </c>
      <c r="C2838" s="149" t="str">
        <f>VLOOKUP(A2838,ORÇAMENTO!$A:$F,5,0)</f>
        <v>UN</v>
      </c>
      <c r="D2838" s="149">
        <f>SUM(E2841:O2841)</f>
        <v>164</v>
      </c>
      <c r="E2838" s="149" t="s">
        <v>2177</v>
      </c>
      <c r="F2838" s="149" t="s">
        <v>2150</v>
      </c>
      <c r="G2838" s="149" t="s">
        <v>2151</v>
      </c>
      <c r="H2838" s="149" t="s">
        <v>2152</v>
      </c>
      <c r="I2838" s="149" t="s">
        <v>2153</v>
      </c>
      <c r="J2838" s="149" t="s">
        <v>2154</v>
      </c>
      <c r="K2838" s="149" t="s">
        <v>2172</v>
      </c>
      <c r="L2838" s="149" t="s">
        <v>2178</v>
      </c>
      <c r="M2838" s="149" t="s">
        <v>413</v>
      </c>
      <c r="N2838" s="149" t="s">
        <v>2157</v>
      </c>
      <c r="O2838" s="149" t="s">
        <v>2158</v>
      </c>
    </row>
    <row r="2839" spans="1:15" x14ac:dyDescent="0.35">
      <c r="A2839" s="321"/>
      <c r="B2839" s="320" t="s">
        <v>2275</v>
      </c>
      <c r="C2839" s="160"/>
      <c r="D2839" s="161"/>
      <c r="E2839" s="161"/>
      <c r="F2839" s="161"/>
      <c r="G2839" s="161"/>
      <c r="H2839" s="161"/>
      <c r="I2839" s="161"/>
      <c r="J2839" s="161"/>
      <c r="K2839" s="161"/>
      <c r="L2839" s="161"/>
      <c r="M2839" s="161">
        <f>'Planilha Hidráulica'!AE115</f>
        <v>164</v>
      </c>
      <c r="N2839" s="161"/>
      <c r="O2839" s="161"/>
    </row>
    <row r="2840" spans="1:15" x14ac:dyDescent="0.35">
      <c r="A2840" s="321"/>
      <c r="B2840" s="320"/>
      <c r="C2840" s="160"/>
      <c r="D2840" s="161"/>
      <c r="E2840" s="161"/>
      <c r="F2840" s="161"/>
      <c r="G2840" s="161"/>
      <c r="H2840" s="161"/>
      <c r="I2840" s="161"/>
      <c r="J2840" s="161"/>
      <c r="K2840" s="161"/>
      <c r="L2840" s="161"/>
      <c r="M2840" s="161"/>
      <c r="N2840" s="161"/>
      <c r="O2840" s="161"/>
    </row>
    <row r="2841" spans="1:15" x14ac:dyDescent="0.35">
      <c r="A2841" s="321"/>
      <c r="B2841" s="318" t="s">
        <v>377</v>
      </c>
      <c r="C2841" s="181" t="s">
        <v>402</v>
      </c>
      <c r="D2841" s="181"/>
      <c r="E2841" s="181"/>
      <c r="F2841" s="181"/>
      <c r="G2841" s="181"/>
      <c r="H2841" s="181"/>
      <c r="I2841" s="181"/>
      <c r="J2841" s="181"/>
      <c r="K2841" s="181"/>
      <c r="L2841" s="181"/>
      <c r="M2841" s="182">
        <f>SUM(M2839:M2840)</f>
        <v>164</v>
      </c>
      <c r="N2841" s="181"/>
      <c r="O2841" s="182"/>
    </row>
    <row r="2842" spans="1:15" x14ac:dyDescent="0.35">
      <c r="A2842" s="327" t="str">
        <f>ORÇAMENTO!A491</f>
        <v>5.3.2</v>
      </c>
      <c r="B2842" s="326" t="str">
        <f>VLOOKUP(A2842,ORÇAMENTO!$A:$F,4,0)</f>
        <v>LIMPEZA E DESOBSTRUÇÃO DE POÇOS DE VISITA</v>
      </c>
      <c r="C2842" s="143"/>
      <c r="D2842" s="143"/>
      <c r="E2842" s="144"/>
      <c r="F2842" s="144"/>
      <c r="G2842" s="144"/>
      <c r="H2842" s="144"/>
      <c r="I2842" s="144"/>
      <c r="J2842" s="144"/>
      <c r="K2842" s="144"/>
      <c r="L2842" s="144"/>
      <c r="M2842" s="144"/>
      <c r="N2842" s="144"/>
      <c r="O2842" s="144"/>
    </row>
    <row r="2843" spans="1:15" ht="21" x14ac:dyDescent="0.35">
      <c r="A2843" s="323" t="str">
        <f>ORÇAMENTO!A492</f>
        <v>5.3.2.1</v>
      </c>
      <c r="B2843" s="322" t="str">
        <f>VLOOKUP(A2843,ORÇAMENTO!$A:$F,4,0)</f>
        <v>BOMBEAMENTO DE POCO DE VISITA</v>
      </c>
      <c r="C2843" s="149" t="str">
        <f>VLOOKUP(A2843,ORÇAMENTO!$A:$F,5,0)</f>
        <v>UN</v>
      </c>
      <c r="D2843" s="149">
        <f>SUM(E2844:O2844)</f>
        <v>75</v>
      </c>
      <c r="E2843" s="149" t="s">
        <v>2177</v>
      </c>
      <c r="F2843" s="149" t="s">
        <v>2150</v>
      </c>
      <c r="G2843" s="149" t="s">
        <v>2151</v>
      </c>
      <c r="H2843" s="149" t="s">
        <v>2152</v>
      </c>
      <c r="I2843" s="149" t="s">
        <v>2153</v>
      </c>
      <c r="J2843" s="149" t="s">
        <v>2154</v>
      </c>
      <c r="K2843" s="149" t="s">
        <v>2172</v>
      </c>
      <c r="L2843" s="149" t="s">
        <v>2178</v>
      </c>
      <c r="M2843" s="149" t="s">
        <v>413</v>
      </c>
      <c r="N2843" s="149" t="s">
        <v>2157</v>
      </c>
      <c r="O2843" s="149" t="s">
        <v>2158</v>
      </c>
    </row>
    <row r="2844" spans="1:15" x14ac:dyDescent="0.35">
      <c r="A2844" s="321"/>
      <c r="B2844" s="320" t="s">
        <v>2276</v>
      </c>
      <c r="C2844" s="161"/>
      <c r="D2844" s="161"/>
      <c r="E2844" s="161"/>
      <c r="F2844" s="161"/>
      <c r="G2844" s="161"/>
      <c r="H2844" s="161"/>
      <c r="I2844" s="161"/>
      <c r="J2844" s="161"/>
      <c r="K2844" s="161"/>
      <c r="L2844" s="171"/>
      <c r="M2844" s="171">
        <v>75</v>
      </c>
      <c r="N2844" s="161"/>
      <c r="O2844" s="161"/>
    </row>
    <row r="2845" spans="1:15" x14ac:dyDescent="0.35">
      <c r="A2845" s="321"/>
      <c r="B2845" s="320"/>
      <c r="C2845" s="161"/>
      <c r="D2845" s="161"/>
      <c r="E2845" s="161"/>
      <c r="F2845" s="161"/>
      <c r="G2845" s="161"/>
      <c r="H2845" s="161"/>
      <c r="I2845" s="161"/>
      <c r="J2845" s="161"/>
      <c r="K2845" s="161"/>
      <c r="L2845" s="171"/>
      <c r="M2845" s="171"/>
      <c r="N2845" s="161"/>
      <c r="O2845" s="161"/>
    </row>
    <row r="2846" spans="1:15" x14ac:dyDescent="0.35">
      <c r="A2846" s="321"/>
      <c r="B2846" s="318" t="s">
        <v>377</v>
      </c>
      <c r="C2846" s="181" t="s">
        <v>402</v>
      </c>
      <c r="D2846" s="181"/>
      <c r="E2846" s="181"/>
      <c r="F2846" s="181"/>
      <c r="G2846" s="181"/>
      <c r="H2846" s="181"/>
      <c r="I2846" s="181"/>
      <c r="J2846" s="181"/>
      <c r="K2846" s="181"/>
      <c r="L2846" s="182"/>
      <c r="M2846" s="182">
        <f>SUM(M2844:M2844)</f>
        <v>75</v>
      </c>
      <c r="N2846" s="181"/>
      <c r="O2846" s="181"/>
    </row>
    <row r="2847" spans="1:15" ht="21" x14ac:dyDescent="0.35">
      <c r="A2847" s="323" t="str">
        <f>ORÇAMENTO!A493</f>
        <v>5.3.2.2</v>
      </c>
      <c r="B2847" s="322" t="str">
        <f>VLOOKUP(A2847,ORÇAMENTO!$A:$F,4,0)</f>
        <v>LIMPEZA PV</v>
      </c>
      <c r="C2847" s="149" t="str">
        <f>VLOOKUP(A2847,ORÇAMENTO!$A:$F,5,0)</f>
        <v>UN</v>
      </c>
      <c r="D2847" s="149">
        <f>SUM(E2848:O2848)</f>
        <v>75</v>
      </c>
      <c r="E2847" s="149" t="s">
        <v>2177</v>
      </c>
      <c r="F2847" s="149" t="s">
        <v>2150</v>
      </c>
      <c r="G2847" s="149" t="s">
        <v>2151</v>
      </c>
      <c r="H2847" s="149" t="s">
        <v>2152</v>
      </c>
      <c r="I2847" s="149" t="s">
        <v>2153</v>
      </c>
      <c r="J2847" s="149" t="s">
        <v>2154</v>
      </c>
      <c r="K2847" s="149" t="s">
        <v>2172</v>
      </c>
      <c r="L2847" s="149" t="s">
        <v>2178</v>
      </c>
      <c r="M2847" s="149" t="s">
        <v>413</v>
      </c>
      <c r="N2847" s="149" t="s">
        <v>2157</v>
      </c>
      <c r="O2847" s="149" t="s">
        <v>2158</v>
      </c>
    </row>
    <row r="2848" spans="1:15" x14ac:dyDescent="0.35">
      <c r="A2848" s="321"/>
      <c r="B2848" s="320" t="s">
        <v>2276</v>
      </c>
      <c r="C2848" s="161"/>
      <c r="D2848" s="161"/>
      <c r="E2848" s="161"/>
      <c r="F2848" s="161"/>
      <c r="G2848" s="161"/>
      <c r="H2848" s="161"/>
      <c r="I2848" s="161"/>
      <c r="J2848" s="161"/>
      <c r="K2848" s="161"/>
      <c r="L2848" s="171"/>
      <c r="M2848" s="171">
        <f>M2844</f>
        <v>75</v>
      </c>
      <c r="N2848" s="161"/>
      <c r="O2848" s="161"/>
    </row>
    <row r="2849" spans="1:15" x14ac:dyDescent="0.35">
      <c r="A2849" s="321"/>
      <c r="B2849" s="320"/>
      <c r="C2849" s="161"/>
      <c r="D2849" s="161"/>
      <c r="E2849" s="161"/>
      <c r="F2849" s="161"/>
      <c r="G2849" s="161"/>
      <c r="H2849" s="161"/>
      <c r="I2849" s="161"/>
      <c r="J2849" s="161"/>
      <c r="K2849" s="161"/>
      <c r="L2849" s="171"/>
      <c r="M2849" s="171"/>
      <c r="N2849" s="161"/>
      <c r="O2849" s="161"/>
    </row>
    <row r="2850" spans="1:15" x14ac:dyDescent="0.35">
      <c r="A2850" s="321"/>
      <c r="B2850" s="318" t="s">
        <v>377</v>
      </c>
      <c r="C2850" s="181" t="s">
        <v>402</v>
      </c>
      <c r="D2850" s="181"/>
      <c r="E2850" s="181"/>
      <c r="F2850" s="181"/>
      <c r="G2850" s="181"/>
      <c r="H2850" s="181"/>
      <c r="I2850" s="181"/>
      <c r="J2850" s="181"/>
      <c r="K2850" s="181"/>
      <c r="L2850" s="182"/>
      <c r="M2850" s="182">
        <f>SUM(M2848:M2848)</f>
        <v>75</v>
      </c>
      <c r="N2850" s="181"/>
      <c r="O2850" s="181"/>
    </row>
    <row r="2851" spans="1:15" ht="21" x14ac:dyDescent="0.35">
      <c r="A2851" s="327" t="str">
        <f>ORÇAMENTO!A494</f>
        <v>5.4</v>
      </c>
      <c r="B2851" s="326" t="str">
        <f>VLOOKUP(A2851,ORÇAMENTO!$A:$F,4,0)</f>
        <v>TERRAPLENAGEM (MOVIMENTOS DE TERRA EXCETO OS JÁ INDICADOS NAS DEMAIS PLANILHAS)</v>
      </c>
      <c r="C2851" s="143"/>
      <c r="D2851" s="143"/>
      <c r="E2851" s="144"/>
      <c r="F2851" s="144"/>
      <c r="G2851" s="144"/>
      <c r="H2851" s="144"/>
      <c r="I2851" s="144"/>
      <c r="J2851" s="144"/>
      <c r="K2851" s="144"/>
      <c r="L2851" s="144"/>
      <c r="M2851" s="144"/>
      <c r="N2851" s="144"/>
      <c r="O2851" s="144"/>
    </row>
    <row r="2852" spans="1:15" ht="21" x14ac:dyDescent="0.35">
      <c r="A2852" s="327" t="str">
        <f>ORÇAMENTO!A495</f>
        <v>5.4.1</v>
      </c>
      <c r="B2852" s="326" t="str">
        <f>VLOOKUP(A2852,ORÇAMENTO!$A:$F,4,0)</f>
        <v>PREPARAÇÃO DO TERRENO (RASPAGEM E LIMPEZA)</v>
      </c>
      <c r="C2852" s="143"/>
      <c r="D2852" s="143"/>
      <c r="E2852" s="144"/>
      <c r="F2852" s="144"/>
      <c r="G2852" s="144"/>
      <c r="H2852" s="144"/>
      <c r="I2852" s="144"/>
      <c r="J2852" s="144"/>
      <c r="K2852" s="144"/>
      <c r="L2852" s="144"/>
      <c r="M2852" s="144"/>
      <c r="N2852" s="144"/>
      <c r="O2852" s="144"/>
    </row>
    <row r="2853" spans="1:15" ht="42" x14ac:dyDescent="0.35">
      <c r="A2853" s="323" t="str">
        <f>ORÇAMENTO!A496</f>
        <v>5.4.1.1</v>
      </c>
      <c r="B2853" s="322" t="str">
        <f>VLOOKUP(A2853,ORÇAMENTO!$A:$F,4,0)</f>
        <v>LIMPEZA MECANIZADA DE CAMADA VEGETAL, VEGETAÇÃO E PEQUENAS ÁRVORES (DIÂMETRO DE TRONCO MENOR QUE 0,20 M), COM TRATOR DE ESTEIRAS. AF_03/2024</v>
      </c>
      <c r="C2853" s="149" t="str">
        <f>VLOOKUP(A2853,ORÇAMENTO!$A:$F,5,0)</f>
        <v>M²</v>
      </c>
      <c r="D2853" s="149">
        <f>SUM(E2858:O2858)</f>
        <v>9517.74</v>
      </c>
      <c r="E2853" s="149" t="s">
        <v>2149</v>
      </c>
      <c r="F2853" s="149" t="s">
        <v>2150</v>
      </c>
      <c r="G2853" s="149" t="s">
        <v>2151</v>
      </c>
      <c r="H2853" s="149" t="s">
        <v>2152</v>
      </c>
      <c r="I2853" s="149" t="s">
        <v>2153</v>
      </c>
      <c r="J2853" s="149" t="s">
        <v>2154</v>
      </c>
      <c r="K2853" s="149" t="s">
        <v>2155</v>
      </c>
      <c r="L2853" s="149" t="s">
        <v>2704</v>
      </c>
      <c r="M2853" s="331" t="s">
        <v>2175</v>
      </c>
      <c r="N2853" s="149" t="s">
        <v>2157</v>
      </c>
      <c r="O2853" s="149" t="s">
        <v>2158</v>
      </c>
    </row>
    <row r="2854" spans="1:15" x14ac:dyDescent="0.35">
      <c r="A2854" s="321"/>
      <c r="B2854" s="318" t="s">
        <v>2688</v>
      </c>
      <c r="C2854" s="153"/>
      <c r="D2854" s="153"/>
      <c r="E2854" s="153"/>
      <c r="F2854" s="153"/>
      <c r="G2854" s="153"/>
      <c r="H2854" s="153"/>
      <c r="I2854" s="153"/>
      <c r="J2854" s="153"/>
      <c r="K2854" s="153"/>
      <c r="L2854" s="153"/>
      <c r="M2854" s="153"/>
      <c r="N2854" s="153"/>
      <c r="O2854" s="153"/>
    </row>
    <row r="2855" spans="1:15" x14ac:dyDescent="0.35">
      <c r="A2855" s="321"/>
      <c r="B2855" s="320" t="s">
        <v>2703</v>
      </c>
      <c r="C2855" s="153"/>
      <c r="D2855" s="153"/>
      <c r="E2855" s="154">
        <v>669.92</v>
      </c>
      <c r="F2855" s="154">
        <v>7.3</v>
      </c>
      <c r="G2855" s="154"/>
      <c r="H2855" s="154">
        <v>0.3</v>
      </c>
      <c r="I2855" s="154"/>
      <c r="J2855" s="154"/>
      <c r="K2855" s="154"/>
      <c r="L2855" s="154"/>
      <c r="M2855" s="153"/>
      <c r="N2855" s="154">
        <f>E2855*F2855</f>
        <v>4890.4159999999993</v>
      </c>
      <c r="O2855" s="153"/>
    </row>
    <row r="2856" spans="1:15" x14ac:dyDescent="0.35">
      <c r="A2856" s="321"/>
      <c r="B2856" s="320" t="s">
        <v>2702</v>
      </c>
      <c r="C2856" s="153"/>
      <c r="D2856" s="153"/>
      <c r="E2856" s="154">
        <v>633.88000000000011</v>
      </c>
      <c r="F2856" s="154">
        <v>7.3</v>
      </c>
      <c r="G2856" s="154"/>
      <c r="H2856" s="154">
        <v>0.3</v>
      </c>
      <c r="I2856" s="154"/>
      <c r="J2856" s="154"/>
      <c r="K2856" s="154"/>
      <c r="L2856" s="154"/>
      <c r="M2856" s="153"/>
      <c r="N2856" s="154">
        <f>E2856*F2856</f>
        <v>4627.3240000000005</v>
      </c>
      <c r="O2856" s="154"/>
    </row>
    <row r="2857" spans="1:15" x14ac:dyDescent="0.35">
      <c r="A2857" s="321"/>
      <c r="B2857" s="320"/>
      <c r="C2857" s="153"/>
      <c r="D2857" s="153"/>
      <c r="E2857" s="154"/>
      <c r="F2857" s="154"/>
      <c r="G2857" s="154"/>
      <c r="H2857" s="154"/>
      <c r="I2857" s="154"/>
      <c r="J2857" s="154"/>
      <c r="K2857" s="154"/>
      <c r="L2857" s="154"/>
      <c r="M2857" s="153"/>
      <c r="N2857" s="154"/>
      <c r="O2857" s="154"/>
    </row>
    <row r="2858" spans="1:15" x14ac:dyDescent="0.35">
      <c r="A2858" s="319"/>
      <c r="B2858" s="318" t="s">
        <v>377</v>
      </c>
      <c r="C2858" s="158" t="s">
        <v>402</v>
      </c>
      <c r="D2858" s="154"/>
      <c r="E2858" s="158"/>
      <c r="F2858" s="158"/>
      <c r="G2858" s="158"/>
      <c r="H2858" s="158"/>
      <c r="I2858" s="158"/>
      <c r="J2858" s="158"/>
      <c r="K2858" s="158"/>
      <c r="L2858" s="158"/>
      <c r="M2858" s="158"/>
      <c r="N2858" s="158">
        <f>ROUND(SUM(N2855:N2857),2)</f>
        <v>9517.74</v>
      </c>
      <c r="O2858" s="158"/>
    </row>
    <row r="2859" spans="1:15" ht="52.5" x14ac:dyDescent="0.35">
      <c r="A2859" s="323" t="str">
        <f>ORÇAMENTO!A497</f>
        <v>5.4.1.2</v>
      </c>
      <c r="B2859" s="322" t="str">
        <f>VLOOKUP(A2859,ORÇAMENTO!$A:$F,4,0)</f>
        <v>CARGA, MANOBRA E DESCARGA DE ENTULHO EM CAMINHÃO BASCULANTE 14 M³ - CARGA COM ESCAVADEIRA HIDRÁULICA  (CAÇAMBA DE 0,80 M³ / 111 HP) E DESCARGA LIVRE (UNIDADE: M3). AF_07/2020</v>
      </c>
      <c r="C2859" s="149" t="str">
        <f>VLOOKUP(A2859,ORÇAMENTO!$A:$F,5,0)</f>
        <v>M³</v>
      </c>
      <c r="D2859" s="149">
        <f>SUM(E2864:O2864)</f>
        <v>2855.32</v>
      </c>
      <c r="E2859" s="149" t="s">
        <v>2149</v>
      </c>
      <c r="F2859" s="149" t="s">
        <v>2150</v>
      </c>
      <c r="G2859" s="149" t="s">
        <v>2151</v>
      </c>
      <c r="H2859" s="149" t="s">
        <v>2152</v>
      </c>
      <c r="I2859" s="149" t="s">
        <v>2153</v>
      </c>
      <c r="J2859" s="149" t="s">
        <v>2154</v>
      </c>
      <c r="K2859" s="149" t="s">
        <v>2155</v>
      </c>
      <c r="L2859" s="149" t="s">
        <v>413</v>
      </c>
      <c r="M2859" s="331" t="s">
        <v>2175</v>
      </c>
      <c r="N2859" s="149" t="s">
        <v>2157</v>
      </c>
      <c r="O2859" s="149" t="s">
        <v>2158</v>
      </c>
    </row>
    <row r="2860" spans="1:15" x14ac:dyDescent="0.35">
      <c r="A2860" s="321"/>
      <c r="B2860" s="318"/>
      <c r="C2860" s="153"/>
      <c r="D2860" s="153"/>
      <c r="E2860" s="153"/>
      <c r="F2860" s="153"/>
      <c r="G2860" s="153"/>
      <c r="H2860" s="153"/>
      <c r="I2860" s="153"/>
      <c r="J2860" s="153"/>
      <c r="K2860" s="153"/>
      <c r="L2860" s="153"/>
      <c r="M2860" s="153"/>
      <c r="N2860" s="153"/>
      <c r="O2860" s="153"/>
    </row>
    <row r="2861" spans="1:15" x14ac:dyDescent="0.35">
      <c r="A2861" s="321"/>
      <c r="B2861" s="320" t="str">
        <f>B2855</f>
        <v>VIA 9 - ESTACA 0+0,00 A 33+9,92</v>
      </c>
      <c r="C2861" s="153"/>
      <c r="D2861" s="153"/>
      <c r="E2861" s="153"/>
      <c r="F2861" s="153"/>
      <c r="G2861" s="153"/>
      <c r="H2861" s="154">
        <f>H2855</f>
        <v>0.3</v>
      </c>
      <c r="I2861" s="154"/>
      <c r="J2861" s="154"/>
      <c r="K2861" s="154"/>
      <c r="L2861" s="154"/>
      <c r="M2861" s="154"/>
      <c r="N2861" s="154">
        <f>N2855</f>
        <v>4890.4159999999993</v>
      </c>
      <c r="O2861" s="154">
        <f>H2861*N2861</f>
        <v>1467.1247999999998</v>
      </c>
    </row>
    <row r="2862" spans="1:15" x14ac:dyDescent="0.35">
      <c r="A2862" s="321"/>
      <c r="B2862" s="320" t="str">
        <f>B2856</f>
        <v>VIA 11 - ESTACA 1+17,69 A 33+11,57</v>
      </c>
      <c r="C2862" s="153"/>
      <c r="D2862" s="153"/>
      <c r="E2862" s="153"/>
      <c r="F2862" s="153"/>
      <c r="G2862" s="153"/>
      <c r="H2862" s="154">
        <f>H2856</f>
        <v>0.3</v>
      </c>
      <c r="I2862" s="154"/>
      <c r="J2862" s="154"/>
      <c r="K2862" s="154"/>
      <c r="L2862" s="154"/>
      <c r="M2862" s="154"/>
      <c r="N2862" s="154">
        <f>N2856</f>
        <v>4627.3240000000005</v>
      </c>
      <c r="O2862" s="154">
        <f>H2862*N2862</f>
        <v>1388.1972000000001</v>
      </c>
    </row>
    <row r="2863" spans="1:15" x14ac:dyDescent="0.35">
      <c r="A2863" s="321"/>
      <c r="B2863" s="320"/>
      <c r="C2863" s="153"/>
      <c r="D2863" s="153"/>
      <c r="E2863" s="153"/>
      <c r="F2863" s="153"/>
      <c r="G2863" s="153"/>
      <c r="H2863" s="153"/>
      <c r="I2863" s="153"/>
      <c r="J2863" s="153"/>
      <c r="K2863" s="153"/>
      <c r="L2863" s="153"/>
      <c r="M2863" s="153"/>
      <c r="N2863" s="153"/>
      <c r="O2863" s="153"/>
    </row>
    <row r="2864" spans="1:15" x14ac:dyDescent="0.35">
      <c r="A2864" s="319"/>
      <c r="B2864" s="318" t="s">
        <v>377</v>
      </c>
      <c r="C2864" s="158" t="s">
        <v>402</v>
      </c>
      <c r="D2864" s="158"/>
      <c r="E2864" s="158"/>
      <c r="F2864" s="158"/>
      <c r="G2864" s="158"/>
      <c r="H2864" s="158"/>
      <c r="I2864" s="158"/>
      <c r="J2864" s="158"/>
      <c r="K2864" s="158"/>
      <c r="L2864" s="153"/>
      <c r="M2864" s="158"/>
      <c r="N2864" s="158"/>
      <c r="O2864" s="158">
        <f>ROUND(SUM(O2861:O2863),2)</f>
        <v>2855.32</v>
      </c>
    </row>
    <row r="2865" spans="1:15" ht="31.5" x14ac:dyDescent="0.35">
      <c r="A2865" s="323" t="str">
        <f>ORÇAMENTO!A498</f>
        <v>5.4.1.3</v>
      </c>
      <c r="B2865" s="322" t="str">
        <f>VLOOKUP(A2865,ORÇAMENTO!$A:$F,4,0)</f>
        <v>TRANSPORTE COM CAMINHÃO BASCULANTE DE 14 M³, EM VIA URBANA PAVIMENTADA, DMT ATÉ 30 KM (UNIDADE: M3XKM). AF_07/2020</v>
      </c>
      <c r="C2865" s="149" t="str">
        <f>VLOOKUP(A2865,ORÇAMENTO!$A:$F,5,0)</f>
        <v>M3XKM</v>
      </c>
      <c r="D2865" s="331">
        <f>SUM(E2871:O2871)</f>
        <v>85659.66</v>
      </c>
      <c r="E2865" s="331" t="s">
        <v>2174</v>
      </c>
      <c r="F2865" s="331" t="s">
        <v>2701</v>
      </c>
      <c r="G2865" s="331" t="s">
        <v>2700</v>
      </c>
      <c r="H2865" s="331" t="s">
        <v>2699</v>
      </c>
      <c r="I2865" s="331" t="s">
        <v>2153</v>
      </c>
      <c r="J2865" s="331" t="s">
        <v>2154</v>
      </c>
      <c r="K2865" s="331" t="s">
        <v>2155</v>
      </c>
      <c r="L2865" s="331" t="s">
        <v>413</v>
      </c>
      <c r="M2865" s="331" t="s">
        <v>2175</v>
      </c>
      <c r="N2865" s="331" t="s">
        <v>2157</v>
      </c>
      <c r="O2865" s="331" t="s">
        <v>2158</v>
      </c>
    </row>
    <row r="2866" spans="1:15" x14ac:dyDescent="0.35">
      <c r="A2866" s="333"/>
      <c r="B2866" s="318" t="s">
        <v>2698</v>
      </c>
      <c r="C2866" s="153"/>
      <c r="D2866" s="154"/>
      <c r="E2866" s="154">
        <v>30</v>
      </c>
      <c r="F2866" s="332"/>
      <c r="G2866" s="332"/>
      <c r="H2866" s="332"/>
      <c r="I2866" s="332"/>
      <c r="J2866" s="332"/>
      <c r="K2866" s="332"/>
      <c r="L2866" s="332"/>
      <c r="M2866" s="332"/>
      <c r="N2866" s="332"/>
      <c r="O2866" s="332"/>
    </row>
    <row r="2867" spans="1:15" x14ac:dyDescent="0.35">
      <c r="A2867" s="321"/>
      <c r="B2867" s="320"/>
      <c r="C2867" s="154"/>
      <c r="D2867" s="154"/>
      <c r="E2867" s="154"/>
      <c r="F2867" s="154"/>
      <c r="G2867" s="154"/>
      <c r="H2867" s="154"/>
      <c r="I2867" s="154"/>
      <c r="J2867" s="154"/>
      <c r="K2867" s="154"/>
      <c r="L2867" s="329"/>
      <c r="M2867" s="154"/>
      <c r="N2867" s="154"/>
      <c r="O2867" s="154"/>
    </row>
    <row r="2868" spans="1:15" x14ac:dyDescent="0.35">
      <c r="A2868" s="321"/>
      <c r="B2868" s="320" t="str">
        <f>B2861</f>
        <v>VIA 9 - ESTACA 0+0,00 A 33+9,92</v>
      </c>
      <c r="C2868" s="154"/>
      <c r="D2868" s="154"/>
      <c r="E2868" s="154"/>
      <c r="F2868" s="154"/>
      <c r="G2868" s="154"/>
      <c r="H2868" s="154"/>
      <c r="I2868" s="154"/>
      <c r="J2868" s="154"/>
      <c r="K2868" s="154"/>
      <c r="L2868" s="329"/>
      <c r="M2868" s="154">
        <f>$E$2866*O2868</f>
        <v>44013.743999999992</v>
      </c>
      <c r="N2868" s="154"/>
      <c r="O2868" s="154">
        <f>O2861</f>
        <v>1467.1247999999998</v>
      </c>
    </row>
    <row r="2869" spans="1:15" x14ac:dyDescent="0.35">
      <c r="A2869" s="321"/>
      <c r="B2869" s="320" t="str">
        <f>B2862</f>
        <v>VIA 11 - ESTACA 1+17,69 A 33+11,57</v>
      </c>
      <c r="C2869" s="154"/>
      <c r="D2869" s="154"/>
      <c r="E2869" s="154"/>
      <c r="F2869" s="154"/>
      <c r="G2869" s="154"/>
      <c r="H2869" s="154"/>
      <c r="I2869" s="154"/>
      <c r="J2869" s="154"/>
      <c r="K2869" s="154"/>
      <c r="L2869" s="329"/>
      <c r="M2869" s="154">
        <f>$E$2866*O2869</f>
        <v>41645.916000000005</v>
      </c>
      <c r="N2869" s="154"/>
      <c r="O2869" s="154">
        <f>O2862</f>
        <v>1388.1972000000001</v>
      </c>
    </row>
    <row r="2870" spans="1:15" x14ac:dyDescent="0.35">
      <c r="A2870" s="321"/>
      <c r="B2870" s="320"/>
      <c r="C2870" s="154"/>
      <c r="D2870" s="154"/>
      <c r="E2870" s="154"/>
      <c r="F2870" s="154"/>
      <c r="G2870" s="154"/>
      <c r="H2870" s="154"/>
      <c r="I2870" s="154"/>
      <c r="J2870" s="154"/>
      <c r="K2870" s="154"/>
      <c r="L2870" s="329"/>
      <c r="M2870" s="154"/>
      <c r="N2870" s="154"/>
      <c r="O2870" s="154"/>
    </row>
    <row r="2871" spans="1:15" x14ac:dyDescent="0.35">
      <c r="A2871" s="319"/>
      <c r="B2871" s="318" t="s">
        <v>377</v>
      </c>
      <c r="C2871" s="158" t="s">
        <v>402</v>
      </c>
      <c r="D2871" s="158"/>
      <c r="E2871" s="158"/>
      <c r="F2871" s="158"/>
      <c r="G2871" s="158">
        <f>SUM(G2867:G2870)</f>
        <v>0</v>
      </c>
      <c r="H2871" s="158"/>
      <c r="I2871" s="158"/>
      <c r="J2871" s="158"/>
      <c r="K2871" s="158"/>
      <c r="L2871" s="158"/>
      <c r="M2871" s="158">
        <f>ROUND(SUM(M2868:M2870),2)</f>
        <v>85659.66</v>
      </c>
      <c r="N2871" s="158"/>
      <c r="O2871" s="158"/>
    </row>
    <row r="2872" spans="1:15" ht="42" x14ac:dyDescent="0.35">
      <c r="A2872" s="323" t="str">
        <f>ORÇAMENTO!A499</f>
        <v>5.4.1.4</v>
      </c>
      <c r="B2872" s="322" t="str">
        <f>VLOOKUP(A2872,ORÇAMENTO!$A:$F,4,0)</f>
        <v>TRANSPORTE COM CAMINHÃO BASCULANTE DE 14 M³, EM VIA URBANA PAVIMENTADA, ADICIONAL PARA DMT EXCEDENTE A 30 KM (UNIDADE: M3XKM). AF_07/2020</v>
      </c>
      <c r="C2872" s="149" t="str">
        <f>VLOOKUP(A2872,ORÇAMENTO!$A:$F,5,0)</f>
        <v>M3XKM</v>
      </c>
      <c r="D2872" s="149">
        <f>SUM(E2878:O2878)</f>
        <v>127918.43</v>
      </c>
      <c r="E2872" s="149" t="s">
        <v>2177</v>
      </c>
      <c r="F2872" s="149" t="s">
        <v>2150</v>
      </c>
      <c r="G2872" s="149" t="s">
        <v>2151</v>
      </c>
      <c r="H2872" s="149" t="s">
        <v>2152</v>
      </c>
      <c r="I2872" s="149" t="s">
        <v>2153</v>
      </c>
      <c r="J2872" s="149" t="s">
        <v>2154</v>
      </c>
      <c r="K2872" s="149" t="s">
        <v>2172</v>
      </c>
      <c r="L2872" s="149" t="s">
        <v>2178</v>
      </c>
      <c r="M2872" s="149" t="s">
        <v>2175</v>
      </c>
      <c r="N2872" s="149" t="s">
        <v>2157</v>
      </c>
      <c r="O2872" s="149" t="s">
        <v>2158</v>
      </c>
    </row>
    <row r="2873" spans="1:15" x14ac:dyDescent="0.35">
      <c r="A2873" s="321"/>
      <c r="B2873" s="318" t="str">
        <f>B2866</f>
        <v>TRANSPORTE ATÉ ATERRO SAMAMBAIA - D=75KM</v>
      </c>
      <c r="C2873" s="153"/>
      <c r="D2873" s="154"/>
      <c r="E2873" s="154">
        <f>74.8-E2866</f>
        <v>44.8</v>
      </c>
      <c r="F2873" s="154"/>
      <c r="G2873" s="154"/>
      <c r="H2873" s="154"/>
      <c r="I2873" s="154"/>
      <c r="J2873" s="154"/>
      <c r="K2873" s="154"/>
      <c r="L2873" s="165"/>
      <c r="M2873" s="154"/>
      <c r="N2873" s="154"/>
      <c r="O2873" s="154"/>
    </row>
    <row r="2874" spans="1:15" x14ac:dyDescent="0.35">
      <c r="A2874" s="321"/>
      <c r="B2874" s="320"/>
      <c r="C2874" s="154"/>
      <c r="D2874" s="154"/>
      <c r="E2874" s="154"/>
      <c r="F2874" s="154"/>
      <c r="G2874" s="154"/>
      <c r="H2874" s="154"/>
      <c r="I2874" s="154"/>
      <c r="J2874" s="154"/>
      <c r="K2874" s="154"/>
      <c r="L2874" s="329"/>
      <c r="M2874" s="154"/>
      <c r="N2874" s="154"/>
      <c r="O2874" s="154"/>
    </row>
    <row r="2875" spans="1:15" x14ac:dyDescent="0.35">
      <c r="A2875" s="321"/>
      <c r="B2875" s="320" t="str">
        <f>B2868</f>
        <v>VIA 9 - ESTACA 0+0,00 A 33+9,92</v>
      </c>
      <c r="C2875" s="154"/>
      <c r="D2875" s="154"/>
      <c r="E2875" s="154"/>
      <c r="F2875" s="154"/>
      <c r="G2875" s="154"/>
      <c r="H2875" s="154"/>
      <c r="I2875" s="154"/>
      <c r="J2875" s="154"/>
      <c r="K2875" s="154"/>
      <c r="L2875" s="329"/>
      <c r="M2875" s="154">
        <f>$E$2873*O2875</f>
        <v>65727.191039999991</v>
      </c>
      <c r="N2875" s="154"/>
      <c r="O2875" s="154">
        <f>O2868</f>
        <v>1467.1247999999998</v>
      </c>
    </row>
    <row r="2876" spans="1:15" x14ac:dyDescent="0.35">
      <c r="A2876" s="321"/>
      <c r="B2876" s="320" t="str">
        <f>B2869</f>
        <v>VIA 11 - ESTACA 1+17,69 A 33+11,57</v>
      </c>
      <c r="C2876" s="154"/>
      <c r="D2876" s="154"/>
      <c r="E2876" s="154"/>
      <c r="F2876" s="154"/>
      <c r="G2876" s="154"/>
      <c r="H2876" s="154"/>
      <c r="I2876" s="154"/>
      <c r="J2876" s="154"/>
      <c r="K2876" s="154"/>
      <c r="L2876" s="329"/>
      <c r="M2876" s="154">
        <f>$E$2873*O2876</f>
        <v>62191.234559999997</v>
      </c>
      <c r="N2876" s="154"/>
      <c r="O2876" s="154">
        <f>O2869</f>
        <v>1388.1972000000001</v>
      </c>
    </row>
    <row r="2877" spans="1:15" x14ac:dyDescent="0.35">
      <c r="A2877" s="321"/>
      <c r="B2877" s="320"/>
      <c r="C2877" s="154"/>
      <c r="D2877" s="154"/>
      <c r="E2877" s="154"/>
      <c r="F2877" s="154"/>
      <c r="G2877" s="154"/>
      <c r="H2877" s="154"/>
      <c r="I2877" s="154"/>
      <c r="J2877" s="154"/>
      <c r="K2877" s="154"/>
      <c r="L2877" s="329"/>
      <c r="M2877" s="154"/>
      <c r="N2877" s="154"/>
      <c r="O2877" s="154"/>
    </row>
    <row r="2878" spans="1:15" x14ac:dyDescent="0.35">
      <c r="A2878" s="321"/>
      <c r="B2878" s="318" t="s">
        <v>377</v>
      </c>
      <c r="C2878" s="158" t="s">
        <v>402</v>
      </c>
      <c r="D2878" s="158"/>
      <c r="E2878" s="158"/>
      <c r="F2878" s="158"/>
      <c r="G2878" s="158"/>
      <c r="H2878" s="158"/>
      <c r="I2878" s="158"/>
      <c r="J2878" s="158"/>
      <c r="K2878" s="158"/>
      <c r="L2878" s="158"/>
      <c r="M2878" s="158">
        <f>ROUND(SUM(M2875:M2877),2)</f>
        <v>127918.43</v>
      </c>
      <c r="N2878" s="158"/>
      <c r="O2878" s="158"/>
    </row>
    <row r="2879" spans="1:15" ht="21" x14ac:dyDescent="0.35">
      <c r="A2879" s="323" t="str">
        <f>ORÇAMENTO!A500</f>
        <v>5.4.1.5</v>
      </c>
      <c r="B2879" s="322" t="str">
        <f>VLOOKUP(A2879,ORÇAMENTO!$A:$F,4,0)</f>
        <v>ESPALHAMENTO DE MATERIAL COM TRATOR DE ESTEIRAS. AF_09/2024</v>
      </c>
      <c r="C2879" s="149" t="str">
        <f>VLOOKUP(A2879,ORÇAMENTO!$A:$F,5,0)</f>
        <v>M³</v>
      </c>
      <c r="D2879" s="149">
        <f>SUM(E2884:O2884)</f>
        <v>2855.32</v>
      </c>
      <c r="E2879" s="149" t="s">
        <v>2177</v>
      </c>
      <c r="F2879" s="149" t="s">
        <v>2150</v>
      </c>
      <c r="G2879" s="149" t="s">
        <v>2151</v>
      </c>
      <c r="H2879" s="149" t="s">
        <v>2152</v>
      </c>
      <c r="I2879" s="149" t="s">
        <v>2153</v>
      </c>
      <c r="J2879" s="149" t="s">
        <v>2154</v>
      </c>
      <c r="K2879" s="149" t="s">
        <v>2172</v>
      </c>
      <c r="L2879" s="149" t="s">
        <v>2178</v>
      </c>
      <c r="M2879" s="149" t="s">
        <v>2175</v>
      </c>
      <c r="N2879" s="149" t="s">
        <v>2157</v>
      </c>
      <c r="O2879" s="149" t="s">
        <v>2158</v>
      </c>
    </row>
    <row r="2880" spans="1:15" x14ac:dyDescent="0.35">
      <c r="A2880" s="321"/>
      <c r="B2880" s="318" t="s">
        <v>2211</v>
      </c>
      <c r="C2880" s="153"/>
      <c r="D2880" s="154"/>
      <c r="E2880" s="154"/>
      <c r="F2880" s="154"/>
      <c r="G2880" s="154"/>
      <c r="H2880" s="154"/>
      <c r="I2880" s="154"/>
      <c r="J2880" s="154"/>
      <c r="K2880" s="154"/>
      <c r="L2880" s="165"/>
      <c r="M2880" s="154"/>
      <c r="N2880" s="154"/>
      <c r="O2880" s="154"/>
    </row>
    <row r="2881" spans="1:15" x14ac:dyDescent="0.35">
      <c r="A2881" s="321"/>
      <c r="B2881" s="320" t="str">
        <f>B2875</f>
        <v>VIA 9 - ESTACA 0+0,00 A 33+9,92</v>
      </c>
      <c r="C2881" s="154"/>
      <c r="D2881" s="154"/>
      <c r="E2881" s="154"/>
      <c r="F2881" s="154"/>
      <c r="G2881" s="154"/>
      <c r="H2881" s="154"/>
      <c r="I2881" s="154"/>
      <c r="J2881" s="154"/>
      <c r="K2881" s="154"/>
      <c r="L2881" s="329"/>
      <c r="M2881" s="154"/>
      <c r="N2881" s="154"/>
      <c r="O2881" s="154">
        <f>O2875</f>
        <v>1467.1247999999998</v>
      </c>
    </row>
    <row r="2882" spans="1:15" x14ac:dyDescent="0.35">
      <c r="A2882" s="321"/>
      <c r="B2882" s="320" t="str">
        <f>B2876</f>
        <v>VIA 11 - ESTACA 1+17,69 A 33+11,57</v>
      </c>
      <c r="C2882" s="154"/>
      <c r="D2882" s="154"/>
      <c r="E2882" s="154"/>
      <c r="F2882" s="154"/>
      <c r="G2882" s="154"/>
      <c r="H2882" s="154"/>
      <c r="I2882" s="154"/>
      <c r="J2882" s="154"/>
      <c r="K2882" s="154"/>
      <c r="L2882" s="329"/>
      <c r="M2882" s="154"/>
      <c r="N2882" s="154"/>
      <c r="O2882" s="154">
        <f>O2876</f>
        <v>1388.1972000000001</v>
      </c>
    </row>
    <row r="2883" spans="1:15" x14ac:dyDescent="0.35">
      <c r="A2883" s="321"/>
      <c r="B2883" s="320"/>
      <c r="C2883" s="154"/>
      <c r="D2883" s="154"/>
      <c r="E2883" s="154"/>
      <c r="F2883" s="154"/>
      <c r="G2883" s="154"/>
      <c r="H2883" s="154"/>
      <c r="I2883" s="154"/>
      <c r="J2883" s="154"/>
      <c r="K2883" s="154"/>
      <c r="L2883" s="329"/>
      <c r="M2883" s="154"/>
      <c r="N2883" s="154"/>
      <c r="O2883" s="154"/>
    </row>
    <row r="2884" spans="1:15" x14ac:dyDescent="0.35">
      <c r="A2884" s="321"/>
      <c r="B2884" s="318" t="s">
        <v>377</v>
      </c>
      <c r="C2884" s="158" t="s">
        <v>402</v>
      </c>
      <c r="D2884" s="158"/>
      <c r="E2884" s="158"/>
      <c r="F2884" s="158"/>
      <c r="G2884" s="158"/>
      <c r="H2884" s="158"/>
      <c r="I2884" s="158"/>
      <c r="J2884" s="158"/>
      <c r="K2884" s="158"/>
      <c r="L2884" s="158"/>
      <c r="M2884" s="158"/>
      <c r="N2884" s="158"/>
      <c r="O2884" s="158">
        <f>ROUND(SUM(O2881:O2883),2)</f>
        <v>2855.32</v>
      </c>
    </row>
    <row r="2885" spans="1:15" ht="21" x14ac:dyDescent="0.35">
      <c r="A2885" s="327" t="str">
        <f>ORÇAMENTO!A501</f>
        <v>5.4.2</v>
      </c>
      <c r="B2885" s="326" t="str">
        <f>VLOOKUP(A2885,ORÇAMENTO!$A:$F,4,0)</f>
        <v>CORTE COM TRANSPORTE LOCAL PARA ATERRO DE COMPENSAÇÃO</v>
      </c>
      <c r="C2885" s="143"/>
      <c r="D2885" s="143"/>
      <c r="E2885" s="144"/>
      <c r="F2885" s="144"/>
      <c r="G2885" s="144"/>
      <c r="H2885" s="144"/>
      <c r="I2885" s="144"/>
      <c r="J2885" s="144"/>
      <c r="K2885" s="144"/>
      <c r="L2885" s="144"/>
      <c r="M2885" s="144"/>
      <c r="N2885" s="144"/>
      <c r="O2885" s="144"/>
    </row>
    <row r="2886" spans="1:15" ht="63" x14ac:dyDescent="0.35">
      <c r="A2886" s="323" t="str">
        <f>ORÇAMENTO!A502</f>
        <v>5.4.2.1</v>
      </c>
      <c r="B2886" s="322" t="str">
        <f>VLOOKUP(A2886,ORÇAMENTO!$A:$F,4,0)</f>
        <v>ESCAVAÇÃO HORIZONTAL, INCLUINDO CARGA, DESCARGA E TRANSPORTE EM SOLO DE 1A CATEGORIA COM TRATOR DE ESTEIRAS (170HP/LÂMINA: 5,20M3) E CAMINHÃO BASCULANTE DE 14M3, DMT ATÉ 200M. AF_07/2020</v>
      </c>
      <c r="C2886" s="149" t="str">
        <f>VLOOKUP(A2886,ORÇAMENTO!$A:$F,5,0)</f>
        <v>M³</v>
      </c>
      <c r="D2886" s="149">
        <f>SUM(E2891:O2891)</f>
        <v>7228.76</v>
      </c>
      <c r="E2886" s="149" t="s">
        <v>2149</v>
      </c>
      <c r="F2886" s="149" t="s">
        <v>2150</v>
      </c>
      <c r="G2886" s="149" t="s">
        <v>2151</v>
      </c>
      <c r="H2886" s="149" t="s">
        <v>2152</v>
      </c>
      <c r="I2886" s="149" t="s">
        <v>2153</v>
      </c>
      <c r="J2886" s="149" t="s">
        <v>2154</v>
      </c>
      <c r="K2886" s="149" t="s">
        <v>2155</v>
      </c>
      <c r="L2886" s="149" t="s">
        <v>2178</v>
      </c>
      <c r="M2886" s="331" t="s">
        <v>2175</v>
      </c>
      <c r="N2886" s="149" t="s">
        <v>2157</v>
      </c>
      <c r="O2886" s="149" t="s">
        <v>2158</v>
      </c>
    </row>
    <row r="2887" spans="1:15" x14ac:dyDescent="0.35">
      <c r="A2887" s="321"/>
      <c r="B2887" s="318" t="s">
        <v>2688</v>
      </c>
      <c r="C2887" s="153"/>
      <c r="D2887" s="153"/>
      <c r="E2887" s="154"/>
      <c r="F2887" s="154"/>
      <c r="G2887" s="154"/>
      <c r="H2887" s="154"/>
      <c r="I2887" s="154"/>
      <c r="J2887" s="154"/>
      <c r="K2887" s="154"/>
      <c r="L2887" s="154"/>
      <c r="M2887" s="154"/>
      <c r="N2887" s="154"/>
      <c r="O2887" s="154"/>
    </row>
    <row r="2888" spans="1:15" x14ac:dyDescent="0.35">
      <c r="A2888" s="321"/>
      <c r="B2888" s="320" t="str">
        <f>B2881</f>
        <v>VIA 9 - ESTACA 0+0,00 A 33+9,92</v>
      </c>
      <c r="C2888" s="153"/>
      <c r="D2888" s="153"/>
      <c r="E2888" s="154"/>
      <c r="F2888" s="154"/>
      <c r="G2888" s="154"/>
      <c r="H2888" s="154"/>
      <c r="I2888" s="154"/>
      <c r="J2888" s="154"/>
      <c r="K2888" s="154"/>
      <c r="L2888" s="154"/>
      <c r="M2888" s="154"/>
      <c r="N2888" s="154"/>
      <c r="O2888" s="154">
        <v>3647.3</v>
      </c>
    </row>
    <row r="2889" spans="1:15" x14ac:dyDescent="0.35">
      <c r="A2889" s="321"/>
      <c r="B2889" s="320" t="str">
        <f>B2882</f>
        <v>VIA 11 - ESTACA 1+17,69 A 33+11,57</v>
      </c>
      <c r="C2889" s="153"/>
      <c r="D2889" s="153"/>
      <c r="E2889" s="154"/>
      <c r="F2889" s="154"/>
      <c r="G2889" s="154"/>
      <c r="H2889" s="154"/>
      <c r="I2889" s="154"/>
      <c r="J2889" s="154"/>
      <c r="K2889" s="154"/>
      <c r="L2889" s="154"/>
      <c r="M2889" s="154"/>
      <c r="N2889" s="154"/>
      <c r="O2889" s="154">
        <v>3581.46</v>
      </c>
    </row>
    <row r="2890" spans="1:15" x14ac:dyDescent="0.35">
      <c r="A2890" s="321"/>
      <c r="B2890" s="320"/>
      <c r="C2890" s="153"/>
      <c r="D2890" s="153"/>
      <c r="E2890" s="154"/>
      <c r="F2890" s="154"/>
      <c r="G2890" s="154"/>
      <c r="H2890" s="154"/>
      <c r="I2890" s="154"/>
      <c r="J2890" s="154"/>
      <c r="K2890" s="154"/>
      <c r="L2890" s="154"/>
      <c r="M2890" s="154"/>
      <c r="N2890" s="154"/>
      <c r="O2890" s="154"/>
    </row>
    <row r="2891" spans="1:15" x14ac:dyDescent="0.35">
      <c r="A2891" s="319"/>
      <c r="B2891" s="318" t="s">
        <v>377</v>
      </c>
      <c r="C2891" s="158" t="s">
        <v>402</v>
      </c>
      <c r="D2891" s="158"/>
      <c r="E2891" s="158"/>
      <c r="F2891" s="158"/>
      <c r="G2891" s="158"/>
      <c r="H2891" s="158"/>
      <c r="I2891" s="158"/>
      <c r="J2891" s="158"/>
      <c r="K2891" s="158"/>
      <c r="L2891" s="158"/>
      <c r="M2891" s="158"/>
      <c r="N2891" s="158"/>
      <c r="O2891" s="158">
        <f>SUM(O2888:O2890)</f>
        <v>7228.76</v>
      </c>
    </row>
    <row r="2892" spans="1:15" ht="31.5" x14ac:dyDescent="0.35">
      <c r="A2892" s="323" t="str">
        <f>ORÇAMENTO!A503</f>
        <v>5.4.2.2</v>
      </c>
      <c r="B2892" s="322" t="str">
        <f>VLOOKUP(A2892,ORÇAMENTO!$A:$F,4,0)</f>
        <v>TRANSPORTE COM CAMINHÃO BASCULANTE DE 14 M³, EM VIA URBANA PAVIMENTADA, DMT ATÉ 30 KM (UNIDADE: M3XKM). AF_07/2020</v>
      </c>
      <c r="C2892" s="149" t="str">
        <f>VLOOKUP(A2892,ORÇAMENTO!$A:$F,5,0)</f>
        <v>M3XKM</v>
      </c>
      <c r="D2892" s="149">
        <f>SUM(E2902:O2902)</f>
        <v>224830.65469460547</v>
      </c>
      <c r="E2892" s="149" t="s">
        <v>2177</v>
      </c>
      <c r="F2892" s="149" t="s">
        <v>2150</v>
      </c>
      <c r="G2892" s="149" t="s">
        <v>2151</v>
      </c>
      <c r="H2892" s="149" t="s">
        <v>2152</v>
      </c>
      <c r="I2892" s="149" t="s">
        <v>2153</v>
      </c>
      <c r="J2892" s="149" t="s">
        <v>2154</v>
      </c>
      <c r="K2892" s="149" t="s">
        <v>2155</v>
      </c>
      <c r="L2892" s="149" t="s">
        <v>2178</v>
      </c>
      <c r="M2892" s="331" t="s">
        <v>2175</v>
      </c>
      <c r="N2892" s="149" t="s">
        <v>2157</v>
      </c>
      <c r="O2892" s="149" t="s">
        <v>2158</v>
      </c>
    </row>
    <row r="2893" spans="1:15" x14ac:dyDescent="0.35">
      <c r="A2893" s="321"/>
      <c r="B2893" s="318" t="s">
        <v>2697</v>
      </c>
      <c r="C2893" s="153"/>
      <c r="D2893" s="153"/>
      <c r="E2893" s="154"/>
      <c r="F2893" s="154"/>
      <c r="G2893" s="154"/>
      <c r="H2893" s="154"/>
      <c r="I2893" s="154"/>
      <c r="J2893" s="154"/>
      <c r="K2893" s="154"/>
      <c r="L2893" s="154"/>
      <c r="M2893" s="154"/>
      <c r="N2893" s="154"/>
      <c r="O2893" s="154">
        <f>O2891*1.15</f>
        <v>8313.0739999999987</v>
      </c>
    </row>
    <row r="2894" spans="1:15" ht="21" x14ac:dyDescent="0.35">
      <c r="A2894" s="321"/>
      <c r="B2894" s="320" t="s">
        <v>2696</v>
      </c>
      <c r="C2894" s="153"/>
      <c r="D2894" s="153"/>
      <c r="E2894" s="154"/>
      <c r="F2894" s="154"/>
      <c r="G2894" s="154"/>
      <c r="H2894" s="154"/>
      <c r="I2894" s="154"/>
      <c r="J2894" s="154"/>
      <c r="K2894" s="154"/>
      <c r="L2894" s="154"/>
      <c r="M2894" s="154"/>
      <c r="N2894" s="154"/>
      <c r="O2894" s="154">
        <f>QUANTBL!BA224*1.15</f>
        <v>776.16087259980907</v>
      </c>
    </row>
    <row r="2895" spans="1:15" x14ac:dyDescent="0.35">
      <c r="A2895" s="321"/>
      <c r="B2895" s="320" t="s">
        <v>2695</v>
      </c>
      <c r="C2895" s="153"/>
      <c r="D2895" s="153"/>
      <c r="E2895" s="154"/>
      <c r="F2895" s="154"/>
      <c r="G2895" s="154"/>
      <c r="H2895" s="154"/>
      <c r="I2895" s="154"/>
      <c r="J2895" s="154"/>
      <c r="K2895" s="154"/>
      <c r="L2895" s="154"/>
      <c r="M2895" s="154"/>
      <c r="N2895" s="154"/>
      <c r="O2895" s="154">
        <f>O2919</f>
        <v>68.429999999999993</v>
      </c>
    </row>
    <row r="2896" spans="1:15" x14ac:dyDescent="0.35">
      <c r="A2896" s="321"/>
      <c r="B2896" s="320"/>
      <c r="C2896" s="153"/>
      <c r="D2896" s="153"/>
      <c r="E2896" s="154"/>
      <c r="F2896" s="154"/>
      <c r="G2896" s="154"/>
      <c r="H2896" s="154"/>
      <c r="I2896" s="154"/>
      <c r="J2896" s="154"/>
      <c r="K2896" s="154"/>
      <c r="L2896" s="154"/>
      <c r="M2896" s="154"/>
      <c r="N2896" s="154"/>
      <c r="O2896" s="154"/>
    </row>
    <row r="2897" spans="1:15" x14ac:dyDescent="0.35">
      <c r="A2897" s="321"/>
      <c r="B2897" s="320" t="s">
        <v>2694</v>
      </c>
      <c r="C2897" s="153"/>
      <c r="D2897" s="153"/>
      <c r="E2897" s="154"/>
      <c r="F2897" s="154"/>
      <c r="G2897" s="154"/>
      <c r="H2897" s="154"/>
      <c r="I2897" s="154"/>
      <c r="J2897" s="154"/>
      <c r="K2897" s="154"/>
      <c r="L2897" s="154"/>
      <c r="M2897" s="154"/>
      <c r="N2897" s="154"/>
      <c r="O2897" s="153">
        <f>O2893-O2894-O2895</f>
        <v>7468.483127400189</v>
      </c>
    </row>
    <row r="2898" spans="1:15" x14ac:dyDescent="0.35">
      <c r="A2898" s="321"/>
      <c r="B2898" s="318" t="s">
        <v>2692</v>
      </c>
      <c r="C2898" s="153"/>
      <c r="D2898" s="153"/>
      <c r="E2898" s="154">
        <v>30</v>
      </c>
      <c r="F2898" s="154"/>
      <c r="G2898" s="154"/>
      <c r="H2898" s="154"/>
      <c r="I2898" s="154"/>
      <c r="J2898" s="154"/>
      <c r="K2898" s="154"/>
      <c r="L2898" s="154"/>
      <c r="M2898" s="154">
        <f>E2898*O2897</f>
        <v>224054.49382200566</v>
      </c>
      <c r="N2898" s="154"/>
      <c r="O2898" s="154"/>
    </row>
    <row r="2899" spans="1:15" x14ac:dyDescent="0.35">
      <c r="A2899" s="321"/>
      <c r="B2899" s="320"/>
      <c r="C2899" s="153"/>
      <c r="D2899" s="153"/>
      <c r="E2899" s="154"/>
      <c r="F2899" s="154"/>
      <c r="G2899" s="154"/>
      <c r="H2899" s="154"/>
      <c r="I2899" s="154"/>
      <c r="J2899" s="154"/>
      <c r="K2899" s="154"/>
      <c r="L2899" s="154"/>
      <c r="M2899" s="154"/>
      <c r="N2899" s="154"/>
      <c r="O2899" s="154"/>
    </row>
    <row r="2900" spans="1:15" ht="21" x14ac:dyDescent="0.35">
      <c r="A2900" s="321"/>
      <c r="B2900" s="318" t="s">
        <v>2693</v>
      </c>
      <c r="C2900" s="153"/>
      <c r="D2900" s="153"/>
      <c r="E2900" s="154">
        <v>1</v>
      </c>
      <c r="F2900" s="154"/>
      <c r="G2900" s="154"/>
      <c r="H2900" s="154"/>
      <c r="I2900" s="154"/>
      <c r="J2900" s="154"/>
      <c r="K2900" s="154"/>
      <c r="L2900" s="154"/>
      <c r="M2900" s="154">
        <f>O2900*E2900</f>
        <v>776.16087259980907</v>
      </c>
      <c r="N2900" s="154"/>
      <c r="O2900" s="154">
        <f>O2894</f>
        <v>776.16087259980907</v>
      </c>
    </row>
    <row r="2901" spans="1:15" x14ac:dyDescent="0.35">
      <c r="A2901" s="321"/>
      <c r="B2901" s="320"/>
      <c r="C2901" s="153"/>
      <c r="D2901" s="153"/>
      <c r="E2901" s="154"/>
      <c r="F2901" s="154"/>
      <c r="G2901" s="154"/>
      <c r="H2901" s="154"/>
      <c r="I2901" s="154"/>
      <c r="J2901" s="154"/>
      <c r="K2901" s="154"/>
      <c r="L2901" s="154"/>
      <c r="M2901" s="154"/>
      <c r="N2901" s="154"/>
      <c r="O2901" s="154"/>
    </row>
    <row r="2902" spans="1:15" x14ac:dyDescent="0.35">
      <c r="A2902" s="319"/>
      <c r="B2902" s="318" t="s">
        <v>377</v>
      </c>
      <c r="C2902" s="158" t="s">
        <v>402</v>
      </c>
      <c r="D2902" s="158"/>
      <c r="E2902" s="158"/>
      <c r="F2902" s="158"/>
      <c r="G2902" s="158"/>
      <c r="H2902" s="158"/>
      <c r="I2902" s="158"/>
      <c r="J2902" s="158"/>
      <c r="K2902" s="158"/>
      <c r="L2902" s="158"/>
      <c r="M2902" s="158">
        <f>SUM(M2895:M2901)</f>
        <v>224830.65469460547</v>
      </c>
      <c r="N2902" s="158"/>
      <c r="O2902" s="158"/>
    </row>
    <row r="2903" spans="1:15" ht="42" x14ac:dyDescent="0.35">
      <c r="A2903" s="323" t="str">
        <f>ORÇAMENTO!A504</f>
        <v>5.4.2.3</v>
      </c>
      <c r="B2903" s="322" t="str">
        <f>VLOOKUP(A2903,ORÇAMENTO!$A:$F,4,0)</f>
        <v>TRANSPORTE COM CAMINHÃO BASCULANTE DE 14 M³, EM VIA URBANA PAVIMENTADA, ADICIONAL PARA DMT EXCEDENTE A 30 KM (UNIDADE: M3XKM). AF_07/2020</v>
      </c>
      <c r="C2903" s="149" t="str">
        <f>VLOOKUP(A2903,ORÇAMENTO!$A:$F,5,0)</f>
        <v>M3XKM</v>
      </c>
      <c r="D2903" s="149">
        <f>SUM(E2907:O2907)</f>
        <v>106052.46040908271</v>
      </c>
      <c r="E2903" s="149" t="s">
        <v>2174</v>
      </c>
      <c r="F2903" s="149" t="s">
        <v>2150</v>
      </c>
      <c r="G2903" s="149" t="s">
        <v>2151</v>
      </c>
      <c r="H2903" s="149" t="s">
        <v>2152</v>
      </c>
      <c r="I2903" s="149" t="s">
        <v>2153</v>
      </c>
      <c r="J2903" s="149" t="s">
        <v>2154</v>
      </c>
      <c r="K2903" s="149" t="s">
        <v>2155</v>
      </c>
      <c r="L2903" s="149" t="s">
        <v>2178</v>
      </c>
      <c r="M2903" s="331" t="s">
        <v>2175</v>
      </c>
      <c r="N2903" s="149" t="s">
        <v>2157</v>
      </c>
      <c r="O2903" s="149" t="s">
        <v>2158</v>
      </c>
    </row>
    <row r="2904" spans="1:15" x14ac:dyDescent="0.35">
      <c r="A2904" s="321"/>
      <c r="B2904" s="318" t="s">
        <v>2692</v>
      </c>
      <c r="C2904" s="153"/>
      <c r="D2904" s="154"/>
      <c r="E2904" s="154">
        <f>44.2-E2898</f>
        <v>14.200000000000003</v>
      </c>
      <c r="F2904" s="154"/>
      <c r="G2904" s="154"/>
      <c r="H2904" s="154"/>
      <c r="I2904" s="154"/>
      <c r="J2904" s="154"/>
      <c r="K2904" s="154"/>
      <c r="L2904" s="154"/>
      <c r="M2904" s="154"/>
      <c r="N2904" s="154"/>
      <c r="O2904" s="154"/>
    </row>
    <row r="2905" spans="1:15" x14ac:dyDescent="0.35">
      <c r="A2905" s="321"/>
      <c r="B2905" s="320" t="str">
        <f>B2897</f>
        <v>MATERIAL PARA BOTA FORA</v>
      </c>
      <c r="C2905" s="154"/>
      <c r="D2905" s="153"/>
      <c r="E2905" s="154"/>
      <c r="F2905" s="154"/>
      <c r="G2905" s="154"/>
      <c r="H2905" s="154"/>
      <c r="I2905" s="154"/>
      <c r="J2905" s="154"/>
      <c r="K2905" s="154"/>
      <c r="L2905" s="154"/>
      <c r="M2905" s="154">
        <f>E2904*O2905</f>
        <v>106052.46040908271</v>
      </c>
      <c r="N2905" s="154"/>
      <c r="O2905" s="154">
        <f>O2897</f>
        <v>7468.483127400189</v>
      </c>
    </row>
    <row r="2906" spans="1:15" x14ac:dyDescent="0.35">
      <c r="A2906" s="321"/>
      <c r="B2906" s="320"/>
      <c r="C2906" s="153"/>
      <c r="D2906" s="153"/>
      <c r="E2906" s="330"/>
      <c r="F2906" s="154"/>
      <c r="G2906" s="154"/>
      <c r="H2906" s="154"/>
      <c r="I2906" s="154"/>
      <c r="J2906" s="154"/>
      <c r="K2906" s="154"/>
      <c r="L2906" s="154"/>
      <c r="M2906" s="153"/>
      <c r="N2906" s="154"/>
      <c r="O2906" s="153"/>
    </row>
    <row r="2907" spans="1:15" x14ac:dyDescent="0.35">
      <c r="A2907" s="319"/>
      <c r="B2907" s="318" t="s">
        <v>377</v>
      </c>
      <c r="C2907" s="158" t="s">
        <v>402</v>
      </c>
      <c r="D2907" s="158"/>
      <c r="E2907" s="158"/>
      <c r="F2907" s="158"/>
      <c r="G2907" s="158"/>
      <c r="H2907" s="158"/>
      <c r="I2907" s="158"/>
      <c r="J2907" s="158"/>
      <c r="K2907" s="158"/>
      <c r="L2907" s="158"/>
      <c r="M2907" s="158">
        <f>SUM(M2905:M2906)</f>
        <v>106052.46040908271</v>
      </c>
      <c r="N2907" s="158"/>
      <c r="O2907" s="158"/>
    </row>
    <row r="2908" spans="1:15" ht="21" x14ac:dyDescent="0.35">
      <c r="A2908" s="323" t="str">
        <f>ORÇAMENTO!A505</f>
        <v>5.4.2.4</v>
      </c>
      <c r="B2908" s="322" t="str">
        <f>VLOOKUP(A2908,ORÇAMENTO!$A:$F,4,0)</f>
        <v>ESPALHAMENTO DE MATERIAL COM TRATOR DE ESTEIRAS. AF_09/2024</v>
      </c>
      <c r="C2908" s="149" t="str">
        <f>VLOOKUP(A2908,ORÇAMENTO!$A:$F,5,0)</f>
        <v>M³</v>
      </c>
      <c r="D2908" s="149">
        <f>SUM(E2912:O2912)</f>
        <v>7468.48</v>
      </c>
      <c r="E2908" s="149" t="s">
        <v>2177</v>
      </c>
      <c r="F2908" s="149" t="s">
        <v>2150</v>
      </c>
      <c r="G2908" s="149" t="s">
        <v>2151</v>
      </c>
      <c r="H2908" s="149" t="s">
        <v>2152</v>
      </c>
      <c r="I2908" s="149" t="s">
        <v>2153</v>
      </c>
      <c r="J2908" s="149" t="s">
        <v>2154</v>
      </c>
      <c r="K2908" s="149" t="s">
        <v>2172</v>
      </c>
      <c r="L2908" s="149" t="s">
        <v>2178</v>
      </c>
      <c r="M2908" s="149" t="s">
        <v>2175</v>
      </c>
      <c r="N2908" s="149" t="s">
        <v>2157</v>
      </c>
      <c r="O2908" s="149" t="s">
        <v>2158</v>
      </c>
    </row>
    <row r="2909" spans="1:15" x14ac:dyDescent="0.35">
      <c r="A2909" s="321"/>
      <c r="B2909" s="320"/>
      <c r="C2909" s="154"/>
      <c r="D2909" s="154"/>
      <c r="E2909" s="154"/>
      <c r="F2909" s="154"/>
      <c r="G2909" s="154"/>
      <c r="H2909" s="154"/>
      <c r="I2909" s="154"/>
      <c r="J2909" s="154"/>
      <c r="K2909" s="154"/>
      <c r="L2909" s="329"/>
      <c r="M2909" s="154"/>
      <c r="N2909" s="154"/>
      <c r="O2909" s="154"/>
    </row>
    <row r="2910" spans="1:15" x14ac:dyDescent="0.35">
      <c r="A2910" s="321"/>
      <c r="B2910" s="320" t="str">
        <f>B2905</f>
        <v>MATERIAL PARA BOTA FORA</v>
      </c>
      <c r="C2910" s="154"/>
      <c r="D2910" s="154"/>
      <c r="E2910" s="154"/>
      <c r="F2910" s="154"/>
      <c r="G2910" s="154"/>
      <c r="H2910" s="154"/>
      <c r="I2910" s="154"/>
      <c r="J2910" s="154"/>
      <c r="K2910" s="154"/>
      <c r="L2910" s="329"/>
      <c r="M2910" s="154"/>
      <c r="N2910" s="154"/>
      <c r="O2910" s="154">
        <f>O2905</f>
        <v>7468.483127400189</v>
      </c>
    </row>
    <row r="2911" spans="1:15" x14ac:dyDescent="0.35">
      <c r="A2911" s="321"/>
      <c r="B2911" s="320"/>
      <c r="C2911" s="154"/>
      <c r="D2911" s="154"/>
      <c r="E2911" s="154"/>
      <c r="F2911" s="154"/>
      <c r="G2911" s="154"/>
      <c r="H2911" s="154"/>
      <c r="I2911" s="154"/>
      <c r="J2911" s="154"/>
      <c r="K2911" s="154"/>
      <c r="L2911" s="329"/>
      <c r="M2911" s="154"/>
      <c r="N2911" s="154"/>
      <c r="O2911" s="154"/>
    </row>
    <row r="2912" spans="1:15" x14ac:dyDescent="0.35">
      <c r="A2912" s="321"/>
      <c r="B2912" s="318" t="s">
        <v>377</v>
      </c>
      <c r="C2912" s="158" t="s">
        <v>402</v>
      </c>
      <c r="D2912" s="158"/>
      <c r="E2912" s="158"/>
      <c r="F2912" s="158"/>
      <c r="G2912" s="158"/>
      <c r="H2912" s="158"/>
      <c r="I2912" s="158"/>
      <c r="J2912" s="158"/>
      <c r="K2912" s="158"/>
      <c r="L2912" s="158"/>
      <c r="M2912" s="158"/>
      <c r="N2912" s="158"/>
      <c r="O2912" s="158">
        <f>ROUND(SUM(O2909:O2911),2)</f>
        <v>7468.48</v>
      </c>
    </row>
    <row r="2913" spans="1:15" ht="21" x14ac:dyDescent="0.35">
      <c r="A2913" s="327" t="str">
        <f>ORÇAMENTO!A506</f>
        <v>5.4.3</v>
      </c>
      <c r="B2913" s="326" t="str">
        <f>VLOOKUP(A2913,ORÇAMENTO!$A:$F,4,0)</f>
        <v>ATERROS (CONSIDERANDO-SE O APROVEITAMENTO DO MATERIAL DO CORTE)</v>
      </c>
      <c r="C2913" s="143"/>
      <c r="D2913" s="143"/>
      <c r="E2913" s="144"/>
      <c r="F2913" s="144"/>
      <c r="G2913" s="144"/>
      <c r="H2913" s="144"/>
      <c r="I2913" s="144"/>
      <c r="J2913" s="144"/>
      <c r="K2913" s="144"/>
      <c r="L2913" s="144"/>
      <c r="M2913" s="144"/>
      <c r="N2913" s="144"/>
      <c r="O2913" s="144"/>
    </row>
    <row r="2914" spans="1:15" ht="63" x14ac:dyDescent="0.35">
      <c r="A2914" s="323" t="str">
        <f>ORÇAMENTO!A507</f>
        <v>5.4.3.1</v>
      </c>
      <c r="B2914" s="322" t="str">
        <f>VLOOKUP(A2914,ORÇAMENTO!$A:$F,4,0)</f>
        <v>EXECUÇÃO E COMPACTAÇÃO DE CORPO DE ATERRO DE ATERRO (95% DE ENERGIA DO PROCTOR NORMAL) COM SOLO PREDOMINANTEMENTE ARGILOSO ESPESSURA 15 CM - EXCLUSIVE MATERIAL, ESCAVAÇÃO, CARGA E TRANSPORTE. AF_09/2024</v>
      </c>
      <c r="C2914" s="149" t="str">
        <f>VLOOKUP(A2914,ORÇAMENTO!$A:$F,5,0)</f>
        <v>M³</v>
      </c>
      <c r="D2914" s="149">
        <f>SUM(E2919:O2919)</f>
        <v>68.429999999999993</v>
      </c>
      <c r="E2914" s="149" t="s">
        <v>2149</v>
      </c>
      <c r="F2914" s="149" t="s">
        <v>2150</v>
      </c>
      <c r="G2914" s="149" t="s">
        <v>2151</v>
      </c>
      <c r="H2914" s="149" t="s">
        <v>2152</v>
      </c>
      <c r="I2914" s="149" t="s">
        <v>2153</v>
      </c>
      <c r="J2914" s="149" t="s">
        <v>2154</v>
      </c>
      <c r="K2914" s="149" t="s">
        <v>2155</v>
      </c>
      <c r="L2914" s="149" t="s">
        <v>2178</v>
      </c>
      <c r="M2914" s="149" t="s">
        <v>2204</v>
      </c>
      <c r="N2914" s="149" t="s">
        <v>2157</v>
      </c>
      <c r="O2914" s="149" t="s">
        <v>2158</v>
      </c>
    </row>
    <row r="2915" spans="1:15" x14ac:dyDescent="0.35">
      <c r="A2915" s="321"/>
      <c r="B2915" s="318" t="s">
        <v>2688</v>
      </c>
      <c r="C2915" s="153"/>
      <c r="D2915" s="153"/>
      <c r="E2915" s="154"/>
      <c r="F2915" s="154"/>
      <c r="G2915" s="154"/>
      <c r="H2915" s="154"/>
      <c r="I2915" s="154"/>
      <c r="J2915" s="154"/>
      <c r="K2915" s="154"/>
      <c r="L2915" s="154"/>
      <c r="M2915" s="154"/>
      <c r="N2915" s="154"/>
      <c r="O2915" s="154"/>
    </row>
    <row r="2916" spans="1:15" x14ac:dyDescent="0.35">
      <c r="A2916" s="321"/>
      <c r="B2916" s="320" t="str">
        <f>B2888</f>
        <v>VIA 9 - ESTACA 0+0,00 A 33+9,92</v>
      </c>
      <c r="C2916" s="154"/>
      <c r="D2916" s="154"/>
      <c r="E2916" s="154"/>
      <c r="F2916" s="154"/>
      <c r="G2916" s="154"/>
      <c r="H2916" s="154"/>
      <c r="I2916" s="154"/>
      <c r="J2916" s="154"/>
      <c r="K2916" s="154"/>
      <c r="L2916" s="154"/>
      <c r="M2916" s="154"/>
      <c r="N2916" s="154"/>
      <c r="O2916" s="188">
        <v>43.66</v>
      </c>
    </row>
    <row r="2917" spans="1:15" x14ac:dyDescent="0.35">
      <c r="A2917" s="321"/>
      <c r="B2917" s="320" t="str">
        <f>B2889</f>
        <v>VIA 11 - ESTACA 1+17,69 A 33+11,57</v>
      </c>
      <c r="C2917" s="154"/>
      <c r="D2917" s="154"/>
      <c r="E2917" s="154"/>
      <c r="F2917" s="154"/>
      <c r="G2917" s="154"/>
      <c r="H2917" s="154"/>
      <c r="I2917" s="154"/>
      <c r="J2917" s="154"/>
      <c r="K2917" s="154"/>
      <c r="L2917" s="154"/>
      <c r="M2917" s="154"/>
      <c r="N2917" s="154"/>
      <c r="O2917" s="188">
        <v>24.77</v>
      </c>
    </row>
    <row r="2918" spans="1:15" x14ac:dyDescent="0.35">
      <c r="A2918" s="321"/>
      <c r="B2918" s="320"/>
      <c r="C2918" s="154"/>
      <c r="D2918" s="154"/>
      <c r="E2918" s="154"/>
      <c r="F2918" s="154"/>
      <c r="G2918" s="154"/>
      <c r="H2918" s="154"/>
      <c r="I2918" s="154"/>
      <c r="J2918" s="154"/>
      <c r="K2918" s="154"/>
      <c r="L2918" s="154"/>
      <c r="M2918" s="154"/>
      <c r="N2918" s="154"/>
      <c r="O2918" s="324"/>
    </row>
    <row r="2919" spans="1:15" x14ac:dyDescent="0.35">
      <c r="A2919" s="319"/>
      <c r="B2919" s="318" t="s">
        <v>377</v>
      </c>
      <c r="C2919" s="158" t="s">
        <v>402</v>
      </c>
      <c r="D2919" s="158"/>
      <c r="E2919" s="158"/>
      <c r="F2919" s="158"/>
      <c r="G2919" s="158"/>
      <c r="H2919" s="158"/>
      <c r="I2919" s="158"/>
      <c r="J2919" s="158"/>
      <c r="K2919" s="158"/>
      <c r="L2919" s="158"/>
      <c r="M2919" s="158"/>
      <c r="N2919" s="158"/>
      <c r="O2919" s="170">
        <f>SUM(O2916:O2918)</f>
        <v>68.429999999999993</v>
      </c>
    </row>
    <row r="2920" spans="1:15" x14ac:dyDescent="0.35">
      <c r="A2920" s="327" t="str">
        <f>ORÇAMENTO!A508</f>
        <v>5.4.4</v>
      </c>
      <c r="B2920" s="326" t="str">
        <f>VLOOKUP(A2920,ORÇAMENTO!$A:$F,4,0)</f>
        <v>PAVIMENTAÇÃO</v>
      </c>
      <c r="C2920" s="143"/>
      <c r="D2920" s="143"/>
      <c r="E2920" s="144"/>
      <c r="F2920" s="144"/>
      <c r="G2920" s="144"/>
      <c r="H2920" s="144"/>
      <c r="I2920" s="144"/>
      <c r="J2920" s="144"/>
      <c r="K2920" s="144"/>
      <c r="L2920" s="144"/>
      <c r="M2920" s="144"/>
      <c r="N2920" s="144"/>
      <c r="O2920" s="144"/>
    </row>
    <row r="2921" spans="1:15" ht="21" x14ac:dyDescent="0.35">
      <c r="A2921" s="323" t="str">
        <f>ORÇAMENTO!A509</f>
        <v>5.4.4.1</v>
      </c>
      <c r="B2921" s="322" t="str">
        <f>VLOOKUP(A2921,ORÇAMENTO!$A:$F,4,0)</f>
        <v>REGULARIZAÇÃO DO SUBLEITO</v>
      </c>
      <c r="C2921" s="149" t="str">
        <f>VLOOKUP(A2921,ORÇAMENTO!$A:$F,5,0)</f>
        <v>M²</v>
      </c>
      <c r="D2921" s="149">
        <f>SUM(E2927:O2927)</f>
        <v>9519.08</v>
      </c>
      <c r="E2921" s="149" t="s">
        <v>2149</v>
      </c>
      <c r="F2921" s="149" t="s">
        <v>2150</v>
      </c>
      <c r="G2921" s="149" t="s">
        <v>2151</v>
      </c>
      <c r="H2921" s="149" t="s">
        <v>2152</v>
      </c>
      <c r="I2921" s="149" t="s">
        <v>2153</v>
      </c>
      <c r="J2921" s="149" t="s">
        <v>2154</v>
      </c>
      <c r="K2921" s="149" t="s">
        <v>2155</v>
      </c>
      <c r="L2921" s="149" t="s">
        <v>2178</v>
      </c>
      <c r="M2921" s="149" t="s">
        <v>2204</v>
      </c>
      <c r="N2921" s="149" t="s">
        <v>2157</v>
      </c>
      <c r="O2921" s="149" t="s">
        <v>2158</v>
      </c>
    </row>
    <row r="2922" spans="1:15" x14ac:dyDescent="0.35">
      <c r="A2922" s="321"/>
      <c r="B2922" s="318" t="s">
        <v>2688</v>
      </c>
      <c r="C2922" s="153"/>
      <c r="D2922" s="153"/>
      <c r="E2922" s="154"/>
      <c r="F2922" s="154"/>
      <c r="G2922" s="154"/>
      <c r="H2922" s="154"/>
      <c r="I2922" s="154"/>
      <c r="J2922" s="154"/>
      <c r="K2922" s="154"/>
      <c r="L2922" s="154"/>
      <c r="M2922" s="154"/>
      <c r="N2922" s="154"/>
      <c r="O2922" s="154"/>
    </row>
    <row r="2923" spans="1:15" x14ac:dyDescent="0.35">
      <c r="A2923" s="321"/>
      <c r="B2923" s="318" t="s">
        <v>2691</v>
      </c>
      <c r="C2923" s="153"/>
      <c r="D2923" s="153"/>
      <c r="E2923" s="154"/>
      <c r="F2923" s="154"/>
      <c r="G2923" s="154"/>
      <c r="H2923" s="154"/>
      <c r="I2923" s="154"/>
      <c r="J2923" s="154"/>
      <c r="K2923" s="154"/>
      <c r="L2923" s="154"/>
      <c r="M2923" s="154"/>
      <c r="N2923" s="154"/>
      <c r="O2923" s="154"/>
    </row>
    <row r="2924" spans="1:15" x14ac:dyDescent="0.35">
      <c r="A2924" s="321"/>
      <c r="B2924" s="320" t="str">
        <f>B2916</f>
        <v>VIA 9 - ESTACA 0+0,00 A 33+9,92</v>
      </c>
      <c r="C2924" s="161"/>
      <c r="D2924" s="161"/>
      <c r="E2924" s="161"/>
      <c r="F2924" s="161"/>
      <c r="G2924" s="161"/>
      <c r="H2924" s="161"/>
      <c r="I2924" s="161"/>
      <c r="J2924" s="161"/>
      <c r="K2924" s="161"/>
      <c r="L2924" s="161"/>
      <c r="M2924" s="161"/>
      <c r="N2924" s="161">
        <v>4891.09</v>
      </c>
      <c r="O2924" s="188"/>
    </row>
    <row r="2925" spans="1:15" x14ac:dyDescent="0.35">
      <c r="A2925" s="321"/>
      <c r="B2925" s="320" t="str">
        <f>B2917</f>
        <v>VIA 11 - ESTACA 1+17,69 A 33+11,57</v>
      </c>
      <c r="C2925" s="161"/>
      <c r="D2925" s="161"/>
      <c r="E2925" s="161"/>
      <c r="F2925" s="161"/>
      <c r="G2925" s="161"/>
      <c r="H2925" s="161"/>
      <c r="I2925" s="161"/>
      <c r="J2925" s="161"/>
      <c r="K2925" s="161"/>
      <c r="L2925" s="161"/>
      <c r="M2925" s="161"/>
      <c r="N2925" s="161">
        <v>4627.99</v>
      </c>
      <c r="O2925" s="188"/>
    </row>
    <row r="2926" spans="1:15" x14ac:dyDescent="0.35">
      <c r="A2926" s="321"/>
      <c r="B2926" s="320"/>
      <c r="C2926" s="161"/>
      <c r="D2926" s="161"/>
      <c r="E2926" s="161"/>
      <c r="F2926" s="161"/>
      <c r="G2926" s="161"/>
      <c r="H2926" s="161"/>
      <c r="I2926" s="161"/>
      <c r="J2926" s="161"/>
      <c r="K2926" s="161"/>
      <c r="L2926" s="161"/>
      <c r="M2926" s="161"/>
      <c r="N2926" s="161"/>
      <c r="O2926" s="324"/>
    </row>
    <row r="2927" spans="1:15" x14ac:dyDescent="0.35">
      <c r="A2927" s="319"/>
      <c r="B2927" s="318" t="s">
        <v>377</v>
      </c>
      <c r="C2927" s="182" t="s">
        <v>402</v>
      </c>
      <c r="D2927" s="182"/>
      <c r="E2927" s="182"/>
      <c r="F2927" s="182"/>
      <c r="G2927" s="182"/>
      <c r="H2927" s="182"/>
      <c r="I2927" s="182"/>
      <c r="J2927" s="182"/>
      <c r="K2927" s="182"/>
      <c r="L2927" s="182"/>
      <c r="M2927" s="182"/>
      <c r="N2927" s="170">
        <f>SUM(N2924:N2925)</f>
        <v>9519.08</v>
      </c>
      <c r="O2927" s="170"/>
    </row>
    <row r="2928" spans="1:15" ht="21" x14ac:dyDescent="0.35">
      <c r="A2928" s="323" t="str">
        <f>ORÇAMENTO!A510</f>
        <v>5.4.4.2</v>
      </c>
      <c r="B2928" s="322" t="str">
        <f>VLOOKUP(A2928,ORÇAMENTO!$A:$F,4,0)</f>
        <v>COMPACTAÇÃO DE ATERROS A 100% DO PROCTOR INTERMEDIÁRIO</v>
      </c>
      <c r="C2928" s="149" t="str">
        <f>VLOOKUP(A2928,ORÇAMENTO!$A:$F,5,0)</f>
        <v>M³</v>
      </c>
      <c r="D2928" s="149">
        <f>SUM(E2934:O2934)</f>
        <v>3807.11</v>
      </c>
      <c r="E2928" s="149" t="s">
        <v>2149</v>
      </c>
      <c r="F2928" s="149" t="s">
        <v>2150</v>
      </c>
      <c r="G2928" s="149" t="s">
        <v>2151</v>
      </c>
      <c r="H2928" s="149" t="s">
        <v>2152</v>
      </c>
      <c r="I2928" s="149" t="s">
        <v>2153</v>
      </c>
      <c r="J2928" s="149" t="s">
        <v>2154</v>
      </c>
      <c r="K2928" s="149" t="s">
        <v>2155</v>
      </c>
      <c r="L2928" s="149" t="s">
        <v>2178</v>
      </c>
      <c r="M2928" s="149" t="s">
        <v>2204</v>
      </c>
      <c r="N2928" s="149" t="s">
        <v>2157</v>
      </c>
      <c r="O2928" s="149" t="s">
        <v>2158</v>
      </c>
    </row>
    <row r="2929" spans="1:15" x14ac:dyDescent="0.35">
      <c r="A2929" s="321"/>
      <c r="B2929" s="318" t="s">
        <v>2688</v>
      </c>
      <c r="C2929" s="153"/>
      <c r="D2929" s="153"/>
      <c r="E2929" s="154"/>
      <c r="F2929" s="154"/>
      <c r="G2929" s="154"/>
      <c r="H2929" s="154"/>
      <c r="I2929" s="154"/>
      <c r="J2929" s="154"/>
      <c r="K2929" s="154"/>
      <c r="L2929" s="154"/>
      <c r="M2929" s="154"/>
      <c r="N2929" s="154"/>
      <c r="O2929" s="154"/>
    </row>
    <row r="2930" spans="1:15" x14ac:dyDescent="0.35">
      <c r="A2930" s="321"/>
      <c r="B2930" s="318" t="s">
        <v>2691</v>
      </c>
      <c r="C2930" s="153"/>
      <c r="D2930" s="153"/>
      <c r="E2930" s="154"/>
      <c r="F2930" s="154"/>
      <c r="G2930" s="154"/>
      <c r="H2930" s="154"/>
      <c r="I2930" s="154"/>
      <c r="J2930" s="154"/>
      <c r="K2930" s="154"/>
      <c r="L2930" s="154"/>
      <c r="M2930" s="154"/>
      <c r="N2930" s="154"/>
      <c r="O2930" s="154"/>
    </row>
    <row r="2931" spans="1:15" x14ac:dyDescent="0.35">
      <c r="A2931" s="321"/>
      <c r="B2931" s="320" t="str">
        <f>B2924</f>
        <v>VIA 9 - ESTACA 0+0,00 A 33+9,92</v>
      </c>
      <c r="C2931" s="161"/>
      <c r="D2931" s="161"/>
      <c r="E2931" s="161"/>
      <c r="F2931" s="161"/>
      <c r="G2931" s="161"/>
      <c r="H2931" s="161"/>
      <c r="I2931" s="161"/>
      <c r="J2931" s="161"/>
      <c r="K2931" s="161"/>
      <c r="L2931" s="161"/>
      <c r="M2931" s="161"/>
      <c r="N2931" s="161"/>
      <c r="O2931" s="188">
        <v>1956.17</v>
      </c>
    </row>
    <row r="2932" spans="1:15" x14ac:dyDescent="0.35">
      <c r="A2932" s="321"/>
      <c r="B2932" s="320" t="str">
        <f>B2925</f>
        <v>VIA 11 - ESTACA 1+17,69 A 33+11,57</v>
      </c>
      <c r="C2932" s="161"/>
      <c r="D2932" s="161"/>
      <c r="E2932" s="161"/>
      <c r="F2932" s="161"/>
      <c r="G2932" s="161"/>
      <c r="H2932" s="161"/>
      <c r="I2932" s="161"/>
      <c r="J2932" s="161"/>
      <c r="K2932" s="161"/>
      <c r="L2932" s="161"/>
      <c r="M2932" s="161"/>
      <c r="N2932" s="161"/>
      <c r="O2932" s="188">
        <v>1850.94</v>
      </c>
    </row>
    <row r="2933" spans="1:15" x14ac:dyDescent="0.35">
      <c r="A2933" s="321"/>
      <c r="B2933" s="320"/>
      <c r="C2933" s="161"/>
      <c r="D2933" s="161"/>
      <c r="E2933" s="161"/>
      <c r="F2933" s="161"/>
      <c r="G2933" s="161"/>
      <c r="H2933" s="161"/>
      <c r="I2933" s="161"/>
      <c r="J2933" s="161"/>
      <c r="K2933" s="161"/>
      <c r="L2933" s="161"/>
      <c r="M2933" s="161"/>
      <c r="N2933" s="161"/>
      <c r="O2933" s="324"/>
    </row>
    <row r="2934" spans="1:15" x14ac:dyDescent="0.35">
      <c r="A2934" s="319"/>
      <c r="B2934" s="318" t="s">
        <v>377</v>
      </c>
      <c r="C2934" s="182" t="s">
        <v>402</v>
      </c>
      <c r="D2934" s="182"/>
      <c r="E2934" s="182"/>
      <c r="F2934" s="182"/>
      <c r="G2934" s="182"/>
      <c r="H2934" s="182"/>
      <c r="I2934" s="182"/>
      <c r="J2934" s="182"/>
      <c r="K2934" s="182"/>
      <c r="L2934" s="182"/>
      <c r="M2934" s="182"/>
      <c r="N2934" s="182"/>
      <c r="O2934" s="170">
        <f>SUM(O2931:O2932)</f>
        <v>3807.11</v>
      </c>
    </row>
    <row r="2935" spans="1:15" ht="52.5" x14ac:dyDescent="0.35">
      <c r="A2935" s="323" t="str">
        <f>ORÇAMENTO!A511</f>
        <v>5.4.4.3</v>
      </c>
      <c r="B2935" s="322" t="str">
        <f>VLOOKUP(A2935,ORÇAMENTO!$A:$F,4,0)</f>
        <v>EXECUÇÃO E COMPACTAÇÃO DE BASE E OU SUB BASE PARA PAVIMENTAÇÃO DE SOLO (PREDOMINANTEMENTE ARENOSO) COM CAL (TEOR DE 4%) - EXCLUSIVE SOLO, ESCAVAÇÃO, CARGA E TRANSPORTE.</v>
      </c>
      <c r="C2935" s="149" t="str">
        <f>VLOOKUP(A2935,ORÇAMENTO!$A:$F,5,0)</f>
        <v>M³</v>
      </c>
      <c r="D2935" s="149">
        <f>SUM(E2941:O2941)</f>
        <v>1427.6599999999999</v>
      </c>
      <c r="E2935" s="149" t="s">
        <v>2149</v>
      </c>
      <c r="F2935" s="149" t="s">
        <v>2150</v>
      </c>
      <c r="G2935" s="149" t="s">
        <v>2151</v>
      </c>
      <c r="H2935" s="149" t="s">
        <v>2152</v>
      </c>
      <c r="I2935" s="149" t="s">
        <v>2153</v>
      </c>
      <c r="J2935" s="149" t="s">
        <v>2154</v>
      </c>
      <c r="K2935" s="149" t="s">
        <v>2155</v>
      </c>
      <c r="L2935" s="149" t="s">
        <v>2178</v>
      </c>
      <c r="M2935" s="149" t="s">
        <v>2204</v>
      </c>
      <c r="N2935" s="149" t="s">
        <v>2157</v>
      </c>
      <c r="O2935" s="149" t="s">
        <v>2158</v>
      </c>
    </row>
    <row r="2936" spans="1:15" x14ac:dyDescent="0.35">
      <c r="A2936" s="321"/>
      <c r="B2936" s="318" t="s">
        <v>2688</v>
      </c>
      <c r="C2936" s="153"/>
      <c r="D2936" s="153"/>
      <c r="E2936" s="154"/>
      <c r="F2936" s="154"/>
      <c r="G2936" s="154"/>
      <c r="H2936" s="154"/>
      <c r="I2936" s="154"/>
      <c r="J2936" s="154"/>
      <c r="K2936" s="154"/>
      <c r="L2936" s="154"/>
      <c r="M2936" s="154"/>
      <c r="N2936" s="154"/>
      <c r="O2936" s="154"/>
    </row>
    <row r="2937" spans="1:15" x14ac:dyDescent="0.35">
      <c r="A2937" s="321"/>
      <c r="B2937" s="318" t="s">
        <v>2690</v>
      </c>
      <c r="C2937" s="153"/>
      <c r="D2937" s="153"/>
      <c r="E2937" s="154"/>
      <c r="F2937" s="154"/>
      <c r="G2937" s="154"/>
      <c r="H2937" s="154"/>
      <c r="I2937" s="154"/>
      <c r="J2937" s="154"/>
      <c r="K2937" s="154"/>
      <c r="L2937" s="154"/>
      <c r="M2937" s="154"/>
      <c r="N2937" s="154"/>
      <c r="O2937" s="154"/>
    </row>
    <row r="2938" spans="1:15" x14ac:dyDescent="0.35">
      <c r="A2938" s="321"/>
      <c r="B2938" s="320" t="str">
        <f>B2931</f>
        <v>VIA 9 - ESTACA 0+0,00 A 33+9,92</v>
      </c>
      <c r="C2938" s="161"/>
      <c r="D2938" s="161"/>
      <c r="E2938" s="161"/>
      <c r="F2938" s="161"/>
      <c r="G2938" s="161"/>
      <c r="H2938" s="161">
        <v>0.15</v>
      </c>
      <c r="I2938" s="161"/>
      <c r="J2938" s="161"/>
      <c r="K2938" s="161"/>
      <c r="L2938" s="161"/>
      <c r="M2938" s="161"/>
      <c r="N2938" s="161"/>
      <c r="O2938" s="188">
        <v>733.56</v>
      </c>
    </row>
    <row r="2939" spans="1:15" x14ac:dyDescent="0.35">
      <c r="A2939" s="321"/>
      <c r="B2939" s="320" t="str">
        <f>B2932</f>
        <v>VIA 11 - ESTACA 1+17,69 A 33+11,57</v>
      </c>
      <c r="C2939" s="161"/>
      <c r="D2939" s="161"/>
      <c r="E2939" s="161"/>
      <c r="F2939" s="161"/>
      <c r="G2939" s="161"/>
      <c r="H2939" s="161">
        <v>0.15</v>
      </c>
      <c r="I2939" s="161"/>
      <c r="J2939" s="161"/>
      <c r="K2939" s="161"/>
      <c r="L2939" s="161"/>
      <c r="M2939" s="161"/>
      <c r="N2939" s="161"/>
      <c r="O2939" s="188">
        <v>694.1</v>
      </c>
    </row>
    <row r="2940" spans="1:15" x14ac:dyDescent="0.35">
      <c r="A2940" s="321"/>
      <c r="B2940" s="320"/>
      <c r="C2940" s="161"/>
      <c r="D2940" s="161"/>
      <c r="E2940" s="161"/>
      <c r="F2940" s="161"/>
      <c r="G2940" s="161"/>
      <c r="H2940" s="161"/>
      <c r="I2940" s="161"/>
      <c r="J2940" s="161"/>
      <c r="K2940" s="161"/>
      <c r="L2940" s="161"/>
      <c r="M2940" s="161"/>
      <c r="N2940" s="161"/>
      <c r="O2940" s="324"/>
    </row>
    <row r="2941" spans="1:15" x14ac:dyDescent="0.35">
      <c r="A2941" s="319"/>
      <c r="B2941" s="318" t="s">
        <v>377</v>
      </c>
      <c r="C2941" s="182" t="s">
        <v>402</v>
      </c>
      <c r="D2941" s="182"/>
      <c r="E2941" s="182"/>
      <c r="F2941" s="182"/>
      <c r="G2941" s="182"/>
      <c r="H2941" s="182"/>
      <c r="I2941" s="182"/>
      <c r="J2941" s="182"/>
      <c r="K2941" s="182"/>
      <c r="L2941" s="182"/>
      <c r="M2941" s="182"/>
      <c r="N2941" s="182"/>
      <c r="O2941" s="170">
        <f>SUM(O2938:O2939)</f>
        <v>1427.6599999999999</v>
      </c>
    </row>
    <row r="2942" spans="1:15" ht="21" x14ac:dyDescent="0.35">
      <c r="A2942" s="323" t="str">
        <f>ORÇAMENTO!A512</f>
        <v>5.4.4.4</v>
      </c>
      <c r="B2942" s="322" t="str">
        <f>VLOOKUP(A2942,ORÇAMENTO!$A:$F,4,0)</f>
        <v>BASE OU SUB-BASE DE BRITA GRADUADA COM BRITA COMERCIAL</v>
      </c>
      <c r="C2942" s="149" t="str">
        <f>VLOOKUP(A2942,ORÇAMENTO!$A:$F,5,0)</f>
        <v>M³</v>
      </c>
      <c r="D2942" s="149">
        <f>SUM(E2948:O2948)</f>
        <v>1382.69</v>
      </c>
      <c r="E2942" s="149" t="s">
        <v>2149</v>
      </c>
      <c r="F2942" s="149" t="s">
        <v>2150</v>
      </c>
      <c r="G2942" s="149" t="s">
        <v>2151</v>
      </c>
      <c r="H2942" s="149" t="s">
        <v>2152</v>
      </c>
      <c r="I2942" s="149" t="s">
        <v>2153</v>
      </c>
      <c r="J2942" s="149" t="s">
        <v>2154</v>
      </c>
      <c r="K2942" s="149" t="s">
        <v>2155</v>
      </c>
      <c r="L2942" s="149" t="s">
        <v>2178</v>
      </c>
      <c r="M2942" s="149" t="s">
        <v>2204</v>
      </c>
      <c r="N2942" s="149" t="s">
        <v>2157</v>
      </c>
      <c r="O2942" s="149" t="s">
        <v>2158</v>
      </c>
    </row>
    <row r="2943" spans="1:15" x14ac:dyDescent="0.35">
      <c r="A2943" s="321"/>
      <c r="B2943" s="318" t="s">
        <v>2688</v>
      </c>
      <c r="C2943" s="153"/>
      <c r="D2943" s="153"/>
      <c r="E2943" s="154"/>
      <c r="F2943" s="154"/>
      <c r="G2943" s="154"/>
      <c r="H2943" s="154"/>
      <c r="I2943" s="154"/>
      <c r="J2943" s="154"/>
      <c r="K2943" s="154"/>
      <c r="L2943" s="154"/>
      <c r="M2943" s="154"/>
      <c r="N2943" s="154"/>
      <c r="O2943" s="154"/>
    </row>
    <row r="2944" spans="1:15" x14ac:dyDescent="0.35">
      <c r="A2944" s="321"/>
      <c r="B2944" s="318" t="s">
        <v>2689</v>
      </c>
      <c r="C2944" s="153"/>
      <c r="D2944" s="153"/>
      <c r="E2944" s="154"/>
      <c r="F2944" s="154"/>
      <c r="G2944" s="154"/>
      <c r="H2944" s="154"/>
      <c r="I2944" s="154"/>
      <c r="J2944" s="154"/>
      <c r="K2944" s="154"/>
      <c r="L2944" s="154"/>
      <c r="M2944" s="154"/>
      <c r="N2944" s="154"/>
      <c r="O2944" s="154"/>
    </row>
    <row r="2945" spans="1:15" x14ac:dyDescent="0.35">
      <c r="A2945" s="321"/>
      <c r="B2945" s="320" t="str">
        <f>B2938</f>
        <v>VIA 9 - ESTACA 0+0,00 A 33+9,92</v>
      </c>
      <c r="C2945" s="161"/>
      <c r="D2945" s="161"/>
      <c r="E2945" s="161"/>
      <c r="F2945" s="161"/>
      <c r="G2945" s="161"/>
      <c r="H2945" s="161">
        <v>0.15</v>
      </c>
      <c r="I2945" s="161"/>
      <c r="J2945" s="161"/>
      <c r="K2945" s="161"/>
      <c r="L2945" s="161"/>
      <c r="M2945" s="161"/>
      <c r="N2945" s="161"/>
      <c r="O2945" s="188">
        <v>710.45</v>
      </c>
    </row>
    <row r="2946" spans="1:15" x14ac:dyDescent="0.35">
      <c r="A2946" s="321"/>
      <c r="B2946" s="320" t="str">
        <f>B2939</f>
        <v>VIA 11 - ESTACA 1+17,69 A 33+11,57</v>
      </c>
      <c r="C2946" s="161"/>
      <c r="D2946" s="161"/>
      <c r="E2946" s="161"/>
      <c r="F2946" s="161"/>
      <c r="G2946" s="161"/>
      <c r="H2946" s="161">
        <v>0.15</v>
      </c>
      <c r="I2946" s="161"/>
      <c r="J2946" s="161"/>
      <c r="K2946" s="161"/>
      <c r="L2946" s="161"/>
      <c r="M2946" s="161"/>
      <c r="N2946" s="161"/>
      <c r="O2946" s="188">
        <v>672.24</v>
      </c>
    </row>
    <row r="2947" spans="1:15" x14ac:dyDescent="0.35">
      <c r="A2947" s="321"/>
      <c r="B2947" s="320"/>
      <c r="C2947" s="161"/>
      <c r="D2947" s="161"/>
      <c r="E2947" s="161"/>
      <c r="F2947" s="161"/>
      <c r="G2947" s="161"/>
      <c r="H2947" s="161"/>
      <c r="I2947" s="161"/>
      <c r="J2947" s="161"/>
      <c r="K2947" s="161"/>
      <c r="L2947" s="161"/>
      <c r="M2947" s="161"/>
      <c r="N2947" s="161"/>
      <c r="O2947" s="324"/>
    </row>
    <row r="2948" spans="1:15" x14ac:dyDescent="0.35">
      <c r="A2948" s="319"/>
      <c r="B2948" s="318" t="s">
        <v>377</v>
      </c>
      <c r="C2948" s="182" t="s">
        <v>402</v>
      </c>
      <c r="D2948" s="182"/>
      <c r="E2948" s="182"/>
      <c r="F2948" s="182"/>
      <c r="G2948" s="182"/>
      <c r="H2948" s="182"/>
      <c r="I2948" s="182"/>
      <c r="J2948" s="182"/>
      <c r="K2948" s="182"/>
      <c r="L2948" s="182"/>
      <c r="M2948" s="182"/>
      <c r="N2948" s="182"/>
      <c r="O2948" s="170">
        <f>SUM(O2945:O2946)</f>
        <v>1382.69</v>
      </c>
    </row>
    <row r="2949" spans="1:15" ht="21" x14ac:dyDescent="0.35">
      <c r="A2949" s="323" t="str">
        <f>ORÇAMENTO!A513</f>
        <v>5.4.4.5</v>
      </c>
      <c r="B2949" s="322" t="str">
        <f>VLOOKUP(A2949,ORÇAMENTO!$A:$F,4,0)</f>
        <v>PINTURA DE LIGAÇÃO (SEM MATERIAL)</v>
      </c>
      <c r="C2949" s="149" t="str">
        <f>VLOOKUP(A2949,ORÇAMENTO!$A:$F,5,0)</f>
        <v>M²</v>
      </c>
      <c r="D2949" s="149">
        <f>SUM(E2954:O2954)</f>
        <v>9126.6666666666679</v>
      </c>
      <c r="E2949" s="149" t="s">
        <v>2149</v>
      </c>
      <c r="F2949" s="149" t="s">
        <v>2150</v>
      </c>
      <c r="G2949" s="149" t="s">
        <v>2151</v>
      </c>
      <c r="H2949" s="149" t="s">
        <v>2152</v>
      </c>
      <c r="I2949" s="149" t="s">
        <v>2153</v>
      </c>
      <c r="J2949" s="149" t="s">
        <v>2154</v>
      </c>
      <c r="K2949" s="149" t="s">
        <v>2155</v>
      </c>
      <c r="L2949" s="149" t="s">
        <v>2178</v>
      </c>
      <c r="M2949" s="149" t="s">
        <v>2204</v>
      </c>
      <c r="N2949" s="149" t="s">
        <v>2157</v>
      </c>
      <c r="O2949" s="149" t="s">
        <v>2158</v>
      </c>
    </row>
    <row r="2950" spans="1:15" x14ac:dyDescent="0.35">
      <c r="A2950" s="321"/>
      <c r="B2950" s="318"/>
      <c r="C2950" s="153"/>
      <c r="D2950" s="153"/>
      <c r="E2950" s="154"/>
      <c r="F2950" s="154"/>
      <c r="G2950" s="154"/>
      <c r="H2950" s="154"/>
      <c r="I2950" s="154"/>
      <c r="J2950" s="154"/>
      <c r="K2950" s="154"/>
      <c r="L2950" s="154"/>
      <c r="M2950" s="154"/>
      <c r="N2950" s="154"/>
      <c r="O2950" s="154"/>
    </row>
    <row r="2951" spans="1:15" x14ac:dyDescent="0.35">
      <c r="A2951" s="321"/>
      <c r="B2951" s="320" t="str">
        <f>B2945</f>
        <v>VIA 9 - ESTACA 0+0,00 A 33+9,92</v>
      </c>
      <c r="C2951" s="154"/>
      <c r="D2951" s="154"/>
      <c r="E2951" s="154"/>
      <c r="F2951" s="154"/>
      <c r="G2951" s="154"/>
      <c r="H2951" s="154"/>
      <c r="I2951" s="154"/>
      <c r="J2951" s="154"/>
      <c r="K2951" s="154"/>
      <c r="L2951" s="154"/>
      <c r="M2951" s="154"/>
      <c r="N2951" s="154">
        <f>O2963/H2963</f>
        <v>4689.3333333333339</v>
      </c>
      <c r="O2951" s="188"/>
    </row>
    <row r="2952" spans="1:15" x14ac:dyDescent="0.35">
      <c r="A2952" s="321"/>
      <c r="B2952" s="320" t="str">
        <f>B2946</f>
        <v>VIA 11 - ESTACA 1+17,69 A 33+11,57</v>
      </c>
      <c r="C2952" s="154"/>
      <c r="D2952" s="154"/>
      <c r="E2952" s="154"/>
      <c r="F2952" s="154"/>
      <c r="G2952" s="154"/>
      <c r="H2952" s="154"/>
      <c r="I2952" s="154"/>
      <c r="J2952" s="154"/>
      <c r="K2952" s="154"/>
      <c r="L2952" s="154"/>
      <c r="M2952" s="154"/>
      <c r="N2952" s="154">
        <f>O2964/H2964</f>
        <v>4437.3333333333339</v>
      </c>
      <c r="O2952" s="188"/>
    </row>
    <row r="2953" spans="1:15" x14ac:dyDescent="0.35">
      <c r="A2953" s="321"/>
      <c r="B2953" s="320"/>
      <c r="C2953" s="154"/>
      <c r="D2953" s="154"/>
      <c r="E2953" s="154"/>
      <c r="F2953" s="154"/>
      <c r="G2953" s="154"/>
      <c r="H2953" s="154"/>
      <c r="I2953" s="154"/>
      <c r="J2953" s="154"/>
      <c r="K2953" s="154"/>
      <c r="L2953" s="154"/>
      <c r="M2953" s="154"/>
      <c r="N2953" s="154"/>
      <c r="O2953" s="324"/>
    </row>
    <row r="2954" spans="1:15" x14ac:dyDescent="0.35">
      <c r="A2954" s="319"/>
      <c r="B2954" s="318" t="s">
        <v>377</v>
      </c>
      <c r="C2954" s="158" t="s">
        <v>402</v>
      </c>
      <c r="D2954" s="158"/>
      <c r="E2954" s="158"/>
      <c r="F2954" s="158"/>
      <c r="G2954" s="158"/>
      <c r="H2954" s="158"/>
      <c r="I2954" s="158"/>
      <c r="J2954" s="158"/>
      <c r="K2954" s="158"/>
      <c r="L2954" s="158"/>
      <c r="M2954" s="158"/>
      <c r="N2954" s="170">
        <f>SUM(N2951:N2952)</f>
        <v>9126.6666666666679</v>
      </c>
      <c r="O2954" s="170"/>
    </row>
    <row r="2955" spans="1:15" ht="21" x14ac:dyDescent="0.35">
      <c r="A2955" s="323" t="str">
        <f>ORÇAMENTO!A514</f>
        <v>5.4.4.6</v>
      </c>
      <c r="B2955" s="322" t="str">
        <f>VLOOKUP(A2955,ORÇAMENTO!$A:$F,4,0)</f>
        <v>IMPRIMAÇÃO COM EMULSÃO ASFÁLTICA (SEM MATERIAL)</v>
      </c>
      <c r="C2955" s="149" t="str">
        <f>VLOOKUP(A2955,ORÇAMENTO!$A:$F,5,0)</f>
        <v>M²</v>
      </c>
      <c r="D2955" s="149">
        <f>SUM(E2960:O2960)</f>
        <v>9126.6666666666679</v>
      </c>
      <c r="E2955" s="149" t="s">
        <v>2149</v>
      </c>
      <c r="F2955" s="149" t="s">
        <v>2150</v>
      </c>
      <c r="G2955" s="149" t="s">
        <v>2151</v>
      </c>
      <c r="H2955" s="149" t="s">
        <v>2152</v>
      </c>
      <c r="I2955" s="149" t="s">
        <v>2153</v>
      </c>
      <c r="J2955" s="149" t="s">
        <v>2154</v>
      </c>
      <c r="K2955" s="149" t="s">
        <v>2155</v>
      </c>
      <c r="L2955" s="149" t="s">
        <v>2178</v>
      </c>
      <c r="M2955" s="149" t="s">
        <v>2204</v>
      </c>
      <c r="N2955" s="149" t="s">
        <v>2157</v>
      </c>
      <c r="O2955" s="149" t="s">
        <v>2158</v>
      </c>
    </row>
    <row r="2956" spans="1:15" x14ac:dyDescent="0.35">
      <c r="A2956" s="321"/>
      <c r="B2956" s="318"/>
      <c r="C2956" s="153"/>
      <c r="D2956" s="153"/>
      <c r="E2956" s="154"/>
      <c r="F2956" s="154"/>
      <c r="G2956" s="154"/>
      <c r="H2956" s="154"/>
      <c r="I2956" s="154"/>
      <c r="J2956" s="154"/>
      <c r="K2956" s="154"/>
      <c r="L2956" s="154"/>
      <c r="M2956" s="154"/>
      <c r="N2956" s="154"/>
      <c r="O2956" s="154"/>
    </row>
    <row r="2957" spans="1:15" x14ac:dyDescent="0.35">
      <c r="A2957" s="321"/>
      <c r="B2957" s="320" t="str">
        <f>B2951</f>
        <v>VIA 9 - ESTACA 0+0,00 A 33+9,92</v>
      </c>
      <c r="C2957" s="154"/>
      <c r="D2957" s="154"/>
      <c r="E2957" s="154"/>
      <c r="F2957" s="154"/>
      <c r="G2957" s="154"/>
      <c r="H2957" s="154"/>
      <c r="I2957" s="154"/>
      <c r="J2957" s="154"/>
      <c r="K2957" s="154"/>
      <c r="L2957" s="154"/>
      <c r="M2957" s="154"/>
      <c r="N2957" s="154">
        <f>N2951</f>
        <v>4689.3333333333339</v>
      </c>
      <c r="O2957" s="188"/>
    </row>
    <row r="2958" spans="1:15" x14ac:dyDescent="0.35">
      <c r="A2958" s="321"/>
      <c r="B2958" s="320" t="str">
        <f>B2952</f>
        <v>VIA 11 - ESTACA 1+17,69 A 33+11,57</v>
      </c>
      <c r="C2958" s="154"/>
      <c r="D2958" s="154"/>
      <c r="E2958" s="154"/>
      <c r="F2958" s="154"/>
      <c r="G2958" s="154"/>
      <c r="H2958" s="154"/>
      <c r="I2958" s="154"/>
      <c r="J2958" s="154"/>
      <c r="K2958" s="154"/>
      <c r="L2958" s="154"/>
      <c r="M2958" s="154"/>
      <c r="N2958" s="154">
        <f>N2952</f>
        <v>4437.3333333333339</v>
      </c>
      <c r="O2958" s="188"/>
    </row>
    <row r="2959" spans="1:15" x14ac:dyDescent="0.35">
      <c r="A2959" s="321"/>
      <c r="B2959" s="320"/>
      <c r="C2959" s="154"/>
      <c r="D2959" s="154"/>
      <c r="E2959" s="154"/>
      <c r="F2959" s="154"/>
      <c r="G2959" s="154"/>
      <c r="H2959" s="154"/>
      <c r="I2959" s="154"/>
      <c r="J2959" s="154"/>
      <c r="K2959" s="154"/>
      <c r="L2959" s="154"/>
      <c r="M2959" s="154"/>
      <c r="N2959" s="154"/>
      <c r="O2959" s="324"/>
    </row>
    <row r="2960" spans="1:15" x14ac:dyDescent="0.35">
      <c r="A2960" s="319"/>
      <c r="B2960" s="318" t="s">
        <v>377</v>
      </c>
      <c r="C2960" s="158" t="s">
        <v>402</v>
      </c>
      <c r="D2960" s="158"/>
      <c r="E2960" s="158"/>
      <c r="F2960" s="158"/>
      <c r="G2960" s="158"/>
      <c r="H2960" s="158"/>
      <c r="I2960" s="158"/>
      <c r="J2960" s="158"/>
      <c r="K2960" s="158"/>
      <c r="L2960" s="158"/>
      <c r="M2960" s="158"/>
      <c r="N2960" s="170">
        <f>SUM(N2957:N2958)</f>
        <v>9126.6666666666679</v>
      </c>
      <c r="O2960" s="170"/>
    </row>
    <row r="2961" spans="1:15" ht="52.5" x14ac:dyDescent="0.35">
      <c r="A2961" s="323" t="str">
        <f>ORÇAMENTO!A515</f>
        <v>5.4.4.7</v>
      </c>
      <c r="B2961" s="322" t="str">
        <f>VLOOKUP(A2961,ORÇAMENTO!$A:$F,4,0)</f>
        <v>CONSTRUÇÃO DE PAVIMENTO COM APLICAÇÃO CONCRETO BETUMINOSO USINADO A QUENTE (CBUQ), CAMADA DE ROLAMENTO - EXCLUSIVE TRANSPORTE E CARGA  AF_03/2017 (SEM MATERIAL)</v>
      </c>
      <c r="C2961" s="149" t="str">
        <f>VLOOKUP(A2961,ORÇAMENTO!$A:$F,5,0)</f>
        <v>M³</v>
      </c>
      <c r="D2961" s="149">
        <f>SUM(E2966:O2966)</f>
        <v>273.8</v>
      </c>
      <c r="E2961" s="149" t="s">
        <v>2149</v>
      </c>
      <c r="F2961" s="149" t="s">
        <v>2150</v>
      </c>
      <c r="G2961" s="149" t="s">
        <v>2151</v>
      </c>
      <c r="H2961" s="149" t="s">
        <v>2152</v>
      </c>
      <c r="I2961" s="149" t="s">
        <v>2153</v>
      </c>
      <c r="J2961" s="149" t="s">
        <v>2154</v>
      </c>
      <c r="K2961" s="149" t="s">
        <v>2155</v>
      </c>
      <c r="L2961" s="149" t="s">
        <v>2178</v>
      </c>
      <c r="M2961" s="149" t="s">
        <v>2204</v>
      </c>
      <c r="N2961" s="149" t="s">
        <v>2157</v>
      </c>
      <c r="O2961" s="149" t="s">
        <v>2158</v>
      </c>
    </row>
    <row r="2962" spans="1:15" x14ac:dyDescent="0.35">
      <c r="A2962" s="321"/>
      <c r="B2962" s="318" t="s">
        <v>2688</v>
      </c>
      <c r="C2962" s="153"/>
      <c r="D2962" s="153"/>
      <c r="E2962" s="154"/>
      <c r="F2962" s="154"/>
      <c r="G2962" s="154"/>
      <c r="H2962" s="154"/>
      <c r="I2962" s="154"/>
      <c r="J2962" s="154"/>
      <c r="K2962" s="154"/>
      <c r="L2962" s="154"/>
      <c r="M2962" s="154"/>
      <c r="N2962" s="154"/>
      <c r="O2962" s="154"/>
    </row>
    <row r="2963" spans="1:15" x14ac:dyDescent="0.35">
      <c r="A2963" s="321"/>
      <c r="B2963" s="320" t="str">
        <f>B2945</f>
        <v>VIA 9 - ESTACA 0+0,00 A 33+9,92</v>
      </c>
      <c r="C2963" s="161"/>
      <c r="D2963" s="161"/>
      <c r="E2963" s="161"/>
      <c r="F2963" s="161"/>
      <c r="G2963" s="161"/>
      <c r="H2963" s="161">
        <v>0.03</v>
      </c>
      <c r="I2963" s="161"/>
      <c r="J2963" s="161"/>
      <c r="K2963" s="161"/>
      <c r="L2963" s="161"/>
      <c r="M2963" s="161"/>
      <c r="N2963" s="161"/>
      <c r="O2963" s="188">
        <v>140.68</v>
      </c>
    </row>
    <row r="2964" spans="1:15" x14ac:dyDescent="0.35">
      <c r="A2964" s="321"/>
      <c r="B2964" s="320" t="str">
        <f>B2946</f>
        <v>VIA 11 - ESTACA 1+17,69 A 33+11,57</v>
      </c>
      <c r="C2964" s="161"/>
      <c r="D2964" s="161"/>
      <c r="E2964" s="161"/>
      <c r="F2964" s="161"/>
      <c r="G2964" s="161"/>
      <c r="H2964" s="161">
        <v>0.03</v>
      </c>
      <c r="I2964" s="161"/>
      <c r="J2964" s="161"/>
      <c r="K2964" s="161"/>
      <c r="L2964" s="161"/>
      <c r="M2964" s="161"/>
      <c r="N2964" s="161"/>
      <c r="O2964" s="188">
        <v>133.12</v>
      </c>
    </row>
    <row r="2965" spans="1:15" x14ac:dyDescent="0.35">
      <c r="A2965" s="321"/>
      <c r="B2965" s="320"/>
      <c r="C2965" s="161"/>
      <c r="D2965" s="161"/>
      <c r="E2965" s="161"/>
      <c r="F2965" s="161"/>
      <c r="G2965" s="161"/>
      <c r="H2965" s="161"/>
      <c r="I2965" s="161"/>
      <c r="J2965" s="161"/>
      <c r="K2965" s="161"/>
      <c r="L2965" s="161"/>
      <c r="M2965" s="161"/>
      <c r="N2965" s="161"/>
      <c r="O2965" s="324"/>
    </row>
    <row r="2966" spans="1:15" x14ac:dyDescent="0.35">
      <c r="A2966" s="319"/>
      <c r="B2966" s="318" t="s">
        <v>377</v>
      </c>
      <c r="C2966" s="182" t="s">
        <v>402</v>
      </c>
      <c r="D2966" s="182"/>
      <c r="E2966" s="182"/>
      <c r="F2966" s="182"/>
      <c r="G2966" s="182"/>
      <c r="H2966" s="182"/>
      <c r="I2966" s="182"/>
      <c r="J2966" s="182"/>
      <c r="K2966" s="182"/>
      <c r="L2966" s="182"/>
      <c r="M2966" s="182"/>
      <c r="N2966" s="182"/>
      <c r="O2966" s="170">
        <f>SUM(O2963:O2964)</f>
        <v>273.8</v>
      </c>
    </row>
    <row r="2967" spans="1:15" ht="21" x14ac:dyDescent="0.35">
      <c r="A2967" s="323" t="str">
        <f>ORÇAMENTO!A516</f>
        <v>5.4.4.8</v>
      </c>
      <c r="B2967" s="322" t="str">
        <f>VLOOKUP(A2967,ORÇAMENTO!$A:$F,4,0)</f>
        <v>ENLEIVAMENTO</v>
      </c>
      <c r="C2967" s="149" t="str">
        <f>VLOOKUP(A2967,ORÇAMENTO!$A:$F,5,0)</f>
        <v>M²</v>
      </c>
      <c r="D2967" s="149">
        <f>SUM(E2972:O2972)</f>
        <v>797.18000000000006</v>
      </c>
      <c r="E2967" s="149" t="s">
        <v>2149</v>
      </c>
      <c r="F2967" s="149" t="s">
        <v>2150</v>
      </c>
      <c r="G2967" s="149" t="s">
        <v>2151</v>
      </c>
      <c r="H2967" s="149" t="s">
        <v>2152</v>
      </c>
      <c r="I2967" s="149" t="s">
        <v>2153</v>
      </c>
      <c r="J2967" s="149" t="s">
        <v>2154</v>
      </c>
      <c r="K2967" s="149" t="s">
        <v>2155</v>
      </c>
      <c r="L2967" s="149" t="s">
        <v>2178</v>
      </c>
      <c r="M2967" s="149" t="s">
        <v>2204</v>
      </c>
      <c r="N2967" s="149" t="s">
        <v>2157</v>
      </c>
      <c r="O2967" s="149" t="s">
        <v>2158</v>
      </c>
    </row>
    <row r="2968" spans="1:15" x14ac:dyDescent="0.35">
      <c r="A2968" s="321"/>
      <c r="B2968" s="318" t="s">
        <v>2688</v>
      </c>
      <c r="C2968" s="153"/>
      <c r="D2968" s="153"/>
      <c r="E2968" s="154"/>
      <c r="F2968" s="154"/>
      <c r="G2968" s="154"/>
      <c r="H2968" s="154"/>
      <c r="I2968" s="154"/>
      <c r="J2968" s="154"/>
      <c r="K2968" s="154"/>
      <c r="L2968" s="154"/>
      <c r="M2968" s="154"/>
      <c r="N2968" s="154"/>
      <c r="O2968" s="154"/>
    </row>
    <row r="2969" spans="1:15" x14ac:dyDescent="0.35">
      <c r="A2969" s="321"/>
      <c r="B2969" s="320" t="str">
        <f>B2951</f>
        <v>VIA 9 - ESTACA 0+0,00 A 33+9,92</v>
      </c>
      <c r="C2969" s="154"/>
      <c r="D2969" s="154"/>
      <c r="E2969" s="154"/>
      <c r="F2969" s="154"/>
      <c r="G2969" s="154"/>
      <c r="H2969" s="154"/>
      <c r="I2969" s="154"/>
      <c r="J2969" s="154"/>
      <c r="K2969" s="154"/>
      <c r="L2969" s="154"/>
      <c r="M2969" s="154"/>
      <c r="N2969" s="154">
        <v>468.81</v>
      </c>
      <c r="O2969" s="188"/>
    </row>
    <row r="2970" spans="1:15" x14ac:dyDescent="0.35">
      <c r="A2970" s="321"/>
      <c r="B2970" s="320" t="str">
        <f>B2952</f>
        <v>VIA 11 - ESTACA 1+17,69 A 33+11,57</v>
      </c>
      <c r="C2970" s="154"/>
      <c r="D2970" s="154"/>
      <c r="E2970" s="154"/>
      <c r="F2970" s="154"/>
      <c r="G2970" s="154"/>
      <c r="H2970" s="154"/>
      <c r="I2970" s="154"/>
      <c r="J2970" s="154"/>
      <c r="K2970" s="154"/>
      <c r="L2970" s="154"/>
      <c r="M2970" s="154"/>
      <c r="N2970" s="154">
        <v>328.37</v>
      </c>
      <c r="O2970" s="188"/>
    </row>
    <row r="2971" spans="1:15" x14ac:dyDescent="0.35">
      <c r="A2971" s="321"/>
      <c r="B2971" s="320"/>
      <c r="C2971" s="154"/>
      <c r="D2971" s="154"/>
      <c r="E2971" s="154"/>
      <c r="F2971" s="154"/>
      <c r="G2971" s="154"/>
      <c r="H2971" s="154"/>
      <c r="I2971" s="154"/>
      <c r="J2971" s="154"/>
      <c r="K2971" s="154"/>
      <c r="L2971" s="154"/>
      <c r="M2971" s="154"/>
      <c r="N2971" s="154"/>
      <c r="O2971" s="324"/>
    </row>
    <row r="2972" spans="1:15" x14ac:dyDescent="0.35">
      <c r="A2972" s="319"/>
      <c r="B2972" s="318" t="s">
        <v>377</v>
      </c>
      <c r="C2972" s="158" t="s">
        <v>402</v>
      </c>
      <c r="D2972" s="158"/>
      <c r="E2972" s="158"/>
      <c r="F2972" s="158"/>
      <c r="G2972" s="158"/>
      <c r="H2972" s="158"/>
      <c r="I2972" s="158"/>
      <c r="J2972" s="158"/>
      <c r="K2972" s="158"/>
      <c r="L2972" s="158"/>
      <c r="M2972" s="158"/>
      <c r="N2972" s="170">
        <f>SUM(N2969:N2970)</f>
        <v>797.18000000000006</v>
      </c>
      <c r="O2972" s="170"/>
    </row>
    <row r="2973" spans="1:15" ht="21" x14ac:dyDescent="0.35">
      <c r="A2973" s="323" t="str">
        <f>ORÇAMENTO!A517</f>
        <v>5.4.4.9</v>
      </c>
      <c r="B2973" s="322" t="str">
        <f>VLOOKUP(A2973,ORÇAMENTO!$A:$F,4,0)</f>
        <v>USINAGEM DE CBUQ SEM  CAP 50/70, PARA CAPA DE ROLAMENTO (SEM MATERIAL  E TRANSPORTE)</v>
      </c>
      <c r="C2973" s="149" t="str">
        <f>VLOOKUP(A2973,ORÇAMENTO!$A:$F,5,0)</f>
        <v>T</v>
      </c>
      <c r="D2973" s="149">
        <f>SUM(E2982:O2982)</f>
        <v>657.12</v>
      </c>
      <c r="E2973" s="149" t="s">
        <v>2149</v>
      </c>
      <c r="F2973" s="149" t="s">
        <v>2150</v>
      </c>
      <c r="G2973" s="149" t="s">
        <v>2151</v>
      </c>
      <c r="H2973" s="149" t="s">
        <v>2152</v>
      </c>
      <c r="I2973" s="149" t="s">
        <v>2153</v>
      </c>
      <c r="J2973" s="149" t="s">
        <v>2154</v>
      </c>
      <c r="K2973" s="149" t="s">
        <v>2172</v>
      </c>
      <c r="L2973" s="149" t="s">
        <v>2178</v>
      </c>
      <c r="M2973" s="149" t="s">
        <v>2204</v>
      </c>
      <c r="N2973" s="149" t="s">
        <v>2157</v>
      </c>
      <c r="O2973" s="149" t="s">
        <v>2158</v>
      </c>
    </row>
    <row r="2974" spans="1:15" x14ac:dyDescent="0.35">
      <c r="A2974" s="321"/>
      <c r="B2974" s="318"/>
      <c r="C2974" s="153"/>
      <c r="D2974" s="153"/>
      <c r="E2974" s="154"/>
      <c r="F2974" s="154"/>
      <c r="G2974" s="154"/>
      <c r="H2974" s="154"/>
      <c r="I2974" s="154"/>
      <c r="J2974" s="154"/>
      <c r="K2974" s="154"/>
      <c r="L2974" s="154"/>
      <c r="M2974" s="154"/>
      <c r="N2974" s="154"/>
      <c r="O2974" s="154"/>
    </row>
    <row r="2975" spans="1:15" x14ac:dyDescent="0.35">
      <c r="A2975" s="321"/>
      <c r="B2975" s="320" t="s">
        <v>2222</v>
      </c>
      <c r="C2975" s="160"/>
      <c r="D2975" s="161"/>
      <c r="E2975" s="161"/>
      <c r="F2975" s="161"/>
      <c r="G2975" s="161"/>
      <c r="H2975" s="161"/>
      <c r="I2975" s="161"/>
      <c r="J2975" s="161"/>
      <c r="K2975" s="161"/>
      <c r="L2975" s="161">
        <v>2.4</v>
      </c>
      <c r="M2975" s="161"/>
      <c r="N2975" s="161"/>
      <c r="O2975" s="161"/>
    </row>
    <row r="2976" spans="1:15" ht="21" x14ac:dyDescent="0.35">
      <c r="A2976" s="321"/>
      <c r="B2976" s="320" t="str">
        <f>B2973</f>
        <v>USINAGEM DE CBUQ SEM  CAP 50/70, PARA CAPA DE ROLAMENTO (SEM MATERIAL  E TRANSPORTE)</v>
      </c>
      <c r="C2976" s="160"/>
      <c r="D2976" s="161"/>
      <c r="E2976" s="161"/>
      <c r="F2976" s="161"/>
      <c r="G2976" s="161"/>
      <c r="H2976" s="161"/>
      <c r="I2976" s="161"/>
      <c r="J2976" s="161"/>
      <c r="K2976" s="325"/>
      <c r="L2976" s="161"/>
      <c r="M2976" s="161"/>
      <c r="N2976" s="161"/>
      <c r="O2976" s="161"/>
    </row>
    <row r="2977" spans="1:15" x14ac:dyDescent="0.35">
      <c r="A2977" s="321"/>
      <c r="B2977" s="320" t="str">
        <f>B2969</f>
        <v>VIA 9 - ESTACA 0+0,00 A 33+9,92</v>
      </c>
      <c r="C2977" s="161"/>
      <c r="D2977" s="161"/>
      <c r="E2977" s="161"/>
      <c r="F2977" s="161"/>
      <c r="G2977" s="161"/>
      <c r="H2977" s="161"/>
      <c r="I2977" s="161"/>
      <c r="J2977" s="161"/>
      <c r="K2977" s="161">
        <f>$L$2975*O2977</f>
        <v>337.63200000000001</v>
      </c>
      <c r="L2977" s="161"/>
      <c r="M2977" s="161"/>
      <c r="N2977" s="161"/>
      <c r="O2977" s="161">
        <f>O2963</f>
        <v>140.68</v>
      </c>
    </row>
    <row r="2978" spans="1:15" x14ac:dyDescent="0.35">
      <c r="A2978" s="321"/>
      <c r="B2978" s="320" t="str">
        <f>B2970</f>
        <v>VIA 11 - ESTACA 1+17,69 A 33+11,57</v>
      </c>
      <c r="C2978" s="161"/>
      <c r="D2978" s="161"/>
      <c r="E2978" s="161"/>
      <c r="F2978" s="161"/>
      <c r="G2978" s="161"/>
      <c r="H2978" s="161"/>
      <c r="I2978" s="161"/>
      <c r="J2978" s="161"/>
      <c r="K2978" s="161">
        <f>$L$2975*O2978</f>
        <v>319.488</v>
      </c>
      <c r="L2978" s="161"/>
      <c r="M2978" s="161"/>
      <c r="N2978" s="161"/>
      <c r="O2978" s="161">
        <f>O2964</f>
        <v>133.12</v>
      </c>
    </row>
    <row r="2979" spans="1:15" x14ac:dyDescent="0.35">
      <c r="A2979" s="321"/>
      <c r="B2979" s="320"/>
      <c r="C2979" s="161"/>
      <c r="D2979" s="161"/>
      <c r="E2979" s="161"/>
      <c r="F2979" s="161"/>
      <c r="G2979" s="161"/>
      <c r="H2979" s="161"/>
      <c r="I2979" s="161"/>
      <c r="J2979" s="161"/>
      <c r="K2979" s="161"/>
      <c r="L2979" s="161"/>
      <c r="M2979" s="161"/>
      <c r="N2979" s="161"/>
      <c r="O2979" s="161"/>
    </row>
    <row r="2980" spans="1:15" x14ac:dyDescent="0.35">
      <c r="A2980" s="321"/>
      <c r="B2980" s="320" t="s">
        <v>2221</v>
      </c>
      <c r="C2980" s="161"/>
      <c r="D2980" s="161"/>
      <c r="E2980" s="161"/>
      <c r="F2980" s="161"/>
      <c r="G2980" s="161"/>
      <c r="H2980" s="161"/>
      <c r="I2980" s="161"/>
      <c r="J2980" s="161"/>
      <c r="K2980" s="160">
        <f>SUM(K2977:K2978)</f>
        <v>657.12</v>
      </c>
      <c r="L2980" s="161"/>
      <c r="M2980" s="161"/>
      <c r="N2980" s="161"/>
      <c r="O2980" s="161"/>
    </row>
    <row r="2981" spans="1:15" x14ac:dyDescent="0.35">
      <c r="A2981" s="321"/>
      <c r="B2981" s="320"/>
      <c r="C2981" s="160"/>
      <c r="D2981" s="161"/>
      <c r="E2981" s="161"/>
      <c r="F2981" s="161"/>
      <c r="G2981" s="161"/>
      <c r="H2981" s="161"/>
      <c r="I2981" s="161"/>
      <c r="J2981" s="161"/>
      <c r="K2981" s="161"/>
      <c r="L2981" s="162"/>
      <c r="M2981" s="161"/>
      <c r="N2981" s="161"/>
      <c r="O2981" s="161"/>
    </row>
    <row r="2982" spans="1:15" x14ac:dyDescent="0.35">
      <c r="A2982" s="321"/>
      <c r="B2982" s="318" t="s">
        <v>377</v>
      </c>
      <c r="C2982" s="158" t="s">
        <v>402</v>
      </c>
      <c r="D2982" s="158"/>
      <c r="E2982" s="158"/>
      <c r="F2982" s="158"/>
      <c r="G2982" s="158"/>
      <c r="H2982" s="158"/>
      <c r="I2982" s="158"/>
      <c r="J2982" s="158"/>
      <c r="K2982" s="158">
        <f>K2980</f>
        <v>657.12</v>
      </c>
      <c r="L2982" s="158"/>
      <c r="M2982" s="158"/>
      <c r="N2982" s="158"/>
      <c r="O2982" s="158"/>
    </row>
    <row r="2983" spans="1:15" ht="21" x14ac:dyDescent="0.35">
      <c r="A2983" s="323" t="str">
        <f>ORÇAMENTO!A518</f>
        <v>5.4.4.10</v>
      </c>
      <c r="B2983" s="322" t="str">
        <f>VLOOKUP(A2983,ORÇAMENTO!$A:$F,4,0)</f>
        <v>CIMENTO ASFÁLTICO DE PETRÓLEO - CAP 50/70 FORNECIMENTO E TRANSPORTE</v>
      </c>
      <c r="C2983" s="149" t="str">
        <f>VLOOKUP(A2983,ORÇAMENTO!$A:$F,5,0)</f>
        <v>T</v>
      </c>
      <c r="D2983" s="149">
        <f>SUM(E2988:O2988)</f>
        <v>41.549697599999995</v>
      </c>
      <c r="E2983" s="149" t="s">
        <v>2149</v>
      </c>
      <c r="F2983" s="149" t="s">
        <v>2150</v>
      </c>
      <c r="G2983" s="149" t="s">
        <v>2151</v>
      </c>
      <c r="H2983" s="149" t="s">
        <v>2152</v>
      </c>
      <c r="I2983" s="149" t="s">
        <v>2153</v>
      </c>
      <c r="J2983" s="149" t="s">
        <v>2154</v>
      </c>
      <c r="K2983" s="149" t="s">
        <v>2172</v>
      </c>
      <c r="L2983" s="149" t="s">
        <v>2213</v>
      </c>
      <c r="M2983" s="149" t="s">
        <v>2204</v>
      </c>
      <c r="N2983" s="149" t="s">
        <v>2157</v>
      </c>
      <c r="O2983" s="149" t="s">
        <v>2158</v>
      </c>
    </row>
    <row r="2984" spans="1:15" x14ac:dyDescent="0.35">
      <c r="A2984" s="321"/>
      <c r="B2984" s="320" t="str">
        <f>B2980</f>
        <v>CONCRETO BETUMINOSO USINADO A QUENTE</v>
      </c>
      <c r="C2984" s="153"/>
      <c r="D2984" s="154"/>
      <c r="E2984" s="154"/>
      <c r="F2984" s="154"/>
      <c r="G2984" s="154"/>
      <c r="H2984" s="154"/>
      <c r="I2984" s="154"/>
      <c r="J2984" s="154"/>
      <c r="K2984" s="154">
        <f>K2980</f>
        <v>657.12</v>
      </c>
      <c r="L2984" s="154"/>
      <c r="M2984" s="154"/>
      <c r="N2984" s="154"/>
      <c r="O2984" s="154"/>
    </row>
    <row r="2985" spans="1:15" x14ac:dyDescent="0.35">
      <c r="A2985" s="321"/>
      <c r="B2985" s="320" t="s">
        <v>2223</v>
      </c>
      <c r="C2985" s="153"/>
      <c r="D2985" s="154"/>
      <c r="E2985" s="154"/>
      <c r="F2985" s="154"/>
      <c r="G2985" s="154"/>
      <c r="H2985" s="154"/>
      <c r="I2985" s="154"/>
      <c r="J2985" s="154"/>
      <c r="K2985" s="154"/>
      <c r="L2985" s="172">
        <v>6.3229999999999995E-2</v>
      </c>
      <c r="M2985" s="154"/>
      <c r="N2985" s="154"/>
      <c r="O2985" s="154"/>
    </row>
    <row r="2986" spans="1:15" x14ac:dyDescent="0.35">
      <c r="A2986" s="321"/>
      <c r="B2986" s="320"/>
      <c r="C2986" s="153"/>
      <c r="D2986" s="154"/>
      <c r="E2986" s="154"/>
      <c r="F2986" s="154"/>
      <c r="G2986" s="154"/>
      <c r="H2986" s="154"/>
      <c r="I2986" s="154"/>
      <c r="J2986" s="154"/>
      <c r="K2986" s="154">
        <f>K2984*L2985</f>
        <v>41.549697599999995</v>
      </c>
      <c r="L2986" s="154"/>
      <c r="M2986" s="154"/>
      <c r="N2986" s="154"/>
      <c r="O2986" s="154"/>
    </row>
    <row r="2987" spans="1:15" x14ac:dyDescent="0.35">
      <c r="A2987" s="321"/>
      <c r="B2987" s="320"/>
      <c r="C2987" s="161"/>
      <c r="D2987" s="161"/>
      <c r="E2987" s="161"/>
      <c r="F2987" s="161"/>
      <c r="G2987" s="161"/>
      <c r="H2987" s="161"/>
      <c r="I2987" s="161"/>
      <c r="J2987" s="161"/>
      <c r="K2987" s="161"/>
      <c r="L2987" s="161"/>
      <c r="M2987" s="161"/>
      <c r="N2987" s="161"/>
      <c r="O2987" s="324"/>
    </row>
    <row r="2988" spans="1:15" x14ac:dyDescent="0.35">
      <c r="A2988" s="319"/>
      <c r="B2988" s="318" t="s">
        <v>377</v>
      </c>
      <c r="C2988" s="182" t="s">
        <v>402</v>
      </c>
      <c r="D2988" s="182"/>
      <c r="E2988" s="182"/>
      <c r="F2988" s="182"/>
      <c r="G2988" s="182"/>
      <c r="H2988" s="158"/>
      <c r="I2988" s="182"/>
      <c r="J2988" s="182"/>
      <c r="K2988" s="182">
        <f>K2986</f>
        <v>41.549697599999995</v>
      </c>
      <c r="L2988" s="182"/>
      <c r="M2988" s="182"/>
      <c r="N2988" s="182"/>
      <c r="O2988" s="170"/>
    </row>
    <row r="2989" spans="1:15" ht="21" x14ac:dyDescent="0.35">
      <c r="A2989" s="323" t="str">
        <f>ORÇAMENTO!A519</f>
        <v>5.4.4.11</v>
      </c>
      <c r="B2989" s="322" t="str">
        <f>VLOOKUP(A2989,ORÇAMENTO!$A:$F,4,0)</f>
        <v>EMULSÃO ASFÁLTICA - RR-1C - FORNECIMENTO E TRANSPORTE</v>
      </c>
      <c r="C2989" s="149" t="str">
        <f>VLOOKUP(A2989,ORÇAMENTO!$A:$F,5,0)</f>
        <v>T</v>
      </c>
      <c r="D2989" s="149">
        <f>SUM(E2995:O2995)</f>
        <v>4.1070000000000002</v>
      </c>
      <c r="E2989" s="149" t="s">
        <v>2149</v>
      </c>
      <c r="F2989" s="149" t="s">
        <v>2150</v>
      </c>
      <c r="G2989" s="149" t="s">
        <v>2151</v>
      </c>
      <c r="H2989" s="149" t="s">
        <v>2152</v>
      </c>
      <c r="I2989" s="149" t="s">
        <v>2153</v>
      </c>
      <c r="J2989" s="149" t="s">
        <v>2154</v>
      </c>
      <c r="K2989" s="149" t="s">
        <v>2172</v>
      </c>
      <c r="L2989" s="149" t="s">
        <v>2213</v>
      </c>
      <c r="M2989" s="149" t="s">
        <v>2204</v>
      </c>
      <c r="N2989" s="149" t="s">
        <v>2157</v>
      </c>
      <c r="O2989" s="149" t="s">
        <v>2158</v>
      </c>
    </row>
    <row r="2990" spans="1:15" ht="21" x14ac:dyDescent="0.35">
      <c r="A2990" s="321"/>
      <c r="B2990" s="318" t="s">
        <v>2215</v>
      </c>
      <c r="C2990" s="153"/>
      <c r="D2990" s="153"/>
      <c r="E2990" s="154"/>
      <c r="F2990" s="154"/>
      <c r="G2990" s="154"/>
      <c r="H2990" s="154"/>
      <c r="I2990" s="154"/>
      <c r="J2990" s="154"/>
      <c r="K2990" s="154"/>
      <c r="L2990" s="154"/>
      <c r="M2990" s="154"/>
      <c r="N2990" s="154"/>
      <c r="O2990" s="154"/>
    </row>
    <row r="2991" spans="1:15" ht="31.5" x14ac:dyDescent="0.35">
      <c r="A2991" s="321"/>
      <c r="B2991" s="320" t="s">
        <v>2216</v>
      </c>
      <c r="C2991" s="153"/>
      <c r="D2991" s="154"/>
      <c r="E2991" s="154"/>
      <c r="F2991" s="154"/>
      <c r="G2991" s="154"/>
      <c r="H2991" s="154"/>
      <c r="I2991" s="154"/>
      <c r="J2991" s="154"/>
      <c r="K2991" s="154"/>
      <c r="L2991" s="172">
        <v>4.4999999999999999E-4</v>
      </c>
      <c r="M2991" s="154"/>
      <c r="N2991" s="154"/>
      <c r="O2991" s="154"/>
    </row>
    <row r="2992" spans="1:15" x14ac:dyDescent="0.35">
      <c r="A2992" s="321"/>
      <c r="B2992" s="320" t="str">
        <f>B2951</f>
        <v>VIA 9 - ESTACA 0+0,00 A 33+9,92</v>
      </c>
      <c r="C2992" s="161"/>
      <c r="D2992" s="161"/>
      <c r="E2992" s="161"/>
      <c r="F2992" s="161"/>
      <c r="G2992" s="161"/>
      <c r="H2992" s="161"/>
      <c r="I2992" s="161"/>
      <c r="J2992" s="161"/>
      <c r="K2992" s="328">
        <f>$L$2991*N2992</f>
        <v>2.1102000000000003</v>
      </c>
      <c r="L2992" s="161"/>
      <c r="M2992" s="161"/>
      <c r="N2992" s="188">
        <f>N2951</f>
        <v>4689.3333333333339</v>
      </c>
      <c r="O2992" s="188"/>
    </row>
    <row r="2993" spans="1:15" x14ac:dyDescent="0.35">
      <c r="A2993" s="321"/>
      <c r="B2993" s="320" t="str">
        <f>B2952</f>
        <v>VIA 11 - ESTACA 1+17,69 A 33+11,57</v>
      </c>
      <c r="C2993" s="161"/>
      <c r="D2993" s="161"/>
      <c r="E2993" s="161"/>
      <c r="F2993" s="161"/>
      <c r="G2993" s="161"/>
      <c r="H2993" s="161"/>
      <c r="I2993" s="161"/>
      <c r="J2993" s="161"/>
      <c r="K2993" s="328">
        <f>$L$2991*N2993</f>
        <v>1.9968000000000001</v>
      </c>
      <c r="L2993" s="161"/>
      <c r="M2993" s="161"/>
      <c r="N2993" s="188">
        <f>N2952</f>
        <v>4437.3333333333339</v>
      </c>
      <c r="O2993" s="188"/>
    </row>
    <row r="2994" spans="1:15" x14ac:dyDescent="0.35">
      <c r="A2994" s="321"/>
      <c r="B2994" s="320"/>
      <c r="C2994" s="161"/>
      <c r="D2994" s="161"/>
      <c r="E2994" s="161"/>
      <c r="F2994" s="161"/>
      <c r="G2994" s="161"/>
      <c r="H2994" s="161"/>
      <c r="I2994" s="161"/>
      <c r="J2994" s="161"/>
      <c r="K2994" s="161"/>
      <c r="L2994" s="161"/>
      <c r="M2994" s="161"/>
      <c r="N2994" s="161"/>
      <c r="O2994" s="324"/>
    </row>
    <row r="2995" spans="1:15" x14ac:dyDescent="0.35">
      <c r="A2995" s="319"/>
      <c r="B2995" s="318" t="s">
        <v>377</v>
      </c>
      <c r="C2995" s="182" t="s">
        <v>402</v>
      </c>
      <c r="D2995" s="182"/>
      <c r="E2995" s="182"/>
      <c r="F2995" s="182"/>
      <c r="G2995" s="182"/>
      <c r="H2995" s="182"/>
      <c r="I2995" s="182"/>
      <c r="J2995" s="182"/>
      <c r="K2995" s="170">
        <f>SUM(K2992:K2993)</f>
        <v>4.1070000000000002</v>
      </c>
      <c r="L2995" s="182"/>
      <c r="M2995" s="182"/>
      <c r="N2995" s="182"/>
      <c r="O2995" s="170"/>
    </row>
    <row r="2996" spans="1:15" ht="21" x14ac:dyDescent="0.35">
      <c r="A2996" s="323" t="str">
        <f>ORÇAMENTO!A520</f>
        <v>5.4.4.12</v>
      </c>
      <c r="B2996" s="322" t="str">
        <f>VLOOKUP(A2996,ORÇAMENTO!$A:$F,4,0)</f>
        <v>EMULSÃO ASFÁLTICA PARA IMPRIMAÇÃO - FORNECIMENTO E TRANSPORTE</v>
      </c>
      <c r="C2996" s="149" t="str">
        <f>VLOOKUP(A2996,ORÇAMENTO!$A:$F,5,0)</f>
        <v>T</v>
      </c>
      <c r="D2996" s="149">
        <f>SUM(E3002:O3002)</f>
        <v>11.864666666666668</v>
      </c>
      <c r="E2996" s="149" t="s">
        <v>2149</v>
      </c>
      <c r="F2996" s="149" t="s">
        <v>2150</v>
      </c>
      <c r="G2996" s="149" t="s">
        <v>2151</v>
      </c>
      <c r="H2996" s="149" t="s">
        <v>2152</v>
      </c>
      <c r="I2996" s="149" t="s">
        <v>2153</v>
      </c>
      <c r="J2996" s="149" t="s">
        <v>2154</v>
      </c>
      <c r="K2996" s="149" t="s">
        <v>2172</v>
      </c>
      <c r="L2996" s="149" t="s">
        <v>2213</v>
      </c>
      <c r="M2996" s="149" t="s">
        <v>2204</v>
      </c>
      <c r="N2996" s="149" t="s">
        <v>2157</v>
      </c>
      <c r="O2996" s="149" t="s">
        <v>2158</v>
      </c>
    </row>
    <row r="2997" spans="1:15" x14ac:dyDescent="0.35">
      <c r="A2997" s="321"/>
      <c r="B2997" s="318" t="s">
        <v>2217</v>
      </c>
      <c r="C2997" s="153"/>
      <c r="D2997" s="153"/>
      <c r="E2997" s="154"/>
      <c r="F2997" s="154"/>
      <c r="G2997" s="154"/>
      <c r="H2997" s="154"/>
      <c r="I2997" s="154"/>
      <c r="J2997" s="154"/>
      <c r="K2997" s="154"/>
      <c r="L2997" s="154"/>
      <c r="M2997" s="154"/>
      <c r="N2997" s="154"/>
      <c r="O2997" s="154"/>
    </row>
    <row r="2998" spans="1:15" ht="42" x14ac:dyDescent="0.35">
      <c r="A2998" s="321"/>
      <c r="B2998" s="320" t="s">
        <v>2218</v>
      </c>
      <c r="C2998" s="153"/>
      <c r="D2998" s="154"/>
      <c r="E2998" s="154"/>
      <c r="F2998" s="154"/>
      <c r="G2998" s="154"/>
      <c r="H2998" s="154"/>
      <c r="I2998" s="154"/>
      <c r="J2998" s="154"/>
      <c r="K2998" s="154"/>
      <c r="L2998" s="172">
        <v>1.2999999999999999E-3</v>
      </c>
      <c r="M2998" s="154"/>
      <c r="N2998" s="154"/>
      <c r="O2998" s="154"/>
    </row>
    <row r="2999" spans="1:15" x14ac:dyDescent="0.35">
      <c r="A2999" s="321"/>
      <c r="B2999" s="320" t="str">
        <f>B2957</f>
        <v>VIA 9 - ESTACA 0+0,00 A 33+9,92</v>
      </c>
      <c r="C2999" s="161"/>
      <c r="D2999" s="161"/>
      <c r="E2999" s="161"/>
      <c r="F2999" s="161"/>
      <c r="G2999" s="161"/>
      <c r="H2999" s="161"/>
      <c r="I2999" s="161"/>
      <c r="J2999" s="161"/>
      <c r="K2999" s="161">
        <f>$L$2998*N2999</f>
        <v>6.0961333333333334</v>
      </c>
      <c r="L2999" s="161"/>
      <c r="M2999" s="161"/>
      <c r="N2999" s="188">
        <f>N2957</f>
        <v>4689.3333333333339</v>
      </c>
      <c r="O2999" s="188"/>
    </row>
    <row r="3000" spans="1:15" x14ac:dyDescent="0.35">
      <c r="A3000" s="321"/>
      <c r="B3000" s="320" t="str">
        <f>B2958</f>
        <v>VIA 11 - ESTACA 1+17,69 A 33+11,57</v>
      </c>
      <c r="C3000" s="161"/>
      <c r="D3000" s="161"/>
      <c r="E3000" s="161"/>
      <c r="F3000" s="161"/>
      <c r="G3000" s="161"/>
      <c r="H3000" s="161"/>
      <c r="I3000" s="161"/>
      <c r="J3000" s="161"/>
      <c r="K3000" s="161">
        <f>$L$2998*N3000</f>
        <v>5.768533333333334</v>
      </c>
      <c r="L3000" s="161"/>
      <c r="M3000" s="161"/>
      <c r="N3000" s="188">
        <f>N2958</f>
        <v>4437.3333333333339</v>
      </c>
      <c r="O3000" s="188"/>
    </row>
    <row r="3001" spans="1:15" x14ac:dyDescent="0.35">
      <c r="A3001" s="321"/>
      <c r="B3001" s="320"/>
      <c r="C3001" s="161"/>
      <c r="D3001" s="161"/>
      <c r="E3001" s="161"/>
      <c r="F3001" s="161"/>
      <c r="G3001" s="161"/>
      <c r="H3001" s="161"/>
      <c r="I3001" s="161"/>
      <c r="J3001" s="161"/>
      <c r="K3001" s="161"/>
      <c r="L3001" s="161"/>
      <c r="M3001" s="161"/>
      <c r="N3001" s="161"/>
      <c r="O3001" s="324"/>
    </row>
    <row r="3002" spans="1:15" x14ac:dyDescent="0.35">
      <c r="A3002" s="319"/>
      <c r="B3002" s="318" t="s">
        <v>377</v>
      </c>
      <c r="C3002" s="182" t="s">
        <v>402</v>
      </c>
      <c r="D3002" s="182"/>
      <c r="E3002" s="182"/>
      <c r="F3002" s="182"/>
      <c r="G3002" s="182"/>
      <c r="H3002" s="182"/>
      <c r="I3002" s="182"/>
      <c r="J3002" s="182"/>
      <c r="K3002" s="170">
        <f>SUM(K2999:K3000)</f>
        <v>11.864666666666668</v>
      </c>
      <c r="L3002" s="182"/>
      <c r="M3002" s="182"/>
      <c r="N3002" s="182"/>
      <c r="O3002" s="170"/>
    </row>
    <row r="3003" spans="1:15" ht="21" x14ac:dyDescent="0.35">
      <c r="A3003" s="323" t="str">
        <f>ORÇAMENTO!A521</f>
        <v>5.4.4.13</v>
      </c>
      <c r="B3003" s="322" t="str">
        <f>VLOOKUP(A3003,ORÇAMENTO!$A:$F,4,0)</f>
        <v>CAL HIDRATADA - A GRANEL</v>
      </c>
      <c r="C3003" s="149" t="str">
        <f>VLOOKUP(A3003,ORÇAMENTO!$A:$F,5,0)</f>
        <v>KG</v>
      </c>
      <c r="D3003" s="149">
        <f>SUM(E3009:O3009)</f>
        <v>999.36199999999997</v>
      </c>
      <c r="E3003" s="149" t="s">
        <v>2149</v>
      </c>
      <c r="F3003" s="149" t="s">
        <v>2150</v>
      </c>
      <c r="G3003" s="149" t="s">
        <v>2151</v>
      </c>
      <c r="H3003" s="149" t="s">
        <v>2152</v>
      </c>
      <c r="I3003" s="149" t="s">
        <v>2153</v>
      </c>
      <c r="J3003" s="149" t="s">
        <v>2154</v>
      </c>
      <c r="K3003" s="149" t="s">
        <v>2155</v>
      </c>
      <c r="L3003" s="149" t="s">
        <v>2178</v>
      </c>
      <c r="M3003" s="149" t="s">
        <v>2204</v>
      </c>
      <c r="N3003" s="149" t="s">
        <v>2157</v>
      </c>
      <c r="O3003" s="149" t="s">
        <v>2158</v>
      </c>
    </row>
    <row r="3004" spans="1:15" x14ac:dyDescent="0.35">
      <c r="A3004" s="321"/>
      <c r="B3004" s="318" t="s">
        <v>2332</v>
      </c>
      <c r="C3004" s="153"/>
      <c r="D3004" s="153"/>
      <c r="E3004" s="154"/>
      <c r="F3004" s="154"/>
      <c r="G3004" s="154"/>
      <c r="H3004" s="154"/>
      <c r="I3004" s="154"/>
      <c r="J3004" s="154"/>
      <c r="K3004" s="154"/>
      <c r="L3004" s="154"/>
      <c r="M3004" s="154"/>
      <c r="N3004" s="154"/>
      <c r="O3004" s="154"/>
    </row>
    <row r="3005" spans="1:15" x14ac:dyDescent="0.35">
      <c r="A3005" s="321"/>
      <c r="B3005" s="320" t="s">
        <v>2333</v>
      </c>
      <c r="C3005" s="153"/>
      <c r="D3005" s="154"/>
      <c r="E3005" s="154"/>
      <c r="F3005" s="154"/>
      <c r="G3005" s="154"/>
      <c r="H3005" s="154"/>
      <c r="I3005" s="154"/>
      <c r="J3005" s="154"/>
      <c r="K3005" s="154"/>
      <c r="L3005" s="172">
        <v>0.7</v>
      </c>
      <c r="M3005" s="154"/>
      <c r="N3005" s="154"/>
      <c r="O3005" s="154"/>
    </row>
    <row r="3006" spans="1:15" x14ac:dyDescent="0.35">
      <c r="A3006" s="321"/>
      <c r="B3006" s="320" t="str">
        <f>B2938</f>
        <v>VIA 9 - ESTACA 0+0,00 A 33+9,92</v>
      </c>
      <c r="C3006" s="161"/>
      <c r="D3006" s="161"/>
      <c r="E3006" s="161"/>
      <c r="F3006" s="161"/>
      <c r="G3006" s="161"/>
      <c r="H3006" s="161"/>
      <c r="I3006" s="161"/>
      <c r="J3006" s="161"/>
      <c r="K3006" s="161">
        <f>$L$3005*O3006</f>
        <v>513.49199999999996</v>
      </c>
      <c r="L3006" s="161"/>
      <c r="M3006" s="161"/>
      <c r="N3006" s="161"/>
      <c r="O3006" s="188">
        <f>O2938</f>
        <v>733.56</v>
      </c>
    </row>
    <row r="3007" spans="1:15" x14ac:dyDescent="0.35">
      <c r="A3007" s="321"/>
      <c r="B3007" s="320" t="str">
        <f>B2939</f>
        <v>VIA 11 - ESTACA 1+17,69 A 33+11,57</v>
      </c>
      <c r="C3007" s="161"/>
      <c r="D3007" s="161"/>
      <c r="E3007" s="161"/>
      <c r="F3007" s="161"/>
      <c r="G3007" s="161"/>
      <c r="H3007" s="161"/>
      <c r="I3007" s="161"/>
      <c r="J3007" s="161"/>
      <c r="K3007" s="161">
        <f>$L$3005*O3007</f>
        <v>485.87</v>
      </c>
      <c r="L3007" s="161"/>
      <c r="M3007" s="161"/>
      <c r="N3007" s="161"/>
      <c r="O3007" s="188">
        <f>O2939</f>
        <v>694.1</v>
      </c>
    </row>
    <row r="3008" spans="1:15" x14ac:dyDescent="0.35">
      <c r="A3008" s="321"/>
      <c r="B3008" s="320"/>
      <c r="C3008" s="161"/>
      <c r="D3008" s="161"/>
      <c r="E3008" s="161"/>
      <c r="F3008" s="161"/>
      <c r="G3008" s="161"/>
      <c r="H3008" s="161"/>
      <c r="I3008" s="161"/>
      <c r="J3008" s="161"/>
      <c r="K3008" s="161"/>
      <c r="L3008" s="161"/>
      <c r="M3008" s="161"/>
      <c r="N3008" s="161"/>
      <c r="O3008" s="324"/>
    </row>
    <row r="3009" spans="1:15" x14ac:dyDescent="0.35">
      <c r="A3009" s="319"/>
      <c r="B3009" s="318" t="s">
        <v>377</v>
      </c>
      <c r="C3009" s="182" t="s">
        <v>402</v>
      </c>
      <c r="D3009" s="182"/>
      <c r="E3009" s="182"/>
      <c r="F3009" s="182"/>
      <c r="G3009" s="182"/>
      <c r="H3009" s="182"/>
      <c r="I3009" s="182"/>
      <c r="J3009" s="182"/>
      <c r="K3009" s="170">
        <f>SUM(K3006:K3007)</f>
        <v>999.36199999999997</v>
      </c>
      <c r="L3009" s="182"/>
      <c r="M3009" s="182"/>
      <c r="N3009" s="182"/>
      <c r="O3009" s="170"/>
    </row>
    <row r="3010" spans="1:15" ht="52.5" x14ac:dyDescent="0.35">
      <c r="A3010" s="323" t="str">
        <f>ORÇAMENTO!A522</f>
        <v>5.4.4.14</v>
      </c>
      <c r="B3010" s="322" t="str">
        <f>VLOOKUP(A3010,ORÇAMENTO!$A:$F,4,0)</f>
        <v>ASSENTAMENTO DE GUIA (MEIO-FIO) EM TRECHO RETO, CONFECCIONADA EM CONCRETO PRÉ-FABRICADO, DIMENSÕES 100X15X13X30 CM (COMPRIMENTO X BASE INFERIOR X BASE SUPERIOR X ALTURA). AF_01/2024</v>
      </c>
      <c r="C3010" s="149" t="str">
        <f>VLOOKUP(A3010,ORÇAMENTO!$A:$F,5,0)</f>
        <v>M</v>
      </c>
      <c r="D3010" s="149">
        <f>SUM(E3015:O3015)</f>
        <v>2607.6000000000004</v>
      </c>
      <c r="E3010" s="149" t="s">
        <v>2149</v>
      </c>
      <c r="F3010" s="149" t="s">
        <v>2150</v>
      </c>
      <c r="G3010" s="149" t="s">
        <v>2151</v>
      </c>
      <c r="H3010" s="149" t="s">
        <v>2152</v>
      </c>
      <c r="I3010" s="149" t="s">
        <v>2153</v>
      </c>
      <c r="J3010" s="149" t="s">
        <v>2154</v>
      </c>
      <c r="K3010" s="149" t="s">
        <v>2155</v>
      </c>
      <c r="L3010" s="149" t="s">
        <v>2178</v>
      </c>
      <c r="M3010" s="149" t="s">
        <v>2204</v>
      </c>
      <c r="N3010" s="149" t="s">
        <v>2157</v>
      </c>
      <c r="O3010" s="149" t="s">
        <v>2158</v>
      </c>
    </row>
    <row r="3011" spans="1:15" x14ac:dyDescent="0.35">
      <c r="A3011" s="321"/>
      <c r="B3011" s="320"/>
      <c r="C3011" s="153"/>
      <c r="D3011" s="154"/>
      <c r="E3011" s="154"/>
      <c r="F3011" s="154"/>
      <c r="G3011" s="154"/>
      <c r="H3011" s="154"/>
      <c r="I3011" s="154"/>
      <c r="J3011" s="154"/>
      <c r="K3011" s="154"/>
      <c r="L3011" s="172"/>
      <c r="M3011" s="154"/>
      <c r="N3011" s="154"/>
      <c r="O3011" s="154"/>
    </row>
    <row r="3012" spans="1:15" x14ac:dyDescent="0.35">
      <c r="A3012" s="321"/>
      <c r="B3012" s="320" t="str">
        <f>B2945</f>
        <v>VIA 9 - ESTACA 0+0,00 A 33+9,92</v>
      </c>
      <c r="C3012" s="161"/>
      <c r="D3012" s="161"/>
      <c r="E3012" s="161">
        <f>E2855</f>
        <v>669.92</v>
      </c>
      <c r="F3012" s="161"/>
      <c r="G3012" s="161"/>
      <c r="H3012" s="161"/>
      <c r="I3012" s="161">
        <f>2*E3012</f>
        <v>1339.84</v>
      </c>
      <c r="J3012" s="161"/>
      <c r="K3012" s="161"/>
      <c r="L3012" s="161"/>
      <c r="M3012" s="161"/>
      <c r="N3012" s="161"/>
      <c r="O3012" s="188"/>
    </row>
    <row r="3013" spans="1:15" x14ac:dyDescent="0.35">
      <c r="A3013" s="321"/>
      <c r="B3013" s="320" t="str">
        <f>B2946</f>
        <v>VIA 11 - ESTACA 1+17,69 A 33+11,57</v>
      </c>
      <c r="C3013" s="161"/>
      <c r="D3013" s="161"/>
      <c r="E3013" s="161">
        <f>E2856</f>
        <v>633.88000000000011</v>
      </c>
      <c r="F3013" s="161"/>
      <c r="G3013" s="161"/>
      <c r="H3013" s="161"/>
      <c r="I3013" s="161">
        <f>2*E3013</f>
        <v>1267.7600000000002</v>
      </c>
      <c r="J3013" s="161"/>
      <c r="K3013" s="161"/>
      <c r="L3013" s="161"/>
      <c r="M3013" s="161"/>
      <c r="N3013" s="161"/>
      <c r="O3013" s="188"/>
    </row>
    <row r="3014" spans="1:15" x14ac:dyDescent="0.35">
      <c r="A3014" s="321"/>
      <c r="B3014" s="320"/>
      <c r="C3014" s="161"/>
      <c r="D3014" s="161"/>
      <c r="E3014" s="161"/>
      <c r="F3014" s="161"/>
      <c r="G3014" s="161"/>
      <c r="H3014" s="161"/>
      <c r="I3014" s="161"/>
      <c r="J3014" s="161"/>
      <c r="K3014" s="161"/>
      <c r="L3014" s="161"/>
      <c r="M3014" s="161"/>
      <c r="N3014" s="161"/>
      <c r="O3014" s="324"/>
    </row>
    <row r="3015" spans="1:15" x14ac:dyDescent="0.35">
      <c r="A3015" s="319"/>
      <c r="B3015" s="318" t="s">
        <v>377</v>
      </c>
      <c r="C3015" s="182" t="s">
        <v>402</v>
      </c>
      <c r="D3015" s="182"/>
      <c r="E3015" s="182"/>
      <c r="F3015" s="182"/>
      <c r="G3015" s="182"/>
      <c r="H3015" s="182"/>
      <c r="I3015" s="170">
        <f>SUM(I3012:I3013)</f>
        <v>2607.6000000000004</v>
      </c>
      <c r="J3015" s="182"/>
      <c r="K3015" s="170"/>
      <c r="L3015" s="182"/>
      <c r="M3015" s="182"/>
      <c r="N3015" s="182"/>
      <c r="O3015" s="170"/>
    </row>
    <row r="3016" spans="1:15" x14ac:dyDescent="0.35">
      <c r="A3016" s="327" t="str">
        <f>ORÇAMENTO!A523</f>
        <v>5.4.5</v>
      </c>
      <c r="B3016" s="326" t="str">
        <f>VLOOKUP(A3016,ORÇAMENTO!$A:$F,4,0)</f>
        <v>SINALIZAÇÃO</v>
      </c>
      <c r="C3016" s="143"/>
      <c r="D3016" s="143"/>
      <c r="E3016" s="144"/>
      <c r="F3016" s="144"/>
      <c r="G3016" s="144"/>
      <c r="H3016" s="144"/>
      <c r="I3016" s="144"/>
      <c r="J3016" s="144"/>
      <c r="K3016" s="144"/>
      <c r="L3016" s="144"/>
      <c r="M3016" s="144"/>
      <c r="N3016" s="144"/>
      <c r="O3016" s="144"/>
    </row>
    <row r="3017" spans="1:15" ht="21" x14ac:dyDescent="0.35">
      <c r="A3017" s="323" t="str">
        <f>ORÇAMENTO!A524</f>
        <v>5.4.5.1</v>
      </c>
      <c r="B3017" s="322" t="str">
        <f>VLOOKUP(A3017,ORÇAMENTO!$A:$F,4,0)</f>
        <v>PLACA EM AÇO - PELÍCULA I + III - FORNECIMENTO E IMPLANTAÇÃO</v>
      </c>
      <c r="C3017" s="149" t="str">
        <f>VLOOKUP(A3017,ORÇAMENTO!$A:$F,5,0)</f>
        <v>M²</v>
      </c>
      <c r="D3017" s="149">
        <f>SUM(E3021:O3021)</f>
        <v>2.98</v>
      </c>
      <c r="E3017" s="149" t="s">
        <v>2149</v>
      </c>
      <c r="F3017" s="149" t="s">
        <v>2150</v>
      </c>
      <c r="G3017" s="149" t="s">
        <v>2151</v>
      </c>
      <c r="H3017" s="149" t="s">
        <v>2152</v>
      </c>
      <c r="I3017" s="149" t="s">
        <v>2153</v>
      </c>
      <c r="J3017" s="149" t="s">
        <v>2154</v>
      </c>
      <c r="K3017" s="149" t="s">
        <v>2155</v>
      </c>
      <c r="L3017" s="149" t="s">
        <v>2178</v>
      </c>
      <c r="M3017" s="149" t="s">
        <v>2204</v>
      </c>
      <c r="N3017" s="149" t="s">
        <v>2157</v>
      </c>
      <c r="O3017" s="149" t="s">
        <v>2158</v>
      </c>
    </row>
    <row r="3018" spans="1:15" x14ac:dyDescent="0.35">
      <c r="A3018" s="321"/>
      <c r="B3018" s="318"/>
      <c r="C3018" s="153"/>
      <c r="D3018" s="153"/>
      <c r="E3018" s="154"/>
      <c r="F3018" s="154"/>
      <c r="G3018" s="154"/>
      <c r="H3018" s="154"/>
      <c r="I3018" s="154"/>
      <c r="J3018" s="154"/>
      <c r="K3018" s="154"/>
      <c r="L3018" s="154"/>
      <c r="M3018" s="154"/>
      <c r="N3018" s="154"/>
      <c r="O3018" s="154"/>
    </row>
    <row r="3019" spans="1:15" x14ac:dyDescent="0.35">
      <c r="A3019" s="321"/>
      <c r="B3019" s="320" t="s">
        <v>2687</v>
      </c>
      <c r="C3019" s="161"/>
      <c r="D3019" s="161"/>
      <c r="E3019" s="161"/>
      <c r="F3019" s="161"/>
      <c r="G3019" s="161"/>
      <c r="H3019" s="161"/>
      <c r="I3019" s="161"/>
      <c r="J3019" s="161"/>
      <c r="K3019" s="161"/>
      <c r="L3019" s="161"/>
      <c r="M3019" s="161"/>
      <c r="N3019" s="161">
        <v>2.98</v>
      </c>
      <c r="O3019" s="188"/>
    </row>
    <row r="3020" spans="1:15" x14ac:dyDescent="0.35">
      <c r="A3020" s="321"/>
      <c r="B3020" s="320"/>
      <c r="C3020" s="161"/>
      <c r="D3020" s="161"/>
      <c r="E3020" s="161"/>
      <c r="F3020" s="161"/>
      <c r="G3020" s="161"/>
      <c r="H3020" s="161"/>
      <c r="I3020" s="161"/>
      <c r="J3020" s="161"/>
      <c r="K3020" s="161"/>
      <c r="L3020" s="161"/>
      <c r="M3020" s="161"/>
      <c r="N3020" s="161"/>
      <c r="O3020" s="324"/>
    </row>
    <row r="3021" spans="1:15" x14ac:dyDescent="0.35">
      <c r="A3021" s="319"/>
      <c r="B3021" s="318" t="s">
        <v>377</v>
      </c>
      <c r="C3021" s="182" t="s">
        <v>402</v>
      </c>
      <c r="D3021" s="182"/>
      <c r="E3021" s="182"/>
      <c r="F3021" s="182"/>
      <c r="G3021" s="182"/>
      <c r="H3021" s="182"/>
      <c r="I3021" s="182"/>
      <c r="J3021" s="182"/>
      <c r="K3021" s="182"/>
      <c r="L3021" s="182"/>
      <c r="M3021" s="182"/>
      <c r="N3021" s="170">
        <f>SUM(N3019:N3019)</f>
        <v>2.98</v>
      </c>
      <c r="O3021" s="170"/>
    </row>
    <row r="3022" spans="1:15" ht="42" x14ac:dyDescent="0.35">
      <c r="A3022" s="323" t="str">
        <f>ORÇAMENTO!A525</f>
        <v>5.4.5.2</v>
      </c>
      <c r="B3022" s="322" t="str">
        <f>VLOOKUP(A3022,ORÇAMENTO!$A:$F,4,0)</f>
        <v>SUPORTE METÁLICO GALVANIZADO PARA PLACA DE ADVERTÊNCIA OU REGULAMENTAÇÃO - LADO OU DIÂMETRO DE 1,00 M - FORNECIMENTO E IMPLANTAÇÃO</v>
      </c>
      <c r="C3022" s="149" t="str">
        <f>VLOOKUP(A3022,ORÇAMENTO!$A:$F,5,0)</f>
        <v>UN</v>
      </c>
      <c r="D3022" s="149">
        <f>SUM(E3026:O3026)</f>
        <v>13</v>
      </c>
      <c r="E3022" s="149" t="s">
        <v>2149</v>
      </c>
      <c r="F3022" s="149" t="s">
        <v>2150</v>
      </c>
      <c r="G3022" s="149" t="s">
        <v>2151</v>
      </c>
      <c r="H3022" s="149" t="s">
        <v>2152</v>
      </c>
      <c r="I3022" s="149" t="s">
        <v>2153</v>
      </c>
      <c r="J3022" s="149" t="s">
        <v>2154</v>
      </c>
      <c r="K3022" s="149" t="s">
        <v>2155</v>
      </c>
      <c r="L3022" s="149" t="s">
        <v>2178</v>
      </c>
      <c r="M3022" s="149" t="s">
        <v>413</v>
      </c>
      <c r="N3022" s="149" t="s">
        <v>2157</v>
      </c>
      <c r="O3022" s="149" t="s">
        <v>2158</v>
      </c>
    </row>
    <row r="3023" spans="1:15" x14ac:dyDescent="0.35">
      <c r="A3023" s="321"/>
      <c r="B3023" s="318"/>
      <c r="C3023" s="153"/>
      <c r="D3023" s="153"/>
      <c r="E3023" s="154"/>
      <c r="F3023" s="154"/>
      <c r="G3023" s="154"/>
      <c r="H3023" s="154"/>
      <c r="I3023" s="154"/>
      <c r="J3023" s="154"/>
      <c r="K3023" s="154"/>
      <c r="L3023" s="154"/>
      <c r="M3023" s="154"/>
      <c r="N3023" s="154"/>
      <c r="O3023" s="154"/>
    </row>
    <row r="3024" spans="1:15" x14ac:dyDescent="0.35">
      <c r="A3024" s="321"/>
      <c r="B3024" s="320" t="str">
        <f>B3019</f>
        <v>VIAS</v>
      </c>
      <c r="C3024" s="161"/>
      <c r="D3024" s="161"/>
      <c r="E3024" s="161"/>
      <c r="F3024" s="161"/>
      <c r="G3024" s="161"/>
      <c r="H3024" s="161"/>
      <c r="I3024" s="161"/>
      <c r="J3024" s="161"/>
      <c r="K3024" s="161"/>
      <c r="L3024" s="161"/>
      <c r="M3024" s="161">
        <v>13</v>
      </c>
      <c r="N3024" s="161"/>
      <c r="O3024" s="188"/>
    </row>
    <row r="3025" spans="1:15" x14ac:dyDescent="0.35">
      <c r="A3025" s="321"/>
      <c r="B3025" s="320"/>
      <c r="C3025" s="161"/>
      <c r="D3025" s="161"/>
      <c r="E3025" s="161"/>
      <c r="F3025" s="161"/>
      <c r="G3025" s="161"/>
      <c r="H3025" s="161"/>
      <c r="I3025" s="161"/>
      <c r="J3025" s="161"/>
      <c r="K3025" s="161"/>
      <c r="L3025" s="161"/>
      <c r="M3025" s="161"/>
      <c r="N3025" s="161"/>
      <c r="O3025" s="324"/>
    </row>
    <row r="3026" spans="1:15" x14ac:dyDescent="0.35">
      <c r="A3026" s="319"/>
      <c r="B3026" s="318" t="s">
        <v>377</v>
      </c>
      <c r="C3026" s="182" t="s">
        <v>402</v>
      </c>
      <c r="D3026" s="182"/>
      <c r="E3026" s="182"/>
      <c r="F3026" s="182"/>
      <c r="G3026" s="182"/>
      <c r="H3026" s="182"/>
      <c r="I3026" s="182"/>
      <c r="J3026" s="182"/>
      <c r="K3026" s="182"/>
      <c r="L3026" s="182"/>
      <c r="M3026" s="170">
        <f>SUM(M3024:M3025)</f>
        <v>13</v>
      </c>
      <c r="N3026" s="170"/>
      <c r="O3026" s="170"/>
    </row>
    <row r="3027" spans="1:15" ht="21" x14ac:dyDescent="0.35">
      <c r="A3027" s="323" t="str">
        <f>ORÇAMENTO!A526</f>
        <v>5.4.5.3</v>
      </c>
      <c r="B3027" s="322" t="str">
        <f>VLOOKUP(A3027,ORÇAMENTO!$A:$F,4,0)</f>
        <v>PINTURA DE FAIXA COM TERMOPLÁSTICO POR ASPERSÃO - ESPESSURA DE 1,5 MM</v>
      </c>
      <c r="C3027" s="149" t="str">
        <f>VLOOKUP(A3027,ORÇAMENTO!$A:$F,5,0)</f>
        <v>M²</v>
      </c>
      <c r="D3027" s="149">
        <f>SUM(E3031:O3031)</f>
        <v>4198.24</v>
      </c>
      <c r="E3027" s="149" t="s">
        <v>2149</v>
      </c>
      <c r="F3027" s="149" t="s">
        <v>2150</v>
      </c>
      <c r="G3027" s="149" t="s">
        <v>2151</v>
      </c>
      <c r="H3027" s="149" t="s">
        <v>2152</v>
      </c>
      <c r="I3027" s="149" t="s">
        <v>2153</v>
      </c>
      <c r="J3027" s="149" t="s">
        <v>2154</v>
      </c>
      <c r="K3027" s="149" t="s">
        <v>2155</v>
      </c>
      <c r="L3027" s="149" t="s">
        <v>2178</v>
      </c>
      <c r="M3027" s="149" t="s">
        <v>413</v>
      </c>
      <c r="N3027" s="149" t="s">
        <v>2157</v>
      </c>
      <c r="O3027" s="149" t="s">
        <v>2158</v>
      </c>
    </row>
    <row r="3028" spans="1:15" x14ac:dyDescent="0.35">
      <c r="A3028" s="321"/>
      <c r="B3028" s="318"/>
      <c r="C3028" s="153"/>
      <c r="D3028" s="153"/>
      <c r="E3028" s="154"/>
      <c r="F3028" s="154"/>
      <c r="G3028" s="154"/>
      <c r="H3028" s="154"/>
      <c r="I3028" s="154"/>
      <c r="J3028" s="154"/>
      <c r="K3028" s="154"/>
      <c r="L3028" s="154"/>
      <c r="M3028" s="154"/>
      <c r="N3028" s="154"/>
      <c r="O3028" s="154"/>
    </row>
    <row r="3029" spans="1:15" x14ac:dyDescent="0.35">
      <c r="A3029" s="321"/>
      <c r="B3029" s="320" t="str">
        <f>B3024</f>
        <v>VIAS</v>
      </c>
      <c r="C3029" s="161"/>
      <c r="D3029" s="161"/>
      <c r="E3029" s="161"/>
      <c r="F3029" s="161"/>
      <c r="G3029" s="161"/>
      <c r="H3029" s="161"/>
      <c r="I3029" s="161"/>
      <c r="J3029" s="161"/>
      <c r="K3029" s="161"/>
      <c r="L3029" s="161"/>
      <c r="M3029" s="161"/>
      <c r="N3029" s="161">
        <v>4198.24</v>
      </c>
      <c r="O3029" s="188"/>
    </row>
    <row r="3030" spans="1:15" x14ac:dyDescent="0.35">
      <c r="A3030" s="321"/>
      <c r="B3030" s="320"/>
      <c r="C3030" s="161"/>
      <c r="D3030" s="161"/>
      <c r="E3030" s="161"/>
      <c r="F3030" s="161"/>
      <c r="G3030" s="161"/>
      <c r="H3030" s="161"/>
      <c r="I3030" s="161"/>
      <c r="J3030" s="161"/>
      <c r="K3030" s="161"/>
      <c r="L3030" s="161"/>
      <c r="M3030" s="161"/>
      <c r="N3030" s="161"/>
      <c r="O3030" s="324"/>
    </row>
    <row r="3031" spans="1:15" x14ac:dyDescent="0.35">
      <c r="A3031" s="319"/>
      <c r="B3031" s="318" t="s">
        <v>377</v>
      </c>
      <c r="C3031" s="182" t="s">
        <v>402</v>
      </c>
      <c r="D3031" s="182"/>
      <c r="E3031" s="182"/>
      <c r="F3031" s="182"/>
      <c r="G3031" s="182"/>
      <c r="H3031" s="182"/>
      <c r="I3031" s="182"/>
      <c r="J3031" s="182"/>
      <c r="K3031" s="182"/>
      <c r="L3031" s="182"/>
      <c r="M3031" s="170"/>
      <c r="N3031" s="170">
        <f>SUM(N3029:N3029)</f>
        <v>4198.24</v>
      </c>
      <c r="O3031" s="170"/>
    </row>
    <row r="3032" spans="1:15" x14ac:dyDescent="0.35">
      <c r="A3032" s="327" t="str">
        <f>ORÇAMENTO!A527</f>
        <v>5.5</v>
      </c>
      <c r="B3032" s="326" t="str">
        <f>VLOOKUP(A3032,ORÇAMENTO!$A:$F,4,0)</f>
        <v>REVITALIZAÇÃO DE POÇO DE VISITA SOB ASFALTO</v>
      </c>
      <c r="C3032" s="143"/>
      <c r="D3032" s="143"/>
      <c r="E3032" s="144"/>
      <c r="F3032" s="144"/>
      <c r="G3032" s="144"/>
      <c r="H3032" s="144"/>
      <c r="I3032" s="144"/>
      <c r="J3032" s="144"/>
      <c r="K3032" s="144"/>
      <c r="L3032" s="144"/>
      <c r="M3032" s="144"/>
      <c r="N3032" s="144"/>
      <c r="O3032" s="144"/>
    </row>
    <row r="3033" spans="1:15" ht="21" x14ac:dyDescent="0.35">
      <c r="A3033" s="323" t="str">
        <f>ORÇAMENTO!A528</f>
        <v>5.5.1</v>
      </c>
      <c r="B3033" s="322" t="str">
        <f>VLOOKUP(A3033,ORÇAMENTO!$A:$F,4,0)</f>
        <v>TELA TAPUME, COR LARANJA, COM SUPORTE A CADA 2M (FORNECIMENTO E INSTALAÇÃO)</v>
      </c>
      <c r="C3033" s="149" t="str">
        <f>VLOOKUP(A3033,ORÇAMENTO!$A:$F,5,0)</f>
        <v>M</v>
      </c>
      <c r="D3033" s="149">
        <f>SUM(D3039:N3039)</f>
        <v>475.19999999999993</v>
      </c>
      <c r="E3033" s="149" t="s">
        <v>2149</v>
      </c>
      <c r="F3033" s="149" t="s">
        <v>2150</v>
      </c>
      <c r="G3033" s="149" t="s">
        <v>2151</v>
      </c>
      <c r="H3033" s="149" t="s">
        <v>2152</v>
      </c>
      <c r="I3033" s="149" t="s">
        <v>2153</v>
      </c>
      <c r="J3033" s="149" t="s">
        <v>2154</v>
      </c>
      <c r="K3033" s="149" t="s">
        <v>2172</v>
      </c>
      <c r="L3033" s="149" t="s">
        <v>2178</v>
      </c>
      <c r="M3033" s="149" t="s">
        <v>413</v>
      </c>
      <c r="N3033" s="149" t="s">
        <v>2157</v>
      </c>
      <c r="O3033" s="149" t="s">
        <v>2158</v>
      </c>
    </row>
    <row r="3034" spans="1:15" x14ac:dyDescent="0.35">
      <c r="A3034" s="321"/>
      <c r="B3034" s="320"/>
      <c r="C3034" s="153"/>
      <c r="D3034" s="154"/>
      <c r="E3034" s="154"/>
      <c r="F3034" s="154"/>
      <c r="G3034" s="154"/>
      <c r="H3034" s="154"/>
      <c r="I3034" s="154"/>
      <c r="J3034" s="154"/>
      <c r="K3034" s="154"/>
      <c r="L3034" s="156"/>
      <c r="M3034" s="154"/>
      <c r="N3034" s="154"/>
      <c r="O3034" s="154"/>
    </row>
    <row r="3035" spans="1:15" ht="21" x14ac:dyDescent="0.35">
      <c r="A3035" s="321"/>
      <c r="B3035" s="320" t="s">
        <v>2277</v>
      </c>
      <c r="C3035" s="161"/>
      <c r="D3035" s="161"/>
      <c r="E3035" s="161"/>
      <c r="F3035" s="161"/>
      <c r="G3035" s="161"/>
      <c r="H3035" s="161"/>
      <c r="I3035" s="161"/>
      <c r="J3035" s="161"/>
      <c r="K3035" s="161"/>
      <c r="L3035" s="171"/>
      <c r="M3035" s="161">
        <v>66</v>
      </c>
      <c r="N3035" s="161"/>
      <c r="O3035" s="161"/>
    </row>
    <row r="3036" spans="1:15" x14ac:dyDescent="0.35">
      <c r="A3036" s="321"/>
      <c r="B3036" s="320" t="s">
        <v>2278</v>
      </c>
      <c r="C3036" s="153"/>
      <c r="D3036" s="154"/>
      <c r="E3036" s="154">
        <f>0.6+0.6*2</f>
        <v>1.7999999999999998</v>
      </c>
      <c r="F3036" s="154">
        <f>0.6+0.6*2</f>
        <v>1.7999999999999998</v>
      </c>
      <c r="G3036" s="154"/>
      <c r="H3036" s="154"/>
      <c r="I3036" s="154">
        <f>2*E3036+2*F3036</f>
        <v>7.1999999999999993</v>
      </c>
      <c r="J3036" s="154"/>
      <c r="K3036" s="154"/>
      <c r="L3036" s="156"/>
      <c r="M3036" s="154"/>
      <c r="N3036" s="154"/>
      <c r="O3036" s="154"/>
    </row>
    <row r="3037" spans="1:15" x14ac:dyDescent="0.35">
      <c r="A3037" s="321"/>
      <c r="B3037" s="320"/>
      <c r="C3037" s="153"/>
      <c r="D3037" s="154"/>
      <c r="E3037" s="154"/>
      <c r="F3037" s="154"/>
      <c r="G3037" s="154"/>
      <c r="H3037" s="154"/>
      <c r="I3037" s="154">
        <f>I3036*M3035</f>
        <v>475.19999999999993</v>
      </c>
      <c r="J3037" s="154"/>
      <c r="K3037" s="154"/>
      <c r="L3037" s="156"/>
      <c r="M3037" s="154"/>
      <c r="N3037" s="154"/>
      <c r="O3037" s="154"/>
    </row>
    <row r="3038" spans="1:15" x14ac:dyDescent="0.35">
      <c r="A3038" s="321"/>
      <c r="B3038" s="320"/>
      <c r="C3038" s="153"/>
      <c r="D3038" s="154"/>
      <c r="E3038" s="154"/>
      <c r="F3038" s="154"/>
      <c r="G3038" s="154"/>
      <c r="H3038" s="154"/>
      <c r="I3038" s="154"/>
      <c r="J3038" s="154"/>
      <c r="K3038" s="154"/>
      <c r="L3038" s="156"/>
      <c r="M3038" s="154"/>
      <c r="N3038" s="154"/>
      <c r="O3038" s="154"/>
    </row>
    <row r="3039" spans="1:15" x14ac:dyDescent="0.35">
      <c r="A3039" s="321"/>
      <c r="B3039" s="318" t="s">
        <v>377</v>
      </c>
      <c r="C3039" s="181" t="s">
        <v>402</v>
      </c>
      <c r="D3039" s="181"/>
      <c r="E3039" s="181"/>
      <c r="F3039" s="181"/>
      <c r="G3039" s="181"/>
      <c r="H3039" s="181"/>
      <c r="I3039" s="158">
        <f>I3037</f>
        <v>475.19999999999993</v>
      </c>
      <c r="J3039" s="181"/>
      <c r="K3039" s="181"/>
      <c r="L3039" s="182"/>
      <c r="M3039" s="182"/>
      <c r="N3039" s="181"/>
      <c r="O3039" s="181"/>
    </row>
    <row r="3040" spans="1:15" ht="31.5" x14ac:dyDescent="0.35">
      <c r="A3040" s="323" t="str">
        <f>ORÇAMENTO!A529</f>
        <v>5.5.2</v>
      </c>
      <c r="B3040" s="322" t="str">
        <f>VLOOKUP(A3040,ORÇAMENTO!$A:$F,4,0)</f>
        <v>DEMOLIÇÃO PARCIAL DE PAVIMENTO ASFÁLTICO, DE FORMA MECANIZADA, SEM REAPROVEITAMENTO. AF_09/2023</v>
      </c>
      <c r="C3040" s="149" t="str">
        <f>VLOOKUP(A3040,ORÇAMENTO!$A:$F,5,0)</f>
        <v>M²</v>
      </c>
      <c r="D3040" s="149">
        <f>SUM(E3044:O3044)</f>
        <v>213.83999999999995</v>
      </c>
      <c r="E3040" s="149" t="s">
        <v>2149</v>
      </c>
      <c r="F3040" s="149" t="s">
        <v>2150</v>
      </c>
      <c r="G3040" s="149" t="s">
        <v>2151</v>
      </c>
      <c r="H3040" s="149" t="s">
        <v>2152</v>
      </c>
      <c r="I3040" s="149" t="s">
        <v>2153</v>
      </c>
      <c r="J3040" s="149" t="s">
        <v>2154</v>
      </c>
      <c r="K3040" s="149" t="s">
        <v>2155</v>
      </c>
      <c r="L3040" s="149" t="s">
        <v>2156</v>
      </c>
      <c r="M3040" s="149" t="s">
        <v>413</v>
      </c>
      <c r="N3040" s="149" t="s">
        <v>2157</v>
      </c>
      <c r="O3040" s="149" t="s">
        <v>2158</v>
      </c>
    </row>
    <row r="3041" spans="1:15" ht="21" x14ac:dyDescent="0.35">
      <c r="A3041" s="321"/>
      <c r="B3041" s="320" t="s">
        <v>2277</v>
      </c>
      <c r="C3041" s="160"/>
      <c r="D3041" s="161"/>
      <c r="E3041" s="161"/>
      <c r="F3041" s="161"/>
      <c r="G3041" s="161"/>
      <c r="H3041" s="161"/>
      <c r="I3041" s="161"/>
      <c r="J3041" s="161"/>
      <c r="K3041" s="161"/>
      <c r="L3041" s="161"/>
      <c r="M3041" s="161">
        <f>M3035</f>
        <v>66</v>
      </c>
      <c r="N3041" s="161"/>
      <c r="O3041" s="161"/>
    </row>
    <row r="3042" spans="1:15" x14ac:dyDescent="0.35">
      <c r="A3042" s="321"/>
      <c r="B3042" s="320" t="s">
        <v>2279</v>
      </c>
      <c r="C3042" s="160"/>
      <c r="D3042" s="161"/>
      <c r="E3042" s="161">
        <f>E3036</f>
        <v>1.7999999999999998</v>
      </c>
      <c r="F3042" s="161">
        <f>F3036</f>
        <v>1.7999999999999998</v>
      </c>
      <c r="G3042" s="161"/>
      <c r="H3042" s="161">
        <v>0.03</v>
      </c>
      <c r="I3042" s="161"/>
      <c r="J3042" s="161"/>
      <c r="K3042" s="161"/>
      <c r="L3042" s="161"/>
      <c r="M3042" s="161"/>
      <c r="N3042" s="161">
        <f>M3041*E3042*F3042</f>
        <v>213.83999999999995</v>
      </c>
      <c r="O3042" s="161"/>
    </row>
    <row r="3043" spans="1:15" x14ac:dyDescent="0.35">
      <c r="A3043" s="321"/>
      <c r="B3043" s="320"/>
      <c r="C3043" s="160"/>
      <c r="D3043" s="161"/>
      <c r="E3043" s="161"/>
      <c r="F3043" s="161"/>
      <c r="G3043" s="161"/>
      <c r="H3043" s="161"/>
      <c r="I3043" s="161"/>
      <c r="J3043" s="161"/>
      <c r="K3043" s="161"/>
      <c r="L3043" s="162"/>
      <c r="M3043" s="161"/>
      <c r="N3043" s="161"/>
      <c r="O3043" s="161"/>
    </row>
    <row r="3044" spans="1:15" x14ac:dyDescent="0.35">
      <c r="A3044" s="321"/>
      <c r="B3044" s="318" t="s">
        <v>377</v>
      </c>
      <c r="C3044" s="158" t="s">
        <v>402</v>
      </c>
      <c r="D3044" s="158"/>
      <c r="E3044" s="158"/>
      <c r="F3044" s="158"/>
      <c r="G3044" s="158"/>
      <c r="H3044" s="158"/>
      <c r="I3044" s="158"/>
      <c r="J3044" s="158"/>
      <c r="K3044" s="158"/>
      <c r="L3044" s="158"/>
      <c r="M3044" s="158"/>
      <c r="N3044" s="182">
        <f>SUM(N3042:N3043)</f>
        <v>213.83999999999995</v>
      </c>
      <c r="O3044" s="158"/>
    </row>
    <row r="3045" spans="1:15" ht="63" x14ac:dyDescent="0.35">
      <c r="A3045" s="323" t="str">
        <f>ORÇAMENTO!A530</f>
        <v>5.5.3</v>
      </c>
      <c r="B3045" s="322" t="str">
        <f>VLOOKUP(A3045,ORÇAMENTO!$A:$F,4,0)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C3045" s="149" t="str">
        <f>VLOOKUP(A3045,ORÇAMENTO!$A:$F,5,0)</f>
        <v>M³</v>
      </c>
      <c r="D3045" s="149">
        <f>SUM(E3110:O3110)</f>
        <v>45.444239999999958</v>
      </c>
      <c r="E3045" s="149" t="s">
        <v>2149</v>
      </c>
      <c r="F3045" s="149" t="s">
        <v>2150</v>
      </c>
      <c r="G3045" s="149" t="s">
        <v>2151</v>
      </c>
      <c r="H3045" s="149" t="s">
        <v>2280</v>
      </c>
      <c r="I3045" s="149" t="s">
        <v>2152</v>
      </c>
      <c r="J3045" s="149" t="s">
        <v>2154</v>
      </c>
      <c r="K3045" s="149" t="s">
        <v>2155</v>
      </c>
      <c r="L3045" s="149" t="s">
        <v>2156</v>
      </c>
      <c r="M3045" s="149" t="s">
        <v>413</v>
      </c>
      <c r="N3045" s="149" t="s">
        <v>2157</v>
      </c>
      <c r="O3045" s="149" t="s">
        <v>2158</v>
      </c>
    </row>
    <row r="3046" spans="1:15" ht="21" x14ac:dyDescent="0.35">
      <c r="A3046" s="321"/>
      <c r="B3046" s="320" t="s">
        <v>2277</v>
      </c>
      <c r="C3046" s="153"/>
      <c r="D3046" s="154"/>
      <c r="E3046" s="154"/>
      <c r="F3046" s="154"/>
      <c r="G3046" s="154"/>
      <c r="H3046" s="154"/>
      <c r="I3046" s="154"/>
      <c r="J3046" s="154"/>
      <c r="K3046" s="154"/>
      <c r="L3046" s="154"/>
      <c r="M3046" s="154"/>
      <c r="N3046" s="154"/>
      <c r="O3046" s="154"/>
    </row>
    <row r="3047" spans="1:15" x14ac:dyDescent="0.35">
      <c r="A3047" s="321"/>
      <c r="B3047" s="320" t="s">
        <v>2686</v>
      </c>
      <c r="C3047" s="153"/>
      <c r="D3047" s="154"/>
      <c r="E3047" s="154">
        <v>1.8</v>
      </c>
      <c r="F3047" s="154">
        <v>1.8</v>
      </c>
      <c r="G3047" s="161">
        <f t="shared" ref="G3047:G3078" si="85">H3047-0.03</f>
        <v>0.17000000000006812</v>
      </c>
      <c r="H3047" s="154">
        <v>0.20000000000006812</v>
      </c>
      <c r="I3047" s="154"/>
      <c r="J3047" s="154"/>
      <c r="K3047" s="154"/>
      <c r="L3047" s="154"/>
      <c r="M3047" s="154"/>
      <c r="N3047" s="154"/>
      <c r="O3047" s="154">
        <f t="shared" ref="O3047:O3078" si="86">E3047*F3047*G3047</f>
        <v>0.55080000000022078</v>
      </c>
    </row>
    <row r="3048" spans="1:15" x14ac:dyDescent="0.35">
      <c r="A3048" s="321"/>
      <c r="B3048" s="320" t="s">
        <v>2685</v>
      </c>
      <c r="C3048" s="153"/>
      <c r="D3048" s="154"/>
      <c r="E3048" s="154">
        <v>1.8</v>
      </c>
      <c r="F3048" s="154">
        <v>1.8</v>
      </c>
      <c r="G3048" s="161">
        <f t="shared" si="85"/>
        <v>0.11999999999999991</v>
      </c>
      <c r="H3048" s="154">
        <v>0.14999999999999991</v>
      </c>
      <c r="I3048" s="154"/>
      <c r="J3048" s="154"/>
      <c r="K3048" s="154"/>
      <c r="L3048" s="154"/>
      <c r="M3048" s="154"/>
      <c r="N3048" s="154"/>
      <c r="O3048" s="154">
        <f t="shared" si="86"/>
        <v>0.38879999999999976</v>
      </c>
    </row>
    <row r="3049" spans="1:15" x14ac:dyDescent="0.35">
      <c r="A3049" s="321"/>
      <c r="B3049" s="320" t="s">
        <v>2684</v>
      </c>
      <c r="C3049" s="153"/>
      <c r="D3049" s="154"/>
      <c r="E3049" s="154">
        <v>1.8</v>
      </c>
      <c r="F3049" s="154">
        <v>1.8</v>
      </c>
      <c r="G3049" s="161">
        <f t="shared" si="85"/>
        <v>0.41999999999995441</v>
      </c>
      <c r="H3049" s="154">
        <v>0.44999999999995444</v>
      </c>
      <c r="I3049" s="154"/>
      <c r="J3049" s="154"/>
      <c r="K3049" s="154"/>
      <c r="L3049" s="154"/>
      <c r="M3049" s="154"/>
      <c r="N3049" s="154"/>
      <c r="O3049" s="154">
        <f t="shared" si="86"/>
        <v>1.3607999999998523</v>
      </c>
    </row>
    <row r="3050" spans="1:15" x14ac:dyDescent="0.35">
      <c r="A3050" s="321"/>
      <c r="B3050" s="320" t="s">
        <v>2683</v>
      </c>
      <c r="C3050" s="153"/>
      <c r="D3050" s="154"/>
      <c r="E3050" s="154">
        <v>1.8</v>
      </c>
      <c r="F3050" s="154">
        <v>1.8</v>
      </c>
      <c r="G3050" s="161">
        <f t="shared" si="85"/>
        <v>1.3999999999999726</v>
      </c>
      <c r="H3050" s="154">
        <v>1.4299999999999726</v>
      </c>
      <c r="I3050" s="154"/>
      <c r="J3050" s="154"/>
      <c r="K3050" s="154"/>
      <c r="L3050" s="154"/>
      <c r="M3050" s="154"/>
      <c r="N3050" s="154"/>
      <c r="O3050" s="154">
        <f t="shared" si="86"/>
        <v>4.5359999999999117</v>
      </c>
    </row>
    <row r="3051" spans="1:15" x14ac:dyDescent="0.35">
      <c r="A3051" s="321"/>
      <c r="B3051" s="320" t="s">
        <v>2682</v>
      </c>
      <c r="C3051" s="153"/>
      <c r="D3051" s="154"/>
      <c r="E3051" s="154">
        <v>1.8</v>
      </c>
      <c r="F3051" s="154">
        <v>1.8</v>
      </c>
      <c r="G3051" s="161">
        <f t="shared" si="85"/>
        <v>0.8899999999999999</v>
      </c>
      <c r="H3051" s="154">
        <v>0.91999999999999993</v>
      </c>
      <c r="I3051" s="154"/>
      <c r="J3051" s="154"/>
      <c r="K3051" s="154"/>
      <c r="L3051" s="154"/>
      <c r="M3051" s="154"/>
      <c r="N3051" s="154"/>
      <c r="O3051" s="154">
        <f t="shared" si="86"/>
        <v>2.8835999999999999</v>
      </c>
    </row>
    <row r="3052" spans="1:15" x14ac:dyDescent="0.35">
      <c r="A3052" s="321"/>
      <c r="B3052" s="320" t="s">
        <v>2681</v>
      </c>
      <c r="C3052" s="153"/>
      <c r="D3052" s="154"/>
      <c r="E3052" s="154">
        <v>1.8</v>
      </c>
      <c r="F3052" s="154">
        <v>1.8</v>
      </c>
      <c r="G3052" s="161">
        <f t="shared" si="85"/>
        <v>0.11999999999999991</v>
      </c>
      <c r="H3052" s="154">
        <v>0.14999999999999991</v>
      </c>
      <c r="I3052" s="154"/>
      <c r="J3052" s="154"/>
      <c r="K3052" s="154"/>
      <c r="L3052" s="154"/>
      <c r="M3052" s="154"/>
      <c r="N3052" s="154"/>
      <c r="O3052" s="154">
        <f t="shared" si="86"/>
        <v>0.38879999999999976</v>
      </c>
    </row>
    <row r="3053" spans="1:15" x14ac:dyDescent="0.35">
      <c r="A3053" s="321"/>
      <c r="B3053" s="320" t="s">
        <v>2680</v>
      </c>
      <c r="C3053" s="153"/>
      <c r="D3053" s="154"/>
      <c r="E3053" s="154">
        <v>1.8</v>
      </c>
      <c r="F3053" s="154">
        <v>1.8</v>
      </c>
      <c r="G3053" s="161">
        <f t="shared" si="85"/>
        <v>0.12999999999999992</v>
      </c>
      <c r="H3053" s="154">
        <v>0.15999999999999992</v>
      </c>
      <c r="I3053" s="154"/>
      <c r="J3053" s="154"/>
      <c r="K3053" s="154"/>
      <c r="L3053" s="154"/>
      <c r="M3053" s="154"/>
      <c r="N3053" s="154"/>
      <c r="O3053" s="154">
        <f t="shared" si="86"/>
        <v>0.4211999999999998</v>
      </c>
    </row>
    <row r="3054" spans="1:15" x14ac:dyDescent="0.35">
      <c r="A3054" s="321"/>
      <c r="B3054" s="320" t="s">
        <v>2679</v>
      </c>
      <c r="C3054" s="153"/>
      <c r="D3054" s="154"/>
      <c r="E3054" s="154">
        <v>1.8</v>
      </c>
      <c r="F3054" s="154">
        <v>1.8</v>
      </c>
      <c r="G3054" s="161">
        <f t="shared" si="85"/>
        <v>0.47</v>
      </c>
      <c r="H3054" s="154">
        <v>0.5</v>
      </c>
      <c r="I3054" s="154"/>
      <c r="J3054" s="154"/>
      <c r="K3054" s="154"/>
      <c r="L3054" s="154"/>
      <c r="M3054" s="154"/>
      <c r="N3054" s="154"/>
      <c r="O3054" s="154">
        <f t="shared" si="86"/>
        <v>1.5227999999999999</v>
      </c>
    </row>
    <row r="3055" spans="1:15" x14ac:dyDescent="0.35">
      <c r="A3055" s="321"/>
      <c r="B3055" s="320" t="s">
        <v>2678</v>
      </c>
      <c r="C3055" s="153"/>
      <c r="D3055" s="154"/>
      <c r="E3055" s="154">
        <v>1.8</v>
      </c>
      <c r="F3055" s="154">
        <v>1.8</v>
      </c>
      <c r="G3055" s="161">
        <f t="shared" si="85"/>
        <v>0.11999999999999991</v>
      </c>
      <c r="H3055" s="154">
        <v>0.14999999999999991</v>
      </c>
      <c r="I3055" s="154"/>
      <c r="J3055" s="154"/>
      <c r="K3055" s="154"/>
      <c r="L3055" s="154"/>
      <c r="M3055" s="154"/>
      <c r="N3055" s="154"/>
      <c r="O3055" s="154">
        <f t="shared" si="86"/>
        <v>0.38879999999999976</v>
      </c>
    </row>
    <row r="3056" spans="1:15" x14ac:dyDescent="0.35">
      <c r="A3056" s="321"/>
      <c r="B3056" s="320" t="s">
        <v>2677</v>
      </c>
      <c r="C3056" s="153"/>
      <c r="D3056" s="154"/>
      <c r="E3056" s="154">
        <v>1.8</v>
      </c>
      <c r="F3056" s="154">
        <v>1.8</v>
      </c>
      <c r="G3056" s="161">
        <f t="shared" si="85"/>
        <v>0.16999999999999996</v>
      </c>
      <c r="H3056" s="154">
        <v>0.19999999999999996</v>
      </c>
      <c r="I3056" s="154"/>
      <c r="J3056" s="154"/>
      <c r="K3056" s="154"/>
      <c r="L3056" s="154"/>
      <c r="M3056" s="154"/>
      <c r="N3056" s="154"/>
      <c r="O3056" s="154">
        <f t="shared" si="86"/>
        <v>0.55079999999999985</v>
      </c>
    </row>
    <row r="3057" spans="1:15" x14ac:dyDescent="0.35">
      <c r="A3057" s="321"/>
      <c r="B3057" s="320" t="s">
        <v>2676</v>
      </c>
      <c r="C3057" s="153"/>
      <c r="D3057" s="154"/>
      <c r="E3057" s="154">
        <v>1.8</v>
      </c>
      <c r="F3057" s="154">
        <v>1.8</v>
      </c>
      <c r="G3057" s="161">
        <f t="shared" si="85"/>
        <v>0.15499999999999983</v>
      </c>
      <c r="H3057" s="154">
        <v>0.18499999999999983</v>
      </c>
      <c r="I3057" s="154"/>
      <c r="J3057" s="154"/>
      <c r="K3057" s="154"/>
      <c r="L3057" s="154"/>
      <c r="M3057" s="154"/>
      <c r="N3057" s="154"/>
      <c r="O3057" s="154">
        <f t="shared" si="86"/>
        <v>0.50219999999999954</v>
      </c>
    </row>
    <row r="3058" spans="1:15" x14ac:dyDescent="0.35">
      <c r="A3058" s="321"/>
      <c r="B3058" s="320" t="s">
        <v>2675</v>
      </c>
      <c r="C3058" s="153"/>
      <c r="D3058" s="154"/>
      <c r="E3058" s="154">
        <v>1.8</v>
      </c>
      <c r="F3058" s="154">
        <v>1.8</v>
      </c>
      <c r="G3058" s="161">
        <f t="shared" si="85"/>
        <v>0.11999999999999991</v>
      </c>
      <c r="H3058" s="154">
        <v>0.14999999999999991</v>
      </c>
      <c r="I3058" s="154"/>
      <c r="J3058" s="154"/>
      <c r="K3058" s="154"/>
      <c r="L3058" s="154"/>
      <c r="M3058" s="154"/>
      <c r="N3058" s="154"/>
      <c r="O3058" s="154">
        <f t="shared" si="86"/>
        <v>0.38879999999999976</v>
      </c>
    </row>
    <row r="3059" spans="1:15" x14ac:dyDescent="0.35">
      <c r="A3059" s="321"/>
      <c r="B3059" s="320" t="s">
        <v>2674</v>
      </c>
      <c r="C3059" s="153"/>
      <c r="D3059" s="154"/>
      <c r="E3059" s="154">
        <v>1.8</v>
      </c>
      <c r="F3059" s="154">
        <v>1.8</v>
      </c>
      <c r="G3059" s="161">
        <f t="shared" si="85"/>
        <v>0.15499999999999983</v>
      </c>
      <c r="H3059" s="154">
        <v>0.18499999999999983</v>
      </c>
      <c r="I3059" s="154"/>
      <c r="J3059" s="154"/>
      <c r="K3059" s="154"/>
      <c r="L3059" s="154"/>
      <c r="M3059" s="154"/>
      <c r="N3059" s="154"/>
      <c r="O3059" s="154">
        <f t="shared" si="86"/>
        <v>0.50219999999999954</v>
      </c>
    </row>
    <row r="3060" spans="1:15" x14ac:dyDescent="0.35">
      <c r="A3060" s="321"/>
      <c r="B3060" s="320" t="s">
        <v>2673</v>
      </c>
      <c r="C3060" s="153"/>
      <c r="D3060" s="154"/>
      <c r="E3060" s="154">
        <v>1.8</v>
      </c>
      <c r="F3060" s="154">
        <v>1.8</v>
      </c>
      <c r="G3060" s="161">
        <f t="shared" si="85"/>
        <v>0.12499999999999981</v>
      </c>
      <c r="H3060" s="154">
        <v>0.1549999999999998</v>
      </c>
      <c r="I3060" s="154"/>
      <c r="J3060" s="154"/>
      <c r="K3060" s="154"/>
      <c r="L3060" s="154"/>
      <c r="M3060" s="154"/>
      <c r="N3060" s="154"/>
      <c r="O3060" s="154">
        <f t="shared" si="86"/>
        <v>0.40499999999999942</v>
      </c>
    </row>
    <row r="3061" spans="1:15" x14ac:dyDescent="0.35">
      <c r="A3061" s="321"/>
      <c r="B3061" s="320" t="s">
        <v>2672</v>
      </c>
      <c r="C3061" s="153"/>
      <c r="D3061" s="154"/>
      <c r="E3061" s="154">
        <v>1.8</v>
      </c>
      <c r="F3061" s="154">
        <v>1.8</v>
      </c>
      <c r="G3061" s="161">
        <f t="shared" si="85"/>
        <v>0.11999999999999991</v>
      </c>
      <c r="H3061" s="154">
        <v>0.14999999999999991</v>
      </c>
      <c r="I3061" s="154"/>
      <c r="J3061" s="154"/>
      <c r="K3061" s="154"/>
      <c r="L3061" s="154"/>
      <c r="M3061" s="154"/>
      <c r="N3061" s="154"/>
      <c r="O3061" s="154">
        <f t="shared" si="86"/>
        <v>0.38879999999999976</v>
      </c>
    </row>
    <row r="3062" spans="1:15" x14ac:dyDescent="0.35">
      <c r="A3062" s="321"/>
      <c r="B3062" s="320" t="s">
        <v>2671</v>
      </c>
      <c r="C3062" s="153"/>
      <c r="D3062" s="154"/>
      <c r="E3062" s="154">
        <v>1.8</v>
      </c>
      <c r="F3062" s="154">
        <v>1.8</v>
      </c>
      <c r="G3062" s="161">
        <f t="shared" si="85"/>
        <v>0.12999999999999992</v>
      </c>
      <c r="H3062" s="154">
        <v>0.15999999999999992</v>
      </c>
      <c r="I3062" s="154"/>
      <c r="J3062" s="154"/>
      <c r="K3062" s="154"/>
      <c r="L3062" s="154"/>
      <c r="M3062" s="154"/>
      <c r="N3062" s="154"/>
      <c r="O3062" s="154">
        <f t="shared" si="86"/>
        <v>0.4211999999999998</v>
      </c>
    </row>
    <row r="3063" spans="1:15" x14ac:dyDescent="0.35">
      <c r="A3063" s="321"/>
      <c r="B3063" s="320" t="s">
        <v>2670</v>
      </c>
      <c r="C3063" s="153"/>
      <c r="D3063" s="154"/>
      <c r="E3063" s="154">
        <v>1.8</v>
      </c>
      <c r="F3063" s="154">
        <v>1.8</v>
      </c>
      <c r="G3063" s="161">
        <f t="shared" si="85"/>
        <v>0.12999999999999992</v>
      </c>
      <c r="H3063" s="154">
        <v>0.15999999999999992</v>
      </c>
      <c r="I3063" s="154"/>
      <c r="J3063" s="154"/>
      <c r="K3063" s="154"/>
      <c r="L3063" s="154"/>
      <c r="M3063" s="154"/>
      <c r="N3063" s="154"/>
      <c r="O3063" s="154">
        <f t="shared" si="86"/>
        <v>0.4211999999999998</v>
      </c>
    </row>
    <row r="3064" spans="1:15" x14ac:dyDescent="0.35">
      <c r="A3064" s="321"/>
      <c r="B3064" s="320" t="s">
        <v>2669</v>
      </c>
      <c r="C3064" s="153"/>
      <c r="D3064" s="154"/>
      <c r="E3064" s="154">
        <v>1.8</v>
      </c>
      <c r="F3064" s="154">
        <v>1.8</v>
      </c>
      <c r="G3064" s="161">
        <f t="shared" si="85"/>
        <v>0.11999999999999991</v>
      </c>
      <c r="H3064" s="154">
        <v>0.14999999999999991</v>
      </c>
      <c r="I3064" s="154"/>
      <c r="J3064" s="154"/>
      <c r="K3064" s="154"/>
      <c r="L3064" s="154"/>
      <c r="M3064" s="154"/>
      <c r="N3064" s="154"/>
      <c r="O3064" s="154">
        <f t="shared" si="86"/>
        <v>0.38879999999999976</v>
      </c>
    </row>
    <row r="3065" spans="1:15" x14ac:dyDescent="0.35">
      <c r="A3065" s="321"/>
      <c r="B3065" s="320" t="s">
        <v>2668</v>
      </c>
      <c r="C3065" s="153"/>
      <c r="D3065" s="154"/>
      <c r="E3065" s="154">
        <v>1.8</v>
      </c>
      <c r="F3065" s="154">
        <v>1.8</v>
      </c>
      <c r="G3065" s="161">
        <f t="shared" si="85"/>
        <v>0.2699999999999998</v>
      </c>
      <c r="H3065" s="154">
        <v>0.29999999999999982</v>
      </c>
      <c r="I3065" s="154"/>
      <c r="J3065" s="154"/>
      <c r="K3065" s="154"/>
      <c r="L3065" s="154"/>
      <c r="M3065" s="154"/>
      <c r="N3065" s="154"/>
      <c r="O3065" s="154">
        <f t="shared" si="86"/>
        <v>0.87479999999999936</v>
      </c>
    </row>
    <row r="3066" spans="1:15" x14ac:dyDescent="0.35">
      <c r="A3066" s="321"/>
      <c r="B3066" s="320" t="s">
        <v>2667</v>
      </c>
      <c r="C3066" s="153"/>
      <c r="D3066" s="154"/>
      <c r="E3066" s="154">
        <v>1.8</v>
      </c>
      <c r="F3066" s="154">
        <v>1.8</v>
      </c>
      <c r="G3066" s="161">
        <f t="shared" si="85"/>
        <v>0.15499999999999983</v>
      </c>
      <c r="H3066" s="154">
        <v>0.18499999999999983</v>
      </c>
      <c r="I3066" s="154"/>
      <c r="J3066" s="154"/>
      <c r="K3066" s="154"/>
      <c r="L3066" s="154"/>
      <c r="M3066" s="154"/>
      <c r="N3066" s="154"/>
      <c r="O3066" s="154">
        <f t="shared" si="86"/>
        <v>0.50219999999999954</v>
      </c>
    </row>
    <row r="3067" spans="1:15" x14ac:dyDescent="0.35">
      <c r="A3067" s="321"/>
      <c r="B3067" s="320" t="s">
        <v>2666</v>
      </c>
      <c r="C3067" s="153"/>
      <c r="D3067" s="154"/>
      <c r="E3067" s="154">
        <v>1.8</v>
      </c>
      <c r="F3067" s="154">
        <v>1.8</v>
      </c>
      <c r="G3067" s="161">
        <f t="shared" si="85"/>
        <v>8.9999999999999886E-2</v>
      </c>
      <c r="H3067" s="154">
        <v>0.11999999999999988</v>
      </c>
      <c r="I3067" s="154"/>
      <c r="J3067" s="154"/>
      <c r="K3067" s="154"/>
      <c r="L3067" s="154"/>
      <c r="M3067" s="154"/>
      <c r="N3067" s="154"/>
      <c r="O3067" s="154">
        <f t="shared" si="86"/>
        <v>0.29159999999999964</v>
      </c>
    </row>
    <row r="3068" spans="1:15" x14ac:dyDescent="0.35">
      <c r="A3068" s="321"/>
      <c r="B3068" s="320" t="s">
        <v>2665</v>
      </c>
      <c r="C3068" s="153"/>
      <c r="D3068" s="154"/>
      <c r="E3068" s="154">
        <v>1.8</v>
      </c>
      <c r="F3068" s="154">
        <v>1.8</v>
      </c>
      <c r="G3068" s="161">
        <f t="shared" si="85"/>
        <v>0.15499999999999983</v>
      </c>
      <c r="H3068" s="154">
        <v>0.18499999999999983</v>
      </c>
      <c r="I3068" s="154"/>
      <c r="J3068" s="154"/>
      <c r="K3068" s="154"/>
      <c r="L3068" s="154"/>
      <c r="M3068" s="154"/>
      <c r="N3068" s="154"/>
      <c r="O3068" s="154">
        <f t="shared" si="86"/>
        <v>0.50219999999999954</v>
      </c>
    </row>
    <row r="3069" spans="1:15" x14ac:dyDescent="0.35">
      <c r="A3069" s="321"/>
      <c r="B3069" s="320" t="s">
        <v>2664</v>
      </c>
      <c r="C3069" s="153"/>
      <c r="D3069" s="154"/>
      <c r="E3069" s="154">
        <v>1.8</v>
      </c>
      <c r="F3069" s="154">
        <v>1.8</v>
      </c>
      <c r="G3069" s="161">
        <f t="shared" si="85"/>
        <v>0.14499999999999982</v>
      </c>
      <c r="H3069" s="154">
        <v>0.17499999999999982</v>
      </c>
      <c r="I3069" s="154"/>
      <c r="J3069" s="154"/>
      <c r="K3069" s="154"/>
      <c r="L3069" s="154"/>
      <c r="M3069" s="154"/>
      <c r="N3069" s="154"/>
      <c r="O3069" s="154">
        <f t="shared" si="86"/>
        <v>0.46979999999999944</v>
      </c>
    </row>
    <row r="3070" spans="1:15" x14ac:dyDescent="0.35">
      <c r="A3070" s="321"/>
      <c r="B3070" s="320" t="s">
        <v>2663</v>
      </c>
      <c r="C3070" s="153"/>
      <c r="D3070" s="154"/>
      <c r="E3070" s="154">
        <v>1.8</v>
      </c>
      <c r="F3070" s="154">
        <v>1.8</v>
      </c>
      <c r="G3070" s="161">
        <f t="shared" si="85"/>
        <v>0.11999999999999991</v>
      </c>
      <c r="H3070" s="154">
        <v>0.14999999999999991</v>
      </c>
      <c r="I3070" s="154"/>
      <c r="J3070" s="154"/>
      <c r="K3070" s="154"/>
      <c r="L3070" s="154"/>
      <c r="M3070" s="154"/>
      <c r="N3070" s="154"/>
      <c r="O3070" s="154">
        <f t="shared" si="86"/>
        <v>0.38879999999999976</v>
      </c>
    </row>
    <row r="3071" spans="1:15" x14ac:dyDescent="0.35">
      <c r="A3071" s="321"/>
      <c r="B3071" s="320" t="s">
        <v>2662</v>
      </c>
      <c r="C3071" s="153"/>
      <c r="D3071" s="154"/>
      <c r="E3071" s="154">
        <v>1.8</v>
      </c>
      <c r="F3071" s="154">
        <v>1.8</v>
      </c>
      <c r="G3071" s="161">
        <f t="shared" si="85"/>
        <v>0.12499999999999981</v>
      </c>
      <c r="H3071" s="154">
        <v>0.1549999999999998</v>
      </c>
      <c r="I3071" s="154"/>
      <c r="J3071" s="154"/>
      <c r="K3071" s="154"/>
      <c r="L3071" s="154"/>
      <c r="M3071" s="154"/>
      <c r="N3071" s="154"/>
      <c r="O3071" s="154">
        <f t="shared" si="86"/>
        <v>0.40499999999999942</v>
      </c>
    </row>
    <row r="3072" spans="1:15" x14ac:dyDescent="0.35">
      <c r="A3072" s="321"/>
      <c r="B3072" s="320" t="s">
        <v>2661</v>
      </c>
      <c r="C3072" s="153"/>
      <c r="D3072" s="154"/>
      <c r="E3072" s="154">
        <v>1.8</v>
      </c>
      <c r="F3072" s="154">
        <v>1.8</v>
      </c>
      <c r="G3072" s="161">
        <f t="shared" si="85"/>
        <v>0.19999999999999998</v>
      </c>
      <c r="H3072" s="154">
        <v>0.22999999999999998</v>
      </c>
      <c r="I3072" s="154"/>
      <c r="J3072" s="154"/>
      <c r="K3072" s="154"/>
      <c r="L3072" s="154"/>
      <c r="M3072" s="154"/>
      <c r="N3072" s="154"/>
      <c r="O3072" s="154">
        <f t="shared" si="86"/>
        <v>0.64800000000000002</v>
      </c>
    </row>
    <row r="3073" spans="1:15" x14ac:dyDescent="0.35">
      <c r="A3073" s="321"/>
      <c r="B3073" s="320" t="s">
        <v>2660</v>
      </c>
      <c r="C3073" s="153"/>
      <c r="D3073" s="154"/>
      <c r="E3073" s="154">
        <v>1.8</v>
      </c>
      <c r="F3073" s="154">
        <v>1.8</v>
      </c>
      <c r="G3073" s="161">
        <f t="shared" si="85"/>
        <v>0.11999999999999991</v>
      </c>
      <c r="H3073" s="154">
        <v>0.14999999999999991</v>
      </c>
      <c r="I3073" s="154"/>
      <c r="J3073" s="154"/>
      <c r="K3073" s="154"/>
      <c r="L3073" s="154"/>
      <c r="M3073" s="154"/>
      <c r="N3073" s="154"/>
      <c r="O3073" s="154">
        <f t="shared" si="86"/>
        <v>0.38879999999999976</v>
      </c>
    </row>
    <row r="3074" spans="1:15" x14ac:dyDescent="0.35">
      <c r="A3074" s="321"/>
      <c r="B3074" s="320" t="s">
        <v>2659</v>
      </c>
      <c r="C3074" s="153"/>
      <c r="D3074" s="154"/>
      <c r="E3074" s="154">
        <v>1.8</v>
      </c>
      <c r="F3074" s="154">
        <v>1.8</v>
      </c>
      <c r="G3074" s="161">
        <f t="shared" si="85"/>
        <v>0.16499999999999984</v>
      </c>
      <c r="H3074" s="154">
        <v>0.19499999999999984</v>
      </c>
      <c r="I3074" s="154"/>
      <c r="J3074" s="154"/>
      <c r="K3074" s="154"/>
      <c r="L3074" s="154"/>
      <c r="M3074" s="154"/>
      <c r="N3074" s="154"/>
      <c r="O3074" s="154">
        <f t="shared" si="86"/>
        <v>0.53459999999999952</v>
      </c>
    </row>
    <row r="3075" spans="1:15" x14ac:dyDescent="0.35">
      <c r="A3075" s="321"/>
      <c r="B3075" s="320" t="s">
        <v>2658</v>
      </c>
      <c r="C3075" s="153"/>
      <c r="D3075" s="154"/>
      <c r="E3075" s="154">
        <v>1.8</v>
      </c>
      <c r="F3075" s="154">
        <v>1.8</v>
      </c>
      <c r="G3075" s="161">
        <f t="shared" si="85"/>
        <v>0.19999999999999998</v>
      </c>
      <c r="H3075" s="154">
        <v>0.22999999999999998</v>
      </c>
      <c r="I3075" s="154"/>
      <c r="J3075" s="154"/>
      <c r="K3075" s="154"/>
      <c r="L3075" s="154"/>
      <c r="M3075" s="154"/>
      <c r="N3075" s="154"/>
      <c r="O3075" s="154">
        <f t="shared" si="86"/>
        <v>0.64800000000000002</v>
      </c>
    </row>
    <row r="3076" spans="1:15" x14ac:dyDescent="0.35">
      <c r="A3076" s="321"/>
      <c r="B3076" s="320" t="s">
        <v>2657</v>
      </c>
      <c r="C3076" s="153"/>
      <c r="D3076" s="154"/>
      <c r="E3076" s="154">
        <v>1.8</v>
      </c>
      <c r="F3076" s="154">
        <v>1.8</v>
      </c>
      <c r="G3076" s="161">
        <f t="shared" si="85"/>
        <v>0.11999999999999991</v>
      </c>
      <c r="H3076" s="154">
        <v>0.14999999999999991</v>
      </c>
      <c r="I3076" s="154"/>
      <c r="J3076" s="154"/>
      <c r="K3076" s="154"/>
      <c r="L3076" s="154"/>
      <c r="M3076" s="154"/>
      <c r="N3076" s="154"/>
      <c r="O3076" s="154">
        <f t="shared" si="86"/>
        <v>0.38879999999999976</v>
      </c>
    </row>
    <row r="3077" spans="1:15" x14ac:dyDescent="0.35">
      <c r="A3077" s="321"/>
      <c r="B3077" s="320" t="s">
        <v>2656</v>
      </c>
      <c r="C3077" s="153"/>
      <c r="D3077" s="154"/>
      <c r="E3077" s="154">
        <v>1.8</v>
      </c>
      <c r="F3077" s="154">
        <v>1.8</v>
      </c>
      <c r="G3077" s="161">
        <f t="shared" si="85"/>
        <v>6.9999999999999868E-2</v>
      </c>
      <c r="H3077" s="154">
        <v>9.9999999999999867E-2</v>
      </c>
      <c r="I3077" s="154"/>
      <c r="J3077" s="154"/>
      <c r="K3077" s="154"/>
      <c r="L3077" s="154"/>
      <c r="M3077" s="154"/>
      <c r="N3077" s="154"/>
      <c r="O3077" s="154">
        <f t="shared" si="86"/>
        <v>0.22679999999999959</v>
      </c>
    </row>
    <row r="3078" spans="1:15" x14ac:dyDescent="0.35">
      <c r="A3078" s="321"/>
      <c r="B3078" s="320" t="s">
        <v>2655</v>
      </c>
      <c r="C3078" s="153"/>
      <c r="D3078" s="154"/>
      <c r="E3078" s="154">
        <v>1.8</v>
      </c>
      <c r="F3078" s="154">
        <v>1.8</v>
      </c>
      <c r="G3078" s="161">
        <f t="shared" si="85"/>
        <v>9.9999999999998146E-3</v>
      </c>
      <c r="H3078" s="154">
        <v>3.9999999999999813E-2</v>
      </c>
      <c r="I3078" s="154"/>
      <c r="J3078" s="154"/>
      <c r="K3078" s="154"/>
      <c r="L3078" s="154"/>
      <c r="M3078" s="154"/>
      <c r="N3078" s="154"/>
      <c r="O3078" s="154">
        <f t="shared" si="86"/>
        <v>3.2399999999999402E-2</v>
      </c>
    </row>
    <row r="3079" spans="1:15" x14ac:dyDescent="0.35">
      <c r="A3079" s="321"/>
      <c r="B3079" s="320" t="s">
        <v>2654</v>
      </c>
      <c r="C3079" s="153"/>
      <c r="D3079" s="154"/>
      <c r="E3079" s="154">
        <v>1.8</v>
      </c>
      <c r="F3079" s="154">
        <v>1.8</v>
      </c>
      <c r="G3079" s="161">
        <f t="shared" ref="G3079:G3108" si="87">H3079-0.03</f>
        <v>0.22</v>
      </c>
      <c r="H3079" s="154">
        <v>0.25</v>
      </c>
      <c r="I3079" s="154"/>
      <c r="J3079" s="154"/>
      <c r="K3079" s="154"/>
      <c r="L3079" s="154"/>
      <c r="M3079" s="154"/>
      <c r="N3079" s="154"/>
      <c r="O3079" s="154">
        <f t="shared" ref="O3079:O3108" si="88">E3079*F3079*G3079</f>
        <v>0.7128000000000001</v>
      </c>
    </row>
    <row r="3080" spans="1:15" x14ac:dyDescent="0.35">
      <c r="A3080" s="321"/>
      <c r="B3080" s="320" t="s">
        <v>2653</v>
      </c>
      <c r="C3080" s="153"/>
      <c r="D3080" s="154"/>
      <c r="E3080" s="154">
        <v>1.8</v>
      </c>
      <c r="F3080" s="154">
        <v>1.8</v>
      </c>
      <c r="G3080" s="161">
        <f t="shared" si="87"/>
        <v>0.24999999999999981</v>
      </c>
      <c r="H3080" s="154">
        <v>0.2799999999999998</v>
      </c>
      <c r="I3080" s="154"/>
      <c r="J3080" s="154"/>
      <c r="K3080" s="154"/>
      <c r="L3080" s="154"/>
      <c r="M3080" s="154"/>
      <c r="N3080" s="154"/>
      <c r="O3080" s="154">
        <f t="shared" si="88"/>
        <v>0.80999999999999939</v>
      </c>
    </row>
    <row r="3081" spans="1:15" x14ac:dyDescent="0.35">
      <c r="A3081" s="321"/>
      <c r="B3081" s="320" t="s">
        <v>2652</v>
      </c>
      <c r="C3081" s="153"/>
      <c r="D3081" s="154"/>
      <c r="E3081" s="154">
        <v>1.8</v>
      </c>
      <c r="F3081" s="154">
        <v>1.8</v>
      </c>
      <c r="G3081" s="161">
        <f t="shared" si="87"/>
        <v>0.66700000000000004</v>
      </c>
      <c r="H3081" s="154">
        <v>0.69700000000000006</v>
      </c>
      <c r="I3081" s="154"/>
      <c r="J3081" s="154"/>
      <c r="K3081" s="154"/>
      <c r="L3081" s="154"/>
      <c r="M3081" s="154"/>
      <c r="N3081" s="154"/>
      <c r="O3081" s="154">
        <f t="shared" si="88"/>
        <v>2.1610800000000001</v>
      </c>
    </row>
    <row r="3082" spans="1:15" x14ac:dyDescent="0.35">
      <c r="A3082" s="321"/>
      <c r="B3082" s="320" t="s">
        <v>2651</v>
      </c>
      <c r="C3082" s="153"/>
      <c r="D3082" s="154"/>
      <c r="E3082" s="154">
        <v>1.8</v>
      </c>
      <c r="F3082" s="154">
        <v>1.8</v>
      </c>
      <c r="G3082" s="161">
        <f t="shared" si="87"/>
        <v>0</v>
      </c>
      <c r="H3082" s="154">
        <v>0.03</v>
      </c>
      <c r="I3082" s="154"/>
      <c r="J3082" s="154"/>
      <c r="K3082" s="154"/>
      <c r="L3082" s="154"/>
      <c r="M3082" s="154"/>
      <c r="N3082" s="154"/>
      <c r="O3082" s="154">
        <f t="shared" si="88"/>
        <v>0</v>
      </c>
    </row>
    <row r="3083" spans="1:15" x14ac:dyDescent="0.35">
      <c r="A3083" s="321"/>
      <c r="B3083" s="320" t="s">
        <v>2650</v>
      </c>
      <c r="C3083" s="153"/>
      <c r="D3083" s="154"/>
      <c r="E3083" s="154">
        <v>1.8</v>
      </c>
      <c r="F3083" s="154">
        <v>1.8</v>
      </c>
      <c r="G3083" s="161">
        <f t="shared" si="87"/>
        <v>0</v>
      </c>
      <c r="H3083" s="154">
        <v>0.03</v>
      </c>
      <c r="I3083" s="154"/>
      <c r="J3083" s="154"/>
      <c r="K3083" s="154"/>
      <c r="L3083" s="154"/>
      <c r="M3083" s="154"/>
      <c r="N3083" s="154"/>
      <c r="O3083" s="154">
        <f t="shared" si="88"/>
        <v>0</v>
      </c>
    </row>
    <row r="3084" spans="1:15" x14ac:dyDescent="0.35">
      <c r="A3084" s="321"/>
      <c r="B3084" s="320" t="s">
        <v>2649</v>
      </c>
      <c r="C3084" s="153"/>
      <c r="D3084" s="154"/>
      <c r="E3084" s="154">
        <v>1.8</v>
      </c>
      <c r="F3084" s="154">
        <v>1.8</v>
      </c>
      <c r="G3084" s="161">
        <f t="shared" si="87"/>
        <v>0.15699999999999983</v>
      </c>
      <c r="H3084" s="154">
        <v>0.18699999999999983</v>
      </c>
      <c r="I3084" s="154"/>
      <c r="J3084" s="154"/>
      <c r="K3084" s="154"/>
      <c r="L3084" s="154"/>
      <c r="M3084" s="154"/>
      <c r="N3084" s="154"/>
      <c r="O3084" s="154">
        <f t="shared" si="88"/>
        <v>0.50867999999999947</v>
      </c>
    </row>
    <row r="3085" spans="1:15" x14ac:dyDescent="0.35">
      <c r="A3085" s="321"/>
      <c r="B3085" s="320" t="s">
        <v>2648</v>
      </c>
      <c r="C3085" s="153"/>
      <c r="D3085" s="154"/>
      <c r="E3085" s="154">
        <v>1.8</v>
      </c>
      <c r="F3085" s="154">
        <v>1.8</v>
      </c>
      <c r="G3085" s="161">
        <f t="shared" si="87"/>
        <v>0.11999999999999991</v>
      </c>
      <c r="H3085" s="154">
        <v>0.14999999999999991</v>
      </c>
      <c r="I3085" s="154"/>
      <c r="J3085" s="154"/>
      <c r="K3085" s="154"/>
      <c r="L3085" s="154"/>
      <c r="M3085" s="154"/>
      <c r="N3085" s="154"/>
      <c r="O3085" s="154">
        <f t="shared" si="88"/>
        <v>0.38879999999999976</v>
      </c>
    </row>
    <row r="3086" spans="1:15" x14ac:dyDescent="0.35">
      <c r="A3086" s="321"/>
      <c r="B3086" s="320" t="s">
        <v>2647</v>
      </c>
      <c r="C3086" s="153"/>
      <c r="D3086" s="154"/>
      <c r="E3086" s="154">
        <v>1.8</v>
      </c>
      <c r="F3086" s="154">
        <v>1.8</v>
      </c>
      <c r="G3086" s="161">
        <f t="shared" si="87"/>
        <v>0.18499999999999986</v>
      </c>
      <c r="H3086" s="154">
        <v>0.21499999999999986</v>
      </c>
      <c r="I3086" s="154"/>
      <c r="J3086" s="154"/>
      <c r="K3086" s="154"/>
      <c r="L3086" s="154"/>
      <c r="M3086" s="154"/>
      <c r="N3086" s="154"/>
      <c r="O3086" s="154">
        <f t="shared" si="88"/>
        <v>0.5993999999999996</v>
      </c>
    </row>
    <row r="3087" spans="1:15" x14ac:dyDescent="0.35">
      <c r="A3087" s="321"/>
      <c r="B3087" s="320" t="s">
        <v>2646</v>
      </c>
      <c r="C3087" s="153"/>
      <c r="D3087" s="154"/>
      <c r="E3087" s="154">
        <v>1.8</v>
      </c>
      <c r="F3087" s="154">
        <v>1.8</v>
      </c>
      <c r="G3087" s="161">
        <f t="shared" si="87"/>
        <v>0.19999999999999998</v>
      </c>
      <c r="H3087" s="154">
        <v>0.22999999999999998</v>
      </c>
      <c r="I3087" s="154"/>
      <c r="J3087" s="154"/>
      <c r="K3087" s="154"/>
      <c r="L3087" s="154"/>
      <c r="M3087" s="154"/>
      <c r="N3087" s="154"/>
      <c r="O3087" s="154">
        <f t="shared" si="88"/>
        <v>0.64800000000000002</v>
      </c>
    </row>
    <row r="3088" spans="1:15" x14ac:dyDescent="0.35">
      <c r="A3088" s="321"/>
      <c r="B3088" s="320" t="s">
        <v>2645</v>
      </c>
      <c r="C3088" s="153"/>
      <c r="D3088" s="154"/>
      <c r="E3088" s="154">
        <v>1.8</v>
      </c>
      <c r="F3088" s="154">
        <v>1.8</v>
      </c>
      <c r="G3088" s="161">
        <f t="shared" si="87"/>
        <v>0.11999999999999991</v>
      </c>
      <c r="H3088" s="154">
        <v>0.14999999999999991</v>
      </c>
      <c r="I3088" s="154"/>
      <c r="J3088" s="154"/>
      <c r="K3088" s="154"/>
      <c r="L3088" s="154"/>
      <c r="M3088" s="154"/>
      <c r="N3088" s="154"/>
      <c r="O3088" s="154">
        <f t="shared" si="88"/>
        <v>0.38879999999999976</v>
      </c>
    </row>
    <row r="3089" spans="1:15" x14ac:dyDescent="0.35">
      <c r="A3089" s="321"/>
      <c r="B3089" s="320" t="s">
        <v>2644</v>
      </c>
      <c r="C3089" s="153"/>
      <c r="D3089" s="154"/>
      <c r="E3089" s="154">
        <v>1.8</v>
      </c>
      <c r="F3089" s="154">
        <v>1.8</v>
      </c>
      <c r="G3089" s="161">
        <f t="shared" si="87"/>
        <v>0.12499999999999981</v>
      </c>
      <c r="H3089" s="154">
        <v>0.1549999999999998</v>
      </c>
      <c r="I3089" s="154"/>
      <c r="J3089" s="154"/>
      <c r="K3089" s="154"/>
      <c r="L3089" s="154"/>
      <c r="M3089" s="154"/>
      <c r="N3089" s="154"/>
      <c r="O3089" s="154">
        <f t="shared" si="88"/>
        <v>0.40499999999999942</v>
      </c>
    </row>
    <row r="3090" spans="1:15" x14ac:dyDescent="0.35">
      <c r="A3090" s="321"/>
      <c r="B3090" s="320" t="s">
        <v>2643</v>
      </c>
      <c r="C3090" s="153"/>
      <c r="D3090" s="154"/>
      <c r="E3090" s="154">
        <v>1.8</v>
      </c>
      <c r="F3090" s="154">
        <v>1.8</v>
      </c>
      <c r="G3090" s="161">
        <f t="shared" si="87"/>
        <v>0.17499999999999985</v>
      </c>
      <c r="H3090" s="154">
        <v>0.20499999999999985</v>
      </c>
      <c r="I3090" s="154"/>
      <c r="J3090" s="154"/>
      <c r="K3090" s="154"/>
      <c r="L3090" s="154"/>
      <c r="M3090" s="154"/>
      <c r="N3090" s="154"/>
      <c r="O3090" s="154">
        <f t="shared" si="88"/>
        <v>0.5669999999999995</v>
      </c>
    </row>
    <row r="3091" spans="1:15" x14ac:dyDescent="0.35">
      <c r="A3091" s="321"/>
      <c r="B3091" s="320" t="s">
        <v>2642</v>
      </c>
      <c r="C3091" s="153"/>
      <c r="D3091" s="154"/>
      <c r="E3091" s="154">
        <v>1.8</v>
      </c>
      <c r="F3091" s="154">
        <v>1.8</v>
      </c>
      <c r="G3091" s="161">
        <f t="shared" si="87"/>
        <v>0.11999999999999991</v>
      </c>
      <c r="H3091" s="154">
        <v>0.14999999999999991</v>
      </c>
      <c r="I3091" s="154"/>
      <c r="J3091" s="154"/>
      <c r="K3091" s="154"/>
      <c r="L3091" s="154"/>
      <c r="M3091" s="154"/>
      <c r="N3091" s="154"/>
      <c r="O3091" s="154">
        <f t="shared" si="88"/>
        <v>0.38879999999999976</v>
      </c>
    </row>
    <row r="3092" spans="1:15" x14ac:dyDescent="0.35">
      <c r="A3092" s="321"/>
      <c r="B3092" s="320" t="s">
        <v>2641</v>
      </c>
      <c r="C3092" s="153"/>
      <c r="D3092" s="154"/>
      <c r="E3092" s="154">
        <v>1.8</v>
      </c>
      <c r="F3092" s="154">
        <v>1.8</v>
      </c>
      <c r="G3092" s="161">
        <f t="shared" si="87"/>
        <v>0.13499999999999981</v>
      </c>
      <c r="H3092" s="154">
        <v>0.16499999999999981</v>
      </c>
      <c r="I3092" s="154"/>
      <c r="J3092" s="154"/>
      <c r="K3092" s="154"/>
      <c r="L3092" s="154"/>
      <c r="M3092" s="154"/>
      <c r="N3092" s="154"/>
      <c r="O3092" s="154">
        <f t="shared" si="88"/>
        <v>0.4373999999999994</v>
      </c>
    </row>
    <row r="3093" spans="1:15" x14ac:dyDescent="0.35">
      <c r="A3093" s="321"/>
      <c r="B3093" s="320" t="s">
        <v>2640</v>
      </c>
      <c r="C3093" s="153"/>
      <c r="D3093" s="154"/>
      <c r="E3093" s="154">
        <v>1.8</v>
      </c>
      <c r="F3093" s="154">
        <v>1.8</v>
      </c>
      <c r="G3093" s="161">
        <f t="shared" si="87"/>
        <v>0.17999999999999997</v>
      </c>
      <c r="H3093" s="154">
        <v>0.20999999999999996</v>
      </c>
      <c r="I3093" s="154"/>
      <c r="J3093" s="154"/>
      <c r="K3093" s="154"/>
      <c r="L3093" s="154"/>
      <c r="M3093" s="154"/>
      <c r="N3093" s="154"/>
      <c r="O3093" s="154">
        <f t="shared" si="88"/>
        <v>0.58319999999999994</v>
      </c>
    </row>
    <row r="3094" spans="1:15" x14ac:dyDescent="0.35">
      <c r="A3094" s="321"/>
      <c r="B3094" s="320" t="s">
        <v>2639</v>
      </c>
      <c r="C3094" s="153"/>
      <c r="D3094" s="154"/>
      <c r="E3094" s="154">
        <v>1.8</v>
      </c>
      <c r="F3094" s="154">
        <v>1.8</v>
      </c>
      <c r="G3094" s="161">
        <f t="shared" si="87"/>
        <v>0.11999999999999991</v>
      </c>
      <c r="H3094" s="154">
        <v>0.14999999999999991</v>
      </c>
      <c r="I3094" s="154"/>
      <c r="J3094" s="154"/>
      <c r="K3094" s="154"/>
      <c r="L3094" s="154"/>
      <c r="M3094" s="154"/>
      <c r="N3094" s="154"/>
      <c r="O3094" s="154">
        <f t="shared" si="88"/>
        <v>0.38879999999999976</v>
      </c>
    </row>
    <row r="3095" spans="1:15" x14ac:dyDescent="0.35">
      <c r="A3095" s="321"/>
      <c r="B3095" s="320" t="s">
        <v>2638</v>
      </c>
      <c r="C3095" s="153"/>
      <c r="D3095" s="154"/>
      <c r="E3095" s="154">
        <v>1.8</v>
      </c>
      <c r="F3095" s="154">
        <v>1.8</v>
      </c>
      <c r="G3095" s="161">
        <f t="shared" si="87"/>
        <v>0.14499999999999982</v>
      </c>
      <c r="H3095" s="154">
        <v>0.17499999999999982</v>
      </c>
      <c r="I3095" s="154"/>
      <c r="J3095" s="154"/>
      <c r="K3095" s="154"/>
      <c r="L3095" s="154"/>
      <c r="M3095" s="154"/>
      <c r="N3095" s="154"/>
      <c r="O3095" s="154">
        <f t="shared" si="88"/>
        <v>0.46979999999999944</v>
      </c>
    </row>
    <row r="3096" spans="1:15" x14ac:dyDescent="0.35">
      <c r="A3096" s="321"/>
      <c r="B3096" s="320" t="s">
        <v>2637</v>
      </c>
      <c r="C3096" s="153"/>
      <c r="D3096" s="154"/>
      <c r="E3096" s="154">
        <v>1.8</v>
      </c>
      <c r="F3096" s="154">
        <v>1.8</v>
      </c>
      <c r="G3096" s="161">
        <f t="shared" si="87"/>
        <v>0.14499999999999982</v>
      </c>
      <c r="H3096" s="154">
        <v>0.17499999999999982</v>
      </c>
      <c r="I3096" s="154"/>
      <c r="J3096" s="154"/>
      <c r="K3096" s="154"/>
      <c r="L3096" s="154"/>
      <c r="M3096" s="154"/>
      <c r="N3096" s="154"/>
      <c r="O3096" s="154">
        <f t="shared" si="88"/>
        <v>0.46979999999999944</v>
      </c>
    </row>
    <row r="3097" spans="1:15" x14ac:dyDescent="0.35">
      <c r="A3097" s="321"/>
      <c r="B3097" s="320" t="s">
        <v>2636</v>
      </c>
      <c r="C3097" s="153"/>
      <c r="D3097" s="154"/>
      <c r="E3097" s="154">
        <v>1.8</v>
      </c>
      <c r="F3097" s="154">
        <v>1.8</v>
      </c>
      <c r="G3097" s="161">
        <f t="shared" si="87"/>
        <v>0.14999999999999994</v>
      </c>
      <c r="H3097" s="154">
        <v>0.17999999999999994</v>
      </c>
      <c r="I3097" s="154"/>
      <c r="J3097" s="154"/>
      <c r="K3097" s="154"/>
      <c r="L3097" s="154"/>
      <c r="M3097" s="154"/>
      <c r="N3097" s="154"/>
      <c r="O3097" s="154">
        <f t="shared" si="88"/>
        <v>0.48599999999999982</v>
      </c>
    </row>
    <row r="3098" spans="1:15" x14ac:dyDescent="0.35">
      <c r="A3098" s="321"/>
      <c r="B3098" s="320" t="s">
        <v>2635</v>
      </c>
      <c r="C3098" s="153"/>
      <c r="D3098" s="154"/>
      <c r="E3098" s="154">
        <v>1.8</v>
      </c>
      <c r="F3098" s="154">
        <v>1.8</v>
      </c>
      <c r="G3098" s="161">
        <f t="shared" si="87"/>
        <v>1.5</v>
      </c>
      <c r="H3098" s="154">
        <v>1.53</v>
      </c>
      <c r="I3098" s="154"/>
      <c r="J3098" s="154"/>
      <c r="K3098" s="154"/>
      <c r="L3098" s="154"/>
      <c r="M3098" s="154"/>
      <c r="N3098" s="154"/>
      <c r="O3098" s="154">
        <f t="shared" si="88"/>
        <v>4.8600000000000003</v>
      </c>
    </row>
    <row r="3099" spans="1:15" x14ac:dyDescent="0.35">
      <c r="A3099" s="321"/>
      <c r="B3099" s="320" t="s">
        <v>2634</v>
      </c>
      <c r="C3099" s="153"/>
      <c r="D3099" s="154"/>
      <c r="E3099" s="154">
        <v>1.8</v>
      </c>
      <c r="F3099" s="154">
        <v>1.8</v>
      </c>
      <c r="G3099" s="161">
        <f t="shared" si="87"/>
        <v>0.11999999999999991</v>
      </c>
      <c r="H3099" s="154">
        <v>0.14999999999999991</v>
      </c>
      <c r="I3099" s="154"/>
      <c r="J3099" s="154"/>
      <c r="K3099" s="154"/>
      <c r="L3099" s="154"/>
      <c r="M3099" s="154"/>
      <c r="N3099" s="154"/>
      <c r="O3099" s="154">
        <f t="shared" si="88"/>
        <v>0.38879999999999976</v>
      </c>
    </row>
    <row r="3100" spans="1:15" x14ac:dyDescent="0.35">
      <c r="A3100" s="321"/>
      <c r="B3100" s="320" t="s">
        <v>2633</v>
      </c>
      <c r="C3100" s="153"/>
      <c r="D3100" s="154"/>
      <c r="E3100" s="154">
        <v>1.8</v>
      </c>
      <c r="F3100" s="154">
        <v>1.8</v>
      </c>
      <c r="G3100" s="161">
        <f t="shared" si="87"/>
        <v>0.19999999999999998</v>
      </c>
      <c r="H3100" s="154">
        <v>0.22999999999999998</v>
      </c>
      <c r="I3100" s="154"/>
      <c r="J3100" s="154"/>
      <c r="K3100" s="154"/>
      <c r="L3100" s="154"/>
      <c r="M3100" s="154"/>
      <c r="N3100" s="154"/>
      <c r="O3100" s="154">
        <f t="shared" si="88"/>
        <v>0.64800000000000002</v>
      </c>
    </row>
    <row r="3101" spans="1:15" x14ac:dyDescent="0.35">
      <c r="A3101" s="321"/>
      <c r="B3101" s="320" t="s">
        <v>2632</v>
      </c>
      <c r="C3101" s="153"/>
      <c r="D3101" s="154"/>
      <c r="E3101" s="154">
        <v>1.8</v>
      </c>
      <c r="F3101" s="154">
        <v>1.8</v>
      </c>
      <c r="G3101" s="161">
        <f t="shared" si="87"/>
        <v>0.12999999999999992</v>
      </c>
      <c r="H3101" s="154">
        <v>0.15999999999999992</v>
      </c>
      <c r="I3101" s="154"/>
      <c r="J3101" s="154"/>
      <c r="K3101" s="154"/>
      <c r="L3101" s="154"/>
      <c r="M3101" s="154"/>
      <c r="N3101" s="154"/>
      <c r="O3101" s="154">
        <f t="shared" si="88"/>
        <v>0.4211999999999998</v>
      </c>
    </row>
    <row r="3102" spans="1:15" x14ac:dyDescent="0.35">
      <c r="A3102" s="321"/>
      <c r="B3102" s="320" t="s">
        <v>2631</v>
      </c>
      <c r="C3102" s="153"/>
      <c r="D3102" s="154"/>
      <c r="E3102" s="154">
        <v>1.8</v>
      </c>
      <c r="F3102" s="154">
        <v>1.8</v>
      </c>
      <c r="G3102" s="161">
        <f t="shared" si="87"/>
        <v>0.22</v>
      </c>
      <c r="H3102" s="154">
        <v>0.25</v>
      </c>
      <c r="I3102" s="154"/>
      <c r="J3102" s="154"/>
      <c r="K3102" s="154"/>
      <c r="L3102" s="154"/>
      <c r="M3102" s="154"/>
      <c r="N3102" s="154"/>
      <c r="O3102" s="154">
        <f t="shared" si="88"/>
        <v>0.7128000000000001</v>
      </c>
    </row>
    <row r="3103" spans="1:15" x14ac:dyDescent="0.35">
      <c r="A3103" s="321"/>
      <c r="B3103" s="320" t="s">
        <v>2630</v>
      </c>
      <c r="C3103" s="153"/>
      <c r="D3103" s="154"/>
      <c r="E3103" s="154">
        <v>1.8</v>
      </c>
      <c r="F3103" s="154">
        <v>1.8</v>
      </c>
      <c r="G3103" s="161">
        <f t="shared" si="87"/>
        <v>0.11999999999999991</v>
      </c>
      <c r="H3103" s="154">
        <v>0.14999999999999991</v>
      </c>
      <c r="I3103" s="154"/>
      <c r="J3103" s="154"/>
      <c r="K3103" s="154"/>
      <c r="L3103" s="154"/>
      <c r="M3103" s="154"/>
      <c r="N3103" s="154"/>
      <c r="O3103" s="154">
        <f t="shared" si="88"/>
        <v>0.38879999999999976</v>
      </c>
    </row>
    <row r="3104" spans="1:15" x14ac:dyDescent="0.35">
      <c r="A3104" s="321"/>
      <c r="B3104" s="320" t="s">
        <v>2629</v>
      </c>
      <c r="C3104" s="153"/>
      <c r="D3104" s="154"/>
      <c r="E3104" s="154">
        <v>1.8</v>
      </c>
      <c r="F3104" s="154">
        <v>1.8</v>
      </c>
      <c r="G3104" s="161">
        <f t="shared" si="87"/>
        <v>0.16999999999999996</v>
      </c>
      <c r="H3104" s="154">
        <v>0.19999999999999996</v>
      </c>
      <c r="I3104" s="154"/>
      <c r="J3104" s="154"/>
      <c r="K3104" s="154"/>
      <c r="L3104" s="154"/>
      <c r="M3104" s="154"/>
      <c r="N3104" s="154"/>
      <c r="O3104" s="154">
        <f t="shared" si="88"/>
        <v>0.55079999999999985</v>
      </c>
    </row>
    <row r="3105" spans="1:15" x14ac:dyDescent="0.35">
      <c r="A3105" s="321"/>
      <c r="B3105" s="320" t="s">
        <v>2628</v>
      </c>
      <c r="C3105" s="153"/>
      <c r="D3105" s="154"/>
      <c r="E3105" s="154">
        <v>1.8</v>
      </c>
      <c r="F3105" s="154">
        <v>1.8</v>
      </c>
      <c r="G3105" s="161">
        <f t="shared" si="87"/>
        <v>0.11999999999999991</v>
      </c>
      <c r="H3105" s="154">
        <v>0.14999999999999991</v>
      </c>
      <c r="I3105" s="154"/>
      <c r="J3105" s="154"/>
      <c r="K3105" s="154"/>
      <c r="L3105" s="154"/>
      <c r="M3105" s="154"/>
      <c r="N3105" s="154"/>
      <c r="O3105" s="154">
        <f t="shared" si="88"/>
        <v>0.38879999999999976</v>
      </c>
    </row>
    <row r="3106" spans="1:15" x14ac:dyDescent="0.35">
      <c r="A3106" s="321"/>
      <c r="B3106" s="320" t="s">
        <v>2627</v>
      </c>
      <c r="C3106" s="153"/>
      <c r="D3106" s="154"/>
      <c r="E3106" s="154">
        <v>1.8</v>
      </c>
      <c r="F3106" s="154">
        <v>1.8</v>
      </c>
      <c r="G3106" s="161">
        <f t="shared" si="87"/>
        <v>0.47</v>
      </c>
      <c r="H3106" s="154">
        <v>0.5</v>
      </c>
      <c r="I3106" s="154"/>
      <c r="J3106" s="154"/>
      <c r="K3106" s="154"/>
      <c r="L3106" s="154"/>
      <c r="M3106" s="154"/>
      <c r="N3106" s="154"/>
      <c r="O3106" s="154">
        <f t="shared" si="88"/>
        <v>1.5227999999999999</v>
      </c>
    </row>
    <row r="3107" spans="1:15" x14ac:dyDescent="0.35">
      <c r="A3107" s="321"/>
      <c r="B3107" s="320" t="s">
        <v>2626</v>
      </c>
      <c r="C3107" s="153"/>
      <c r="D3107" s="154"/>
      <c r="E3107" s="154">
        <v>1.8</v>
      </c>
      <c r="F3107" s="154">
        <v>1.8</v>
      </c>
      <c r="G3107" s="161">
        <f t="shared" si="87"/>
        <v>0.28999999999999981</v>
      </c>
      <c r="H3107" s="154">
        <v>0.31999999999999984</v>
      </c>
      <c r="I3107" s="154"/>
      <c r="J3107" s="154"/>
      <c r="K3107" s="154"/>
      <c r="L3107" s="154"/>
      <c r="M3107" s="154"/>
      <c r="N3107" s="154"/>
      <c r="O3107" s="154">
        <f t="shared" si="88"/>
        <v>0.93959999999999944</v>
      </c>
    </row>
    <row r="3108" spans="1:15" x14ac:dyDescent="0.35">
      <c r="A3108" s="321"/>
      <c r="B3108" s="320" t="s">
        <v>2625</v>
      </c>
      <c r="C3108" s="153"/>
      <c r="D3108" s="154"/>
      <c r="E3108" s="154">
        <v>1.8</v>
      </c>
      <c r="F3108" s="154">
        <v>1.8</v>
      </c>
      <c r="G3108" s="161">
        <f t="shared" si="87"/>
        <v>0.46200000000000019</v>
      </c>
      <c r="H3108" s="154">
        <v>0.49200000000000021</v>
      </c>
      <c r="I3108" s="154"/>
      <c r="J3108" s="154"/>
      <c r="K3108" s="154"/>
      <c r="L3108" s="154"/>
      <c r="M3108" s="154"/>
      <c r="N3108" s="154"/>
      <c r="O3108" s="154">
        <f t="shared" si="88"/>
        <v>1.4968800000000007</v>
      </c>
    </row>
    <row r="3109" spans="1:15" x14ac:dyDescent="0.35">
      <c r="A3109" s="321"/>
      <c r="B3109" s="318"/>
      <c r="C3109" s="153"/>
      <c r="D3109" s="154"/>
      <c r="E3109" s="154"/>
      <c r="F3109" s="154"/>
      <c r="G3109" s="154"/>
      <c r="H3109" s="154"/>
      <c r="I3109" s="154"/>
      <c r="J3109" s="154"/>
      <c r="K3109" s="154"/>
      <c r="L3109" s="156"/>
      <c r="M3109" s="154"/>
      <c r="N3109" s="154"/>
      <c r="O3109" s="154"/>
    </row>
    <row r="3110" spans="1:15" x14ac:dyDescent="0.35">
      <c r="A3110" s="321"/>
      <c r="B3110" s="318" t="s">
        <v>377</v>
      </c>
      <c r="C3110" s="158" t="s">
        <v>402</v>
      </c>
      <c r="D3110" s="158"/>
      <c r="E3110" s="158"/>
      <c r="F3110" s="158"/>
      <c r="G3110" s="158"/>
      <c r="H3110" s="158"/>
      <c r="I3110" s="158"/>
      <c r="J3110" s="158"/>
      <c r="K3110" s="158"/>
      <c r="L3110" s="158"/>
      <c r="M3110" s="158"/>
      <c r="N3110" s="154"/>
      <c r="O3110" s="185">
        <f>SUM(O3047:O3109)</f>
        <v>45.444239999999958</v>
      </c>
    </row>
    <row r="3111" spans="1:15" ht="63" x14ac:dyDescent="0.35">
      <c r="A3111" s="323" t="str">
        <f>ORÇAMENTO!A531</f>
        <v>5.5.4</v>
      </c>
      <c r="B3111" s="322" t="str">
        <f>VLOOKUP(A3111,ORÇAMENTO!$A:$F,4,0)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C3111" s="149" t="str">
        <f>VLOOKUP(A3111,ORÇAMENTO!$A:$F,5,0)</f>
        <v>M³</v>
      </c>
      <c r="D3111" s="149">
        <f>SUM(E3118:O3118)</f>
        <v>30.63420000000027</v>
      </c>
      <c r="E3111" s="149" t="s">
        <v>2149</v>
      </c>
      <c r="F3111" s="149" t="s">
        <v>2150</v>
      </c>
      <c r="G3111" s="149" t="s">
        <v>2151</v>
      </c>
      <c r="H3111" s="149" t="s">
        <v>2280</v>
      </c>
      <c r="I3111" s="149" t="s">
        <v>2153</v>
      </c>
      <c r="J3111" s="149" t="s">
        <v>2154</v>
      </c>
      <c r="K3111" s="149" t="s">
        <v>2155</v>
      </c>
      <c r="L3111" s="149" t="s">
        <v>2156</v>
      </c>
      <c r="M3111" s="149" t="s">
        <v>413</v>
      </c>
      <c r="N3111" s="149" t="s">
        <v>2157</v>
      </c>
      <c r="O3111" s="149" t="s">
        <v>2158</v>
      </c>
    </row>
    <row r="3112" spans="1:15" ht="21" x14ac:dyDescent="0.35">
      <c r="A3112" s="321"/>
      <c r="B3112" s="320" t="s">
        <v>2277</v>
      </c>
      <c r="C3112" s="153"/>
      <c r="D3112" s="154"/>
      <c r="E3112" s="154"/>
      <c r="F3112" s="154"/>
      <c r="G3112" s="154"/>
      <c r="H3112" s="154"/>
      <c r="I3112" s="154"/>
      <c r="J3112" s="154"/>
      <c r="K3112" s="154"/>
      <c r="L3112" s="154"/>
      <c r="M3112" s="154"/>
      <c r="N3112" s="154"/>
      <c r="O3112" s="154"/>
    </row>
    <row r="3113" spans="1:15" x14ac:dyDescent="0.35">
      <c r="A3113" s="321"/>
      <c r="B3113" s="320" t="s">
        <v>2624</v>
      </c>
      <c r="C3113" s="160"/>
      <c r="D3113" s="161"/>
      <c r="E3113" s="161">
        <v>1.8</v>
      </c>
      <c r="F3113" s="161">
        <v>1.8</v>
      </c>
      <c r="G3113" s="161">
        <f>H3113-0.03</f>
        <v>2.700000000000041</v>
      </c>
      <c r="H3113" s="161">
        <v>2.7300000000000408</v>
      </c>
      <c r="I3113" s="161"/>
      <c r="J3113" s="161"/>
      <c r="K3113" s="161"/>
      <c r="L3113" s="161"/>
      <c r="M3113" s="161"/>
      <c r="N3113" s="161"/>
      <c r="O3113" s="161">
        <f>E3113*F3113*G3113</f>
        <v>8.7480000000001343</v>
      </c>
    </row>
    <row r="3114" spans="1:15" x14ac:dyDescent="0.35">
      <c r="A3114" s="321"/>
      <c r="B3114" s="320" t="s">
        <v>2623</v>
      </c>
      <c r="C3114" s="160"/>
      <c r="D3114" s="161"/>
      <c r="E3114" s="161">
        <v>1.8</v>
      </c>
      <c r="F3114" s="161">
        <v>1.8</v>
      </c>
      <c r="G3114" s="161">
        <f>H3114-0.03</f>
        <v>2.4600000000000093</v>
      </c>
      <c r="H3114" s="161">
        <v>2.4900000000000091</v>
      </c>
      <c r="I3114" s="161"/>
      <c r="J3114" s="161"/>
      <c r="K3114" s="161"/>
      <c r="L3114" s="161"/>
      <c r="M3114" s="161"/>
      <c r="N3114" s="161"/>
      <c r="O3114" s="161">
        <f>E3114*F3114*G3114</f>
        <v>7.9704000000000308</v>
      </c>
    </row>
    <row r="3115" spans="1:15" x14ac:dyDescent="0.35">
      <c r="A3115" s="321"/>
      <c r="B3115" s="320" t="s">
        <v>2622</v>
      </c>
      <c r="C3115" s="160"/>
      <c r="D3115" s="161"/>
      <c r="E3115" s="161">
        <v>1.8</v>
      </c>
      <c r="F3115" s="161">
        <v>1.8</v>
      </c>
      <c r="G3115" s="161">
        <f>H3115-0.03</f>
        <v>2.310000000000032</v>
      </c>
      <c r="H3115" s="161">
        <v>2.3400000000000318</v>
      </c>
      <c r="I3115" s="161"/>
      <c r="J3115" s="161"/>
      <c r="K3115" s="161"/>
      <c r="L3115" s="161"/>
      <c r="M3115" s="161"/>
      <c r="N3115" s="161"/>
      <c r="O3115" s="161">
        <f>E3115*F3115*G3115</f>
        <v>7.4844000000001039</v>
      </c>
    </row>
    <row r="3116" spans="1:15" x14ac:dyDescent="0.35">
      <c r="A3116" s="321"/>
      <c r="B3116" s="320" t="s">
        <v>2621</v>
      </c>
      <c r="C3116" s="160"/>
      <c r="D3116" s="161"/>
      <c r="E3116" s="161">
        <v>1.8</v>
      </c>
      <c r="F3116" s="161">
        <v>1.8</v>
      </c>
      <c r="G3116" s="161">
        <f>H3116-0.03</f>
        <v>1.9849999999999997</v>
      </c>
      <c r="H3116" s="161">
        <v>2.0149999999999997</v>
      </c>
      <c r="I3116" s="161"/>
      <c r="J3116" s="161"/>
      <c r="K3116" s="161"/>
      <c r="L3116" s="161"/>
      <c r="M3116" s="161"/>
      <c r="N3116" s="161"/>
      <c r="O3116" s="161">
        <f>E3116*F3116*G3116</f>
        <v>6.4313999999999991</v>
      </c>
    </row>
    <row r="3117" spans="1:15" x14ac:dyDescent="0.35">
      <c r="A3117" s="321"/>
      <c r="B3117" s="318"/>
      <c r="C3117" s="153"/>
      <c r="D3117" s="154"/>
      <c r="E3117" s="154"/>
      <c r="F3117" s="154"/>
      <c r="G3117" s="154"/>
      <c r="H3117" s="154"/>
      <c r="I3117" s="154"/>
      <c r="J3117" s="154"/>
      <c r="K3117" s="154"/>
      <c r="L3117" s="156"/>
      <c r="M3117" s="154"/>
      <c r="N3117" s="154"/>
      <c r="O3117" s="154"/>
    </row>
    <row r="3118" spans="1:15" x14ac:dyDescent="0.35">
      <c r="A3118" s="321"/>
      <c r="B3118" s="318" t="s">
        <v>377</v>
      </c>
      <c r="C3118" s="158" t="s">
        <v>402</v>
      </c>
      <c r="D3118" s="158"/>
      <c r="E3118" s="158"/>
      <c r="F3118" s="158"/>
      <c r="G3118" s="158"/>
      <c r="H3118" s="158"/>
      <c r="I3118" s="158"/>
      <c r="J3118" s="158"/>
      <c r="K3118" s="158"/>
      <c r="L3118" s="158"/>
      <c r="M3118" s="158"/>
      <c r="N3118" s="154"/>
      <c r="O3118" s="185">
        <f>SUM(O3113:O3117)</f>
        <v>30.63420000000027</v>
      </c>
    </row>
    <row r="3119" spans="1:15" ht="31.5" x14ac:dyDescent="0.35">
      <c r="A3119" s="323" t="str">
        <f>ORÇAMENTO!A532</f>
        <v>5.5.5</v>
      </c>
      <c r="B3119" s="322" t="str">
        <f>VLOOKUP(A3119,ORÇAMENTO!$A:$F,4,0)</f>
        <v>CHAMINÉ CIRCULAR PARA POÇO DE VISITA PARA DRENAGEM, EM CONCRETO PRÉ-MOLDADO, DIÂMETRO INTERNO = 0,6 M. AF_12/2020</v>
      </c>
      <c r="C3119" s="149" t="str">
        <f>VLOOKUP(A3119,ORÇAMENTO!$A:$F,5,0)</f>
        <v>M</v>
      </c>
      <c r="D3119" s="149">
        <f>SUM(E3188:O3188)</f>
        <v>23.481000000000069</v>
      </c>
      <c r="E3119" s="149" t="s">
        <v>2149</v>
      </c>
      <c r="F3119" s="149" t="s">
        <v>2150</v>
      </c>
      <c r="G3119" s="149" t="s">
        <v>2151</v>
      </c>
      <c r="H3119" s="149" t="s">
        <v>2152</v>
      </c>
      <c r="I3119" s="149" t="s">
        <v>2153</v>
      </c>
      <c r="J3119" s="149" t="s">
        <v>2154</v>
      </c>
      <c r="K3119" s="149" t="s">
        <v>2172</v>
      </c>
      <c r="L3119" s="149" t="s">
        <v>2178</v>
      </c>
      <c r="M3119" s="149" t="s">
        <v>413</v>
      </c>
      <c r="N3119" s="149" t="s">
        <v>2157</v>
      </c>
      <c r="O3119" s="149" t="s">
        <v>2158</v>
      </c>
    </row>
    <row r="3120" spans="1:15" ht="21" x14ac:dyDescent="0.35">
      <c r="A3120" s="321"/>
      <c r="B3120" s="320" t="s">
        <v>2277</v>
      </c>
      <c r="C3120" s="154"/>
      <c r="D3120" s="154"/>
      <c r="E3120" s="154"/>
      <c r="F3120" s="154"/>
      <c r="G3120" s="154"/>
      <c r="H3120" s="154"/>
      <c r="I3120" s="154"/>
      <c r="J3120" s="154"/>
      <c r="K3120" s="154"/>
      <c r="L3120" s="165"/>
      <c r="M3120" s="186">
        <f>M3041</f>
        <v>66</v>
      </c>
      <c r="N3120" s="154"/>
      <c r="O3120" s="154"/>
    </row>
    <row r="3121" spans="1:15" x14ac:dyDescent="0.35">
      <c r="A3121" s="321"/>
      <c r="B3121" s="320" t="str">
        <f t="shared" ref="B3121:B3152" si="89">B3047</f>
        <v>PV2-102</v>
      </c>
      <c r="C3121" s="187"/>
      <c r="D3121" s="187"/>
      <c r="E3121" s="187"/>
      <c r="F3121" s="187"/>
      <c r="G3121" s="181">
        <f t="shared" ref="G3121:G3152" si="90">G3047</f>
        <v>0.17000000000006812</v>
      </c>
      <c r="H3121" s="187"/>
      <c r="I3121" s="187"/>
      <c r="J3121" s="187"/>
      <c r="K3121" s="187"/>
      <c r="L3121" s="158"/>
      <c r="M3121" s="158"/>
      <c r="N3121" s="187"/>
      <c r="O3121" s="187"/>
    </row>
    <row r="3122" spans="1:15" x14ac:dyDescent="0.35">
      <c r="A3122" s="321"/>
      <c r="B3122" s="320" t="str">
        <f t="shared" si="89"/>
        <v>PV3-102</v>
      </c>
      <c r="C3122" s="187"/>
      <c r="D3122" s="187"/>
      <c r="E3122" s="187"/>
      <c r="F3122" s="187"/>
      <c r="G3122" s="181">
        <f t="shared" si="90"/>
        <v>0.11999999999999991</v>
      </c>
      <c r="H3122" s="187"/>
      <c r="I3122" s="187"/>
      <c r="J3122" s="187"/>
      <c r="K3122" s="187"/>
      <c r="L3122" s="158"/>
      <c r="M3122" s="158"/>
      <c r="N3122" s="187"/>
      <c r="O3122" s="187"/>
    </row>
    <row r="3123" spans="1:15" x14ac:dyDescent="0.35">
      <c r="A3123" s="321"/>
      <c r="B3123" s="320" t="str">
        <f t="shared" si="89"/>
        <v>PV4-102</v>
      </c>
      <c r="C3123" s="187"/>
      <c r="D3123" s="187"/>
      <c r="E3123" s="187"/>
      <c r="F3123" s="187"/>
      <c r="G3123" s="181">
        <f t="shared" si="90"/>
        <v>0.41999999999995441</v>
      </c>
      <c r="H3123" s="187"/>
      <c r="I3123" s="187"/>
      <c r="J3123" s="187"/>
      <c r="K3123" s="187"/>
      <c r="L3123" s="158"/>
      <c r="M3123" s="158"/>
      <c r="N3123" s="187"/>
      <c r="O3123" s="187"/>
    </row>
    <row r="3124" spans="1:15" x14ac:dyDescent="0.35">
      <c r="A3124" s="321"/>
      <c r="B3124" s="320" t="str">
        <f t="shared" si="89"/>
        <v>PV5-102</v>
      </c>
      <c r="C3124" s="187"/>
      <c r="D3124" s="187"/>
      <c r="E3124" s="187"/>
      <c r="F3124" s="187"/>
      <c r="G3124" s="181">
        <f t="shared" si="90"/>
        <v>1.3999999999999726</v>
      </c>
      <c r="H3124" s="187"/>
      <c r="I3124" s="187"/>
      <c r="J3124" s="187"/>
      <c r="K3124" s="187"/>
      <c r="L3124" s="158"/>
      <c r="M3124" s="158"/>
      <c r="N3124" s="187"/>
      <c r="O3124" s="187"/>
    </row>
    <row r="3125" spans="1:15" x14ac:dyDescent="0.35">
      <c r="A3125" s="321"/>
      <c r="B3125" s="320" t="str">
        <f t="shared" si="89"/>
        <v>PV9-102</v>
      </c>
      <c r="C3125" s="187"/>
      <c r="D3125" s="187"/>
      <c r="E3125" s="187"/>
      <c r="F3125" s="187"/>
      <c r="G3125" s="181">
        <f t="shared" si="90"/>
        <v>0.8899999999999999</v>
      </c>
      <c r="H3125" s="187"/>
      <c r="I3125" s="187"/>
      <c r="J3125" s="187"/>
      <c r="K3125" s="187"/>
      <c r="L3125" s="158"/>
      <c r="M3125" s="158"/>
      <c r="N3125" s="187"/>
      <c r="O3125" s="187"/>
    </row>
    <row r="3126" spans="1:15" x14ac:dyDescent="0.35">
      <c r="A3126" s="321"/>
      <c r="B3126" s="320" t="str">
        <f t="shared" si="89"/>
        <v>PV1-103</v>
      </c>
      <c r="C3126" s="187"/>
      <c r="D3126" s="187"/>
      <c r="E3126" s="187"/>
      <c r="F3126" s="187"/>
      <c r="G3126" s="181">
        <f t="shared" si="90"/>
        <v>0.11999999999999991</v>
      </c>
      <c r="H3126" s="187"/>
      <c r="I3126" s="187"/>
      <c r="J3126" s="187"/>
      <c r="K3126" s="187"/>
      <c r="L3126" s="158"/>
      <c r="M3126" s="158"/>
      <c r="N3126" s="187"/>
      <c r="O3126" s="187"/>
    </row>
    <row r="3127" spans="1:15" x14ac:dyDescent="0.35">
      <c r="A3127" s="321"/>
      <c r="B3127" s="320" t="str">
        <f t="shared" si="89"/>
        <v>PV2-103</v>
      </c>
      <c r="C3127" s="187"/>
      <c r="D3127" s="187"/>
      <c r="E3127" s="187"/>
      <c r="F3127" s="187"/>
      <c r="G3127" s="181">
        <f t="shared" si="90"/>
        <v>0.12999999999999992</v>
      </c>
      <c r="H3127" s="187"/>
      <c r="I3127" s="187"/>
      <c r="J3127" s="187"/>
      <c r="K3127" s="187"/>
      <c r="L3127" s="158"/>
      <c r="M3127" s="158"/>
      <c r="N3127" s="187"/>
      <c r="O3127" s="187"/>
    </row>
    <row r="3128" spans="1:15" x14ac:dyDescent="0.35">
      <c r="A3128" s="321"/>
      <c r="B3128" s="320" t="str">
        <f t="shared" si="89"/>
        <v>PV3-103</v>
      </c>
      <c r="C3128" s="187"/>
      <c r="D3128" s="187"/>
      <c r="E3128" s="187"/>
      <c r="F3128" s="187"/>
      <c r="G3128" s="181">
        <f t="shared" si="90"/>
        <v>0.47</v>
      </c>
      <c r="H3128" s="187"/>
      <c r="I3128" s="187"/>
      <c r="J3128" s="187"/>
      <c r="K3128" s="187"/>
      <c r="L3128" s="158"/>
      <c r="M3128" s="158"/>
      <c r="N3128" s="187"/>
      <c r="O3128" s="187"/>
    </row>
    <row r="3129" spans="1:15" x14ac:dyDescent="0.35">
      <c r="A3129" s="321"/>
      <c r="B3129" s="320" t="str">
        <f t="shared" si="89"/>
        <v>PV1-104</v>
      </c>
      <c r="C3129" s="187"/>
      <c r="D3129" s="187"/>
      <c r="E3129" s="187"/>
      <c r="F3129" s="187"/>
      <c r="G3129" s="181">
        <f t="shared" si="90"/>
        <v>0.11999999999999991</v>
      </c>
      <c r="H3129" s="187"/>
      <c r="I3129" s="187"/>
      <c r="J3129" s="187"/>
      <c r="K3129" s="187"/>
      <c r="L3129" s="158"/>
      <c r="M3129" s="158"/>
      <c r="N3129" s="187"/>
      <c r="O3129" s="187"/>
    </row>
    <row r="3130" spans="1:15" x14ac:dyDescent="0.35">
      <c r="A3130" s="321"/>
      <c r="B3130" s="320" t="str">
        <f t="shared" si="89"/>
        <v>PV2-104</v>
      </c>
      <c r="C3130" s="187"/>
      <c r="D3130" s="187"/>
      <c r="E3130" s="187"/>
      <c r="F3130" s="187"/>
      <c r="G3130" s="181">
        <f t="shared" si="90"/>
        <v>0.16999999999999996</v>
      </c>
      <c r="H3130" s="187"/>
      <c r="I3130" s="187"/>
      <c r="J3130" s="187"/>
      <c r="K3130" s="187"/>
      <c r="L3130" s="158"/>
      <c r="M3130" s="158"/>
      <c r="N3130" s="187"/>
      <c r="O3130" s="187"/>
    </row>
    <row r="3131" spans="1:15" x14ac:dyDescent="0.35">
      <c r="A3131" s="321"/>
      <c r="B3131" s="320" t="str">
        <f t="shared" si="89"/>
        <v>PV3-104</v>
      </c>
      <c r="C3131" s="187"/>
      <c r="D3131" s="187"/>
      <c r="E3131" s="187"/>
      <c r="F3131" s="187"/>
      <c r="G3131" s="181">
        <f t="shared" si="90"/>
        <v>0.15499999999999983</v>
      </c>
      <c r="H3131" s="187"/>
      <c r="I3131" s="187"/>
      <c r="J3131" s="187"/>
      <c r="K3131" s="187"/>
      <c r="L3131" s="158"/>
      <c r="M3131" s="158"/>
      <c r="N3131" s="187"/>
      <c r="O3131" s="187"/>
    </row>
    <row r="3132" spans="1:15" x14ac:dyDescent="0.35">
      <c r="A3132" s="321"/>
      <c r="B3132" s="320" t="str">
        <f t="shared" si="89"/>
        <v>PV1-105</v>
      </c>
      <c r="C3132" s="187"/>
      <c r="D3132" s="187"/>
      <c r="E3132" s="187"/>
      <c r="F3132" s="187"/>
      <c r="G3132" s="181">
        <f t="shared" si="90"/>
        <v>0.11999999999999991</v>
      </c>
      <c r="H3132" s="187"/>
      <c r="I3132" s="187"/>
      <c r="J3132" s="187"/>
      <c r="K3132" s="187"/>
      <c r="L3132" s="158"/>
      <c r="M3132" s="158"/>
      <c r="N3132" s="187"/>
      <c r="O3132" s="187"/>
    </row>
    <row r="3133" spans="1:15" x14ac:dyDescent="0.35">
      <c r="A3133" s="321"/>
      <c r="B3133" s="320" t="str">
        <f t="shared" si="89"/>
        <v>PV2-105</v>
      </c>
      <c r="C3133" s="187"/>
      <c r="D3133" s="187"/>
      <c r="E3133" s="187"/>
      <c r="F3133" s="187"/>
      <c r="G3133" s="181">
        <f t="shared" si="90"/>
        <v>0.15499999999999983</v>
      </c>
      <c r="H3133" s="187"/>
      <c r="I3133" s="187"/>
      <c r="J3133" s="187"/>
      <c r="K3133" s="187"/>
      <c r="L3133" s="158"/>
      <c r="M3133" s="158"/>
      <c r="N3133" s="187"/>
      <c r="O3133" s="187"/>
    </row>
    <row r="3134" spans="1:15" x14ac:dyDescent="0.35">
      <c r="A3134" s="321"/>
      <c r="B3134" s="320" t="str">
        <f t="shared" si="89"/>
        <v>PV3-105</v>
      </c>
      <c r="C3134" s="187"/>
      <c r="D3134" s="187"/>
      <c r="E3134" s="187"/>
      <c r="F3134" s="187"/>
      <c r="G3134" s="181">
        <f t="shared" si="90"/>
        <v>0.12499999999999981</v>
      </c>
      <c r="H3134" s="187"/>
      <c r="I3134" s="187"/>
      <c r="J3134" s="187"/>
      <c r="K3134" s="187"/>
      <c r="L3134" s="158"/>
      <c r="M3134" s="158"/>
      <c r="N3134" s="187"/>
      <c r="O3134" s="187"/>
    </row>
    <row r="3135" spans="1:15" x14ac:dyDescent="0.35">
      <c r="A3135" s="321"/>
      <c r="B3135" s="320" t="str">
        <f t="shared" si="89"/>
        <v>PV1-106</v>
      </c>
      <c r="C3135" s="187"/>
      <c r="D3135" s="187"/>
      <c r="E3135" s="187"/>
      <c r="F3135" s="187"/>
      <c r="G3135" s="181">
        <f t="shared" si="90"/>
        <v>0.11999999999999991</v>
      </c>
      <c r="H3135" s="187"/>
      <c r="I3135" s="187"/>
      <c r="J3135" s="187"/>
      <c r="K3135" s="187"/>
      <c r="L3135" s="158"/>
      <c r="M3135" s="158"/>
      <c r="N3135" s="187"/>
      <c r="O3135" s="187"/>
    </row>
    <row r="3136" spans="1:15" x14ac:dyDescent="0.35">
      <c r="A3136" s="321"/>
      <c r="B3136" s="320" t="str">
        <f t="shared" si="89"/>
        <v>PV2-106</v>
      </c>
      <c r="C3136" s="187"/>
      <c r="D3136" s="187"/>
      <c r="E3136" s="187"/>
      <c r="F3136" s="187"/>
      <c r="G3136" s="181">
        <f t="shared" si="90"/>
        <v>0.12999999999999992</v>
      </c>
      <c r="H3136" s="187"/>
      <c r="I3136" s="187"/>
      <c r="J3136" s="187"/>
      <c r="K3136" s="187"/>
      <c r="L3136" s="158"/>
      <c r="M3136" s="158"/>
      <c r="N3136" s="187"/>
      <c r="O3136" s="187"/>
    </row>
    <row r="3137" spans="1:15" x14ac:dyDescent="0.35">
      <c r="A3137" s="321"/>
      <c r="B3137" s="320" t="str">
        <f t="shared" si="89"/>
        <v>PV3-106</v>
      </c>
      <c r="C3137" s="187"/>
      <c r="D3137" s="187"/>
      <c r="E3137" s="187"/>
      <c r="F3137" s="187"/>
      <c r="G3137" s="181">
        <f t="shared" si="90"/>
        <v>0.12999999999999992</v>
      </c>
      <c r="H3137" s="187"/>
      <c r="I3137" s="187"/>
      <c r="J3137" s="187"/>
      <c r="K3137" s="187"/>
      <c r="L3137" s="158"/>
      <c r="M3137" s="158"/>
      <c r="N3137" s="187"/>
      <c r="O3137" s="187"/>
    </row>
    <row r="3138" spans="1:15" x14ac:dyDescent="0.35">
      <c r="A3138" s="321"/>
      <c r="B3138" s="320" t="str">
        <f t="shared" si="89"/>
        <v>PV1-107</v>
      </c>
      <c r="C3138" s="187"/>
      <c r="D3138" s="187"/>
      <c r="E3138" s="187"/>
      <c r="F3138" s="187"/>
      <c r="G3138" s="181">
        <f t="shared" si="90"/>
        <v>0.11999999999999991</v>
      </c>
      <c r="H3138" s="187"/>
      <c r="I3138" s="187"/>
      <c r="J3138" s="187"/>
      <c r="K3138" s="187"/>
      <c r="L3138" s="158"/>
      <c r="M3138" s="158"/>
      <c r="N3138" s="187"/>
      <c r="O3138" s="187"/>
    </row>
    <row r="3139" spans="1:15" x14ac:dyDescent="0.35">
      <c r="A3139" s="321"/>
      <c r="B3139" s="320" t="str">
        <f t="shared" si="89"/>
        <v>PV2-107</v>
      </c>
      <c r="C3139" s="187"/>
      <c r="D3139" s="187"/>
      <c r="E3139" s="187"/>
      <c r="F3139" s="187"/>
      <c r="G3139" s="181">
        <f t="shared" si="90"/>
        <v>0.2699999999999998</v>
      </c>
      <c r="H3139" s="187"/>
      <c r="I3139" s="187"/>
      <c r="J3139" s="187"/>
      <c r="K3139" s="187"/>
      <c r="L3139" s="158"/>
      <c r="M3139" s="158"/>
      <c r="N3139" s="187"/>
      <c r="O3139" s="187"/>
    </row>
    <row r="3140" spans="1:15" x14ac:dyDescent="0.35">
      <c r="A3140" s="321"/>
      <c r="B3140" s="320" t="str">
        <f t="shared" si="89"/>
        <v>PV3-107</v>
      </c>
      <c r="C3140" s="187"/>
      <c r="D3140" s="187"/>
      <c r="E3140" s="187"/>
      <c r="F3140" s="187"/>
      <c r="G3140" s="181">
        <f t="shared" si="90"/>
        <v>0.15499999999999983</v>
      </c>
      <c r="H3140" s="187"/>
      <c r="I3140" s="187"/>
      <c r="J3140" s="187"/>
      <c r="K3140" s="187"/>
      <c r="L3140" s="158"/>
      <c r="M3140" s="158"/>
      <c r="N3140" s="187"/>
      <c r="O3140" s="187"/>
    </row>
    <row r="3141" spans="1:15" x14ac:dyDescent="0.35">
      <c r="A3141" s="321"/>
      <c r="B3141" s="320" t="str">
        <f t="shared" si="89"/>
        <v>PV1-108</v>
      </c>
      <c r="C3141" s="187"/>
      <c r="D3141" s="187"/>
      <c r="E3141" s="187"/>
      <c r="F3141" s="187"/>
      <c r="G3141" s="181">
        <f t="shared" si="90"/>
        <v>8.9999999999999886E-2</v>
      </c>
      <c r="H3141" s="187"/>
      <c r="I3141" s="187"/>
      <c r="J3141" s="187"/>
      <c r="K3141" s="187"/>
      <c r="L3141" s="158"/>
      <c r="M3141" s="158"/>
      <c r="N3141" s="187"/>
      <c r="O3141" s="187"/>
    </row>
    <row r="3142" spans="1:15" x14ac:dyDescent="0.35">
      <c r="A3142" s="321"/>
      <c r="B3142" s="320" t="str">
        <f t="shared" si="89"/>
        <v>PV2-108</v>
      </c>
      <c r="C3142" s="187"/>
      <c r="D3142" s="187"/>
      <c r="E3142" s="187"/>
      <c r="F3142" s="187"/>
      <c r="G3142" s="181">
        <f t="shared" si="90"/>
        <v>0.15499999999999983</v>
      </c>
      <c r="H3142" s="187"/>
      <c r="I3142" s="187"/>
      <c r="J3142" s="187"/>
      <c r="K3142" s="187"/>
      <c r="L3142" s="158"/>
      <c r="M3142" s="158"/>
      <c r="N3142" s="187"/>
      <c r="O3142" s="187"/>
    </row>
    <row r="3143" spans="1:15" x14ac:dyDescent="0.35">
      <c r="A3143" s="321"/>
      <c r="B3143" s="320" t="str">
        <f t="shared" si="89"/>
        <v>PV3-108</v>
      </c>
      <c r="C3143" s="187"/>
      <c r="D3143" s="187"/>
      <c r="E3143" s="187"/>
      <c r="F3143" s="187"/>
      <c r="G3143" s="181">
        <f t="shared" si="90"/>
        <v>0.14499999999999982</v>
      </c>
      <c r="H3143" s="187"/>
      <c r="I3143" s="187"/>
      <c r="J3143" s="187"/>
      <c r="K3143" s="187"/>
      <c r="L3143" s="158"/>
      <c r="M3143" s="158"/>
      <c r="N3143" s="187"/>
      <c r="O3143" s="187"/>
    </row>
    <row r="3144" spans="1:15" x14ac:dyDescent="0.35">
      <c r="A3144" s="321"/>
      <c r="B3144" s="320" t="str">
        <f t="shared" si="89"/>
        <v>PV1-109</v>
      </c>
      <c r="C3144" s="187"/>
      <c r="D3144" s="187"/>
      <c r="E3144" s="187"/>
      <c r="F3144" s="187"/>
      <c r="G3144" s="181">
        <f t="shared" si="90"/>
        <v>0.11999999999999991</v>
      </c>
      <c r="H3144" s="187"/>
      <c r="I3144" s="187"/>
      <c r="J3144" s="187"/>
      <c r="K3144" s="187"/>
      <c r="L3144" s="158"/>
      <c r="M3144" s="158"/>
      <c r="N3144" s="187"/>
      <c r="O3144" s="187"/>
    </row>
    <row r="3145" spans="1:15" x14ac:dyDescent="0.35">
      <c r="A3145" s="321"/>
      <c r="B3145" s="320" t="str">
        <f t="shared" si="89"/>
        <v>PV2-109</v>
      </c>
      <c r="C3145" s="187"/>
      <c r="D3145" s="187"/>
      <c r="E3145" s="187"/>
      <c r="F3145" s="187"/>
      <c r="G3145" s="181">
        <f t="shared" si="90"/>
        <v>0.12499999999999981</v>
      </c>
      <c r="H3145" s="187"/>
      <c r="I3145" s="187"/>
      <c r="J3145" s="187"/>
      <c r="K3145" s="187"/>
      <c r="L3145" s="158"/>
      <c r="M3145" s="158"/>
      <c r="N3145" s="187"/>
      <c r="O3145" s="187"/>
    </row>
    <row r="3146" spans="1:15" x14ac:dyDescent="0.35">
      <c r="A3146" s="321"/>
      <c r="B3146" s="320" t="str">
        <f t="shared" si="89"/>
        <v>PV3-109</v>
      </c>
      <c r="C3146" s="187"/>
      <c r="D3146" s="187"/>
      <c r="E3146" s="187"/>
      <c r="F3146" s="187"/>
      <c r="G3146" s="181">
        <f t="shared" si="90"/>
        <v>0.19999999999999998</v>
      </c>
      <c r="H3146" s="187"/>
      <c r="I3146" s="187"/>
      <c r="J3146" s="187"/>
      <c r="K3146" s="187"/>
      <c r="L3146" s="158"/>
      <c r="M3146" s="158"/>
      <c r="N3146" s="187"/>
      <c r="O3146" s="187"/>
    </row>
    <row r="3147" spans="1:15" x14ac:dyDescent="0.35">
      <c r="A3147" s="321"/>
      <c r="B3147" s="320" t="str">
        <f t="shared" si="89"/>
        <v>PV1-110</v>
      </c>
      <c r="C3147" s="187"/>
      <c r="D3147" s="187"/>
      <c r="E3147" s="187"/>
      <c r="F3147" s="187"/>
      <c r="G3147" s="181">
        <f t="shared" si="90"/>
        <v>0.11999999999999991</v>
      </c>
      <c r="H3147" s="187"/>
      <c r="I3147" s="187"/>
      <c r="J3147" s="187"/>
      <c r="K3147" s="187"/>
      <c r="L3147" s="158"/>
      <c r="M3147" s="158"/>
      <c r="N3147" s="187"/>
      <c r="O3147" s="187"/>
    </row>
    <row r="3148" spans="1:15" x14ac:dyDescent="0.35">
      <c r="A3148" s="321"/>
      <c r="B3148" s="320" t="str">
        <f t="shared" si="89"/>
        <v>PV2-110</v>
      </c>
      <c r="C3148" s="187"/>
      <c r="D3148" s="187"/>
      <c r="E3148" s="187"/>
      <c r="F3148" s="187"/>
      <c r="G3148" s="181">
        <f t="shared" si="90"/>
        <v>0.16499999999999984</v>
      </c>
      <c r="H3148" s="187"/>
      <c r="I3148" s="187"/>
      <c r="J3148" s="187"/>
      <c r="K3148" s="187"/>
      <c r="L3148" s="158"/>
      <c r="M3148" s="158"/>
      <c r="N3148" s="187"/>
      <c r="O3148" s="187"/>
    </row>
    <row r="3149" spans="1:15" x14ac:dyDescent="0.35">
      <c r="A3149" s="321"/>
      <c r="B3149" s="320" t="str">
        <f t="shared" si="89"/>
        <v>PV3-110</v>
      </c>
      <c r="C3149" s="187"/>
      <c r="D3149" s="187"/>
      <c r="E3149" s="187"/>
      <c r="F3149" s="187"/>
      <c r="G3149" s="181">
        <f t="shared" si="90"/>
        <v>0.19999999999999998</v>
      </c>
      <c r="H3149" s="187"/>
      <c r="I3149" s="187"/>
      <c r="J3149" s="187"/>
      <c r="K3149" s="187"/>
      <c r="L3149" s="158"/>
      <c r="M3149" s="158"/>
      <c r="N3149" s="187"/>
      <c r="O3149" s="187"/>
    </row>
    <row r="3150" spans="1:15" x14ac:dyDescent="0.35">
      <c r="A3150" s="321"/>
      <c r="B3150" s="320" t="str">
        <f t="shared" si="89"/>
        <v>PV1-111</v>
      </c>
      <c r="C3150" s="187"/>
      <c r="D3150" s="187"/>
      <c r="E3150" s="187"/>
      <c r="F3150" s="187"/>
      <c r="G3150" s="181">
        <f t="shared" si="90"/>
        <v>0.11999999999999991</v>
      </c>
      <c r="H3150" s="187"/>
      <c r="I3150" s="187"/>
      <c r="J3150" s="187"/>
      <c r="K3150" s="187"/>
      <c r="L3150" s="158"/>
      <c r="M3150" s="158"/>
      <c r="N3150" s="187"/>
      <c r="O3150" s="187"/>
    </row>
    <row r="3151" spans="1:15" x14ac:dyDescent="0.35">
      <c r="A3151" s="321"/>
      <c r="B3151" s="320" t="str">
        <f t="shared" si="89"/>
        <v>PV2-111</v>
      </c>
      <c r="C3151" s="187"/>
      <c r="D3151" s="187"/>
      <c r="E3151" s="187"/>
      <c r="F3151" s="187"/>
      <c r="G3151" s="181">
        <f t="shared" si="90"/>
        <v>6.9999999999999868E-2</v>
      </c>
      <c r="H3151" s="187"/>
      <c r="I3151" s="187"/>
      <c r="J3151" s="187"/>
      <c r="K3151" s="187"/>
      <c r="L3151" s="158"/>
      <c r="M3151" s="158"/>
      <c r="N3151" s="187"/>
      <c r="O3151" s="187"/>
    </row>
    <row r="3152" spans="1:15" x14ac:dyDescent="0.35">
      <c r="A3152" s="321"/>
      <c r="B3152" s="320" t="str">
        <f t="shared" si="89"/>
        <v>PV3-111</v>
      </c>
      <c r="C3152" s="187"/>
      <c r="D3152" s="187"/>
      <c r="E3152" s="187"/>
      <c r="F3152" s="187"/>
      <c r="G3152" s="181">
        <f t="shared" si="90"/>
        <v>9.9999999999998146E-3</v>
      </c>
      <c r="H3152" s="187"/>
      <c r="I3152" s="187"/>
      <c r="J3152" s="187"/>
      <c r="K3152" s="187"/>
      <c r="L3152" s="158"/>
      <c r="M3152" s="158"/>
      <c r="N3152" s="187"/>
      <c r="O3152" s="187"/>
    </row>
    <row r="3153" spans="1:15" x14ac:dyDescent="0.35">
      <c r="A3153" s="321"/>
      <c r="B3153" s="320" t="str">
        <f t="shared" ref="B3153:B3182" si="91">B3079</f>
        <v>PV4-111</v>
      </c>
      <c r="C3153" s="187"/>
      <c r="D3153" s="187"/>
      <c r="E3153" s="187"/>
      <c r="F3153" s="187"/>
      <c r="G3153" s="181">
        <f t="shared" ref="G3153:G3182" si="92">G3079</f>
        <v>0.22</v>
      </c>
      <c r="H3153" s="187"/>
      <c r="I3153" s="187"/>
      <c r="J3153" s="187"/>
      <c r="K3153" s="187"/>
      <c r="L3153" s="158"/>
      <c r="M3153" s="158"/>
      <c r="N3153" s="187"/>
      <c r="O3153" s="187"/>
    </row>
    <row r="3154" spans="1:15" x14ac:dyDescent="0.35">
      <c r="A3154" s="321"/>
      <c r="B3154" s="320" t="str">
        <f t="shared" si="91"/>
        <v>PV5-111</v>
      </c>
      <c r="C3154" s="187"/>
      <c r="D3154" s="187"/>
      <c r="E3154" s="187"/>
      <c r="F3154" s="187"/>
      <c r="G3154" s="181">
        <f t="shared" si="92"/>
        <v>0.24999999999999981</v>
      </c>
      <c r="H3154" s="187"/>
      <c r="I3154" s="187"/>
      <c r="J3154" s="187"/>
      <c r="K3154" s="187"/>
      <c r="L3154" s="158"/>
      <c r="M3154" s="158"/>
      <c r="N3154" s="187"/>
      <c r="O3154" s="187"/>
    </row>
    <row r="3155" spans="1:15" x14ac:dyDescent="0.35">
      <c r="A3155" s="321"/>
      <c r="B3155" s="320" t="str">
        <f t="shared" si="91"/>
        <v>PV7-111</v>
      </c>
      <c r="C3155" s="187"/>
      <c r="D3155" s="187"/>
      <c r="E3155" s="187"/>
      <c r="F3155" s="187"/>
      <c r="G3155" s="181">
        <f t="shared" si="92"/>
        <v>0.66700000000000004</v>
      </c>
      <c r="H3155" s="187"/>
      <c r="I3155" s="187"/>
      <c r="J3155" s="187"/>
      <c r="K3155" s="187"/>
      <c r="L3155" s="158"/>
      <c r="M3155" s="158"/>
      <c r="N3155" s="187"/>
      <c r="O3155" s="187"/>
    </row>
    <row r="3156" spans="1:15" x14ac:dyDescent="0.35">
      <c r="A3156" s="321"/>
      <c r="B3156" s="320" t="str">
        <f t="shared" si="91"/>
        <v>PV8-111</v>
      </c>
      <c r="C3156" s="187"/>
      <c r="D3156" s="187"/>
      <c r="E3156" s="187"/>
      <c r="F3156" s="187"/>
      <c r="G3156" s="181">
        <f t="shared" si="92"/>
        <v>0</v>
      </c>
      <c r="H3156" s="187"/>
      <c r="I3156" s="187"/>
      <c r="J3156" s="187"/>
      <c r="K3156" s="187"/>
      <c r="L3156" s="158"/>
      <c r="M3156" s="158"/>
      <c r="N3156" s="187"/>
      <c r="O3156" s="187"/>
    </row>
    <row r="3157" spans="1:15" x14ac:dyDescent="0.35">
      <c r="A3157" s="321"/>
      <c r="B3157" s="320" t="str">
        <f t="shared" si="91"/>
        <v>PV9-111</v>
      </c>
      <c r="C3157" s="187"/>
      <c r="D3157" s="187"/>
      <c r="E3157" s="187"/>
      <c r="F3157" s="187"/>
      <c r="G3157" s="181">
        <f t="shared" si="92"/>
        <v>0</v>
      </c>
      <c r="H3157" s="187"/>
      <c r="I3157" s="187"/>
      <c r="J3157" s="187"/>
      <c r="K3157" s="187"/>
      <c r="L3157" s="158"/>
      <c r="M3157" s="158"/>
      <c r="N3157" s="187"/>
      <c r="O3157" s="187"/>
    </row>
    <row r="3158" spans="1:15" x14ac:dyDescent="0.35">
      <c r="A3158" s="321"/>
      <c r="B3158" s="320" t="str">
        <f t="shared" si="91"/>
        <v>PV10-111</v>
      </c>
      <c r="C3158" s="187"/>
      <c r="D3158" s="187"/>
      <c r="E3158" s="187"/>
      <c r="F3158" s="187"/>
      <c r="G3158" s="181">
        <f t="shared" si="92"/>
        <v>0.15699999999999983</v>
      </c>
      <c r="H3158" s="187"/>
      <c r="I3158" s="187"/>
      <c r="J3158" s="187"/>
      <c r="K3158" s="187"/>
      <c r="L3158" s="158"/>
      <c r="M3158" s="158"/>
      <c r="N3158" s="187"/>
      <c r="O3158" s="187"/>
    </row>
    <row r="3159" spans="1:15" x14ac:dyDescent="0.35">
      <c r="A3159" s="321"/>
      <c r="B3159" s="320" t="str">
        <f t="shared" si="91"/>
        <v>PV1-112</v>
      </c>
      <c r="C3159" s="187"/>
      <c r="D3159" s="187"/>
      <c r="E3159" s="187"/>
      <c r="F3159" s="187"/>
      <c r="G3159" s="181">
        <f t="shared" si="92"/>
        <v>0.11999999999999991</v>
      </c>
      <c r="H3159" s="187"/>
      <c r="I3159" s="187"/>
      <c r="J3159" s="187"/>
      <c r="K3159" s="187"/>
      <c r="L3159" s="158"/>
      <c r="M3159" s="158"/>
      <c r="N3159" s="187"/>
      <c r="O3159" s="187"/>
    </row>
    <row r="3160" spans="1:15" x14ac:dyDescent="0.35">
      <c r="A3160" s="321"/>
      <c r="B3160" s="320" t="str">
        <f t="shared" si="91"/>
        <v>PV2-112</v>
      </c>
      <c r="C3160" s="187"/>
      <c r="D3160" s="187"/>
      <c r="E3160" s="187"/>
      <c r="F3160" s="187"/>
      <c r="G3160" s="181">
        <f t="shared" si="92"/>
        <v>0.18499999999999986</v>
      </c>
      <c r="H3160" s="187"/>
      <c r="I3160" s="187"/>
      <c r="J3160" s="187"/>
      <c r="K3160" s="187"/>
      <c r="L3160" s="158"/>
      <c r="M3160" s="158"/>
      <c r="N3160" s="187"/>
      <c r="O3160" s="187"/>
    </row>
    <row r="3161" spans="1:15" x14ac:dyDescent="0.35">
      <c r="A3161" s="321"/>
      <c r="B3161" s="320" t="str">
        <f t="shared" si="91"/>
        <v>PV3-112</v>
      </c>
      <c r="C3161" s="187"/>
      <c r="D3161" s="187"/>
      <c r="E3161" s="187"/>
      <c r="F3161" s="187"/>
      <c r="G3161" s="181">
        <f t="shared" si="92"/>
        <v>0.19999999999999998</v>
      </c>
      <c r="H3161" s="187"/>
      <c r="I3161" s="187"/>
      <c r="J3161" s="187"/>
      <c r="K3161" s="187"/>
      <c r="L3161" s="158"/>
      <c r="M3161" s="158"/>
      <c r="N3161" s="187"/>
      <c r="O3161" s="187"/>
    </row>
    <row r="3162" spans="1:15" x14ac:dyDescent="0.35">
      <c r="A3162" s="321"/>
      <c r="B3162" s="320" t="str">
        <f t="shared" si="91"/>
        <v>PV1-113</v>
      </c>
      <c r="C3162" s="187"/>
      <c r="D3162" s="187"/>
      <c r="E3162" s="187"/>
      <c r="F3162" s="187"/>
      <c r="G3162" s="181">
        <f t="shared" si="92"/>
        <v>0.11999999999999991</v>
      </c>
      <c r="H3162" s="187"/>
      <c r="I3162" s="187"/>
      <c r="J3162" s="187"/>
      <c r="K3162" s="187"/>
      <c r="L3162" s="158"/>
      <c r="M3162" s="158"/>
      <c r="N3162" s="187"/>
      <c r="O3162" s="187"/>
    </row>
    <row r="3163" spans="1:15" x14ac:dyDescent="0.35">
      <c r="A3163" s="321"/>
      <c r="B3163" s="320" t="str">
        <f t="shared" si="91"/>
        <v>PV2-113</v>
      </c>
      <c r="C3163" s="187"/>
      <c r="D3163" s="187"/>
      <c r="E3163" s="187"/>
      <c r="F3163" s="187"/>
      <c r="G3163" s="181">
        <f t="shared" si="92"/>
        <v>0.12499999999999981</v>
      </c>
      <c r="H3163" s="187"/>
      <c r="I3163" s="187"/>
      <c r="J3163" s="187"/>
      <c r="K3163" s="187"/>
      <c r="L3163" s="158"/>
      <c r="M3163" s="158"/>
      <c r="N3163" s="187"/>
      <c r="O3163" s="187"/>
    </row>
    <row r="3164" spans="1:15" x14ac:dyDescent="0.35">
      <c r="A3164" s="321"/>
      <c r="B3164" s="320" t="str">
        <f t="shared" si="91"/>
        <v>PV3-113</v>
      </c>
      <c r="C3164" s="187"/>
      <c r="D3164" s="187"/>
      <c r="E3164" s="187"/>
      <c r="F3164" s="187"/>
      <c r="G3164" s="181">
        <f t="shared" si="92"/>
        <v>0.17499999999999985</v>
      </c>
      <c r="H3164" s="187"/>
      <c r="I3164" s="187"/>
      <c r="J3164" s="187"/>
      <c r="K3164" s="187"/>
      <c r="L3164" s="158"/>
      <c r="M3164" s="158"/>
      <c r="N3164" s="187"/>
      <c r="O3164" s="187"/>
    </row>
    <row r="3165" spans="1:15" x14ac:dyDescent="0.35">
      <c r="A3165" s="321"/>
      <c r="B3165" s="320" t="str">
        <f t="shared" si="91"/>
        <v>PV1-114</v>
      </c>
      <c r="C3165" s="187"/>
      <c r="D3165" s="187"/>
      <c r="E3165" s="187"/>
      <c r="F3165" s="187"/>
      <c r="G3165" s="181">
        <f t="shared" si="92"/>
        <v>0.11999999999999991</v>
      </c>
      <c r="H3165" s="187"/>
      <c r="I3165" s="187"/>
      <c r="J3165" s="187"/>
      <c r="K3165" s="187"/>
      <c r="L3165" s="158"/>
      <c r="M3165" s="158"/>
      <c r="N3165" s="187"/>
      <c r="O3165" s="187"/>
    </row>
    <row r="3166" spans="1:15" x14ac:dyDescent="0.35">
      <c r="A3166" s="321"/>
      <c r="B3166" s="320" t="str">
        <f t="shared" si="91"/>
        <v>PV2-114</v>
      </c>
      <c r="C3166" s="187"/>
      <c r="D3166" s="187"/>
      <c r="E3166" s="187"/>
      <c r="F3166" s="187"/>
      <c r="G3166" s="181">
        <f t="shared" si="92"/>
        <v>0.13499999999999981</v>
      </c>
      <c r="H3166" s="187"/>
      <c r="I3166" s="187"/>
      <c r="J3166" s="187"/>
      <c r="K3166" s="187"/>
      <c r="L3166" s="158"/>
      <c r="M3166" s="158"/>
      <c r="N3166" s="187"/>
      <c r="O3166" s="187"/>
    </row>
    <row r="3167" spans="1:15" x14ac:dyDescent="0.35">
      <c r="A3167" s="321"/>
      <c r="B3167" s="320" t="str">
        <f t="shared" si="91"/>
        <v>PV3-114</v>
      </c>
      <c r="C3167" s="187"/>
      <c r="D3167" s="187"/>
      <c r="E3167" s="187"/>
      <c r="F3167" s="187"/>
      <c r="G3167" s="181">
        <f t="shared" si="92"/>
        <v>0.17999999999999997</v>
      </c>
      <c r="H3167" s="187"/>
      <c r="I3167" s="187"/>
      <c r="J3167" s="187"/>
      <c r="K3167" s="187"/>
      <c r="L3167" s="158"/>
      <c r="M3167" s="158"/>
      <c r="N3167" s="187"/>
      <c r="O3167" s="187"/>
    </row>
    <row r="3168" spans="1:15" x14ac:dyDescent="0.35">
      <c r="A3168" s="321"/>
      <c r="B3168" s="320" t="str">
        <f t="shared" si="91"/>
        <v>PV1-115</v>
      </c>
      <c r="C3168" s="187"/>
      <c r="D3168" s="187"/>
      <c r="E3168" s="187"/>
      <c r="F3168" s="187"/>
      <c r="G3168" s="181">
        <f t="shared" si="92"/>
        <v>0.11999999999999991</v>
      </c>
      <c r="H3168" s="187"/>
      <c r="I3168" s="187"/>
      <c r="J3168" s="187"/>
      <c r="K3168" s="187"/>
      <c r="L3168" s="158"/>
      <c r="M3168" s="158"/>
      <c r="N3168" s="187"/>
      <c r="O3168" s="187"/>
    </row>
    <row r="3169" spans="1:15" x14ac:dyDescent="0.35">
      <c r="A3169" s="321"/>
      <c r="B3169" s="320" t="str">
        <f t="shared" si="91"/>
        <v>PV2-115</v>
      </c>
      <c r="C3169" s="187"/>
      <c r="D3169" s="187"/>
      <c r="E3169" s="187"/>
      <c r="F3169" s="187"/>
      <c r="G3169" s="181">
        <f t="shared" si="92"/>
        <v>0.14499999999999982</v>
      </c>
      <c r="H3169" s="187"/>
      <c r="I3169" s="187"/>
      <c r="J3169" s="187"/>
      <c r="K3169" s="187"/>
      <c r="L3169" s="158"/>
      <c r="M3169" s="158"/>
      <c r="N3169" s="187"/>
      <c r="O3169" s="187"/>
    </row>
    <row r="3170" spans="1:15" x14ac:dyDescent="0.35">
      <c r="A3170" s="321"/>
      <c r="B3170" s="320" t="str">
        <f t="shared" si="91"/>
        <v>PV3-115</v>
      </c>
      <c r="C3170" s="187"/>
      <c r="D3170" s="187"/>
      <c r="E3170" s="187"/>
      <c r="F3170" s="187"/>
      <c r="G3170" s="181">
        <f t="shared" si="92"/>
        <v>0.14499999999999982</v>
      </c>
      <c r="H3170" s="187"/>
      <c r="I3170" s="187"/>
      <c r="J3170" s="187"/>
      <c r="K3170" s="187"/>
      <c r="L3170" s="158"/>
      <c r="M3170" s="158"/>
      <c r="N3170" s="187"/>
      <c r="O3170" s="187"/>
    </row>
    <row r="3171" spans="1:15" x14ac:dyDescent="0.35">
      <c r="A3171" s="321"/>
      <c r="B3171" s="320" t="str">
        <f t="shared" si="91"/>
        <v>PV4-115</v>
      </c>
      <c r="C3171" s="187"/>
      <c r="D3171" s="187"/>
      <c r="E3171" s="187"/>
      <c r="F3171" s="187"/>
      <c r="G3171" s="181">
        <f t="shared" si="92"/>
        <v>0.14999999999999994</v>
      </c>
      <c r="H3171" s="187"/>
      <c r="I3171" s="187"/>
      <c r="J3171" s="187"/>
      <c r="K3171" s="187"/>
      <c r="L3171" s="158"/>
      <c r="M3171" s="158"/>
      <c r="N3171" s="187"/>
      <c r="O3171" s="187"/>
    </row>
    <row r="3172" spans="1:15" x14ac:dyDescent="0.35">
      <c r="A3172" s="321"/>
      <c r="B3172" s="320" t="str">
        <f t="shared" si="91"/>
        <v>PV5-115</v>
      </c>
      <c r="C3172" s="187"/>
      <c r="D3172" s="187"/>
      <c r="E3172" s="187"/>
      <c r="F3172" s="187"/>
      <c r="G3172" s="181">
        <f t="shared" si="92"/>
        <v>1.5</v>
      </c>
      <c r="H3172" s="187"/>
      <c r="I3172" s="187"/>
      <c r="J3172" s="187"/>
      <c r="K3172" s="187"/>
      <c r="L3172" s="158"/>
      <c r="M3172" s="158"/>
      <c r="N3172" s="187"/>
      <c r="O3172" s="187"/>
    </row>
    <row r="3173" spans="1:15" x14ac:dyDescent="0.35">
      <c r="A3173" s="321"/>
      <c r="B3173" s="320" t="str">
        <f t="shared" si="91"/>
        <v>PV1-116</v>
      </c>
      <c r="C3173" s="187"/>
      <c r="D3173" s="187"/>
      <c r="E3173" s="187"/>
      <c r="F3173" s="187"/>
      <c r="G3173" s="181">
        <f t="shared" si="92"/>
        <v>0.11999999999999991</v>
      </c>
      <c r="H3173" s="187"/>
      <c r="I3173" s="187"/>
      <c r="J3173" s="187"/>
      <c r="K3173" s="187"/>
      <c r="L3173" s="158"/>
      <c r="M3173" s="158"/>
      <c r="N3173" s="187"/>
      <c r="O3173" s="187"/>
    </row>
    <row r="3174" spans="1:15" x14ac:dyDescent="0.35">
      <c r="A3174" s="321"/>
      <c r="B3174" s="320" t="str">
        <f t="shared" si="91"/>
        <v>PV2-116</v>
      </c>
      <c r="C3174" s="187"/>
      <c r="D3174" s="187"/>
      <c r="E3174" s="187"/>
      <c r="F3174" s="187"/>
      <c r="G3174" s="181">
        <f t="shared" si="92"/>
        <v>0.19999999999999998</v>
      </c>
      <c r="H3174" s="187"/>
      <c r="I3174" s="187"/>
      <c r="J3174" s="187"/>
      <c r="K3174" s="187"/>
      <c r="L3174" s="158"/>
      <c r="M3174" s="158"/>
      <c r="N3174" s="187"/>
      <c r="O3174" s="187"/>
    </row>
    <row r="3175" spans="1:15" x14ac:dyDescent="0.35">
      <c r="A3175" s="321"/>
      <c r="B3175" s="320" t="str">
        <f t="shared" si="91"/>
        <v>PV3-116</v>
      </c>
      <c r="C3175" s="187"/>
      <c r="D3175" s="187"/>
      <c r="E3175" s="187"/>
      <c r="F3175" s="187"/>
      <c r="G3175" s="181">
        <f t="shared" si="92"/>
        <v>0.12999999999999992</v>
      </c>
      <c r="H3175" s="187"/>
      <c r="I3175" s="187"/>
      <c r="J3175" s="187"/>
      <c r="K3175" s="187"/>
      <c r="L3175" s="158"/>
      <c r="M3175" s="158"/>
      <c r="N3175" s="187"/>
      <c r="O3175" s="187"/>
    </row>
    <row r="3176" spans="1:15" x14ac:dyDescent="0.35">
      <c r="A3176" s="321"/>
      <c r="B3176" s="320" t="str">
        <f t="shared" si="91"/>
        <v>PV1-117</v>
      </c>
      <c r="C3176" s="187"/>
      <c r="D3176" s="187"/>
      <c r="E3176" s="187"/>
      <c r="F3176" s="187"/>
      <c r="G3176" s="181">
        <f t="shared" si="92"/>
        <v>0.22</v>
      </c>
      <c r="H3176" s="187"/>
      <c r="I3176" s="187"/>
      <c r="J3176" s="187"/>
      <c r="K3176" s="187"/>
      <c r="L3176" s="158"/>
      <c r="M3176" s="158"/>
      <c r="N3176" s="187"/>
      <c r="O3176" s="187"/>
    </row>
    <row r="3177" spans="1:15" x14ac:dyDescent="0.35">
      <c r="A3177" s="321"/>
      <c r="B3177" s="320" t="str">
        <f t="shared" si="91"/>
        <v>PV2-117</v>
      </c>
      <c r="C3177" s="187"/>
      <c r="D3177" s="187"/>
      <c r="E3177" s="187"/>
      <c r="F3177" s="187"/>
      <c r="G3177" s="181">
        <f t="shared" si="92"/>
        <v>0.11999999999999991</v>
      </c>
      <c r="H3177" s="187"/>
      <c r="I3177" s="187"/>
      <c r="J3177" s="187"/>
      <c r="K3177" s="187"/>
      <c r="L3177" s="158"/>
      <c r="M3177" s="158"/>
      <c r="N3177" s="187"/>
      <c r="O3177" s="187"/>
    </row>
    <row r="3178" spans="1:15" x14ac:dyDescent="0.35">
      <c r="A3178" s="321"/>
      <c r="B3178" s="320" t="str">
        <f t="shared" si="91"/>
        <v>PV3-117</v>
      </c>
      <c r="C3178" s="187"/>
      <c r="D3178" s="187"/>
      <c r="E3178" s="187"/>
      <c r="F3178" s="187"/>
      <c r="G3178" s="181">
        <f t="shared" si="92"/>
        <v>0.16999999999999996</v>
      </c>
      <c r="H3178" s="187"/>
      <c r="I3178" s="187"/>
      <c r="J3178" s="187"/>
      <c r="K3178" s="187"/>
      <c r="L3178" s="158"/>
      <c r="M3178" s="158"/>
      <c r="N3178" s="187"/>
      <c r="O3178" s="187"/>
    </row>
    <row r="3179" spans="1:15" x14ac:dyDescent="0.35">
      <c r="A3179" s="321"/>
      <c r="B3179" s="320" t="str">
        <f t="shared" si="91"/>
        <v>PV1-119</v>
      </c>
      <c r="C3179" s="187"/>
      <c r="D3179" s="187"/>
      <c r="E3179" s="187"/>
      <c r="F3179" s="187"/>
      <c r="G3179" s="181">
        <f t="shared" si="92"/>
        <v>0.11999999999999991</v>
      </c>
      <c r="H3179" s="187"/>
      <c r="I3179" s="187"/>
      <c r="J3179" s="187"/>
      <c r="K3179" s="187"/>
      <c r="L3179" s="158"/>
      <c r="M3179" s="158"/>
      <c r="N3179" s="187"/>
      <c r="O3179" s="187"/>
    </row>
    <row r="3180" spans="1:15" x14ac:dyDescent="0.35">
      <c r="A3180" s="321"/>
      <c r="B3180" s="320" t="str">
        <f t="shared" si="91"/>
        <v>PV2-119</v>
      </c>
      <c r="C3180" s="187"/>
      <c r="D3180" s="187"/>
      <c r="E3180" s="187"/>
      <c r="F3180" s="187"/>
      <c r="G3180" s="181">
        <f t="shared" si="92"/>
        <v>0.47</v>
      </c>
      <c r="H3180" s="187"/>
      <c r="I3180" s="187"/>
      <c r="J3180" s="187"/>
      <c r="K3180" s="187"/>
      <c r="L3180" s="158"/>
      <c r="M3180" s="158"/>
      <c r="N3180" s="187"/>
      <c r="O3180" s="187"/>
    </row>
    <row r="3181" spans="1:15" x14ac:dyDescent="0.35">
      <c r="A3181" s="321"/>
      <c r="B3181" s="320" t="str">
        <f t="shared" si="91"/>
        <v>PV3-119</v>
      </c>
      <c r="C3181" s="187"/>
      <c r="D3181" s="187"/>
      <c r="E3181" s="187"/>
      <c r="F3181" s="187"/>
      <c r="G3181" s="181">
        <f t="shared" si="92"/>
        <v>0.28999999999999981</v>
      </c>
      <c r="H3181" s="187"/>
      <c r="I3181" s="187"/>
      <c r="J3181" s="187"/>
      <c r="K3181" s="187"/>
      <c r="L3181" s="158"/>
      <c r="M3181" s="158"/>
      <c r="N3181" s="187"/>
      <c r="O3181" s="187"/>
    </row>
    <row r="3182" spans="1:15" x14ac:dyDescent="0.35">
      <c r="A3182" s="321"/>
      <c r="B3182" s="320" t="str">
        <f t="shared" si="91"/>
        <v>PV19-121</v>
      </c>
      <c r="C3182" s="187"/>
      <c r="D3182" s="187"/>
      <c r="E3182" s="187"/>
      <c r="F3182" s="187"/>
      <c r="G3182" s="181">
        <f t="shared" si="92"/>
        <v>0.46200000000000019</v>
      </c>
      <c r="H3182" s="187"/>
      <c r="I3182" s="187"/>
      <c r="J3182" s="187"/>
      <c r="K3182" s="187"/>
      <c r="L3182" s="158"/>
      <c r="M3182" s="158"/>
      <c r="N3182" s="187"/>
      <c r="O3182" s="187"/>
    </row>
    <row r="3183" spans="1:15" x14ac:dyDescent="0.35">
      <c r="A3183" s="321"/>
      <c r="B3183" s="320" t="str">
        <f>B3113</f>
        <v>PV6-102</v>
      </c>
      <c r="C3183" s="187"/>
      <c r="D3183" s="187"/>
      <c r="E3183" s="187"/>
      <c r="F3183" s="187"/>
      <c r="G3183" s="181">
        <f>G3113</f>
        <v>2.700000000000041</v>
      </c>
      <c r="H3183" s="187"/>
      <c r="I3183" s="187"/>
      <c r="J3183" s="187"/>
      <c r="K3183" s="187"/>
      <c r="L3183" s="158"/>
      <c r="M3183" s="158"/>
      <c r="N3183" s="187"/>
      <c r="O3183" s="187"/>
    </row>
    <row r="3184" spans="1:15" x14ac:dyDescent="0.35">
      <c r="A3184" s="321"/>
      <c r="B3184" s="320" t="str">
        <f>B3114</f>
        <v>PV7-102</v>
      </c>
      <c r="C3184" s="187"/>
      <c r="D3184" s="187"/>
      <c r="E3184" s="187"/>
      <c r="F3184" s="187"/>
      <c r="G3184" s="181">
        <f>G3114</f>
        <v>2.4600000000000093</v>
      </c>
      <c r="H3184" s="187"/>
      <c r="I3184" s="187"/>
      <c r="J3184" s="187"/>
      <c r="K3184" s="187"/>
      <c r="L3184" s="158"/>
      <c r="M3184" s="158"/>
      <c r="N3184" s="187"/>
      <c r="O3184" s="187"/>
    </row>
    <row r="3185" spans="1:15" x14ac:dyDescent="0.35">
      <c r="A3185" s="321"/>
      <c r="B3185" s="320" t="str">
        <f>B3115</f>
        <v>PV8-102</v>
      </c>
      <c r="C3185" s="187"/>
      <c r="D3185" s="187"/>
      <c r="E3185" s="187"/>
      <c r="F3185" s="187"/>
      <c r="G3185" s="181">
        <f>G3115</f>
        <v>2.310000000000032</v>
      </c>
      <c r="H3185" s="187"/>
      <c r="I3185" s="187"/>
      <c r="J3185" s="187"/>
      <c r="K3185" s="187"/>
      <c r="L3185" s="158"/>
      <c r="M3185" s="158"/>
      <c r="N3185" s="187"/>
      <c r="O3185" s="187"/>
    </row>
    <row r="3186" spans="1:15" x14ac:dyDescent="0.35">
      <c r="A3186" s="321"/>
      <c r="B3186" s="320" t="str">
        <f>B3116</f>
        <v>PV6-111</v>
      </c>
      <c r="C3186" s="187"/>
      <c r="D3186" s="187"/>
      <c r="E3186" s="187"/>
      <c r="F3186" s="187"/>
      <c r="G3186" s="181">
        <f>G3116</f>
        <v>1.9849999999999997</v>
      </c>
      <c r="H3186" s="187"/>
      <c r="I3186" s="187"/>
      <c r="J3186" s="187"/>
      <c r="K3186" s="187"/>
      <c r="L3186" s="158"/>
      <c r="M3186" s="158"/>
      <c r="N3186" s="187"/>
      <c r="O3186" s="187"/>
    </row>
    <row r="3187" spans="1:15" x14ac:dyDescent="0.35">
      <c r="A3187" s="321"/>
      <c r="B3187" s="318"/>
      <c r="C3187" s="187"/>
      <c r="D3187" s="187"/>
      <c r="E3187" s="187"/>
      <c r="F3187" s="187"/>
      <c r="G3187" s="187"/>
      <c r="H3187" s="187"/>
      <c r="I3187" s="187"/>
      <c r="J3187" s="187"/>
      <c r="K3187" s="187"/>
      <c r="L3187" s="158"/>
      <c r="M3187" s="158"/>
      <c r="N3187" s="187"/>
      <c r="O3187" s="187"/>
    </row>
    <row r="3188" spans="1:15" x14ac:dyDescent="0.35">
      <c r="A3188" s="321"/>
      <c r="B3188" s="318" t="s">
        <v>377</v>
      </c>
      <c r="C3188" s="158" t="s">
        <v>402</v>
      </c>
      <c r="D3188" s="158"/>
      <c r="E3188" s="158"/>
      <c r="F3188" s="158"/>
      <c r="G3188" s="158">
        <f>SUM(G3121:G3187)</f>
        <v>23.481000000000069</v>
      </c>
      <c r="H3188" s="325"/>
      <c r="I3188" s="158"/>
      <c r="J3188" s="158"/>
      <c r="K3188" s="158"/>
      <c r="L3188" s="158"/>
      <c r="M3188" s="158"/>
      <c r="N3188" s="158"/>
      <c r="O3188" s="158"/>
    </row>
    <row r="3189" spans="1:15" ht="31.5" x14ac:dyDescent="0.35">
      <c r="A3189" s="323" t="str">
        <f>ORÇAMENTO!A533</f>
        <v>5.5.6</v>
      </c>
      <c r="B3189" s="322" t="str">
        <f>VLOOKUP(A3189,ORÇAMENTO!$A:$F,4,0)</f>
        <v>FORNECIMENTO E ASSENTAMENTO DE TAMPÃO CIRCULAR PARA DRENAGEM, EM FERRO FUNDIDO, DIÂMETRO = 0,6 M</v>
      </c>
      <c r="C3189" s="149" t="str">
        <f>VLOOKUP(A3189,ORÇAMENTO!$A:$F,5,0)</f>
        <v>UN</v>
      </c>
      <c r="D3189" s="149">
        <f>SUM(E3192:O3192)</f>
        <v>66</v>
      </c>
      <c r="E3189" s="149" t="s">
        <v>2177</v>
      </c>
      <c r="F3189" s="149" t="s">
        <v>2150</v>
      </c>
      <c r="G3189" s="149" t="s">
        <v>2151</v>
      </c>
      <c r="H3189" s="149" t="s">
        <v>2152</v>
      </c>
      <c r="I3189" s="149" t="s">
        <v>2153</v>
      </c>
      <c r="J3189" s="149" t="s">
        <v>2154</v>
      </c>
      <c r="K3189" s="149" t="s">
        <v>2172</v>
      </c>
      <c r="L3189" s="149" t="s">
        <v>2178</v>
      </c>
      <c r="M3189" s="149" t="s">
        <v>413</v>
      </c>
      <c r="N3189" s="149" t="s">
        <v>2157</v>
      </c>
      <c r="O3189" s="149" t="s">
        <v>2158</v>
      </c>
    </row>
    <row r="3190" spans="1:15" ht="21" x14ac:dyDescent="0.35">
      <c r="A3190" s="321"/>
      <c r="B3190" s="320" t="s">
        <v>2277</v>
      </c>
      <c r="C3190" s="154"/>
      <c r="D3190" s="154"/>
      <c r="E3190" s="154"/>
      <c r="F3190" s="154"/>
      <c r="G3190" s="154"/>
      <c r="H3190" s="154"/>
      <c r="I3190" s="154"/>
      <c r="J3190" s="154"/>
      <c r="K3190" s="154"/>
      <c r="L3190" s="165"/>
      <c r="M3190" s="186">
        <f>M3120</f>
        <v>66</v>
      </c>
      <c r="N3190" s="154"/>
      <c r="O3190" s="154"/>
    </row>
    <row r="3191" spans="1:15" x14ac:dyDescent="0.35">
      <c r="A3191" s="321"/>
      <c r="B3191" s="320"/>
      <c r="C3191" s="154"/>
      <c r="D3191" s="154"/>
      <c r="E3191" s="154"/>
      <c r="F3191" s="154"/>
      <c r="G3191" s="154"/>
      <c r="H3191" s="154"/>
      <c r="I3191" s="154"/>
      <c r="J3191" s="154"/>
      <c r="K3191" s="154"/>
      <c r="L3191" s="165"/>
      <c r="M3191" s="165"/>
      <c r="N3191" s="154"/>
      <c r="O3191" s="154"/>
    </row>
    <row r="3192" spans="1:15" x14ac:dyDescent="0.35">
      <c r="A3192" s="321"/>
      <c r="B3192" s="318" t="s">
        <v>377</v>
      </c>
      <c r="C3192" s="187" t="s">
        <v>402</v>
      </c>
      <c r="D3192" s="187"/>
      <c r="E3192" s="187"/>
      <c r="F3192" s="187"/>
      <c r="G3192" s="187"/>
      <c r="H3192" s="187"/>
      <c r="I3192" s="187"/>
      <c r="J3192" s="187"/>
      <c r="K3192" s="187"/>
      <c r="L3192" s="158"/>
      <c r="M3192" s="158">
        <f>SUM(M3190:M3190)</f>
        <v>66</v>
      </c>
      <c r="N3192" s="187"/>
      <c r="O3192" s="187"/>
    </row>
    <row r="3193" spans="1:15" ht="52.5" x14ac:dyDescent="0.35">
      <c r="A3193" s="323" t="str">
        <f>ORÇAMENTO!A534</f>
        <v>5.5.7</v>
      </c>
      <c r="B3193" s="322" t="str">
        <f>VLOOKUP(A3193,ORÇAMENTO!$A:$F,4,0)</f>
        <v>CONSTRUÇÃO DE PAVIMENTO COM APLICAÇÃO CONCRETO BETUMINOSO USINADO A QUENTE (CBUQ), CAMADA DE ROLAMENTO - EXCLUSIVE TRANSPORTE E CARGA  AF_03/2017 (SEM MATERIAL)</v>
      </c>
      <c r="C3193" s="149" t="str">
        <f>VLOOKUP(A3193,ORÇAMENTO!$A:$F,5,0)</f>
        <v>M³</v>
      </c>
      <c r="D3193" s="149">
        <f>SUM(E3200:O3200)</f>
        <v>5.8553681891302967</v>
      </c>
      <c r="E3193" s="149" t="s">
        <v>2149</v>
      </c>
      <c r="F3193" s="149" t="s">
        <v>2150</v>
      </c>
      <c r="G3193" s="149" t="s">
        <v>2151</v>
      </c>
      <c r="H3193" s="149" t="s">
        <v>2152</v>
      </c>
      <c r="I3193" s="149" t="s">
        <v>2153</v>
      </c>
      <c r="J3193" s="149" t="s">
        <v>2154</v>
      </c>
      <c r="K3193" s="149" t="s">
        <v>2155</v>
      </c>
      <c r="L3193" s="149" t="s">
        <v>2156</v>
      </c>
      <c r="M3193" s="149" t="s">
        <v>413</v>
      </c>
      <c r="N3193" s="149" t="s">
        <v>2157</v>
      </c>
      <c r="O3193" s="149" t="s">
        <v>2158</v>
      </c>
    </row>
    <row r="3194" spans="1:15" x14ac:dyDescent="0.35">
      <c r="A3194" s="321"/>
      <c r="B3194" s="318" t="s">
        <v>2171</v>
      </c>
      <c r="C3194" s="160"/>
      <c r="D3194" s="161"/>
      <c r="E3194" s="161"/>
      <c r="F3194" s="161"/>
      <c r="G3194" s="161"/>
      <c r="H3194" s="161"/>
      <c r="I3194" s="161"/>
      <c r="J3194" s="161"/>
      <c r="K3194" s="161"/>
      <c r="L3194" s="161"/>
      <c r="M3194" s="161"/>
      <c r="N3194" s="161"/>
      <c r="O3194" s="161"/>
    </row>
    <row r="3195" spans="1:15" x14ac:dyDescent="0.35">
      <c r="A3195" s="321"/>
      <c r="B3195" s="320" t="s">
        <v>2322</v>
      </c>
      <c r="C3195" s="160"/>
      <c r="D3195" s="161"/>
      <c r="E3195" s="161"/>
      <c r="F3195" s="161"/>
      <c r="G3195" s="161"/>
      <c r="H3195" s="161">
        <v>0.03</v>
      </c>
      <c r="I3195" s="161"/>
      <c r="J3195" s="161"/>
      <c r="K3195" s="161"/>
      <c r="L3195" s="161"/>
      <c r="M3195" s="161"/>
      <c r="N3195" s="161">
        <f>N3042</f>
        <v>213.83999999999995</v>
      </c>
      <c r="O3195" s="161">
        <f>N3195*H3195</f>
        <v>6.4151999999999978</v>
      </c>
    </row>
    <row r="3196" spans="1:15" x14ac:dyDescent="0.35">
      <c r="A3196" s="321"/>
      <c r="B3196" s="320" t="s">
        <v>2323</v>
      </c>
      <c r="C3196" s="160"/>
      <c r="D3196" s="161"/>
      <c r="E3196" s="161"/>
      <c r="F3196" s="161"/>
      <c r="G3196" s="161"/>
      <c r="H3196" s="161">
        <v>0.03</v>
      </c>
      <c r="I3196" s="161"/>
      <c r="J3196" s="161">
        <v>0.6</v>
      </c>
      <c r="K3196" s="161"/>
      <c r="L3196" s="161"/>
      <c r="M3196" s="161">
        <f>M3041</f>
        <v>66</v>
      </c>
      <c r="N3196" s="161">
        <f>PI()*(J3196/2)^2</f>
        <v>0.28274333882308139</v>
      </c>
      <c r="O3196" s="161">
        <f>M3196*N3196*H3196</f>
        <v>0.55983181086970113</v>
      </c>
    </row>
    <row r="3197" spans="1:15" x14ac:dyDescent="0.35">
      <c r="A3197" s="321"/>
      <c r="B3197" s="320"/>
      <c r="C3197" s="160"/>
      <c r="D3197" s="161"/>
      <c r="E3197" s="161"/>
      <c r="F3197" s="161"/>
      <c r="G3197" s="161"/>
      <c r="H3197" s="161"/>
      <c r="I3197" s="161"/>
      <c r="J3197" s="161"/>
      <c r="K3197" s="161"/>
      <c r="L3197" s="161"/>
      <c r="M3197" s="161"/>
      <c r="N3197" s="161"/>
      <c r="O3197" s="161"/>
    </row>
    <row r="3198" spans="1:15" x14ac:dyDescent="0.35">
      <c r="A3198" s="321"/>
      <c r="B3198" s="320" t="s">
        <v>2221</v>
      </c>
      <c r="C3198" s="160"/>
      <c r="D3198" s="161"/>
      <c r="E3198" s="161"/>
      <c r="F3198" s="161"/>
      <c r="G3198" s="161"/>
      <c r="H3198" s="161"/>
      <c r="I3198" s="161"/>
      <c r="J3198" s="161"/>
      <c r="K3198" s="161"/>
      <c r="L3198" s="161"/>
      <c r="M3198" s="161"/>
      <c r="N3198" s="161"/>
      <c r="O3198" s="160">
        <f>O3195-O3196</f>
        <v>5.8553681891302967</v>
      </c>
    </row>
    <row r="3199" spans="1:15" x14ac:dyDescent="0.35">
      <c r="A3199" s="321"/>
      <c r="B3199" s="320"/>
      <c r="C3199" s="160"/>
      <c r="D3199" s="161"/>
      <c r="E3199" s="161"/>
      <c r="F3199" s="161"/>
      <c r="G3199" s="161"/>
      <c r="H3199" s="161"/>
      <c r="I3199" s="161"/>
      <c r="J3199" s="161"/>
      <c r="K3199" s="161"/>
      <c r="L3199" s="162"/>
      <c r="M3199" s="161"/>
      <c r="N3199" s="161"/>
      <c r="O3199" s="161"/>
    </row>
    <row r="3200" spans="1:15" x14ac:dyDescent="0.35">
      <c r="A3200" s="321"/>
      <c r="B3200" s="318" t="s">
        <v>377</v>
      </c>
      <c r="C3200" s="158" t="s">
        <v>402</v>
      </c>
      <c r="D3200" s="158"/>
      <c r="E3200" s="158"/>
      <c r="F3200" s="158"/>
      <c r="G3200" s="158"/>
      <c r="H3200" s="158"/>
      <c r="I3200" s="158"/>
      <c r="J3200" s="158"/>
      <c r="K3200" s="158"/>
      <c r="L3200" s="158"/>
      <c r="M3200" s="158"/>
      <c r="N3200" s="158"/>
      <c r="O3200" s="158">
        <f>SUM(O3198:O3199)</f>
        <v>5.8553681891302967</v>
      </c>
    </row>
    <row r="3201" spans="1:15" ht="21" x14ac:dyDescent="0.35">
      <c r="A3201" s="323" t="str">
        <f>ORÇAMENTO!A535</f>
        <v>5.5.8</v>
      </c>
      <c r="B3201" s="322" t="str">
        <f>VLOOKUP(A3201,ORÇAMENTO!$A:$F,4,0)</f>
        <v>PINTURA DE LIGAÇÃO (SEM MATERIAL)</v>
      </c>
      <c r="C3201" s="149" t="str">
        <f>VLOOKUP(A3201,ORÇAMENTO!$A:$F,5,0)</f>
        <v>M²</v>
      </c>
      <c r="D3201" s="149">
        <f>SUM(E3271:O3271)</f>
        <v>195.17893963767673</v>
      </c>
      <c r="E3201" s="149" t="s">
        <v>2149</v>
      </c>
      <c r="F3201" s="149" t="s">
        <v>2150</v>
      </c>
      <c r="G3201" s="149" t="s">
        <v>2151</v>
      </c>
      <c r="H3201" s="149" t="s">
        <v>2152</v>
      </c>
      <c r="I3201" s="149" t="s">
        <v>2153</v>
      </c>
      <c r="J3201" s="149" t="s">
        <v>2154</v>
      </c>
      <c r="K3201" s="149" t="s">
        <v>2155</v>
      </c>
      <c r="L3201" s="149" t="s">
        <v>2156</v>
      </c>
      <c r="M3201" s="149" t="s">
        <v>413</v>
      </c>
      <c r="N3201" s="149" t="s">
        <v>2157</v>
      </c>
      <c r="O3201" s="149" t="s">
        <v>2158</v>
      </c>
    </row>
    <row r="3202" spans="1:15" x14ac:dyDescent="0.35">
      <c r="A3202" s="321"/>
      <c r="B3202" s="318"/>
      <c r="C3202" s="153"/>
      <c r="D3202" s="154"/>
      <c r="E3202" s="154"/>
      <c r="F3202" s="154"/>
      <c r="G3202" s="154"/>
      <c r="H3202" s="154"/>
      <c r="I3202" s="154"/>
      <c r="J3202" s="154"/>
      <c r="K3202" s="154"/>
      <c r="L3202" s="154"/>
      <c r="M3202" s="154"/>
      <c r="N3202" s="154"/>
      <c r="O3202" s="154"/>
    </row>
    <row r="3203" spans="1:15" x14ac:dyDescent="0.35">
      <c r="A3203" s="321"/>
      <c r="B3203" s="320" t="s">
        <v>2324</v>
      </c>
      <c r="C3203" s="153"/>
      <c r="D3203" s="154"/>
      <c r="E3203" s="154"/>
      <c r="F3203" s="154"/>
      <c r="G3203" s="154"/>
      <c r="H3203" s="154"/>
      <c r="I3203" s="154"/>
      <c r="J3203" s="154"/>
      <c r="K3203" s="154"/>
      <c r="L3203" s="154"/>
      <c r="M3203" s="154"/>
      <c r="N3203" s="154"/>
      <c r="O3203" s="154"/>
    </row>
    <row r="3204" spans="1:15" x14ac:dyDescent="0.35">
      <c r="A3204" s="321"/>
      <c r="B3204" s="320" t="str">
        <f t="shared" ref="B3204:B3235" si="93">B3121</f>
        <v>PV2-102</v>
      </c>
      <c r="C3204" s="153"/>
      <c r="D3204" s="154"/>
      <c r="E3204" s="154">
        <v>1.8</v>
      </c>
      <c r="F3204" s="154">
        <v>1.8</v>
      </c>
      <c r="G3204" s="154"/>
      <c r="H3204" s="154"/>
      <c r="I3204" s="154"/>
      <c r="J3204" s="154">
        <v>0.6</v>
      </c>
      <c r="K3204" s="154"/>
      <c r="L3204" s="154"/>
      <c r="M3204" s="154"/>
      <c r="N3204" s="154">
        <f t="shared" ref="N3204:N3235" si="94">(E3204*F3204)-(PI()*(J3204/2)^2)</f>
        <v>2.9572566611769187</v>
      </c>
      <c r="O3204" s="154"/>
    </row>
    <row r="3205" spans="1:15" x14ac:dyDescent="0.35">
      <c r="A3205" s="321"/>
      <c r="B3205" s="320" t="str">
        <f t="shared" si="93"/>
        <v>PV3-102</v>
      </c>
      <c r="C3205" s="153"/>
      <c r="D3205" s="154"/>
      <c r="E3205" s="154">
        <v>1.8</v>
      </c>
      <c r="F3205" s="154">
        <v>1.8</v>
      </c>
      <c r="G3205" s="154"/>
      <c r="H3205" s="154"/>
      <c r="I3205" s="154"/>
      <c r="J3205" s="154">
        <v>0.6</v>
      </c>
      <c r="K3205" s="154"/>
      <c r="L3205" s="154"/>
      <c r="M3205" s="154"/>
      <c r="N3205" s="154">
        <f t="shared" si="94"/>
        <v>2.9572566611769187</v>
      </c>
      <c r="O3205" s="154"/>
    </row>
    <row r="3206" spans="1:15" x14ac:dyDescent="0.35">
      <c r="A3206" s="321"/>
      <c r="B3206" s="320" t="str">
        <f t="shared" si="93"/>
        <v>PV4-102</v>
      </c>
      <c r="C3206" s="153"/>
      <c r="D3206" s="154"/>
      <c r="E3206" s="154">
        <v>1.8</v>
      </c>
      <c r="F3206" s="154">
        <v>1.8</v>
      </c>
      <c r="G3206" s="154"/>
      <c r="H3206" s="154"/>
      <c r="I3206" s="154"/>
      <c r="J3206" s="154">
        <v>0.6</v>
      </c>
      <c r="K3206" s="154"/>
      <c r="L3206" s="154"/>
      <c r="M3206" s="154"/>
      <c r="N3206" s="154">
        <f t="shared" si="94"/>
        <v>2.9572566611769187</v>
      </c>
      <c r="O3206" s="154"/>
    </row>
    <row r="3207" spans="1:15" x14ac:dyDescent="0.35">
      <c r="A3207" s="321"/>
      <c r="B3207" s="320" t="str">
        <f t="shared" si="93"/>
        <v>PV5-102</v>
      </c>
      <c r="C3207" s="153"/>
      <c r="D3207" s="154"/>
      <c r="E3207" s="154">
        <v>1.8</v>
      </c>
      <c r="F3207" s="154">
        <v>1.8</v>
      </c>
      <c r="G3207" s="154"/>
      <c r="H3207" s="154"/>
      <c r="I3207" s="154"/>
      <c r="J3207" s="154">
        <v>0.6</v>
      </c>
      <c r="K3207" s="154"/>
      <c r="L3207" s="154"/>
      <c r="M3207" s="154"/>
      <c r="N3207" s="154">
        <f t="shared" si="94"/>
        <v>2.9572566611769187</v>
      </c>
      <c r="O3207" s="154"/>
    </row>
    <row r="3208" spans="1:15" x14ac:dyDescent="0.35">
      <c r="A3208" s="321"/>
      <c r="B3208" s="320" t="str">
        <f t="shared" si="93"/>
        <v>PV9-102</v>
      </c>
      <c r="C3208" s="153"/>
      <c r="D3208" s="154"/>
      <c r="E3208" s="154">
        <v>1.8</v>
      </c>
      <c r="F3208" s="154">
        <v>1.8</v>
      </c>
      <c r="G3208" s="154"/>
      <c r="H3208" s="154"/>
      <c r="I3208" s="154"/>
      <c r="J3208" s="154">
        <v>0.6</v>
      </c>
      <c r="K3208" s="154"/>
      <c r="L3208" s="154"/>
      <c r="M3208" s="154"/>
      <c r="N3208" s="154">
        <f t="shared" si="94"/>
        <v>2.9572566611769187</v>
      </c>
      <c r="O3208" s="154"/>
    </row>
    <row r="3209" spans="1:15" x14ac:dyDescent="0.35">
      <c r="A3209" s="321"/>
      <c r="B3209" s="320" t="str">
        <f t="shared" si="93"/>
        <v>PV1-103</v>
      </c>
      <c r="C3209" s="153"/>
      <c r="D3209" s="154"/>
      <c r="E3209" s="154">
        <v>1.8</v>
      </c>
      <c r="F3209" s="154">
        <v>1.8</v>
      </c>
      <c r="G3209" s="154"/>
      <c r="H3209" s="154"/>
      <c r="I3209" s="154"/>
      <c r="J3209" s="154">
        <v>0.6</v>
      </c>
      <c r="K3209" s="154"/>
      <c r="L3209" s="154"/>
      <c r="M3209" s="154"/>
      <c r="N3209" s="154">
        <f t="shared" si="94"/>
        <v>2.9572566611769187</v>
      </c>
      <c r="O3209" s="154"/>
    </row>
    <row r="3210" spans="1:15" x14ac:dyDescent="0.35">
      <c r="A3210" s="321"/>
      <c r="B3210" s="320" t="str">
        <f t="shared" si="93"/>
        <v>PV2-103</v>
      </c>
      <c r="C3210" s="153"/>
      <c r="D3210" s="154"/>
      <c r="E3210" s="154">
        <v>1.8</v>
      </c>
      <c r="F3210" s="154">
        <v>1.8</v>
      </c>
      <c r="G3210" s="154"/>
      <c r="H3210" s="154"/>
      <c r="I3210" s="154"/>
      <c r="J3210" s="154">
        <v>0.6</v>
      </c>
      <c r="K3210" s="154"/>
      <c r="L3210" s="154"/>
      <c r="M3210" s="154"/>
      <c r="N3210" s="154">
        <f t="shared" si="94"/>
        <v>2.9572566611769187</v>
      </c>
      <c r="O3210" s="154"/>
    </row>
    <row r="3211" spans="1:15" x14ac:dyDescent="0.35">
      <c r="A3211" s="321"/>
      <c r="B3211" s="320" t="str">
        <f t="shared" si="93"/>
        <v>PV3-103</v>
      </c>
      <c r="C3211" s="153"/>
      <c r="D3211" s="154"/>
      <c r="E3211" s="154">
        <v>1.8</v>
      </c>
      <c r="F3211" s="154">
        <v>1.8</v>
      </c>
      <c r="G3211" s="154"/>
      <c r="H3211" s="154"/>
      <c r="I3211" s="154"/>
      <c r="J3211" s="154">
        <v>0.6</v>
      </c>
      <c r="K3211" s="154"/>
      <c r="L3211" s="154"/>
      <c r="M3211" s="154"/>
      <c r="N3211" s="154">
        <f t="shared" si="94"/>
        <v>2.9572566611769187</v>
      </c>
      <c r="O3211" s="154"/>
    </row>
    <row r="3212" spans="1:15" x14ac:dyDescent="0.35">
      <c r="A3212" s="321"/>
      <c r="B3212" s="320" t="str">
        <f t="shared" si="93"/>
        <v>PV1-104</v>
      </c>
      <c r="C3212" s="153"/>
      <c r="D3212" s="154"/>
      <c r="E3212" s="154">
        <v>1.8</v>
      </c>
      <c r="F3212" s="154">
        <v>1.8</v>
      </c>
      <c r="G3212" s="154"/>
      <c r="H3212" s="154"/>
      <c r="I3212" s="154"/>
      <c r="J3212" s="154">
        <v>0.6</v>
      </c>
      <c r="K3212" s="154"/>
      <c r="L3212" s="154"/>
      <c r="M3212" s="154"/>
      <c r="N3212" s="154">
        <f t="shared" si="94"/>
        <v>2.9572566611769187</v>
      </c>
      <c r="O3212" s="154"/>
    </row>
    <row r="3213" spans="1:15" x14ac:dyDescent="0.35">
      <c r="A3213" s="321"/>
      <c r="B3213" s="320" t="str">
        <f t="shared" si="93"/>
        <v>PV2-104</v>
      </c>
      <c r="C3213" s="153"/>
      <c r="D3213" s="154"/>
      <c r="E3213" s="154">
        <v>1.8</v>
      </c>
      <c r="F3213" s="154">
        <v>1.8</v>
      </c>
      <c r="G3213" s="154"/>
      <c r="H3213" s="154"/>
      <c r="I3213" s="154"/>
      <c r="J3213" s="154">
        <v>0.6</v>
      </c>
      <c r="K3213" s="154"/>
      <c r="L3213" s="154"/>
      <c r="M3213" s="154"/>
      <c r="N3213" s="154">
        <f t="shared" si="94"/>
        <v>2.9572566611769187</v>
      </c>
      <c r="O3213" s="154"/>
    </row>
    <row r="3214" spans="1:15" x14ac:dyDescent="0.35">
      <c r="A3214" s="321"/>
      <c r="B3214" s="320" t="str">
        <f t="shared" si="93"/>
        <v>PV3-104</v>
      </c>
      <c r="C3214" s="153"/>
      <c r="D3214" s="154"/>
      <c r="E3214" s="154">
        <v>1.8</v>
      </c>
      <c r="F3214" s="154">
        <v>1.8</v>
      </c>
      <c r="G3214" s="154"/>
      <c r="H3214" s="154"/>
      <c r="I3214" s="154"/>
      <c r="J3214" s="154">
        <v>0.6</v>
      </c>
      <c r="K3214" s="154"/>
      <c r="L3214" s="154"/>
      <c r="M3214" s="154"/>
      <c r="N3214" s="154">
        <f t="shared" si="94"/>
        <v>2.9572566611769187</v>
      </c>
      <c r="O3214" s="154"/>
    </row>
    <row r="3215" spans="1:15" x14ac:dyDescent="0.35">
      <c r="A3215" s="321"/>
      <c r="B3215" s="320" t="str">
        <f t="shared" si="93"/>
        <v>PV1-105</v>
      </c>
      <c r="C3215" s="153"/>
      <c r="D3215" s="154"/>
      <c r="E3215" s="154">
        <v>1.8</v>
      </c>
      <c r="F3215" s="154">
        <v>1.8</v>
      </c>
      <c r="G3215" s="154"/>
      <c r="H3215" s="154"/>
      <c r="I3215" s="154"/>
      <c r="J3215" s="154">
        <v>0.6</v>
      </c>
      <c r="K3215" s="154"/>
      <c r="L3215" s="154"/>
      <c r="M3215" s="154"/>
      <c r="N3215" s="154">
        <f t="shared" si="94"/>
        <v>2.9572566611769187</v>
      </c>
      <c r="O3215" s="154"/>
    </row>
    <row r="3216" spans="1:15" x14ac:dyDescent="0.35">
      <c r="A3216" s="321"/>
      <c r="B3216" s="320" t="str">
        <f t="shared" si="93"/>
        <v>PV2-105</v>
      </c>
      <c r="C3216" s="153"/>
      <c r="D3216" s="154"/>
      <c r="E3216" s="154">
        <v>1.8</v>
      </c>
      <c r="F3216" s="154">
        <v>1.8</v>
      </c>
      <c r="G3216" s="154"/>
      <c r="H3216" s="154"/>
      <c r="I3216" s="154"/>
      <c r="J3216" s="154">
        <v>0.6</v>
      </c>
      <c r="K3216" s="154"/>
      <c r="L3216" s="154"/>
      <c r="M3216" s="154"/>
      <c r="N3216" s="154">
        <f t="shared" si="94"/>
        <v>2.9572566611769187</v>
      </c>
      <c r="O3216" s="154"/>
    </row>
    <row r="3217" spans="1:15" x14ac:dyDescent="0.35">
      <c r="A3217" s="321"/>
      <c r="B3217" s="320" t="str">
        <f t="shared" si="93"/>
        <v>PV3-105</v>
      </c>
      <c r="C3217" s="153"/>
      <c r="D3217" s="154"/>
      <c r="E3217" s="154">
        <v>1.8</v>
      </c>
      <c r="F3217" s="154">
        <v>1.8</v>
      </c>
      <c r="G3217" s="154"/>
      <c r="H3217" s="154"/>
      <c r="I3217" s="154"/>
      <c r="J3217" s="154">
        <v>0.6</v>
      </c>
      <c r="K3217" s="154"/>
      <c r="L3217" s="154"/>
      <c r="M3217" s="154"/>
      <c r="N3217" s="154">
        <f t="shared" si="94"/>
        <v>2.9572566611769187</v>
      </c>
      <c r="O3217" s="154"/>
    </row>
    <row r="3218" spans="1:15" x14ac:dyDescent="0.35">
      <c r="A3218" s="321"/>
      <c r="B3218" s="320" t="str">
        <f t="shared" si="93"/>
        <v>PV1-106</v>
      </c>
      <c r="C3218" s="153"/>
      <c r="D3218" s="154"/>
      <c r="E3218" s="154">
        <v>1.8</v>
      </c>
      <c r="F3218" s="154">
        <v>1.8</v>
      </c>
      <c r="G3218" s="154"/>
      <c r="H3218" s="154"/>
      <c r="I3218" s="154"/>
      <c r="J3218" s="154">
        <v>0.6</v>
      </c>
      <c r="K3218" s="154"/>
      <c r="L3218" s="154"/>
      <c r="M3218" s="154"/>
      <c r="N3218" s="154">
        <f t="shared" si="94"/>
        <v>2.9572566611769187</v>
      </c>
      <c r="O3218" s="154"/>
    </row>
    <row r="3219" spans="1:15" x14ac:dyDescent="0.35">
      <c r="A3219" s="321"/>
      <c r="B3219" s="320" t="str">
        <f t="shared" si="93"/>
        <v>PV2-106</v>
      </c>
      <c r="C3219" s="153"/>
      <c r="D3219" s="154"/>
      <c r="E3219" s="154">
        <v>1.8</v>
      </c>
      <c r="F3219" s="154">
        <v>1.8</v>
      </c>
      <c r="G3219" s="154"/>
      <c r="H3219" s="154"/>
      <c r="I3219" s="154"/>
      <c r="J3219" s="154">
        <v>0.6</v>
      </c>
      <c r="K3219" s="154"/>
      <c r="L3219" s="154"/>
      <c r="M3219" s="154"/>
      <c r="N3219" s="154">
        <f t="shared" si="94"/>
        <v>2.9572566611769187</v>
      </c>
      <c r="O3219" s="154"/>
    </row>
    <row r="3220" spans="1:15" x14ac:dyDescent="0.35">
      <c r="A3220" s="321"/>
      <c r="B3220" s="320" t="str">
        <f t="shared" si="93"/>
        <v>PV3-106</v>
      </c>
      <c r="C3220" s="153"/>
      <c r="D3220" s="154"/>
      <c r="E3220" s="154">
        <v>1.8</v>
      </c>
      <c r="F3220" s="154">
        <v>1.8</v>
      </c>
      <c r="G3220" s="154"/>
      <c r="H3220" s="154"/>
      <c r="I3220" s="154"/>
      <c r="J3220" s="154">
        <v>0.6</v>
      </c>
      <c r="K3220" s="154"/>
      <c r="L3220" s="154"/>
      <c r="M3220" s="154"/>
      <c r="N3220" s="154">
        <f t="shared" si="94"/>
        <v>2.9572566611769187</v>
      </c>
      <c r="O3220" s="154"/>
    </row>
    <row r="3221" spans="1:15" x14ac:dyDescent="0.35">
      <c r="A3221" s="321"/>
      <c r="B3221" s="320" t="str">
        <f t="shared" si="93"/>
        <v>PV1-107</v>
      </c>
      <c r="C3221" s="153"/>
      <c r="D3221" s="154"/>
      <c r="E3221" s="154">
        <v>1.8</v>
      </c>
      <c r="F3221" s="154">
        <v>1.8</v>
      </c>
      <c r="G3221" s="154"/>
      <c r="H3221" s="154"/>
      <c r="I3221" s="154"/>
      <c r="J3221" s="154">
        <v>0.6</v>
      </c>
      <c r="K3221" s="154"/>
      <c r="L3221" s="154"/>
      <c r="M3221" s="154"/>
      <c r="N3221" s="154">
        <f t="shared" si="94"/>
        <v>2.9572566611769187</v>
      </c>
      <c r="O3221" s="154"/>
    </row>
    <row r="3222" spans="1:15" x14ac:dyDescent="0.35">
      <c r="A3222" s="321"/>
      <c r="B3222" s="320" t="str">
        <f t="shared" si="93"/>
        <v>PV2-107</v>
      </c>
      <c r="C3222" s="153"/>
      <c r="D3222" s="154"/>
      <c r="E3222" s="154">
        <v>1.8</v>
      </c>
      <c r="F3222" s="154">
        <v>1.8</v>
      </c>
      <c r="G3222" s="154"/>
      <c r="H3222" s="154"/>
      <c r="I3222" s="154"/>
      <c r="J3222" s="154">
        <v>0.6</v>
      </c>
      <c r="K3222" s="154"/>
      <c r="L3222" s="154"/>
      <c r="M3222" s="154"/>
      <c r="N3222" s="154">
        <f t="shared" si="94"/>
        <v>2.9572566611769187</v>
      </c>
      <c r="O3222" s="154"/>
    </row>
    <row r="3223" spans="1:15" x14ac:dyDescent="0.35">
      <c r="A3223" s="321"/>
      <c r="B3223" s="320" t="str">
        <f t="shared" si="93"/>
        <v>PV3-107</v>
      </c>
      <c r="C3223" s="153"/>
      <c r="D3223" s="154"/>
      <c r="E3223" s="154">
        <v>1.8</v>
      </c>
      <c r="F3223" s="154">
        <v>1.8</v>
      </c>
      <c r="G3223" s="154"/>
      <c r="H3223" s="154"/>
      <c r="I3223" s="154"/>
      <c r="J3223" s="154">
        <v>0.6</v>
      </c>
      <c r="K3223" s="154"/>
      <c r="L3223" s="154"/>
      <c r="M3223" s="154"/>
      <c r="N3223" s="154">
        <f t="shared" si="94"/>
        <v>2.9572566611769187</v>
      </c>
      <c r="O3223" s="154"/>
    </row>
    <row r="3224" spans="1:15" x14ac:dyDescent="0.35">
      <c r="A3224" s="321"/>
      <c r="B3224" s="320" t="str">
        <f t="shared" si="93"/>
        <v>PV1-108</v>
      </c>
      <c r="C3224" s="153"/>
      <c r="D3224" s="154"/>
      <c r="E3224" s="154">
        <v>1.8</v>
      </c>
      <c r="F3224" s="154">
        <v>1.8</v>
      </c>
      <c r="G3224" s="154"/>
      <c r="H3224" s="154"/>
      <c r="I3224" s="154"/>
      <c r="J3224" s="154">
        <v>0.6</v>
      </c>
      <c r="K3224" s="154"/>
      <c r="L3224" s="154"/>
      <c r="M3224" s="154"/>
      <c r="N3224" s="154">
        <f t="shared" si="94"/>
        <v>2.9572566611769187</v>
      </c>
      <c r="O3224" s="154"/>
    </row>
    <row r="3225" spans="1:15" x14ac:dyDescent="0.35">
      <c r="A3225" s="321"/>
      <c r="B3225" s="320" t="str">
        <f t="shared" si="93"/>
        <v>PV2-108</v>
      </c>
      <c r="C3225" s="153"/>
      <c r="D3225" s="154"/>
      <c r="E3225" s="154">
        <v>1.8</v>
      </c>
      <c r="F3225" s="154">
        <v>1.8</v>
      </c>
      <c r="G3225" s="154"/>
      <c r="H3225" s="154"/>
      <c r="I3225" s="154"/>
      <c r="J3225" s="154">
        <v>0.6</v>
      </c>
      <c r="K3225" s="154"/>
      <c r="L3225" s="154"/>
      <c r="M3225" s="154"/>
      <c r="N3225" s="154">
        <f t="shared" si="94"/>
        <v>2.9572566611769187</v>
      </c>
      <c r="O3225" s="154"/>
    </row>
    <row r="3226" spans="1:15" x14ac:dyDescent="0.35">
      <c r="A3226" s="321"/>
      <c r="B3226" s="320" t="str">
        <f t="shared" si="93"/>
        <v>PV3-108</v>
      </c>
      <c r="C3226" s="153"/>
      <c r="D3226" s="154"/>
      <c r="E3226" s="154">
        <v>1.8</v>
      </c>
      <c r="F3226" s="154">
        <v>1.8</v>
      </c>
      <c r="G3226" s="154"/>
      <c r="H3226" s="154"/>
      <c r="I3226" s="154"/>
      <c r="J3226" s="154">
        <v>0.6</v>
      </c>
      <c r="K3226" s="154"/>
      <c r="L3226" s="154"/>
      <c r="M3226" s="154"/>
      <c r="N3226" s="154">
        <f t="shared" si="94"/>
        <v>2.9572566611769187</v>
      </c>
      <c r="O3226" s="154"/>
    </row>
    <row r="3227" spans="1:15" x14ac:dyDescent="0.35">
      <c r="A3227" s="321"/>
      <c r="B3227" s="320" t="str">
        <f t="shared" si="93"/>
        <v>PV1-109</v>
      </c>
      <c r="C3227" s="153"/>
      <c r="D3227" s="154"/>
      <c r="E3227" s="154">
        <v>1.8</v>
      </c>
      <c r="F3227" s="154">
        <v>1.8</v>
      </c>
      <c r="G3227" s="154"/>
      <c r="H3227" s="154"/>
      <c r="I3227" s="154"/>
      <c r="J3227" s="154">
        <v>0.6</v>
      </c>
      <c r="K3227" s="154"/>
      <c r="L3227" s="154"/>
      <c r="M3227" s="154"/>
      <c r="N3227" s="154">
        <f t="shared" si="94"/>
        <v>2.9572566611769187</v>
      </c>
      <c r="O3227" s="154"/>
    </row>
    <row r="3228" spans="1:15" x14ac:dyDescent="0.35">
      <c r="A3228" s="321"/>
      <c r="B3228" s="320" t="str">
        <f t="shared" si="93"/>
        <v>PV2-109</v>
      </c>
      <c r="C3228" s="153"/>
      <c r="D3228" s="154"/>
      <c r="E3228" s="154">
        <v>1.8</v>
      </c>
      <c r="F3228" s="154">
        <v>1.8</v>
      </c>
      <c r="G3228" s="154"/>
      <c r="H3228" s="154"/>
      <c r="I3228" s="154"/>
      <c r="J3228" s="154">
        <v>0.6</v>
      </c>
      <c r="K3228" s="154"/>
      <c r="L3228" s="154"/>
      <c r="M3228" s="154"/>
      <c r="N3228" s="154">
        <f t="shared" si="94"/>
        <v>2.9572566611769187</v>
      </c>
      <c r="O3228" s="154"/>
    </row>
    <row r="3229" spans="1:15" x14ac:dyDescent="0.35">
      <c r="A3229" s="321"/>
      <c r="B3229" s="320" t="str">
        <f t="shared" si="93"/>
        <v>PV3-109</v>
      </c>
      <c r="C3229" s="153"/>
      <c r="D3229" s="154"/>
      <c r="E3229" s="154">
        <v>1.8</v>
      </c>
      <c r="F3229" s="154">
        <v>1.8</v>
      </c>
      <c r="G3229" s="154"/>
      <c r="H3229" s="154"/>
      <c r="I3229" s="154"/>
      <c r="J3229" s="154">
        <v>0.6</v>
      </c>
      <c r="K3229" s="154"/>
      <c r="L3229" s="154"/>
      <c r="M3229" s="154"/>
      <c r="N3229" s="154">
        <f t="shared" si="94"/>
        <v>2.9572566611769187</v>
      </c>
      <c r="O3229" s="154"/>
    </row>
    <row r="3230" spans="1:15" x14ac:dyDescent="0.35">
      <c r="A3230" s="321"/>
      <c r="B3230" s="320" t="str">
        <f t="shared" si="93"/>
        <v>PV1-110</v>
      </c>
      <c r="C3230" s="153"/>
      <c r="D3230" s="154"/>
      <c r="E3230" s="154">
        <v>1.8</v>
      </c>
      <c r="F3230" s="154">
        <v>1.8</v>
      </c>
      <c r="G3230" s="154"/>
      <c r="H3230" s="154"/>
      <c r="I3230" s="154"/>
      <c r="J3230" s="154">
        <v>0.6</v>
      </c>
      <c r="K3230" s="154"/>
      <c r="L3230" s="154"/>
      <c r="M3230" s="154"/>
      <c r="N3230" s="154">
        <f t="shared" si="94"/>
        <v>2.9572566611769187</v>
      </c>
      <c r="O3230" s="154"/>
    </row>
    <row r="3231" spans="1:15" x14ac:dyDescent="0.35">
      <c r="A3231" s="321"/>
      <c r="B3231" s="320" t="str">
        <f t="shared" si="93"/>
        <v>PV2-110</v>
      </c>
      <c r="C3231" s="153"/>
      <c r="D3231" s="154"/>
      <c r="E3231" s="154">
        <v>1.8</v>
      </c>
      <c r="F3231" s="154">
        <v>1.8</v>
      </c>
      <c r="G3231" s="154"/>
      <c r="H3231" s="154"/>
      <c r="I3231" s="154"/>
      <c r="J3231" s="154">
        <v>0.6</v>
      </c>
      <c r="K3231" s="154"/>
      <c r="L3231" s="154"/>
      <c r="M3231" s="154"/>
      <c r="N3231" s="154">
        <f t="shared" si="94"/>
        <v>2.9572566611769187</v>
      </c>
      <c r="O3231" s="154"/>
    </row>
    <row r="3232" spans="1:15" x14ac:dyDescent="0.35">
      <c r="A3232" s="321"/>
      <c r="B3232" s="320" t="str">
        <f t="shared" si="93"/>
        <v>PV3-110</v>
      </c>
      <c r="C3232" s="153"/>
      <c r="D3232" s="154"/>
      <c r="E3232" s="154">
        <v>1.8</v>
      </c>
      <c r="F3232" s="154">
        <v>1.8</v>
      </c>
      <c r="G3232" s="154"/>
      <c r="H3232" s="154"/>
      <c r="I3232" s="154"/>
      <c r="J3232" s="154">
        <v>0.6</v>
      </c>
      <c r="K3232" s="154"/>
      <c r="L3232" s="154"/>
      <c r="M3232" s="154"/>
      <c r="N3232" s="154">
        <f t="shared" si="94"/>
        <v>2.9572566611769187</v>
      </c>
      <c r="O3232" s="154"/>
    </row>
    <row r="3233" spans="1:15" x14ac:dyDescent="0.35">
      <c r="A3233" s="321"/>
      <c r="B3233" s="320" t="str">
        <f t="shared" si="93"/>
        <v>PV1-111</v>
      </c>
      <c r="C3233" s="153"/>
      <c r="D3233" s="154"/>
      <c r="E3233" s="154">
        <v>1.8</v>
      </c>
      <c r="F3233" s="154">
        <v>1.8</v>
      </c>
      <c r="G3233" s="154"/>
      <c r="H3233" s="154"/>
      <c r="I3233" s="154"/>
      <c r="J3233" s="154">
        <v>0.6</v>
      </c>
      <c r="K3233" s="154"/>
      <c r="L3233" s="154"/>
      <c r="M3233" s="154"/>
      <c r="N3233" s="154">
        <f t="shared" si="94"/>
        <v>2.9572566611769187</v>
      </c>
      <c r="O3233" s="154"/>
    </row>
    <row r="3234" spans="1:15" x14ac:dyDescent="0.35">
      <c r="A3234" s="321"/>
      <c r="B3234" s="320" t="str">
        <f t="shared" si="93"/>
        <v>PV2-111</v>
      </c>
      <c r="C3234" s="153"/>
      <c r="D3234" s="154"/>
      <c r="E3234" s="154">
        <v>1.8</v>
      </c>
      <c r="F3234" s="154">
        <v>1.8</v>
      </c>
      <c r="G3234" s="154"/>
      <c r="H3234" s="154"/>
      <c r="I3234" s="154"/>
      <c r="J3234" s="154">
        <v>0.6</v>
      </c>
      <c r="K3234" s="154"/>
      <c r="L3234" s="154"/>
      <c r="M3234" s="154"/>
      <c r="N3234" s="154">
        <f t="shared" si="94"/>
        <v>2.9572566611769187</v>
      </c>
      <c r="O3234" s="154"/>
    </row>
    <row r="3235" spans="1:15" x14ac:dyDescent="0.35">
      <c r="A3235" s="321"/>
      <c r="B3235" s="320" t="str">
        <f t="shared" si="93"/>
        <v>PV3-111</v>
      </c>
      <c r="C3235" s="153"/>
      <c r="D3235" s="154"/>
      <c r="E3235" s="154">
        <v>1.8</v>
      </c>
      <c r="F3235" s="154">
        <v>1.8</v>
      </c>
      <c r="G3235" s="154"/>
      <c r="H3235" s="154"/>
      <c r="I3235" s="154"/>
      <c r="J3235" s="154">
        <v>0.6</v>
      </c>
      <c r="K3235" s="154"/>
      <c r="L3235" s="154"/>
      <c r="M3235" s="154"/>
      <c r="N3235" s="154">
        <f t="shared" si="94"/>
        <v>2.9572566611769187</v>
      </c>
      <c r="O3235" s="154"/>
    </row>
    <row r="3236" spans="1:15" x14ac:dyDescent="0.35">
      <c r="A3236" s="321"/>
      <c r="B3236" s="320" t="str">
        <f t="shared" ref="B3236:B3267" si="95">B3153</f>
        <v>PV4-111</v>
      </c>
      <c r="C3236" s="153"/>
      <c r="D3236" s="154"/>
      <c r="E3236" s="154">
        <v>1.8</v>
      </c>
      <c r="F3236" s="154">
        <v>1.8</v>
      </c>
      <c r="G3236" s="154"/>
      <c r="H3236" s="154"/>
      <c r="I3236" s="154"/>
      <c r="J3236" s="154">
        <v>0.6</v>
      </c>
      <c r="K3236" s="154"/>
      <c r="L3236" s="154"/>
      <c r="M3236" s="154"/>
      <c r="N3236" s="154">
        <f t="shared" ref="N3236:N3269" si="96">(E3236*F3236)-(PI()*(J3236/2)^2)</f>
        <v>2.9572566611769187</v>
      </c>
      <c r="O3236" s="154"/>
    </row>
    <row r="3237" spans="1:15" x14ac:dyDescent="0.35">
      <c r="A3237" s="321"/>
      <c r="B3237" s="320" t="str">
        <f t="shared" si="95"/>
        <v>PV5-111</v>
      </c>
      <c r="C3237" s="153"/>
      <c r="D3237" s="154"/>
      <c r="E3237" s="154">
        <v>1.8</v>
      </c>
      <c r="F3237" s="154">
        <v>1.8</v>
      </c>
      <c r="G3237" s="154"/>
      <c r="H3237" s="154"/>
      <c r="I3237" s="154"/>
      <c r="J3237" s="154">
        <v>0.6</v>
      </c>
      <c r="K3237" s="154"/>
      <c r="L3237" s="154"/>
      <c r="M3237" s="154"/>
      <c r="N3237" s="154">
        <f t="shared" si="96"/>
        <v>2.9572566611769187</v>
      </c>
      <c r="O3237" s="154"/>
    </row>
    <row r="3238" spans="1:15" x14ac:dyDescent="0.35">
      <c r="A3238" s="321"/>
      <c r="B3238" s="320" t="str">
        <f t="shared" si="95"/>
        <v>PV7-111</v>
      </c>
      <c r="C3238" s="153"/>
      <c r="D3238" s="154"/>
      <c r="E3238" s="154">
        <v>1.8</v>
      </c>
      <c r="F3238" s="154">
        <v>1.8</v>
      </c>
      <c r="G3238" s="154"/>
      <c r="H3238" s="154"/>
      <c r="I3238" s="154"/>
      <c r="J3238" s="154">
        <v>0.6</v>
      </c>
      <c r="K3238" s="154"/>
      <c r="L3238" s="154"/>
      <c r="M3238" s="154"/>
      <c r="N3238" s="154">
        <f t="shared" si="96"/>
        <v>2.9572566611769187</v>
      </c>
      <c r="O3238" s="154"/>
    </row>
    <row r="3239" spans="1:15" x14ac:dyDescent="0.35">
      <c r="A3239" s="321"/>
      <c r="B3239" s="320" t="str">
        <f t="shared" si="95"/>
        <v>PV8-111</v>
      </c>
      <c r="C3239" s="153"/>
      <c r="D3239" s="154"/>
      <c r="E3239" s="154">
        <v>1.8</v>
      </c>
      <c r="F3239" s="154">
        <v>1.8</v>
      </c>
      <c r="G3239" s="154"/>
      <c r="H3239" s="154"/>
      <c r="I3239" s="154"/>
      <c r="J3239" s="154">
        <v>0.6</v>
      </c>
      <c r="K3239" s="154"/>
      <c r="L3239" s="154"/>
      <c r="M3239" s="154"/>
      <c r="N3239" s="154">
        <f t="shared" si="96"/>
        <v>2.9572566611769187</v>
      </c>
      <c r="O3239" s="154"/>
    </row>
    <row r="3240" spans="1:15" x14ac:dyDescent="0.35">
      <c r="A3240" s="321"/>
      <c r="B3240" s="320" t="str">
        <f t="shared" si="95"/>
        <v>PV9-111</v>
      </c>
      <c r="C3240" s="153"/>
      <c r="D3240" s="154"/>
      <c r="E3240" s="154">
        <v>1.8</v>
      </c>
      <c r="F3240" s="154">
        <v>1.8</v>
      </c>
      <c r="G3240" s="154"/>
      <c r="H3240" s="154"/>
      <c r="I3240" s="154"/>
      <c r="J3240" s="154">
        <v>0.6</v>
      </c>
      <c r="K3240" s="154"/>
      <c r="L3240" s="154"/>
      <c r="M3240" s="154"/>
      <c r="N3240" s="154">
        <f t="shared" si="96"/>
        <v>2.9572566611769187</v>
      </c>
      <c r="O3240" s="154"/>
    </row>
    <row r="3241" spans="1:15" x14ac:dyDescent="0.35">
      <c r="A3241" s="321"/>
      <c r="B3241" s="320" t="str">
        <f t="shared" si="95"/>
        <v>PV10-111</v>
      </c>
      <c r="C3241" s="153"/>
      <c r="D3241" s="154"/>
      <c r="E3241" s="154">
        <v>1.8</v>
      </c>
      <c r="F3241" s="154">
        <v>1.8</v>
      </c>
      <c r="G3241" s="154"/>
      <c r="H3241" s="154"/>
      <c r="I3241" s="154"/>
      <c r="J3241" s="154">
        <v>0.6</v>
      </c>
      <c r="K3241" s="154"/>
      <c r="L3241" s="154"/>
      <c r="M3241" s="154"/>
      <c r="N3241" s="154">
        <f t="shared" si="96"/>
        <v>2.9572566611769187</v>
      </c>
      <c r="O3241" s="154"/>
    </row>
    <row r="3242" spans="1:15" x14ac:dyDescent="0.35">
      <c r="A3242" s="321"/>
      <c r="B3242" s="320" t="str">
        <f t="shared" si="95"/>
        <v>PV1-112</v>
      </c>
      <c r="C3242" s="153"/>
      <c r="D3242" s="154"/>
      <c r="E3242" s="154">
        <v>1.8</v>
      </c>
      <c r="F3242" s="154">
        <v>1.8</v>
      </c>
      <c r="G3242" s="154"/>
      <c r="H3242" s="154"/>
      <c r="I3242" s="154"/>
      <c r="J3242" s="154">
        <v>0.6</v>
      </c>
      <c r="K3242" s="154"/>
      <c r="L3242" s="154"/>
      <c r="M3242" s="154"/>
      <c r="N3242" s="154">
        <f t="shared" si="96"/>
        <v>2.9572566611769187</v>
      </c>
      <c r="O3242" s="154"/>
    </row>
    <row r="3243" spans="1:15" x14ac:dyDescent="0.35">
      <c r="A3243" s="321"/>
      <c r="B3243" s="320" t="str">
        <f t="shared" si="95"/>
        <v>PV2-112</v>
      </c>
      <c r="C3243" s="153"/>
      <c r="D3243" s="154"/>
      <c r="E3243" s="154">
        <v>1.8</v>
      </c>
      <c r="F3243" s="154">
        <v>1.8</v>
      </c>
      <c r="G3243" s="154"/>
      <c r="H3243" s="154"/>
      <c r="I3243" s="154"/>
      <c r="J3243" s="154">
        <v>0.6</v>
      </c>
      <c r="K3243" s="154"/>
      <c r="L3243" s="154"/>
      <c r="M3243" s="154"/>
      <c r="N3243" s="154">
        <f t="shared" si="96"/>
        <v>2.9572566611769187</v>
      </c>
      <c r="O3243" s="154"/>
    </row>
    <row r="3244" spans="1:15" x14ac:dyDescent="0.35">
      <c r="A3244" s="321"/>
      <c r="B3244" s="320" t="str">
        <f t="shared" si="95"/>
        <v>PV3-112</v>
      </c>
      <c r="C3244" s="153"/>
      <c r="D3244" s="154"/>
      <c r="E3244" s="154">
        <v>1.8</v>
      </c>
      <c r="F3244" s="154">
        <v>1.8</v>
      </c>
      <c r="G3244" s="154"/>
      <c r="H3244" s="154"/>
      <c r="I3244" s="154"/>
      <c r="J3244" s="154">
        <v>0.6</v>
      </c>
      <c r="K3244" s="154"/>
      <c r="L3244" s="154"/>
      <c r="M3244" s="154"/>
      <c r="N3244" s="154">
        <f t="shared" si="96"/>
        <v>2.9572566611769187</v>
      </c>
      <c r="O3244" s="154"/>
    </row>
    <row r="3245" spans="1:15" x14ac:dyDescent="0.35">
      <c r="A3245" s="321"/>
      <c r="B3245" s="320" t="str">
        <f t="shared" si="95"/>
        <v>PV1-113</v>
      </c>
      <c r="C3245" s="153"/>
      <c r="D3245" s="154"/>
      <c r="E3245" s="154">
        <v>1.8</v>
      </c>
      <c r="F3245" s="154">
        <v>1.8</v>
      </c>
      <c r="G3245" s="154"/>
      <c r="H3245" s="154"/>
      <c r="I3245" s="154"/>
      <c r="J3245" s="154">
        <v>0.6</v>
      </c>
      <c r="K3245" s="154"/>
      <c r="L3245" s="154"/>
      <c r="M3245" s="154"/>
      <c r="N3245" s="154">
        <f t="shared" si="96"/>
        <v>2.9572566611769187</v>
      </c>
      <c r="O3245" s="154"/>
    </row>
    <row r="3246" spans="1:15" x14ac:dyDescent="0.35">
      <c r="A3246" s="321"/>
      <c r="B3246" s="320" t="str">
        <f t="shared" si="95"/>
        <v>PV2-113</v>
      </c>
      <c r="C3246" s="153"/>
      <c r="D3246" s="154"/>
      <c r="E3246" s="154">
        <v>1.8</v>
      </c>
      <c r="F3246" s="154">
        <v>1.8</v>
      </c>
      <c r="G3246" s="154"/>
      <c r="H3246" s="154"/>
      <c r="I3246" s="154"/>
      <c r="J3246" s="154">
        <v>0.6</v>
      </c>
      <c r="K3246" s="154"/>
      <c r="L3246" s="154"/>
      <c r="M3246" s="154"/>
      <c r="N3246" s="154">
        <f t="shared" si="96"/>
        <v>2.9572566611769187</v>
      </c>
      <c r="O3246" s="154"/>
    </row>
    <row r="3247" spans="1:15" x14ac:dyDescent="0.35">
      <c r="A3247" s="321"/>
      <c r="B3247" s="320" t="str">
        <f t="shared" si="95"/>
        <v>PV3-113</v>
      </c>
      <c r="C3247" s="153"/>
      <c r="D3247" s="154"/>
      <c r="E3247" s="154">
        <v>1.8</v>
      </c>
      <c r="F3247" s="154">
        <v>1.8</v>
      </c>
      <c r="G3247" s="154"/>
      <c r="H3247" s="154"/>
      <c r="I3247" s="154"/>
      <c r="J3247" s="154">
        <v>0.6</v>
      </c>
      <c r="K3247" s="154"/>
      <c r="L3247" s="154"/>
      <c r="M3247" s="154"/>
      <c r="N3247" s="154">
        <f t="shared" si="96"/>
        <v>2.9572566611769187</v>
      </c>
      <c r="O3247" s="154"/>
    </row>
    <row r="3248" spans="1:15" x14ac:dyDescent="0.35">
      <c r="A3248" s="321"/>
      <c r="B3248" s="320" t="str">
        <f t="shared" si="95"/>
        <v>PV1-114</v>
      </c>
      <c r="C3248" s="153"/>
      <c r="D3248" s="154"/>
      <c r="E3248" s="154">
        <v>1.8</v>
      </c>
      <c r="F3248" s="154">
        <v>1.8</v>
      </c>
      <c r="G3248" s="154"/>
      <c r="H3248" s="154"/>
      <c r="I3248" s="154"/>
      <c r="J3248" s="154">
        <v>0.6</v>
      </c>
      <c r="K3248" s="154"/>
      <c r="L3248" s="154"/>
      <c r="M3248" s="154"/>
      <c r="N3248" s="154">
        <f t="shared" si="96"/>
        <v>2.9572566611769187</v>
      </c>
      <c r="O3248" s="154"/>
    </row>
    <row r="3249" spans="1:15" x14ac:dyDescent="0.35">
      <c r="A3249" s="321"/>
      <c r="B3249" s="320" t="str">
        <f t="shared" si="95"/>
        <v>PV2-114</v>
      </c>
      <c r="C3249" s="153"/>
      <c r="D3249" s="154"/>
      <c r="E3249" s="154">
        <v>1.8</v>
      </c>
      <c r="F3249" s="154">
        <v>1.8</v>
      </c>
      <c r="G3249" s="154"/>
      <c r="H3249" s="154"/>
      <c r="I3249" s="154"/>
      <c r="J3249" s="154">
        <v>0.6</v>
      </c>
      <c r="K3249" s="154"/>
      <c r="L3249" s="154"/>
      <c r="M3249" s="154"/>
      <c r="N3249" s="154">
        <f t="shared" si="96"/>
        <v>2.9572566611769187</v>
      </c>
      <c r="O3249" s="154"/>
    </row>
    <row r="3250" spans="1:15" x14ac:dyDescent="0.35">
      <c r="A3250" s="321"/>
      <c r="B3250" s="320" t="str">
        <f t="shared" si="95"/>
        <v>PV3-114</v>
      </c>
      <c r="C3250" s="153"/>
      <c r="D3250" s="154"/>
      <c r="E3250" s="154">
        <v>1.8</v>
      </c>
      <c r="F3250" s="154">
        <v>1.8</v>
      </c>
      <c r="G3250" s="154"/>
      <c r="H3250" s="154"/>
      <c r="I3250" s="154"/>
      <c r="J3250" s="154">
        <v>0.6</v>
      </c>
      <c r="K3250" s="154"/>
      <c r="L3250" s="154"/>
      <c r="M3250" s="154"/>
      <c r="N3250" s="154">
        <f t="shared" si="96"/>
        <v>2.9572566611769187</v>
      </c>
      <c r="O3250" s="154"/>
    </row>
    <row r="3251" spans="1:15" x14ac:dyDescent="0.35">
      <c r="A3251" s="321"/>
      <c r="B3251" s="320" t="str">
        <f t="shared" si="95"/>
        <v>PV1-115</v>
      </c>
      <c r="C3251" s="153"/>
      <c r="D3251" s="154"/>
      <c r="E3251" s="154">
        <v>1.8</v>
      </c>
      <c r="F3251" s="154">
        <v>1.8</v>
      </c>
      <c r="G3251" s="154"/>
      <c r="H3251" s="154"/>
      <c r="I3251" s="154"/>
      <c r="J3251" s="154">
        <v>0.6</v>
      </c>
      <c r="K3251" s="154"/>
      <c r="L3251" s="154"/>
      <c r="M3251" s="154"/>
      <c r="N3251" s="154">
        <f t="shared" si="96"/>
        <v>2.9572566611769187</v>
      </c>
      <c r="O3251" s="154"/>
    </row>
    <row r="3252" spans="1:15" x14ac:dyDescent="0.35">
      <c r="A3252" s="321"/>
      <c r="B3252" s="320" t="str">
        <f t="shared" si="95"/>
        <v>PV2-115</v>
      </c>
      <c r="C3252" s="153"/>
      <c r="D3252" s="154"/>
      <c r="E3252" s="154">
        <v>1.8</v>
      </c>
      <c r="F3252" s="154">
        <v>1.8</v>
      </c>
      <c r="G3252" s="154"/>
      <c r="H3252" s="154"/>
      <c r="I3252" s="154"/>
      <c r="J3252" s="154">
        <v>0.6</v>
      </c>
      <c r="K3252" s="154"/>
      <c r="L3252" s="154"/>
      <c r="M3252" s="154"/>
      <c r="N3252" s="154">
        <f t="shared" si="96"/>
        <v>2.9572566611769187</v>
      </c>
      <c r="O3252" s="154"/>
    </row>
    <row r="3253" spans="1:15" x14ac:dyDescent="0.35">
      <c r="A3253" s="321"/>
      <c r="B3253" s="320" t="str">
        <f t="shared" si="95"/>
        <v>PV3-115</v>
      </c>
      <c r="C3253" s="153"/>
      <c r="D3253" s="154"/>
      <c r="E3253" s="154">
        <v>1.8</v>
      </c>
      <c r="F3253" s="154">
        <v>1.8</v>
      </c>
      <c r="G3253" s="154"/>
      <c r="H3253" s="154"/>
      <c r="I3253" s="154"/>
      <c r="J3253" s="154">
        <v>0.6</v>
      </c>
      <c r="K3253" s="154"/>
      <c r="L3253" s="154"/>
      <c r="M3253" s="154"/>
      <c r="N3253" s="154">
        <f t="shared" si="96"/>
        <v>2.9572566611769187</v>
      </c>
      <c r="O3253" s="154"/>
    </row>
    <row r="3254" spans="1:15" x14ac:dyDescent="0.35">
      <c r="A3254" s="321"/>
      <c r="B3254" s="320" t="str">
        <f t="shared" si="95"/>
        <v>PV4-115</v>
      </c>
      <c r="C3254" s="153"/>
      <c r="D3254" s="154"/>
      <c r="E3254" s="154">
        <v>1.8</v>
      </c>
      <c r="F3254" s="154">
        <v>1.8</v>
      </c>
      <c r="G3254" s="154"/>
      <c r="H3254" s="154"/>
      <c r="I3254" s="154"/>
      <c r="J3254" s="154">
        <v>0.6</v>
      </c>
      <c r="K3254" s="154"/>
      <c r="L3254" s="154"/>
      <c r="M3254" s="154"/>
      <c r="N3254" s="154">
        <f t="shared" si="96"/>
        <v>2.9572566611769187</v>
      </c>
      <c r="O3254" s="154"/>
    </row>
    <row r="3255" spans="1:15" x14ac:dyDescent="0.35">
      <c r="A3255" s="321"/>
      <c r="B3255" s="320" t="str">
        <f t="shared" si="95"/>
        <v>PV5-115</v>
      </c>
      <c r="C3255" s="153"/>
      <c r="D3255" s="154"/>
      <c r="E3255" s="154">
        <v>1.8</v>
      </c>
      <c r="F3255" s="154">
        <v>1.8</v>
      </c>
      <c r="G3255" s="154"/>
      <c r="H3255" s="154"/>
      <c r="I3255" s="154"/>
      <c r="J3255" s="154">
        <v>0.6</v>
      </c>
      <c r="K3255" s="154"/>
      <c r="L3255" s="154"/>
      <c r="M3255" s="154"/>
      <c r="N3255" s="154">
        <f t="shared" si="96"/>
        <v>2.9572566611769187</v>
      </c>
      <c r="O3255" s="154"/>
    </row>
    <row r="3256" spans="1:15" x14ac:dyDescent="0.35">
      <c r="A3256" s="321"/>
      <c r="B3256" s="320" t="str">
        <f t="shared" si="95"/>
        <v>PV1-116</v>
      </c>
      <c r="C3256" s="153"/>
      <c r="D3256" s="154"/>
      <c r="E3256" s="154">
        <v>1.8</v>
      </c>
      <c r="F3256" s="154">
        <v>1.8</v>
      </c>
      <c r="G3256" s="154"/>
      <c r="H3256" s="154"/>
      <c r="I3256" s="154"/>
      <c r="J3256" s="154">
        <v>0.6</v>
      </c>
      <c r="K3256" s="154"/>
      <c r="L3256" s="154"/>
      <c r="M3256" s="154"/>
      <c r="N3256" s="154">
        <f t="shared" si="96"/>
        <v>2.9572566611769187</v>
      </c>
      <c r="O3256" s="154"/>
    </row>
    <row r="3257" spans="1:15" x14ac:dyDescent="0.35">
      <c r="A3257" s="321"/>
      <c r="B3257" s="320" t="str">
        <f t="shared" si="95"/>
        <v>PV2-116</v>
      </c>
      <c r="C3257" s="153"/>
      <c r="D3257" s="154"/>
      <c r="E3257" s="154">
        <v>1.8</v>
      </c>
      <c r="F3257" s="154">
        <v>1.8</v>
      </c>
      <c r="G3257" s="154"/>
      <c r="H3257" s="154"/>
      <c r="I3257" s="154"/>
      <c r="J3257" s="154">
        <v>0.6</v>
      </c>
      <c r="K3257" s="154"/>
      <c r="L3257" s="154"/>
      <c r="M3257" s="154"/>
      <c r="N3257" s="154">
        <f t="shared" si="96"/>
        <v>2.9572566611769187</v>
      </c>
      <c r="O3257" s="154"/>
    </row>
    <row r="3258" spans="1:15" x14ac:dyDescent="0.35">
      <c r="A3258" s="321"/>
      <c r="B3258" s="320" t="str">
        <f t="shared" si="95"/>
        <v>PV3-116</v>
      </c>
      <c r="C3258" s="153"/>
      <c r="D3258" s="154"/>
      <c r="E3258" s="154">
        <v>1.8</v>
      </c>
      <c r="F3258" s="154">
        <v>1.8</v>
      </c>
      <c r="G3258" s="154"/>
      <c r="H3258" s="154"/>
      <c r="I3258" s="154"/>
      <c r="J3258" s="154">
        <v>0.6</v>
      </c>
      <c r="K3258" s="154"/>
      <c r="L3258" s="154"/>
      <c r="M3258" s="154"/>
      <c r="N3258" s="154">
        <f t="shared" si="96"/>
        <v>2.9572566611769187</v>
      </c>
      <c r="O3258" s="154"/>
    </row>
    <row r="3259" spans="1:15" x14ac:dyDescent="0.35">
      <c r="A3259" s="321"/>
      <c r="B3259" s="320" t="str">
        <f t="shared" si="95"/>
        <v>PV1-117</v>
      </c>
      <c r="C3259" s="153"/>
      <c r="D3259" s="154"/>
      <c r="E3259" s="154">
        <v>1.8</v>
      </c>
      <c r="F3259" s="154">
        <v>1.8</v>
      </c>
      <c r="G3259" s="154"/>
      <c r="H3259" s="154"/>
      <c r="I3259" s="154"/>
      <c r="J3259" s="154">
        <v>0.6</v>
      </c>
      <c r="K3259" s="154"/>
      <c r="L3259" s="154"/>
      <c r="M3259" s="154"/>
      <c r="N3259" s="154">
        <f t="shared" si="96"/>
        <v>2.9572566611769187</v>
      </c>
      <c r="O3259" s="154"/>
    </row>
    <row r="3260" spans="1:15" x14ac:dyDescent="0.35">
      <c r="A3260" s="321"/>
      <c r="B3260" s="320" t="str">
        <f t="shared" si="95"/>
        <v>PV2-117</v>
      </c>
      <c r="C3260" s="153"/>
      <c r="D3260" s="154"/>
      <c r="E3260" s="154">
        <v>1.8</v>
      </c>
      <c r="F3260" s="154">
        <v>1.8</v>
      </c>
      <c r="G3260" s="154"/>
      <c r="H3260" s="154"/>
      <c r="I3260" s="154"/>
      <c r="J3260" s="154">
        <v>0.6</v>
      </c>
      <c r="K3260" s="154"/>
      <c r="L3260" s="154"/>
      <c r="M3260" s="154"/>
      <c r="N3260" s="154">
        <f t="shared" si="96"/>
        <v>2.9572566611769187</v>
      </c>
      <c r="O3260" s="154"/>
    </row>
    <row r="3261" spans="1:15" x14ac:dyDescent="0.35">
      <c r="A3261" s="321"/>
      <c r="B3261" s="320" t="str">
        <f t="shared" si="95"/>
        <v>PV3-117</v>
      </c>
      <c r="C3261" s="153"/>
      <c r="D3261" s="154"/>
      <c r="E3261" s="154">
        <v>1.8</v>
      </c>
      <c r="F3261" s="154">
        <v>1.8</v>
      </c>
      <c r="G3261" s="154"/>
      <c r="H3261" s="154"/>
      <c r="I3261" s="154"/>
      <c r="J3261" s="154">
        <v>0.6</v>
      </c>
      <c r="K3261" s="154"/>
      <c r="L3261" s="154"/>
      <c r="M3261" s="154"/>
      <c r="N3261" s="154">
        <f t="shared" si="96"/>
        <v>2.9572566611769187</v>
      </c>
      <c r="O3261" s="154"/>
    </row>
    <row r="3262" spans="1:15" x14ac:dyDescent="0.35">
      <c r="A3262" s="321"/>
      <c r="B3262" s="320" t="str">
        <f t="shared" si="95"/>
        <v>PV1-119</v>
      </c>
      <c r="C3262" s="153"/>
      <c r="D3262" s="154"/>
      <c r="E3262" s="154">
        <v>1.8</v>
      </c>
      <c r="F3262" s="154">
        <v>1.8</v>
      </c>
      <c r="G3262" s="154"/>
      <c r="H3262" s="154"/>
      <c r="I3262" s="154"/>
      <c r="J3262" s="154">
        <v>0.6</v>
      </c>
      <c r="K3262" s="154"/>
      <c r="L3262" s="154"/>
      <c r="M3262" s="154"/>
      <c r="N3262" s="154">
        <f t="shared" si="96"/>
        <v>2.9572566611769187</v>
      </c>
      <c r="O3262" s="154"/>
    </row>
    <row r="3263" spans="1:15" x14ac:dyDescent="0.35">
      <c r="A3263" s="321"/>
      <c r="B3263" s="320" t="str">
        <f t="shared" si="95"/>
        <v>PV2-119</v>
      </c>
      <c r="C3263" s="153"/>
      <c r="D3263" s="154"/>
      <c r="E3263" s="154">
        <v>1.8</v>
      </c>
      <c r="F3263" s="154">
        <v>1.8</v>
      </c>
      <c r="G3263" s="154"/>
      <c r="H3263" s="154"/>
      <c r="I3263" s="154"/>
      <c r="J3263" s="154">
        <v>0.6</v>
      </c>
      <c r="K3263" s="154"/>
      <c r="L3263" s="154"/>
      <c r="M3263" s="154"/>
      <c r="N3263" s="154">
        <f t="shared" si="96"/>
        <v>2.9572566611769187</v>
      </c>
      <c r="O3263" s="154"/>
    </row>
    <row r="3264" spans="1:15" x14ac:dyDescent="0.35">
      <c r="A3264" s="321"/>
      <c r="B3264" s="320" t="str">
        <f t="shared" si="95"/>
        <v>PV3-119</v>
      </c>
      <c r="C3264" s="153"/>
      <c r="D3264" s="154"/>
      <c r="E3264" s="154">
        <v>1.8</v>
      </c>
      <c r="F3264" s="154">
        <v>1.8</v>
      </c>
      <c r="G3264" s="154"/>
      <c r="H3264" s="154"/>
      <c r="I3264" s="154"/>
      <c r="J3264" s="154">
        <v>0.6</v>
      </c>
      <c r="K3264" s="154"/>
      <c r="L3264" s="154"/>
      <c r="M3264" s="154"/>
      <c r="N3264" s="154">
        <f t="shared" si="96"/>
        <v>2.9572566611769187</v>
      </c>
      <c r="O3264" s="154"/>
    </row>
    <row r="3265" spans="1:15" x14ac:dyDescent="0.35">
      <c r="A3265" s="321"/>
      <c r="B3265" s="320" t="str">
        <f t="shared" si="95"/>
        <v>PV19-121</v>
      </c>
      <c r="C3265" s="153"/>
      <c r="D3265" s="154"/>
      <c r="E3265" s="154">
        <v>1.8</v>
      </c>
      <c r="F3265" s="154">
        <v>1.8</v>
      </c>
      <c r="G3265" s="154"/>
      <c r="H3265" s="154"/>
      <c r="I3265" s="154"/>
      <c r="J3265" s="154">
        <v>0.6</v>
      </c>
      <c r="K3265" s="154"/>
      <c r="L3265" s="154"/>
      <c r="M3265" s="154"/>
      <c r="N3265" s="154">
        <f t="shared" si="96"/>
        <v>2.9572566611769187</v>
      </c>
      <c r="O3265" s="154"/>
    </row>
    <row r="3266" spans="1:15" x14ac:dyDescent="0.35">
      <c r="A3266" s="321"/>
      <c r="B3266" s="320" t="str">
        <f t="shared" si="95"/>
        <v>PV6-102</v>
      </c>
      <c r="C3266" s="153"/>
      <c r="D3266" s="154"/>
      <c r="E3266" s="154">
        <v>1.8</v>
      </c>
      <c r="F3266" s="154">
        <v>1.8</v>
      </c>
      <c r="G3266" s="154"/>
      <c r="H3266" s="154"/>
      <c r="I3266" s="154"/>
      <c r="J3266" s="154">
        <v>0.6</v>
      </c>
      <c r="K3266" s="154"/>
      <c r="L3266" s="154"/>
      <c r="M3266" s="154"/>
      <c r="N3266" s="154">
        <f t="shared" si="96"/>
        <v>2.9572566611769187</v>
      </c>
      <c r="O3266" s="154"/>
    </row>
    <row r="3267" spans="1:15" x14ac:dyDescent="0.35">
      <c r="A3267" s="321"/>
      <c r="B3267" s="320" t="str">
        <f t="shared" si="95"/>
        <v>PV7-102</v>
      </c>
      <c r="C3267" s="153"/>
      <c r="D3267" s="154"/>
      <c r="E3267" s="154">
        <v>1.8</v>
      </c>
      <c r="F3267" s="154">
        <v>1.8</v>
      </c>
      <c r="G3267" s="154"/>
      <c r="H3267" s="154"/>
      <c r="I3267" s="154"/>
      <c r="J3267" s="154">
        <v>0.6</v>
      </c>
      <c r="K3267" s="154"/>
      <c r="L3267" s="154"/>
      <c r="M3267" s="154"/>
      <c r="N3267" s="154">
        <f t="shared" si="96"/>
        <v>2.9572566611769187</v>
      </c>
      <c r="O3267" s="154"/>
    </row>
    <row r="3268" spans="1:15" x14ac:dyDescent="0.35">
      <c r="A3268" s="321"/>
      <c r="B3268" s="320" t="str">
        <f t="shared" ref="B3268:B3269" si="97">B3185</f>
        <v>PV8-102</v>
      </c>
      <c r="C3268" s="153"/>
      <c r="D3268" s="154"/>
      <c r="E3268" s="154">
        <v>1.8</v>
      </c>
      <c r="F3268" s="154">
        <v>1.8</v>
      </c>
      <c r="G3268" s="154"/>
      <c r="H3268" s="154"/>
      <c r="I3268" s="154"/>
      <c r="J3268" s="154">
        <v>0.6</v>
      </c>
      <c r="K3268" s="154"/>
      <c r="L3268" s="154"/>
      <c r="M3268" s="154"/>
      <c r="N3268" s="154">
        <f t="shared" si="96"/>
        <v>2.9572566611769187</v>
      </c>
      <c r="O3268" s="154"/>
    </row>
    <row r="3269" spans="1:15" x14ac:dyDescent="0.35">
      <c r="A3269" s="321"/>
      <c r="B3269" s="320" t="str">
        <f t="shared" si="97"/>
        <v>PV6-111</v>
      </c>
      <c r="C3269" s="153"/>
      <c r="D3269" s="154"/>
      <c r="E3269" s="154">
        <v>1.8</v>
      </c>
      <c r="F3269" s="154">
        <v>1.8</v>
      </c>
      <c r="G3269" s="154"/>
      <c r="H3269" s="154"/>
      <c r="I3269" s="154"/>
      <c r="J3269" s="154">
        <v>0.6</v>
      </c>
      <c r="K3269" s="154"/>
      <c r="L3269" s="154"/>
      <c r="M3269" s="154"/>
      <c r="N3269" s="154">
        <f t="shared" si="96"/>
        <v>2.9572566611769187</v>
      </c>
      <c r="O3269" s="154"/>
    </row>
    <row r="3270" spans="1:15" x14ac:dyDescent="0.35">
      <c r="A3270" s="321"/>
      <c r="B3270" s="320"/>
      <c r="C3270" s="153"/>
      <c r="D3270" s="154"/>
      <c r="E3270" s="154"/>
      <c r="F3270" s="154"/>
      <c r="G3270" s="154"/>
      <c r="H3270" s="154"/>
      <c r="I3270" s="154"/>
      <c r="J3270" s="154"/>
      <c r="K3270" s="154"/>
      <c r="L3270" s="156"/>
      <c r="M3270" s="154"/>
      <c r="N3270" s="154"/>
      <c r="O3270" s="154"/>
    </row>
    <row r="3271" spans="1:15" x14ac:dyDescent="0.35">
      <c r="A3271" s="321"/>
      <c r="B3271" s="318" t="s">
        <v>377</v>
      </c>
      <c r="C3271" s="158" t="s">
        <v>402</v>
      </c>
      <c r="D3271" s="158"/>
      <c r="E3271" s="158"/>
      <c r="F3271" s="158"/>
      <c r="G3271" s="158"/>
      <c r="H3271" s="158"/>
      <c r="I3271" s="158"/>
      <c r="J3271" s="158"/>
      <c r="K3271" s="158"/>
      <c r="L3271" s="158"/>
      <c r="M3271" s="158"/>
      <c r="N3271" s="158">
        <f>SUM(N3204:N3270)</f>
        <v>195.17893963767673</v>
      </c>
      <c r="O3271" s="158"/>
    </row>
    <row r="3272" spans="1:15" ht="21" x14ac:dyDescent="0.35">
      <c r="A3272" s="323" t="str">
        <f>ORÇAMENTO!A536</f>
        <v>5.5.9</v>
      </c>
      <c r="B3272" s="322" t="str">
        <f>VLOOKUP(A3272,ORÇAMENTO!$A:$F,4,0)</f>
        <v>IMPRIMAÇÃO COM EMULSÃO ASFÁLTICA (SEM MATERIAL)</v>
      </c>
      <c r="C3272" s="149" t="str">
        <f>VLOOKUP(A3272,ORÇAMENTO!$A:$F,5,0)</f>
        <v>M²</v>
      </c>
      <c r="D3272" s="149">
        <f>SUM(E3342:O3342)</f>
        <v>195.17893963767673</v>
      </c>
      <c r="E3272" s="149" t="s">
        <v>2149</v>
      </c>
      <c r="F3272" s="149" t="s">
        <v>2150</v>
      </c>
      <c r="G3272" s="149" t="s">
        <v>2151</v>
      </c>
      <c r="H3272" s="149" t="s">
        <v>2152</v>
      </c>
      <c r="I3272" s="149" t="s">
        <v>2153</v>
      </c>
      <c r="J3272" s="149" t="s">
        <v>2154</v>
      </c>
      <c r="K3272" s="149" t="s">
        <v>2155</v>
      </c>
      <c r="L3272" s="149" t="s">
        <v>2156</v>
      </c>
      <c r="M3272" s="149" t="s">
        <v>413</v>
      </c>
      <c r="N3272" s="149" t="s">
        <v>2157</v>
      </c>
      <c r="O3272" s="149" t="s">
        <v>2158</v>
      </c>
    </row>
    <row r="3273" spans="1:15" x14ac:dyDescent="0.35">
      <c r="A3273" s="321"/>
      <c r="B3273" s="318"/>
      <c r="C3273" s="153"/>
      <c r="D3273" s="154"/>
      <c r="E3273" s="154"/>
      <c r="F3273" s="154"/>
      <c r="G3273" s="154"/>
      <c r="H3273" s="154"/>
      <c r="I3273" s="154"/>
      <c r="J3273" s="154"/>
      <c r="K3273" s="154"/>
      <c r="L3273" s="154"/>
      <c r="M3273" s="154"/>
      <c r="N3273" s="154"/>
      <c r="O3273" s="154"/>
    </row>
    <row r="3274" spans="1:15" x14ac:dyDescent="0.35">
      <c r="A3274" s="321"/>
      <c r="B3274" s="320" t="str">
        <f t="shared" ref="B3274:B3305" si="98">B3203</f>
        <v>ÁREA = ÁREA DEMOLIDA - ÁREA DO PV</v>
      </c>
      <c r="C3274" s="153"/>
      <c r="D3274" s="154"/>
      <c r="E3274" s="154"/>
      <c r="F3274" s="154"/>
      <c r="G3274" s="154"/>
      <c r="H3274" s="154"/>
      <c r="I3274" s="154"/>
      <c r="J3274" s="154"/>
      <c r="K3274" s="154"/>
      <c r="L3274" s="154"/>
      <c r="M3274" s="154"/>
      <c r="N3274" s="154"/>
      <c r="O3274" s="154"/>
    </row>
    <row r="3275" spans="1:15" x14ac:dyDescent="0.35">
      <c r="A3275" s="321"/>
      <c r="B3275" s="320" t="str">
        <f t="shared" si="98"/>
        <v>PV2-102</v>
      </c>
      <c r="C3275" s="153"/>
      <c r="D3275" s="154"/>
      <c r="E3275" s="154">
        <v>1.8</v>
      </c>
      <c r="F3275" s="154">
        <v>1.8</v>
      </c>
      <c r="G3275" s="154"/>
      <c r="H3275" s="154"/>
      <c r="I3275" s="154"/>
      <c r="J3275" s="154">
        <v>0.6</v>
      </c>
      <c r="K3275" s="154"/>
      <c r="L3275" s="154"/>
      <c r="M3275" s="154"/>
      <c r="N3275" s="154">
        <f t="shared" ref="N3275:N3306" si="99">(E3275*F3275)-(PI()*(J3275/2)^2)</f>
        <v>2.9572566611769187</v>
      </c>
      <c r="O3275" s="154"/>
    </row>
    <row r="3276" spans="1:15" x14ac:dyDescent="0.35">
      <c r="A3276" s="321"/>
      <c r="B3276" s="320" t="str">
        <f t="shared" si="98"/>
        <v>PV3-102</v>
      </c>
      <c r="C3276" s="153"/>
      <c r="D3276" s="154"/>
      <c r="E3276" s="154">
        <v>1.8</v>
      </c>
      <c r="F3276" s="154">
        <v>1.8</v>
      </c>
      <c r="G3276" s="154"/>
      <c r="H3276" s="154"/>
      <c r="I3276" s="154"/>
      <c r="J3276" s="154">
        <v>0.6</v>
      </c>
      <c r="K3276" s="154"/>
      <c r="L3276" s="154"/>
      <c r="M3276" s="154"/>
      <c r="N3276" s="154">
        <f t="shared" si="99"/>
        <v>2.9572566611769187</v>
      </c>
      <c r="O3276" s="154"/>
    </row>
    <row r="3277" spans="1:15" x14ac:dyDescent="0.35">
      <c r="A3277" s="321"/>
      <c r="B3277" s="320" t="str">
        <f t="shared" si="98"/>
        <v>PV4-102</v>
      </c>
      <c r="C3277" s="153"/>
      <c r="D3277" s="154"/>
      <c r="E3277" s="154">
        <v>1.8</v>
      </c>
      <c r="F3277" s="154">
        <v>1.8</v>
      </c>
      <c r="G3277" s="154"/>
      <c r="H3277" s="154"/>
      <c r="I3277" s="154"/>
      <c r="J3277" s="154">
        <v>0.6</v>
      </c>
      <c r="K3277" s="154"/>
      <c r="L3277" s="154"/>
      <c r="M3277" s="154"/>
      <c r="N3277" s="154">
        <f t="shared" si="99"/>
        <v>2.9572566611769187</v>
      </c>
      <c r="O3277" s="154"/>
    </row>
    <row r="3278" spans="1:15" x14ac:dyDescent="0.35">
      <c r="A3278" s="321"/>
      <c r="B3278" s="320" t="str">
        <f t="shared" si="98"/>
        <v>PV5-102</v>
      </c>
      <c r="C3278" s="153"/>
      <c r="D3278" s="154"/>
      <c r="E3278" s="154">
        <v>1.8</v>
      </c>
      <c r="F3278" s="154">
        <v>1.8</v>
      </c>
      <c r="G3278" s="154"/>
      <c r="H3278" s="154"/>
      <c r="I3278" s="154"/>
      <c r="J3278" s="154">
        <v>0.6</v>
      </c>
      <c r="K3278" s="154"/>
      <c r="L3278" s="154"/>
      <c r="M3278" s="154"/>
      <c r="N3278" s="154">
        <f t="shared" si="99"/>
        <v>2.9572566611769187</v>
      </c>
      <c r="O3278" s="154"/>
    </row>
    <row r="3279" spans="1:15" x14ac:dyDescent="0.35">
      <c r="A3279" s="321"/>
      <c r="B3279" s="320" t="str">
        <f t="shared" si="98"/>
        <v>PV9-102</v>
      </c>
      <c r="C3279" s="153"/>
      <c r="D3279" s="154"/>
      <c r="E3279" s="154">
        <v>1.8</v>
      </c>
      <c r="F3279" s="154">
        <v>1.8</v>
      </c>
      <c r="G3279" s="154"/>
      <c r="H3279" s="154"/>
      <c r="I3279" s="154"/>
      <c r="J3279" s="154">
        <v>0.6</v>
      </c>
      <c r="K3279" s="154"/>
      <c r="L3279" s="154"/>
      <c r="M3279" s="154"/>
      <c r="N3279" s="154">
        <f t="shared" si="99"/>
        <v>2.9572566611769187</v>
      </c>
      <c r="O3279" s="154"/>
    </row>
    <row r="3280" spans="1:15" x14ac:dyDescent="0.35">
      <c r="A3280" s="321"/>
      <c r="B3280" s="320" t="str">
        <f t="shared" si="98"/>
        <v>PV1-103</v>
      </c>
      <c r="C3280" s="153"/>
      <c r="D3280" s="154"/>
      <c r="E3280" s="154">
        <v>1.8</v>
      </c>
      <c r="F3280" s="154">
        <v>1.8</v>
      </c>
      <c r="G3280" s="154"/>
      <c r="H3280" s="154"/>
      <c r="I3280" s="154"/>
      <c r="J3280" s="154">
        <v>0.6</v>
      </c>
      <c r="K3280" s="154"/>
      <c r="L3280" s="154"/>
      <c r="M3280" s="154"/>
      <c r="N3280" s="154">
        <f t="shared" si="99"/>
        <v>2.9572566611769187</v>
      </c>
      <c r="O3280" s="154"/>
    </row>
    <row r="3281" spans="1:15" x14ac:dyDescent="0.35">
      <c r="A3281" s="321"/>
      <c r="B3281" s="320" t="str">
        <f t="shared" si="98"/>
        <v>PV2-103</v>
      </c>
      <c r="C3281" s="153"/>
      <c r="D3281" s="154"/>
      <c r="E3281" s="154">
        <v>1.8</v>
      </c>
      <c r="F3281" s="154">
        <v>1.8</v>
      </c>
      <c r="G3281" s="154"/>
      <c r="H3281" s="154"/>
      <c r="I3281" s="154"/>
      <c r="J3281" s="154">
        <v>0.6</v>
      </c>
      <c r="K3281" s="154"/>
      <c r="L3281" s="154"/>
      <c r="M3281" s="154"/>
      <c r="N3281" s="154">
        <f t="shared" si="99"/>
        <v>2.9572566611769187</v>
      </c>
      <c r="O3281" s="154"/>
    </row>
    <row r="3282" spans="1:15" x14ac:dyDescent="0.35">
      <c r="A3282" s="321"/>
      <c r="B3282" s="320" t="str">
        <f t="shared" si="98"/>
        <v>PV3-103</v>
      </c>
      <c r="C3282" s="153"/>
      <c r="D3282" s="154"/>
      <c r="E3282" s="154">
        <v>1.8</v>
      </c>
      <c r="F3282" s="154">
        <v>1.8</v>
      </c>
      <c r="G3282" s="154"/>
      <c r="H3282" s="154"/>
      <c r="I3282" s="154"/>
      <c r="J3282" s="154">
        <v>0.6</v>
      </c>
      <c r="K3282" s="154"/>
      <c r="L3282" s="154"/>
      <c r="M3282" s="154"/>
      <c r="N3282" s="154">
        <f t="shared" si="99"/>
        <v>2.9572566611769187</v>
      </c>
      <c r="O3282" s="154"/>
    </row>
    <row r="3283" spans="1:15" x14ac:dyDescent="0.35">
      <c r="A3283" s="321"/>
      <c r="B3283" s="320" t="str">
        <f t="shared" si="98"/>
        <v>PV1-104</v>
      </c>
      <c r="C3283" s="153"/>
      <c r="D3283" s="154"/>
      <c r="E3283" s="154">
        <v>1.8</v>
      </c>
      <c r="F3283" s="154">
        <v>1.8</v>
      </c>
      <c r="G3283" s="154"/>
      <c r="H3283" s="154"/>
      <c r="I3283" s="154"/>
      <c r="J3283" s="154">
        <v>0.6</v>
      </c>
      <c r="K3283" s="154"/>
      <c r="L3283" s="154"/>
      <c r="M3283" s="154"/>
      <c r="N3283" s="154">
        <f t="shared" si="99"/>
        <v>2.9572566611769187</v>
      </c>
      <c r="O3283" s="154"/>
    </row>
    <row r="3284" spans="1:15" x14ac:dyDescent="0.35">
      <c r="A3284" s="321"/>
      <c r="B3284" s="320" t="str">
        <f t="shared" si="98"/>
        <v>PV2-104</v>
      </c>
      <c r="C3284" s="153"/>
      <c r="D3284" s="154"/>
      <c r="E3284" s="154">
        <v>1.8</v>
      </c>
      <c r="F3284" s="154">
        <v>1.8</v>
      </c>
      <c r="G3284" s="154"/>
      <c r="H3284" s="154"/>
      <c r="I3284" s="154"/>
      <c r="J3284" s="154">
        <v>0.6</v>
      </c>
      <c r="K3284" s="154"/>
      <c r="L3284" s="154"/>
      <c r="M3284" s="154"/>
      <c r="N3284" s="154">
        <f t="shared" si="99"/>
        <v>2.9572566611769187</v>
      </c>
      <c r="O3284" s="154"/>
    </row>
    <row r="3285" spans="1:15" x14ac:dyDescent="0.35">
      <c r="A3285" s="321"/>
      <c r="B3285" s="320" t="str">
        <f t="shared" si="98"/>
        <v>PV3-104</v>
      </c>
      <c r="C3285" s="153"/>
      <c r="D3285" s="154"/>
      <c r="E3285" s="154">
        <v>1.8</v>
      </c>
      <c r="F3285" s="154">
        <v>1.8</v>
      </c>
      <c r="G3285" s="154"/>
      <c r="H3285" s="154"/>
      <c r="I3285" s="154"/>
      <c r="J3285" s="154">
        <v>0.6</v>
      </c>
      <c r="K3285" s="154"/>
      <c r="L3285" s="154"/>
      <c r="M3285" s="154"/>
      <c r="N3285" s="154">
        <f t="shared" si="99"/>
        <v>2.9572566611769187</v>
      </c>
      <c r="O3285" s="154"/>
    </row>
    <row r="3286" spans="1:15" x14ac:dyDescent="0.35">
      <c r="A3286" s="321"/>
      <c r="B3286" s="320" t="str">
        <f t="shared" si="98"/>
        <v>PV1-105</v>
      </c>
      <c r="C3286" s="153"/>
      <c r="D3286" s="154"/>
      <c r="E3286" s="154">
        <v>1.8</v>
      </c>
      <c r="F3286" s="154">
        <v>1.8</v>
      </c>
      <c r="G3286" s="154"/>
      <c r="H3286" s="154"/>
      <c r="I3286" s="154"/>
      <c r="J3286" s="154">
        <v>0.6</v>
      </c>
      <c r="K3286" s="154"/>
      <c r="L3286" s="154"/>
      <c r="M3286" s="154"/>
      <c r="N3286" s="154">
        <f t="shared" si="99"/>
        <v>2.9572566611769187</v>
      </c>
      <c r="O3286" s="154"/>
    </row>
    <row r="3287" spans="1:15" x14ac:dyDescent="0.35">
      <c r="A3287" s="321"/>
      <c r="B3287" s="320" t="str">
        <f t="shared" si="98"/>
        <v>PV2-105</v>
      </c>
      <c r="C3287" s="153"/>
      <c r="D3287" s="154"/>
      <c r="E3287" s="154">
        <v>1.8</v>
      </c>
      <c r="F3287" s="154">
        <v>1.8</v>
      </c>
      <c r="G3287" s="154"/>
      <c r="H3287" s="154"/>
      <c r="I3287" s="154"/>
      <c r="J3287" s="154">
        <v>0.6</v>
      </c>
      <c r="K3287" s="154"/>
      <c r="L3287" s="154"/>
      <c r="M3287" s="154"/>
      <c r="N3287" s="154">
        <f t="shared" si="99"/>
        <v>2.9572566611769187</v>
      </c>
      <c r="O3287" s="154"/>
    </row>
    <row r="3288" spans="1:15" x14ac:dyDescent="0.35">
      <c r="A3288" s="321"/>
      <c r="B3288" s="320" t="str">
        <f t="shared" si="98"/>
        <v>PV3-105</v>
      </c>
      <c r="C3288" s="153"/>
      <c r="D3288" s="154"/>
      <c r="E3288" s="154">
        <v>1.8</v>
      </c>
      <c r="F3288" s="154">
        <v>1.8</v>
      </c>
      <c r="G3288" s="154"/>
      <c r="H3288" s="154"/>
      <c r="I3288" s="154"/>
      <c r="J3288" s="154">
        <v>0.6</v>
      </c>
      <c r="K3288" s="154"/>
      <c r="L3288" s="154"/>
      <c r="M3288" s="154"/>
      <c r="N3288" s="154">
        <f t="shared" si="99"/>
        <v>2.9572566611769187</v>
      </c>
      <c r="O3288" s="154"/>
    </row>
    <row r="3289" spans="1:15" x14ac:dyDescent="0.35">
      <c r="A3289" s="321"/>
      <c r="B3289" s="320" t="str">
        <f t="shared" si="98"/>
        <v>PV1-106</v>
      </c>
      <c r="C3289" s="153"/>
      <c r="D3289" s="154"/>
      <c r="E3289" s="154">
        <v>1.8</v>
      </c>
      <c r="F3289" s="154">
        <v>1.8</v>
      </c>
      <c r="G3289" s="154"/>
      <c r="H3289" s="154"/>
      <c r="I3289" s="154"/>
      <c r="J3289" s="154">
        <v>0.6</v>
      </c>
      <c r="K3289" s="154"/>
      <c r="L3289" s="154"/>
      <c r="M3289" s="154"/>
      <c r="N3289" s="154">
        <f t="shared" si="99"/>
        <v>2.9572566611769187</v>
      </c>
      <c r="O3289" s="154"/>
    </row>
    <row r="3290" spans="1:15" x14ac:dyDescent="0.35">
      <c r="A3290" s="321"/>
      <c r="B3290" s="320" t="str">
        <f t="shared" si="98"/>
        <v>PV2-106</v>
      </c>
      <c r="C3290" s="153"/>
      <c r="D3290" s="154"/>
      <c r="E3290" s="154">
        <v>1.8</v>
      </c>
      <c r="F3290" s="154">
        <v>1.8</v>
      </c>
      <c r="G3290" s="154"/>
      <c r="H3290" s="154"/>
      <c r="I3290" s="154"/>
      <c r="J3290" s="154">
        <v>0.6</v>
      </c>
      <c r="K3290" s="154"/>
      <c r="L3290" s="154"/>
      <c r="M3290" s="154"/>
      <c r="N3290" s="154">
        <f t="shared" si="99"/>
        <v>2.9572566611769187</v>
      </c>
      <c r="O3290" s="154"/>
    </row>
    <row r="3291" spans="1:15" x14ac:dyDescent="0.35">
      <c r="A3291" s="321"/>
      <c r="B3291" s="320" t="str">
        <f t="shared" si="98"/>
        <v>PV3-106</v>
      </c>
      <c r="C3291" s="153"/>
      <c r="D3291" s="154"/>
      <c r="E3291" s="154">
        <v>1.8</v>
      </c>
      <c r="F3291" s="154">
        <v>1.8</v>
      </c>
      <c r="G3291" s="154"/>
      <c r="H3291" s="154"/>
      <c r="I3291" s="154"/>
      <c r="J3291" s="154">
        <v>0.6</v>
      </c>
      <c r="K3291" s="154"/>
      <c r="L3291" s="154"/>
      <c r="M3291" s="154"/>
      <c r="N3291" s="154">
        <f t="shared" si="99"/>
        <v>2.9572566611769187</v>
      </c>
      <c r="O3291" s="154"/>
    </row>
    <row r="3292" spans="1:15" x14ac:dyDescent="0.35">
      <c r="A3292" s="321"/>
      <c r="B3292" s="320" t="str">
        <f t="shared" si="98"/>
        <v>PV1-107</v>
      </c>
      <c r="C3292" s="153"/>
      <c r="D3292" s="154"/>
      <c r="E3292" s="154">
        <v>1.8</v>
      </c>
      <c r="F3292" s="154">
        <v>1.8</v>
      </c>
      <c r="G3292" s="154"/>
      <c r="H3292" s="154"/>
      <c r="I3292" s="154"/>
      <c r="J3292" s="154">
        <v>0.6</v>
      </c>
      <c r="K3292" s="154"/>
      <c r="L3292" s="154"/>
      <c r="M3292" s="154"/>
      <c r="N3292" s="154">
        <f t="shared" si="99"/>
        <v>2.9572566611769187</v>
      </c>
      <c r="O3292" s="154"/>
    </row>
    <row r="3293" spans="1:15" x14ac:dyDescent="0.35">
      <c r="A3293" s="321"/>
      <c r="B3293" s="320" t="str">
        <f t="shared" si="98"/>
        <v>PV2-107</v>
      </c>
      <c r="C3293" s="153"/>
      <c r="D3293" s="154"/>
      <c r="E3293" s="154">
        <v>1.8</v>
      </c>
      <c r="F3293" s="154">
        <v>1.8</v>
      </c>
      <c r="G3293" s="154"/>
      <c r="H3293" s="154"/>
      <c r="I3293" s="154"/>
      <c r="J3293" s="154">
        <v>0.6</v>
      </c>
      <c r="K3293" s="154"/>
      <c r="L3293" s="154"/>
      <c r="M3293" s="154"/>
      <c r="N3293" s="154">
        <f t="shared" si="99"/>
        <v>2.9572566611769187</v>
      </c>
      <c r="O3293" s="154"/>
    </row>
    <row r="3294" spans="1:15" x14ac:dyDescent="0.35">
      <c r="A3294" s="321"/>
      <c r="B3294" s="320" t="str">
        <f t="shared" si="98"/>
        <v>PV3-107</v>
      </c>
      <c r="C3294" s="153"/>
      <c r="D3294" s="154"/>
      <c r="E3294" s="154">
        <v>1.8</v>
      </c>
      <c r="F3294" s="154">
        <v>1.8</v>
      </c>
      <c r="G3294" s="154"/>
      <c r="H3294" s="154"/>
      <c r="I3294" s="154"/>
      <c r="J3294" s="154">
        <v>0.6</v>
      </c>
      <c r="K3294" s="154"/>
      <c r="L3294" s="154"/>
      <c r="M3294" s="154"/>
      <c r="N3294" s="154">
        <f t="shared" si="99"/>
        <v>2.9572566611769187</v>
      </c>
      <c r="O3294" s="154"/>
    </row>
    <row r="3295" spans="1:15" x14ac:dyDescent="0.35">
      <c r="A3295" s="321"/>
      <c r="B3295" s="320" t="str">
        <f t="shared" si="98"/>
        <v>PV1-108</v>
      </c>
      <c r="C3295" s="153"/>
      <c r="D3295" s="154"/>
      <c r="E3295" s="154">
        <v>1.8</v>
      </c>
      <c r="F3295" s="154">
        <v>1.8</v>
      </c>
      <c r="G3295" s="154"/>
      <c r="H3295" s="154"/>
      <c r="I3295" s="154"/>
      <c r="J3295" s="154">
        <v>0.6</v>
      </c>
      <c r="K3295" s="154"/>
      <c r="L3295" s="154"/>
      <c r="M3295" s="154"/>
      <c r="N3295" s="154">
        <f t="shared" si="99"/>
        <v>2.9572566611769187</v>
      </c>
      <c r="O3295" s="154"/>
    </row>
    <row r="3296" spans="1:15" x14ac:dyDescent="0.35">
      <c r="A3296" s="321"/>
      <c r="B3296" s="320" t="str">
        <f t="shared" si="98"/>
        <v>PV2-108</v>
      </c>
      <c r="C3296" s="153"/>
      <c r="D3296" s="154"/>
      <c r="E3296" s="154">
        <v>1.8</v>
      </c>
      <c r="F3296" s="154">
        <v>1.8</v>
      </c>
      <c r="G3296" s="154"/>
      <c r="H3296" s="154"/>
      <c r="I3296" s="154"/>
      <c r="J3296" s="154">
        <v>0.6</v>
      </c>
      <c r="K3296" s="154"/>
      <c r="L3296" s="154"/>
      <c r="M3296" s="154"/>
      <c r="N3296" s="154">
        <f t="shared" si="99"/>
        <v>2.9572566611769187</v>
      </c>
      <c r="O3296" s="154"/>
    </row>
    <row r="3297" spans="1:15" x14ac:dyDescent="0.35">
      <c r="A3297" s="321"/>
      <c r="B3297" s="320" t="str">
        <f t="shared" si="98"/>
        <v>PV3-108</v>
      </c>
      <c r="C3297" s="153"/>
      <c r="D3297" s="154"/>
      <c r="E3297" s="154">
        <v>1.8</v>
      </c>
      <c r="F3297" s="154">
        <v>1.8</v>
      </c>
      <c r="G3297" s="154"/>
      <c r="H3297" s="154"/>
      <c r="I3297" s="154"/>
      <c r="J3297" s="154">
        <v>0.6</v>
      </c>
      <c r="K3297" s="154"/>
      <c r="L3297" s="154"/>
      <c r="M3297" s="154"/>
      <c r="N3297" s="154">
        <f t="shared" si="99"/>
        <v>2.9572566611769187</v>
      </c>
      <c r="O3297" s="154"/>
    </row>
    <row r="3298" spans="1:15" x14ac:dyDescent="0.35">
      <c r="A3298" s="321"/>
      <c r="B3298" s="320" t="str">
        <f t="shared" si="98"/>
        <v>PV1-109</v>
      </c>
      <c r="C3298" s="153"/>
      <c r="D3298" s="154"/>
      <c r="E3298" s="154">
        <v>1.8</v>
      </c>
      <c r="F3298" s="154">
        <v>1.8</v>
      </c>
      <c r="G3298" s="154"/>
      <c r="H3298" s="154"/>
      <c r="I3298" s="154"/>
      <c r="J3298" s="154">
        <v>0.6</v>
      </c>
      <c r="K3298" s="154"/>
      <c r="L3298" s="154"/>
      <c r="M3298" s="154"/>
      <c r="N3298" s="154">
        <f t="shared" si="99"/>
        <v>2.9572566611769187</v>
      </c>
      <c r="O3298" s="154"/>
    </row>
    <row r="3299" spans="1:15" x14ac:dyDescent="0.35">
      <c r="A3299" s="321"/>
      <c r="B3299" s="320" t="str">
        <f t="shared" si="98"/>
        <v>PV2-109</v>
      </c>
      <c r="C3299" s="153"/>
      <c r="D3299" s="154"/>
      <c r="E3299" s="154">
        <v>1.8</v>
      </c>
      <c r="F3299" s="154">
        <v>1.8</v>
      </c>
      <c r="G3299" s="154"/>
      <c r="H3299" s="154"/>
      <c r="I3299" s="154"/>
      <c r="J3299" s="154">
        <v>0.6</v>
      </c>
      <c r="K3299" s="154"/>
      <c r="L3299" s="154"/>
      <c r="M3299" s="154"/>
      <c r="N3299" s="154">
        <f t="shared" si="99"/>
        <v>2.9572566611769187</v>
      </c>
      <c r="O3299" s="154"/>
    </row>
    <row r="3300" spans="1:15" x14ac:dyDescent="0.35">
      <c r="A3300" s="321"/>
      <c r="B3300" s="320" t="str">
        <f t="shared" si="98"/>
        <v>PV3-109</v>
      </c>
      <c r="C3300" s="153"/>
      <c r="D3300" s="154"/>
      <c r="E3300" s="154">
        <v>1.8</v>
      </c>
      <c r="F3300" s="154">
        <v>1.8</v>
      </c>
      <c r="G3300" s="154"/>
      <c r="H3300" s="154"/>
      <c r="I3300" s="154"/>
      <c r="J3300" s="154">
        <v>0.6</v>
      </c>
      <c r="K3300" s="154"/>
      <c r="L3300" s="154"/>
      <c r="M3300" s="154"/>
      <c r="N3300" s="154">
        <f t="shared" si="99"/>
        <v>2.9572566611769187</v>
      </c>
      <c r="O3300" s="154"/>
    </row>
    <row r="3301" spans="1:15" x14ac:dyDescent="0.35">
      <c r="A3301" s="321"/>
      <c r="B3301" s="320" t="str">
        <f t="shared" si="98"/>
        <v>PV1-110</v>
      </c>
      <c r="C3301" s="153"/>
      <c r="D3301" s="154"/>
      <c r="E3301" s="154">
        <v>1.8</v>
      </c>
      <c r="F3301" s="154">
        <v>1.8</v>
      </c>
      <c r="G3301" s="154"/>
      <c r="H3301" s="154"/>
      <c r="I3301" s="154"/>
      <c r="J3301" s="154">
        <v>0.6</v>
      </c>
      <c r="K3301" s="154"/>
      <c r="L3301" s="154"/>
      <c r="M3301" s="154"/>
      <c r="N3301" s="154">
        <f t="shared" si="99"/>
        <v>2.9572566611769187</v>
      </c>
      <c r="O3301" s="154"/>
    </row>
    <row r="3302" spans="1:15" x14ac:dyDescent="0.35">
      <c r="A3302" s="321"/>
      <c r="B3302" s="320" t="str">
        <f t="shared" si="98"/>
        <v>PV2-110</v>
      </c>
      <c r="C3302" s="153"/>
      <c r="D3302" s="154"/>
      <c r="E3302" s="154">
        <v>1.8</v>
      </c>
      <c r="F3302" s="154">
        <v>1.8</v>
      </c>
      <c r="G3302" s="154"/>
      <c r="H3302" s="154"/>
      <c r="I3302" s="154"/>
      <c r="J3302" s="154">
        <v>0.6</v>
      </c>
      <c r="K3302" s="154"/>
      <c r="L3302" s="154"/>
      <c r="M3302" s="154"/>
      <c r="N3302" s="154">
        <f t="shared" si="99"/>
        <v>2.9572566611769187</v>
      </c>
      <c r="O3302" s="154"/>
    </row>
    <row r="3303" spans="1:15" x14ac:dyDescent="0.35">
      <c r="A3303" s="321"/>
      <c r="B3303" s="320" t="str">
        <f t="shared" si="98"/>
        <v>PV3-110</v>
      </c>
      <c r="C3303" s="153"/>
      <c r="D3303" s="154"/>
      <c r="E3303" s="154">
        <v>1.8</v>
      </c>
      <c r="F3303" s="154">
        <v>1.8</v>
      </c>
      <c r="G3303" s="154"/>
      <c r="H3303" s="154"/>
      <c r="I3303" s="154"/>
      <c r="J3303" s="154">
        <v>0.6</v>
      </c>
      <c r="K3303" s="154"/>
      <c r="L3303" s="154"/>
      <c r="M3303" s="154"/>
      <c r="N3303" s="154">
        <f t="shared" si="99"/>
        <v>2.9572566611769187</v>
      </c>
      <c r="O3303" s="154"/>
    </row>
    <row r="3304" spans="1:15" x14ac:dyDescent="0.35">
      <c r="A3304" s="321"/>
      <c r="B3304" s="320" t="str">
        <f t="shared" si="98"/>
        <v>PV1-111</v>
      </c>
      <c r="C3304" s="153"/>
      <c r="D3304" s="154"/>
      <c r="E3304" s="154">
        <v>1.8</v>
      </c>
      <c r="F3304" s="154">
        <v>1.8</v>
      </c>
      <c r="G3304" s="154"/>
      <c r="H3304" s="154"/>
      <c r="I3304" s="154"/>
      <c r="J3304" s="154">
        <v>0.6</v>
      </c>
      <c r="K3304" s="154"/>
      <c r="L3304" s="154"/>
      <c r="M3304" s="154"/>
      <c r="N3304" s="154">
        <f t="shared" si="99"/>
        <v>2.9572566611769187</v>
      </c>
      <c r="O3304" s="154"/>
    </row>
    <row r="3305" spans="1:15" x14ac:dyDescent="0.35">
      <c r="A3305" s="321"/>
      <c r="B3305" s="320" t="str">
        <f t="shared" si="98"/>
        <v>PV2-111</v>
      </c>
      <c r="C3305" s="153"/>
      <c r="D3305" s="154"/>
      <c r="E3305" s="154">
        <v>1.8</v>
      </c>
      <c r="F3305" s="154">
        <v>1.8</v>
      </c>
      <c r="G3305" s="154"/>
      <c r="H3305" s="154"/>
      <c r="I3305" s="154"/>
      <c r="J3305" s="154">
        <v>0.6</v>
      </c>
      <c r="K3305" s="154"/>
      <c r="L3305" s="154"/>
      <c r="M3305" s="154"/>
      <c r="N3305" s="154">
        <f t="shared" si="99"/>
        <v>2.9572566611769187</v>
      </c>
      <c r="O3305" s="154"/>
    </row>
    <row r="3306" spans="1:15" x14ac:dyDescent="0.35">
      <c r="A3306" s="321"/>
      <c r="B3306" s="320" t="str">
        <f t="shared" ref="B3306:B3337" si="100">B3235</f>
        <v>PV3-111</v>
      </c>
      <c r="C3306" s="153"/>
      <c r="D3306" s="154"/>
      <c r="E3306" s="154">
        <v>1.8</v>
      </c>
      <c r="F3306" s="154">
        <v>1.8</v>
      </c>
      <c r="G3306" s="154"/>
      <c r="H3306" s="154"/>
      <c r="I3306" s="154"/>
      <c r="J3306" s="154">
        <v>0.6</v>
      </c>
      <c r="K3306" s="154"/>
      <c r="L3306" s="154"/>
      <c r="M3306" s="154"/>
      <c r="N3306" s="154">
        <f t="shared" si="99"/>
        <v>2.9572566611769187</v>
      </c>
      <c r="O3306" s="154"/>
    </row>
    <row r="3307" spans="1:15" x14ac:dyDescent="0.35">
      <c r="A3307" s="321"/>
      <c r="B3307" s="320" t="str">
        <f t="shared" si="100"/>
        <v>PV4-111</v>
      </c>
      <c r="C3307" s="153"/>
      <c r="D3307" s="154"/>
      <c r="E3307" s="154">
        <v>1.8</v>
      </c>
      <c r="F3307" s="154">
        <v>1.8</v>
      </c>
      <c r="G3307" s="154"/>
      <c r="H3307" s="154"/>
      <c r="I3307" s="154"/>
      <c r="J3307" s="154">
        <v>0.6</v>
      </c>
      <c r="K3307" s="154"/>
      <c r="L3307" s="154"/>
      <c r="M3307" s="154"/>
      <c r="N3307" s="154">
        <f t="shared" ref="N3307:N3340" si="101">(E3307*F3307)-(PI()*(J3307/2)^2)</f>
        <v>2.9572566611769187</v>
      </c>
      <c r="O3307" s="154"/>
    </row>
    <row r="3308" spans="1:15" x14ac:dyDescent="0.35">
      <c r="A3308" s="321"/>
      <c r="B3308" s="320" t="str">
        <f t="shared" si="100"/>
        <v>PV5-111</v>
      </c>
      <c r="C3308" s="153"/>
      <c r="D3308" s="154"/>
      <c r="E3308" s="154">
        <v>1.8</v>
      </c>
      <c r="F3308" s="154">
        <v>1.8</v>
      </c>
      <c r="G3308" s="154"/>
      <c r="H3308" s="154"/>
      <c r="I3308" s="154"/>
      <c r="J3308" s="154">
        <v>0.6</v>
      </c>
      <c r="K3308" s="154"/>
      <c r="L3308" s="154"/>
      <c r="M3308" s="154"/>
      <c r="N3308" s="154">
        <f t="shared" si="101"/>
        <v>2.9572566611769187</v>
      </c>
      <c r="O3308" s="154"/>
    </row>
    <row r="3309" spans="1:15" x14ac:dyDescent="0.35">
      <c r="A3309" s="321"/>
      <c r="B3309" s="320" t="str">
        <f t="shared" si="100"/>
        <v>PV7-111</v>
      </c>
      <c r="C3309" s="153"/>
      <c r="D3309" s="154"/>
      <c r="E3309" s="154">
        <v>1.8</v>
      </c>
      <c r="F3309" s="154">
        <v>1.8</v>
      </c>
      <c r="G3309" s="154"/>
      <c r="H3309" s="154"/>
      <c r="I3309" s="154"/>
      <c r="J3309" s="154">
        <v>0.6</v>
      </c>
      <c r="K3309" s="154"/>
      <c r="L3309" s="154"/>
      <c r="M3309" s="154"/>
      <c r="N3309" s="154">
        <f t="shared" si="101"/>
        <v>2.9572566611769187</v>
      </c>
      <c r="O3309" s="154"/>
    </row>
    <row r="3310" spans="1:15" x14ac:dyDescent="0.35">
      <c r="A3310" s="321"/>
      <c r="B3310" s="320" t="str">
        <f t="shared" si="100"/>
        <v>PV8-111</v>
      </c>
      <c r="C3310" s="153"/>
      <c r="D3310" s="154"/>
      <c r="E3310" s="154">
        <v>1.8</v>
      </c>
      <c r="F3310" s="154">
        <v>1.8</v>
      </c>
      <c r="G3310" s="154"/>
      <c r="H3310" s="154"/>
      <c r="I3310" s="154"/>
      <c r="J3310" s="154">
        <v>0.6</v>
      </c>
      <c r="K3310" s="154"/>
      <c r="L3310" s="154"/>
      <c r="M3310" s="154"/>
      <c r="N3310" s="154">
        <f t="shared" si="101"/>
        <v>2.9572566611769187</v>
      </c>
      <c r="O3310" s="154"/>
    </row>
    <row r="3311" spans="1:15" x14ac:dyDescent="0.35">
      <c r="A3311" s="321"/>
      <c r="B3311" s="320" t="str">
        <f t="shared" si="100"/>
        <v>PV9-111</v>
      </c>
      <c r="C3311" s="153"/>
      <c r="D3311" s="154"/>
      <c r="E3311" s="154">
        <v>1.8</v>
      </c>
      <c r="F3311" s="154">
        <v>1.8</v>
      </c>
      <c r="G3311" s="154"/>
      <c r="H3311" s="154"/>
      <c r="I3311" s="154"/>
      <c r="J3311" s="154">
        <v>0.6</v>
      </c>
      <c r="K3311" s="154"/>
      <c r="L3311" s="154"/>
      <c r="M3311" s="154"/>
      <c r="N3311" s="154">
        <f t="shared" si="101"/>
        <v>2.9572566611769187</v>
      </c>
      <c r="O3311" s="154"/>
    </row>
    <row r="3312" spans="1:15" x14ac:dyDescent="0.35">
      <c r="A3312" s="321"/>
      <c r="B3312" s="320" t="str">
        <f t="shared" si="100"/>
        <v>PV10-111</v>
      </c>
      <c r="C3312" s="153"/>
      <c r="D3312" s="154"/>
      <c r="E3312" s="154">
        <v>1.8</v>
      </c>
      <c r="F3312" s="154">
        <v>1.8</v>
      </c>
      <c r="G3312" s="154"/>
      <c r="H3312" s="154"/>
      <c r="I3312" s="154"/>
      <c r="J3312" s="154">
        <v>0.6</v>
      </c>
      <c r="K3312" s="154"/>
      <c r="L3312" s="154"/>
      <c r="M3312" s="154"/>
      <c r="N3312" s="154">
        <f t="shared" si="101"/>
        <v>2.9572566611769187</v>
      </c>
      <c r="O3312" s="154"/>
    </row>
    <row r="3313" spans="1:15" x14ac:dyDescent="0.35">
      <c r="A3313" s="321"/>
      <c r="B3313" s="320" t="str">
        <f t="shared" si="100"/>
        <v>PV1-112</v>
      </c>
      <c r="C3313" s="153"/>
      <c r="D3313" s="154"/>
      <c r="E3313" s="154">
        <v>1.8</v>
      </c>
      <c r="F3313" s="154">
        <v>1.8</v>
      </c>
      <c r="G3313" s="154"/>
      <c r="H3313" s="154"/>
      <c r="I3313" s="154"/>
      <c r="J3313" s="154">
        <v>0.6</v>
      </c>
      <c r="K3313" s="154"/>
      <c r="L3313" s="154"/>
      <c r="M3313" s="154"/>
      <c r="N3313" s="154">
        <f t="shared" si="101"/>
        <v>2.9572566611769187</v>
      </c>
      <c r="O3313" s="154"/>
    </row>
    <row r="3314" spans="1:15" x14ac:dyDescent="0.35">
      <c r="A3314" s="321"/>
      <c r="B3314" s="320" t="str">
        <f t="shared" si="100"/>
        <v>PV2-112</v>
      </c>
      <c r="C3314" s="153"/>
      <c r="D3314" s="154"/>
      <c r="E3314" s="154">
        <v>1.8</v>
      </c>
      <c r="F3314" s="154">
        <v>1.8</v>
      </c>
      <c r="G3314" s="154"/>
      <c r="H3314" s="154"/>
      <c r="I3314" s="154"/>
      <c r="J3314" s="154">
        <v>0.6</v>
      </c>
      <c r="K3314" s="154"/>
      <c r="L3314" s="154"/>
      <c r="M3314" s="154"/>
      <c r="N3314" s="154">
        <f t="shared" si="101"/>
        <v>2.9572566611769187</v>
      </c>
      <c r="O3314" s="154"/>
    </row>
    <row r="3315" spans="1:15" x14ac:dyDescent="0.35">
      <c r="A3315" s="321"/>
      <c r="B3315" s="320" t="str">
        <f t="shared" si="100"/>
        <v>PV3-112</v>
      </c>
      <c r="C3315" s="153"/>
      <c r="D3315" s="154"/>
      <c r="E3315" s="154">
        <v>1.8</v>
      </c>
      <c r="F3315" s="154">
        <v>1.8</v>
      </c>
      <c r="G3315" s="154"/>
      <c r="H3315" s="154"/>
      <c r="I3315" s="154"/>
      <c r="J3315" s="154">
        <v>0.6</v>
      </c>
      <c r="K3315" s="154"/>
      <c r="L3315" s="154"/>
      <c r="M3315" s="154"/>
      <c r="N3315" s="154">
        <f t="shared" si="101"/>
        <v>2.9572566611769187</v>
      </c>
      <c r="O3315" s="154"/>
    </row>
    <row r="3316" spans="1:15" x14ac:dyDescent="0.35">
      <c r="A3316" s="321"/>
      <c r="B3316" s="320" t="str">
        <f t="shared" si="100"/>
        <v>PV1-113</v>
      </c>
      <c r="C3316" s="153"/>
      <c r="D3316" s="154"/>
      <c r="E3316" s="154">
        <v>1.8</v>
      </c>
      <c r="F3316" s="154">
        <v>1.8</v>
      </c>
      <c r="G3316" s="154"/>
      <c r="H3316" s="154"/>
      <c r="I3316" s="154"/>
      <c r="J3316" s="154">
        <v>0.6</v>
      </c>
      <c r="K3316" s="154"/>
      <c r="L3316" s="154"/>
      <c r="M3316" s="154"/>
      <c r="N3316" s="154">
        <f t="shared" si="101"/>
        <v>2.9572566611769187</v>
      </c>
      <c r="O3316" s="154"/>
    </row>
    <row r="3317" spans="1:15" x14ac:dyDescent="0.35">
      <c r="A3317" s="321"/>
      <c r="B3317" s="320" t="str">
        <f t="shared" si="100"/>
        <v>PV2-113</v>
      </c>
      <c r="C3317" s="153"/>
      <c r="D3317" s="154"/>
      <c r="E3317" s="154">
        <v>1.8</v>
      </c>
      <c r="F3317" s="154">
        <v>1.8</v>
      </c>
      <c r="G3317" s="154"/>
      <c r="H3317" s="154"/>
      <c r="I3317" s="154"/>
      <c r="J3317" s="154">
        <v>0.6</v>
      </c>
      <c r="K3317" s="154"/>
      <c r="L3317" s="154"/>
      <c r="M3317" s="154"/>
      <c r="N3317" s="154">
        <f t="shared" si="101"/>
        <v>2.9572566611769187</v>
      </c>
      <c r="O3317" s="154"/>
    </row>
    <row r="3318" spans="1:15" x14ac:dyDescent="0.35">
      <c r="A3318" s="321"/>
      <c r="B3318" s="320" t="str">
        <f t="shared" si="100"/>
        <v>PV3-113</v>
      </c>
      <c r="C3318" s="153"/>
      <c r="D3318" s="154"/>
      <c r="E3318" s="154">
        <v>1.8</v>
      </c>
      <c r="F3318" s="154">
        <v>1.8</v>
      </c>
      <c r="G3318" s="154"/>
      <c r="H3318" s="154"/>
      <c r="I3318" s="154"/>
      <c r="J3318" s="154">
        <v>0.6</v>
      </c>
      <c r="K3318" s="154"/>
      <c r="L3318" s="154"/>
      <c r="M3318" s="154"/>
      <c r="N3318" s="154">
        <f t="shared" si="101"/>
        <v>2.9572566611769187</v>
      </c>
      <c r="O3318" s="154"/>
    </row>
    <row r="3319" spans="1:15" x14ac:dyDescent="0.35">
      <c r="A3319" s="321"/>
      <c r="B3319" s="320" t="str">
        <f t="shared" si="100"/>
        <v>PV1-114</v>
      </c>
      <c r="C3319" s="153"/>
      <c r="D3319" s="154"/>
      <c r="E3319" s="154">
        <v>1.8</v>
      </c>
      <c r="F3319" s="154">
        <v>1.8</v>
      </c>
      <c r="G3319" s="154"/>
      <c r="H3319" s="154"/>
      <c r="I3319" s="154"/>
      <c r="J3319" s="154">
        <v>0.6</v>
      </c>
      <c r="K3319" s="154"/>
      <c r="L3319" s="154"/>
      <c r="M3319" s="154"/>
      <c r="N3319" s="154">
        <f t="shared" si="101"/>
        <v>2.9572566611769187</v>
      </c>
      <c r="O3319" s="154"/>
    </row>
    <row r="3320" spans="1:15" x14ac:dyDescent="0.35">
      <c r="A3320" s="321"/>
      <c r="B3320" s="320" t="str">
        <f t="shared" si="100"/>
        <v>PV2-114</v>
      </c>
      <c r="C3320" s="153"/>
      <c r="D3320" s="154"/>
      <c r="E3320" s="154">
        <v>1.8</v>
      </c>
      <c r="F3320" s="154">
        <v>1.8</v>
      </c>
      <c r="G3320" s="154"/>
      <c r="H3320" s="154"/>
      <c r="I3320" s="154"/>
      <c r="J3320" s="154">
        <v>0.6</v>
      </c>
      <c r="K3320" s="154"/>
      <c r="L3320" s="154"/>
      <c r="M3320" s="154"/>
      <c r="N3320" s="154">
        <f t="shared" si="101"/>
        <v>2.9572566611769187</v>
      </c>
      <c r="O3320" s="154"/>
    </row>
    <row r="3321" spans="1:15" x14ac:dyDescent="0.35">
      <c r="A3321" s="321"/>
      <c r="B3321" s="320" t="str">
        <f t="shared" si="100"/>
        <v>PV3-114</v>
      </c>
      <c r="C3321" s="153"/>
      <c r="D3321" s="154"/>
      <c r="E3321" s="154">
        <v>1.8</v>
      </c>
      <c r="F3321" s="154">
        <v>1.8</v>
      </c>
      <c r="G3321" s="154"/>
      <c r="H3321" s="154"/>
      <c r="I3321" s="154"/>
      <c r="J3321" s="154">
        <v>0.6</v>
      </c>
      <c r="K3321" s="154"/>
      <c r="L3321" s="154"/>
      <c r="M3321" s="154"/>
      <c r="N3321" s="154">
        <f t="shared" si="101"/>
        <v>2.9572566611769187</v>
      </c>
      <c r="O3321" s="154"/>
    </row>
    <row r="3322" spans="1:15" x14ac:dyDescent="0.35">
      <c r="A3322" s="321"/>
      <c r="B3322" s="320" t="str">
        <f t="shared" si="100"/>
        <v>PV1-115</v>
      </c>
      <c r="C3322" s="153"/>
      <c r="D3322" s="154"/>
      <c r="E3322" s="154">
        <v>1.8</v>
      </c>
      <c r="F3322" s="154">
        <v>1.8</v>
      </c>
      <c r="G3322" s="154"/>
      <c r="H3322" s="154"/>
      <c r="I3322" s="154"/>
      <c r="J3322" s="154">
        <v>0.6</v>
      </c>
      <c r="K3322" s="154"/>
      <c r="L3322" s="154"/>
      <c r="M3322" s="154"/>
      <c r="N3322" s="154">
        <f t="shared" si="101"/>
        <v>2.9572566611769187</v>
      </c>
      <c r="O3322" s="154"/>
    </row>
    <row r="3323" spans="1:15" x14ac:dyDescent="0.35">
      <c r="A3323" s="321"/>
      <c r="B3323" s="320" t="str">
        <f t="shared" si="100"/>
        <v>PV2-115</v>
      </c>
      <c r="C3323" s="153"/>
      <c r="D3323" s="154"/>
      <c r="E3323" s="154">
        <v>1.8</v>
      </c>
      <c r="F3323" s="154">
        <v>1.8</v>
      </c>
      <c r="G3323" s="154"/>
      <c r="H3323" s="154"/>
      <c r="I3323" s="154"/>
      <c r="J3323" s="154">
        <v>0.6</v>
      </c>
      <c r="K3323" s="154"/>
      <c r="L3323" s="154"/>
      <c r="M3323" s="154"/>
      <c r="N3323" s="154">
        <f t="shared" si="101"/>
        <v>2.9572566611769187</v>
      </c>
      <c r="O3323" s="154"/>
    </row>
    <row r="3324" spans="1:15" x14ac:dyDescent="0.35">
      <c r="A3324" s="321"/>
      <c r="B3324" s="320" t="str">
        <f t="shared" si="100"/>
        <v>PV3-115</v>
      </c>
      <c r="C3324" s="153"/>
      <c r="D3324" s="154"/>
      <c r="E3324" s="154">
        <v>1.8</v>
      </c>
      <c r="F3324" s="154">
        <v>1.8</v>
      </c>
      <c r="G3324" s="154"/>
      <c r="H3324" s="154"/>
      <c r="I3324" s="154"/>
      <c r="J3324" s="154">
        <v>0.6</v>
      </c>
      <c r="K3324" s="154"/>
      <c r="L3324" s="154"/>
      <c r="M3324" s="154"/>
      <c r="N3324" s="154">
        <f t="shared" si="101"/>
        <v>2.9572566611769187</v>
      </c>
      <c r="O3324" s="154"/>
    </row>
    <row r="3325" spans="1:15" x14ac:dyDescent="0.35">
      <c r="A3325" s="321"/>
      <c r="B3325" s="320" t="str">
        <f t="shared" si="100"/>
        <v>PV4-115</v>
      </c>
      <c r="C3325" s="153"/>
      <c r="D3325" s="154"/>
      <c r="E3325" s="154">
        <v>1.8</v>
      </c>
      <c r="F3325" s="154">
        <v>1.8</v>
      </c>
      <c r="G3325" s="154"/>
      <c r="H3325" s="154"/>
      <c r="I3325" s="154"/>
      <c r="J3325" s="154">
        <v>0.6</v>
      </c>
      <c r="K3325" s="154"/>
      <c r="L3325" s="154"/>
      <c r="M3325" s="154"/>
      <c r="N3325" s="154">
        <f t="shared" si="101"/>
        <v>2.9572566611769187</v>
      </c>
      <c r="O3325" s="154"/>
    </row>
    <row r="3326" spans="1:15" x14ac:dyDescent="0.35">
      <c r="A3326" s="321"/>
      <c r="B3326" s="320" t="str">
        <f t="shared" si="100"/>
        <v>PV5-115</v>
      </c>
      <c r="C3326" s="153"/>
      <c r="D3326" s="154"/>
      <c r="E3326" s="154">
        <v>1.8</v>
      </c>
      <c r="F3326" s="154">
        <v>1.8</v>
      </c>
      <c r="G3326" s="154"/>
      <c r="H3326" s="154"/>
      <c r="I3326" s="154"/>
      <c r="J3326" s="154">
        <v>0.6</v>
      </c>
      <c r="K3326" s="154"/>
      <c r="L3326" s="154"/>
      <c r="M3326" s="154"/>
      <c r="N3326" s="154">
        <f t="shared" si="101"/>
        <v>2.9572566611769187</v>
      </c>
      <c r="O3326" s="154"/>
    </row>
    <row r="3327" spans="1:15" x14ac:dyDescent="0.35">
      <c r="A3327" s="321"/>
      <c r="B3327" s="320" t="str">
        <f t="shared" si="100"/>
        <v>PV1-116</v>
      </c>
      <c r="C3327" s="153"/>
      <c r="D3327" s="154"/>
      <c r="E3327" s="154">
        <v>1.8</v>
      </c>
      <c r="F3327" s="154">
        <v>1.8</v>
      </c>
      <c r="G3327" s="154"/>
      <c r="H3327" s="154"/>
      <c r="I3327" s="154"/>
      <c r="J3327" s="154">
        <v>0.6</v>
      </c>
      <c r="K3327" s="154"/>
      <c r="L3327" s="154"/>
      <c r="M3327" s="154"/>
      <c r="N3327" s="154">
        <f t="shared" si="101"/>
        <v>2.9572566611769187</v>
      </c>
      <c r="O3327" s="154"/>
    </row>
    <row r="3328" spans="1:15" x14ac:dyDescent="0.35">
      <c r="A3328" s="321"/>
      <c r="B3328" s="320" t="str">
        <f t="shared" si="100"/>
        <v>PV2-116</v>
      </c>
      <c r="C3328" s="153"/>
      <c r="D3328" s="154"/>
      <c r="E3328" s="154">
        <v>1.8</v>
      </c>
      <c r="F3328" s="154">
        <v>1.8</v>
      </c>
      <c r="G3328" s="154"/>
      <c r="H3328" s="154"/>
      <c r="I3328" s="154"/>
      <c r="J3328" s="154">
        <v>0.6</v>
      </c>
      <c r="K3328" s="154"/>
      <c r="L3328" s="154"/>
      <c r="M3328" s="154"/>
      <c r="N3328" s="154">
        <f t="shared" si="101"/>
        <v>2.9572566611769187</v>
      </c>
      <c r="O3328" s="154"/>
    </row>
    <row r="3329" spans="1:15" x14ac:dyDescent="0.35">
      <c r="A3329" s="321"/>
      <c r="B3329" s="320" t="str">
        <f t="shared" si="100"/>
        <v>PV3-116</v>
      </c>
      <c r="C3329" s="153"/>
      <c r="D3329" s="154"/>
      <c r="E3329" s="154">
        <v>1.8</v>
      </c>
      <c r="F3329" s="154">
        <v>1.8</v>
      </c>
      <c r="G3329" s="154"/>
      <c r="H3329" s="154"/>
      <c r="I3329" s="154"/>
      <c r="J3329" s="154">
        <v>0.6</v>
      </c>
      <c r="K3329" s="154"/>
      <c r="L3329" s="154"/>
      <c r="M3329" s="154"/>
      <c r="N3329" s="154">
        <f t="shared" si="101"/>
        <v>2.9572566611769187</v>
      </c>
      <c r="O3329" s="154"/>
    </row>
    <row r="3330" spans="1:15" x14ac:dyDescent="0.35">
      <c r="A3330" s="321"/>
      <c r="B3330" s="320" t="str">
        <f t="shared" si="100"/>
        <v>PV1-117</v>
      </c>
      <c r="C3330" s="153"/>
      <c r="D3330" s="154"/>
      <c r="E3330" s="154">
        <v>1.8</v>
      </c>
      <c r="F3330" s="154">
        <v>1.8</v>
      </c>
      <c r="G3330" s="154"/>
      <c r="H3330" s="154"/>
      <c r="I3330" s="154"/>
      <c r="J3330" s="154">
        <v>0.6</v>
      </c>
      <c r="K3330" s="154"/>
      <c r="L3330" s="154"/>
      <c r="M3330" s="154"/>
      <c r="N3330" s="154">
        <f t="shared" si="101"/>
        <v>2.9572566611769187</v>
      </c>
      <c r="O3330" s="154"/>
    </row>
    <row r="3331" spans="1:15" x14ac:dyDescent="0.35">
      <c r="A3331" s="321"/>
      <c r="B3331" s="320" t="str">
        <f t="shared" si="100"/>
        <v>PV2-117</v>
      </c>
      <c r="C3331" s="153"/>
      <c r="D3331" s="154"/>
      <c r="E3331" s="154">
        <v>1.8</v>
      </c>
      <c r="F3331" s="154">
        <v>1.8</v>
      </c>
      <c r="G3331" s="154"/>
      <c r="H3331" s="154"/>
      <c r="I3331" s="154"/>
      <c r="J3331" s="154">
        <v>0.6</v>
      </c>
      <c r="K3331" s="154"/>
      <c r="L3331" s="154"/>
      <c r="M3331" s="154"/>
      <c r="N3331" s="154">
        <f t="shared" si="101"/>
        <v>2.9572566611769187</v>
      </c>
      <c r="O3331" s="154"/>
    </row>
    <row r="3332" spans="1:15" x14ac:dyDescent="0.35">
      <c r="A3332" s="321"/>
      <c r="B3332" s="320" t="str">
        <f t="shared" si="100"/>
        <v>PV3-117</v>
      </c>
      <c r="C3332" s="153"/>
      <c r="D3332" s="154"/>
      <c r="E3332" s="154">
        <v>1.8</v>
      </c>
      <c r="F3332" s="154">
        <v>1.8</v>
      </c>
      <c r="G3332" s="154"/>
      <c r="H3332" s="154"/>
      <c r="I3332" s="154"/>
      <c r="J3332" s="154">
        <v>0.6</v>
      </c>
      <c r="K3332" s="154"/>
      <c r="L3332" s="154"/>
      <c r="M3332" s="154"/>
      <c r="N3332" s="154">
        <f t="shared" si="101"/>
        <v>2.9572566611769187</v>
      </c>
      <c r="O3332" s="154"/>
    </row>
    <row r="3333" spans="1:15" x14ac:dyDescent="0.35">
      <c r="A3333" s="321"/>
      <c r="B3333" s="320" t="str">
        <f t="shared" si="100"/>
        <v>PV1-119</v>
      </c>
      <c r="C3333" s="153"/>
      <c r="D3333" s="154"/>
      <c r="E3333" s="154">
        <v>1.8</v>
      </c>
      <c r="F3333" s="154">
        <v>1.8</v>
      </c>
      <c r="G3333" s="154"/>
      <c r="H3333" s="154"/>
      <c r="I3333" s="154"/>
      <c r="J3333" s="154">
        <v>0.6</v>
      </c>
      <c r="K3333" s="154"/>
      <c r="L3333" s="154"/>
      <c r="M3333" s="154"/>
      <c r="N3333" s="154">
        <f t="shared" si="101"/>
        <v>2.9572566611769187</v>
      </c>
      <c r="O3333" s="154"/>
    </row>
    <row r="3334" spans="1:15" x14ac:dyDescent="0.35">
      <c r="A3334" s="321"/>
      <c r="B3334" s="320" t="str">
        <f t="shared" si="100"/>
        <v>PV2-119</v>
      </c>
      <c r="C3334" s="153"/>
      <c r="D3334" s="154"/>
      <c r="E3334" s="154">
        <v>1.8</v>
      </c>
      <c r="F3334" s="154">
        <v>1.8</v>
      </c>
      <c r="G3334" s="154"/>
      <c r="H3334" s="154"/>
      <c r="I3334" s="154"/>
      <c r="J3334" s="154">
        <v>0.6</v>
      </c>
      <c r="K3334" s="154"/>
      <c r="L3334" s="154"/>
      <c r="M3334" s="154"/>
      <c r="N3334" s="154">
        <f t="shared" si="101"/>
        <v>2.9572566611769187</v>
      </c>
      <c r="O3334" s="154"/>
    </row>
    <row r="3335" spans="1:15" x14ac:dyDescent="0.35">
      <c r="A3335" s="321"/>
      <c r="B3335" s="320" t="str">
        <f t="shared" si="100"/>
        <v>PV3-119</v>
      </c>
      <c r="C3335" s="153"/>
      <c r="D3335" s="154"/>
      <c r="E3335" s="154">
        <v>1.8</v>
      </c>
      <c r="F3335" s="154">
        <v>1.8</v>
      </c>
      <c r="G3335" s="154"/>
      <c r="H3335" s="154"/>
      <c r="I3335" s="154"/>
      <c r="J3335" s="154">
        <v>0.6</v>
      </c>
      <c r="K3335" s="154"/>
      <c r="L3335" s="154"/>
      <c r="M3335" s="154"/>
      <c r="N3335" s="154">
        <f t="shared" si="101"/>
        <v>2.9572566611769187</v>
      </c>
      <c r="O3335" s="154"/>
    </row>
    <row r="3336" spans="1:15" x14ac:dyDescent="0.35">
      <c r="A3336" s="321"/>
      <c r="B3336" s="320" t="str">
        <f t="shared" si="100"/>
        <v>PV19-121</v>
      </c>
      <c r="C3336" s="153"/>
      <c r="D3336" s="154"/>
      <c r="E3336" s="154">
        <v>1.8</v>
      </c>
      <c r="F3336" s="154">
        <v>1.8</v>
      </c>
      <c r="G3336" s="154"/>
      <c r="H3336" s="154"/>
      <c r="I3336" s="154"/>
      <c r="J3336" s="154">
        <v>0.6</v>
      </c>
      <c r="K3336" s="154"/>
      <c r="L3336" s="154"/>
      <c r="M3336" s="154"/>
      <c r="N3336" s="154">
        <f t="shared" si="101"/>
        <v>2.9572566611769187</v>
      </c>
      <c r="O3336" s="154"/>
    </row>
    <row r="3337" spans="1:15" x14ac:dyDescent="0.35">
      <c r="A3337" s="321"/>
      <c r="B3337" s="320" t="str">
        <f t="shared" si="100"/>
        <v>PV6-102</v>
      </c>
      <c r="C3337" s="153"/>
      <c r="D3337" s="154"/>
      <c r="E3337" s="154">
        <v>1.8</v>
      </c>
      <c r="F3337" s="154">
        <v>1.8</v>
      </c>
      <c r="G3337" s="154"/>
      <c r="H3337" s="154"/>
      <c r="I3337" s="154"/>
      <c r="J3337" s="154">
        <v>0.6</v>
      </c>
      <c r="K3337" s="154"/>
      <c r="L3337" s="154"/>
      <c r="M3337" s="154"/>
      <c r="N3337" s="154">
        <f t="shared" si="101"/>
        <v>2.9572566611769187</v>
      </c>
      <c r="O3337" s="154"/>
    </row>
    <row r="3338" spans="1:15" x14ac:dyDescent="0.35">
      <c r="A3338" s="321"/>
      <c r="B3338" s="320" t="str">
        <f t="shared" ref="B3338:B3340" si="102">B3267</f>
        <v>PV7-102</v>
      </c>
      <c r="C3338" s="153"/>
      <c r="D3338" s="154"/>
      <c r="E3338" s="154">
        <v>1.8</v>
      </c>
      <c r="F3338" s="154">
        <v>1.8</v>
      </c>
      <c r="G3338" s="154"/>
      <c r="H3338" s="154"/>
      <c r="I3338" s="154"/>
      <c r="J3338" s="154">
        <v>0.6</v>
      </c>
      <c r="K3338" s="154"/>
      <c r="L3338" s="154"/>
      <c r="M3338" s="154"/>
      <c r="N3338" s="154">
        <f t="shared" si="101"/>
        <v>2.9572566611769187</v>
      </c>
      <c r="O3338" s="154"/>
    </row>
    <row r="3339" spans="1:15" x14ac:dyDescent="0.35">
      <c r="A3339" s="321"/>
      <c r="B3339" s="320" t="str">
        <f t="shared" si="102"/>
        <v>PV8-102</v>
      </c>
      <c r="C3339" s="153"/>
      <c r="D3339" s="154"/>
      <c r="E3339" s="154">
        <v>1.8</v>
      </c>
      <c r="F3339" s="154">
        <v>1.8</v>
      </c>
      <c r="G3339" s="154"/>
      <c r="H3339" s="154"/>
      <c r="I3339" s="154"/>
      <c r="J3339" s="154">
        <v>0.6</v>
      </c>
      <c r="K3339" s="154"/>
      <c r="L3339" s="154"/>
      <c r="M3339" s="154"/>
      <c r="N3339" s="154">
        <f t="shared" si="101"/>
        <v>2.9572566611769187</v>
      </c>
      <c r="O3339" s="154"/>
    </row>
    <row r="3340" spans="1:15" x14ac:dyDescent="0.35">
      <c r="A3340" s="321"/>
      <c r="B3340" s="320" t="str">
        <f t="shared" si="102"/>
        <v>PV6-111</v>
      </c>
      <c r="C3340" s="153"/>
      <c r="D3340" s="154"/>
      <c r="E3340" s="154">
        <v>1.8</v>
      </c>
      <c r="F3340" s="154">
        <v>1.8</v>
      </c>
      <c r="G3340" s="154"/>
      <c r="H3340" s="154"/>
      <c r="I3340" s="154"/>
      <c r="J3340" s="154">
        <v>0.6</v>
      </c>
      <c r="K3340" s="154"/>
      <c r="L3340" s="154"/>
      <c r="M3340" s="154"/>
      <c r="N3340" s="154">
        <f t="shared" si="101"/>
        <v>2.9572566611769187</v>
      </c>
      <c r="O3340" s="154"/>
    </row>
    <row r="3341" spans="1:15" x14ac:dyDescent="0.35">
      <c r="A3341" s="321"/>
      <c r="B3341" s="320"/>
      <c r="C3341" s="153"/>
      <c r="D3341" s="154"/>
      <c r="E3341" s="154"/>
      <c r="F3341" s="154"/>
      <c r="G3341" s="154"/>
      <c r="H3341" s="154"/>
      <c r="I3341" s="154"/>
      <c r="J3341" s="154"/>
      <c r="K3341" s="154"/>
      <c r="L3341" s="156"/>
      <c r="M3341" s="154"/>
      <c r="N3341" s="154"/>
      <c r="O3341" s="154"/>
    </row>
    <row r="3342" spans="1:15" x14ac:dyDescent="0.35">
      <c r="A3342" s="321"/>
      <c r="B3342" s="318" t="s">
        <v>377</v>
      </c>
      <c r="C3342" s="158" t="s">
        <v>402</v>
      </c>
      <c r="D3342" s="158"/>
      <c r="E3342" s="158"/>
      <c r="F3342" s="158"/>
      <c r="G3342" s="158"/>
      <c r="H3342" s="158"/>
      <c r="I3342" s="158"/>
      <c r="J3342" s="158"/>
      <c r="K3342" s="158"/>
      <c r="L3342" s="158"/>
      <c r="M3342" s="158"/>
      <c r="N3342" s="158">
        <f>SUM(N3275:N3341)</f>
        <v>195.17893963767673</v>
      </c>
      <c r="O3342" s="158"/>
    </row>
    <row r="3343" spans="1:15" ht="21" x14ac:dyDescent="0.35">
      <c r="A3343" s="323" t="str">
        <f>ORÇAMENTO!A537</f>
        <v>5.5.10</v>
      </c>
      <c r="B3343" s="322" t="str">
        <f>VLOOKUP(A3343,ORÇAMENTO!$A:$F,4,0)</f>
        <v>BASE OU SUB-BASE DE BRITA GRADUADA COM BRITA COMERCIAL</v>
      </c>
      <c r="C3343" s="149" t="str">
        <f>VLOOKUP(A3343,ORÇAMENTO!$A:$F,5,0)</f>
        <v>M³</v>
      </c>
      <c r="D3343" s="149">
        <f>SUM(E3413:O3413)</f>
        <v>25.595056402486247</v>
      </c>
      <c r="E3343" s="149" t="s">
        <v>2149</v>
      </c>
      <c r="F3343" s="149" t="s">
        <v>2150</v>
      </c>
      <c r="G3343" s="149" t="s">
        <v>2151</v>
      </c>
      <c r="H3343" s="149" t="s">
        <v>2152</v>
      </c>
      <c r="I3343" s="149" t="s">
        <v>2153</v>
      </c>
      <c r="J3343" s="149" t="s">
        <v>2154</v>
      </c>
      <c r="K3343" s="149" t="s">
        <v>2155</v>
      </c>
      <c r="L3343" s="149" t="s">
        <v>2156</v>
      </c>
      <c r="M3343" s="149" t="s">
        <v>413</v>
      </c>
      <c r="N3343" s="149" t="s">
        <v>2157</v>
      </c>
      <c r="O3343" s="149" t="s">
        <v>2158</v>
      </c>
    </row>
    <row r="3344" spans="1:15" x14ac:dyDescent="0.35">
      <c r="A3344" s="321"/>
      <c r="B3344" s="318" t="s">
        <v>2325</v>
      </c>
      <c r="C3344" s="153"/>
      <c r="D3344" s="154"/>
      <c r="E3344" s="154"/>
      <c r="F3344" s="154"/>
      <c r="G3344" s="154">
        <v>0.15</v>
      </c>
      <c r="H3344" s="154"/>
      <c r="I3344" s="154"/>
      <c r="J3344" s="154"/>
      <c r="K3344" s="154"/>
      <c r="L3344" s="154"/>
      <c r="M3344" s="154"/>
      <c r="N3344" s="154"/>
      <c r="O3344" s="154"/>
    </row>
    <row r="3345" spans="1:15" x14ac:dyDescent="0.35">
      <c r="A3345" s="321"/>
      <c r="B3345" s="320" t="s">
        <v>2326</v>
      </c>
      <c r="C3345" s="153"/>
      <c r="D3345" s="154"/>
      <c r="E3345" s="154"/>
      <c r="F3345" s="154"/>
      <c r="G3345" s="154"/>
      <c r="H3345" s="154"/>
      <c r="I3345" s="154"/>
      <c r="J3345" s="154"/>
      <c r="K3345" s="154"/>
      <c r="L3345" s="154"/>
      <c r="M3345" s="154"/>
      <c r="N3345" s="154"/>
      <c r="O3345" s="154"/>
    </row>
    <row r="3346" spans="1:15" x14ac:dyDescent="0.35">
      <c r="A3346" s="321"/>
      <c r="B3346" s="320" t="str">
        <f t="shared" ref="B3346:B3377" si="103">B3121</f>
        <v>PV2-102</v>
      </c>
      <c r="C3346" s="153"/>
      <c r="D3346" s="154"/>
      <c r="E3346" s="154">
        <v>1.8</v>
      </c>
      <c r="F3346" s="154">
        <v>1.8</v>
      </c>
      <c r="G3346" s="154">
        <f t="shared" ref="G3346:G3377" si="104">IF(G3121&gt;=$G$3344,$G$3344,G3121)</f>
        <v>0.15</v>
      </c>
      <c r="H3346" s="154"/>
      <c r="I3346" s="154"/>
      <c r="J3346" s="154">
        <v>0.6</v>
      </c>
      <c r="K3346" s="154"/>
      <c r="L3346" s="154"/>
      <c r="M3346" s="154"/>
      <c r="N3346" s="154">
        <f t="shared" ref="N3346:N3377" si="105">(E3346*F3346)-(PI()*(J3346/2)^2)</f>
        <v>2.9572566611769187</v>
      </c>
      <c r="O3346" s="154">
        <f t="shared" ref="O3346:O3377" si="106">N3346*G3346</f>
        <v>0.44358849917653781</v>
      </c>
    </row>
    <row r="3347" spans="1:15" x14ac:dyDescent="0.35">
      <c r="A3347" s="321"/>
      <c r="B3347" s="320" t="str">
        <f t="shared" si="103"/>
        <v>PV3-102</v>
      </c>
      <c r="C3347" s="153"/>
      <c r="D3347" s="154"/>
      <c r="E3347" s="154">
        <v>1.8</v>
      </c>
      <c r="F3347" s="154">
        <v>1.8</v>
      </c>
      <c r="G3347" s="154">
        <f t="shared" si="104"/>
        <v>0.11999999999999991</v>
      </c>
      <c r="H3347" s="154"/>
      <c r="I3347" s="154"/>
      <c r="J3347" s="154">
        <v>0.6</v>
      </c>
      <c r="K3347" s="154"/>
      <c r="L3347" s="154"/>
      <c r="M3347" s="154"/>
      <c r="N3347" s="154">
        <f t="shared" si="105"/>
        <v>2.9572566611769187</v>
      </c>
      <c r="O3347" s="154">
        <f t="shared" si="106"/>
        <v>0.35487079934123</v>
      </c>
    </row>
    <row r="3348" spans="1:15" x14ac:dyDescent="0.35">
      <c r="A3348" s="321"/>
      <c r="B3348" s="320" t="str">
        <f t="shared" si="103"/>
        <v>PV4-102</v>
      </c>
      <c r="C3348" s="153"/>
      <c r="D3348" s="154"/>
      <c r="E3348" s="154">
        <v>1.8</v>
      </c>
      <c r="F3348" s="154">
        <v>1.8</v>
      </c>
      <c r="G3348" s="154">
        <f t="shared" si="104"/>
        <v>0.15</v>
      </c>
      <c r="H3348" s="154"/>
      <c r="I3348" s="154"/>
      <c r="J3348" s="154">
        <v>0.6</v>
      </c>
      <c r="K3348" s="154"/>
      <c r="L3348" s="154"/>
      <c r="M3348" s="154"/>
      <c r="N3348" s="154">
        <f t="shared" si="105"/>
        <v>2.9572566611769187</v>
      </c>
      <c r="O3348" s="154">
        <f t="shared" si="106"/>
        <v>0.44358849917653781</v>
      </c>
    </row>
    <row r="3349" spans="1:15" x14ac:dyDescent="0.35">
      <c r="A3349" s="321"/>
      <c r="B3349" s="320" t="str">
        <f t="shared" si="103"/>
        <v>PV5-102</v>
      </c>
      <c r="C3349" s="153"/>
      <c r="D3349" s="154"/>
      <c r="E3349" s="154">
        <v>1.8</v>
      </c>
      <c r="F3349" s="154">
        <v>1.8</v>
      </c>
      <c r="G3349" s="154">
        <f t="shared" si="104"/>
        <v>0.15</v>
      </c>
      <c r="H3349" s="154"/>
      <c r="I3349" s="154"/>
      <c r="J3349" s="154">
        <v>0.6</v>
      </c>
      <c r="K3349" s="154"/>
      <c r="L3349" s="154"/>
      <c r="M3349" s="154"/>
      <c r="N3349" s="154">
        <f t="shared" si="105"/>
        <v>2.9572566611769187</v>
      </c>
      <c r="O3349" s="154">
        <f t="shared" si="106"/>
        <v>0.44358849917653781</v>
      </c>
    </row>
    <row r="3350" spans="1:15" x14ac:dyDescent="0.35">
      <c r="A3350" s="321"/>
      <c r="B3350" s="320" t="str">
        <f t="shared" si="103"/>
        <v>PV9-102</v>
      </c>
      <c r="C3350" s="153"/>
      <c r="D3350" s="154"/>
      <c r="E3350" s="154">
        <v>1.8</v>
      </c>
      <c r="F3350" s="154">
        <v>1.8</v>
      </c>
      <c r="G3350" s="154">
        <f t="shared" si="104"/>
        <v>0.15</v>
      </c>
      <c r="H3350" s="154"/>
      <c r="I3350" s="154"/>
      <c r="J3350" s="154">
        <v>0.6</v>
      </c>
      <c r="K3350" s="154"/>
      <c r="L3350" s="154"/>
      <c r="M3350" s="154"/>
      <c r="N3350" s="154">
        <f t="shared" si="105"/>
        <v>2.9572566611769187</v>
      </c>
      <c r="O3350" s="154">
        <f t="shared" si="106"/>
        <v>0.44358849917653781</v>
      </c>
    </row>
    <row r="3351" spans="1:15" x14ac:dyDescent="0.35">
      <c r="A3351" s="321"/>
      <c r="B3351" s="320" t="str">
        <f t="shared" si="103"/>
        <v>PV1-103</v>
      </c>
      <c r="C3351" s="153"/>
      <c r="D3351" s="154"/>
      <c r="E3351" s="154">
        <v>1.8</v>
      </c>
      <c r="F3351" s="154">
        <v>1.8</v>
      </c>
      <c r="G3351" s="154">
        <f t="shared" si="104"/>
        <v>0.11999999999999991</v>
      </c>
      <c r="H3351" s="154"/>
      <c r="I3351" s="154"/>
      <c r="J3351" s="154">
        <v>0.6</v>
      </c>
      <c r="K3351" s="154"/>
      <c r="L3351" s="154"/>
      <c r="M3351" s="154"/>
      <c r="N3351" s="154">
        <f t="shared" si="105"/>
        <v>2.9572566611769187</v>
      </c>
      <c r="O3351" s="154">
        <f t="shared" si="106"/>
        <v>0.35487079934123</v>
      </c>
    </row>
    <row r="3352" spans="1:15" x14ac:dyDescent="0.35">
      <c r="A3352" s="321"/>
      <c r="B3352" s="320" t="str">
        <f t="shared" si="103"/>
        <v>PV2-103</v>
      </c>
      <c r="C3352" s="153"/>
      <c r="D3352" s="154"/>
      <c r="E3352" s="154">
        <v>1.8</v>
      </c>
      <c r="F3352" s="154">
        <v>1.8</v>
      </c>
      <c r="G3352" s="154">
        <f t="shared" si="104"/>
        <v>0.12999999999999992</v>
      </c>
      <c r="H3352" s="154"/>
      <c r="I3352" s="154"/>
      <c r="J3352" s="154">
        <v>0.6</v>
      </c>
      <c r="K3352" s="154"/>
      <c r="L3352" s="154"/>
      <c r="M3352" s="154"/>
      <c r="N3352" s="154">
        <f t="shared" si="105"/>
        <v>2.9572566611769187</v>
      </c>
      <c r="O3352" s="154">
        <f t="shared" si="106"/>
        <v>0.38444336595299922</v>
      </c>
    </row>
    <row r="3353" spans="1:15" x14ac:dyDescent="0.35">
      <c r="A3353" s="321"/>
      <c r="B3353" s="320" t="str">
        <f t="shared" si="103"/>
        <v>PV3-103</v>
      </c>
      <c r="C3353" s="153"/>
      <c r="D3353" s="154"/>
      <c r="E3353" s="154">
        <v>1.8</v>
      </c>
      <c r="F3353" s="154">
        <v>1.8</v>
      </c>
      <c r="G3353" s="154">
        <f t="shared" si="104"/>
        <v>0.15</v>
      </c>
      <c r="H3353" s="154"/>
      <c r="I3353" s="154"/>
      <c r="J3353" s="154">
        <v>0.6</v>
      </c>
      <c r="K3353" s="154"/>
      <c r="L3353" s="154"/>
      <c r="M3353" s="154"/>
      <c r="N3353" s="154">
        <f t="shared" si="105"/>
        <v>2.9572566611769187</v>
      </c>
      <c r="O3353" s="154">
        <f t="shared" si="106"/>
        <v>0.44358849917653781</v>
      </c>
    </row>
    <row r="3354" spans="1:15" x14ac:dyDescent="0.35">
      <c r="A3354" s="321"/>
      <c r="B3354" s="320" t="str">
        <f t="shared" si="103"/>
        <v>PV1-104</v>
      </c>
      <c r="C3354" s="153"/>
      <c r="D3354" s="154"/>
      <c r="E3354" s="154">
        <v>1.8</v>
      </c>
      <c r="F3354" s="154">
        <v>1.8</v>
      </c>
      <c r="G3354" s="154">
        <f t="shared" si="104"/>
        <v>0.11999999999999991</v>
      </c>
      <c r="H3354" s="154"/>
      <c r="I3354" s="154"/>
      <c r="J3354" s="154">
        <v>0.6</v>
      </c>
      <c r="K3354" s="154"/>
      <c r="L3354" s="154"/>
      <c r="M3354" s="154"/>
      <c r="N3354" s="154">
        <f t="shared" si="105"/>
        <v>2.9572566611769187</v>
      </c>
      <c r="O3354" s="154">
        <f t="shared" si="106"/>
        <v>0.35487079934123</v>
      </c>
    </row>
    <row r="3355" spans="1:15" x14ac:dyDescent="0.35">
      <c r="A3355" s="321"/>
      <c r="B3355" s="320" t="str">
        <f t="shared" si="103"/>
        <v>PV2-104</v>
      </c>
      <c r="C3355" s="153"/>
      <c r="D3355" s="154"/>
      <c r="E3355" s="154">
        <v>1.8</v>
      </c>
      <c r="F3355" s="154">
        <v>1.8</v>
      </c>
      <c r="G3355" s="154">
        <f t="shared" si="104"/>
        <v>0.15</v>
      </c>
      <c r="H3355" s="154"/>
      <c r="I3355" s="154"/>
      <c r="J3355" s="154">
        <v>0.6</v>
      </c>
      <c r="K3355" s="154"/>
      <c r="L3355" s="154"/>
      <c r="M3355" s="154"/>
      <c r="N3355" s="154">
        <f t="shared" si="105"/>
        <v>2.9572566611769187</v>
      </c>
      <c r="O3355" s="154">
        <f t="shared" si="106"/>
        <v>0.44358849917653781</v>
      </c>
    </row>
    <row r="3356" spans="1:15" x14ac:dyDescent="0.35">
      <c r="A3356" s="321"/>
      <c r="B3356" s="320" t="str">
        <f t="shared" si="103"/>
        <v>PV3-104</v>
      </c>
      <c r="C3356" s="153"/>
      <c r="D3356" s="154"/>
      <c r="E3356" s="154">
        <v>1.8</v>
      </c>
      <c r="F3356" s="154">
        <v>1.8</v>
      </c>
      <c r="G3356" s="154">
        <f t="shared" si="104"/>
        <v>0.15</v>
      </c>
      <c r="H3356" s="154"/>
      <c r="I3356" s="154"/>
      <c r="J3356" s="154">
        <v>0.6</v>
      </c>
      <c r="K3356" s="154"/>
      <c r="L3356" s="154"/>
      <c r="M3356" s="154"/>
      <c r="N3356" s="154">
        <f t="shared" si="105"/>
        <v>2.9572566611769187</v>
      </c>
      <c r="O3356" s="154">
        <f t="shared" si="106"/>
        <v>0.44358849917653781</v>
      </c>
    </row>
    <row r="3357" spans="1:15" x14ac:dyDescent="0.35">
      <c r="A3357" s="321"/>
      <c r="B3357" s="320" t="str">
        <f t="shared" si="103"/>
        <v>PV1-105</v>
      </c>
      <c r="C3357" s="153"/>
      <c r="D3357" s="154"/>
      <c r="E3357" s="154">
        <v>1.8</v>
      </c>
      <c r="F3357" s="154">
        <v>1.8</v>
      </c>
      <c r="G3357" s="154">
        <f t="shared" si="104"/>
        <v>0.11999999999999991</v>
      </c>
      <c r="H3357" s="154"/>
      <c r="I3357" s="154"/>
      <c r="J3357" s="154">
        <v>0.6</v>
      </c>
      <c r="K3357" s="154"/>
      <c r="L3357" s="154"/>
      <c r="M3357" s="154"/>
      <c r="N3357" s="154">
        <f t="shared" si="105"/>
        <v>2.9572566611769187</v>
      </c>
      <c r="O3357" s="154">
        <f t="shared" si="106"/>
        <v>0.35487079934123</v>
      </c>
    </row>
    <row r="3358" spans="1:15" x14ac:dyDescent="0.35">
      <c r="A3358" s="321"/>
      <c r="B3358" s="320" t="str">
        <f t="shared" si="103"/>
        <v>PV2-105</v>
      </c>
      <c r="C3358" s="153"/>
      <c r="D3358" s="154"/>
      <c r="E3358" s="154">
        <v>1.8</v>
      </c>
      <c r="F3358" s="154">
        <v>1.8</v>
      </c>
      <c r="G3358" s="154">
        <f t="shared" si="104"/>
        <v>0.15</v>
      </c>
      <c r="H3358" s="154"/>
      <c r="I3358" s="154"/>
      <c r="J3358" s="154">
        <v>0.6</v>
      </c>
      <c r="K3358" s="154"/>
      <c r="L3358" s="154"/>
      <c r="M3358" s="154"/>
      <c r="N3358" s="154">
        <f t="shared" si="105"/>
        <v>2.9572566611769187</v>
      </c>
      <c r="O3358" s="154">
        <f t="shared" si="106"/>
        <v>0.44358849917653781</v>
      </c>
    </row>
    <row r="3359" spans="1:15" x14ac:dyDescent="0.35">
      <c r="A3359" s="321"/>
      <c r="B3359" s="320" t="str">
        <f t="shared" si="103"/>
        <v>PV3-105</v>
      </c>
      <c r="C3359" s="153"/>
      <c r="D3359" s="154"/>
      <c r="E3359" s="154">
        <v>1.8</v>
      </c>
      <c r="F3359" s="154">
        <v>1.8</v>
      </c>
      <c r="G3359" s="154">
        <f t="shared" si="104"/>
        <v>0.12499999999999981</v>
      </c>
      <c r="H3359" s="154"/>
      <c r="I3359" s="154"/>
      <c r="J3359" s="154">
        <v>0.6</v>
      </c>
      <c r="K3359" s="154"/>
      <c r="L3359" s="154"/>
      <c r="M3359" s="154"/>
      <c r="N3359" s="154">
        <f t="shared" si="105"/>
        <v>2.9572566611769187</v>
      </c>
      <c r="O3359" s="154">
        <f t="shared" si="106"/>
        <v>0.36965708264711428</v>
      </c>
    </row>
    <row r="3360" spans="1:15" x14ac:dyDescent="0.35">
      <c r="A3360" s="321"/>
      <c r="B3360" s="320" t="str">
        <f t="shared" si="103"/>
        <v>PV1-106</v>
      </c>
      <c r="C3360" s="153"/>
      <c r="D3360" s="154"/>
      <c r="E3360" s="154">
        <v>1.8</v>
      </c>
      <c r="F3360" s="154">
        <v>1.8</v>
      </c>
      <c r="G3360" s="154">
        <f t="shared" si="104"/>
        <v>0.11999999999999991</v>
      </c>
      <c r="H3360" s="154"/>
      <c r="I3360" s="154"/>
      <c r="J3360" s="154">
        <v>0.6</v>
      </c>
      <c r="K3360" s="154"/>
      <c r="L3360" s="154"/>
      <c r="M3360" s="154"/>
      <c r="N3360" s="154">
        <f t="shared" si="105"/>
        <v>2.9572566611769187</v>
      </c>
      <c r="O3360" s="154">
        <f t="shared" si="106"/>
        <v>0.35487079934123</v>
      </c>
    </row>
    <row r="3361" spans="1:15" x14ac:dyDescent="0.35">
      <c r="A3361" s="321"/>
      <c r="B3361" s="320" t="str">
        <f t="shared" si="103"/>
        <v>PV2-106</v>
      </c>
      <c r="C3361" s="153"/>
      <c r="D3361" s="154"/>
      <c r="E3361" s="154">
        <v>1.8</v>
      </c>
      <c r="F3361" s="154">
        <v>1.8</v>
      </c>
      <c r="G3361" s="154">
        <f t="shared" si="104"/>
        <v>0.12999999999999992</v>
      </c>
      <c r="H3361" s="154"/>
      <c r="I3361" s="154"/>
      <c r="J3361" s="154">
        <v>0.6</v>
      </c>
      <c r="K3361" s="154"/>
      <c r="L3361" s="154"/>
      <c r="M3361" s="154"/>
      <c r="N3361" s="154">
        <f t="shared" si="105"/>
        <v>2.9572566611769187</v>
      </c>
      <c r="O3361" s="154">
        <f t="shared" si="106"/>
        <v>0.38444336595299922</v>
      </c>
    </row>
    <row r="3362" spans="1:15" x14ac:dyDescent="0.35">
      <c r="A3362" s="321"/>
      <c r="B3362" s="320" t="str">
        <f t="shared" si="103"/>
        <v>PV3-106</v>
      </c>
      <c r="C3362" s="153"/>
      <c r="D3362" s="154"/>
      <c r="E3362" s="154">
        <v>1.8</v>
      </c>
      <c r="F3362" s="154">
        <v>1.8</v>
      </c>
      <c r="G3362" s="154">
        <f t="shared" si="104"/>
        <v>0.12999999999999992</v>
      </c>
      <c r="H3362" s="154"/>
      <c r="I3362" s="154"/>
      <c r="J3362" s="154">
        <v>0.6</v>
      </c>
      <c r="K3362" s="154"/>
      <c r="L3362" s="154"/>
      <c r="M3362" s="154"/>
      <c r="N3362" s="154">
        <f t="shared" si="105"/>
        <v>2.9572566611769187</v>
      </c>
      <c r="O3362" s="154">
        <f t="shared" si="106"/>
        <v>0.38444336595299922</v>
      </c>
    </row>
    <row r="3363" spans="1:15" x14ac:dyDescent="0.35">
      <c r="A3363" s="321"/>
      <c r="B3363" s="320" t="str">
        <f t="shared" si="103"/>
        <v>PV1-107</v>
      </c>
      <c r="C3363" s="153"/>
      <c r="D3363" s="154"/>
      <c r="E3363" s="154">
        <v>1.8</v>
      </c>
      <c r="F3363" s="154">
        <v>1.8</v>
      </c>
      <c r="G3363" s="154">
        <f t="shared" si="104"/>
        <v>0.11999999999999991</v>
      </c>
      <c r="H3363" s="154"/>
      <c r="I3363" s="154"/>
      <c r="J3363" s="154">
        <v>0.6</v>
      </c>
      <c r="K3363" s="154"/>
      <c r="L3363" s="154"/>
      <c r="M3363" s="154"/>
      <c r="N3363" s="154">
        <f t="shared" si="105"/>
        <v>2.9572566611769187</v>
      </c>
      <c r="O3363" s="154">
        <f t="shared" si="106"/>
        <v>0.35487079934123</v>
      </c>
    </row>
    <row r="3364" spans="1:15" x14ac:dyDescent="0.35">
      <c r="A3364" s="321"/>
      <c r="B3364" s="320" t="str">
        <f t="shared" si="103"/>
        <v>PV2-107</v>
      </c>
      <c r="C3364" s="153"/>
      <c r="D3364" s="154"/>
      <c r="E3364" s="154">
        <v>1.8</v>
      </c>
      <c r="F3364" s="154">
        <v>1.8</v>
      </c>
      <c r="G3364" s="154">
        <f t="shared" si="104"/>
        <v>0.15</v>
      </c>
      <c r="H3364" s="154"/>
      <c r="I3364" s="154"/>
      <c r="J3364" s="154">
        <v>0.6</v>
      </c>
      <c r="K3364" s="154"/>
      <c r="L3364" s="154"/>
      <c r="M3364" s="154"/>
      <c r="N3364" s="154">
        <f t="shared" si="105"/>
        <v>2.9572566611769187</v>
      </c>
      <c r="O3364" s="154">
        <f t="shared" si="106"/>
        <v>0.44358849917653781</v>
      </c>
    </row>
    <row r="3365" spans="1:15" x14ac:dyDescent="0.35">
      <c r="A3365" s="321"/>
      <c r="B3365" s="320" t="str">
        <f t="shared" si="103"/>
        <v>PV3-107</v>
      </c>
      <c r="C3365" s="153"/>
      <c r="D3365" s="154"/>
      <c r="E3365" s="154">
        <v>1.8</v>
      </c>
      <c r="F3365" s="154">
        <v>1.8</v>
      </c>
      <c r="G3365" s="154">
        <f t="shared" si="104"/>
        <v>0.15</v>
      </c>
      <c r="H3365" s="154"/>
      <c r="I3365" s="154"/>
      <c r="J3365" s="154">
        <v>0.6</v>
      </c>
      <c r="K3365" s="154"/>
      <c r="L3365" s="154"/>
      <c r="M3365" s="154"/>
      <c r="N3365" s="154">
        <f t="shared" si="105"/>
        <v>2.9572566611769187</v>
      </c>
      <c r="O3365" s="154">
        <f t="shared" si="106"/>
        <v>0.44358849917653781</v>
      </c>
    </row>
    <row r="3366" spans="1:15" x14ac:dyDescent="0.35">
      <c r="A3366" s="321"/>
      <c r="B3366" s="320" t="str">
        <f t="shared" si="103"/>
        <v>PV1-108</v>
      </c>
      <c r="C3366" s="153"/>
      <c r="D3366" s="154"/>
      <c r="E3366" s="154">
        <v>1.8</v>
      </c>
      <c r="F3366" s="154">
        <v>1.8</v>
      </c>
      <c r="G3366" s="154">
        <f t="shared" si="104"/>
        <v>8.9999999999999886E-2</v>
      </c>
      <c r="H3366" s="154"/>
      <c r="I3366" s="154"/>
      <c r="J3366" s="154">
        <v>0.6</v>
      </c>
      <c r="K3366" s="154"/>
      <c r="L3366" s="154"/>
      <c r="M3366" s="154"/>
      <c r="N3366" s="154">
        <f t="shared" si="105"/>
        <v>2.9572566611769187</v>
      </c>
      <c r="O3366" s="154">
        <f t="shared" si="106"/>
        <v>0.26615309950592236</v>
      </c>
    </row>
    <row r="3367" spans="1:15" x14ac:dyDescent="0.35">
      <c r="A3367" s="321"/>
      <c r="B3367" s="320" t="str">
        <f t="shared" si="103"/>
        <v>PV2-108</v>
      </c>
      <c r="C3367" s="153"/>
      <c r="D3367" s="154"/>
      <c r="E3367" s="154">
        <v>1.8</v>
      </c>
      <c r="F3367" s="154">
        <v>1.8</v>
      </c>
      <c r="G3367" s="154">
        <f t="shared" si="104"/>
        <v>0.15</v>
      </c>
      <c r="H3367" s="154"/>
      <c r="I3367" s="154"/>
      <c r="J3367" s="154">
        <v>0.6</v>
      </c>
      <c r="K3367" s="154"/>
      <c r="L3367" s="154"/>
      <c r="M3367" s="154"/>
      <c r="N3367" s="154">
        <f t="shared" si="105"/>
        <v>2.9572566611769187</v>
      </c>
      <c r="O3367" s="154">
        <f t="shared" si="106"/>
        <v>0.44358849917653781</v>
      </c>
    </row>
    <row r="3368" spans="1:15" x14ac:dyDescent="0.35">
      <c r="A3368" s="321"/>
      <c r="B3368" s="320" t="str">
        <f t="shared" si="103"/>
        <v>PV3-108</v>
      </c>
      <c r="C3368" s="153"/>
      <c r="D3368" s="154"/>
      <c r="E3368" s="154">
        <v>1.8</v>
      </c>
      <c r="F3368" s="154">
        <v>1.8</v>
      </c>
      <c r="G3368" s="154">
        <f t="shared" si="104"/>
        <v>0.14499999999999982</v>
      </c>
      <c r="H3368" s="154"/>
      <c r="I3368" s="154"/>
      <c r="J3368" s="154">
        <v>0.6</v>
      </c>
      <c r="K3368" s="154"/>
      <c r="L3368" s="154"/>
      <c r="M3368" s="154"/>
      <c r="N3368" s="154">
        <f t="shared" si="105"/>
        <v>2.9572566611769187</v>
      </c>
      <c r="O3368" s="154">
        <f t="shared" si="106"/>
        <v>0.4288022158706527</v>
      </c>
    </row>
    <row r="3369" spans="1:15" x14ac:dyDescent="0.35">
      <c r="A3369" s="321"/>
      <c r="B3369" s="320" t="str">
        <f t="shared" si="103"/>
        <v>PV1-109</v>
      </c>
      <c r="C3369" s="153"/>
      <c r="D3369" s="154"/>
      <c r="E3369" s="154">
        <v>1.8</v>
      </c>
      <c r="F3369" s="154">
        <v>1.8</v>
      </c>
      <c r="G3369" s="154">
        <f t="shared" si="104"/>
        <v>0.11999999999999991</v>
      </c>
      <c r="H3369" s="154"/>
      <c r="I3369" s="154"/>
      <c r="J3369" s="154">
        <v>0.6</v>
      </c>
      <c r="K3369" s="154"/>
      <c r="L3369" s="154"/>
      <c r="M3369" s="154"/>
      <c r="N3369" s="154">
        <f t="shared" si="105"/>
        <v>2.9572566611769187</v>
      </c>
      <c r="O3369" s="154">
        <f t="shared" si="106"/>
        <v>0.35487079934123</v>
      </c>
    </row>
    <row r="3370" spans="1:15" x14ac:dyDescent="0.35">
      <c r="A3370" s="321"/>
      <c r="B3370" s="320" t="str">
        <f t="shared" si="103"/>
        <v>PV2-109</v>
      </c>
      <c r="C3370" s="153"/>
      <c r="D3370" s="154"/>
      <c r="E3370" s="154">
        <v>1.8</v>
      </c>
      <c r="F3370" s="154">
        <v>1.8</v>
      </c>
      <c r="G3370" s="154">
        <f t="shared" si="104"/>
        <v>0.12499999999999981</v>
      </c>
      <c r="H3370" s="154"/>
      <c r="I3370" s="154"/>
      <c r="J3370" s="154">
        <v>0.6</v>
      </c>
      <c r="K3370" s="154"/>
      <c r="L3370" s="154"/>
      <c r="M3370" s="154"/>
      <c r="N3370" s="154">
        <f t="shared" si="105"/>
        <v>2.9572566611769187</v>
      </c>
      <c r="O3370" s="154">
        <f t="shared" si="106"/>
        <v>0.36965708264711428</v>
      </c>
    </row>
    <row r="3371" spans="1:15" x14ac:dyDescent="0.35">
      <c r="A3371" s="321"/>
      <c r="B3371" s="320" t="str">
        <f t="shared" si="103"/>
        <v>PV3-109</v>
      </c>
      <c r="C3371" s="153"/>
      <c r="D3371" s="154"/>
      <c r="E3371" s="154">
        <v>1.8</v>
      </c>
      <c r="F3371" s="154">
        <v>1.8</v>
      </c>
      <c r="G3371" s="154">
        <f t="shared" si="104"/>
        <v>0.15</v>
      </c>
      <c r="H3371" s="154"/>
      <c r="I3371" s="154"/>
      <c r="J3371" s="154">
        <v>0.6</v>
      </c>
      <c r="K3371" s="154"/>
      <c r="L3371" s="154"/>
      <c r="M3371" s="154"/>
      <c r="N3371" s="154">
        <f t="shared" si="105"/>
        <v>2.9572566611769187</v>
      </c>
      <c r="O3371" s="154">
        <f t="shared" si="106"/>
        <v>0.44358849917653781</v>
      </c>
    </row>
    <row r="3372" spans="1:15" x14ac:dyDescent="0.35">
      <c r="A3372" s="321"/>
      <c r="B3372" s="320" t="str">
        <f t="shared" si="103"/>
        <v>PV1-110</v>
      </c>
      <c r="C3372" s="153"/>
      <c r="D3372" s="154"/>
      <c r="E3372" s="154">
        <v>1.8</v>
      </c>
      <c r="F3372" s="154">
        <v>1.8</v>
      </c>
      <c r="G3372" s="154">
        <f t="shared" si="104"/>
        <v>0.11999999999999991</v>
      </c>
      <c r="H3372" s="154"/>
      <c r="I3372" s="154"/>
      <c r="J3372" s="154">
        <v>0.6</v>
      </c>
      <c r="K3372" s="154"/>
      <c r="L3372" s="154"/>
      <c r="M3372" s="154"/>
      <c r="N3372" s="154">
        <f t="shared" si="105"/>
        <v>2.9572566611769187</v>
      </c>
      <c r="O3372" s="154">
        <f t="shared" si="106"/>
        <v>0.35487079934123</v>
      </c>
    </row>
    <row r="3373" spans="1:15" x14ac:dyDescent="0.35">
      <c r="A3373" s="321"/>
      <c r="B3373" s="320" t="str">
        <f t="shared" si="103"/>
        <v>PV2-110</v>
      </c>
      <c r="C3373" s="153"/>
      <c r="D3373" s="154"/>
      <c r="E3373" s="154">
        <v>1.8</v>
      </c>
      <c r="F3373" s="154">
        <v>1.8</v>
      </c>
      <c r="G3373" s="154">
        <f t="shared" si="104"/>
        <v>0.15</v>
      </c>
      <c r="H3373" s="154"/>
      <c r="I3373" s="154"/>
      <c r="J3373" s="154">
        <v>0.6</v>
      </c>
      <c r="K3373" s="154"/>
      <c r="L3373" s="154"/>
      <c r="M3373" s="154"/>
      <c r="N3373" s="154">
        <f t="shared" si="105"/>
        <v>2.9572566611769187</v>
      </c>
      <c r="O3373" s="154">
        <f t="shared" si="106"/>
        <v>0.44358849917653781</v>
      </c>
    </row>
    <row r="3374" spans="1:15" x14ac:dyDescent="0.35">
      <c r="A3374" s="321"/>
      <c r="B3374" s="320" t="str">
        <f t="shared" si="103"/>
        <v>PV3-110</v>
      </c>
      <c r="C3374" s="153"/>
      <c r="D3374" s="154"/>
      <c r="E3374" s="154">
        <v>1.8</v>
      </c>
      <c r="F3374" s="154">
        <v>1.8</v>
      </c>
      <c r="G3374" s="154">
        <f t="shared" si="104"/>
        <v>0.15</v>
      </c>
      <c r="H3374" s="154"/>
      <c r="I3374" s="154"/>
      <c r="J3374" s="154">
        <v>0.6</v>
      </c>
      <c r="K3374" s="154"/>
      <c r="L3374" s="154"/>
      <c r="M3374" s="154"/>
      <c r="N3374" s="154">
        <f t="shared" si="105"/>
        <v>2.9572566611769187</v>
      </c>
      <c r="O3374" s="154">
        <f t="shared" si="106"/>
        <v>0.44358849917653781</v>
      </c>
    </row>
    <row r="3375" spans="1:15" x14ac:dyDescent="0.35">
      <c r="A3375" s="321"/>
      <c r="B3375" s="320" t="str">
        <f t="shared" si="103"/>
        <v>PV1-111</v>
      </c>
      <c r="C3375" s="153"/>
      <c r="D3375" s="154"/>
      <c r="E3375" s="154">
        <v>1.8</v>
      </c>
      <c r="F3375" s="154">
        <v>1.8</v>
      </c>
      <c r="G3375" s="154">
        <f t="shared" si="104"/>
        <v>0.11999999999999991</v>
      </c>
      <c r="H3375" s="154"/>
      <c r="I3375" s="154"/>
      <c r="J3375" s="154">
        <v>0.6</v>
      </c>
      <c r="K3375" s="154"/>
      <c r="L3375" s="154"/>
      <c r="M3375" s="154"/>
      <c r="N3375" s="154">
        <f t="shared" si="105"/>
        <v>2.9572566611769187</v>
      </c>
      <c r="O3375" s="154">
        <f t="shared" si="106"/>
        <v>0.35487079934123</v>
      </c>
    </row>
    <row r="3376" spans="1:15" x14ac:dyDescent="0.35">
      <c r="A3376" s="321"/>
      <c r="B3376" s="320" t="str">
        <f t="shared" si="103"/>
        <v>PV2-111</v>
      </c>
      <c r="C3376" s="153"/>
      <c r="D3376" s="154"/>
      <c r="E3376" s="154">
        <v>1.8</v>
      </c>
      <c r="F3376" s="154">
        <v>1.8</v>
      </c>
      <c r="G3376" s="154">
        <f t="shared" si="104"/>
        <v>6.9999999999999868E-2</v>
      </c>
      <c r="H3376" s="154"/>
      <c r="I3376" s="154"/>
      <c r="J3376" s="154">
        <v>0.6</v>
      </c>
      <c r="K3376" s="154"/>
      <c r="L3376" s="154"/>
      <c r="M3376" s="154"/>
      <c r="N3376" s="154">
        <f t="shared" si="105"/>
        <v>2.9572566611769187</v>
      </c>
      <c r="O3376" s="154">
        <f t="shared" si="106"/>
        <v>0.20700796628238391</v>
      </c>
    </row>
    <row r="3377" spans="1:15" x14ac:dyDescent="0.35">
      <c r="A3377" s="321"/>
      <c r="B3377" s="320" t="str">
        <f t="shared" si="103"/>
        <v>PV3-111</v>
      </c>
      <c r="C3377" s="153"/>
      <c r="D3377" s="154"/>
      <c r="E3377" s="154">
        <v>1.8</v>
      </c>
      <c r="F3377" s="154">
        <v>1.8</v>
      </c>
      <c r="G3377" s="154">
        <f t="shared" si="104"/>
        <v>9.9999999999998146E-3</v>
      </c>
      <c r="H3377" s="154"/>
      <c r="I3377" s="154"/>
      <c r="J3377" s="154">
        <v>0.6</v>
      </c>
      <c r="K3377" s="154"/>
      <c r="L3377" s="154"/>
      <c r="M3377" s="154"/>
      <c r="N3377" s="154">
        <f t="shared" si="105"/>
        <v>2.9572566611769187</v>
      </c>
      <c r="O3377" s="154">
        <f t="shared" si="106"/>
        <v>2.9572566611768637E-2</v>
      </c>
    </row>
    <row r="3378" spans="1:15" x14ac:dyDescent="0.35">
      <c r="A3378" s="321"/>
      <c r="B3378" s="320" t="str">
        <f t="shared" ref="B3378:B3409" si="107">B3153</f>
        <v>PV4-111</v>
      </c>
      <c r="C3378" s="153"/>
      <c r="D3378" s="154"/>
      <c r="E3378" s="154">
        <v>1.8</v>
      </c>
      <c r="F3378" s="154">
        <v>1.8</v>
      </c>
      <c r="G3378" s="154">
        <f t="shared" ref="G3378:G3409" si="108">IF(G3153&gt;=$G$3344,$G$3344,G3153)</f>
        <v>0.15</v>
      </c>
      <c r="H3378" s="154"/>
      <c r="I3378" s="154"/>
      <c r="J3378" s="154">
        <v>0.6</v>
      </c>
      <c r="K3378" s="154"/>
      <c r="L3378" s="154"/>
      <c r="M3378" s="154"/>
      <c r="N3378" s="154">
        <f t="shared" ref="N3378:N3411" si="109">(E3378*F3378)-(PI()*(J3378/2)^2)</f>
        <v>2.9572566611769187</v>
      </c>
      <c r="O3378" s="154">
        <f t="shared" ref="O3378:O3409" si="110">N3378*G3378</f>
        <v>0.44358849917653781</v>
      </c>
    </row>
    <row r="3379" spans="1:15" x14ac:dyDescent="0.35">
      <c r="A3379" s="321"/>
      <c r="B3379" s="320" t="str">
        <f t="shared" si="107"/>
        <v>PV5-111</v>
      </c>
      <c r="C3379" s="153"/>
      <c r="D3379" s="154"/>
      <c r="E3379" s="154">
        <v>1.8</v>
      </c>
      <c r="F3379" s="154">
        <v>1.8</v>
      </c>
      <c r="G3379" s="154">
        <f t="shared" si="108"/>
        <v>0.15</v>
      </c>
      <c r="H3379" s="154"/>
      <c r="I3379" s="154"/>
      <c r="J3379" s="154">
        <v>0.6</v>
      </c>
      <c r="K3379" s="154"/>
      <c r="L3379" s="154"/>
      <c r="M3379" s="154"/>
      <c r="N3379" s="154">
        <f t="shared" si="109"/>
        <v>2.9572566611769187</v>
      </c>
      <c r="O3379" s="154">
        <f t="shared" si="110"/>
        <v>0.44358849917653781</v>
      </c>
    </row>
    <row r="3380" spans="1:15" x14ac:dyDescent="0.35">
      <c r="A3380" s="321"/>
      <c r="B3380" s="320" t="str">
        <f t="shared" si="107"/>
        <v>PV7-111</v>
      </c>
      <c r="C3380" s="153"/>
      <c r="D3380" s="154"/>
      <c r="E3380" s="154">
        <v>1.8</v>
      </c>
      <c r="F3380" s="154">
        <v>1.8</v>
      </c>
      <c r="G3380" s="154">
        <f t="shared" si="108"/>
        <v>0.15</v>
      </c>
      <c r="H3380" s="154"/>
      <c r="I3380" s="154"/>
      <c r="J3380" s="154">
        <v>0.6</v>
      </c>
      <c r="K3380" s="154"/>
      <c r="L3380" s="154"/>
      <c r="M3380" s="154"/>
      <c r="N3380" s="154">
        <f t="shared" si="109"/>
        <v>2.9572566611769187</v>
      </c>
      <c r="O3380" s="154">
        <f t="shared" si="110"/>
        <v>0.44358849917653781</v>
      </c>
    </row>
    <row r="3381" spans="1:15" x14ac:dyDescent="0.35">
      <c r="A3381" s="321"/>
      <c r="B3381" s="320" t="str">
        <f t="shared" si="107"/>
        <v>PV8-111</v>
      </c>
      <c r="C3381" s="153"/>
      <c r="D3381" s="154"/>
      <c r="E3381" s="154">
        <v>1.8</v>
      </c>
      <c r="F3381" s="154">
        <v>1.8</v>
      </c>
      <c r="G3381" s="154">
        <f t="shared" si="108"/>
        <v>0</v>
      </c>
      <c r="H3381" s="154"/>
      <c r="I3381" s="154"/>
      <c r="J3381" s="154">
        <v>0.6</v>
      </c>
      <c r="K3381" s="154"/>
      <c r="L3381" s="154"/>
      <c r="M3381" s="154"/>
      <c r="N3381" s="154">
        <f t="shared" si="109"/>
        <v>2.9572566611769187</v>
      </c>
      <c r="O3381" s="154">
        <f t="shared" si="110"/>
        <v>0</v>
      </c>
    </row>
    <row r="3382" spans="1:15" x14ac:dyDescent="0.35">
      <c r="A3382" s="321"/>
      <c r="B3382" s="320" t="str">
        <f t="shared" si="107"/>
        <v>PV9-111</v>
      </c>
      <c r="C3382" s="153"/>
      <c r="D3382" s="154"/>
      <c r="E3382" s="154">
        <v>1.8</v>
      </c>
      <c r="F3382" s="154">
        <v>1.8</v>
      </c>
      <c r="G3382" s="154">
        <f t="shared" si="108"/>
        <v>0</v>
      </c>
      <c r="H3382" s="154"/>
      <c r="I3382" s="154"/>
      <c r="J3382" s="154">
        <v>0.6</v>
      </c>
      <c r="K3382" s="154"/>
      <c r="L3382" s="154"/>
      <c r="M3382" s="154"/>
      <c r="N3382" s="154">
        <f t="shared" si="109"/>
        <v>2.9572566611769187</v>
      </c>
      <c r="O3382" s="154">
        <f t="shared" si="110"/>
        <v>0</v>
      </c>
    </row>
    <row r="3383" spans="1:15" x14ac:dyDescent="0.35">
      <c r="A3383" s="321"/>
      <c r="B3383" s="320" t="str">
        <f t="shared" si="107"/>
        <v>PV10-111</v>
      </c>
      <c r="C3383" s="153"/>
      <c r="D3383" s="154"/>
      <c r="E3383" s="154">
        <v>1.8</v>
      </c>
      <c r="F3383" s="154">
        <v>1.8</v>
      </c>
      <c r="G3383" s="154">
        <f t="shared" si="108"/>
        <v>0.15</v>
      </c>
      <c r="H3383" s="154"/>
      <c r="I3383" s="154"/>
      <c r="J3383" s="154">
        <v>0.6</v>
      </c>
      <c r="K3383" s="154"/>
      <c r="L3383" s="154"/>
      <c r="M3383" s="154"/>
      <c r="N3383" s="154">
        <f t="shared" si="109"/>
        <v>2.9572566611769187</v>
      </c>
      <c r="O3383" s="154">
        <f t="shared" si="110"/>
        <v>0.44358849917653781</v>
      </c>
    </row>
    <row r="3384" spans="1:15" x14ac:dyDescent="0.35">
      <c r="A3384" s="321"/>
      <c r="B3384" s="320" t="str">
        <f t="shared" si="107"/>
        <v>PV1-112</v>
      </c>
      <c r="C3384" s="153"/>
      <c r="D3384" s="154"/>
      <c r="E3384" s="154">
        <v>1.8</v>
      </c>
      <c r="F3384" s="154">
        <v>1.8</v>
      </c>
      <c r="G3384" s="154">
        <f t="shared" si="108"/>
        <v>0.11999999999999991</v>
      </c>
      <c r="H3384" s="154"/>
      <c r="I3384" s="154"/>
      <c r="J3384" s="154">
        <v>0.6</v>
      </c>
      <c r="K3384" s="154"/>
      <c r="L3384" s="154"/>
      <c r="M3384" s="154"/>
      <c r="N3384" s="154">
        <f t="shared" si="109"/>
        <v>2.9572566611769187</v>
      </c>
      <c r="O3384" s="154">
        <f t="shared" si="110"/>
        <v>0.35487079934123</v>
      </c>
    </row>
    <row r="3385" spans="1:15" x14ac:dyDescent="0.35">
      <c r="A3385" s="321"/>
      <c r="B3385" s="320" t="str">
        <f t="shared" si="107"/>
        <v>PV2-112</v>
      </c>
      <c r="C3385" s="153"/>
      <c r="D3385" s="154"/>
      <c r="E3385" s="154">
        <v>1.8</v>
      </c>
      <c r="F3385" s="154">
        <v>1.8</v>
      </c>
      <c r="G3385" s="154">
        <f t="shared" si="108"/>
        <v>0.15</v>
      </c>
      <c r="H3385" s="154"/>
      <c r="I3385" s="154"/>
      <c r="J3385" s="154">
        <v>0.6</v>
      </c>
      <c r="K3385" s="154"/>
      <c r="L3385" s="154"/>
      <c r="M3385" s="154"/>
      <c r="N3385" s="154">
        <f t="shared" si="109"/>
        <v>2.9572566611769187</v>
      </c>
      <c r="O3385" s="154">
        <f t="shared" si="110"/>
        <v>0.44358849917653781</v>
      </c>
    </row>
    <row r="3386" spans="1:15" x14ac:dyDescent="0.35">
      <c r="A3386" s="321"/>
      <c r="B3386" s="320" t="str">
        <f t="shared" si="107"/>
        <v>PV3-112</v>
      </c>
      <c r="C3386" s="153"/>
      <c r="D3386" s="154"/>
      <c r="E3386" s="154">
        <v>1.8</v>
      </c>
      <c r="F3386" s="154">
        <v>1.8</v>
      </c>
      <c r="G3386" s="154">
        <f t="shared" si="108"/>
        <v>0.15</v>
      </c>
      <c r="H3386" s="154"/>
      <c r="I3386" s="154"/>
      <c r="J3386" s="154">
        <v>0.6</v>
      </c>
      <c r="K3386" s="154"/>
      <c r="L3386" s="154"/>
      <c r="M3386" s="154"/>
      <c r="N3386" s="154">
        <f t="shared" si="109"/>
        <v>2.9572566611769187</v>
      </c>
      <c r="O3386" s="154">
        <f t="shared" si="110"/>
        <v>0.44358849917653781</v>
      </c>
    </row>
    <row r="3387" spans="1:15" x14ac:dyDescent="0.35">
      <c r="A3387" s="321"/>
      <c r="B3387" s="320" t="str">
        <f t="shared" si="107"/>
        <v>PV1-113</v>
      </c>
      <c r="C3387" s="153"/>
      <c r="D3387" s="154"/>
      <c r="E3387" s="154">
        <v>1.8</v>
      </c>
      <c r="F3387" s="154">
        <v>1.8</v>
      </c>
      <c r="G3387" s="154">
        <f t="shared" si="108"/>
        <v>0.11999999999999991</v>
      </c>
      <c r="H3387" s="154"/>
      <c r="I3387" s="154"/>
      <c r="J3387" s="154">
        <v>0.6</v>
      </c>
      <c r="K3387" s="154"/>
      <c r="L3387" s="154"/>
      <c r="M3387" s="154"/>
      <c r="N3387" s="154">
        <f t="shared" si="109"/>
        <v>2.9572566611769187</v>
      </c>
      <c r="O3387" s="154">
        <f t="shared" si="110"/>
        <v>0.35487079934123</v>
      </c>
    </row>
    <row r="3388" spans="1:15" x14ac:dyDescent="0.35">
      <c r="A3388" s="321"/>
      <c r="B3388" s="320" t="str">
        <f t="shared" si="107"/>
        <v>PV2-113</v>
      </c>
      <c r="C3388" s="153"/>
      <c r="D3388" s="154"/>
      <c r="E3388" s="154">
        <v>1.8</v>
      </c>
      <c r="F3388" s="154">
        <v>1.8</v>
      </c>
      <c r="G3388" s="154">
        <f t="shared" si="108"/>
        <v>0.12499999999999981</v>
      </c>
      <c r="H3388" s="154"/>
      <c r="I3388" s="154"/>
      <c r="J3388" s="154">
        <v>0.6</v>
      </c>
      <c r="K3388" s="154"/>
      <c r="L3388" s="154"/>
      <c r="M3388" s="154"/>
      <c r="N3388" s="154">
        <f t="shared" si="109"/>
        <v>2.9572566611769187</v>
      </c>
      <c r="O3388" s="154">
        <f t="shared" si="110"/>
        <v>0.36965708264711428</v>
      </c>
    </row>
    <row r="3389" spans="1:15" x14ac:dyDescent="0.35">
      <c r="A3389" s="321"/>
      <c r="B3389" s="320" t="str">
        <f t="shared" si="107"/>
        <v>PV3-113</v>
      </c>
      <c r="C3389" s="153"/>
      <c r="D3389" s="154"/>
      <c r="E3389" s="154">
        <v>1.8</v>
      </c>
      <c r="F3389" s="154">
        <v>1.8</v>
      </c>
      <c r="G3389" s="154">
        <f t="shared" si="108"/>
        <v>0.15</v>
      </c>
      <c r="H3389" s="154"/>
      <c r="I3389" s="154"/>
      <c r="J3389" s="154">
        <v>0.6</v>
      </c>
      <c r="K3389" s="154"/>
      <c r="L3389" s="154"/>
      <c r="M3389" s="154"/>
      <c r="N3389" s="154">
        <f t="shared" si="109"/>
        <v>2.9572566611769187</v>
      </c>
      <c r="O3389" s="154">
        <f t="shared" si="110"/>
        <v>0.44358849917653781</v>
      </c>
    </row>
    <row r="3390" spans="1:15" x14ac:dyDescent="0.35">
      <c r="A3390" s="321"/>
      <c r="B3390" s="320" t="str">
        <f t="shared" si="107"/>
        <v>PV1-114</v>
      </c>
      <c r="C3390" s="153"/>
      <c r="D3390" s="154"/>
      <c r="E3390" s="154">
        <v>1.8</v>
      </c>
      <c r="F3390" s="154">
        <v>1.8</v>
      </c>
      <c r="G3390" s="154">
        <f t="shared" si="108"/>
        <v>0.11999999999999991</v>
      </c>
      <c r="H3390" s="154"/>
      <c r="I3390" s="154"/>
      <c r="J3390" s="154">
        <v>0.6</v>
      </c>
      <c r="K3390" s="154"/>
      <c r="L3390" s="154"/>
      <c r="M3390" s="154"/>
      <c r="N3390" s="154">
        <f t="shared" si="109"/>
        <v>2.9572566611769187</v>
      </c>
      <c r="O3390" s="154">
        <f t="shared" si="110"/>
        <v>0.35487079934123</v>
      </c>
    </row>
    <row r="3391" spans="1:15" x14ac:dyDescent="0.35">
      <c r="A3391" s="321"/>
      <c r="B3391" s="320" t="str">
        <f t="shared" si="107"/>
        <v>PV2-114</v>
      </c>
      <c r="C3391" s="153"/>
      <c r="D3391" s="154"/>
      <c r="E3391" s="154">
        <v>1.8</v>
      </c>
      <c r="F3391" s="154">
        <v>1.8</v>
      </c>
      <c r="G3391" s="154">
        <f t="shared" si="108"/>
        <v>0.13499999999999981</v>
      </c>
      <c r="H3391" s="154"/>
      <c r="I3391" s="154"/>
      <c r="J3391" s="154">
        <v>0.6</v>
      </c>
      <c r="K3391" s="154"/>
      <c r="L3391" s="154"/>
      <c r="M3391" s="154"/>
      <c r="N3391" s="154">
        <f t="shared" si="109"/>
        <v>2.9572566611769187</v>
      </c>
      <c r="O3391" s="154">
        <f t="shared" si="110"/>
        <v>0.39922964925888349</v>
      </c>
    </row>
    <row r="3392" spans="1:15" x14ac:dyDescent="0.35">
      <c r="A3392" s="321"/>
      <c r="B3392" s="320" t="str">
        <f t="shared" si="107"/>
        <v>PV3-114</v>
      </c>
      <c r="C3392" s="153"/>
      <c r="D3392" s="154"/>
      <c r="E3392" s="154">
        <v>1.8</v>
      </c>
      <c r="F3392" s="154">
        <v>1.8</v>
      </c>
      <c r="G3392" s="154">
        <f t="shared" si="108"/>
        <v>0.15</v>
      </c>
      <c r="H3392" s="154"/>
      <c r="I3392" s="154"/>
      <c r="J3392" s="154">
        <v>0.6</v>
      </c>
      <c r="K3392" s="154"/>
      <c r="L3392" s="154"/>
      <c r="M3392" s="154"/>
      <c r="N3392" s="154">
        <f t="shared" si="109"/>
        <v>2.9572566611769187</v>
      </c>
      <c r="O3392" s="154">
        <f t="shared" si="110"/>
        <v>0.44358849917653781</v>
      </c>
    </row>
    <row r="3393" spans="1:15" x14ac:dyDescent="0.35">
      <c r="A3393" s="321"/>
      <c r="B3393" s="320" t="str">
        <f t="shared" si="107"/>
        <v>PV1-115</v>
      </c>
      <c r="C3393" s="153"/>
      <c r="D3393" s="154"/>
      <c r="E3393" s="154">
        <v>1.8</v>
      </c>
      <c r="F3393" s="154">
        <v>1.8</v>
      </c>
      <c r="G3393" s="154">
        <f t="shared" si="108"/>
        <v>0.11999999999999991</v>
      </c>
      <c r="H3393" s="154"/>
      <c r="I3393" s="154"/>
      <c r="J3393" s="154">
        <v>0.6</v>
      </c>
      <c r="K3393" s="154"/>
      <c r="L3393" s="154"/>
      <c r="M3393" s="154"/>
      <c r="N3393" s="154">
        <f t="shared" si="109"/>
        <v>2.9572566611769187</v>
      </c>
      <c r="O3393" s="154">
        <f t="shared" si="110"/>
        <v>0.35487079934123</v>
      </c>
    </row>
    <row r="3394" spans="1:15" x14ac:dyDescent="0.35">
      <c r="A3394" s="321"/>
      <c r="B3394" s="320" t="str">
        <f t="shared" si="107"/>
        <v>PV2-115</v>
      </c>
      <c r="C3394" s="153"/>
      <c r="D3394" s="154"/>
      <c r="E3394" s="154">
        <v>1.8</v>
      </c>
      <c r="F3394" s="154">
        <v>1.8</v>
      </c>
      <c r="G3394" s="154">
        <f t="shared" si="108"/>
        <v>0.14499999999999982</v>
      </c>
      <c r="H3394" s="154"/>
      <c r="I3394" s="154"/>
      <c r="J3394" s="154">
        <v>0.6</v>
      </c>
      <c r="K3394" s="154"/>
      <c r="L3394" s="154"/>
      <c r="M3394" s="154"/>
      <c r="N3394" s="154">
        <f t="shared" si="109"/>
        <v>2.9572566611769187</v>
      </c>
      <c r="O3394" s="154">
        <f t="shared" si="110"/>
        <v>0.4288022158706527</v>
      </c>
    </row>
    <row r="3395" spans="1:15" x14ac:dyDescent="0.35">
      <c r="A3395" s="321"/>
      <c r="B3395" s="320" t="str">
        <f t="shared" si="107"/>
        <v>PV3-115</v>
      </c>
      <c r="C3395" s="153"/>
      <c r="D3395" s="154"/>
      <c r="E3395" s="154">
        <v>1.8</v>
      </c>
      <c r="F3395" s="154">
        <v>1.8</v>
      </c>
      <c r="G3395" s="154">
        <f t="shared" si="108"/>
        <v>0.14499999999999982</v>
      </c>
      <c r="H3395" s="154"/>
      <c r="I3395" s="154"/>
      <c r="J3395" s="154">
        <v>0.6</v>
      </c>
      <c r="K3395" s="154"/>
      <c r="L3395" s="154"/>
      <c r="M3395" s="154"/>
      <c r="N3395" s="154">
        <f t="shared" si="109"/>
        <v>2.9572566611769187</v>
      </c>
      <c r="O3395" s="154">
        <f t="shared" si="110"/>
        <v>0.4288022158706527</v>
      </c>
    </row>
    <row r="3396" spans="1:15" x14ac:dyDescent="0.35">
      <c r="A3396" s="321"/>
      <c r="B3396" s="320" t="str">
        <f t="shared" si="107"/>
        <v>PV4-115</v>
      </c>
      <c r="C3396" s="153"/>
      <c r="D3396" s="154"/>
      <c r="E3396" s="154">
        <v>1.8</v>
      </c>
      <c r="F3396" s="154">
        <v>1.8</v>
      </c>
      <c r="G3396" s="154">
        <f t="shared" si="108"/>
        <v>0.15</v>
      </c>
      <c r="H3396" s="154"/>
      <c r="I3396" s="154"/>
      <c r="J3396" s="154">
        <v>0.6</v>
      </c>
      <c r="K3396" s="154"/>
      <c r="L3396" s="154"/>
      <c r="M3396" s="154"/>
      <c r="N3396" s="154">
        <f t="shared" si="109"/>
        <v>2.9572566611769187</v>
      </c>
      <c r="O3396" s="154">
        <f t="shared" si="110"/>
        <v>0.44358849917653781</v>
      </c>
    </row>
    <row r="3397" spans="1:15" x14ac:dyDescent="0.35">
      <c r="A3397" s="321"/>
      <c r="B3397" s="320" t="str">
        <f t="shared" si="107"/>
        <v>PV5-115</v>
      </c>
      <c r="C3397" s="153"/>
      <c r="D3397" s="154"/>
      <c r="E3397" s="154">
        <v>1.8</v>
      </c>
      <c r="F3397" s="154">
        <v>1.8</v>
      </c>
      <c r="G3397" s="154">
        <f t="shared" si="108"/>
        <v>0.15</v>
      </c>
      <c r="H3397" s="154"/>
      <c r="I3397" s="154"/>
      <c r="J3397" s="154">
        <v>0.6</v>
      </c>
      <c r="K3397" s="154"/>
      <c r="L3397" s="154"/>
      <c r="M3397" s="154"/>
      <c r="N3397" s="154">
        <f t="shared" si="109"/>
        <v>2.9572566611769187</v>
      </c>
      <c r="O3397" s="154">
        <f t="shared" si="110"/>
        <v>0.44358849917653781</v>
      </c>
    </row>
    <row r="3398" spans="1:15" x14ac:dyDescent="0.35">
      <c r="A3398" s="321"/>
      <c r="B3398" s="320" t="str">
        <f t="shared" si="107"/>
        <v>PV1-116</v>
      </c>
      <c r="C3398" s="153"/>
      <c r="D3398" s="154"/>
      <c r="E3398" s="154">
        <v>1.8</v>
      </c>
      <c r="F3398" s="154">
        <v>1.8</v>
      </c>
      <c r="G3398" s="154">
        <f t="shared" si="108"/>
        <v>0.11999999999999991</v>
      </c>
      <c r="H3398" s="154"/>
      <c r="I3398" s="154"/>
      <c r="J3398" s="154">
        <v>0.6</v>
      </c>
      <c r="K3398" s="154"/>
      <c r="L3398" s="154"/>
      <c r="M3398" s="154"/>
      <c r="N3398" s="154">
        <f t="shared" si="109"/>
        <v>2.9572566611769187</v>
      </c>
      <c r="O3398" s="154">
        <f t="shared" si="110"/>
        <v>0.35487079934123</v>
      </c>
    </row>
    <row r="3399" spans="1:15" x14ac:dyDescent="0.35">
      <c r="A3399" s="321"/>
      <c r="B3399" s="320" t="str">
        <f t="shared" si="107"/>
        <v>PV2-116</v>
      </c>
      <c r="C3399" s="153"/>
      <c r="D3399" s="154"/>
      <c r="E3399" s="154">
        <v>1.8</v>
      </c>
      <c r="F3399" s="154">
        <v>1.8</v>
      </c>
      <c r="G3399" s="154">
        <f t="shared" si="108"/>
        <v>0.15</v>
      </c>
      <c r="H3399" s="154"/>
      <c r="I3399" s="154"/>
      <c r="J3399" s="154">
        <v>0.6</v>
      </c>
      <c r="K3399" s="154"/>
      <c r="L3399" s="154"/>
      <c r="M3399" s="154"/>
      <c r="N3399" s="154">
        <f t="shared" si="109"/>
        <v>2.9572566611769187</v>
      </c>
      <c r="O3399" s="154">
        <f t="shared" si="110"/>
        <v>0.44358849917653781</v>
      </c>
    </row>
    <row r="3400" spans="1:15" x14ac:dyDescent="0.35">
      <c r="A3400" s="321"/>
      <c r="B3400" s="320" t="str">
        <f t="shared" si="107"/>
        <v>PV3-116</v>
      </c>
      <c r="C3400" s="153"/>
      <c r="D3400" s="154"/>
      <c r="E3400" s="154">
        <v>1.8</v>
      </c>
      <c r="F3400" s="154">
        <v>1.8</v>
      </c>
      <c r="G3400" s="154">
        <f t="shared" si="108"/>
        <v>0.12999999999999992</v>
      </c>
      <c r="H3400" s="154"/>
      <c r="I3400" s="154"/>
      <c r="J3400" s="154">
        <v>0.6</v>
      </c>
      <c r="K3400" s="154"/>
      <c r="L3400" s="154"/>
      <c r="M3400" s="154"/>
      <c r="N3400" s="154">
        <f t="shared" si="109"/>
        <v>2.9572566611769187</v>
      </c>
      <c r="O3400" s="154">
        <f t="shared" si="110"/>
        <v>0.38444336595299922</v>
      </c>
    </row>
    <row r="3401" spans="1:15" x14ac:dyDescent="0.35">
      <c r="A3401" s="321"/>
      <c r="B3401" s="320" t="str">
        <f t="shared" si="107"/>
        <v>PV1-117</v>
      </c>
      <c r="C3401" s="153"/>
      <c r="D3401" s="154"/>
      <c r="E3401" s="154">
        <v>1.8</v>
      </c>
      <c r="F3401" s="154">
        <v>1.8</v>
      </c>
      <c r="G3401" s="154">
        <f t="shared" si="108"/>
        <v>0.15</v>
      </c>
      <c r="H3401" s="154"/>
      <c r="I3401" s="154"/>
      <c r="J3401" s="154">
        <v>0.6</v>
      </c>
      <c r="K3401" s="154"/>
      <c r="L3401" s="154"/>
      <c r="M3401" s="154"/>
      <c r="N3401" s="154">
        <f t="shared" si="109"/>
        <v>2.9572566611769187</v>
      </c>
      <c r="O3401" s="154">
        <f t="shared" si="110"/>
        <v>0.44358849917653781</v>
      </c>
    </row>
    <row r="3402" spans="1:15" x14ac:dyDescent="0.35">
      <c r="A3402" s="321"/>
      <c r="B3402" s="320" t="str">
        <f t="shared" si="107"/>
        <v>PV2-117</v>
      </c>
      <c r="C3402" s="153"/>
      <c r="D3402" s="154"/>
      <c r="E3402" s="154">
        <v>1.8</v>
      </c>
      <c r="F3402" s="154">
        <v>1.8</v>
      </c>
      <c r="G3402" s="154">
        <f t="shared" si="108"/>
        <v>0.11999999999999991</v>
      </c>
      <c r="H3402" s="154"/>
      <c r="I3402" s="154"/>
      <c r="J3402" s="154">
        <v>0.6</v>
      </c>
      <c r="K3402" s="154"/>
      <c r="L3402" s="154"/>
      <c r="M3402" s="154"/>
      <c r="N3402" s="154">
        <f t="shared" si="109"/>
        <v>2.9572566611769187</v>
      </c>
      <c r="O3402" s="154">
        <f t="shared" si="110"/>
        <v>0.35487079934123</v>
      </c>
    </row>
    <row r="3403" spans="1:15" x14ac:dyDescent="0.35">
      <c r="A3403" s="321"/>
      <c r="B3403" s="320" t="str">
        <f t="shared" si="107"/>
        <v>PV3-117</v>
      </c>
      <c r="C3403" s="153"/>
      <c r="D3403" s="154"/>
      <c r="E3403" s="154">
        <v>1.8</v>
      </c>
      <c r="F3403" s="154">
        <v>1.8</v>
      </c>
      <c r="G3403" s="154">
        <f t="shared" si="108"/>
        <v>0.15</v>
      </c>
      <c r="H3403" s="154"/>
      <c r="I3403" s="154"/>
      <c r="J3403" s="154">
        <v>0.6</v>
      </c>
      <c r="K3403" s="154"/>
      <c r="L3403" s="154"/>
      <c r="M3403" s="154"/>
      <c r="N3403" s="154">
        <f t="shared" si="109"/>
        <v>2.9572566611769187</v>
      </c>
      <c r="O3403" s="154">
        <f t="shared" si="110"/>
        <v>0.44358849917653781</v>
      </c>
    </row>
    <row r="3404" spans="1:15" x14ac:dyDescent="0.35">
      <c r="A3404" s="321"/>
      <c r="B3404" s="320" t="str">
        <f t="shared" si="107"/>
        <v>PV1-119</v>
      </c>
      <c r="C3404" s="153"/>
      <c r="D3404" s="154"/>
      <c r="E3404" s="154">
        <v>1.8</v>
      </c>
      <c r="F3404" s="154">
        <v>1.8</v>
      </c>
      <c r="G3404" s="154">
        <f t="shared" si="108"/>
        <v>0.11999999999999991</v>
      </c>
      <c r="H3404" s="154"/>
      <c r="I3404" s="154"/>
      <c r="J3404" s="154">
        <v>0.6</v>
      </c>
      <c r="K3404" s="154"/>
      <c r="L3404" s="154"/>
      <c r="M3404" s="154"/>
      <c r="N3404" s="154">
        <f t="shared" si="109"/>
        <v>2.9572566611769187</v>
      </c>
      <c r="O3404" s="154">
        <f t="shared" si="110"/>
        <v>0.35487079934123</v>
      </c>
    </row>
    <row r="3405" spans="1:15" x14ac:dyDescent="0.35">
      <c r="A3405" s="321"/>
      <c r="B3405" s="320" t="str">
        <f t="shared" si="107"/>
        <v>PV2-119</v>
      </c>
      <c r="C3405" s="153"/>
      <c r="D3405" s="154"/>
      <c r="E3405" s="154">
        <v>1.8</v>
      </c>
      <c r="F3405" s="154">
        <v>1.8</v>
      </c>
      <c r="G3405" s="154">
        <f t="shared" si="108"/>
        <v>0.15</v>
      </c>
      <c r="H3405" s="154"/>
      <c r="I3405" s="154"/>
      <c r="J3405" s="154">
        <v>0.6</v>
      </c>
      <c r="K3405" s="154"/>
      <c r="L3405" s="154"/>
      <c r="M3405" s="154"/>
      <c r="N3405" s="154">
        <f t="shared" si="109"/>
        <v>2.9572566611769187</v>
      </c>
      <c r="O3405" s="154">
        <f t="shared" si="110"/>
        <v>0.44358849917653781</v>
      </c>
    </row>
    <row r="3406" spans="1:15" x14ac:dyDescent="0.35">
      <c r="A3406" s="321"/>
      <c r="B3406" s="320" t="str">
        <f t="shared" si="107"/>
        <v>PV3-119</v>
      </c>
      <c r="C3406" s="153"/>
      <c r="D3406" s="154"/>
      <c r="E3406" s="154">
        <v>1.8</v>
      </c>
      <c r="F3406" s="154">
        <v>1.8</v>
      </c>
      <c r="G3406" s="154">
        <f t="shared" si="108"/>
        <v>0.15</v>
      </c>
      <c r="H3406" s="154"/>
      <c r="I3406" s="154"/>
      <c r="J3406" s="154">
        <v>0.6</v>
      </c>
      <c r="K3406" s="154"/>
      <c r="L3406" s="154"/>
      <c r="M3406" s="154"/>
      <c r="N3406" s="154">
        <f t="shared" si="109"/>
        <v>2.9572566611769187</v>
      </c>
      <c r="O3406" s="154">
        <f t="shared" si="110"/>
        <v>0.44358849917653781</v>
      </c>
    </row>
    <row r="3407" spans="1:15" x14ac:dyDescent="0.35">
      <c r="A3407" s="321"/>
      <c r="B3407" s="320" t="str">
        <f t="shared" si="107"/>
        <v>PV19-121</v>
      </c>
      <c r="C3407" s="153"/>
      <c r="D3407" s="154"/>
      <c r="E3407" s="154">
        <v>1.8</v>
      </c>
      <c r="F3407" s="154">
        <v>1.8</v>
      </c>
      <c r="G3407" s="154">
        <f t="shared" si="108"/>
        <v>0.15</v>
      </c>
      <c r="H3407" s="154"/>
      <c r="I3407" s="154"/>
      <c r="J3407" s="154">
        <v>0.6</v>
      </c>
      <c r="K3407" s="154"/>
      <c r="L3407" s="154"/>
      <c r="M3407" s="154"/>
      <c r="N3407" s="154">
        <f t="shared" si="109"/>
        <v>2.9572566611769187</v>
      </c>
      <c r="O3407" s="154">
        <f t="shared" si="110"/>
        <v>0.44358849917653781</v>
      </c>
    </row>
    <row r="3408" spans="1:15" x14ac:dyDescent="0.35">
      <c r="A3408" s="321"/>
      <c r="B3408" s="320" t="str">
        <f t="shared" si="107"/>
        <v>PV6-102</v>
      </c>
      <c r="C3408" s="153"/>
      <c r="D3408" s="154"/>
      <c r="E3408" s="154">
        <v>1.8</v>
      </c>
      <c r="F3408" s="154">
        <v>1.8</v>
      </c>
      <c r="G3408" s="154">
        <f t="shared" si="108"/>
        <v>0.15</v>
      </c>
      <c r="H3408" s="154"/>
      <c r="I3408" s="154"/>
      <c r="J3408" s="154">
        <v>0.6</v>
      </c>
      <c r="K3408" s="154"/>
      <c r="L3408" s="154"/>
      <c r="M3408" s="154"/>
      <c r="N3408" s="154">
        <f t="shared" si="109"/>
        <v>2.9572566611769187</v>
      </c>
      <c r="O3408" s="154">
        <f t="shared" si="110"/>
        <v>0.44358849917653781</v>
      </c>
    </row>
    <row r="3409" spans="1:15" x14ac:dyDescent="0.35">
      <c r="A3409" s="321"/>
      <c r="B3409" s="320" t="str">
        <f t="shared" si="107"/>
        <v>PV7-102</v>
      </c>
      <c r="C3409" s="153"/>
      <c r="D3409" s="154"/>
      <c r="E3409" s="154">
        <v>1.8</v>
      </c>
      <c r="F3409" s="154">
        <v>1.8</v>
      </c>
      <c r="G3409" s="154">
        <f t="shared" si="108"/>
        <v>0.15</v>
      </c>
      <c r="H3409" s="154"/>
      <c r="I3409" s="154"/>
      <c r="J3409" s="154">
        <v>0.6</v>
      </c>
      <c r="K3409" s="154"/>
      <c r="L3409" s="154"/>
      <c r="M3409" s="154"/>
      <c r="N3409" s="154">
        <f t="shared" si="109"/>
        <v>2.9572566611769187</v>
      </c>
      <c r="O3409" s="154">
        <f t="shared" si="110"/>
        <v>0.44358849917653781</v>
      </c>
    </row>
    <row r="3410" spans="1:15" x14ac:dyDescent="0.35">
      <c r="A3410" s="321"/>
      <c r="B3410" s="320" t="str">
        <f t="shared" ref="B3410:B3411" si="111">B3185</f>
        <v>PV8-102</v>
      </c>
      <c r="C3410" s="153"/>
      <c r="D3410" s="154"/>
      <c r="E3410" s="154">
        <v>1.8</v>
      </c>
      <c r="F3410" s="154">
        <v>1.8</v>
      </c>
      <c r="G3410" s="154">
        <f t="shared" ref="G3410:G3411" si="112">IF(G3185&gt;=$G$3344,$G$3344,G3185)</f>
        <v>0.15</v>
      </c>
      <c r="H3410" s="154"/>
      <c r="I3410" s="154"/>
      <c r="J3410" s="154">
        <v>0.6</v>
      </c>
      <c r="K3410" s="154"/>
      <c r="L3410" s="154"/>
      <c r="M3410" s="154"/>
      <c r="N3410" s="154">
        <f t="shared" si="109"/>
        <v>2.9572566611769187</v>
      </c>
      <c r="O3410" s="154">
        <f t="shared" ref="O3410:O3411" si="113">N3410*G3410</f>
        <v>0.44358849917653781</v>
      </c>
    </row>
    <row r="3411" spans="1:15" x14ac:dyDescent="0.35">
      <c r="A3411" s="321"/>
      <c r="B3411" s="320" t="str">
        <f t="shared" si="111"/>
        <v>PV6-111</v>
      </c>
      <c r="C3411" s="153"/>
      <c r="D3411" s="154"/>
      <c r="E3411" s="154">
        <v>1.8</v>
      </c>
      <c r="F3411" s="154">
        <v>1.8</v>
      </c>
      <c r="G3411" s="154">
        <f t="shared" si="112"/>
        <v>0.15</v>
      </c>
      <c r="H3411" s="154"/>
      <c r="I3411" s="154"/>
      <c r="J3411" s="154">
        <v>0.6</v>
      </c>
      <c r="K3411" s="154"/>
      <c r="L3411" s="154"/>
      <c r="M3411" s="154"/>
      <c r="N3411" s="154">
        <f t="shared" si="109"/>
        <v>2.9572566611769187</v>
      </c>
      <c r="O3411" s="154">
        <f t="shared" si="113"/>
        <v>0.44358849917653781</v>
      </c>
    </row>
    <row r="3412" spans="1:15" x14ac:dyDescent="0.35">
      <c r="A3412" s="321"/>
      <c r="B3412" s="320"/>
      <c r="C3412" s="153"/>
      <c r="D3412" s="154"/>
      <c r="E3412" s="154"/>
      <c r="F3412" s="154"/>
      <c r="G3412" s="154"/>
      <c r="H3412" s="154"/>
      <c r="I3412" s="154"/>
      <c r="J3412" s="154"/>
      <c r="K3412" s="154"/>
      <c r="L3412" s="156"/>
      <c r="M3412" s="154"/>
      <c r="N3412" s="154"/>
      <c r="O3412" s="154"/>
    </row>
    <row r="3413" spans="1:15" x14ac:dyDescent="0.35">
      <c r="A3413" s="321"/>
      <c r="B3413" s="318" t="s">
        <v>377</v>
      </c>
      <c r="C3413" s="158" t="s">
        <v>402</v>
      </c>
      <c r="D3413" s="158"/>
      <c r="E3413" s="158"/>
      <c r="F3413" s="158"/>
      <c r="G3413" s="158"/>
      <c r="H3413" s="158"/>
      <c r="I3413" s="158"/>
      <c r="J3413" s="158"/>
      <c r="K3413" s="158"/>
      <c r="L3413" s="158"/>
      <c r="M3413" s="158"/>
      <c r="N3413" s="158"/>
      <c r="O3413" s="158">
        <f>SUM(O3346:O3412)</f>
        <v>25.595056402486247</v>
      </c>
    </row>
    <row r="3414" spans="1:15" ht="52.5" x14ac:dyDescent="0.35">
      <c r="A3414" s="323" t="str">
        <f>ORÇAMENTO!A538</f>
        <v>5.5.11</v>
      </c>
      <c r="B3414" s="322" t="str">
        <f>VLOOKUP(A3414,ORÇAMENTO!$A:$F,4,0)</f>
        <v>EXECUÇÃO E COMPACTAÇÃO DE BASE E OU SUB BASE PARA PAVIMENTAÇÃO DE SOLO (PREDOMINANTEMENTE ARENOSO) COM CAL (TEOR DE 4%) - EXCLUSIVE SOLO, ESCAVAÇÃO, CARGA E TRANSPORTE.</v>
      </c>
      <c r="C3414" s="149" t="str">
        <f>VLOOKUP(A3414,ORÇAMENTO!$A:$F,5,0)</f>
        <v>M³</v>
      </c>
      <c r="D3414" s="149">
        <f>SUM(E3484:O3484)</f>
        <v>7.9609349318884588</v>
      </c>
      <c r="E3414" s="149" t="s">
        <v>2149</v>
      </c>
      <c r="F3414" s="149" t="s">
        <v>2150</v>
      </c>
      <c r="G3414" s="149" t="s">
        <v>2151</v>
      </c>
      <c r="H3414" s="149" t="s">
        <v>2152</v>
      </c>
      <c r="I3414" s="149" t="s">
        <v>2153</v>
      </c>
      <c r="J3414" s="149" t="s">
        <v>2154</v>
      </c>
      <c r="K3414" s="149" t="s">
        <v>2155</v>
      </c>
      <c r="L3414" s="149" t="s">
        <v>2156</v>
      </c>
      <c r="M3414" s="149" t="s">
        <v>413</v>
      </c>
      <c r="N3414" s="149" t="s">
        <v>2157</v>
      </c>
      <c r="O3414" s="149" t="s">
        <v>2158</v>
      </c>
    </row>
    <row r="3415" spans="1:15" x14ac:dyDescent="0.35">
      <c r="A3415" s="321"/>
      <c r="B3415" s="318" t="s">
        <v>2327</v>
      </c>
      <c r="C3415" s="153"/>
      <c r="D3415" s="154"/>
      <c r="E3415" s="154"/>
      <c r="F3415" s="154"/>
      <c r="G3415" s="153">
        <v>0.15</v>
      </c>
      <c r="H3415" s="154"/>
      <c r="I3415" s="154"/>
      <c r="J3415" s="154"/>
      <c r="K3415" s="154"/>
      <c r="L3415" s="154"/>
      <c r="M3415" s="154"/>
      <c r="N3415" s="154"/>
      <c r="O3415" s="154"/>
    </row>
    <row r="3416" spans="1:15" x14ac:dyDescent="0.35">
      <c r="A3416" s="321"/>
      <c r="B3416" s="320" t="s">
        <v>2326</v>
      </c>
      <c r="C3416" s="153"/>
      <c r="D3416" s="154"/>
      <c r="E3416" s="154"/>
      <c r="F3416" s="154"/>
      <c r="G3416" s="154"/>
      <c r="H3416" s="154"/>
      <c r="I3416" s="154"/>
      <c r="J3416" s="154"/>
      <c r="K3416" s="154"/>
      <c r="L3416" s="154"/>
      <c r="M3416" s="154"/>
      <c r="N3416" s="154"/>
      <c r="O3416" s="154"/>
    </row>
    <row r="3417" spans="1:15" x14ac:dyDescent="0.35">
      <c r="A3417" s="321"/>
      <c r="B3417" s="320" t="str">
        <f t="shared" ref="B3417:B3448" si="114">B3346</f>
        <v>PV2-102</v>
      </c>
      <c r="C3417" s="153"/>
      <c r="D3417" s="154"/>
      <c r="E3417" s="154">
        <v>1.8</v>
      </c>
      <c r="F3417" s="154">
        <v>1.8</v>
      </c>
      <c r="G3417" s="154">
        <f t="shared" ref="G3417:G3448" si="115">IF(G3121&gt;0.15,IF(G3121&gt;=0.3,0.15,G3121-0.15),0)</f>
        <v>2.000000000006813E-2</v>
      </c>
      <c r="H3417" s="154"/>
      <c r="I3417" s="154"/>
      <c r="J3417" s="154">
        <v>0.6</v>
      </c>
      <c r="K3417" s="154"/>
      <c r="L3417" s="154"/>
      <c r="M3417" s="154"/>
      <c r="N3417" s="154">
        <f t="shared" ref="N3417:N3448" si="116">(E3417*F3417)-(PI()*(J3417/2)^2)</f>
        <v>2.9572566611769187</v>
      </c>
      <c r="O3417" s="154">
        <f t="shared" ref="O3417:O3448" si="117">N3417*G3417</f>
        <v>5.9145133223739849E-2</v>
      </c>
    </row>
    <row r="3418" spans="1:15" x14ac:dyDescent="0.35">
      <c r="A3418" s="321"/>
      <c r="B3418" s="320" t="str">
        <f t="shared" si="114"/>
        <v>PV3-102</v>
      </c>
      <c r="C3418" s="153"/>
      <c r="D3418" s="154"/>
      <c r="E3418" s="154">
        <v>1.8</v>
      </c>
      <c r="F3418" s="154">
        <v>1.8</v>
      </c>
      <c r="G3418" s="154">
        <f t="shared" si="115"/>
        <v>0</v>
      </c>
      <c r="H3418" s="154"/>
      <c r="I3418" s="154"/>
      <c r="J3418" s="154">
        <v>0.6</v>
      </c>
      <c r="K3418" s="154"/>
      <c r="L3418" s="154"/>
      <c r="M3418" s="154"/>
      <c r="N3418" s="154">
        <f t="shared" si="116"/>
        <v>2.9572566611769187</v>
      </c>
      <c r="O3418" s="154">
        <f t="shared" si="117"/>
        <v>0</v>
      </c>
    </row>
    <row r="3419" spans="1:15" x14ac:dyDescent="0.35">
      <c r="A3419" s="321"/>
      <c r="B3419" s="320" t="str">
        <f t="shared" si="114"/>
        <v>PV4-102</v>
      </c>
      <c r="C3419" s="153"/>
      <c r="D3419" s="154"/>
      <c r="E3419" s="154">
        <v>1.8</v>
      </c>
      <c r="F3419" s="154">
        <v>1.8</v>
      </c>
      <c r="G3419" s="154">
        <f t="shared" si="115"/>
        <v>0.15</v>
      </c>
      <c r="H3419" s="154"/>
      <c r="I3419" s="154"/>
      <c r="J3419" s="154">
        <v>0.6</v>
      </c>
      <c r="K3419" s="154"/>
      <c r="L3419" s="154"/>
      <c r="M3419" s="154"/>
      <c r="N3419" s="154">
        <f t="shared" si="116"/>
        <v>2.9572566611769187</v>
      </c>
      <c r="O3419" s="154">
        <f t="shared" si="117"/>
        <v>0.44358849917653781</v>
      </c>
    </row>
    <row r="3420" spans="1:15" x14ac:dyDescent="0.35">
      <c r="A3420" s="321"/>
      <c r="B3420" s="320" t="str">
        <f t="shared" si="114"/>
        <v>PV5-102</v>
      </c>
      <c r="C3420" s="153"/>
      <c r="D3420" s="154"/>
      <c r="E3420" s="154">
        <v>1.8</v>
      </c>
      <c r="F3420" s="154">
        <v>1.8</v>
      </c>
      <c r="G3420" s="154">
        <f t="shared" si="115"/>
        <v>0.15</v>
      </c>
      <c r="H3420" s="154"/>
      <c r="I3420" s="154"/>
      <c r="J3420" s="154">
        <v>0.6</v>
      </c>
      <c r="K3420" s="154"/>
      <c r="L3420" s="154"/>
      <c r="M3420" s="154"/>
      <c r="N3420" s="154">
        <f t="shared" si="116"/>
        <v>2.9572566611769187</v>
      </c>
      <c r="O3420" s="154">
        <f t="shared" si="117"/>
        <v>0.44358849917653781</v>
      </c>
    </row>
    <row r="3421" spans="1:15" x14ac:dyDescent="0.35">
      <c r="A3421" s="321"/>
      <c r="B3421" s="320" t="str">
        <f t="shared" si="114"/>
        <v>PV9-102</v>
      </c>
      <c r="C3421" s="153"/>
      <c r="D3421" s="154"/>
      <c r="E3421" s="154">
        <v>1.8</v>
      </c>
      <c r="F3421" s="154">
        <v>1.8</v>
      </c>
      <c r="G3421" s="154">
        <f t="shared" si="115"/>
        <v>0.15</v>
      </c>
      <c r="H3421" s="154"/>
      <c r="I3421" s="154"/>
      <c r="J3421" s="154">
        <v>0.6</v>
      </c>
      <c r="K3421" s="154"/>
      <c r="L3421" s="154"/>
      <c r="M3421" s="154"/>
      <c r="N3421" s="154">
        <f t="shared" si="116"/>
        <v>2.9572566611769187</v>
      </c>
      <c r="O3421" s="154">
        <f t="shared" si="117"/>
        <v>0.44358849917653781</v>
      </c>
    </row>
    <row r="3422" spans="1:15" x14ac:dyDescent="0.35">
      <c r="A3422" s="321"/>
      <c r="B3422" s="320" t="str">
        <f t="shared" si="114"/>
        <v>PV1-103</v>
      </c>
      <c r="C3422" s="153"/>
      <c r="D3422" s="154"/>
      <c r="E3422" s="154">
        <v>1.8</v>
      </c>
      <c r="F3422" s="154">
        <v>1.8</v>
      </c>
      <c r="G3422" s="154">
        <f t="shared" si="115"/>
        <v>0</v>
      </c>
      <c r="H3422" s="154"/>
      <c r="I3422" s="154"/>
      <c r="J3422" s="154">
        <v>0.6</v>
      </c>
      <c r="K3422" s="154"/>
      <c r="L3422" s="154"/>
      <c r="M3422" s="154"/>
      <c r="N3422" s="154">
        <f t="shared" si="116"/>
        <v>2.9572566611769187</v>
      </c>
      <c r="O3422" s="154">
        <f t="shared" si="117"/>
        <v>0</v>
      </c>
    </row>
    <row r="3423" spans="1:15" x14ac:dyDescent="0.35">
      <c r="A3423" s="321"/>
      <c r="B3423" s="320" t="str">
        <f t="shared" si="114"/>
        <v>PV2-103</v>
      </c>
      <c r="C3423" s="153"/>
      <c r="D3423" s="154"/>
      <c r="E3423" s="154">
        <v>1.8</v>
      </c>
      <c r="F3423" s="154">
        <v>1.8</v>
      </c>
      <c r="G3423" s="154">
        <f t="shared" si="115"/>
        <v>0</v>
      </c>
      <c r="H3423" s="154"/>
      <c r="I3423" s="154"/>
      <c r="J3423" s="154">
        <v>0.6</v>
      </c>
      <c r="K3423" s="154"/>
      <c r="L3423" s="154"/>
      <c r="M3423" s="154"/>
      <c r="N3423" s="154">
        <f t="shared" si="116"/>
        <v>2.9572566611769187</v>
      </c>
      <c r="O3423" s="154">
        <f t="shared" si="117"/>
        <v>0</v>
      </c>
    </row>
    <row r="3424" spans="1:15" x14ac:dyDescent="0.35">
      <c r="A3424" s="321"/>
      <c r="B3424" s="320" t="str">
        <f t="shared" si="114"/>
        <v>PV3-103</v>
      </c>
      <c r="C3424" s="153"/>
      <c r="D3424" s="154"/>
      <c r="E3424" s="154">
        <v>1.8</v>
      </c>
      <c r="F3424" s="154">
        <v>1.8</v>
      </c>
      <c r="G3424" s="154">
        <f t="shared" si="115"/>
        <v>0.15</v>
      </c>
      <c r="H3424" s="154"/>
      <c r="I3424" s="154"/>
      <c r="J3424" s="154">
        <v>0.6</v>
      </c>
      <c r="K3424" s="154"/>
      <c r="L3424" s="154"/>
      <c r="M3424" s="154"/>
      <c r="N3424" s="154">
        <f t="shared" si="116"/>
        <v>2.9572566611769187</v>
      </c>
      <c r="O3424" s="154">
        <f t="shared" si="117"/>
        <v>0.44358849917653781</v>
      </c>
    </row>
    <row r="3425" spans="1:15" x14ac:dyDescent="0.35">
      <c r="A3425" s="321"/>
      <c r="B3425" s="320" t="str">
        <f t="shared" si="114"/>
        <v>PV1-104</v>
      </c>
      <c r="C3425" s="153"/>
      <c r="D3425" s="154"/>
      <c r="E3425" s="154">
        <v>1.8</v>
      </c>
      <c r="F3425" s="154">
        <v>1.8</v>
      </c>
      <c r="G3425" s="154">
        <f t="shared" si="115"/>
        <v>0</v>
      </c>
      <c r="H3425" s="154"/>
      <c r="I3425" s="154"/>
      <c r="J3425" s="154">
        <v>0.6</v>
      </c>
      <c r="K3425" s="154"/>
      <c r="L3425" s="154"/>
      <c r="M3425" s="154"/>
      <c r="N3425" s="154">
        <f t="shared" si="116"/>
        <v>2.9572566611769187</v>
      </c>
      <c r="O3425" s="154">
        <f t="shared" si="117"/>
        <v>0</v>
      </c>
    </row>
    <row r="3426" spans="1:15" x14ac:dyDescent="0.35">
      <c r="A3426" s="321"/>
      <c r="B3426" s="320" t="str">
        <f t="shared" si="114"/>
        <v>PV2-104</v>
      </c>
      <c r="C3426" s="153"/>
      <c r="D3426" s="154"/>
      <c r="E3426" s="154">
        <v>1.8</v>
      </c>
      <c r="F3426" s="154">
        <v>1.8</v>
      </c>
      <c r="G3426" s="154">
        <f t="shared" si="115"/>
        <v>1.9999999999999962E-2</v>
      </c>
      <c r="H3426" s="154"/>
      <c r="I3426" s="154"/>
      <c r="J3426" s="154">
        <v>0.6</v>
      </c>
      <c r="K3426" s="154"/>
      <c r="L3426" s="154"/>
      <c r="M3426" s="154"/>
      <c r="N3426" s="154">
        <f t="shared" si="116"/>
        <v>2.9572566611769187</v>
      </c>
      <c r="O3426" s="154">
        <f t="shared" si="117"/>
        <v>5.914513322353826E-2</v>
      </c>
    </row>
    <row r="3427" spans="1:15" x14ac:dyDescent="0.35">
      <c r="A3427" s="321"/>
      <c r="B3427" s="320" t="str">
        <f t="shared" si="114"/>
        <v>PV3-104</v>
      </c>
      <c r="C3427" s="153"/>
      <c r="D3427" s="154"/>
      <c r="E3427" s="154">
        <v>1.8</v>
      </c>
      <c r="F3427" s="154">
        <v>1.8</v>
      </c>
      <c r="G3427" s="154">
        <f t="shared" si="115"/>
        <v>4.9999999999998379E-3</v>
      </c>
      <c r="H3427" s="154"/>
      <c r="I3427" s="154"/>
      <c r="J3427" s="154">
        <v>0.6</v>
      </c>
      <c r="K3427" s="154"/>
      <c r="L3427" s="154"/>
      <c r="M3427" s="154"/>
      <c r="N3427" s="154">
        <f t="shared" si="116"/>
        <v>2.9572566611769187</v>
      </c>
      <c r="O3427" s="154">
        <f t="shared" si="117"/>
        <v>1.4786283305884114E-2</v>
      </c>
    </row>
    <row r="3428" spans="1:15" x14ac:dyDescent="0.35">
      <c r="A3428" s="321"/>
      <c r="B3428" s="320" t="str">
        <f t="shared" si="114"/>
        <v>PV1-105</v>
      </c>
      <c r="C3428" s="153"/>
      <c r="D3428" s="154"/>
      <c r="E3428" s="154">
        <v>1.8</v>
      </c>
      <c r="F3428" s="154">
        <v>1.8</v>
      </c>
      <c r="G3428" s="154">
        <f t="shared" si="115"/>
        <v>0</v>
      </c>
      <c r="H3428" s="154"/>
      <c r="I3428" s="154"/>
      <c r="J3428" s="154">
        <v>0.6</v>
      </c>
      <c r="K3428" s="154"/>
      <c r="L3428" s="154"/>
      <c r="M3428" s="154"/>
      <c r="N3428" s="154">
        <f t="shared" si="116"/>
        <v>2.9572566611769187</v>
      </c>
      <c r="O3428" s="154">
        <f t="shared" si="117"/>
        <v>0</v>
      </c>
    </row>
    <row r="3429" spans="1:15" x14ac:dyDescent="0.35">
      <c r="A3429" s="321"/>
      <c r="B3429" s="320" t="str">
        <f t="shared" si="114"/>
        <v>PV2-105</v>
      </c>
      <c r="C3429" s="153"/>
      <c r="D3429" s="154"/>
      <c r="E3429" s="154">
        <v>1.8</v>
      </c>
      <c r="F3429" s="154">
        <v>1.8</v>
      </c>
      <c r="G3429" s="154">
        <f t="shared" si="115"/>
        <v>4.9999999999998379E-3</v>
      </c>
      <c r="H3429" s="154"/>
      <c r="I3429" s="154"/>
      <c r="J3429" s="154">
        <v>0.6</v>
      </c>
      <c r="K3429" s="154"/>
      <c r="L3429" s="154"/>
      <c r="M3429" s="154"/>
      <c r="N3429" s="154">
        <f t="shared" si="116"/>
        <v>2.9572566611769187</v>
      </c>
      <c r="O3429" s="154">
        <f t="shared" si="117"/>
        <v>1.4786283305884114E-2</v>
      </c>
    </row>
    <row r="3430" spans="1:15" x14ac:dyDescent="0.35">
      <c r="A3430" s="321"/>
      <c r="B3430" s="320" t="str">
        <f t="shared" si="114"/>
        <v>PV3-105</v>
      </c>
      <c r="C3430" s="153"/>
      <c r="D3430" s="154"/>
      <c r="E3430" s="154">
        <v>1.8</v>
      </c>
      <c r="F3430" s="154">
        <v>1.8</v>
      </c>
      <c r="G3430" s="154">
        <f t="shared" si="115"/>
        <v>0</v>
      </c>
      <c r="H3430" s="154"/>
      <c r="I3430" s="154"/>
      <c r="J3430" s="154">
        <v>0.6</v>
      </c>
      <c r="K3430" s="154"/>
      <c r="L3430" s="154"/>
      <c r="M3430" s="154"/>
      <c r="N3430" s="154">
        <f t="shared" si="116"/>
        <v>2.9572566611769187</v>
      </c>
      <c r="O3430" s="154">
        <f t="shared" si="117"/>
        <v>0</v>
      </c>
    </row>
    <row r="3431" spans="1:15" x14ac:dyDescent="0.35">
      <c r="A3431" s="321"/>
      <c r="B3431" s="320" t="str">
        <f t="shared" si="114"/>
        <v>PV1-106</v>
      </c>
      <c r="C3431" s="153"/>
      <c r="D3431" s="154"/>
      <c r="E3431" s="154">
        <v>1.8</v>
      </c>
      <c r="F3431" s="154">
        <v>1.8</v>
      </c>
      <c r="G3431" s="154">
        <f t="shared" si="115"/>
        <v>0</v>
      </c>
      <c r="H3431" s="154"/>
      <c r="I3431" s="154"/>
      <c r="J3431" s="154">
        <v>0.6</v>
      </c>
      <c r="K3431" s="154"/>
      <c r="L3431" s="154"/>
      <c r="M3431" s="154"/>
      <c r="N3431" s="154">
        <f t="shared" si="116"/>
        <v>2.9572566611769187</v>
      </c>
      <c r="O3431" s="154">
        <f t="shared" si="117"/>
        <v>0</v>
      </c>
    </row>
    <row r="3432" spans="1:15" x14ac:dyDescent="0.35">
      <c r="A3432" s="321"/>
      <c r="B3432" s="320" t="str">
        <f t="shared" si="114"/>
        <v>PV2-106</v>
      </c>
      <c r="C3432" s="153"/>
      <c r="D3432" s="154"/>
      <c r="E3432" s="154">
        <v>1.8</v>
      </c>
      <c r="F3432" s="154">
        <v>1.8</v>
      </c>
      <c r="G3432" s="154">
        <f t="shared" si="115"/>
        <v>0</v>
      </c>
      <c r="H3432" s="154"/>
      <c r="I3432" s="154"/>
      <c r="J3432" s="154">
        <v>0.6</v>
      </c>
      <c r="K3432" s="154"/>
      <c r="L3432" s="154"/>
      <c r="M3432" s="154"/>
      <c r="N3432" s="154">
        <f t="shared" si="116"/>
        <v>2.9572566611769187</v>
      </c>
      <c r="O3432" s="154">
        <f t="shared" si="117"/>
        <v>0</v>
      </c>
    </row>
    <row r="3433" spans="1:15" x14ac:dyDescent="0.35">
      <c r="A3433" s="321"/>
      <c r="B3433" s="320" t="str">
        <f t="shared" si="114"/>
        <v>PV3-106</v>
      </c>
      <c r="C3433" s="153"/>
      <c r="D3433" s="154"/>
      <c r="E3433" s="154">
        <v>1.8</v>
      </c>
      <c r="F3433" s="154">
        <v>1.8</v>
      </c>
      <c r="G3433" s="154">
        <f t="shared" si="115"/>
        <v>0</v>
      </c>
      <c r="H3433" s="154"/>
      <c r="I3433" s="154"/>
      <c r="J3433" s="154">
        <v>0.6</v>
      </c>
      <c r="K3433" s="154"/>
      <c r="L3433" s="154"/>
      <c r="M3433" s="154"/>
      <c r="N3433" s="154">
        <f t="shared" si="116"/>
        <v>2.9572566611769187</v>
      </c>
      <c r="O3433" s="154">
        <f t="shared" si="117"/>
        <v>0</v>
      </c>
    </row>
    <row r="3434" spans="1:15" x14ac:dyDescent="0.35">
      <c r="A3434" s="321"/>
      <c r="B3434" s="320" t="str">
        <f t="shared" si="114"/>
        <v>PV1-107</v>
      </c>
      <c r="C3434" s="153"/>
      <c r="D3434" s="154"/>
      <c r="E3434" s="154">
        <v>1.8</v>
      </c>
      <c r="F3434" s="154">
        <v>1.8</v>
      </c>
      <c r="G3434" s="154">
        <f t="shared" si="115"/>
        <v>0</v>
      </c>
      <c r="H3434" s="154"/>
      <c r="I3434" s="154"/>
      <c r="J3434" s="154">
        <v>0.6</v>
      </c>
      <c r="K3434" s="154"/>
      <c r="L3434" s="154"/>
      <c r="M3434" s="154"/>
      <c r="N3434" s="154">
        <f t="shared" si="116"/>
        <v>2.9572566611769187</v>
      </c>
      <c r="O3434" s="154">
        <f t="shared" si="117"/>
        <v>0</v>
      </c>
    </row>
    <row r="3435" spans="1:15" x14ac:dyDescent="0.35">
      <c r="A3435" s="321"/>
      <c r="B3435" s="320" t="str">
        <f t="shared" si="114"/>
        <v>PV2-107</v>
      </c>
      <c r="C3435" s="153"/>
      <c r="D3435" s="154"/>
      <c r="E3435" s="154">
        <v>1.8</v>
      </c>
      <c r="F3435" s="154">
        <v>1.8</v>
      </c>
      <c r="G3435" s="154">
        <f t="shared" si="115"/>
        <v>0.1199999999999998</v>
      </c>
      <c r="H3435" s="154"/>
      <c r="I3435" s="154"/>
      <c r="J3435" s="154">
        <v>0.6</v>
      </c>
      <c r="K3435" s="154"/>
      <c r="L3435" s="154"/>
      <c r="M3435" s="154"/>
      <c r="N3435" s="154">
        <f t="shared" si="116"/>
        <v>2.9572566611769187</v>
      </c>
      <c r="O3435" s="154">
        <f t="shared" si="117"/>
        <v>0.35487079934122967</v>
      </c>
    </row>
    <row r="3436" spans="1:15" x14ac:dyDescent="0.35">
      <c r="A3436" s="321"/>
      <c r="B3436" s="320" t="str">
        <f t="shared" si="114"/>
        <v>PV3-107</v>
      </c>
      <c r="C3436" s="153"/>
      <c r="D3436" s="154"/>
      <c r="E3436" s="154">
        <v>1.8</v>
      </c>
      <c r="F3436" s="154">
        <v>1.8</v>
      </c>
      <c r="G3436" s="154">
        <f t="shared" si="115"/>
        <v>4.9999999999998379E-3</v>
      </c>
      <c r="H3436" s="154"/>
      <c r="I3436" s="154"/>
      <c r="J3436" s="154">
        <v>0.6</v>
      </c>
      <c r="K3436" s="154"/>
      <c r="L3436" s="154"/>
      <c r="M3436" s="154"/>
      <c r="N3436" s="154">
        <f t="shared" si="116"/>
        <v>2.9572566611769187</v>
      </c>
      <c r="O3436" s="154">
        <f t="shared" si="117"/>
        <v>1.4786283305884114E-2</v>
      </c>
    </row>
    <row r="3437" spans="1:15" x14ac:dyDescent="0.35">
      <c r="A3437" s="321"/>
      <c r="B3437" s="320" t="str">
        <f t="shared" si="114"/>
        <v>PV1-108</v>
      </c>
      <c r="C3437" s="153"/>
      <c r="D3437" s="154"/>
      <c r="E3437" s="154">
        <v>1.8</v>
      </c>
      <c r="F3437" s="154">
        <v>1.8</v>
      </c>
      <c r="G3437" s="154">
        <f t="shared" si="115"/>
        <v>0</v>
      </c>
      <c r="H3437" s="154"/>
      <c r="I3437" s="154"/>
      <c r="J3437" s="154">
        <v>0.6</v>
      </c>
      <c r="K3437" s="154"/>
      <c r="L3437" s="154"/>
      <c r="M3437" s="154"/>
      <c r="N3437" s="154">
        <f t="shared" si="116"/>
        <v>2.9572566611769187</v>
      </c>
      <c r="O3437" s="154">
        <f t="shared" si="117"/>
        <v>0</v>
      </c>
    </row>
    <row r="3438" spans="1:15" x14ac:dyDescent="0.35">
      <c r="A3438" s="321"/>
      <c r="B3438" s="320" t="str">
        <f t="shared" si="114"/>
        <v>PV2-108</v>
      </c>
      <c r="C3438" s="153"/>
      <c r="D3438" s="154"/>
      <c r="E3438" s="154">
        <v>1.8</v>
      </c>
      <c r="F3438" s="154">
        <v>1.8</v>
      </c>
      <c r="G3438" s="154">
        <f t="shared" si="115"/>
        <v>4.9999999999998379E-3</v>
      </c>
      <c r="H3438" s="154"/>
      <c r="I3438" s="154"/>
      <c r="J3438" s="154">
        <v>0.6</v>
      </c>
      <c r="K3438" s="154"/>
      <c r="L3438" s="154"/>
      <c r="M3438" s="154"/>
      <c r="N3438" s="154">
        <f t="shared" si="116"/>
        <v>2.9572566611769187</v>
      </c>
      <c r="O3438" s="154">
        <f t="shared" si="117"/>
        <v>1.4786283305884114E-2</v>
      </c>
    </row>
    <row r="3439" spans="1:15" x14ac:dyDescent="0.35">
      <c r="A3439" s="321"/>
      <c r="B3439" s="320" t="str">
        <f t="shared" si="114"/>
        <v>PV3-108</v>
      </c>
      <c r="C3439" s="153"/>
      <c r="D3439" s="154"/>
      <c r="E3439" s="154">
        <v>1.8</v>
      </c>
      <c r="F3439" s="154">
        <v>1.8</v>
      </c>
      <c r="G3439" s="154">
        <f t="shared" si="115"/>
        <v>0</v>
      </c>
      <c r="H3439" s="154"/>
      <c r="I3439" s="154"/>
      <c r="J3439" s="154">
        <v>0.6</v>
      </c>
      <c r="K3439" s="154"/>
      <c r="L3439" s="154"/>
      <c r="M3439" s="154"/>
      <c r="N3439" s="154">
        <f t="shared" si="116"/>
        <v>2.9572566611769187</v>
      </c>
      <c r="O3439" s="154">
        <f t="shared" si="117"/>
        <v>0</v>
      </c>
    </row>
    <row r="3440" spans="1:15" x14ac:dyDescent="0.35">
      <c r="A3440" s="321"/>
      <c r="B3440" s="320" t="str">
        <f t="shared" si="114"/>
        <v>PV1-109</v>
      </c>
      <c r="C3440" s="153"/>
      <c r="D3440" s="154"/>
      <c r="E3440" s="154">
        <v>1.8</v>
      </c>
      <c r="F3440" s="154">
        <v>1.8</v>
      </c>
      <c r="G3440" s="154">
        <f t="shared" si="115"/>
        <v>0</v>
      </c>
      <c r="H3440" s="154"/>
      <c r="I3440" s="154"/>
      <c r="J3440" s="154">
        <v>0.6</v>
      </c>
      <c r="K3440" s="154"/>
      <c r="L3440" s="154"/>
      <c r="M3440" s="154"/>
      <c r="N3440" s="154">
        <f t="shared" si="116"/>
        <v>2.9572566611769187</v>
      </c>
      <c r="O3440" s="154">
        <f t="shared" si="117"/>
        <v>0</v>
      </c>
    </row>
    <row r="3441" spans="1:15" x14ac:dyDescent="0.35">
      <c r="A3441" s="321"/>
      <c r="B3441" s="320" t="str">
        <f t="shared" si="114"/>
        <v>PV2-109</v>
      </c>
      <c r="C3441" s="153"/>
      <c r="D3441" s="154"/>
      <c r="E3441" s="154">
        <v>1.8</v>
      </c>
      <c r="F3441" s="154">
        <v>1.8</v>
      </c>
      <c r="G3441" s="154">
        <f t="shared" si="115"/>
        <v>0</v>
      </c>
      <c r="H3441" s="154"/>
      <c r="I3441" s="154"/>
      <c r="J3441" s="154">
        <v>0.6</v>
      </c>
      <c r="K3441" s="154"/>
      <c r="L3441" s="154"/>
      <c r="M3441" s="154"/>
      <c r="N3441" s="154">
        <f t="shared" si="116"/>
        <v>2.9572566611769187</v>
      </c>
      <c r="O3441" s="154">
        <f t="shared" si="117"/>
        <v>0</v>
      </c>
    </row>
    <row r="3442" spans="1:15" x14ac:dyDescent="0.35">
      <c r="A3442" s="321"/>
      <c r="B3442" s="320" t="str">
        <f t="shared" si="114"/>
        <v>PV3-109</v>
      </c>
      <c r="C3442" s="153"/>
      <c r="D3442" s="154"/>
      <c r="E3442" s="154">
        <v>1.8</v>
      </c>
      <c r="F3442" s="154">
        <v>1.8</v>
      </c>
      <c r="G3442" s="154">
        <f t="shared" si="115"/>
        <v>4.9999999999999989E-2</v>
      </c>
      <c r="H3442" s="154"/>
      <c r="I3442" s="154"/>
      <c r="J3442" s="154">
        <v>0.6</v>
      </c>
      <c r="K3442" s="154"/>
      <c r="L3442" s="154"/>
      <c r="M3442" s="154"/>
      <c r="N3442" s="154">
        <f t="shared" si="116"/>
        <v>2.9572566611769187</v>
      </c>
      <c r="O3442" s="154">
        <f t="shared" si="117"/>
        <v>0.1478628330588459</v>
      </c>
    </row>
    <row r="3443" spans="1:15" x14ac:dyDescent="0.35">
      <c r="A3443" s="321"/>
      <c r="B3443" s="320" t="str">
        <f t="shared" si="114"/>
        <v>PV1-110</v>
      </c>
      <c r="C3443" s="153"/>
      <c r="D3443" s="154"/>
      <c r="E3443" s="154">
        <v>1.8</v>
      </c>
      <c r="F3443" s="154">
        <v>1.8</v>
      </c>
      <c r="G3443" s="154">
        <f t="shared" si="115"/>
        <v>0</v>
      </c>
      <c r="H3443" s="154"/>
      <c r="I3443" s="154"/>
      <c r="J3443" s="154">
        <v>0.6</v>
      </c>
      <c r="K3443" s="154"/>
      <c r="L3443" s="154"/>
      <c r="M3443" s="154"/>
      <c r="N3443" s="154">
        <f t="shared" si="116"/>
        <v>2.9572566611769187</v>
      </c>
      <c r="O3443" s="154">
        <f t="shared" si="117"/>
        <v>0</v>
      </c>
    </row>
    <row r="3444" spans="1:15" x14ac:dyDescent="0.35">
      <c r="A3444" s="321"/>
      <c r="B3444" s="320" t="str">
        <f t="shared" si="114"/>
        <v>PV2-110</v>
      </c>
      <c r="C3444" s="153"/>
      <c r="D3444" s="154"/>
      <c r="E3444" s="154">
        <v>1.8</v>
      </c>
      <c r="F3444" s="154">
        <v>1.8</v>
      </c>
      <c r="G3444" s="154">
        <f t="shared" si="115"/>
        <v>1.4999999999999847E-2</v>
      </c>
      <c r="H3444" s="154"/>
      <c r="I3444" s="154"/>
      <c r="J3444" s="154">
        <v>0.6</v>
      </c>
      <c r="K3444" s="154"/>
      <c r="L3444" s="154"/>
      <c r="M3444" s="154"/>
      <c r="N3444" s="154">
        <f t="shared" si="116"/>
        <v>2.9572566611769187</v>
      </c>
      <c r="O3444" s="154">
        <f t="shared" si="117"/>
        <v>4.4358849917653327E-2</v>
      </c>
    </row>
    <row r="3445" spans="1:15" x14ac:dyDescent="0.35">
      <c r="A3445" s="321"/>
      <c r="B3445" s="320" t="str">
        <f t="shared" si="114"/>
        <v>PV3-110</v>
      </c>
      <c r="C3445" s="153"/>
      <c r="D3445" s="154"/>
      <c r="E3445" s="154">
        <v>1.8</v>
      </c>
      <c r="F3445" s="154">
        <v>1.8</v>
      </c>
      <c r="G3445" s="154">
        <f t="shared" si="115"/>
        <v>4.9999999999999989E-2</v>
      </c>
      <c r="H3445" s="154"/>
      <c r="I3445" s="154"/>
      <c r="J3445" s="154">
        <v>0.6</v>
      </c>
      <c r="K3445" s="154"/>
      <c r="L3445" s="154"/>
      <c r="M3445" s="154"/>
      <c r="N3445" s="154">
        <f t="shared" si="116"/>
        <v>2.9572566611769187</v>
      </c>
      <c r="O3445" s="154">
        <f t="shared" si="117"/>
        <v>0.1478628330588459</v>
      </c>
    </row>
    <row r="3446" spans="1:15" x14ac:dyDescent="0.35">
      <c r="A3446" s="321"/>
      <c r="B3446" s="320" t="str">
        <f t="shared" si="114"/>
        <v>PV1-111</v>
      </c>
      <c r="C3446" s="153"/>
      <c r="D3446" s="154"/>
      <c r="E3446" s="154">
        <v>1.8</v>
      </c>
      <c r="F3446" s="154">
        <v>1.8</v>
      </c>
      <c r="G3446" s="154">
        <f t="shared" si="115"/>
        <v>0</v>
      </c>
      <c r="H3446" s="154"/>
      <c r="I3446" s="154"/>
      <c r="J3446" s="154">
        <v>0.6</v>
      </c>
      <c r="K3446" s="154"/>
      <c r="L3446" s="154"/>
      <c r="M3446" s="154"/>
      <c r="N3446" s="154">
        <f t="shared" si="116"/>
        <v>2.9572566611769187</v>
      </c>
      <c r="O3446" s="154">
        <f t="shared" si="117"/>
        <v>0</v>
      </c>
    </row>
    <row r="3447" spans="1:15" x14ac:dyDescent="0.35">
      <c r="A3447" s="321"/>
      <c r="B3447" s="320" t="str">
        <f t="shared" si="114"/>
        <v>PV2-111</v>
      </c>
      <c r="C3447" s="153"/>
      <c r="D3447" s="154"/>
      <c r="E3447" s="154">
        <v>1.8</v>
      </c>
      <c r="F3447" s="154">
        <v>1.8</v>
      </c>
      <c r="G3447" s="154">
        <f t="shared" si="115"/>
        <v>0</v>
      </c>
      <c r="H3447" s="154"/>
      <c r="I3447" s="154"/>
      <c r="J3447" s="154">
        <v>0.6</v>
      </c>
      <c r="K3447" s="154"/>
      <c r="L3447" s="154"/>
      <c r="M3447" s="154"/>
      <c r="N3447" s="154">
        <f t="shared" si="116"/>
        <v>2.9572566611769187</v>
      </c>
      <c r="O3447" s="154">
        <f t="shared" si="117"/>
        <v>0</v>
      </c>
    </row>
    <row r="3448" spans="1:15" x14ac:dyDescent="0.35">
      <c r="A3448" s="321"/>
      <c r="B3448" s="320" t="str">
        <f t="shared" si="114"/>
        <v>PV3-111</v>
      </c>
      <c r="C3448" s="153"/>
      <c r="D3448" s="154"/>
      <c r="E3448" s="154">
        <v>1.8</v>
      </c>
      <c r="F3448" s="154">
        <v>1.8</v>
      </c>
      <c r="G3448" s="154">
        <f t="shared" si="115"/>
        <v>0</v>
      </c>
      <c r="H3448" s="154"/>
      <c r="I3448" s="154"/>
      <c r="J3448" s="154">
        <v>0.6</v>
      </c>
      <c r="K3448" s="154"/>
      <c r="L3448" s="154"/>
      <c r="M3448" s="154"/>
      <c r="N3448" s="154">
        <f t="shared" si="116"/>
        <v>2.9572566611769187</v>
      </c>
      <c r="O3448" s="154">
        <f t="shared" si="117"/>
        <v>0</v>
      </c>
    </row>
    <row r="3449" spans="1:15" x14ac:dyDescent="0.35">
      <c r="A3449" s="321"/>
      <c r="B3449" s="320" t="str">
        <f t="shared" ref="B3449:B3480" si="118">B3378</f>
        <v>PV4-111</v>
      </c>
      <c r="C3449" s="153"/>
      <c r="D3449" s="154"/>
      <c r="E3449" s="154">
        <v>1.8</v>
      </c>
      <c r="F3449" s="154">
        <v>1.8</v>
      </c>
      <c r="G3449" s="154">
        <f t="shared" ref="G3449:G3480" si="119">IF(G3153&gt;0.15,IF(G3153&gt;=0.3,0.15,G3153-0.15),0)</f>
        <v>7.0000000000000007E-2</v>
      </c>
      <c r="H3449" s="154"/>
      <c r="I3449" s="154"/>
      <c r="J3449" s="154">
        <v>0.6</v>
      </c>
      <c r="K3449" s="154"/>
      <c r="L3449" s="154"/>
      <c r="M3449" s="154"/>
      <c r="N3449" s="154">
        <f t="shared" ref="N3449:N3482" si="120">(E3449*F3449)-(PI()*(J3449/2)^2)</f>
        <v>2.9572566611769187</v>
      </c>
      <c r="O3449" s="154">
        <f t="shared" ref="O3449:O3480" si="121">N3449*G3449</f>
        <v>0.20700796628238433</v>
      </c>
    </row>
    <row r="3450" spans="1:15" x14ac:dyDescent="0.35">
      <c r="A3450" s="321"/>
      <c r="B3450" s="320" t="str">
        <f t="shared" si="118"/>
        <v>PV5-111</v>
      </c>
      <c r="C3450" s="153"/>
      <c r="D3450" s="154"/>
      <c r="E3450" s="154">
        <v>1.8</v>
      </c>
      <c r="F3450" s="154">
        <v>1.8</v>
      </c>
      <c r="G3450" s="154">
        <f t="shared" si="119"/>
        <v>9.9999999999999811E-2</v>
      </c>
      <c r="H3450" s="154"/>
      <c r="I3450" s="154"/>
      <c r="J3450" s="154">
        <v>0.6</v>
      </c>
      <c r="K3450" s="154"/>
      <c r="L3450" s="154"/>
      <c r="M3450" s="154"/>
      <c r="N3450" s="154">
        <f t="shared" si="120"/>
        <v>2.9572566611769187</v>
      </c>
      <c r="O3450" s="154">
        <f t="shared" si="121"/>
        <v>0.2957256661176913</v>
      </c>
    </row>
    <row r="3451" spans="1:15" x14ac:dyDescent="0.35">
      <c r="A3451" s="321"/>
      <c r="B3451" s="320" t="str">
        <f t="shared" si="118"/>
        <v>PV7-111</v>
      </c>
      <c r="C3451" s="153"/>
      <c r="D3451" s="154"/>
      <c r="E3451" s="154">
        <v>1.8</v>
      </c>
      <c r="F3451" s="154">
        <v>1.8</v>
      </c>
      <c r="G3451" s="154">
        <f t="shared" si="119"/>
        <v>0.15</v>
      </c>
      <c r="H3451" s="154"/>
      <c r="I3451" s="154"/>
      <c r="J3451" s="154">
        <v>0.6</v>
      </c>
      <c r="K3451" s="154"/>
      <c r="L3451" s="154"/>
      <c r="M3451" s="154"/>
      <c r="N3451" s="154">
        <f t="shared" si="120"/>
        <v>2.9572566611769187</v>
      </c>
      <c r="O3451" s="154">
        <f t="shared" si="121"/>
        <v>0.44358849917653781</v>
      </c>
    </row>
    <row r="3452" spans="1:15" x14ac:dyDescent="0.35">
      <c r="A3452" s="321"/>
      <c r="B3452" s="320" t="str">
        <f t="shared" si="118"/>
        <v>PV8-111</v>
      </c>
      <c r="C3452" s="153"/>
      <c r="D3452" s="154"/>
      <c r="E3452" s="154">
        <v>1.8</v>
      </c>
      <c r="F3452" s="154">
        <v>1.8</v>
      </c>
      <c r="G3452" s="154">
        <f t="shared" si="119"/>
        <v>0</v>
      </c>
      <c r="H3452" s="154"/>
      <c r="I3452" s="154"/>
      <c r="J3452" s="154">
        <v>0.6</v>
      </c>
      <c r="K3452" s="154"/>
      <c r="L3452" s="154"/>
      <c r="M3452" s="154"/>
      <c r="N3452" s="154">
        <f t="shared" si="120"/>
        <v>2.9572566611769187</v>
      </c>
      <c r="O3452" s="154">
        <f t="shared" si="121"/>
        <v>0</v>
      </c>
    </row>
    <row r="3453" spans="1:15" x14ac:dyDescent="0.35">
      <c r="A3453" s="321"/>
      <c r="B3453" s="320" t="str">
        <f t="shared" si="118"/>
        <v>PV9-111</v>
      </c>
      <c r="C3453" s="153"/>
      <c r="D3453" s="154"/>
      <c r="E3453" s="154">
        <v>1.8</v>
      </c>
      <c r="F3453" s="154">
        <v>1.8</v>
      </c>
      <c r="G3453" s="154">
        <f t="shared" si="119"/>
        <v>0</v>
      </c>
      <c r="H3453" s="154"/>
      <c r="I3453" s="154"/>
      <c r="J3453" s="154">
        <v>0.6</v>
      </c>
      <c r="K3453" s="154"/>
      <c r="L3453" s="154"/>
      <c r="M3453" s="154"/>
      <c r="N3453" s="154">
        <f t="shared" si="120"/>
        <v>2.9572566611769187</v>
      </c>
      <c r="O3453" s="154">
        <f t="shared" si="121"/>
        <v>0</v>
      </c>
    </row>
    <row r="3454" spans="1:15" x14ac:dyDescent="0.35">
      <c r="A3454" s="321"/>
      <c r="B3454" s="320" t="str">
        <f t="shared" si="118"/>
        <v>PV10-111</v>
      </c>
      <c r="C3454" s="153"/>
      <c r="D3454" s="154"/>
      <c r="E3454" s="154">
        <v>1.8</v>
      </c>
      <c r="F3454" s="154">
        <v>1.8</v>
      </c>
      <c r="G3454" s="154">
        <f t="shared" si="119"/>
        <v>6.9999999999998397E-3</v>
      </c>
      <c r="H3454" s="154"/>
      <c r="I3454" s="154"/>
      <c r="J3454" s="154">
        <v>0.6</v>
      </c>
      <c r="K3454" s="154"/>
      <c r="L3454" s="154"/>
      <c r="M3454" s="154"/>
      <c r="N3454" s="154">
        <f t="shared" si="120"/>
        <v>2.9572566611769187</v>
      </c>
      <c r="O3454" s="154">
        <f t="shared" si="121"/>
        <v>2.0700796628237955E-2</v>
      </c>
    </row>
    <row r="3455" spans="1:15" x14ac:dyDescent="0.35">
      <c r="A3455" s="321"/>
      <c r="B3455" s="320" t="str">
        <f t="shared" si="118"/>
        <v>PV1-112</v>
      </c>
      <c r="C3455" s="153"/>
      <c r="D3455" s="154"/>
      <c r="E3455" s="154">
        <v>1.8</v>
      </c>
      <c r="F3455" s="154">
        <v>1.8</v>
      </c>
      <c r="G3455" s="154">
        <f t="shared" si="119"/>
        <v>0</v>
      </c>
      <c r="H3455" s="154"/>
      <c r="I3455" s="154"/>
      <c r="J3455" s="154">
        <v>0.6</v>
      </c>
      <c r="K3455" s="154"/>
      <c r="L3455" s="154"/>
      <c r="M3455" s="154"/>
      <c r="N3455" s="154">
        <f t="shared" si="120"/>
        <v>2.9572566611769187</v>
      </c>
      <c r="O3455" s="154">
        <f t="shared" si="121"/>
        <v>0</v>
      </c>
    </row>
    <row r="3456" spans="1:15" x14ac:dyDescent="0.35">
      <c r="A3456" s="321"/>
      <c r="B3456" s="320" t="str">
        <f t="shared" si="118"/>
        <v>PV2-112</v>
      </c>
      <c r="C3456" s="153"/>
      <c r="D3456" s="154"/>
      <c r="E3456" s="154">
        <v>1.8</v>
      </c>
      <c r="F3456" s="154">
        <v>1.8</v>
      </c>
      <c r="G3456" s="154">
        <f t="shared" si="119"/>
        <v>3.4999999999999865E-2</v>
      </c>
      <c r="H3456" s="154"/>
      <c r="I3456" s="154"/>
      <c r="J3456" s="154">
        <v>0.6</v>
      </c>
      <c r="K3456" s="154"/>
      <c r="L3456" s="154"/>
      <c r="M3456" s="154"/>
      <c r="N3456" s="154">
        <f t="shared" si="120"/>
        <v>2.9572566611769187</v>
      </c>
      <c r="O3456" s="154">
        <f t="shared" si="121"/>
        <v>0.10350398314119175</v>
      </c>
    </row>
    <row r="3457" spans="1:15" x14ac:dyDescent="0.35">
      <c r="A3457" s="321"/>
      <c r="B3457" s="320" t="str">
        <f t="shared" si="118"/>
        <v>PV3-112</v>
      </c>
      <c r="C3457" s="153"/>
      <c r="D3457" s="154"/>
      <c r="E3457" s="154">
        <v>1.8</v>
      </c>
      <c r="F3457" s="154">
        <v>1.8</v>
      </c>
      <c r="G3457" s="154">
        <f t="shared" si="119"/>
        <v>4.9999999999999989E-2</v>
      </c>
      <c r="H3457" s="154"/>
      <c r="I3457" s="154"/>
      <c r="J3457" s="154">
        <v>0.6</v>
      </c>
      <c r="K3457" s="154"/>
      <c r="L3457" s="154"/>
      <c r="M3457" s="154"/>
      <c r="N3457" s="154">
        <f t="shared" si="120"/>
        <v>2.9572566611769187</v>
      </c>
      <c r="O3457" s="154">
        <f t="shared" si="121"/>
        <v>0.1478628330588459</v>
      </c>
    </row>
    <row r="3458" spans="1:15" x14ac:dyDescent="0.35">
      <c r="A3458" s="321"/>
      <c r="B3458" s="320" t="str">
        <f t="shared" si="118"/>
        <v>PV1-113</v>
      </c>
      <c r="C3458" s="153"/>
      <c r="D3458" s="154"/>
      <c r="E3458" s="154">
        <v>1.8</v>
      </c>
      <c r="F3458" s="154">
        <v>1.8</v>
      </c>
      <c r="G3458" s="154">
        <f t="shared" si="119"/>
        <v>0</v>
      </c>
      <c r="H3458" s="154"/>
      <c r="I3458" s="154"/>
      <c r="J3458" s="154">
        <v>0.6</v>
      </c>
      <c r="K3458" s="154"/>
      <c r="L3458" s="154"/>
      <c r="M3458" s="154"/>
      <c r="N3458" s="154">
        <f t="shared" si="120"/>
        <v>2.9572566611769187</v>
      </c>
      <c r="O3458" s="154">
        <f t="shared" si="121"/>
        <v>0</v>
      </c>
    </row>
    <row r="3459" spans="1:15" x14ac:dyDescent="0.35">
      <c r="A3459" s="321"/>
      <c r="B3459" s="320" t="str">
        <f t="shared" si="118"/>
        <v>PV2-113</v>
      </c>
      <c r="C3459" s="153"/>
      <c r="D3459" s="154"/>
      <c r="E3459" s="154">
        <v>1.8</v>
      </c>
      <c r="F3459" s="154">
        <v>1.8</v>
      </c>
      <c r="G3459" s="154">
        <f t="shared" si="119"/>
        <v>0</v>
      </c>
      <c r="H3459" s="154"/>
      <c r="I3459" s="154"/>
      <c r="J3459" s="154">
        <v>0.6</v>
      </c>
      <c r="K3459" s="154"/>
      <c r="L3459" s="154"/>
      <c r="M3459" s="154"/>
      <c r="N3459" s="154">
        <f t="shared" si="120"/>
        <v>2.9572566611769187</v>
      </c>
      <c r="O3459" s="154">
        <f t="shared" si="121"/>
        <v>0</v>
      </c>
    </row>
    <row r="3460" spans="1:15" x14ac:dyDescent="0.35">
      <c r="A3460" s="321"/>
      <c r="B3460" s="320" t="str">
        <f t="shared" si="118"/>
        <v>PV3-113</v>
      </c>
      <c r="C3460" s="153"/>
      <c r="D3460" s="154"/>
      <c r="E3460" s="154">
        <v>1.8</v>
      </c>
      <c r="F3460" s="154">
        <v>1.8</v>
      </c>
      <c r="G3460" s="154">
        <f t="shared" si="119"/>
        <v>2.4999999999999856E-2</v>
      </c>
      <c r="H3460" s="154"/>
      <c r="I3460" s="154"/>
      <c r="J3460" s="154">
        <v>0.6</v>
      </c>
      <c r="K3460" s="154"/>
      <c r="L3460" s="154"/>
      <c r="M3460" s="154"/>
      <c r="N3460" s="154">
        <f t="shared" si="120"/>
        <v>2.9572566611769187</v>
      </c>
      <c r="O3460" s="154">
        <f t="shared" si="121"/>
        <v>7.3931416529422533E-2</v>
      </c>
    </row>
    <row r="3461" spans="1:15" x14ac:dyDescent="0.35">
      <c r="A3461" s="321"/>
      <c r="B3461" s="320" t="str">
        <f t="shared" si="118"/>
        <v>PV1-114</v>
      </c>
      <c r="C3461" s="153"/>
      <c r="D3461" s="154"/>
      <c r="E3461" s="154">
        <v>1.8</v>
      </c>
      <c r="F3461" s="154">
        <v>1.8</v>
      </c>
      <c r="G3461" s="154">
        <f t="shared" si="119"/>
        <v>0</v>
      </c>
      <c r="H3461" s="154"/>
      <c r="I3461" s="154"/>
      <c r="J3461" s="154">
        <v>0.6</v>
      </c>
      <c r="K3461" s="154"/>
      <c r="L3461" s="154"/>
      <c r="M3461" s="154"/>
      <c r="N3461" s="154">
        <f t="shared" si="120"/>
        <v>2.9572566611769187</v>
      </c>
      <c r="O3461" s="154">
        <f t="shared" si="121"/>
        <v>0</v>
      </c>
    </row>
    <row r="3462" spans="1:15" x14ac:dyDescent="0.35">
      <c r="A3462" s="321"/>
      <c r="B3462" s="320" t="str">
        <f t="shared" si="118"/>
        <v>PV2-114</v>
      </c>
      <c r="C3462" s="153"/>
      <c r="D3462" s="154"/>
      <c r="E3462" s="154">
        <v>1.8</v>
      </c>
      <c r="F3462" s="154">
        <v>1.8</v>
      </c>
      <c r="G3462" s="154">
        <f t="shared" si="119"/>
        <v>0</v>
      </c>
      <c r="H3462" s="154"/>
      <c r="I3462" s="154"/>
      <c r="J3462" s="154">
        <v>0.6</v>
      </c>
      <c r="K3462" s="154"/>
      <c r="L3462" s="154"/>
      <c r="M3462" s="154"/>
      <c r="N3462" s="154">
        <f t="shared" si="120"/>
        <v>2.9572566611769187</v>
      </c>
      <c r="O3462" s="154">
        <f t="shared" si="121"/>
        <v>0</v>
      </c>
    </row>
    <row r="3463" spans="1:15" x14ac:dyDescent="0.35">
      <c r="A3463" s="321"/>
      <c r="B3463" s="320" t="str">
        <f t="shared" si="118"/>
        <v>PV3-114</v>
      </c>
      <c r="C3463" s="153"/>
      <c r="D3463" s="154"/>
      <c r="E3463" s="154">
        <v>1.8</v>
      </c>
      <c r="F3463" s="154">
        <v>1.8</v>
      </c>
      <c r="G3463" s="154">
        <f t="shared" si="119"/>
        <v>2.9999999999999971E-2</v>
      </c>
      <c r="H3463" s="154"/>
      <c r="I3463" s="154"/>
      <c r="J3463" s="154">
        <v>0.6</v>
      </c>
      <c r="K3463" s="154"/>
      <c r="L3463" s="154"/>
      <c r="M3463" s="154"/>
      <c r="N3463" s="154">
        <f t="shared" si="120"/>
        <v>2.9572566611769187</v>
      </c>
      <c r="O3463" s="154">
        <f t="shared" si="121"/>
        <v>8.8717699835307473E-2</v>
      </c>
    </row>
    <row r="3464" spans="1:15" x14ac:dyDescent="0.35">
      <c r="A3464" s="321"/>
      <c r="B3464" s="320" t="str">
        <f t="shared" si="118"/>
        <v>PV1-115</v>
      </c>
      <c r="C3464" s="153"/>
      <c r="D3464" s="154"/>
      <c r="E3464" s="154">
        <v>1.8</v>
      </c>
      <c r="F3464" s="154">
        <v>1.8</v>
      </c>
      <c r="G3464" s="154">
        <f t="shared" si="119"/>
        <v>0</v>
      </c>
      <c r="H3464" s="154"/>
      <c r="I3464" s="154"/>
      <c r="J3464" s="154">
        <v>0.6</v>
      </c>
      <c r="K3464" s="154"/>
      <c r="L3464" s="154"/>
      <c r="M3464" s="154"/>
      <c r="N3464" s="154">
        <f t="shared" si="120"/>
        <v>2.9572566611769187</v>
      </c>
      <c r="O3464" s="154">
        <f t="shared" si="121"/>
        <v>0</v>
      </c>
    </row>
    <row r="3465" spans="1:15" x14ac:dyDescent="0.35">
      <c r="A3465" s="321"/>
      <c r="B3465" s="320" t="str">
        <f t="shared" si="118"/>
        <v>PV2-115</v>
      </c>
      <c r="C3465" s="153"/>
      <c r="D3465" s="154"/>
      <c r="E3465" s="154">
        <v>1.8</v>
      </c>
      <c r="F3465" s="154">
        <v>1.8</v>
      </c>
      <c r="G3465" s="154">
        <f t="shared" si="119"/>
        <v>0</v>
      </c>
      <c r="H3465" s="154"/>
      <c r="I3465" s="154"/>
      <c r="J3465" s="154">
        <v>0.6</v>
      </c>
      <c r="K3465" s="154"/>
      <c r="L3465" s="154"/>
      <c r="M3465" s="154"/>
      <c r="N3465" s="154">
        <f t="shared" si="120"/>
        <v>2.9572566611769187</v>
      </c>
      <c r="O3465" s="154">
        <f t="shared" si="121"/>
        <v>0</v>
      </c>
    </row>
    <row r="3466" spans="1:15" x14ac:dyDescent="0.35">
      <c r="A3466" s="321"/>
      <c r="B3466" s="320" t="str">
        <f t="shared" si="118"/>
        <v>PV3-115</v>
      </c>
      <c r="C3466" s="153"/>
      <c r="D3466" s="154"/>
      <c r="E3466" s="154">
        <v>1.8</v>
      </c>
      <c r="F3466" s="154">
        <v>1.8</v>
      </c>
      <c r="G3466" s="154">
        <f t="shared" si="119"/>
        <v>0</v>
      </c>
      <c r="H3466" s="154"/>
      <c r="I3466" s="154"/>
      <c r="J3466" s="154">
        <v>0.6</v>
      </c>
      <c r="K3466" s="154"/>
      <c r="L3466" s="154"/>
      <c r="M3466" s="154"/>
      <c r="N3466" s="154">
        <f t="shared" si="120"/>
        <v>2.9572566611769187</v>
      </c>
      <c r="O3466" s="154">
        <f t="shared" si="121"/>
        <v>0</v>
      </c>
    </row>
    <row r="3467" spans="1:15" x14ac:dyDescent="0.35">
      <c r="A3467" s="321"/>
      <c r="B3467" s="320" t="str">
        <f t="shared" si="118"/>
        <v>PV4-115</v>
      </c>
      <c r="C3467" s="153"/>
      <c r="D3467" s="154"/>
      <c r="E3467" s="154">
        <v>1.8</v>
      </c>
      <c r="F3467" s="154">
        <v>1.8</v>
      </c>
      <c r="G3467" s="154">
        <f t="shared" si="119"/>
        <v>0</v>
      </c>
      <c r="H3467" s="154"/>
      <c r="I3467" s="154"/>
      <c r="J3467" s="154">
        <v>0.6</v>
      </c>
      <c r="K3467" s="154"/>
      <c r="L3467" s="154"/>
      <c r="M3467" s="154"/>
      <c r="N3467" s="154">
        <f t="shared" si="120"/>
        <v>2.9572566611769187</v>
      </c>
      <c r="O3467" s="154">
        <f t="shared" si="121"/>
        <v>0</v>
      </c>
    </row>
    <row r="3468" spans="1:15" x14ac:dyDescent="0.35">
      <c r="A3468" s="321"/>
      <c r="B3468" s="320" t="str">
        <f t="shared" si="118"/>
        <v>PV5-115</v>
      </c>
      <c r="C3468" s="153"/>
      <c r="D3468" s="154"/>
      <c r="E3468" s="154">
        <v>1.8</v>
      </c>
      <c r="F3468" s="154">
        <v>1.8</v>
      </c>
      <c r="G3468" s="154">
        <f t="shared" si="119"/>
        <v>0.15</v>
      </c>
      <c r="H3468" s="154"/>
      <c r="I3468" s="154"/>
      <c r="J3468" s="154">
        <v>0.6</v>
      </c>
      <c r="K3468" s="154"/>
      <c r="L3468" s="154"/>
      <c r="M3468" s="154"/>
      <c r="N3468" s="154">
        <f t="shared" si="120"/>
        <v>2.9572566611769187</v>
      </c>
      <c r="O3468" s="154">
        <f t="shared" si="121"/>
        <v>0.44358849917653781</v>
      </c>
    </row>
    <row r="3469" spans="1:15" x14ac:dyDescent="0.35">
      <c r="A3469" s="321"/>
      <c r="B3469" s="320" t="str">
        <f t="shared" si="118"/>
        <v>PV1-116</v>
      </c>
      <c r="C3469" s="153"/>
      <c r="D3469" s="154"/>
      <c r="E3469" s="154">
        <v>1.8</v>
      </c>
      <c r="F3469" s="154">
        <v>1.8</v>
      </c>
      <c r="G3469" s="154">
        <f t="shared" si="119"/>
        <v>0</v>
      </c>
      <c r="H3469" s="154"/>
      <c r="I3469" s="154"/>
      <c r="J3469" s="154">
        <v>0.6</v>
      </c>
      <c r="K3469" s="154"/>
      <c r="L3469" s="154"/>
      <c r="M3469" s="154"/>
      <c r="N3469" s="154">
        <f t="shared" si="120"/>
        <v>2.9572566611769187</v>
      </c>
      <c r="O3469" s="154">
        <f t="shared" si="121"/>
        <v>0</v>
      </c>
    </row>
    <row r="3470" spans="1:15" x14ac:dyDescent="0.35">
      <c r="A3470" s="321"/>
      <c r="B3470" s="320" t="str">
        <f t="shared" si="118"/>
        <v>PV2-116</v>
      </c>
      <c r="C3470" s="153"/>
      <c r="D3470" s="154"/>
      <c r="E3470" s="154">
        <v>1.8</v>
      </c>
      <c r="F3470" s="154">
        <v>1.8</v>
      </c>
      <c r="G3470" s="154">
        <f t="shared" si="119"/>
        <v>4.9999999999999989E-2</v>
      </c>
      <c r="H3470" s="154"/>
      <c r="I3470" s="154"/>
      <c r="J3470" s="154">
        <v>0.6</v>
      </c>
      <c r="K3470" s="154"/>
      <c r="L3470" s="154"/>
      <c r="M3470" s="154"/>
      <c r="N3470" s="154">
        <f t="shared" si="120"/>
        <v>2.9572566611769187</v>
      </c>
      <c r="O3470" s="154">
        <f t="shared" si="121"/>
        <v>0.1478628330588459</v>
      </c>
    </row>
    <row r="3471" spans="1:15" x14ac:dyDescent="0.35">
      <c r="A3471" s="321"/>
      <c r="B3471" s="320" t="str">
        <f t="shared" si="118"/>
        <v>PV3-116</v>
      </c>
      <c r="C3471" s="153"/>
      <c r="D3471" s="154"/>
      <c r="E3471" s="154">
        <v>1.8</v>
      </c>
      <c r="F3471" s="154">
        <v>1.8</v>
      </c>
      <c r="G3471" s="154">
        <f t="shared" si="119"/>
        <v>0</v>
      </c>
      <c r="H3471" s="154"/>
      <c r="I3471" s="154"/>
      <c r="J3471" s="154">
        <v>0.6</v>
      </c>
      <c r="K3471" s="154"/>
      <c r="L3471" s="154"/>
      <c r="M3471" s="154"/>
      <c r="N3471" s="154">
        <f t="shared" si="120"/>
        <v>2.9572566611769187</v>
      </c>
      <c r="O3471" s="154">
        <f t="shared" si="121"/>
        <v>0</v>
      </c>
    </row>
    <row r="3472" spans="1:15" x14ac:dyDescent="0.35">
      <c r="A3472" s="321"/>
      <c r="B3472" s="320" t="str">
        <f t="shared" si="118"/>
        <v>PV1-117</v>
      </c>
      <c r="C3472" s="153"/>
      <c r="D3472" s="154"/>
      <c r="E3472" s="154">
        <v>1.8</v>
      </c>
      <c r="F3472" s="154">
        <v>1.8</v>
      </c>
      <c r="G3472" s="154">
        <f t="shared" si="119"/>
        <v>7.0000000000000007E-2</v>
      </c>
      <c r="H3472" s="154"/>
      <c r="I3472" s="154"/>
      <c r="J3472" s="154">
        <v>0.6</v>
      </c>
      <c r="K3472" s="154"/>
      <c r="L3472" s="154"/>
      <c r="M3472" s="154"/>
      <c r="N3472" s="154">
        <f t="shared" si="120"/>
        <v>2.9572566611769187</v>
      </c>
      <c r="O3472" s="154">
        <f t="shared" si="121"/>
        <v>0.20700796628238433</v>
      </c>
    </row>
    <row r="3473" spans="1:15" x14ac:dyDescent="0.35">
      <c r="A3473" s="321"/>
      <c r="B3473" s="320" t="str">
        <f t="shared" si="118"/>
        <v>PV2-117</v>
      </c>
      <c r="C3473" s="153"/>
      <c r="D3473" s="154"/>
      <c r="E3473" s="154">
        <v>1.8</v>
      </c>
      <c r="F3473" s="154">
        <v>1.8</v>
      </c>
      <c r="G3473" s="154">
        <f t="shared" si="119"/>
        <v>0</v>
      </c>
      <c r="H3473" s="154"/>
      <c r="I3473" s="154"/>
      <c r="J3473" s="154">
        <v>0.6</v>
      </c>
      <c r="K3473" s="154"/>
      <c r="L3473" s="154"/>
      <c r="M3473" s="154"/>
      <c r="N3473" s="154">
        <f t="shared" si="120"/>
        <v>2.9572566611769187</v>
      </c>
      <c r="O3473" s="154">
        <f t="shared" si="121"/>
        <v>0</v>
      </c>
    </row>
    <row r="3474" spans="1:15" x14ac:dyDescent="0.35">
      <c r="A3474" s="321"/>
      <c r="B3474" s="320" t="str">
        <f t="shared" si="118"/>
        <v>PV3-117</v>
      </c>
      <c r="C3474" s="153"/>
      <c r="D3474" s="154"/>
      <c r="E3474" s="154">
        <v>1.8</v>
      </c>
      <c r="F3474" s="154">
        <v>1.8</v>
      </c>
      <c r="G3474" s="154">
        <f t="shared" si="119"/>
        <v>1.9999999999999962E-2</v>
      </c>
      <c r="H3474" s="154"/>
      <c r="I3474" s="154"/>
      <c r="J3474" s="154">
        <v>0.6</v>
      </c>
      <c r="K3474" s="154"/>
      <c r="L3474" s="154"/>
      <c r="M3474" s="154"/>
      <c r="N3474" s="154">
        <f t="shared" si="120"/>
        <v>2.9572566611769187</v>
      </c>
      <c r="O3474" s="154">
        <f t="shared" si="121"/>
        <v>5.914513322353826E-2</v>
      </c>
    </row>
    <row r="3475" spans="1:15" x14ac:dyDescent="0.35">
      <c r="A3475" s="321"/>
      <c r="B3475" s="320" t="str">
        <f t="shared" si="118"/>
        <v>PV1-119</v>
      </c>
      <c r="C3475" s="153"/>
      <c r="D3475" s="154"/>
      <c r="E3475" s="154">
        <v>1.8</v>
      </c>
      <c r="F3475" s="154">
        <v>1.8</v>
      </c>
      <c r="G3475" s="154">
        <f t="shared" si="119"/>
        <v>0</v>
      </c>
      <c r="H3475" s="154"/>
      <c r="I3475" s="154"/>
      <c r="J3475" s="154">
        <v>0.6</v>
      </c>
      <c r="K3475" s="154"/>
      <c r="L3475" s="154"/>
      <c r="M3475" s="154"/>
      <c r="N3475" s="154">
        <f t="shared" si="120"/>
        <v>2.9572566611769187</v>
      </c>
      <c r="O3475" s="154">
        <f t="shared" si="121"/>
        <v>0</v>
      </c>
    </row>
    <row r="3476" spans="1:15" x14ac:dyDescent="0.35">
      <c r="A3476" s="321"/>
      <c r="B3476" s="320" t="str">
        <f t="shared" si="118"/>
        <v>PV2-119</v>
      </c>
      <c r="C3476" s="153"/>
      <c r="D3476" s="154"/>
      <c r="E3476" s="154">
        <v>1.8</v>
      </c>
      <c r="F3476" s="154">
        <v>1.8</v>
      </c>
      <c r="G3476" s="154">
        <f t="shared" si="119"/>
        <v>0.15</v>
      </c>
      <c r="H3476" s="154"/>
      <c r="I3476" s="154"/>
      <c r="J3476" s="154">
        <v>0.6</v>
      </c>
      <c r="K3476" s="154"/>
      <c r="L3476" s="154"/>
      <c r="M3476" s="154"/>
      <c r="N3476" s="154">
        <f t="shared" si="120"/>
        <v>2.9572566611769187</v>
      </c>
      <c r="O3476" s="154">
        <f t="shared" si="121"/>
        <v>0.44358849917653781</v>
      </c>
    </row>
    <row r="3477" spans="1:15" x14ac:dyDescent="0.35">
      <c r="A3477" s="321"/>
      <c r="B3477" s="320" t="str">
        <f t="shared" si="118"/>
        <v>PV3-119</v>
      </c>
      <c r="C3477" s="153"/>
      <c r="D3477" s="154"/>
      <c r="E3477" s="154">
        <v>1.8</v>
      </c>
      <c r="F3477" s="154">
        <v>1.8</v>
      </c>
      <c r="G3477" s="154">
        <f t="shared" si="119"/>
        <v>0.13999999999999982</v>
      </c>
      <c r="H3477" s="154"/>
      <c r="I3477" s="154"/>
      <c r="J3477" s="154">
        <v>0.6</v>
      </c>
      <c r="K3477" s="154"/>
      <c r="L3477" s="154"/>
      <c r="M3477" s="154"/>
      <c r="N3477" s="154">
        <f t="shared" si="120"/>
        <v>2.9572566611769187</v>
      </c>
      <c r="O3477" s="154">
        <f t="shared" si="121"/>
        <v>0.4140159325647681</v>
      </c>
    </row>
    <row r="3478" spans="1:15" x14ac:dyDescent="0.35">
      <c r="A3478" s="321"/>
      <c r="B3478" s="320" t="str">
        <f t="shared" si="118"/>
        <v>PV19-121</v>
      </c>
      <c r="C3478" s="153"/>
      <c r="D3478" s="154"/>
      <c r="E3478" s="154">
        <v>1.8</v>
      </c>
      <c r="F3478" s="154">
        <v>1.8</v>
      </c>
      <c r="G3478" s="154">
        <f t="shared" si="119"/>
        <v>0.15</v>
      </c>
      <c r="H3478" s="154"/>
      <c r="I3478" s="154"/>
      <c r="J3478" s="154">
        <v>0.6</v>
      </c>
      <c r="K3478" s="154"/>
      <c r="L3478" s="154"/>
      <c r="M3478" s="154"/>
      <c r="N3478" s="154">
        <f t="shared" si="120"/>
        <v>2.9572566611769187</v>
      </c>
      <c r="O3478" s="154">
        <f t="shared" si="121"/>
        <v>0.44358849917653781</v>
      </c>
    </row>
    <row r="3479" spans="1:15" x14ac:dyDescent="0.35">
      <c r="A3479" s="321"/>
      <c r="B3479" s="320" t="str">
        <f t="shared" si="118"/>
        <v>PV6-102</v>
      </c>
      <c r="C3479" s="153"/>
      <c r="D3479" s="154"/>
      <c r="E3479" s="154">
        <v>1.8</v>
      </c>
      <c r="F3479" s="154">
        <v>1.8</v>
      </c>
      <c r="G3479" s="154">
        <f t="shared" si="119"/>
        <v>0.15</v>
      </c>
      <c r="H3479" s="154"/>
      <c r="I3479" s="154"/>
      <c r="J3479" s="154">
        <v>0.6</v>
      </c>
      <c r="K3479" s="154"/>
      <c r="L3479" s="154"/>
      <c r="M3479" s="154"/>
      <c r="N3479" s="154">
        <f t="shared" si="120"/>
        <v>2.9572566611769187</v>
      </c>
      <c r="O3479" s="154">
        <f t="shared" si="121"/>
        <v>0.44358849917653781</v>
      </c>
    </row>
    <row r="3480" spans="1:15" x14ac:dyDescent="0.35">
      <c r="A3480" s="321"/>
      <c r="B3480" s="320" t="str">
        <f t="shared" si="118"/>
        <v>PV7-102</v>
      </c>
      <c r="C3480" s="153"/>
      <c r="D3480" s="154"/>
      <c r="E3480" s="154">
        <v>1.8</v>
      </c>
      <c r="F3480" s="154">
        <v>1.8</v>
      </c>
      <c r="G3480" s="154">
        <f t="shared" si="119"/>
        <v>0.15</v>
      </c>
      <c r="H3480" s="154"/>
      <c r="I3480" s="154"/>
      <c r="J3480" s="154">
        <v>0.6</v>
      </c>
      <c r="K3480" s="154"/>
      <c r="L3480" s="154"/>
      <c r="M3480" s="154"/>
      <c r="N3480" s="154">
        <f t="shared" si="120"/>
        <v>2.9572566611769187</v>
      </c>
      <c r="O3480" s="154">
        <f t="shared" si="121"/>
        <v>0.44358849917653781</v>
      </c>
    </row>
    <row r="3481" spans="1:15" x14ac:dyDescent="0.35">
      <c r="A3481" s="321"/>
      <c r="B3481" s="320" t="str">
        <f t="shared" ref="B3481:B3482" si="122">B3410</f>
        <v>PV8-102</v>
      </c>
      <c r="C3481" s="153"/>
      <c r="D3481" s="154"/>
      <c r="E3481" s="154">
        <v>1.8</v>
      </c>
      <c r="F3481" s="154">
        <v>1.8</v>
      </c>
      <c r="G3481" s="154">
        <f t="shared" ref="G3481:G3482" si="123">IF(G3185&gt;0.15,IF(G3185&gt;=0.3,0.15,G3185-0.15),0)</f>
        <v>0.15</v>
      </c>
      <c r="H3481" s="154"/>
      <c r="I3481" s="154"/>
      <c r="J3481" s="154">
        <v>0.6</v>
      </c>
      <c r="K3481" s="154"/>
      <c r="L3481" s="154"/>
      <c r="M3481" s="154"/>
      <c r="N3481" s="154">
        <f t="shared" si="120"/>
        <v>2.9572566611769187</v>
      </c>
      <c r="O3481" s="154">
        <f t="shared" ref="O3481:O3482" si="124">N3481*G3481</f>
        <v>0.44358849917653781</v>
      </c>
    </row>
    <row r="3482" spans="1:15" x14ac:dyDescent="0.35">
      <c r="A3482" s="321"/>
      <c r="B3482" s="320" t="str">
        <f t="shared" si="122"/>
        <v>PV6-111</v>
      </c>
      <c r="C3482" s="153"/>
      <c r="D3482" s="154"/>
      <c r="E3482" s="154">
        <v>1.8</v>
      </c>
      <c r="F3482" s="154">
        <v>1.8</v>
      </c>
      <c r="G3482" s="154">
        <f t="shared" si="123"/>
        <v>0.15</v>
      </c>
      <c r="H3482" s="154"/>
      <c r="I3482" s="154"/>
      <c r="J3482" s="154">
        <v>0.6</v>
      </c>
      <c r="K3482" s="154"/>
      <c r="L3482" s="154"/>
      <c r="M3482" s="154"/>
      <c r="N3482" s="154">
        <f t="shared" si="120"/>
        <v>2.9572566611769187</v>
      </c>
      <c r="O3482" s="154">
        <f t="shared" si="124"/>
        <v>0.44358849917653781</v>
      </c>
    </row>
    <row r="3483" spans="1:15" x14ac:dyDescent="0.35">
      <c r="A3483" s="321"/>
      <c r="B3483" s="320"/>
      <c r="C3483" s="153"/>
      <c r="D3483" s="154"/>
      <c r="E3483" s="154"/>
      <c r="F3483" s="154"/>
      <c r="G3483" s="154"/>
      <c r="H3483" s="154"/>
      <c r="I3483" s="154"/>
      <c r="J3483" s="154"/>
      <c r="K3483" s="154"/>
      <c r="L3483" s="156"/>
      <c r="M3483" s="154"/>
      <c r="N3483" s="154"/>
      <c r="O3483" s="154"/>
    </row>
    <row r="3484" spans="1:15" x14ac:dyDescent="0.35">
      <c r="A3484" s="321"/>
      <c r="B3484" s="318" t="s">
        <v>377</v>
      </c>
      <c r="C3484" s="158" t="s">
        <v>402</v>
      </c>
      <c r="D3484" s="158"/>
      <c r="E3484" s="158"/>
      <c r="F3484" s="158"/>
      <c r="G3484" s="158"/>
      <c r="H3484" s="158"/>
      <c r="I3484" s="158"/>
      <c r="J3484" s="158"/>
      <c r="K3484" s="158"/>
      <c r="L3484" s="158"/>
      <c r="M3484" s="158"/>
      <c r="N3484" s="158"/>
      <c r="O3484" s="158">
        <f>SUM(O3417:O3483)</f>
        <v>7.9609349318884588</v>
      </c>
    </row>
    <row r="3485" spans="1:15" ht="21" x14ac:dyDescent="0.35">
      <c r="A3485" s="323" t="str">
        <f>ORÇAMENTO!A539</f>
        <v>5.5.12</v>
      </c>
      <c r="B3485" s="322" t="str">
        <f>VLOOKUP(A3485,ORÇAMENTO!$A:$F,4,0)</f>
        <v>REATERRO MANUAL APILOADO COM SOQUETE</v>
      </c>
      <c r="C3485" s="149" t="str">
        <f>VLOOKUP(A3485,ORÇAMENTO!$A:$F,5,0)</f>
        <v>M³</v>
      </c>
      <c r="D3485" s="149">
        <f>SUM(E3555:O3555)</f>
        <v>35.883352326720761</v>
      </c>
      <c r="E3485" s="149" t="s">
        <v>2149</v>
      </c>
      <c r="F3485" s="149" t="s">
        <v>2150</v>
      </c>
      <c r="G3485" s="149" t="s">
        <v>2151</v>
      </c>
      <c r="H3485" s="149" t="s">
        <v>2152</v>
      </c>
      <c r="I3485" s="149" t="s">
        <v>2153</v>
      </c>
      <c r="J3485" s="149" t="s">
        <v>2154</v>
      </c>
      <c r="K3485" s="149" t="s">
        <v>2155</v>
      </c>
      <c r="L3485" s="149" t="s">
        <v>2156</v>
      </c>
      <c r="M3485" s="149" t="s">
        <v>413</v>
      </c>
      <c r="N3485" s="149" t="s">
        <v>2157</v>
      </c>
      <c r="O3485" s="149" t="s">
        <v>2158</v>
      </c>
    </row>
    <row r="3486" spans="1:15" x14ac:dyDescent="0.35">
      <c r="A3486" s="321"/>
      <c r="B3486" s="318"/>
      <c r="C3486" s="153"/>
      <c r="D3486" s="154"/>
      <c r="E3486" s="154"/>
      <c r="F3486" s="154"/>
      <c r="G3486" s="154"/>
      <c r="H3486" s="154"/>
      <c r="I3486" s="154"/>
      <c r="J3486" s="154"/>
      <c r="K3486" s="154"/>
      <c r="L3486" s="154"/>
      <c r="M3486" s="154"/>
      <c r="N3486" s="154"/>
      <c r="O3486" s="154"/>
    </row>
    <row r="3487" spans="1:15" x14ac:dyDescent="0.35">
      <c r="A3487" s="321"/>
      <c r="B3487" s="320" t="s">
        <v>2326</v>
      </c>
      <c r="C3487" s="153"/>
      <c r="D3487" s="154"/>
      <c r="E3487" s="154"/>
      <c r="F3487" s="154"/>
      <c r="G3487" s="154"/>
      <c r="H3487" s="154"/>
      <c r="I3487" s="154"/>
      <c r="J3487" s="154"/>
      <c r="K3487" s="154"/>
      <c r="L3487" s="154"/>
      <c r="M3487" s="154"/>
      <c r="N3487" s="154"/>
      <c r="O3487" s="154"/>
    </row>
    <row r="3488" spans="1:15" x14ac:dyDescent="0.35">
      <c r="A3488" s="321"/>
      <c r="B3488" s="320" t="str">
        <f t="shared" ref="B3488:B3519" si="125">B3417</f>
        <v>PV2-102</v>
      </c>
      <c r="C3488" s="153"/>
      <c r="D3488" s="154"/>
      <c r="E3488" s="154">
        <v>1.8</v>
      </c>
      <c r="F3488" s="154">
        <v>1.8</v>
      </c>
      <c r="G3488" s="154">
        <f t="shared" ref="G3488:G3519" si="126">IF(G3121&lt;=0.3,0,G3121-0.3)</f>
        <v>0</v>
      </c>
      <c r="H3488" s="154"/>
      <c r="I3488" s="154"/>
      <c r="J3488" s="154">
        <v>0.6</v>
      </c>
      <c r="K3488" s="154"/>
      <c r="L3488" s="154"/>
      <c r="M3488" s="154"/>
      <c r="N3488" s="154">
        <f t="shared" ref="N3488:N3519" si="127">(E3488*F3488)-(PI()*(J3488/2)^2)</f>
        <v>2.9572566611769187</v>
      </c>
      <c r="O3488" s="154">
        <f t="shared" ref="O3488:O3519" si="128">N3488*G3488</f>
        <v>0</v>
      </c>
    </row>
    <row r="3489" spans="1:15" x14ac:dyDescent="0.35">
      <c r="A3489" s="321"/>
      <c r="B3489" s="320" t="str">
        <f t="shared" si="125"/>
        <v>PV3-102</v>
      </c>
      <c r="C3489" s="153"/>
      <c r="D3489" s="154"/>
      <c r="E3489" s="154">
        <v>1.8</v>
      </c>
      <c r="F3489" s="154">
        <v>1.8</v>
      </c>
      <c r="G3489" s="154">
        <f t="shared" si="126"/>
        <v>0</v>
      </c>
      <c r="H3489" s="154"/>
      <c r="I3489" s="154"/>
      <c r="J3489" s="154">
        <v>0.6</v>
      </c>
      <c r="K3489" s="154"/>
      <c r="L3489" s="154"/>
      <c r="M3489" s="154"/>
      <c r="N3489" s="154">
        <f t="shared" si="127"/>
        <v>2.9572566611769187</v>
      </c>
      <c r="O3489" s="154">
        <f t="shared" si="128"/>
        <v>0</v>
      </c>
    </row>
    <row r="3490" spans="1:15" x14ac:dyDescent="0.35">
      <c r="A3490" s="321"/>
      <c r="B3490" s="320" t="str">
        <f t="shared" si="125"/>
        <v>PV4-102</v>
      </c>
      <c r="C3490" s="153"/>
      <c r="D3490" s="154"/>
      <c r="E3490" s="154">
        <v>1.8</v>
      </c>
      <c r="F3490" s="154">
        <v>1.8</v>
      </c>
      <c r="G3490" s="154">
        <f t="shared" si="126"/>
        <v>0.11999999999995442</v>
      </c>
      <c r="H3490" s="154"/>
      <c r="I3490" s="154"/>
      <c r="J3490" s="154">
        <v>0.6</v>
      </c>
      <c r="K3490" s="154"/>
      <c r="L3490" s="154"/>
      <c r="M3490" s="154"/>
      <c r="N3490" s="154">
        <f t="shared" si="127"/>
        <v>2.9572566611769187</v>
      </c>
      <c r="O3490" s="154">
        <f t="shared" si="128"/>
        <v>0.35487079934109544</v>
      </c>
    </row>
    <row r="3491" spans="1:15" x14ac:dyDescent="0.35">
      <c r="A3491" s="321"/>
      <c r="B3491" s="320" t="str">
        <f t="shared" si="125"/>
        <v>PV5-102</v>
      </c>
      <c r="C3491" s="153"/>
      <c r="D3491" s="154"/>
      <c r="E3491" s="154">
        <v>1.8</v>
      </c>
      <c r="F3491" s="154">
        <v>1.8</v>
      </c>
      <c r="G3491" s="154">
        <f t="shared" si="126"/>
        <v>1.0999999999999726</v>
      </c>
      <c r="H3491" s="154"/>
      <c r="I3491" s="154"/>
      <c r="J3491" s="154">
        <v>0.6</v>
      </c>
      <c r="K3491" s="154"/>
      <c r="L3491" s="154"/>
      <c r="M3491" s="154"/>
      <c r="N3491" s="154">
        <f t="shared" si="127"/>
        <v>2.9572566611769187</v>
      </c>
      <c r="O3491" s="154">
        <f t="shared" si="128"/>
        <v>3.2529823272945295</v>
      </c>
    </row>
    <row r="3492" spans="1:15" x14ac:dyDescent="0.35">
      <c r="A3492" s="321"/>
      <c r="B3492" s="320" t="str">
        <f t="shared" si="125"/>
        <v>PV9-102</v>
      </c>
      <c r="C3492" s="153"/>
      <c r="D3492" s="154"/>
      <c r="E3492" s="154">
        <v>1.8</v>
      </c>
      <c r="F3492" s="154">
        <v>1.8</v>
      </c>
      <c r="G3492" s="154">
        <f t="shared" si="126"/>
        <v>0.58999999999999986</v>
      </c>
      <c r="H3492" s="154"/>
      <c r="I3492" s="154"/>
      <c r="J3492" s="154">
        <v>0.6</v>
      </c>
      <c r="K3492" s="154"/>
      <c r="L3492" s="154"/>
      <c r="M3492" s="154"/>
      <c r="N3492" s="154">
        <f t="shared" si="127"/>
        <v>2.9572566611769187</v>
      </c>
      <c r="O3492" s="154">
        <f t="shared" si="128"/>
        <v>1.7447814300943816</v>
      </c>
    </row>
    <row r="3493" spans="1:15" x14ac:dyDescent="0.35">
      <c r="A3493" s="321"/>
      <c r="B3493" s="320" t="str">
        <f t="shared" si="125"/>
        <v>PV1-103</v>
      </c>
      <c r="C3493" s="153"/>
      <c r="D3493" s="154"/>
      <c r="E3493" s="154">
        <v>1.8</v>
      </c>
      <c r="F3493" s="154">
        <v>1.8</v>
      </c>
      <c r="G3493" s="154">
        <f t="shared" si="126"/>
        <v>0</v>
      </c>
      <c r="H3493" s="154"/>
      <c r="I3493" s="154"/>
      <c r="J3493" s="154">
        <v>0.6</v>
      </c>
      <c r="K3493" s="154"/>
      <c r="L3493" s="154"/>
      <c r="M3493" s="154"/>
      <c r="N3493" s="154">
        <f t="shared" si="127"/>
        <v>2.9572566611769187</v>
      </c>
      <c r="O3493" s="154">
        <f t="shared" si="128"/>
        <v>0</v>
      </c>
    </row>
    <row r="3494" spans="1:15" x14ac:dyDescent="0.35">
      <c r="A3494" s="321"/>
      <c r="B3494" s="320" t="str">
        <f t="shared" si="125"/>
        <v>PV2-103</v>
      </c>
      <c r="C3494" s="153"/>
      <c r="D3494" s="154"/>
      <c r="E3494" s="154">
        <v>1.8</v>
      </c>
      <c r="F3494" s="154">
        <v>1.8</v>
      </c>
      <c r="G3494" s="154">
        <f t="shared" si="126"/>
        <v>0</v>
      </c>
      <c r="H3494" s="154"/>
      <c r="I3494" s="154"/>
      <c r="J3494" s="154">
        <v>0.6</v>
      </c>
      <c r="K3494" s="154"/>
      <c r="L3494" s="154"/>
      <c r="M3494" s="154"/>
      <c r="N3494" s="154">
        <f t="shared" si="127"/>
        <v>2.9572566611769187</v>
      </c>
      <c r="O3494" s="154">
        <f t="shared" si="128"/>
        <v>0</v>
      </c>
    </row>
    <row r="3495" spans="1:15" x14ac:dyDescent="0.35">
      <c r="A3495" s="321"/>
      <c r="B3495" s="320" t="str">
        <f t="shared" si="125"/>
        <v>PV3-103</v>
      </c>
      <c r="C3495" s="153"/>
      <c r="D3495" s="154"/>
      <c r="E3495" s="154">
        <v>1.8</v>
      </c>
      <c r="F3495" s="154">
        <v>1.8</v>
      </c>
      <c r="G3495" s="154">
        <f t="shared" si="126"/>
        <v>0.16999999999999998</v>
      </c>
      <c r="H3495" s="154"/>
      <c r="I3495" s="154"/>
      <c r="J3495" s="154">
        <v>0.6</v>
      </c>
      <c r="K3495" s="154"/>
      <c r="L3495" s="154"/>
      <c r="M3495" s="154"/>
      <c r="N3495" s="154">
        <f t="shared" si="127"/>
        <v>2.9572566611769187</v>
      </c>
      <c r="O3495" s="154">
        <f t="shared" si="128"/>
        <v>0.50273363240007618</v>
      </c>
    </row>
    <row r="3496" spans="1:15" x14ac:dyDescent="0.35">
      <c r="A3496" s="321"/>
      <c r="B3496" s="320" t="str">
        <f t="shared" si="125"/>
        <v>PV1-104</v>
      </c>
      <c r="C3496" s="153"/>
      <c r="D3496" s="154"/>
      <c r="E3496" s="154">
        <v>1.8</v>
      </c>
      <c r="F3496" s="154">
        <v>1.8</v>
      </c>
      <c r="G3496" s="154">
        <f t="shared" si="126"/>
        <v>0</v>
      </c>
      <c r="H3496" s="154"/>
      <c r="I3496" s="154"/>
      <c r="J3496" s="154">
        <v>0.6</v>
      </c>
      <c r="K3496" s="154"/>
      <c r="L3496" s="154"/>
      <c r="M3496" s="154"/>
      <c r="N3496" s="154">
        <f t="shared" si="127"/>
        <v>2.9572566611769187</v>
      </c>
      <c r="O3496" s="154">
        <f t="shared" si="128"/>
        <v>0</v>
      </c>
    </row>
    <row r="3497" spans="1:15" x14ac:dyDescent="0.35">
      <c r="A3497" s="321"/>
      <c r="B3497" s="320" t="str">
        <f t="shared" si="125"/>
        <v>PV2-104</v>
      </c>
      <c r="C3497" s="153"/>
      <c r="D3497" s="154"/>
      <c r="E3497" s="154">
        <v>1.8</v>
      </c>
      <c r="F3497" s="154">
        <v>1.8</v>
      </c>
      <c r="G3497" s="154">
        <f t="shared" si="126"/>
        <v>0</v>
      </c>
      <c r="H3497" s="154"/>
      <c r="I3497" s="154"/>
      <c r="J3497" s="154">
        <v>0.6</v>
      </c>
      <c r="K3497" s="154"/>
      <c r="L3497" s="154"/>
      <c r="M3497" s="154"/>
      <c r="N3497" s="154">
        <f t="shared" si="127"/>
        <v>2.9572566611769187</v>
      </c>
      <c r="O3497" s="154">
        <f t="shared" si="128"/>
        <v>0</v>
      </c>
    </row>
    <row r="3498" spans="1:15" x14ac:dyDescent="0.35">
      <c r="A3498" s="321"/>
      <c r="B3498" s="320" t="str">
        <f t="shared" si="125"/>
        <v>PV3-104</v>
      </c>
      <c r="C3498" s="153"/>
      <c r="D3498" s="154"/>
      <c r="E3498" s="154">
        <v>1.8</v>
      </c>
      <c r="F3498" s="154">
        <v>1.8</v>
      </c>
      <c r="G3498" s="154">
        <f t="shared" si="126"/>
        <v>0</v>
      </c>
      <c r="H3498" s="154"/>
      <c r="I3498" s="154"/>
      <c r="J3498" s="154">
        <v>0.6</v>
      </c>
      <c r="K3498" s="154"/>
      <c r="L3498" s="154"/>
      <c r="M3498" s="154"/>
      <c r="N3498" s="154">
        <f t="shared" si="127"/>
        <v>2.9572566611769187</v>
      </c>
      <c r="O3498" s="154">
        <f t="shared" si="128"/>
        <v>0</v>
      </c>
    </row>
    <row r="3499" spans="1:15" x14ac:dyDescent="0.35">
      <c r="A3499" s="321"/>
      <c r="B3499" s="320" t="str">
        <f t="shared" si="125"/>
        <v>PV1-105</v>
      </c>
      <c r="C3499" s="153"/>
      <c r="D3499" s="154"/>
      <c r="E3499" s="154">
        <v>1.8</v>
      </c>
      <c r="F3499" s="154">
        <v>1.8</v>
      </c>
      <c r="G3499" s="154">
        <f t="shared" si="126"/>
        <v>0</v>
      </c>
      <c r="H3499" s="154"/>
      <c r="I3499" s="154"/>
      <c r="J3499" s="154">
        <v>0.6</v>
      </c>
      <c r="K3499" s="154"/>
      <c r="L3499" s="154"/>
      <c r="M3499" s="154"/>
      <c r="N3499" s="154">
        <f t="shared" si="127"/>
        <v>2.9572566611769187</v>
      </c>
      <c r="O3499" s="154">
        <f t="shared" si="128"/>
        <v>0</v>
      </c>
    </row>
    <row r="3500" spans="1:15" x14ac:dyDescent="0.35">
      <c r="A3500" s="321"/>
      <c r="B3500" s="320" t="str">
        <f t="shared" si="125"/>
        <v>PV2-105</v>
      </c>
      <c r="C3500" s="153"/>
      <c r="D3500" s="154"/>
      <c r="E3500" s="154">
        <v>1.8</v>
      </c>
      <c r="F3500" s="154">
        <v>1.8</v>
      </c>
      <c r="G3500" s="154">
        <f t="shared" si="126"/>
        <v>0</v>
      </c>
      <c r="H3500" s="154"/>
      <c r="I3500" s="154"/>
      <c r="J3500" s="154">
        <v>0.6</v>
      </c>
      <c r="K3500" s="154"/>
      <c r="L3500" s="154"/>
      <c r="M3500" s="154"/>
      <c r="N3500" s="154">
        <f t="shared" si="127"/>
        <v>2.9572566611769187</v>
      </c>
      <c r="O3500" s="154">
        <f t="shared" si="128"/>
        <v>0</v>
      </c>
    </row>
    <row r="3501" spans="1:15" x14ac:dyDescent="0.35">
      <c r="A3501" s="321"/>
      <c r="B3501" s="320" t="str">
        <f t="shared" si="125"/>
        <v>PV3-105</v>
      </c>
      <c r="C3501" s="153"/>
      <c r="D3501" s="154"/>
      <c r="E3501" s="154">
        <v>1.8</v>
      </c>
      <c r="F3501" s="154">
        <v>1.8</v>
      </c>
      <c r="G3501" s="154">
        <f t="shared" si="126"/>
        <v>0</v>
      </c>
      <c r="H3501" s="154"/>
      <c r="I3501" s="154"/>
      <c r="J3501" s="154">
        <v>0.6</v>
      </c>
      <c r="K3501" s="154"/>
      <c r="L3501" s="154"/>
      <c r="M3501" s="154"/>
      <c r="N3501" s="154">
        <f t="shared" si="127"/>
        <v>2.9572566611769187</v>
      </c>
      <c r="O3501" s="154">
        <f t="shared" si="128"/>
        <v>0</v>
      </c>
    </row>
    <row r="3502" spans="1:15" x14ac:dyDescent="0.35">
      <c r="A3502" s="321"/>
      <c r="B3502" s="320" t="str">
        <f t="shared" si="125"/>
        <v>PV1-106</v>
      </c>
      <c r="C3502" s="153"/>
      <c r="D3502" s="154"/>
      <c r="E3502" s="154">
        <v>1.8</v>
      </c>
      <c r="F3502" s="154">
        <v>1.8</v>
      </c>
      <c r="G3502" s="154">
        <f t="shared" si="126"/>
        <v>0</v>
      </c>
      <c r="H3502" s="154"/>
      <c r="I3502" s="154"/>
      <c r="J3502" s="154">
        <v>0.6</v>
      </c>
      <c r="K3502" s="154"/>
      <c r="L3502" s="154"/>
      <c r="M3502" s="154"/>
      <c r="N3502" s="154">
        <f t="shared" si="127"/>
        <v>2.9572566611769187</v>
      </c>
      <c r="O3502" s="154">
        <f t="shared" si="128"/>
        <v>0</v>
      </c>
    </row>
    <row r="3503" spans="1:15" x14ac:dyDescent="0.35">
      <c r="A3503" s="321"/>
      <c r="B3503" s="320" t="str">
        <f t="shared" si="125"/>
        <v>PV2-106</v>
      </c>
      <c r="C3503" s="153"/>
      <c r="D3503" s="154"/>
      <c r="E3503" s="154">
        <v>1.8</v>
      </c>
      <c r="F3503" s="154">
        <v>1.8</v>
      </c>
      <c r="G3503" s="154">
        <f t="shared" si="126"/>
        <v>0</v>
      </c>
      <c r="H3503" s="154"/>
      <c r="I3503" s="154"/>
      <c r="J3503" s="154">
        <v>0.6</v>
      </c>
      <c r="K3503" s="154"/>
      <c r="L3503" s="154"/>
      <c r="M3503" s="154"/>
      <c r="N3503" s="154">
        <f t="shared" si="127"/>
        <v>2.9572566611769187</v>
      </c>
      <c r="O3503" s="154">
        <f t="shared" si="128"/>
        <v>0</v>
      </c>
    </row>
    <row r="3504" spans="1:15" x14ac:dyDescent="0.35">
      <c r="A3504" s="321"/>
      <c r="B3504" s="320" t="str">
        <f t="shared" si="125"/>
        <v>PV3-106</v>
      </c>
      <c r="C3504" s="153"/>
      <c r="D3504" s="154"/>
      <c r="E3504" s="154">
        <v>1.8</v>
      </c>
      <c r="F3504" s="154">
        <v>1.8</v>
      </c>
      <c r="G3504" s="154">
        <f t="shared" si="126"/>
        <v>0</v>
      </c>
      <c r="H3504" s="154"/>
      <c r="I3504" s="154"/>
      <c r="J3504" s="154">
        <v>0.6</v>
      </c>
      <c r="K3504" s="154"/>
      <c r="L3504" s="154"/>
      <c r="M3504" s="154"/>
      <c r="N3504" s="154">
        <f t="shared" si="127"/>
        <v>2.9572566611769187</v>
      </c>
      <c r="O3504" s="154">
        <f t="shared" si="128"/>
        <v>0</v>
      </c>
    </row>
    <row r="3505" spans="1:15" x14ac:dyDescent="0.35">
      <c r="A3505" s="321"/>
      <c r="B3505" s="320" t="str">
        <f t="shared" si="125"/>
        <v>PV1-107</v>
      </c>
      <c r="C3505" s="153"/>
      <c r="D3505" s="154"/>
      <c r="E3505" s="154">
        <v>1.8</v>
      </c>
      <c r="F3505" s="154">
        <v>1.8</v>
      </c>
      <c r="G3505" s="154">
        <f t="shared" si="126"/>
        <v>0</v>
      </c>
      <c r="H3505" s="154"/>
      <c r="I3505" s="154"/>
      <c r="J3505" s="154">
        <v>0.6</v>
      </c>
      <c r="K3505" s="154"/>
      <c r="L3505" s="154"/>
      <c r="M3505" s="154"/>
      <c r="N3505" s="154">
        <f t="shared" si="127"/>
        <v>2.9572566611769187</v>
      </c>
      <c r="O3505" s="154">
        <f t="shared" si="128"/>
        <v>0</v>
      </c>
    </row>
    <row r="3506" spans="1:15" x14ac:dyDescent="0.35">
      <c r="A3506" s="321"/>
      <c r="B3506" s="320" t="str">
        <f t="shared" si="125"/>
        <v>PV2-107</v>
      </c>
      <c r="C3506" s="153"/>
      <c r="D3506" s="154"/>
      <c r="E3506" s="154">
        <v>1.8</v>
      </c>
      <c r="F3506" s="154">
        <v>1.8</v>
      </c>
      <c r="G3506" s="154">
        <f t="shared" si="126"/>
        <v>0</v>
      </c>
      <c r="H3506" s="154"/>
      <c r="I3506" s="154"/>
      <c r="J3506" s="154">
        <v>0.6</v>
      </c>
      <c r="K3506" s="154"/>
      <c r="L3506" s="154"/>
      <c r="M3506" s="154"/>
      <c r="N3506" s="154">
        <f t="shared" si="127"/>
        <v>2.9572566611769187</v>
      </c>
      <c r="O3506" s="154">
        <f t="shared" si="128"/>
        <v>0</v>
      </c>
    </row>
    <row r="3507" spans="1:15" x14ac:dyDescent="0.35">
      <c r="A3507" s="321"/>
      <c r="B3507" s="320" t="str">
        <f t="shared" si="125"/>
        <v>PV3-107</v>
      </c>
      <c r="C3507" s="153"/>
      <c r="D3507" s="154"/>
      <c r="E3507" s="154">
        <v>1.8</v>
      </c>
      <c r="F3507" s="154">
        <v>1.8</v>
      </c>
      <c r="G3507" s="154">
        <f t="shared" si="126"/>
        <v>0</v>
      </c>
      <c r="H3507" s="154"/>
      <c r="I3507" s="154"/>
      <c r="J3507" s="154">
        <v>0.6</v>
      </c>
      <c r="K3507" s="154"/>
      <c r="L3507" s="154"/>
      <c r="M3507" s="154"/>
      <c r="N3507" s="154">
        <f t="shared" si="127"/>
        <v>2.9572566611769187</v>
      </c>
      <c r="O3507" s="154">
        <f t="shared" si="128"/>
        <v>0</v>
      </c>
    </row>
    <row r="3508" spans="1:15" x14ac:dyDescent="0.35">
      <c r="A3508" s="321"/>
      <c r="B3508" s="320" t="str">
        <f t="shared" si="125"/>
        <v>PV1-108</v>
      </c>
      <c r="C3508" s="153"/>
      <c r="D3508" s="154"/>
      <c r="E3508" s="154">
        <v>1.8</v>
      </c>
      <c r="F3508" s="154">
        <v>1.8</v>
      </c>
      <c r="G3508" s="154">
        <f t="shared" si="126"/>
        <v>0</v>
      </c>
      <c r="H3508" s="154"/>
      <c r="I3508" s="154"/>
      <c r="J3508" s="154">
        <v>0.6</v>
      </c>
      <c r="K3508" s="154"/>
      <c r="L3508" s="154"/>
      <c r="M3508" s="154"/>
      <c r="N3508" s="154">
        <f t="shared" si="127"/>
        <v>2.9572566611769187</v>
      </c>
      <c r="O3508" s="154">
        <f t="shared" si="128"/>
        <v>0</v>
      </c>
    </row>
    <row r="3509" spans="1:15" x14ac:dyDescent="0.35">
      <c r="A3509" s="321"/>
      <c r="B3509" s="320" t="str">
        <f t="shared" si="125"/>
        <v>PV2-108</v>
      </c>
      <c r="C3509" s="153"/>
      <c r="D3509" s="154"/>
      <c r="E3509" s="154">
        <v>1.8</v>
      </c>
      <c r="F3509" s="154">
        <v>1.8</v>
      </c>
      <c r="G3509" s="154">
        <f t="shared" si="126"/>
        <v>0</v>
      </c>
      <c r="H3509" s="154"/>
      <c r="I3509" s="154"/>
      <c r="J3509" s="154">
        <v>0.6</v>
      </c>
      <c r="K3509" s="154"/>
      <c r="L3509" s="154"/>
      <c r="M3509" s="154"/>
      <c r="N3509" s="154">
        <f t="shared" si="127"/>
        <v>2.9572566611769187</v>
      </c>
      <c r="O3509" s="154">
        <f t="shared" si="128"/>
        <v>0</v>
      </c>
    </row>
    <row r="3510" spans="1:15" x14ac:dyDescent="0.35">
      <c r="A3510" s="321"/>
      <c r="B3510" s="320" t="str">
        <f t="shared" si="125"/>
        <v>PV3-108</v>
      </c>
      <c r="C3510" s="153"/>
      <c r="D3510" s="154"/>
      <c r="E3510" s="154">
        <v>1.8</v>
      </c>
      <c r="F3510" s="154">
        <v>1.8</v>
      </c>
      <c r="G3510" s="154">
        <f t="shared" si="126"/>
        <v>0</v>
      </c>
      <c r="H3510" s="154"/>
      <c r="I3510" s="154"/>
      <c r="J3510" s="154">
        <v>0.6</v>
      </c>
      <c r="K3510" s="154"/>
      <c r="L3510" s="154"/>
      <c r="M3510" s="154"/>
      <c r="N3510" s="154">
        <f t="shared" si="127"/>
        <v>2.9572566611769187</v>
      </c>
      <c r="O3510" s="154">
        <f t="shared" si="128"/>
        <v>0</v>
      </c>
    </row>
    <row r="3511" spans="1:15" x14ac:dyDescent="0.35">
      <c r="A3511" s="321"/>
      <c r="B3511" s="320" t="str">
        <f t="shared" si="125"/>
        <v>PV1-109</v>
      </c>
      <c r="C3511" s="153"/>
      <c r="D3511" s="154"/>
      <c r="E3511" s="154">
        <v>1.8</v>
      </c>
      <c r="F3511" s="154">
        <v>1.8</v>
      </c>
      <c r="G3511" s="154">
        <f t="shared" si="126"/>
        <v>0</v>
      </c>
      <c r="H3511" s="154"/>
      <c r="I3511" s="154"/>
      <c r="J3511" s="154">
        <v>0.6</v>
      </c>
      <c r="K3511" s="154"/>
      <c r="L3511" s="154"/>
      <c r="M3511" s="154"/>
      <c r="N3511" s="154">
        <f t="shared" si="127"/>
        <v>2.9572566611769187</v>
      </c>
      <c r="O3511" s="154">
        <f t="shared" si="128"/>
        <v>0</v>
      </c>
    </row>
    <row r="3512" spans="1:15" x14ac:dyDescent="0.35">
      <c r="A3512" s="321"/>
      <c r="B3512" s="320" t="str">
        <f t="shared" si="125"/>
        <v>PV2-109</v>
      </c>
      <c r="C3512" s="153"/>
      <c r="D3512" s="154"/>
      <c r="E3512" s="154">
        <v>1.8</v>
      </c>
      <c r="F3512" s="154">
        <v>1.8</v>
      </c>
      <c r="G3512" s="154">
        <f t="shared" si="126"/>
        <v>0</v>
      </c>
      <c r="H3512" s="154"/>
      <c r="I3512" s="154"/>
      <c r="J3512" s="154">
        <v>0.6</v>
      </c>
      <c r="K3512" s="154"/>
      <c r="L3512" s="154"/>
      <c r="M3512" s="154"/>
      <c r="N3512" s="154">
        <f t="shared" si="127"/>
        <v>2.9572566611769187</v>
      </c>
      <c r="O3512" s="154">
        <f t="shared" si="128"/>
        <v>0</v>
      </c>
    </row>
    <row r="3513" spans="1:15" x14ac:dyDescent="0.35">
      <c r="A3513" s="321"/>
      <c r="B3513" s="320" t="str">
        <f t="shared" si="125"/>
        <v>PV3-109</v>
      </c>
      <c r="C3513" s="153"/>
      <c r="D3513" s="154"/>
      <c r="E3513" s="154">
        <v>1.8</v>
      </c>
      <c r="F3513" s="154">
        <v>1.8</v>
      </c>
      <c r="G3513" s="154">
        <f t="shared" si="126"/>
        <v>0</v>
      </c>
      <c r="H3513" s="154"/>
      <c r="I3513" s="154"/>
      <c r="J3513" s="154">
        <v>0.6</v>
      </c>
      <c r="K3513" s="154"/>
      <c r="L3513" s="154"/>
      <c r="M3513" s="154"/>
      <c r="N3513" s="154">
        <f t="shared" si="127"/>
        <v>2.9572566611769187</v>
      </c>
      <c r="O3513" s="154">
        <f t="shared" si="128"/>
        <v>0</v>
      </c>
    </row>
    <row r="3514" spans="1:15" x14ac:dyDescent="0.35">
      <c r="A3514" s="321"/>
      <c r="B3514" s="320" t="str">
        <f t="shared" si="125"/>
        <v>PV1-110</v>
      </c>
      <c r="C3514" s="153"/>
      <c r="D3514" s="154"/>
      <c r="E3514" s="154">
        <v>1.8</v>
      </c>
      <c r="F3514" s="154">
        <v>1.8</v>
      </c>
      <c r="G3514" s="154">
        <f t="shared" si="126"/>
        <v>0</v>
      </c>
      <c r="H3514" s="154"/>
      <c r="I3514" s="154"/>
      <c r="J3514" s="154">
        <v>0.6</v>
      </c>
      <c r="K3514" s="154"/>
      <c r="L3514" s="154"/>
      <c r="M3514" s="154"/>
      <c r="N3514" s="154">
        <f t="shared" si="127"/>
        <v>2.9572566611769187</v>
      </c>
      <c r="O3514" s="154">
        <f t="shared" si="128"/>
        <v>0</v>
      </c>
    </row>
    <row r="3515" spans="1:15" x14ac:dyDescent="0.35">
      <c r="A3515" s="321"/>
      <c r="B3515" s="320" t="str">
        <f t="shared" si="125"/>
        <v>PV2-110</v>
      </c>
      <c r="C3515" s="153"/>
      <c r="D3515" s="154"/>
      <c r="E3515" s="154">
        <v>1.8</v>
      </c>
      <c r="F3515" s="154">
        <v>1.8</v>
      </c>
      <c r="G3515" s="154">
        <f t="shared" si="126"/>
        <v>0</v>
      </c>
      <c r="H3515" s="154"/>
      <c r="I3515" s="154"/>
      <c r="J3515" s="154">
        <v>0.6</v>
      </c>
      <c r="K3515" s="154"/>
      <c r="L3515" s="154"/>
      <c r="M3515" s="154"/>
      <c r="N3515" s="154">
        <f t="shared" si="127"/>
        <v>2.9572566611769187</v>
      </c>
      <c r="O3515" s="154">
        <f t="shared" si="128"/>
        <v>0</v>
      </c>
    </row>
    <row r="3516" spans="1:15" x14ac:dyDescent="0.35">
      <c r="A3516" s="321"/>
      <c r="B3516" s="320" t="str">
        <f t="shared" si="125"/>
        <v>PV3-110</v>
      </c>
      <c r="C3516" s="153"/>
      <c r="D3516" s="154"/>
      <c r="E3516" s="154">
        <v>1.8</v>
      </c>
      <c r="F3516" s="154">
        <v>1.8</v>
      </c>
      <c r="G3516" s="154">
        <f t="shared" si="126"/>
        <v>0</v>
      </c>
      <c r="H3516" s="154"/>
      <c r="I3516" s="154"/>
      <c r="J3516" s="154">
        <v>0.6</v>
      </c>
      <c r="K3516" s="154"/>
      <c r="L3516" s="154"/>
      <c r="M3516" s="154"/>
      <c r="N3516" s="154">
        <f t="shared" si="127"/>
        <v>2.9572566611769187</v>
      </c>
      <c r="O3516" s="154">
        <f t="shared" si="128"/>
        <v>0</v>
      </c>
    </row>
    <row r="3517" spans="1:15" x14ac:dyDescent="0.35">
      <c r="A3517" s="321"/>
      <c r="B3517" s="320" t="str">
        <f t="shared" si="125"/>
        <v>PV1-111</v>
      </c>
      <c r="C3517" s="153"/>
      <c r="D3517" s="154"/>
      <c r="E3517" s="154">
        <v>1.8</v>
      </c>
      <c r="F3517" s="154">
        <v>1.8</v>
      </c>
      <c r="G3517" s="154">
        <f t="shared" si="126"/>
        <v>0</v>
      </c>
      <c r="H3517" s="154"/>
      <c r="I3517" s="154"/>
      <c r="J3517" s="154">
        <v>0.6</v>
      </c>
      <c r="K3517" s="154"/>
      <c r="L3517" s="154"/>
      <c r="M3517" s="154"/>
      <c r="N3517" s="154">
        <f t="shared" si="127"/>
        <v>2.9572566611769187</v>
      </c>
      <c r="O3517" s="154">
        <f t="shared" si="128"/>
        <v>0</v>
      </c>
    </row>
    <row r="3518" spans="1:15" x14ac:dyDescent="0.35">
      <c r="A3518" s="321"/>
      <c r="B3518" s="320" t="str">
        <f t="shared" si="125"/>
        <v>PV2-111</v>
      </c>
      <c r="C3518" s="153"/>
      <c r="D3518" s="154"/>
      <c r="E3518" s="154">
        <v>1.8</v>
      </c>
      <c r="F3518" s="154">
        <v>1.8</v>
      </c>
      <c r="G3518" s="154">
        <f t="shared" si="126"/>
        <v>0</v>
      </c>
      <c r="H3518" s="154"/>
      <c r="I3518" s="154"/>
      <c r="J3518" s="154">
        <v>0.6</v>
      </c>
      <c r="K3518" s="154"/>
      <c r="L3518" s="154"/>
      <c r="M3518" s="154"/>
      <c r="N3518" s="154">
        <f t="shared" si="127"/>
        <v>2.9572566611769187</v>
      </c>
      <c r="O3518" s="154">
        <f t="shared" si="128"/>
        <v>0</v>
      </c>
    </row>
    <row r="3519" spans="1:15" x14ac:dyDescent="0.35">
      <c r="A3519" s="321"/>
      <c r="B3519" s="320" t="str">
        <f t="shared" si="125"/>
        <v>PV3-111</v>
      </c>
      <c r="C3519" s="153"/>
      <c r="D3519" s="154"/>
      <c r="E3519" s="154">
        <v>1.8</v>
      </c>
      <c r="F3519" s="154">
        <v>1.8</v>
      </c>
      <c r="G3519" s="154">
        <f t="shared" si="126"/>
        <v>0</v>
      </c>
      <c r="H3519" s="154"/>
      <c r="I3519" s="154"/>
      <c r="J3519" s="154">
        <v>0.6</v>
      </c>
      <c r="K3519" s="154"/>
      <c r="L3519" s="154"/>
      <c r="M3519" s="154"/>
      <c r="N3519" s="154">
        <f t="shared" si="127"/>
        <v>2.9572566611769187</v>
      </c>
      <c r="O3519" s="154">
        <f t="shared" si="128"/>
        <v>0</v>
      </c>
    </row>
    <row r="3520" spans="1:15" x14ac:dyDescent="0.35">
      <c r="A3520" s="321"/>
      <c r="B3520" s="320" t="str">
        <f t="shared" ref="B3520:B3551" si="129">B3449</f>
        <v>PV4-111</v>
      </c>
      <c r="C3520" s="153"/>
      <c r="D3520" s="154"/>
      <c r="E3520" s="154">
        <v>1.8</v>
      </c>
      <c r="F3520" s="154">
        <v>1.8</v>
      </c>
      <c r="G3520" s="154">
        <f t="shared" ref="G3520:G3551" si="130">IF(G3153&lt;=0.3,0,G3153-0.3)</f>
        <v>0</v>
      </c>
      <c r="H3520" s="154"/>
      <c r="I3520" s="154"/>
      <c r="J3520" s="154">
        <v>0.6</v>
      </c>
      <c r="K3520" s="154"/>
      <c r="L3520" s="154"/>
      <c r="M3520" s="154"/>
      <c r="N3520" s="154">
        <f t="shared" ref="N3520:N3553" si="131">(E3520*F3520)-(PI()*(J3520/2)^2)</f>
        <v>2.9572566611769187</v>
      </c>
      <c r="O3520" s="154">
        <f t="shared" ref="O3520:O3551" si="132">N3520*G3520</f>
        <v>0</v>
      </c>
    </row>
    <row r="3521" spans="1:15" x14ac:dyDescent="0.35">
      <c r="A3521" s="321"/>
      <c r="B3521" s="320" t="str">
        <f t="shared" si="129"/>
        <v>PV5-111</v>
      </c>
      <c r="C3521" s="153"/>
      <c r="D3521" s="154"/>
      <c r="E3521" s="154">
        <v>1.8</v>
      </c>
      <c r="F3521" s="154">
        <v>1.8</v>
      </c>
      <c r="G3521" s="154">
        <f t="shared" si="130"/>
        <v>0</v>
      </c>
      <c r="H3521" s="154"/>
      <c r="I3521" s="154"/>
      <c r="J3521" s="154">
        <v>0.6</v>
      </c>
      <c r="K3521" s="154"/>
      <c r="L3521" s="154"/>
      <c r="M3521" s="154"/>
      <c r="N3521" s="154">
        <f t="shared" si="131"/>
        <v>2.9572566611769187</v>
      </c>
      <c r="O3521" s="154">
        <f t="shared" si="132"/>
        <v>0</v>
      </c>
    </row>
    <row r="3522" spans="1:15" x14ac:dyDescent="0.35">
      <c r="A3522" s="321"/>
      <c r="B3522" s="320" t="str">
        <f t="shared" si="129"/>
        <v>PV7-111</v>
      </c>
      <c r="C3522" s="153"/>
      <c r="D3522" s="154"/>
      <c r="E3522" s="154">
        <v>1.8</v>
      </c>
      <c r="F3522" s="154">
        <v>1.8</v>
      </c>
      <c r="G3522" s="154">
        <f t="shared" si="130"/>
        <v>0.36700000000000005</v>
      </c>
      <c r="H3522" s="154"/>
      <c r="I3522" s="154"/>
      <c r="J3522" s="154">
        <v>0.6</v>
      </c>
      <c r="K3522" s="154"/>
      <c r="L3522" s="154"/>
      <c r="M3522" s="154"/>
      <c r="N3522" s="154">
        <f t="shared" si="131"/>
        <v>2.9572566611769187</v>
      </c>
      <c r="O3522" s="154">
        <f t="shared" si="132"/>
        <v>1.0853131946519292</v>
      </c>
    </row>
    <row r="3523" spans="1:15" x14ac:dyDescent="0.35">
      <c r="A3523" s="321"/>
      <c r="B3523" s="320" t="str">
        <f t="shared" si="129"/>
        <v>PV8-111</v>
      </c>
      <c r="C3523" s="153"/>
      <c r="D3523" s="154"/>
      <c r="E3523" s="154">
        <v>1.8</v>
      </c>
      <c r="F3523" s="154">
        <v>1.8</v>
      </c>
      <c r="G3523" s="154">
        <f t="shared" si="130"/>
        <v>0</v>
      </c>
      <c r="H3523" s="154"/>
      <c r="I3523" s="154"/>
      <c r="J3523" s="154">
        <v>0.6</v>
      </c>
      <c r="K3523" s="154"/>
      <c r="L3523" s="154"/>
      <c r="M3523" s="154"/>
      <c r="N3523" s="154">
        <f t="shared" si="131"/>
        <v>2.9572566611769187</v>
      </c>
      <c r="O3523" s="154">
        <f t="shared" si="132"/>
        <v>0</v>
      </c>
    </row>
    <row r="3524" spans="1:15" x14ac:dyDescent="0.35">
      <c r="A3524" s="321"/>
      <c r="B3524" s="320" t="str">
        <f t="shared" si="129"/>
        <v>PV9-111</v>
      </c>
      <c r="C3524" s="153"/>
      <c r="D3524" s="154"/>
      <c r="E3524" s="154">
        <v>1.8</v>
      </c>
      <c r="F3524" s="154">
        <v>1.8</v>
      </c>
      <c r="G3524" s="154">
        <f t="shared" si="130"/>
        <v>0</v>
      </c>
      <c r="H3524" s="154"/>
      <c r="I3524" s="154"/>
      <c r="J3524" s="154">
        <v>0.6</v>
      </c>
      <c r="K3524" s="154"/>
      <c r="L3524" s="154"/>
      <c r="M3524" s="154"/>
      <c r="N3524" s="154">
        <f t="shared" si="131"/>
        <v>2.9572566611769187</v>
      </c>
      <c r="O3524" s="154">
        <f t="shared" si="132"/>
        <v>0</v>
      </c>
    </row>
    <row r="3525" spans="1:15" x14ac:dyDescent="0.35">
      <c r="A3525" s="321"/>
      <c r="B3525" s="320" t="str">
        <f t="shared" si="129"/>
        <v>PV10-111</v>
      </c>
      <c r="C3525" s="153"/>
      <c r="D3525" s="154"/>
      <c r="E3525" s="154">
        <v>1.8</v>
      </c>
      <c r="F3525" s="154">
        <v>1.8</v>
      </c>
      <c r="G3525" s="154">
        <f t="shared" si="130"/>
        <v>0</v>
      </c>
      <c r="H3525" s="154"/>
      <c r="I3525" s="154"/>
      <c r="J3525" s="154">
        <v>0.6</v>
      </c>
      <c r="K3525" s="154"/>
      <c r="L3525" s="154"/>
      <c r="M3525" s="154"/>
      <c r="N3525" s="154">
        <f t="shared" si="131"/>
        <v>2.9572566611769187</v>
      </c>
      <c r="O3525" s="154">
        <f t="shared" si="132"/>
        <v>0</v>
      </c>
    </row>
    <row r="3526" spans="1:15" x14ac:dyDescent="0.35">
      <c r="A3526" s="321"/>
      <c r="B3526" s="320" t="str">
        <f t="shared" si="129"/>
        <v>PV1-112</v>
      </c>
      <c r="C3526" s="153"/>
      <c r="D3526" s="154"/>
      <c r="E3526" s="154">
        <v>1.8</v>
      </c>
      <c r="F3526" s="154">
        <v>1.8</v>
      </c>
      <c r="G3526" s="154">
        <f t="shared" si="130"/>
        <v>0</v>
      </c>
      <c r="H3526" s="154"/>
      <c r="I3526" s="154"/>
      <c r="J3526" s="154">
        <v>0.6</v>
      </c>
      <c r="K3526" s="154"/>
      <c r="L3526" s="154"/>
      <c r="M3526" s="154"/>
      <c r="N3526" s="154">
        <f t="shared" si="131"/>
        <v>2.9572566611769187</v>
      </c>
      <c r="O3526" s="154">
        <f t="shared" si="132"/>
        <v>0</v>
      </c>
    </row>
    <row r="3527" spans="1:15" x14ac:dyDescent="0.35">
      <c r="A3527" s="321"/>
      <c r="B3527" s="320" t="str">
        <f t="shared" si="129"/>
        <v>PV2-112</v>
      </c>
      <c r="C3527" s="153"/>
      <c r="D3527" s="154"/>
      <c r="E3527" s="154">
        <v>1.8</v>
      </c>
      <c r="F3527" s="154">
        <v>1.8</v>
      </c>
      <c r="G3527" s="154">
        <f t="shared" si="130"/>
        <v>0</v>
      </c>
      <c r="H3527" s="154"/>
      <c r="I3527" s="154"/>
      <c r="J3527" s="154">
        <v>0.6</v>
      </c>
      <c r="K3527" s="154"/>
      <c r="L3527" s="154"/>
      <c r="M3527" s="154"/>
      <c r="N3527" s="154">
        <f t="shared" si="131"/>
        <v>2.9572566611769187</v>
      </c>
      <c r="O3527" s="154">
        <f t="shared" si="132"/>
        <v>0</v>
      </c>
    </row>
    <row r="3528" spans="1:15" x14ac:dyDescent="0.35">
      <c r="A3528" s="321"/>
      <c r="B3528" s="320" t="str">
        <f t="shared" si="129"/>
        <v>PV3-112</v>
      </c>
      <c r="C3528" s="153"/>
      <c r="D3528" s="154"/>
      <c r="E3528" s="154">
        <v>1.8</v>
      </c>
      <c r="F3528" s="154">
        <v>1.8</v>
      </c>
      <c r="G3528" s="154">
        <f t="shared" si="130"/>
        <v>0</v>
      </c>
      <c r="H3528" s="154"/>
      <c r="I3528" s="154"/>
      <c r="J3528" s="154">
        <v>0.6</v>
      </c>
      <c r="K3528" s="154"/>
      <c r="L3528" s="154"/>
      <c r="M3528" s="154"/>
      <c r="N3528" s="154">
        <f t="shared" si="131"/>
        <v>2.9572566611769187</v>
      </c>
      <c r="O3528" s="154">
        <f t="shared" si="132"/>
        <v>0</v>
      </c>
    </row>
    <row r="3529" spans="1:15" x14ac:dyDescent="0.35">
      <c r="A3529" s="321"/>
      <c r="B3529" s="320" t="str">
        <f t="shared" si="129"/>
        <v>PV1-113</v>
      </c>
      <c r="C3529" s="153"/>
      <c r="D3529" s="154"/>
      <c r="E3529" s="154">
        <v>1.8</v>
      </c>
      <c r="F3529" s="154">
        <v>1.8</v>
      </c>
      <c r="G3529" s="154">
        <f t="shared" si="130"/>
        <v>0</v>
      </c>
      <c r="H3529" s="154"/>
      <c r="I3529" s="154"/>
      <c r="J3529" s="154">
        <v>0.6</v>
      </c>
      <c r="K3529" s="154"/>
      <c r="L3529" s="154"/>
      <c r="M3529" s="154"/>
      <c r="N3529" s="154">
        <f t="shared" si="131"/>
        <v>2.9572566611769187</v>
      </c>
      <c r="O3529" s="154">
        <f t="shared" si="132"/>
        <v>0</v>
      </c>
    </row>
    <row r="3530" spans="1:15" x14ac:dyDescent="0.35">
      <c r="A3530" s="321"/>
      <c r="B3530" s="320" t="str">
        <f t="shared" si="129"/>
        <v>PV2-113</v>
      </c>
      <c r="C3530" s="153"/>
      <c r="D3530" s="154"/>
      <c r="E3530" s="154">
        <v>1.8</v>
      </c>
      <c r="F3530" s="154">
        <v>1.8</v>
      </c>
      <c r="G3530" s="154">
        <f t="shared" si="130"/>
        <v>0</v>
      </c>
      <c r="H3530" s="154"/>
      <c r="I3530" s="154"/>
      <c r="J3530" s="154">
        <v>0.6</v>
      </c>
      <c r="K3530" s="154"/>
      <c r="L3530" s="154"/>
      <c r="M3530" s="154"/>
      <c r="N3530" s="154">
        <f t="shared" si="131"/>
        <v>2.9572566611769187</v>
      </c>
      <c r="O3530" s="154">
        <f t="shared" si="132"/>
        <v>0</v>
      </c>
    </row>
    <row r="3531" spans="1:15" x14ac:dyDescent="0.35">
      <c r="A3531" s="321"/>
      <c r="B3531" s="320" t="str">
        <f t="shared" si="129"/>
        <v>PV3-113</v>
      </c>
      <c r="C3531" s="153"/>
      <c r="D3531" s="154"/>
      <c r="E3531" s="154">
        <v>1.8</v>
      </c>
      <c r="F3531" s="154">
        <v>1.8</v>
      </c>
      <c r="G3531" s="154">
        <f t="shared" si="130"/>
        <v>0</v>
      </c>
      <c r="H3531" s="154"/>
      <c r="I3531" s="154"/>
      <c r="J3531" s="154">
        <v>0.6</v>
      </c>
      <c r="K3531" s="154"/>
      <c r="L3531" s="154"/>
      <c r="M3531" s="154"/>
      <c r="N3531" s="154">
        <f t="shared" si="131"/>
        <v>2.9572566611769187</v>
      </c>
      <c r="O3531" s="154">
        <f t="shared" si="132"/>
        <v>0</v>
      </c>
    </row>
    <row r="3532" spans="1:15" x14ac:dyDescent="0.35">
      <c r="A3532" s="321"/>
      <c r="B3532" s="320" t="str">
        <f t="shared" si="129"/>
        <v>PV1-114</v>
      </c>
      <c r="C3532" s="153"/>
      <c r="D3532" s="154"/>
      <c r="E3532" s="154">
        <v>1.8</v>
      </c>
      <c r="F3532" s="154">
        <v>1.8</v>
      </c>
      <c r="G3532" s="154">
        <f t="shared" si="130"/>
        <v>0</v>
      </c>
      <c r="H3532" s="154"/>
      <c r="I3532" s="154"/>
      <c r="J3532" s="154">
        <v>0.6</v>
      </c>
      <c r="K3532" s="154"/>
      <c r="L3532" s="154"/>
      <c r="M3532" s="154"/>
      <c r="N3532" s="154">
        <f t="shared" si="131"/>
        <v>2.9572566611769187</v>
      </c>
      <c r="O3532" s="154">
        <f t="shared" si="132"/>
        <v>0</v>
      </c>
    </row>
    <row r="3533" spans="1:15" x14ac:dyDescent="0.35">
      <c r="A3533" s="321"/>
      <c r="B3533" s="320" t="str">
        <f t="shared" si="129"/>
        <v>PV2-114</v>
      </c>
      <c r="C3533" s="153"/>
      <c r="D3533" s="154"/>
      <c r="E3533" s="154">
        <v>1.8</v>
      </c>
      <c r="F3533" s="154">
        <v>1.8</v>
      </c>
      <c r="G3533" s="154">
        <f t="shared" si="130"/>
        <v>0</v>
      </c>
      <c r="H3533" s="154"/>
      <c r="I3533" s="154"/>
      <c r="J3533" s="154">
        <v>0.6</v>
      </c>
      <c r="K3533" s="154"/>
      <c r="L3533" s="154"/>
      <c r="M3533" s="154"/>
      <c r="N3533" s="154">
        <f t="shared" si="131"/>
        <v>2.9572566611769187</v>
      </c>
      <c r="O3533" s="154">
        <f t="shared" si="132"/>
        <v>0</v>
      </c>
    </row>
    <row r="3534" spans="1:15" x14ac:dyDescent="0.35">
      <c r="A3534" s="321"/>
      <c r="B3534" s="320" t="str">
        <f t="shared" si="129"/>
        <v>PV3-114</v>
      </c>
      <c r="C3534" s="153"/>
      <c r="D3534" s="154"/>
      <c r="E3534" s="154">
        <v>1.8</v>
      </c>
      <c r="F3534" s="154">
        <v>1.8</v>
      </c>
      <c r="G3534" s="154">
        <f t="shared" si="130"/>
        <v>0</v>
      </c>
      <c r="H3534" s="154"/>
      <c r="I3534" s="154"/>
      <c r="J3534" s="154">
        <v>0.6</v>
      </c>
      <c r="K3534" s="154"/>
      <c r="L3534" s="154"/>
      <c r="M3534" s="154"/>
      <c r="N3534" s="154">
        <f t="shared" si="131"/>
        <v>2.9572566611769187</v>
      </c>
      <c r="O3534" s="154">
        <f t="shared" si="132"/>
        <v>0</v>
      </c>
    </row>
    <row r="3535" spans="1:15" x14ac:dyDescent="0.35">
      <c r="A3535" s="321"/>
      <c r="B3535" s="320" t="str">
        <f t="shared" si="129"/>
        <v>PV1-115</v>
      </c>
      <c r="C3535" s="153"/>
      <c r="D3535" s="154"/>
      <c r="E3535" s="154">
        <v>1.8</v>
      </c>
      <c r="F3535" s="154">
        <v>1.8</v>
      </c>
      <c r="G3535" s="154">
        <f t="shared" si="130"/>
        <v>0</v>
      </c>
      <c r="H3535" s="154"/>
      <c r="I3535" s="154"/>
      <c r="J3535" s="154">
        <v>0.6</v>
      </c>
      <c r="K3535" s="154"/>
      <c r="L3535" s="154"/>
      <c r="M3535" s="154"/>
      <c r="N3535" s="154">
        <f t="shared" si="131"/>
        <v>2.9572566611769187</v>
      </c>
      <c r="O3535" s="154">
        <f t="shared" si="132"/>
        <v>0</v>
      </c>
    </row>
    <row r="3536" spans="1:15" x14ac:dyDescent="0.35">
      <c r="A3536" s="321"/>
      <c r="B3536" s="320" t="str">
        <f t="shared" si="129"/>
        <v>PV2-115</v>
      </c>
      <c r="C3536" s="153"/>
      <c r="D3536" s="154"/>
      <c r="E3536" s="154">
        <v>1.8</v>
      </c>
      <c r="F3536" s="154">
        <v>1.8</v>
      </c>
      <c r="G3536" s="154">
        <f t="shared" si="130"/>
        <v>0</v>
      </c>
      <c r="H3536" s="154"/>
      <c r="I3536" s="154"/>
      <c r="J3536" s="154">
        <v>0.6</v>
      </c>
      <c r="K3536" s="154"/>
      <c r="L3536" s="154"/>
      <c r="M3536" s="154"/>
      <c r="N3536" s="154">
        <f t="shared" si="131"/>
        <v>2.9572566611769187</v>
      </c>
      <c r="O3536" s="154">
        <f t="shared" si="132"/>
        <v>0</v>
      </c>
    </row>
    <row r="3537" spans="1:15" x14ac:dyDescent="0.35">
      <c r="A3537" s="321"/>
      <c r="B3537" s="320" t="str">
        <f t="shared" si="129"/>
        <v>PV3-115</v>
      </c>
      <c r="C3537" s="153"/>
      <c r="D3537" s="154"/>
      <c r="E3537" s="154">
        <v>1.8</v>
      </c>
      <c r="F3537" s="154">
        <v>1.8</v>
      </c>
      <c r="G3537" s="154">
        <f t="shared" si="130"/>
        <v>0</v>
      </c>
      <c r="H3537" s="154"/>
      <c r="I3537" s="154"/>
      <c r="J3537" s="154">
        <v>0.6</v>
      </c>
      <c r="K3537" s="154"/>
      <c r="L3537" s="154"/>
      <c r="M3537" s="154"/>
      <c r="N3537" s="154">
        <f t="shared" si="131"/>
        <v>2.9572566611769187</v>
      </c>
      <c r="O3537" s="154">
        <f t="shared" si="132"/>
        <v>0</v>
      </c>
    </row>
    <row r="3538" spans="1:15" x14ac:dyDescent="0.35">
      <c r="A3538" s="321"/>
      <c r="B3538" s="320" t="str">
        <f t="shared" si="129"/>
        <v>PV4-115</v>
      </c>
      <c r="C3538" s="153"/>
      <c r="D3538" s="154"/>
      <c r="E3538" s="154">
        <v>1.8</v>
      </c>
      <c r="F3538" s="154">
        <v>1.8</v>
      </c>
      <c r="G3538" s="154">
        <f t="shared" si="130"/>
        <v>0</v>
      </c>
      <c r="H3538" s="154"/>
      <c r="I3538" s="154"/>
      <c r="J3538" s="154">
        <v>0.6</v>
      </c>
      <c r="K3538" s="154"/>
      <c r="L3538" s="154"/>
      <c r="M3538" s="154"/>
      <c r="N3538" s="154">
        <f t="shared" si="131"/>
        <v>2.9572566611769187</v>
      </c>
      <c r="O3538" s="154">
        <f t="shared" si="132"/>
        <v>0</v>
      </c>
    </row>
    <row r="3539" spans="1:15" x14ac:dyDescent="0.35">
      <c r="A3539" s="321"/>
      <c r="B3539" s="320" t="str">
        <f t="shared" si="129"/>
        <v>PV5-115</v>
      </c>
      <c r="C3539" s="153"/>
      <c r="D3539" s="154"/>
      <c r="E3539" s="154">
        <v>1.8</v>
      </c>
      <c r="F3539" s="154">
        <v>1.8</v>
      </c>
      <c r="G3539" s="154">
        <f t="shared" si="130"/>
        <v>1.2</v>
      </c>
      <c r="H3539" s="154"/>
      <c r="I3539" s="154"/>
      <c r="J3539" s="154">
        <v>0.6</v>
      </c>
      <c r="K3539" s="154"/>
      <c r="L3539" s="154"/>
      <c r="M3539" s="154"/>
      <c r="N3539" s="154">
        <f t="shared" si="131"/>
        <v>2.9572566611769187</v>
      </c>
      <c r="O3539" s="154">
        <f t="shared" si="132"/>
        <v>3.5487079934123025</v>
      </c>
    </row>
    <row r="3540" spans="1:15" x14ac:dyDescent="0.35">
      <c r="A3540" s="321"/>
      <c r="B3540" s="320" t="str">
        <f t="shared" si="129"/>
        <v>PV1-116</v>
      </c>
      <c r="C3540" s="153"/>
      <c r="D3540" s="154"/>
      <c r="E3540" s="154">
        <v>1.8</v>
      </c>
      <c r="F3540" s="154">
        <v>1.8</v>
      </c>
      <c r="G3540" s="154">
        <f t="shared" si="130"/>
        <v>0</v>
      </c>
      <c r="H3540" s="154"/>
      <c r="I3540" s="154"/>
      <c r="J3540" s="154">
        <v>0.6</v>
      </c>
      <c r="K3540" s="154"/>
      <c r="L3540" s="154"/>
      <c r="M3540" s="154"/>
      <c r="N3540" s="154">
        <f t="shared" si="131"/>
        <v>2.9572566611769187</v>
      </c>
      <c r="O3540" s="154">
        <f t="shared" si="132"/>
        <v>0</v>
      </c>
    </row>
    <row r="3541" spans="1:15" x14ac:dyDescent="0.35">
      <c r="A3541" s="321"/>
      <c r="B3541" s="320" t="str">
        <f t="shared" si="129"/>
        <v>PV2-116</v>
      </c>
      <c r="C3541" s="153"/>
      <c r="D3541" s="154"/>
      <c r="E3541" s="154">
        <v>1.8</v>
      </c>
      <c r="F3541" s="154">
        <v>1.8</v>
      </c>
      <c r="G3541" s="154">
        <f t="shared" si="130"/>
        <v>0</v>
      </c>
      <c r="H3541" s="154"/>
      <c r="I3541" s="154"/>
      <c r="J3541" s="154">
        <v>0.6</v>
      </c>
      <c r="K3541" s="154"/>
      <c r="L3541" s="154"/>
      <c r="M3541" s="154"/>
      <c r="N3541" s="154">
        <f t="shared" si="131"/>
        <v>2.9572566611769187</v>
      </c>
      <c r="O3541" s="154">
        <f t="shared" si="132"/>
        <v>0</v>
      </c>
    </row>
    <row r="3542" spans="1:15" x14ac:dyDescent="0.35">
      <c r="A3542" s="321"/>
      <c r="B3542" s="320" t="str">
        <f t="shared" si="129"/>
        <v>PV3-116</v>
      </c>
      <c r="C3542" s="153"/>
      <c r="D3542" s="154"/>
      <c r="E3542" s="154">
        <v>1.8</v>
      </c>
      <c r="F3542" s="154">
        <v>1.8</v>
      </c>
      <c r="G3542" s="154">
        <f t="shared" si="130"/>
        <v>0</v>
      </c>
      <c r="H3542" s="154"/>
      <c r="I3542" s="154"/>
      <c r="J3542" s="154">
        <v>0.6</v>
      </c>
      <c r="K3542" s="154"/>
      <c r="L3542" s="154"/>
      <c r="M3542" s="154"/>
      <c r="N3542" s="154">
        <f t="shared" si="131"/>
        <v>2.9572566611769187</v>
      </c>
      <c r="O3542" s="154">
        <f t="shared" si="132"/>
        <v>0</v>
      </c>
    </row>
    <row r="3543" spans="1:15" x14ac:dyDescent="0.35">
      <c r="A3543" s="321"/>
      <c r="B3543" s="320" t="str">
        <f t="shared" si="129"/>
        <v>PV1-117</v>
      </c>
      <c r="C3543" s="153"/>
      <c r="D3543" s="154"/>
      <c r="E3543" s="154">
        <v>1.8</v>
      </c>
      <c r="F3543" s="154">
        <v>1.8</v>
      </c>
      <c r="G3543" s="154">
        <f t="shared" si="130"/>
        <v>0</v>
      </c>
      <c r="H3543" s="154"/>
      <c r="I3543" s="154"/>
      <c r="J3543" s="154">
        <v>0.6</v>
      </c>
      <c r="K3543" s="154"/>
      <c r="L3543" s="154"/>
      <c r="M3543" s="154"/>
      <c r="N3543" s="154">
        <f t="shared" si="131"/>
        <v>2.9572566611769187</v>
      </c>
      <c r="O3543" s="154">
        <f t="shared" si="132"/>
        <v>0</v>
      </c>
    </row>
    <row r="3544" spans="1:15" x14ac:dyDescent="0.35">
      <c r="A3544" s="321"/>
      <c r="B3544" s="320" t="str">
        <f t="shared" si="129"/>
        <v>PV2-117</v>
      </c>
      <c r="C3544" s="153"/>
      <c r="D3544" s="154"/>
      <c r="E3544" s="154">
        <v>1.8</v>
      </c>
      <c r="F3544" s="154">
        <v>1.8</v>
      </c>
      <c r="G3544" s="154">
        <f t="shared" si="130"/>
        <v>0</v>
      </c>
      <c r="H3544" s="154"/>
      <c r="I3544" s="154"/>
      <c r="J3544" s="154">
        <v>0.6</v>
      </c>
      <c r="K3544" s="154"/>
      <c r="L3544" s="154"/>
      <c r="M3544" s="154"/>
      <c r="N3544" s="154">
        <f t="shared" si="131"/>
        <v>2.9572566611769187</v>
      </c>
      <c r="O3544" s="154">
        <f t="shared" si="132"/>
        <v>0</v>
      </c>
    </row>
    <row r="3545" spans="1:15" x14ac:dyDescent="0.35">
      <c r="A3545" s="321"/>
      <c r="B3545" s="320" t="str">
        <f t="shared" si="129"/>
        <v>PV3-117</v>
      </c>
      <c r="C3545" s="153"/>
      <c r="D3545" s="154"/>
      <c r="E3545" s="154">
        <v>1.8</v>
      </c>
      <c r="F3545" s="154">
        <v>1.8</v>
      </c>
      <c r="G3545" s="154">
        <f t="shared" si="130"/>
        <v>0</v>
      </c>
      <c r="H3545" s="154"/>
      <c r="I3545" s="154"/>
      <c r="J3545" s="154">
        <v>0.6</v>
      </c>
      <c r="K3545" s="154"/>
      <c r="L3545" s="154"/>
      <c r="M3545" s="154"/>
      <c r="N3545" s="154">
        <f t="shared" si="131"/>
        <v>2.9572566611769187</v>
      </c>
      <c r="O3545" s="154">
        <f t="shared" si="132"/>
        <v>0</v>
      </c>
    </row>
    <row r="3546" spans="1:15" x14ac:dyDescent="0.35">
      <c r="A3546" s="321"/>
      <c r="B3546" s="320" t="str">
        <f t="shared" si="129"/>
        <v>PV1-119</v>
      </c>
      <c r="C3546" s="153"/>
      <c r="D3546" s="154"/>
      <c r="E3546" s="154">
        <v>1.8</v>
      </c>
      <c r="F3546" s="154">
        <v>1.8</v>
      </c>
      <c r="G3546" s="154">
        <f t="shared" si="130"/>
        <v>0</v>
      </c>
      <c r="H3546" s="154"/>
      <c r="I3546" s="154"/>
      <c r="J3546" s="154">
        <v>0.6</v>
      </c>
      <c r="K3546" s="154"/>
      <c r="L3546" s="154"/>
      <c r="M3546" s="154"/>
      <c r="N3546" s="154">
        <f t="shared" si="131"/>
        <v>2.9572566611769187</v>
      </c>
      <c r="O3546" s="154">
        <f t="shared" si="132"/>
        <v>0</v>
      </c>
    </row>
    <row r="3547" spans="1:15" x14ac:dyDescent="0.35">
      <c r="A3547" s="321"/>
      <c r="B3547" s="320" t="str">
        <f t="shared" si="129"/>
        <v>PV2-119</v>
      </c>
      <c r="C3547" s="153"/>
      <c r="D3547" s="154"/>
      <c r="E3547" s="154">
        <v>1.8</v>
      </c>
      <c r="F3547" s="154">
        <v>1.8</v>
      </c>
      <c r="G3547" s="154">
        <f t="shared" si="130"/>
        <v>0.16999999999999998</v>
      </c>
      <c r="H3547" s="154"/>
      <c r="I3547" s="154"/>
      <c r="J3547" s="154">
        <v>0.6</v>
      </c>
      <c r="K3547" s="154"/>
      <c r="L3547" s="154"/>
      <c r="M3547" s="154"/>
      <c r="N3547" s="154">
        <f t="shared" si="131"/>
        <v>2.9572566611769187</v>
      </c>
      <c r="O3547" s="154">
        <f t="shared" si="132"/>
        <v>0.50273363240007618</v>
      </c>
    </row>
    <row r="3548" spans="1:15" x14ac:dyDescent="0.35">
      <c r="A3548" s="321"/>
      <c r="B3548" s="320" t="str">
        <f t="shared" si="129"/>
        <v>PV3-119</v>
      </c>
      <c r="C3548" s="153"/>
      <c r="D3548" s="154"/>
      <c r="E3548" s="154">
        <v>1.8</v>
      </c>
      <c r="F3548" s="154">
        <v>1.8</v>
      </c>
      <c r="G3548" s="154">
        <f t="shared" si="130"/>
        <v>0</v>
      </c>
      <c r="H3548" s="154"/>
      <c r="I3548" s="154"/>
      <c r="J3548" s="154">
        <v>0.6</v>
      </c>
      <c r="K3548" s="154"/>
      <c r="L3548" s="154"/>
      <c r="M3548" s="154"/>
      <c r="N3548" s="154">
        <f t="shared" si="131"/>
        <v>2.9572566611769187</v>
      </c>
      <c r="O3548" s="154">
        <f t="shared" si="132"/>
        <v>0</v>
      </c>
    </row>
    <row r="3549" spans="1:15" x14ac:dyDescent="0.35">
      <c r="A3549" s="321"/>
      <c r="B3549" s="320" t="str">
        <f t="shared" si="129"/>
        <v>PV19-121</v>
      </c>
      <c r="C3549" s="153"/>
      <c r="D3549" s="154"/>
      <c r="E3549" s="154">
        <v>1.8</v>
      </c>
      <c r="F3549" s="154">
        <v>1.8</v>
      </c>
      <c r="G3549" s="154">
        <f t="shared" si="130"/>
        <v>0.1620000000000002</v>
      </c>
      <c r="H3549" s="154"/>
      <c r="I3549" s="154"/>
      <c r="J3549" s="154">
        <v>0.6</v>
      </c>
      <c r="K3549" s="154"/>
      <c r="L3549" s="154"/>
      <c r="M3549" s="154"/>
      <c r="N3549" s="154">
        <f t="shared" si="131"/>
        <v>2.9572566611769187</v>
      </c>
      <c r="O3549" s="154">
        <f t="shared" si="132"/>
        <v>0.4790755791106614</v>
      </c>
    </row>
    <row r="3550" spans="1:15" x14ac:dyDescent="0.35">
      <c r="A3550" s="321"/>
      <c r="B3550" s="320" t="str">
        <f t="shared" si="129"/>
        <v>PV6-102</v>
      </c>
      <c r="C3550" s="153"/>
      <c r="D3550" s="154"/>
      <c r="E3550" s="154">
        <v>1.8</v>
      </c>
      <c r="F3550" s="154">
        <v>1.8</v>
      </c>
      <c r="G3550" s="154">
        <f t="shared" si="130"/>
        <v>2.4000000000000412</v>
      </c>
      <c r="H3550" s="154"/>
      <c r="I3550" s="154"/>
      <c r="J3550" s="154">
        <v>0.6</v>
      </c>
      <c r="K3550" s="154"/>
      <c r="L3550" s="154"/>
      <c r="M3550" s="154"/>
      <c r="N3550" s="154">
        <f t="shared" si="131"/>
        <v>2.9572566611769187</v>
      </c>
      <c r="O3550" s="154">
        <f t="shared" si="132"/>
        <v>7.0974159868247266</v>
      </c>
    </row>
    <row r="3551" spans="1:15" x14ac:dyDescent="0.35">
      <c r="A3551" s="321"/>
      <c r="B3551" s="320" t="str">
        <f t="shared" si="129"/>
        <v>PV7-102</v>
      </c>
      <c r="C3551" s="153"/>
      <c r="D3551" s="154"/>
      <c r="E3551" s="154">
        <v>1.8</v>
      </c>
      <c r="F3551" s="154">
        <v>1.8</v>
      </c>
      <c r="G3551" s="154">
        <f t="shared" si="130"/>
        <v>2.1600000000000095</v>
      </c>
      <c r="H3551" s="154"/>
      <c r="I3551" s="154"/>
      <c r="J3551" s="154">
        <v>0.6</v>
      </c>
      <c r="K3551" s="154"/>
      <c r="L3551" s="154"/>
      <c r="M3551" s="154"/>
      <c r="N3551" s="154">
        <f t="shared" si="131"/>
        <v>2.9572566611769187</v>
      </c>
      <c r="O3551" s="154">
        <f t="shared" si="132"/>
        <v>6.3876743881421723</v>
      </c>
    </row>
    <row r="3552" spans="1:15" x14ac:dyDescent="0.35">
      <c r="A3552" s="321"/>
      <c r="B3552" s="320" t="str">
        <f t="shared" ref="B3552:B3553" si="133">B3481</f>
        <v>PV8-102</v>
      </c>
      <c r="C3552" s="153"/>
      <c r="D3552" s="154"/>
      <c r="E3552" s="154">
        <v>1.8</v>
      </c>
      <c r="F3552" s="154">
        <v>1.8</v>
      </c>
      <c r="G3552" s="154">
        <f t="shared" ref="G3552:G3553" si="134">IF(G3185&lt;=0.3,0,G3185-0.3)</f>
        <v>2.0100000000000322</v>
      </c>
      <c r="H3552" s="154"/>
      <c r="I3552" s="154"/>
      <c r="J3552" s="154">
        <v>0.6</v>
      </c>
      <c r="K3552" s="154"/>
      <c r="L3552" s="154"/>
      <c r="M3552" s="154"/>
      <c r="N3552" s="154">
        <f t="shared" si="131"/>
        <v>2.9572566611769187</v>
      </c>
      <c r="O3552" s="154">
        <f t="shared" ref="O3552:O3553" si="135">N3552*G3552</f>
        <v>5.9440858889657013</v>
      </c>
    </row>
    <row r="3553" spans="1:15" x14ac:dyDescent="0.35">
      <c r="A3553" s="321"/>
      <c r="B3553" s="320" t="str">
        <f t="shared" si="133"/>
        <v>PV6-111</v>
      </c>
      <c r="C3553" s="153"/>
      <c r="D3553" s="154"/>
      <c r="E3553" s="154">
        <v>1.8</v>
      </c>
      <c r="F3553" s="154">
        <v>1.8</v>
      </c>
      <c r="G3553" s="154">
        <f t="shared" si="134"/>
        <v>1.6849999999999996</v>
      </c>
      <c r="H3553" s="154"/>
      <c r="I3553" s="154"/>
      <c r="J3553" s="154">
        <v>0.6</v>
      </c>
      <c r="K3553" s="154"/>
      <c r="L3553" s="154"/>
      <c r="M3553" s="154"/>
      <c r="N3553" s="154">
        <f t="shared" si="131"/>
        <v>2.9572566611769187</v>
      </c>
      <c r="O3553" s="154">
        <f t="shared" si="135"/>
        <v>4.982977474083107</v>
      </c>
    </row>
    <row r="3554" spans="1:15" x14ac:dyDescent="0.35">
      <c r="A3554" s="321"/>
      <c r="B3554" s="320"/>
      <c r="C3554" s="153"/>
      <c r="D3554" s="154"/>
      <c r="E3554" s="154"/>
      <c r="F3554" s="154"/>
      <c r="G3554" s="154"/>
      <c r="H3554" s="154"/>
      <c r="I3554" s="154"/>
      <c r="J3554" s="154"/>
      <c r="K3554" s="154"/>
      <c r="L3554" s="156"/>
      <c r="M3554" s="154"/>
      <c r="N3554" s="154"/>
      <c r="O3554" s="154"/>
    </row>
    <row r="3555" spans="1:15" x14ac:dyDescent="0.35">
      <c r="A3555" s="321"/>
      <c r="B3555" s="318" t="s">
        <v>377</v>
      </c>
      <c r="C3555" s="158" t="s">
        <v>402</v>
      </c>
      <c r="D3555" s="158"/>
      <c r="E3555" s="158"/>
      <c r="F3555" s="158"/>
      <c r="G3555" s="158"/>
      <c r="H3555" s="158"/>
      <c r="I3555" s="158"/>
      <c r="J3555" s="158"/>
      <c r="K3555" s="158"/>
      <c r="L3555" s="158"/>
      <c r="M3555" s="158"/>
      <c r="N3555" s="158"/>
      <c r="O3555" s="158">
        <f>SUM(O3488:O3554)</f>
        <v>35.883352326720761</v>
      </c>
    </row>
    <row r="3556" spans="1:15" ht="21" x14ac:dyDescent="0.35">
      <c r="A3556" s="323" t="str">
        <f>ORÇAMENTO!A540</f>
        <v>5.5.13</v>
      </c>
      <c r="B3556" s="322" t="str">
        <f>VLOOKUP(A3556,ORÇAMENTO!$A:$F,4,0)</f>
        <v>COMPACTAÇÃO DE ATERROS A 100% DO PROCTOR INTERMEDIÁRIO</v>
      </c>
      <c r="C3556" s="149" t="str">
        <f>VLOOKUP(A3556,ORÇAMENTO!$A:$F,5,0)</f>
        <v>M³</v>
      </c>
      <c r="D3556" s="149">
        <f>SUM(E3626:O3626)</f>
        <v>35.883352326720761</v>
      </c>
      <c r="E3556" s="149" t="s">
        <v>2149</v>
      </c>
      <c r="F3556" s="149" t="s">
        <v>2150</v>
      </c>
      <c r="G3556" s="149" t="s">
        <v>2151</v>
      </c>
      <c r="H3556" s="149" t="s">
        <v>2152</v>
      </c>
      <c r="I3556" s="149" t="s">
        <v>2153</v>
      </c>
      <c r="J3556" s="149" t="s">
        <v>2154</v>
      </c>
      <c r="K3556" s="149" t="s">
        <v>2155</v>
      </c>
      <c r="L3556" s="149" t="s">
        <v>2156</v>
      </c>
      <c r="M3556" s="149" t="s">
        <v>413</v>
      </c>
      <c r="N3556" s="149" t="s">
        <v>2157</v>
      </c>
      <c r="O3556" s="149" t="s">
        <v>2158</v>
      </c>
    </row>
    <row r="3557" spans="1:15" x14ac:dyDescent="0.35">
      <c r="A3557" s="321"/>
      <c r="B3557" s="318"/>
      <c r="C3557" s="153"/>
      <c r="D3557" s="154"/>
      <c r="E3557" s="154"/>
      <c r="F3557" s="154"/>
      <c r="G3557" s="154"/>
      <c r="H3557" s="154"/>
      <c r="I3557" s="154"/>
      <c r="J3557" s="154"/>
      <c r="K3557" s="154"/>
      <c r="L3557" s="154"/>
      <c r="M3557" s="154"/>
      <c r="N3557" s="154"/>
      <c r="O3557" s="154"/>
    </row>
    <row r="3558" spans="1:15" x14ac:dyDescent="0.35">
      <c r="A3558" s="321"/>
      <c r="B3558" s="320" t="str">
        <f t="shared" ref="B3558:B3589" si="136">B3487</f>
        <v>VOLUME = VOLUME DEMOLIDO - VOLUME DO PV</v>
      </c>
      <c r="C3558" s="153"/>
      <c r="D3558" s="154"/>
      <c r="E3558" s="154"/>
      <c r="F3558" s="154"/>
      <c r="G3558" s="154"/>
      <c r="H3558" s="154"/>
      <c r="I3558" s="154"/>
      <c r="J3558" s="154"/>
      <c r="K3558" s="154"/>
      <c r="L3558" s="154"/>
      <c r="M3558" s="154"/>
      <c r="N3558" s="154"/>
      <c r="O3558" s="154"/>
    </row>
    <row r="3559" spans="1:15" x14ac:dyDescent="0.35">
      <c r="A3559" s="321"/>
      <c r="B3559" s="320" t="str">
        <f t="shared" si="136"/>
        <v>PV2-102</v>
      </c>
      <c r="C3559" s="153"/>
      <c r="D3559" s="154"/>
      <c r="E3559" s="154">
        <f t="shared" ref="E3559:G3578" si="137">E3488</f>
        <v>1.8</v>
      </c>
      <c r="F3559" s="154">
        <f t="shared" si="137"/>
        <v>1.8</v>
      </c>
      <c r="G3559" s="154">
        <f t="shared" si="137"/>
        <v>0</v>
      </c>
      <c r="H3559" s="154"/>
      <c r="I3559" s="154"/>
      <c r="J3559" s="154">
        <f t="shared" ref="J3559:J3590" si="138">J3488</f>
        <v>0.6</v>
      </c>
      <c r="K3559" s="154"/>
      <c r="L3559" s="154"/>
      <c r="M3559" s="154"/>
      <c r="N3559" s="154">
        <f t="shared" ref="N3559:N3590" si="139">(E3559*F3559)-(PI()*(J3559/2)^2)</f>
        <v>2.9572566611769187</v>
      </c>
      <c r="O3559" s="154">
        <f t="shared" ref="O3559:O3590" si="140">N3559*G3559</f>
        <v>0</v>
      </c>
    </row>
    <row r="3560" spans="1:15" x14ac:dyDescent="0.35">
      <c r="A3560" s="321"/>
      <c r="B3560" s="320" t="str">
        <f t="shared" si="136"/>
        <v>PV3-102</v>
      </c>
      <c r="C3560" s="153"/>
      <c r="D3560" s="154"/>
      <c r="E3560" s="154">
        <f t="shared" si="137"/>
        <v>1.8</v>
      </c>
      <c r="F3560" s="154">
        <f t="shared" si="137"/>
        <v>1.8</v>
      </c>
      <c r="G3560" s="154">
        <f t="shared" si="137"/>
        <v>0</v>
      </c>
      <c r="H3560" s="154"/>
      <c r="I3560" s="154"/>
      <c r="J3560" s="154">
        <f t="shared" si="138"/>
        <v>0.6</v>
      </c>
      <c r="K3560" s="154"/>
      <c r="L3560" s="154"/>
      <c r="M3560" s="154"/>
      <c r="N3560" s="154">
        <f t="shared" si="139"/>
        <v>2.9572566611769187</v>
      </c>
      <c r="O3560" s="154">
        <f t="shared" si="140"/>
        <v>0</v>
      </c>
    </row>
    <row r="3561" spans="1:15" x14ac:dyDescent="0.35">
      <c r="A3561" s="321"/>
      <c r="B3561" s="320" t="str">
        <f t="shared" si="136"/>
        <v>PV4-102</v>
      </c>
      <c r="C3561" s="153"/>
      <c r="D3561" s="154"/>
      <c r="E3561" s="154">
        <f t="shared" si="137"/>
        <v>1.8</v>
      </c>
      <c r="F3561" s="154">
        <f t="shared" si="137"/>
        <v>1.8</v>
      </c>
      <c r="G3561" s="154">
        <f t="shared" si="137"/>
        <v>0.11999999999995442</v>
      </c>
      <c r="H3561" s="154"/>
      <c r="I3561" s="154"/>
      <c r="J3561" s="154">
        <f t="shared" si="138"/>
        <v>0.6</v>
      </c>
      <c r="K3561" s="154"/>
      <c r="L3561" s="154"/>
      <c r="M3561" s="154"/>
      <c r="N3561" s="154">
        <f t="shared" si="139"/>
        <v>2.9572566611769187</v>
      </c>
      <c r="O3561" s="154">
        <f t="shared" si="140"/>
        <v>0.35487079934109544</v>
      </c>
    </row>
    <row r="3562" spans="1:15" x14ac:dyDescent="0.35">
      <c r="A3562" s="321"/>
      <c r="B3562" s="320" t="str">
        <f t="shared" si="136"/>
        <v>PV5-102</v>
      </c>
      <c r="C3562" s="153"/>
      <c r="D3562" s="154"/>
      <c r="E3562" s="154">
        <f t="shared" si="137"/>
        <v>1.8</v>
      </c>
      <c r="F3562" s="154">
        <f t="shared" si="137"/>
        <v>1.8</v>
      </c>
      <c r="G3562" s="154">
        <f t="shared" si="137"/>
        <v>1.0999999999999726</v>
      </c>
      <c r="H3562" s="154"/>
      <c r="I3562" s="154"/>
      <c r="J3562" s="154">
        <f t="shared" si="138"/>
        <v>0.6</v>
      </c>
      <c r="K3562" s="154"/>
      <c r="L3562" s="154"/>
      <c r="M3562" s="154"/>
      <c r="N3562" s="154">
        <f t="shared" si="139"/>
        <v>2.9572566611769187</v>
      </c>
      <c r="O3562" s="154">
        <f t="shared" si="140"/>
        <v>3.2529823272945295</v>
      </c>
    </row>
    <row r="3563" spans="1:15" x14ac:dyDescent="0.35">
      <c r="A3563" s="321"/>
      <c r="B3563" s="320" t="str">
        <f t="shared" si="136"/>
        <v>PV9-102</v>
      </c>
      <c r="C3563" s="153"/>
      <c r="D3563" s="154"/>
      <c r="E3563" s="154">
        <f t="shared" si="137"/>
        <v>1.8</v>
      </c>
      <c r="F3563" s="154">
        <f t="shared" si="137"/>
        <v>1.8</v>
      </c>
      <c r="G3563" s="154">
        <f t="shared" si="137"/>
        <v>0.58999999999999986</v>
      </c>
      <c r="H3563" s="154"/>
      <c r="I3563" s="154"/>
      <c r="J3563" s="154">
        <f t="shared" si="138"/>
        <v>0.6</v>
      </c>
      <c r="K3563" s="154"/>
      <c r="L3563" s="154"/>
      <c r="M3563" s="154"/>
      <c r="N3563" s="154">
        <f t="shared" si="139"/>
        <v>2.9572566611769187</v>
      </c>
      <c r="O3563" s="154">
        <f t="shared" si="140"/>
        <v>1.7447814300943816</v>
      </c>
    </row>
    <row r="3564" spans="1:15" x14ac:dyDescent="0.35">
      <c r="A3564" s="321"/>
      <c r="B3564" s="320" t="str">
        <f t="shared" si="136"/>
        <v>PV1-103</v>
      </c>
      <c r="C3564" s="153"/>
      <c r="D3564" s="154"/>
      <c r="E3564" s="154">
        <f t="shared" si="137"/>
        <v>1.8</v>
      </c>
      <c r="F3564" s="154">
        <f t="shared" si="137"/>
        <v>1.8</v>
      </c>
      <c r="G3564" s="154">
        <f t="shared" si="137"/>
        <v>0</v>
      </c>
      <c r="H3564" s="154"/>
      <c r="I3564" s="154"/>
      <c r="J3564" s="154">
        <f t="shared" si="138"/>
        <v>0.6</v>
      </c>
      <c r="K3564" s="154"/>
      <c r="L3564" s="154"/>
      <c r="M3564" s="154"/>
      <c r="N3564" s="154">
        <f t="shared" si="139"/>
        <v>2.9572566611769187</v>
      </c>
      <c r="O3564" s="154">
        <f t="shared" si="140"/>
        <v>0</v>
      </c>
    </row>
    <row r="3565" spans="1:15" x14ac:dyDescent="0.35">
      <c r="A3565" s="321"/>
      <c r="B3565" s="320" t="str">
        <f t="shared" si="136"/>
        <v>PV2-103</v>
      </c>
      <c r="C3565" s="153"/>
      <c r="D3565" s="154"/>
      <c r="E3565" s="154">
        <f t="shared" si="137"/>
        <v>1.8</v>
      </c>
      <c r="F3565" s="154">
        <f t="shared" si="137"/>
        <v>1.8</v>
      </c>
      <c r="G3565" s="154">
        <f t="shared" si="137"/>
        <v>0</v>
      </c>
      <c r="H3565" s="154"/>
      <c r="I3565" s="154"/>
      <c r="J3565" s="154">
        <f t="shared" si="138"/>
        <v>0.6</v>
      </c>
      <c r="K3565" s="154"/>
      <c r="L3565" s="154"/>
      <c r="M3565" s="154"/>
      <c r="N3565" s="154">
        <f t="shared" si="139"/>
        <v>2.9572566611769187</v>
      </c>
      <c r="O3565" s="154">
        <f t="shared" si="140"/>
        <v>0</v>
      </c>
    </row>
    <row r="3566" spans="1:15" x14ac:dyDescent="0.35">
      <c r="A3566" s="321"/>
      <c r="B3566" s="320" t="str">
        <f t="shared" si="136"/>
        <v>PV3-103</v>
      </c>
      <c r="C3566" s="153"/>
      <c r="D3566" s="154"/>
      <c r="E3566" s="154">
        <f t="shared" si="137"/>
        <v>1.8</v>
      </c>
      <c r="F3566" s="154">
        <f t="shared" si="137"/>
        <v>1.8</v>
      </c>
      <c r="G3566" s="154">
        <f t="shared" si="137"/>
        <v>0.16999999999999998</v>
      </c>
      <c r="H3566" s="154"/>
      <c r="I3566" s="154"/>
      <c r="J3566" s="154">
        <f t="shared" si="138"/>
        <v>0.6</v>
      </c>
      <c r="K3566" s="154"/>
      <c r="L3566" s="154"/>
      <c r="M3566" s="154"/>
      <c r="N3566" s="154">
        <f t="shared" si="139"/>
        <v>2.9572566611769187</v>
      </c>
      <c r="O3566" s="154">
        <f t="shared" si="140"/>
        <v>0.50273363240007618</v>
      </c>
    </row>
    <row r="3567" spans="1:15" x14ac:dyDescent="0.35">
      <c r="A3567" s="321"/>
      <c r="B3567" s="320" t="str">
        <f t="shared" si="136"/>
        <v>PV1-104</v>
      </c>
      <c r="C3567" s="153"/>
      <c r="D3567" s="154"/>
      <c r="E3567" s="154">
        <f t="shared" si="137"/>
        <v>1.8</v>
      </c>
      <c r="F3567" s="154">
        <f t="shared" si="137"/>
        <v>1.8</v>
      </c>
      <c r="G3567" s="154">
        <f t="shared" si="137"/>
        <v>0</v>
      </c>
      <c r="H3567" s="154"/>
      <c r="I3567" s="154"/>
      <c r="J3567" s="154">
        <f t="shared" si="138"/>
        <v>0.6</v>
      </c>
      <c r="K3567" s="154"/>
      <c r="L3567" s="154"/>
      <c r="M3567" s="154"/>
      <c r="N3567" s="154">
        <f t="shared" si="139"/>
        <v>2.9572566611769187</v>
      </c>
      <c r="O3567" s="154">
        <f t="shared" si="140"/>
        <v>0</v>
      </c>
    </row>
    <row r="3568" spans="1:15" x14ac:dyDescent="0.35">
      <c r="A3568" s="321"/>
      <c r="B3568" s="320" t="str">
        <f t="shared" si="136"/>
        <v>PV2-104</v>
      </c>
      <c r="C3568" s="153"/>
      <c r="D3568" s="154"/>
      <c r="E3568" s="154">
        <f t="shared" si="137"/>
        <v>1.8</v>
      </c>
      <c r="F3568" s="154">
        <f t="shared" si="137"/>
        <v>1.8</v>
      </c>
      <c r="G3568" s="154">
        <f t="shared" si="137"/>
        <v>0</v>
      </c>
      <c r="H3568" s="154"/>
      <c r="I3568" s="154"/>
      <c r="J3568" s="154">
        <f t="shared" si="138"/>
        <v>0.6</v>
      </c>
      <c r="K3568" s="154"/>
      <c r="L3568" s="154"/>
      <c r="M3568" s="154"/>
      <c r="N3568" s="154">
        <f t="shared" si="139"/>
        <v>2.9572566611769187</v>
      </c>
      <c r="O3568" s="154">
        <f t="shared" si="140"/>
        <v>0</v>
      </c>
    </row>
    <row r="3569" spans="1:15" x14ac:dyDescent="0.35">
      <c r="A3569" s="321"/>
      <c r="B3569" s="320" t="str">
        <f t="shared" si="136"/>
        <v>PV3-104</v>
      </c>
      <c r="C3569" s="153"/>
      <c r="D3569" s="154"/>
      <c r="E3569" s="154">
        <f t="shared" si="137"/>
        <v>1.8</v>
      </c>
      <c r="F3569" s="154">
        <f t="shared" si="137"/>
        <v>1.8</v>
      </c>
      <c r="G3569" s="154">
        <f t="shared" si="137"/>
        <v>0</v>
      </c>
      <c r="H3569" s="154"/>
      <c r="I3569" s="154"/>
      <c r="J3569" s="154">
        <f t="shared" si="138"/>
        <v>0.6</v>
      </c>
      <c r="K3569" s="154"/>
      <c r="L3569" s="154"/>
      <c r="M3569" s="154"/>
      <c r="N3569" s="154">
        <f t="shared" si="139"/>
        <v>2.9572566611769187</v>
      </c>
      <c r="O3569" s="154">
        <f t="shared" si="140"/>
        <v>0</v>
      </c>
    </row>
    <row r="3570" spans="1:15" x14ac:dyDescent="0.35">
      <c r="A3570" s="321"/>
      <c r="B3570" s="320" t="str">
        <f t="shared" si="136"/>
        <v>PV1-105</v>
      </c>
      <c r="C3570" s="153"/>
      <c r="D3570" s="154"/>
      <c r="E3570" s="154">
        <f t="shared" si="137"/>
        <v>1.8</v>
      </c>
      <c r="F3570" s="154">
        <f t="shared" si="137"/>
        <v>1.8</v>
      </c>
      <c r="G3570" s="154">
        <f t="shared" si="137"/>
        <v>0</v>
      </c>
      <c r="H3570" s="154"/>
      <c r="I3570" s="154"/>
      <c r="J3570" s="154">
        <f t="shared" si="138"/>
        <v>0.6</v>
      </c>
      <c r="K3570" s="154"/>
      <c r="L3570" s="154"/>
      <c r="M3570" s="154"/>
      <c r="N3570" s="154">
        <f t="shared" si="139"/>
        <v>2.9572566611769187</v>
      </c>
      <c r="O3570" s="154">
        <f t="shared" si="140"/>
        <v>0</v>
      </c>
    </row>
    <row r="3571" spans="1:15" x14ac:dyDescent="0.35">
      <c r="A3571" s="321"/>
      <c r="B3571" s="320" t="str">
        <f t="shared" si="136"/>
        <v>PV2-105</v>
      </c>
      <c r="C3571" s="153"/>
      <c r="D3571" s="154"/>
      <c r="E3571" s="154">
        <f t="shared" si="137"/>
        <v>1.8</v>
      </c>
      <c r="F3571" s="154">
        <f t="shared" si="137"/>
        <v>1.8</v>
      </c>
      <c r="G3571" s="154">
        <f t="shared" si="137"/>
        <v>0</v>
      </c>
      <c r="H3571" s="154"/>
      <c r="I3571" s="154"/>
      <c r="J3571" s="154">
        <f t="shared" si="138"/>
        <v>0.6</v>
      </c>
      <c r="K3571" s="154"/>
      <c r="L3571" s="154"/>
      <c r="M3571" s="154"/>
      <c r="N3571" s="154">
        <f t="shared" si="139"/>
        <v>2.9572566611769187</v>
      </c>
      <c r="O3571" s="154">
        <f t="shared" si="140"/>
        <v>0</v>
      </c>
    </row>
    <row r="3572" spans="1:15" x14ac:dyDescent="0.35">
      <c r="A3572" s="321"/>
      <c r="B3572" s="320" t="str">
        <f t="shared" si="136"/>
        <v>PV3-105</v>
      </c>
      <c r="C3572" s="153"/>
      <c r="D3572" s="154"/>
      <c r="E3572" s="154">
        <f t="shared" si="137"/>
        <v>1.8</v>
      </c>
      <c r="F3572" s="154">
        <f t="shared" si="137"/>
        <v>1.8</v>
      </c>
      <c r="G3572" s="154">
        <f t="shared" si="137"/>
        <v>0</v>
      </c>
      <c r="H3572" s="154"/>
      <c r="I3572" s="154"/>
      <c r="J3572" s="154">
        <f t="shared" si="138"/>
        <v>0.6</v>
      </c>
      <c r="K3572" s="154"/>
      <c r="L3572" s="154"/>
      <c r="M3572" s="154"/>
      <c r="N3572" s="154">
        <f t="shared" si="139"/>
        <v>2.9572566611769187</v>
      </c>
      <c r="O3572" s="154">
        <f t="shared" si="140"/>
        <v>0</v>
      </c>
    </row>
    <row r="3573" spans="1:15" x14ac:dyDescent="0.35">
      <c r="A3573" s="321"/>
      <c r="B3573" s="320" t="str">
        <f t="shared" si="136"/>
        <v>PV1-106</v>
      </c>
      <c r="C3573" s="153"/>
      <c r="D3573" s="154"/>
      <c r="E3573" s="154">
        <f t="shared" si="137"/>
        <v>1.8</v>
      </c>
      <c r="F3573" s="154">
        <f t="shared" si="137"/>
        <v>1.8</v>
      </c>
      <c r="G3573" s="154">
        <f t="shared" si="137"/>
        <v>0</v>
      </c>
      <c r="H3573" s="154"/>
      <c r="I3573" s="154"/>
      <c r="J3573" s="154">
        <f t="shared" si="138"/>
        <v>0.6</v>
      </c>
      <c r="K3573" s="154"/>
      <c r="L3573" s="154"/>
      <c r="M3573" s="154"/>
      <c r="N3573" s="154">
        <f t="shared" si="139"/>
        <v>2.9572566611769187</v>
      </c>
      <c r="O3573" s="154">
        <f t="shared" si="140"/>
        <v>0</v>
      </c>
    </row>
    <row r="3574" spans="1:15" x14ac:dyDescent="0.35">
      <c r="A3574" s="321"/>
      <c r="B3574" s="320" t="str">
        <f t="shared" si="136"/>
        <v>PV2-106</v>
      </c>
      <c r="C3574" s="153"/>
      <c r="D3574" s="154"/>
      <c r="E3574" s="154">
        <f t="shared" si="137"/>
        <v>1.8</v>
      </c>
      <c r="F3574" s="154">
        <f t="shared" si="137"/>
        <v>1.8</v>
      </c>
      <c r="G3574" s="154">
        <f t="shared" si="137"/>
        <v>0</v>
      </c>
      <c r="H3574" s="154"/>
      <c r="I3574" s="154"/>
      <c r="J3574" s="154">
        <f t="shared" si="138"/>
        <v>0.6</v>
      </c>
      <c r="K3574" s="154"/>
      <c r="L3574" s="154"/>
      <c r="M3574" s="154"/>
      <c r="N3574" s="154">
        <f t="shared" si="139"/>
        <v>2.9572566611769187</v>
      </c>
      <c r="O3574" s="154">
        <f t="shared" si="140"/>
        <v>0</v>
      </c>
    </row>
    <row r="3575" spans="1:15" x14ac:dyDescent="0.35">
      <c r="A3575" s="321"/>
      <c r="B3575" s="320" t="str">
        <f t="shared" si="136"/>
        <v>PV3-106</v>
      </c>
      <c r="C3575" s="153"/>
      <c r="D3575" s="154"/>
      <c r="E3575" s="154">
        <f t="shared" si="137"/>
        <v>1.8</v>
      </c>
      <c r="F3575" s="154">
        <f t="shared" si="137"/>
        <v>1.8</v>
      </c>
      <c r="G3575" s="154">
        <f t="shared" si="137"/>
        <v>0</v>
      </c>
      <c r="H3575" s="154"/>
      <c r="I3575" s="154"/>
      <c r="J3575" s="154">
        <f t="shared" si="138"/>
        <v>0.6</v>
      </c>
      <c r="K3575" s="154"/>
      <c r="L3575" s="154"/>
      <c r="M3575" s="154"/>
      <c r="N3575" s="154">
        <f t="shared" si="139"/>
        <v>2.9572566611769187</v>
      </c>
      <c r="O3575" s="154">
        <f t="shared" si="140"/>
        <v>0</v>
      </c>
    </row>
    <row r="3576" spans="1:15" x14ac:dyDescent="0.35">
      <c r="A3576" s="321"/>
      <c r="B3576" s="320" t="str">
        <f t="shared" si="136"/>
        <v>PV1-107</v>
      </c>
      <c r="C3576" s="153"/>
      <c r="D3576" s="154"/>
      <c r="E3576" s="154">
        <f t="shared" si="137"/>
        <v>1.8</v>
      </c>
      <c r="F3576" s="154">
        <f t="shared" si="137"/>
        <v>1.8</v>
      </c>
      <c r="G3576" s="154">
        <f t="shared" si="137"/>
        <v>0</v>
      </c>
      <c r="H3576" s="154"/>
      <c r="I3576" s="154"/>
      <c r="J3576" s="154">
        <f t="shared" si="138"/>
        <v>0.6</v>
      </c>
      <c r="K3576" s="154"/>
      <c r="L3576" s="154"/>
      <c r="M3576" s="154"/>
      <c r="N3576" s="154">
        <f t="shared" si="139"/>
        <v>2.9572566611769187</v>
      </c>
      <c r="O3576" s="154">
        <f t="shared" si="140"/>
        <v>0</v>
      </c>
    </row>
    <row r="3577" spans="1:15" x14ac:dyDescent="0.35">
      <c r="A3577" s="321"/>
      <c r="B3577" s="320" t="str">
        <f t="shared" si="136"/>
        <v>PV2-107</v>
      </c>
      <c r="C3577" s="153"/>
      <c r="D3577" s="154"/>
      <c r="E3577" s="154">
        <f t="shared" si="137"/>
        <v>1.8</v>
      </c>
      <c r="F3577" s="154">
        <f t="shared" si="137"/>
        <v>1.8</v>
      </c>
      <c r="G3577" s="154">
        <f t="shared" si="137"/>
        <v>0</v>
      </c>
      <c r="H3577" s="154"/>
      <c r="I3577" s="154"/>
      <c r="J3577" s="154">
        <f t="shared" si="138"/>
        <v>0.6</v>
      </c>
      <c r="K3577" s="154"/>
      <c r="L3577" s="154"/>
      <c r="M3577" s="154"/>
      <c r="N3577" s="154">
        <f t="shared" si="139"/>
        <v>2.9572566611769187</v>
      </c>
      <c r="O3577" s="154">
        <f t="shared" si="140"/>
        <v>0</v>
      </c>
    </row>
    <row r="3578" spans="1:15" x14ac:dyDescent="0.35">
      <c r="A3578" s="321"/>
      <c r="B3578" s="320" t="str">
        <f t="shared" si="136"/>
        <v>PV3-107</v>
      </c>
      <c r="C3578" s="153"/>
      <c r="D3578" s="154"/>
      <c r="E3578" s="154">
        <f t="shared" si="137"/>
        <v>1.8</v>
      </c>
      <c r="F3578" s="154">
        <f t="shared" si="137"/>
        <v>1.8</v>
      </c>
      <c r="G3578" s="154">
        <f t="shared" si="137"/>
        <v>0</v>
      </c>
      <c r="H3578" s="154"/>
      <c r="I3578" s="154"/>
      <c r="J3578" s="154">
        <f t="shared" si="138"/>
        <v>0.6</v>
      </c>
      <c r="K3578" s="154"/>
      <c r="L3578" s="154"/>
      <c r="M3578" s="154"/>
      <c r="N3578" s="154">
        <f t="shared" si="139"/>
        <v>2.9572566611769187</v>
      </c>
      <c r="O3578" s="154">
        <f t="shared" si="140"/>
        <v>0</v>
      </c>
    </row>
    <row r="3579" spans="1:15" x14ac:dyDescent="0.35">
      <c r="A3579" s="321"/>
      <c r="B3579" s="320" t="str">
        <f t="shared" si="136"/>
        <v>PV1-108</v>
      </c>
      <c r="C3579" s="153"/>
      <c r="D3579" s="154"/>
      <c r="E3579" s="154">
        <f t="shared" ref="E3579:G3598" si="141">E3508</f>
        <v>1.8</v>
      </c>
      <c r="F3579" s="154">
        <f t="shared" si="141"/>
        <v>1.8</v>
      </c>
      <c r="G3579" s="154">
        <f t="shared" si="141"/>
        <v>0</v>
      </c>
      <c r="H3579" s="154"/>
      <c r="I3579" s="154"/>
      <c r="J3579" s="154">
        <f t="shared" si="138"/>
        <v>0.6</v>
      </c>
      <c r="K3579" s="154"/>
      <c r="L3579" s="154"/>
      <c r="M3579" s="154"/>
      <c r="N3579" s="154">
        <f t="shared" si="139"/>
        <v>2.9572566611769187</v>
      </c>
      <c r="O3579" s="154">
        <f t="shared" si="140"/>
        <v>0</v>
      </c>
    </row>
    <row r="3580" spans="1:15" x14ac:dyDescent="0.35">
      <c r="A3580" s="321"/>
      <c r="B3580" s="320" t="str">
        <f t="shared" si="136"/>
        <v>PV2-108</v>
      </c>
      <c r="C3580" s="153"/>
      <c r="D3580" s="154"/>
      <c r="E3580" s="154">
        <f t="shared" si="141"/>
        <v>1.8</v>
      </c>
      <c r="F3580" s="154">
        <f t="shared" si="141"/>
        <v>1.8</v>
      </c>
      <c r="G3580" s="154">
        <f t="shared" si="141"/>
        <v>0</v>
      </c>
      <c r="H3580" s="154"/>
      <c r="I3580" s="154"/>
      <c r="J3580" s="154">
        <f t="shared" si="138"/>
        <v>0.6</v>
      </c>
      <c r="K3580" s="154"/>
      <c r="L3580" s="154"/>
      <c r="M3580" s="154"/>
      <c r="N3580" s="154">
        <f t="shared" si="139"/>
        <v>2.9572566611769187</v>
      </c>
      <c r="O3580" s="154">
        <f t="shared" si="140"/>
        <v>0</v>
      </c>
    </row>
    <row r="3581" spans="1:15" x14ac:dyDescent="0.35">
      <c r="A3581" s="321"/>
      <c r="B3581" s="320" t="str">
        <f t="shared" si="136"/>
        <v>PV3-108</v>
      </c>
      <c r="C3581" s="153"/>
      <c r="D3581" s="154"/>
      <c r="E3581" s="154">
        <f t="shared" si="141"/>
        <v>1.8</v>
      </c>
      <c r="F3581" s="154">
        <f t="shared" si="141"/>
        <v>1.8</v>
      </c>
      <c r="G3581" s="154">
        <f t="shared" si="141"/>
        <v>0</v>
      </c>
      <c r="H3581" s="154"/>
      <c r="I3581" s="154"/>
      <c r="J3581" s="154">
        <f t="shared" si="138"/>
        <v>0.6</v>
      </c>
      <c r="K3581" s="154"/>
      <c r="L3581" s="154"/>
      <c r="M3581" s="154"/>
      <c r="N3581" s="154">
        <f t="shared" si="139"/>
        <v>2.9572566611769187</v>
      </c>
      <c r="O3581" s="154">
        <f t="shared" si="140"/>
        <v>0</v>
      </c>
    </row>
    <row r="3582" spans="1:15" x14ac:dyDescent="0.35">
      <c r="A3582" s="321"/>
      <c r="B3582" s="320" t="str">
        <f t="shared" si="136"/>
        <v>PV1-109</v>
      </c>
      <c r="C3582" s="153"/>
      <c r="D3582" s="154"/>
      <c r="E3582" s="154">
        <f t="shared" si="141"/>
        <v>1.8</v>
      </c>
      <c r="F3582" s="154">
        <f t="shared" si="141"/>
        <v>1.8</v>
      </c>
      <c r="G3582" s="154">
        <f t="shared" si="141"/>
        <v>0</v>
      </c>
      <c r="H3582" s="154"/>
      <c r="I3582" s="154"/>
      <c r="J3582" s="154">
        <f t="shared" si="138"/>
        <v>0.6</v>
      </c>
      <c r="K3582" s="154"/>
      <c r="L3582" s="154"/>
      <c r="M3582" s="154"/>
      <c r="N3582" s="154">
        <f t="shared" si="139"/>
        <v>2.9572566611769187</v>
      </c>
      <c r="O3582" s="154">
        <f t="shared" si="140"/>
        <v>0</v>
      </c>
    </row>
    <row r="3583" spans="1:15" x14ac:dyDescent="0.35">
      <c r="A3583" s="321"/>
      <c r="B3583" s="320" t="str">
        <f t="shared" si="136"/>
        <v>PV2-109</v>
      </c>
      <c r="C3583" s="153"/>
      <c r="D3583" s="154"/>
      <c r="E3583" s="154">
        <f t="shared" si="141"/>
        <v>1.8</v>
      </c>
      <c r="F3583" s="154">
        <f t="shared" si="141"/>
        <v>1.8</v>
      </c>
      <c r="G3583" s="154">
        <f t="shared" si="141"/>
        <v>0</v>
      </c>
      <c r="H3583" s="154"/>
      <c r="I3583" s="154"/>
      <c r="J3583" s="154">
        <f t="shared" si="138"/>
        <v>0.6</v>
      </c>
      <c r="K3583" s="154"/>
      <c r="L3583" s="154"/>
      <c r="M3583" s="154"/>
      <c r="N3583" s="154">
        <f t="shared" si="139"/>
        <v>2.9572566611769187</v>
      </c>
      <c r="O3583" s="154">
        <f t="shared" si="140"/>
        <v>0</v>
      </c>
    </row>
    <row r="3584" spans="1:15" x14ac:dyDescent="0.35">
      <c r="A3584" s="321"/>
      <c r="B3584" s="320" t="str">
        <f t="shared" si="136"/>
        <v>PV3-109</v>
      </c>
      <c r="C3584" s="153"/>
      <c r="D3584" s="154"/>
      <c r="E3584" s="154">
        <f t="shared" si="141"/>
        <v>1.8</v>
      </c>
      <c r="F3584" s="154">
        <f t="shared" si="141"/>
        <v>1.8</v>
      </c>
      <c r="G3584" s="154">
        <f t="shared" si="141"/>
        <v>0</v>
      </c>
      <c r="H3584" s="154"/>
      <c r="I3584" s="154"/>
      <c r="J3584" s="154">
        <f t="shared" si="138"/>
        <v>0.6</v>
      </c>
      <c r="K3584" s="154"/>
      <c r="L3584" s="154"/>
      <c r="M3584" s="154"/>
      <c r="N3584" s="154">
        <f t="shared" si="139"/>
        <v>2.9572566611769187</v>
      </c>
      <c r="O3584" s="154">
        <f t="shared" si="140"/>
        <v>0</v>
      </c>
    </row>
    <row r="3585" spans="1:15" x14ac:dyDescent="0.35">
      <c r="A3585" s="321"/>
      <c r="B3585" s="320" t="str">
        <f t="shared" si="136"/>
        <v>PV1-110</v>
      </c>
      <c r="C3585" s="153"/>
      <c r="D3585" s="154"/>
      <c r="E3585" s="154">
        <f t="shared" si="141"/>
        <v>1.8</v>
      </c>
      <c r="F3585" s="154">
        <f t="shared" si="141"/>
        <v>1.8</v>
      </c>
      <c r="G3585" s="154">
        <f t="shared" si="141"/>
        <v>0</v>
      </c>
      <c r="H3585" s="154"/>
      <c r="I3585" s="154"/>
      <c r="J3585" s="154">
        <f t="shared" si="138"/>
        <v>0.6</v>
      </c>
      <c r="K3585" s="154"/>
      <c r="L3585" s="154"/>
      <c r="M3585" s="154"/>
      <c r="N3585" s="154">
        <f t="shared" si="139"/>
        <v>2.9572566611769187</v>
      </c>
      <c r="O3585" s="154">
        <f t="shared" si="140"/>
        <v>0</v>
      </c>
    </row>
    <row r="3586" spans="1:15" x14ac:dyDescent="0.35">
      <c r="A3586" s="321"/>
      <c r="B3586" s="320" t="str">
        <f t="shared" si="136"/>
        <v>PV2-110</v>
      </c>
      <c r="C3586" s="153"/>
      <c r="D3586" s="154"/>
      <c r="E3586" s="154">
        <f t="shared" si="141"/>
        <v>1.8</v>
      </c>
      <c r="F3586" s="154">
        <f t="shared" si="141"/>
        <v>1.8</v>
      </c>
      <c r="G3586" s="154">
        <f t="shared" si="141"/>
        <v>0</v>
      </c>
      <c r="H3586" s="154"/>
      <c r="I3586" s="154"/>
      <c r="J3586" s="154">
        <f t="shared" si="138"/>
        <v>0.6</v>
      </c>
      <c r="K3586" s="154"/>
      <c r="L3586" s="154"/>
      <c r="M3586" s="154"/>
      <c r="N3586" s="154">
        <f t="shared" si="139"/>
        <v>2.9572566611769187</v>
      </c>
      <c r="O3586" s="154">
        <f t="shared" si="140"/>
        <v>0</v>
      </c>
    </row>
    <row r="3587" spans="1:15" x14ac:dyDescent="0.35">
      <c r="A3587" s="321"/>
      <c r="B3587" s="320" t="str">
        <f t="shared" si="136"/>
        <v>PV3-110</v>
      </c>
      <c r="C3587" s="153"/>
      <c r="D3587" s="154"/>
      <c r="E3587" s="154">
        <f t="shared" si="141"/>
        <v>1.8</v>
      </c>
      <c r="F3587" s="154">
        <f t="shared" si="141"/>
        <v>1.8</v>
      </c>
      <c r="G3587" s="154">
        <f t="shared" si="141"/>
        <v>0</v>
      </c>
      <c r="H3587" s="154"/>
      <c r="I3587" s="154"/>
      <c r="J3587" s="154">
        <f t="shared" si="138"/>
        <v>0.6</v>
      </c>
      <c r="K3587" s="154"/>
      <c r="L3587" s="154"/>
      <c r="M3587" s="154"/>
      <c r="N3587" s="154">
        <f t="shared" si="139"/>
        <v>2.9572566611769187</v>
      </c>
      <c r="O3587" s="154">
        <f t="shared" si="140"/>
        <v>0</v>
      </c>
    </row>
    <row r="3588" spans="1:15" x14ac:dyDescent="0.35">
      <c r="A3588" s="321"/>
      <c r="B3588" s="320" t="str">
        <f t="shared" si="136"/>
        <v>PV1-111</v>
      </c>
      <c r="C3588" s="153"/>
      <c r="D3588" s="154"/>
      <c r="E3588" s="154">
        <f t="shared" si="141"/>
        <v>1.8</v>
      </c>
      <c r="F3588" s="154">
        <f t="shared" si="141"/>
        <v>1.8</v>
      </c>
      <c r="G3588" s="154">
        <f t="shared" si="141"/>
        <v>0</v>
      </c>
      <c r="H3588" s="154"/>
      <c r="I3588" s="154"/>
      <c r="J3588" s="154">
        <f t="shared" si="138"/>
        <v>0.6</v>
      </c>
      <c r="K3588" s="154"/>
      <c r="L3588" s="154"/>
      <c r="M3588" s="154"/>
      <c r="N3588" s="154">
        <f t="shared" si="139"/>
        <v>2.9572566611769187</v>
      </c>
      <c r="O3588" s="154">
        <f t="shared" si="140"/>
        <v>0</v>
      </c>
    </row>
    <row r="3589" spans="1:15" x14ac:dyDescent="0.35">
      <c r="A3589" s="321"/>
      <c r="B3589" s="320" t="str">
        <f t="shared" si="136"/>
        <v>PV2-111</v>
      </c>
      <c r="C3589" s="153"/>
      <c r="D3589" s="154"/>
      <c r="E3589" s="154">
        <f t="shared" si="141"/>
        <v>1.8</v>
      </c>
      <c r="F3589" s="154">
        <f t="shared" si="141"/>
        <v>1.8</v>
      </c>
      <c r="G3589" s="154">
        <f t="shared" si="141"/>
        <v>0</v>
      </c>
      <c r="H3589" s="154"/>
      <c r="I3589" s="154"/>
      <c r="J3589" s="154">
        <f t="shared" si="138"/>
        <v>0.6</v>
      </c>
      <c r="K3589" s="154"/>
      <c r="L3589" s="154"/>
      <c r="M3589" s="154"/>
      <c r="N3589" s="154">
        <f t="shared" si="139"/>
        <v>2.9572566611769187</v>
      </c>
      <c r="O3589" s="154">
        <f t="shared" si="140"/>
        <v>0</v>
      </c>
    </row>
    <row r="3590" spans="1:15" x14ac:dyDescent="0.35">
      <c r="A3590" s="321"/>
      <c r="B3590" s="320" t="str">
        <f t="shared" ref="B3590:B3621" si="142">B3519</f>
        <v>PV3-111</v>
      </c>
      <c r="C3590" s="153"/>
      <c r="D3590" s="154"/>
      <c r="E3590" s="154">
        <f t="shared" si="141"/>
        <v>1.8</v>
      </c>
      <c r="F3590" s="154">
        <f t="shared" si="141"/>
        <v>1.8</v>
      </c>
      <c r="G3590" s="154">
        <f t="shared" si="141"/>
        <v>0</v>
      </c>
      <c r="H3590" s="154"/>
      <c r="I3590" s="154"/>
      <c r="J3590" s="154">
        <f t="shared" si="138"/>
        <v>0.6</v>
      </c>
      <c r="K3590" s="154"/>
      <c r="L3590" s="154"/>
      <c r="M3590" s="154"/>
      <c r="N3590" s="154">
        <f t="shared" si="139"/>
        <v>2.9572566611769187</v>
      </c>
      <c r="O3590" s="154">
        <f t="shared" si="140"/>
        <v>0</v>
      </c>
    </row>
    <row r="3591" spans="1:15" x14ac:dyDescent="0.35">
      <c r="A3591" s="321"/>
      <c r="B3591" s="320" t="str">
        <f t="shared" si="142"/>
        <v>PV4-111</v>
      </c>
      <c r="C3591" s="153"/>
      <c r="D3591" s="154"/>
      <c r="E3591" s="154">
        <f t="shared" si="141"/>
        <v>1.8</v>
      </c>
      <c r="F3591" s="154">
        <f t="shared" si="141"/>
        <v>1.8</v>
      </c>
      <c r="G3591" s="154">
        <f t="shared" si="141"/>
        <v>0</v>
      </c>
      <c r="H3591" s="154"/>
      <c r="I3591" s="154"/>
      <c r="J3591" s="154">
        <f t="shared" ref="J3591:J3622" si="143">J3520</f>
        <v>0.6</v>
      </c>
      <c r="K3591" s="154"/>
      <c r="L3591" s="154"/>
      <c r="M3591" s="154"/>
      <c r="N3591" s="154">
        <f t="shared" ref="N3591:N3624" si="144">(E3591*F3591)-(PI()*(J3591/2)^2)</f>
        <v>2.9572566611769187</v>
      </c>
      <c r="O3591" s="154">
        <f t="shared" ref="O3591:O3622" si="145">N3591*G3591</f>
        <v>0</v>
      </c>
    </row>
    <row r="3592" spans="1:15" x14ac:dyDescent="0.35">
      <c r="A3592" s="321"/>
      <c r="B3592" s="320" t="str">
        <f t="shared" si="142"/>
        <v>PV5-111</v>
      </c>
      <c r="C3592" s="153"/>
      <c r="D3592" s="154"/>
      <c r="E3592" s="154">
        <f t="shared" si="141"/>
        <v>1.8</v>
      </c>
      <c r="F3592" s="154">
        <f t="shared" si="141"/>
        <v>1.8</v>
      </c>
      <c r="G3592" s="154">
        <f t="shared" si="141"/>
        <v>0</v>
      </c>
      <c r="H3592" s="154"/>
      <c r="I3592" s="154"/>
      <c r="J3592" s="154">
        <f t="shared" si="143"/>
        <v>0.6</v>
      </c>
      <c r="K3592" s="154"/>
      <c r="L3592" s="154"/>
      <c r="M3592" s="154"/>
      <c r="N3592" s="154">
        <f t="shared" si="144"/>
        <v>2.9572566611769187</v>
      </c>
      <c r="O3592" s="154">
        <f t="shared" si="145"/>
        <v>0</v>
      </c>
    </row>
    <row r="3593" spans="1:15" x14ac:dyDescent="0.35">
      <c r="A3593" s="321"/>
      <c r="B3593" s="320" t="str">
        <f t="shared" si="142"/>
        <v>PV7-111</v>
      </c>
      <c r="C3593" s="153"/>
      <c r="D3593" s="154"/>
      <c r="E3593" s="154">
        <f t="shared" si="141"/>
        <v>1.8</v>
      </c>
      <c r="F3593" s="154">
        <f t="shared" si="141"/>
        <v>1.8</v>
      </c>
      <c r="G3593" s="154">
        <f t="shared" si="141"/>
        <v>0.36700000000000005</v>
      </c>
      <c r="H3593" s="154"/>
      <c r="I3593" s="154"/>
      <c r="J3593" s="154">
        <f t="shared" si="143"/>
        <v>0.6</v>
      </c>
      <c r="K3593" s="154"/>
      <c r="L3593" s="154"/>
      <c r="M3593" s="154"/>
      <c r="N3593" s="154">
        <f t="shared" si="144"/>
        <v>2.9572566611769187</v>
      </c>
      <c r="O3593" s="154">
        <f t="shared" si="145"/>
        <v>1.0853131946519292</v>
      </c>
    </row>
    <row r="3594" spans="1:15" x14ac:dyDescent="0.35">
      <c r="A3594" s="321"/>
      <c r="B3594" s="320" t="str">
        <f t="shared" si="142"/>
        <v>PV8-111</v>
      </c>
      <c r="C3594" s="153"/>
      <c r="D3594" s="154"/>
      <c r="E3594" s="154">
        <f t="shared" si="141"/>
        <v>1.8</v>
      </c>
      <c r="F3594" s="154">
        <f t="shared" si="141"/>
        <v>1.8</v>
      </c>
      <c r="G3594" s="154">
        <f t="shared" si="141"/>
        <v>0</v>
      </c>
      <c r="H3594" s="154"/>
      <c r="I3594" s="154"/>
      <c r="J3594" s="154">
        <f t="shared" si="143"/>
        <v>0.6</v>
      </c>
      <c r="K3594" s="154"/>
      <c r="L3594" s="154"/>
      <c r="M3594" s="154"/>
      <c r="N3594" s="154">
        <f t="shared" si="144"/>
        <v>2.9572566611769187</v>
      </c>
      <c r="O3594" s="154">
        <f t="shared" si="145"/>
        <v>0</v>
      </c>
    </row>
    <row r="3595" spans="1:15" x14ac:dyDescent="0.35">
      <c r="A3595" s="321"/>
      <c r="B3595" s="320" t="str">
        <f t="shared" si="142"/>
        <v>PV9-111</v>
      </c>
      <c r="C3595" s="153"/>
      <c r="D3595" s="154"/>
      <c r="E3595" s="154">
        <f t="shared" si="141"/>
        <v>1.8</v>
      </c>
      <c r="F3595" s="154">
        <f t="shared" si="141"/>
        <v>1.8</v>
      </c>
      <c r="G3595" s="154">
        <f t="shared" si="141"/>
        <v>0</v>
      </c>
      <c r="H3595" s="154"/>
      <c r="I3595" s="154"/>
      <c r="J3595" s="154">
        <f t="shared" si="143"/>
        <v>0.6</v>
      </c>
      <c r="K3595" s="154"/>
      <c r="L3595" s="154"/>
      <c r="M3595" s="154"/>
      <c r="N3595" s="154">
        <f t="shared" si="144"/>
        <v>2.9572566611769187</v>
      </c>
      <c r="O3595" s="154">
        <f t="shared" si="145"/>
        <v>0</v>
      </c>
    </row>
    <row r="3596" spans="1:15" x14ac:dyDescent="0.35">
      <c r="A3596" s="321"/>
      <c r="B3596" s="320" t="str">
        <f t="shared" si="142"/>
        <v>PV10-111</v>
      </c>
      <c r="C3596" s="153"/>
      <c r="D3596" s="154"/>
      <c r="E3596" s="154">
        <f t="shared" si="141"/>
        <v>1.8</v>
      </c>
      <c r="F3596" s="154">
        <f t="shared" si="141"/>
        <v>1.8</v>
      </c>
      <c r="G3596" s="154">
        <f t="shared" si="141"/>
        <v>0</v>
      </c>
      <c r="H3596" s="154"/>
      <c r="I3596" s="154"/>
      <c r="J3596" s="154">
        <f t="shared" si="143"/>
        <v>0.6</v>
      </c>
      <c r="K3596" s="154"/>
      <c r="L3596" s="154"/>
      <c r="M3596" s="154"/>
      <c r="N3596" s="154">
        <f t="shared" si="144"/>
        <v>2.9572566611769187</v>
      </c>
      <c r="O3596" s="154">
        <f t="shared" si="145"/>
        <v>0</v>
      </c>
    </row>
    <row r="3597" spans="1:15" x14ac:dyDescent="0.35">
      <c r="A3597" s="321"/>
      <c r="B3597" s="320" t="str">
        <f t="shared" si="142"/>
        <v>PV1-112</v>
      </c>
      <c r="C3597" s="153"/>
      <c r="D3597" s="154"/>
      <c r="E3597" s="154">
        <f t="shared" si="141"/>
        <v>1.8</v>
      </c>
      <c r="F3597" s="154">
        <f t="shared" si="141"/>
        <v>1.8</v>
      </c>
      <c r="G3597" s="154">
        <f t="shared" si="141"/>
        <v>0</v>
      </c>
      <c r="H3597" s="154"/>
      <c r="I3597" s="154"/>
      <c r="J3597" s="154">
        <f t="shared" si="143"/>
        <v>0.6</v>
      </c>
      <c r="K3597" s="154"/>
      <c r="L3597" s="154"/>
      <c r="M3597" s="154"/>
      <c r="N3597" s="154">
        <f t="shared" si="144"/>
        <v>2.9572566611769187</v>
      </c>
      <c r="O3597" s="154">
        <f t="shared" si="145"/>
        <v>0</v>
      </c>
    </row>
    <row r="3598" spans="1:15" x14ac:dyDescent="0.35">
      <c r="A3598" s="321"/>
      <c r="B3598" s="320" t="str">
        <f t="shared" si="142"/>
        <v>PV2-112</v>
      </c>
      <c r="C3598" s="153"/>
      <c r="D3598" s="154"/>
      <c r="E3598" s="154">
        <f t="shared" si="141"/>
        <v>1.8</v>
      </c>
      <c r="F3598" s="154">
        <f t="shared" si="141"/>
        <v>1.8</v>
      </c>
      <c r="G3598" s="154">
        <f t="shared" si="141"/>
        <v>0</v>
      </c>
      <c r="H3598" s="154"/>
      <c r="I3598" s="154"/>
      <c r="J3598" s="154">
        <f t="shared" si="143"/>
        <v>0.6</v>
      </c>
      <c r="K3598" s="154"/>
      <c r="L3598" s="154"/>
      <c r="M3598" s="154"/>
      <c r="N3598" s="154">
        <f t="shared" si="144"/>
        <v>2.9572566611769187</v>
      </c>
      <c r="O3598" s="154">
        <f t="shared" si="145"/>
        <v>0</v>
      </c>
    </row>
    <row r="3599" spans="1:15" x14ac:dyDescent="0.35">
      <c r="A3599" s="321"/>
      <c r="B3599" s="320" t="str">
        <f t="shared" si="142"/>
        <v>PV3-112</v>
      </c>
      <c r="C3599" s="153"/>
      <c r="D3599" s="154"/>
      <c r="E3599" s="154">
        <f t="shared" ref="E3599:G3618" si="146">E3528</f>
        <v>1.8</v>
      </c>
      <c r="F3599" s="154">
        <f t="shared" si="146"/>
        <v>1.8</v>
      </c>
      <c r="G3599" s="154">
        <f t="shared" si="146"/>
        <v>0</v>
      </c>
      <c r="H3599" s="154"/>
      <c r="I3599" s="154"/>
      <c r="J3599" s="154">
        <f t="shared" si="143"/>
        <v>0.6</v>
      </c>
      <c r="K3599" s="154"/>
      <c r="L3599" s="154"/>
      <c r="M3599" s="154"/>
      <c r="N3599" s="154">
        <f t="shared" si="144"/>
        <v>2.9572566611769187</v>
      </c>
      <c r="O3599" s="154">
        <f t="shared" si="145"/>
        <v>0</v>
      </c>
    </row>
    <row r="3600" spans="1:15" x14ac:dyDescent="0.35">
      <c r="A3600" s="321"/>
      <c r="B3600" s="320" t="str">
        <f t="shared" si="142"/>
        <v>PV1-113</v>
      </c>
      <c r="C3600" s="153"/>
      <c r="D3600" s="154"/>
      <c r="E3600" s="154">
        <f t="shared" si="146"/>
        <v>1.8</v>
      </c>
      <c r="F3600" s="154">
        <f t="shared" si="146"/>
        <v>1.8</v>
      </c>
      <c r="G3600" s="154">
        <f t="shared" si="146"/>
        <v>0</v>
      </c>
      <c r="H3600" s="154"/>
      <c r="I3600" s="154"/>
      <c r="J3600" s="154">
        <f t="shared" si="143"/>
        <v>0.6</v>
      </c>
      <c r="K3600" s="154"/>
      <c r="L3600" s="154"/>
      <c r="M3600" s="154"/>
      <c r="N3600" s="154">
        <f t="shared" si="144"/>
        <v>2.9572566611769187</v>
      </c>
      <c r="O3600" s="154">
        <f t="shared" si="145"/>
        <v>0</v>
      </c>
    </row>
    <row r="3601" spans="1:15" x14ac:dyDescent="0.35">
      <c r="A3601" s="321"/>
      <c r="B3601" s="320" t="str">
        <f t="shared" si="142"/>
        <v>PV2-113</v>
      </c>
      <c r="C3601" s="153"/>
      <c r="D3601" s="154"/>
      <c r="E3601" s="154">
        <f t="shared" si="146"/>
        <v>1.8</v>
      </c>
      <c r="F3601" s="154">
        <f t="shared" si="146"/>
        <v>1.8</v>
      </c>
      <c r="G3601" s="154">
        <f t="shared" si="146"/>
        <v>0</v>
      </c>
      <c r="H3601" s="154"/>
      <c r="I3601" s="154"/>
      <c r="J3601" s="154">
        <f t="shared" si="143"/>
        <v>0.6</v>
      </c>
      <c r="K3601" s="154"/>
      <c r="L3601" s="154"/>
      <c r="M3601" s="154"/>
      <c r="N3601" s="154">
        <f t="shared" si="144"/>
        <v>2.9572566611769187</v>
      </c>
      <c r="O3601" s="154">
        <f t="shared" si="145"/>
        <v>0</v>
      </c>
    </row>
    <row r="3602" spans="1:15" x14ac:dyDescent="0.35">
      <c r="A3602" s="321"/>
      <c r="B3602" s="320" t="str">
        <f t="shared" si="142"/>
        <v>PV3-113</v>
      </c>
      <c r="C3602" s="153"/>
      <c r="D3602" s="154"/>
      <c r="E3602" s="154">
        <f t="shared" si="146"/>
        <v>1.8</v>
      </c>
      <c r="F3602" s="154">
        <f t="shared" si="146"/>
        <v>1.8</v>
      </c>
      <c r="G3602" s="154">
        <f t="shared" si="146"/>
        <v>0</v>
      </c>
      <c r="H3602" s="154"/>
      <c r="I3602" s="154"/>
      <c r="J3602" s="154">
        <f t="shared" si="143"/>
        <v>0.6</v>
      </c>
      <c r="K3602" s="154"/>
      <c r="L3602" s="154"/>
      <c r="M3602" s="154"/>
      <c r="N3602" s="154">
        <f t="shared" si="144"/>
        <v>2.9572566611769187</v>
      </c>
      <c r="O3602" s="154">
        <f t="shared" si="145"/>
        <v>0</v>
      </c>
    </row>
    <row r="3603" spans="1:15" x14ac:dyDescent="0.35">
      <c r="A3603" s="321"/>
      <c r="B3603" s="320" t="str">
        <f t="shared" si="142"/>
        <v>PV1-114</v>
      </c>
      <c r="C3603" s="153"/>
      <c r="D3603" s="154"/>
      <c r="E3603" s="154">
        <f t="shared" si="146"/>
        <v>1.8</v>
      </c>
      <c r="F3603" s="154">
        <f t="shared" si="146"/>
        <v>1.8</v>
      </c>
      <c r="G3603" s="154">
        <f t="shared" si="146"/>
        <v>0</v>
      </c>
      <c r="H3603" s="154"/>
      <c r="I3603" s="154"/>
      <c r="J3603" s="154">
        <f t="shared" si="143"/>
        <v>0.6</v>
      </c>
      <c r="K3603" s="154"/>
      <c r="L3603" s="154"/>
      <c r="M3603" s="154"/>
      <c r="N3603" s="154">
        <f t="shared" si="144"/>
        <v>2.9572566611769187</v>
      </c>
      <c r="O3603" s="154">
        <f t="shared" si="145"/>
        <v>0</v>
      </c>
    </row>
    <row r="3604" spans="1:15" x14ac:dyDescent="0.35">
      <c r="A3604" s="321"/>
      <c r="B3604" s="320" t="str">
        <f t="shared" si="142"/>
        <v>PV2-114</v>
      </c>
      <c r="C3604" s="153"/>
      <c r="D3604" s="154"/>
      <c r="E3604" s="154">
        <f t="shared" si="146"/>
        <v>1.8</v>
      </c>
      <c r="F3604" s="154">
        <f t="shared" si="146"/>
        <v>1.8</v>
      </c>
      <c r="G3604" s="154">
        <f t="shared" si="146"/>
        <v>0</v>
      </c>
      <c r="H3604" s="154"/>
      <c r="I3604" s="154"/>
      <c r="J3604" s="154">
        <f t="shared" si="143"/>
        <v>0.6</v>
      </c>
      <c r="K3604" s="154"/>
      <c r="L3604" s="154"/>
      <c r="M3604" s="154"/>
      <c r="N3604" s="154">
        <f t="shared" si="144"/>
        <v>2.9572566611769187</v>
      </c>
      <c r="O3604" s="154">
        <f t="shared" si="145"/>
        <v>0</v>
      </c>
    </row>
    <row r="3605" spans="1:15" x14ac:dyDescent="0.35">
      <c r="A3605" s="321"/>
      <c r="B3605" s="320" t="str">
        <f t="shared" si="142"/>
        <v>PV3-114</v>
      </c>
      <c r="C3605" s="153"/>
      <c r="D3605" s="154"/>
      <c r="E3605" s="154">
        <f t="shared" si="146"/>
        <v>1.8</v>
      </c>
      <c r="F3605" s="154">
        <f t="shared" si="146"/>
        <v>1.8</v>
      </c>
      <c r="G3605" s="154">
        <f t="shared" si="146"/>
        <v>0</v>
      </c>
      <c r="H3605" s="154"/>
      <c r="I3605" s="154"/>
      <c r="J3605" s="154">
        <f t="shared" si="143"/>
        <v>0.6</v>
      </c>
      <c r="K3605" s="154"/>
      <c r="L3605" s="154"/>
      <c r="M3605" s="154"/>
      <c r="N3605" s="154">
        <f t="shared" si="144"/>
        <v>2.9572566611769187</v>
      </c>
      <c r="O3605" s="154">
        <f t="shared" si="145"/>
        <v>0</v>
      </c>
    </row>
    <row r="3606" spans="1:15" x14ac:dyDescent="0.35">
      <c r="A3606" s="321"/>
      <c r="B3606" s="320" t="str">
        <f t="shared" si="142"/>
        <v>PV1-115</v>
      </c>
      <c r="C3606" s="153"/>
      <c r="D3606" s="154"/>
      <c r="E3606" s="154">
        <f t="shared" si="146"/>
        <v>1.8</v>
      </c>
      <c r="F3606" s="154">
        <f t="shared" si="146"/>
        <v>1.8</v>
      </c>
      <c r="G3606" s="154">
        <f t="shared" si="146"/>
        <v>0</v>
      </c>
      <c r="H3606" s="154"/>
      <c r="I3606" s="154"/>
      <c r="J3606" s="154">
        <f t="shared" si="143"/>
        <v>0.6</v>
      </c>
      <c r="K3606" s="154"/>
      <c r="L3606" s="154"/>
      <c r="M3606" s="154"/>
      <c r="N3606" s="154">
        <f t="shared" si="144"/>
        <v>2.9572566611769187</v>
      </c>
      <c r="O3606" s="154">
        <f t="shared" si="145"/>
        <v>0</v>
      </c>
    </row>
    <row r="3607" spans="1:15" x14ac:dyDescent="0.35">
      <c r="A3607" s="321"/>
      <c r="B3607" s="320" t="str">
        <f t="shared" si="142"/>
        <v>PV2-115</v>
      </c>
      <c r="C3607" s="153"/>
      <c r="D3607" s="154"/>
      <c r="E3607" s="154">
        <f t="shared" si="146"/>
        <v>1.8</v>
      </c>
      <c r="F3607" s="154">
        <f t="shared" si="146"/>
        <v>1.8</v>
      </c>
      <c r="G3607" s="154">
        <f t="shared" si="146"/>
        <v>0</v>
      </c>
      <c r="H3607" s="154"/>
      <c r="I3607" s="154"/>
      <c r="J3607" s="154">
        <f t="shared" si="143"/>
        <v>0.6</v>
      </c>
      <c r="K3607" s="154"/>
      <c r="L3607" s="154"/>
      <c r="M3607" s="154"/>
      <c r="N3607" s="154">
        <f t="shared" si="144"/>
        <v>2.9572566611769187</v>
      </c>
      <c r="O3607" s="154">
        <f t="shared" si="145"/>
        <v>0</v>
      </c>
    </row>
    <row r="3608" spans="1:15" x14ac:dyDescent="0.35">
      <c r="A3608" s="321"/>
      <c r="B3608" s="320" t="str">
        <f t="shared" si="142"/>
        <v>PV3-115</v>
      </c>
      <c r="C3608" s="153"/>
      <c r="D3608" s="154"/>
      <c r="E3608" s="154">
        <f t="shared" si="146"/>
        <v>1.8</v>
      </c>
      <c r="F3608" s="154">
        <f t="shared" si="146"/>
        <v>1.8</v>
      </c>
      <c r="G3608" s="154">
        <f t="shared" si="146"/>
        <v>0</v>
      </c>
      <c r="H3608" s="154"/>
      <c r="I3608" s="154"/>
      <c r="J3608" s="154">
        <f t="shared" si="143"/>
        <v>0.6</v>
      </c>
      <c r="K3608" s="154"/>
      <c r="L3608" s="154"/>
      <c r="M3608" s="154"/>
      <c r="N3608" s="154">
        <f t="shared" si="144"/>
        <v>2.9572566611769187</v>
      </c>
      <c r="O3608" s="154">
        <f t="shared" si="145"/>
        <v>0</v>
      </c>
    </row>
    <row r="3609" spans="1:15" x14ac:dyDescent="0.35">
      <c r="A3609" s="321"/>
      <c r="B3609" s="320" t="str">
        <f t="shared" si="142"/>
        <v>PV4-115</v>
      </c>
      <c r="C3609" s="153"/>
      <c r="D3609" s="154"/>
      <c r="E3609" s="154">
        <f t="shared" si="146"/>
        <v>1.8</v>
      </c>
      <c r="F3609" s="154">
        <f t="shared" si="146"/>
        <v>1.8</v>
      </c>
      <c r="G3609" s="154">
        <f t="shared" si="146"/>
        <v>0</v>
      </c>
      <c r="H3609" s="154"/>
      <c r="I3609" s="154"/>
      <c r="J3609" s="154">
        <f t="shared" si="143"/>
        <v>0.6</v>
      </c>
      <c r="K3609" s="154"/>
      <c r="L3609" s="154"/>
      <c r="M3609" s="154"/>
      <c r="N3609" s="154">
        <f t="shared" si="144"/>
        <v>2.9572566611769187</v>
      </c>
      <c r="O3609" s="154">
        <f t="shared" si="145"/>
        <v>0</v>
      </c>
    </row>
    <row r="3610" spans="1:15" x14ac:dyDescent="0.35">
      <c r="A3610" s="321"/>
      <c r="B3610" s="320" t="str">
        <f t="shared" si="142"/>
        <v>PV5-115</v>
      </c>
      <c r="C3610" s="153"/>
      <c r="D3610" s="154"/>
      <c r="E3610" s="154">
        <f t="shared" si="146"/>
        <v>1.8</v>
      </c>
      <c r="F3610" s="154">
        <f t="shared" si="146"/>
        <v>1.8</v>
      </c>
      <c r="G3610" s="154">
        <f t="shared" si="146"/>
        <v>1.2</v>
      </c>
      <c r="H3610" s="154"/>
      <c r="I3610" s="154"/>
      <c r="J3610" s="154">
        <f t="shared" si="143"/>
        <v>0.6</v>
      </c>
      <c r="K3610" s="154"/>
      <c r="L3610" s="154"/>
      <c r="M3610" s="154"/>
      <c r="N3610" s="154">
        <f t="shared" si="144"/>
        <v>2.9572566611769187</v>
      </c>
      <c r="O3610" s="154">
        <f t="shared" si="145"/>
        <v>3.5487079934123025</v>
      </c>
    </row>
    <row r="3611" spans="1:15" x14ac:dyDescent="0.35">
      <c r="A3611" s="321"/>
      <c r="B3611" s="320" t="str">
        <f t="shared" si="142"/>
        <v>PV1-116</v>
      </c>
      <c r="C3611" s="153"/>
      <c r="D3611" s="154"/>
      <c r="E3611" s="154">
        <f t="shared" si="146"/>
        <v>1.8</v>
      </c>
      <c r="F3611" s="154">
        <f t="shared" si="146"/>
        <v>1.8</v>
      </c>
      <c r="G3611" s="154">
        <f t="shared" si="146"/>
        <v>0</v>
      </c>
      <c r="H3611" s="154"/>
      <c r="I3611" s="154"/>
      <c r="J3611" s="154">
        <f t="shared" si="143"/>
        <v>0.6</v>
      </c>
      <c r="K3611" s="154"/>
      <c r="L3611" s="154"/>
      <c r="M3611" s="154"/>
      <c r="N3611" s="154">
        <f t="shared" si="144"/>
        <v>2.9572566611769187</v>
      </c>
      <c r="O3611" s="154">
        <f t="shared" si="145"/>
        <v>0</v>
      </c>
    </row>
    <row r="3612" spans="1:15" x14ac:dyDescent="0.35">
      <c r="A3612" s="321"/>
      <c r="B3612" s="320" t="str">
        <f t="shared" si="142"/>
        <v>PV2-116</v>
      </c>
      <c r="C3612" s="153"/>
      <c r="D3612" s="154"/>
      <c r="E3612" s="154">
        <f t="shared" si="146"/>
        <v>1.8</v>
      </c>
      <c r="F3612" s="154">
        <f t="shared" si="146"/>
        <v>1.8</v>
      </c>
      <c r="G3612" s="154">
        <f t="shared" si="146"/>
        <v>0</v>
      </c>
      <c r="H3612" s="154"/>
      <c r="I3612" s="154"/>
      <c r="J3612" s="154">
        <f t="shared" si="143"/>
        <v>0.6</v>
      </c>
      <c r="K3612" s="154"/>
      <c r="L3612" s="154"/>
      <c r="M3612" s="154"/>
      <c r="N3612" s="154">
        <f t="shared" si="144"/>
        <v>2.9572566611769187</v>
      </c>
      <c r="O3612" s="154">
        <f t="shared" si="145"/>
        <v>0</v>
      </c>
    </row>
    <row r="3613" spans="1:15" x14ac:dyDescent="0.35">
      <c r="A3613" s="321"/>
      <c r="B3613" s="320" t="str">
        <f t="shared" si="142"/>
        <v>PV3-116</v>
      </c>
      <c r="C3613" s="153"/>
      <c r="D3613" s="154"/>
      <c r="E3613" s="154">
        <f t="shared" si="146"/>
        <v>1.8</v>
      </c>
      <c r="F3613" s="154">
        <f t="shared" si="146"/>
        <v>1.8</v>
      </c>
      <c r="G3613" s="154">
        <f t="shared" si="146"/>
        <v>0</v>
      </c>
      <c r="H3613" s="154"/>
      <c r="I3613" s="154"/>
      <c r="J3613" s="154">
        <f t="shared" si="143"/>
        <v>0.6</v>
      </c>
      <c r="K3613" s="154"/>
      <c r="L3613" s="154"/>
      <c r="M3613" s="154"/>
      <c r="N3613" s="154">
        <f t="shared" si="144"/>
        <v>2.9572566611769187</v>
      </c>
      <c r="O3613" s="154">
        <f t="shared" si="145"/>
        <v>0</v>
      </c>
    </row>
    <row r="3614" spans="1:15" x14ac:dyDescent="0.35">
      <c r="A3614" s="321"/>
      <c r="B3614" s="320" t="str">
        <f t="shared" si="142"/>
        <v>PV1-117</v>
      </c>
      <c r="C3614" s="153"/>
      <c r="D3614" s="154"/>
      <c r="E3614" s="154">
        <f t="shared" si="146"/>
        <v>1.8</v>
      </c>
      <c r="F3614" s="154">
        <f t="shared" si="146"/>
        <v>1.8</v>
      </c>
      <c r="G3614" s="154">
        <f t="shared" si="146"/>
        <v>0</v>
      </c>
      <c r="H3614" s="154"/>
      <c r="I3614" s="154"/>
      <c r="J3614" s="154">
        <f t="shared" si="143"/>
        <v>0.6</v>
      </c>
      <c r="K3614" s="154"/>
      <c r="L3614" s="154"/>
      <c r="M3614" s="154"/>
      <c r="N3614" s="154">
        <f t="shared" si="144"/>
        <v>2.9572566611769187</v>
      </c>
      <c r="O3614" s="154">
        <f t="shared" si="145"/>
        <v>0</v>
      </c>
    </row>
    <row r="3615" spans="1:15" x14ac:dyDescent="0.35">
      <c r="A3615" s="321"/>
      <c r="B3615" s="320" t="str">
        <f t="shared" si="142"/>
        <v>PV2-117</v>
      </c>
      <c r="C3615" s="153"/>
      <c r="D3615" s="154"/>
      <c r="E3615" s="154">
        <f t="shared" si="146"/>
        <v>1.8</v>
      </c>
      <c r="F3615" s="154">
        <f t="shared" si="146"/>
        <v>1.8</v>
      </c>
      <c r="G3615" s="154">
        <f t="shared" si="146"/>
        <v>0</v>
      </c>
      <c r="H3615" s="154"/>
      <c r="I3615" s="154"/>
      <c r="J3615" s="154">
        <f t="shared" si="143"/>
        <v>0.6</v>
      </c>
      <c r="K3615" s="154"/>
      <c r="L3615" s="154"/>
      <c r="M3615" s="154"/>
      <c r="N3615" s="154">
        <f t="shared" si="144"/>
        <v>2.9572566611769187</v>
      </c>
      <c r="O3615" s="154">
        <f t="shared" si="145"/>
        <v>0</v>
      </c>
    </row>
    <row r="3616" spans="1:15" x14ac:dyDescent="0.35">
      <c r="A3616" s="321"/>
      <c r="B3616" s="320" t="str">
        <f t="shared" si="142"/>
        <v>PV3-117</v>
      </c>
      <c r="C3616" s="153"/>
      <c r="D3616" s="154"/>
      <c r="E3616" s="154">
        <f t="shared" si="146"/>
        <v>1.8</v>
      </c>
      <c r="F3616" s="154">
        <f t="shared" si="146"/>
        <v>1.8</v>
      </c>
      <c r="G3616" s="154">
        <f t="shared" si="146"/>
        <v>0</v>
      </c>
      <c r="H3616" s="154"/>
      <c r="I3616" s="154"/>
      <c r="J3616" s="154">
        <f t="shared" si="143"/>
        <v>0.6</v>
      </c>
      <c r="K3616" s="154"/>
      <c r="L3616" s="154"/>
      <c r="M3616" s="154"/>
      <c r="N3616" s="154">
        <f t="shared" si="144"/>
        <v>2.9572566611769187</v>
      </c>
      <c r="O3616" s="154">
        <f t="shared" si="145"/>
        <v>0</v>
      </c>
    </row>
    <row r="3617" spans="1:15" x14ac:dyDescent="0.35">
      <c r="A3617" s="321"/>
      <c r="B3617" s="320" t="str">
        <f t="shared" si="142"/>
        <v>PV1-119</v>
      </c>
      <c r="C3617" s="153"/>
      <c r="D3617" s="154"/>
      <c r="E3617" s="154">
        <f t="shared" si="146"/>
        <v>1.8</v>
      </c>
      <c r="F3617" s="154">
        <f t="shared" si="146"/>
        <v>1.8</v>
      </c>
      <c r="G3617" s="154">
        <f t="shared" si="146"/>
        <v>0</v>
      </c>
      <c r="H3617" s="154"/>
      <c r="I3617" s="154"/>
      <c r="J3617" s="154">
        <f t="shared" si="143"/>
        <v>0.6</v>
      </c>
      <c r="K3617" s="154"/>
      <c r="L3617" s="154"/>
      <c r="M3617" s="154"/>
      <c r="N3617" s="154">
        <f t="shared" si="144"/>
        <v>2.9572566611769187</v>
      </c>
      <c r="O3617" s="154">
        <f t="shared" si="145"/>
        <v>0</v>
      </c>
    </row>
    <row r="3618" spans="1:15" x14ac:dyDescent="0.35">
      <c r="A3618" s="321"/>
      <c r="B3618" s="320" t="str">
        <f t="shared" si="142"/>
        <v>PV2-119</v>
      </c>
      <c r="C3618" s="153"/>
      <c r="D3618" s="154"/>
      <c r="E3618" s="154">
        <f t="shared" si="146"/>
        <v>1.8</v>
      </c>
      <c r="F3618" s="154">
        <f t="shared" si="146"/>
        <v>1.8</v>
      </c>
      <c r="G3618" s="154">
        <f t="shared" si="146"/>
        <v>0.16999999999999998</v>
      </c>
      <c r="H3618" s="154"/>
      <c r="I3618" s="154"/>
      <c r="J3618" s="154">
        <f t="shared" si="143"/>
        <v>0.6</v>
      </c>
      <c r="K3618" s="154"/>
      <c r="L3618" s="154"/>
      <c r="M3618" s="154"/>
      <c r="N3618" s="154">
        <f t="shared" si="144"/>
        <v>2.9572566611769187</v>
      </c>
      <c r="O3618" s="154">
        <f t="shared" si="145"/>
        <v>0.50273363240007618</v>
      </c>
    </row>
    <row r="3619" spans="1:15" x14ac:dyDescent="0.35">
      <c r="A3619" s="321"/>
      <c r="B3619" s="320" t="str">
        <f t="shared" si="142"/>
        <v>PV3-119</v>
      </c>
      <c r="C3619" s="153"/>
      <c r="D3619" s="154"/>
      <c r="E3619" s="154">
        <f t="shared" ref="E3619:G3624" si="147">E3548</f>
        <v>1.8</v>
      </c>
      <c r="F3619" s="154">
        <f t="shared" si="147"/>
        <v>1.8</v>
      </c>
      <c r="G3619" s="154">
        <f t="shared" si="147"/>
        <v>0</v>
      </c>
      <c r="H3619" s="154"/>
      <c r="I3619" s="154"/>
      <c r="J3619" s="154">
        <f t="shared" si="143"/>
        <v>0.6</v>
      </c>
      <c r="K3619" s="154"/>
      <c r="L3619" s="154"/>
      <c r="M3619" s="154"/>
      <c r="N3619" s="154">
        <f t="shared" si="144"/>
        <v>2.9572566611769187</v>
      </c>
      <c r="O3619" s="154">
        <f t="shared" si="145"/>
        <v>0</v>
      </c>
    </row>
    <row r="3620" spans="1:15" x14ac:dyDescent="0.35">
      <c r="A3620" s="321"/>
      <c r="B3620" s="320" t="str">
        <f t="shared" si="142"/>
        <v>PV19-121</v>
      </c>
      <c r="C3620" s="153"/>
      <c r="D3620" s="154"/>
      <c r="E3620" s="154">
        <f t="shared" si="147"/>
        <v>1.8</v>
      </c>
      <c r="F3620" s="154">
        <f t="shared" si="147"/>
        <v>1.8</v>
      </c>
      <c r="G3620" s="154">
        <f t="shared" si="147"/>
        <v>0.1620000000000002</v>
      </c>
      <c r="H3620" s="154"/>
      <c r="I3620" s="154"/>
      <c r="J3620" s="154">
        <f t="shared" si="143"/>
        <v>0.6</v>
      </c>
      <c r="K3620" s="154"/>
      <c r="L3620" s="154"/>
      <c r="M3620" s="154"/>
      <c r="N3620" s="154">
        <f t="shared" si="144"/>
        <v>2.9572566611769187</v>
      </c>
      <c r="O3620" s="154">
        <f t="shared" si="145"/>
        <v>0.4790755791106614</v>
      </c>
    </row>
    <row r="3621" spans="1:15" x14ac:dyDescent="0.35">
      <c r="A3621" s="321"/>
      <c r="B3621" s="320" t="str">
        <f t="shared" si="142"/>
        <v>PV6-102</v>
      </c>
      <c r="C3621" s="153"/>
      <c r="D3621" s="154"/>
      <c r="E3621" s="154">
        <f t="shared" si="147"/>
        <v>1.8</v>
      </c>
      <c r="F3621" s="154">
        <f t="shared" si="147"/>
        <v>1.8</v>
      </c>
      <c r="G3621" s="154">
        <f t="shared" si="147"/>
        <v>2.4000000000000412</v>
      </c>
      <c r="H3621" s="154"/>
      <c r="I3621" s="154"/>
      <c r="J3621" s="154">
        <f t="shared" si="143"/>
        <v>0.6</v>
      </c>
      <c r="K3621" s="154"/>
      <c r="L3621" s="154"/>
      <c r="M3621" s="154"/>
      <c r="N3621" s="154">
        <f t="shared" si="144"/>
        <v>2.9572566611769187</v>
      </c>
      <c r="O3621" s="154">
        <f t="shared" si="145"/>
        <v>7.0974159868247266</v>
      </c>
    </row>
    <row r="3622" spans="1:15" x14ac:dyDescent="0.35">
      <c r="A3622" s="321"/>
      <c r="B3622" s="320" t="str">
        <f t="shared" ref="B3622:B3624" si="148">B3551</f>
        <v>PV7-102</v>
      </c>
      <c r="C3622" s="153"/>
      <c r="D3622" s="154"/>
      <c r="E3622" s="154">
        <f t="shared" si="147"/>
        <v>1.8</v>
      </c>
      <c r="F3622" s="154">
        <f t="shared" si="147"/>
        <v>1.8</v>
      </c>
      <c r="G3622" s="154">
        <f t="shared" si="147"/>
        <v>2.1600000000000095</v>
      </c>
      <c r="H3622" s="154"/>
      <c r="I3622" s="154"/>
      <c r="J3622" s="154">
        <f t="shared" si="143"/>
        <v>0.6</v>
      </c>
      <c r="K3622" s="154"/>
      <c r="L3622" s="154"/>
      <c r="M3622" s="154"/>
      <c r="N3622" s="154">
        <f t="shared" si="144"/>
        <v>2.9572566611769187</v>
      </c>
      <c r="O3622" s="154">
        <f t="shared" si="145"/>
        <v>6.3876743881421723</v>
      </c>
    </row>
    <row r="3623" spans="1:15" x14ac:dyDescent="0.35">
      <c r="A3623" s="321"/>
      <c r="B3623" s="320" t="str">
        <f t="shared" si="148"/>
        <v>PV8-102</v>
      </c>
      <c r="C3623" s="153"/>
      <c r="D3623" s="154"/>
      <c r="E3623" s="154">
        <f t="shared" si="147"/>
        <v>1.8</v>
      </c>
      <c r="F3623" s="154">
        <f t="shared" si="147"/>
        <v>1.8</v>
      </c>
      <c r="G3623" s="154">
        <f t="shared" si="147"/>
        <v>2.0100000000000322</v>
      </c>
      <c r="H3623" s="154"/>
      <c r="I3623" s="154"/>
      <c r="J3623" s="154">
        <f t="shared" ref="J3623:J3624" si="149">J3552</f>
        <v>0.6</v>
      </c>
      <c r="K3623" s="154"/>
      <c r="L3623" s="154"/>
      <c r="M3623" s="154"/>
      <c r="N3623" s="154">
        <f t="shared" si="144"/>
        <v>2.9572566611769187</v>
      </c>
      <c r="O3623" s="154">
        <f t="shared" ref="O3623:O3624" si="150">N3623*G3623</f>
        <v>5.9440858889657013</v>
      </c>
    </row>
    <row r="3624" spans="1:15" x14ac:dyDescent="0.35">
      <c r="A3624" s="321"/>
      <c r="B3624" s="320" t="str">
        <f t="shared" si="148"/>
        <v>PV6-111</v>
      </c>
      <c r="C3624" s="153"/>
      <c r="D3624" s="154"/>
      <c r="E3624" s="154">
        <f t="shared" si="147"/>
        <v>1.8</v>
      </c>
      <c r="F3624" s="154">
        <f t="shared" si="147"/>
        <v>1.8</v>
      </c>
      <c r="G3624" s="154">
        <f t="shared" si="147"/>
        <v>1.6849999999999996</v>
      </c>
      <c r="H3624" s="154"/>
      <c r="I3624" s="154"/>
      <c r="J3624" s="154">
        <f t="shared" si="149"/>
        <v>0.6</v>
      </c>
      <c r="K3624" s="154"/>
      <c r="L3624" s="154"/>
      <c r="M3624" s="154"/>
      <c r="N3624" s="154">
        <f t="shared" si="144"/>
        <v>2.9572566611769187</v>
      </c>
      <c r="O3624" s="154">
        <f t="shared" si="150"/>
        <v>4.982977474083107</v>
      </c>
    </row>
    <row r="3625" spans="1:15" x14ac:dyDescent="0.35">
      <c r="A3625" s="321"/>
      <c r="B3625" s="320"/>
      <c r="C3625" s="153"/>
      <c r="D3625" s="154"/>
      <c r="E3625" s="154"/>
      <c r="F3625" s="154"/>
      <c r="G3625" s="154"/>
      <c r="H3625" s="154"/>
      <c r="I3625" s="154"/>
      <c r="J3625" s="154"/>
      <c r="K3625" s="154"/>
      <c r="L3625" s="156"/>
      <c r="M3625" s="154"/>
      <c r="N3625" s="154"/>
      <c r="O3625" s="154"/>
    </row>
    <row r="3626" spans="1:15" x14ac:dyDescent="0.35">
      <c r="A3626" s="321"/>
      <c r="B3626" s="318" t="s">
        <v>377</v>
      </c>
      <c r="C3626" s="158" t="s">
        <v>402</v>
      </c>
      <c r="D3626" s="158"/>
      <c r="E3626" s="158"/>
      <c r="F3626" s="158"/>
      <c r="G3626" s="158"/>
      <c r="H3626" s="158"/>
      <c r="I3626" s="158"/>
      <c r="J3626" s="158"/>
      <c r="K3626" s="158"/>
      <c r="L3626" s="158"/>
      <c r="M3626" s="158"/>
      <c r="N3626" s="158"/>
      <c r="O3626" s="158">
        <f>SUM(O3559:O3625)</f>
        <v>35.883352326720761</v>
      </c>
    </row>
    <row r="3627" spans="1:15" ht="52.5" x14ac:dyDescent="0.35">
      <c r="A3627" s="323" t="str">
        <f>ORÇAMENTO!A541</f>
        <v>5.5.14</v>
      </c>
      <c r="B3627" s="322" t="str">
        <f>VLOOKUP(A3627,ORÇAMENTO!$A:$F,4,0)</f>
        <v>CARGA, MANOBRA E DESCARGA DE ENTULHO EM CAMINHÃO BASCULANTE 14 M³ - CARGA COM ESCAVADEIRA HIDRÁULICA  (CAÇAMBA DE 0,80 M³ / 111 HP) E DESCARGA LIVRE (UNIDADE: M3). AF_07/2020</v>
      </c>
      <c r="C3627" s="149" t="str">
        <f>VLOOKUP(A3627,ORÇAMENTO!$A:$F,5,0)</f>
        <v>M³</v>
      </c>
      <c r="D3627" s="149">
        <f>SUM(E3631:O3631)</f>
        <v>6.4151999999999978</v>
      </c>
      <c r="E3627" s="149" t="s">
        <v>2149</v>
      </c>
      <c r="F3627" s="149" t="s">
        <v>2150</v>
      </c>
      <c r="G3627" s="149" t="s">
        <v>2151</v>
      </c>
      <c r="H3627" s="149" t="s">
        <v>2152</v>
      </c>
      <c r="I3627" s="149" t="s">
        <v>2153</v>
      </c>
      <c r="J3627" s="149" t="s">
        <v>2154</v>
      </c>
      <c r="K3627" s="149" t="s">
        <v>2172</v>
      </c>
      <c r="L3627" s="149" t="s">
        <v>2173</v>
      </c>
      <c r="M3627" s="149" t="s">
        <v>2160</v>
      </c>
      <c r="N3627" s="149" t="s">
        <v>2157</v>
      </c>
      <c r="O3627" s="149" t="s">
        <v>2158</v>
      </c>
    </row>
    <row r="3628" spans="1:15" x14ac:dyDescent="0.35">
      <c r="A3628" s="321"/>
      <c r="B3628" s="320" t="s">
        <v>2279</v>
      </c>
      <c r="C3628" s="160"/>
      <c r="D3628" s="161"/>
      <c r="E3628" s="161"/>
      <c r="F3628" s="161"/>
      <c r="G3628" s="161"/>
      <c r="H3628" s="161">
        <v>0.03</v>
      </c>
      <c r="I3628" s="161"/>
      <c r="J3628" s="161"/>
      <c r="K3628" s="161"/>
      <c r="L3628" s="161"/>
      <c r="M3628" s="161"/>
      <c r="N3628" s="161">
        <f>N3044</f>
        <v>213.83999999999995</v>
      </c>
      <c r="O3628" s="161"/>
    </row>
    <row r="3629" spans="1:15" x14ac:dyDescent="0.35">
      <c r="A3629" s="321"/>
      <c r="B3629" s="320" t="s">
        <v>2328</v>
      </c>
      <c r="C3629" s="160"/>
      <c r="D3629" s="161"/>
      <c r="E3629" s="161"/>
      <c r="F3629" s="161"/>
      <c r="G3629" s="161"/>
      <c r="H3629" s="161"/>
      <c r="I3629" s="161"/>
      <c r="J3629" s="161"/>
      <c r="K3629" s="161"/>
      <c r="L3629" s="161"/>
      <c r="M3629" s="161"/>
      <c r="N3629" s="161"/>
      <c r="O3629" s="161">
        <f>N3628*H3628</f>
        <v>6.4151999999999978</v>
      </c>
    </row>
    <row r="3630" spans="1:15" x14ac:dyDescent="0.35">
      <c r="A3630" s="321"/>
      <c r="B3630" s="320"/>
      <c r="C3630" s="160"/>
      <c r="D3630" s="161"/>
      <c r="E3630" s="161"/>
      <c r="F3630" s="161"/>
      <c r="G3630" s="161"/>
      <c r="H3630" s="161"/>
      <c r="I3630" s="161"/>
      <c r="J3630" s="161"/>
      <c r="K3630" s="161"/>
      <c r="L3630" s="162"/>
      <c r="M3630" s="161"/>
      <c r="N3630" s="161"/>
      <c r="O3630" s="161"/>
    </row>
    <row r="3631" spans="1:15" x14ac:dyDescent="0.35">
      <c r="A3631" s="321"/>
      <c r="B3631" s="318" t="s">
        <v>377</v>
      </c>
      <c r="C3631" s="158" t="s">
        <v>402</v>
      </c>
      <c r="D3631" s="158"/>
      <c r="E3631" s="158"/>
      <c r="F3631" s="158"/>
      <c r="G3631" s="158"/>
      <c r="H3631" s="158"/>
      <c r="I3631" s="158"/>
      <c r="J3631" s="158"/>
      <c r="K3631" s="158"/>
      <c r="L3631" s="158"/>
      <c r="M3631" s="158"/>
      <c r="N3631" s="158"/>
      <c r="O3631" s="158">
        <f>SUM(O3629:O3630)</f>
        <v>6.4151999999999978</v>
      </c>
    </row>
    <row r="3632" spans="1:15" ht="52.5" x14ac:dyDescent="0.35">
      <c r="A3632" s="323" t="str">
        <f>ORÇAMENTO!A542</f>
        <v>5.5.15</v>
      </c>
      <c r="B3632" s="322" t="str">
        <f>VLOOKUP(A3632,ORÇAMENTO!$A:$F,4,0)</f>
        <v>CARGA, MANOBRA E DESCARGA DE SOLOS E MATERIAIS GRANULARES EM CAMINHÃO BASCULANTE 14 M³ - CARGA COM ESCAVADEIRA HIDRÁULICA (CAÇAMBA DE 1,20 M³ / 155 HP) E DESCARGA LIVRE (UNIDADE: M3). AF_07/2020</v>
      </c>
      <c r="C3632" s="149" t="str">
        <f>VLOOKUP(A3632,ORÇAMENTO!$A:$F,5,0)</f>
        <v>M³</v>
      </c>
      <c r="D3632" s="149">
        <f>SUM(E3639:O3639)</f>
        <v>32.234152741391007</v>
      </c>
      <c r="E3632" s="149" t="s">
        <v>2149</v>
      </c>
      <c r="F3632" s="149" t="s">
        <v>2150</v>
      </c>
      <c r="G3632" s="149" t="s">
        <v>2151</v>
      </c>
      <c r="H3632" s="149" t="s">
        <v>2152</v>
      </c>
      <c r="I3632" s="149" t="s">
        <v>2153</v>
      </c>
      <c r="J3632" s="149" t="s">
        <v>2154</v>
      </c>
      <c r="K3632" s="149" t="s">
        <v>2172</v>
      </c>
      <c r="L3632" s="149" t="s">
        <v>2173</v>
      </c>
      <c r="M3632" s="149" t="s">
        <v>2160</v>
      </c>
      <c r="N3632" s="149" t="s">
        <v>2157</v>
      </c>
      <c r="O3632" s="149" t="s">
        <v>2158</v>
      </c>
    </row>
    <row r="3633" spans="1:15" x14ac:dyDescent="0.35">
      <c r="A3633" s="321"/>
      <c r="B3633" s="320"/>
      <c r="C3633" s="153"/>
      <c r="D3633" s="154"/>
      <c r="E3633" s="154"/>
      <c r="F3633" s="154"/>
      <c r="G3633" s="154"/>
      <c r="H3633" s="154"/>
      <c r="I3633" s="154"/>
      <c r="J3633" s="154"/>
      <c r="K3633" s="154"/>
      <c r="L3633" s="154"/>
      <c r="M3633" s="154"/>
      <c r="N3633" s="154"/>
      <c r="O3633" s="154"/>
    </row>
    <row r="3634" spans="1:15" x14ac:dyDescent="0.35">
      <c r="A3634" s="321"/>
      <c r="B3634" s="320" t="s">
        <v>2329</v>
      </c>
      <c r="C3634" s="153"/>
      <c r="D3634" s="154"/>
      <c r="E3634" s="154"/>
      <c r="F3634" s="154"/>
      <c r="G3634" s="154"/>
      <c r="H3634" s="154"/>
      <c r="I3634" s="154"/>
      <c r="J3634" s="154"/>
      <c r="K3634" s="154"/>
      <c r="L3634" s="154"/>
      <c r="M3634" s="154"/>
      <c r="N3634" s="154"/>
      <c r="O3634" s="154">
        <f>O3110+O3118</f>
        <v>76.078440000000228</v>
      </c>
    </row>
    <row r="3635" spans="1:15" x14ac:dyDescent="0.35">
      <c r="A3635" s="321"/>
      <c r="B3635" s="320" t="s">
        <v>2330</v>
      </c>
      <c r="C3635" s="153"/>
      <c r="D3635" s="154"/>
      <c r="E3635" s="154"/>
      <c r="F3635" s="154"/>
      <c r="G3635" s="154"/>
      <c r="H3635" s="154"/>
      <c r="I3635" s="154"/>
      <c r="J3635" s="154"/>
      <c r="K3635" s="154"/>
      <c r="L3635" s="154"/>
      <c r="M3635" s="154"/>
      <c r="N3635" s="154"/>
      <c r="O3635" s="154">
        <f>O3626+O3484</f>
        <v>43.844287258609221</v>
      </c>
    </row>
    <row r="3636" spans="1:15" x14ac:dyDescent="0.35">
      <c r="A3636" s="321"/>
      <c r="B3636" s="320"/>
      <c r="C3636" s="153"/>
      <c r="D3636" s="154"/>
      <c r="E3636" s="154"/>
      <c r="F3636" s="154"/>
      <c r="G3636" s="154"/>
      <c r="H3636" s="154"/>
      <c r="I3636" s="154"/>
      <c r="J3636" s="154"/>
      <c r="K3636" s="154"/>
      <c r="L3636" s="154"/>
      <c r="M3636" s="154"/>
      <c r="N3636" s="154"/>
      <c r="O3636" s="154"/>
    </row>
    <row r="3637" spans="1:15" ht="21" x14ac:dyDescent="0.35">
      <c r="A3637" s="321"/>
      <c r="B3637" s="318" t="s">
        <v>2331</v>
      </c>
      <c r="C3637" s="153"/>
      <c r="D3637" s="154"/>
      <c r="E3637" s="154"/>
      <c r="F3637" s="154"/>
      <c r="G3637" s="154"/>
      <c r="H3637" s="154"/>
      <c r="I3637" s="154"/>
      <c r="J3637" s="154"/>
      <c r="K3637" s="154"/>
      <c r="L3637" s="154"/>
      <c r="M3637" s="154"/>
      <c r="N3637" s="154"/>
      <c r="O3637" s="153">
        <f>O3634-O3635</f>
        <v>32.234152741391007</v>
      </c>
    </row>
    <row r="3638" spans="1:15" x14ac:dyDescent="0.35">
      <c r="A3638" s="321"/>
      <c r="B3638" s="320"/>
      <c r="C3638" s="153"/>
      <c r="D3638" s="154"/>
      <c r="E3638" s="154"/>
      <c r="F3638" s="154"/>
      <c r="G3638" s="154"/>
      <c r="H3638" s="154"/>
      <c r="I3638" s="154"/>
      <c r="J3638" s="154"/>
      <c r="K3638" s="154"/>
      <c r="L3638" s="156"/>
      <c r="M3638" s="154"/>
      <c r="N3638" s="154"/>
      <c r="O3638" s="154"/>
    </row>
    <row r="3639" spans="1:15" x14ac:dyDescent="0.35">
      <c r="A3639" s="321"/>
      <c r="B3639" s="318" t="s">
        <v>377</v>
      </c>
      <c r="C3639" s="158" t="s">
        <v>402</v>
      </c>
      <c r="D3639" s="158"/>
      <c r="E3639" s="158"/>
      <c r="F3639" s="158"/>
      <c r="G3639" s="158"/>
      <c r="H3639" s="158"/>
      <c r="I3639" s="158"/>
      <c r="J3639" s="158"/>
      <c r="K3639" s="158"/>
      <c r="L3639" s="158"/>
      <c r="M3639" s="158"/>
      <c r="N3639" s="158"/>
      <c r="O3639" s="158">
        <f>SUM(O3637:O3638)</f>
        <v>32.234152741391007</v>
      </c>
    </row>
    <row r="3640" spans="1:15" ht="31.5" x14ac:dyDescent="0.35">
      <c r="A3640" s="323" t="str">
        <f>ORÇAMENTO!A543</f>
        <v>5.5.16</v>
      </c>
      <c r="B3640" s="322" t="str">
        <f>VLOOKUP(A3640,ORÇAMENTO!$A:$F,4,0)</f>
        <v>TRANSPORTE COM CAMINHÃO BASCULANTE DE 14 M³, EM VIA URBANA PAVIMENTADA, DMT ATÉ 30 KM (UNIDADE: M3XKM). AF_07/2020</v>
      </c>
      <c r="C3640" s="149" t="str">
        <f>VLOOKUP(A3640,ORÇAMENTO!$A:$F,5,0)</f>
        <v>M3XKM</v>
      </c>
      <c r="D3640" s="149">
        <f>SUM(E3645:O3645)</f>
        <v>1159.4805822417302</v>
      </c>
      <c r="E3640" s="149" t="s">
        <v>2174</v>
      </c>
      <c r="F3640" s="149" t="s">
        <v>2150</v>
      </c>
      <c r="G3640" s="149" t="s">
        <v>2151</v>
      </c>
      <c r="H3640" s="149" t="s">
        <v>2152</v>
      </c>
      <c r="I3640" s="149" t="s">
        <v>2153</v>
      </c>
      <c r="J3640" s="149" t="s">
        <v>2175</v>
      </c>
      <c r="K3640" s="149" t="s">
        <v>2172</v>
      </c>
      <c r="L3640" s="149" t="s">
        <v>2156</v>
      </c>
      <c r="M3640" s="149" t="s">
        <v>2160</v>
      </c>
      <c r="N3640" s="149" t="s">
        <v>2157</v>
      </c>
      <c r="O3640" s="149" t="s">
        <v>2158</v>
      </c>
    </row>
    <row r="3641" spans="1:15" x14ac:dyDescent="0.35">
      <c r="A3641" s="321"/>
      <c r="B3641" s="320"/>
      <c r="C3641" s="153"/>
      <c r="D3641" s="154"/>
      <c r="E3641" s="154"/>
      <c r="F3641" s="154"/>
      <c r="G3641" s="154"/>
      <c r="H3641" s="154"/>
      <c r="I3641" s="154"/>
      <c r="J3641" s="154"/>
      <c r="K3641" s="154"/>
      <c r="L3641" s="156"/>
      <c r="M3641" s="154"/>
      <c r="N3641" s="154"/>
      <c r="O3641" s="154"/>
    </row>
    <row r="3642" spans="1:15" ht="21" x14ac:dyDescent="0.35">
      <c r="A3642" s="321"/>
      <c r="B3642" s="320" t="s">
        <v>2209</v>
      </c>
      <c r="C3642" s="160"/>
      <c r="D3642" s="161"/>
      <c r="E3642" s="161">
        <v>30</v>
      </c>
      <c r="F3642" s="161"/>
      <c r="G3642" s="161"/>
      <c r="H3642" s="161"/>
      <c r="I3642" s="161"/>
      <c r="J3642" s="161">
        <f>E3642*O3642</f>
        <v>967.02458224173017</v>
      </c>
      <c r="K3642" s="161"/>
      <c r="L3642" s="161"/>
      <c r="M3642" s="161"/>
      <c r="N3642" s="161"/>
      <c r="O3642" s="161">
        <f>O3639</f>
        <v>32.234152741391007</v>
      </c>
    </row>
    <row r="3643" spans="1:15" ht="21" x14ac:dyDescent="0.35">
      <c r="A3643" s="321"/>
      <c r="B3643" s="320" t="s">
        <v>2210</v>
      </c>
      <c r="C3643" s="160"/>
      <c r="D3643" s="161"/>
      <c r="E3643" s="161">
        <v>30</v>
      </c>
      <c r="F3643" s="161"/>
      <c r="G3643" s="161"/>
      <c r="H3643" s="161"/>
      <c r="I3643" s="161"/>
      <c r="J3643" s="161">
        <f>E3643*O3643</f>
        <v>192.45599999999993</v>
      </c>
      <c r="K3643" s="161"/>
      <c r="L3643" s="161"/>
      <c r="M3643" s="161"/>
      <c r="N3643" s="161"/>
      <c r="O3643" s="161">
        <f>O3631</f>
        <v>6.4151999999999978</v>
      </c>
    </row>
    <row r="3644" spans="1:15" x14ac:dyDescent="0.35">
      <c r="A3644" s="321"/>
      <c r="B3644" s="320"/>
      <c r="C3644" s="160"/>
      <c r="D3644" s="161"/>
      <c r="E3644" s="161"/>
      <c r="F3644" s="161"/>
      <c r="G3644" s="161"/>
      <c r="H3644" s="161"/>
      <c r="I3644" s="161"/>
      <c r="J3644" s="161"/>
      <c r="K3644" s="161"/>
      <c r="L3644" s="162"/>
      <c r="M3644" s="161"/>
      <c r="N3644" s="161"/>
      <c r="O3644" s="161"/>
    </row>
    <row r="3645" spans="1:15" x14ac:dyDescent="0.35">
      <c r="A3645" s="321"/>
      <c r="B3645" s="318" t="s">
        <v>377</v>
      </c>
      <c r="C3645" s="158" t="s">
        <v>402</v>
      </c>
      <c r="D3645" s="158"/>
      <c r="E3645" s="158"/>
      <c r="F3645" s="158"/>
      <c r="G3645" s="158"/>
      <c r="H3645" s="158"/>
      <c r="I3645" s="158"/>
      <c r="J3645" s="158">
        <f>SUM(J3642:J3644)</f>
        <v>1159.4805822417302</v>
      </c>
      <c r="K3645" s="158"/>
      <c r="L3645" s="158"/>
      <c r="M3645" s="158"/>
      <c r="N3645" s="158"/>
      <c r="O3645" s="158"/>
    </row>
    <row r="3646" spans="1:15" ht="42" x14ac:dyDescent="0.35">
      <c r="A3646" s="323" t="str">
        <f>ORÇAMENTO!A544</f>
        <v>5.5.17</v>
      </c>
      <c r="B3646" s="322" t="str">
        <f>VLOOKUP(A3646,ORÇAMENTO!$A:$F,4,0)</f>
        <v>TRANSPORTE COM CAMINHÃO BASCULANTE DE 14 M³, EM VIA URBANA PAVIMENTADA, ADICIONAL PARA DMT EXCEDENTE A 30 KM (UNIDADE: M3XKM). AF_07/2020</v>
      </c>
      <c r="C3646" s="149" t="str">
        <f>VLOOKUP(A3646,ORÇAMENTO!$A:$F,5,0)</f>
        <v>M3XKM</v>
      </c>
      <c r="D3646" s="149">
        <f>SUM(E3651:O3651)</f>
        <v>745.12592892775228</v>
      </c>
      <c r="E3646" s="149" t="s">
        <v>2177</v>
      </c>
      <c r="F3646" s="149" t="s">
        <v>2150</v>
      </c>
      <c r="G3646" s="149" t="s">
        <v>2151</v>
      </c>
      <c r="H3646" s="149" t="s">
        <v>2152</v>
      </c>
      <c r="I3646" s="149" t="s">
        <v>2153</v>
      </c>
      <c r="J3646" s="149" t="s">
        <v>2175</v>
      </c>
      <c r="K3646" s="149" t="s">
        <v>2172</v>
      </c>
      <c r="L3646" s="149" t="s">
        <v>2178</v>
      </c>
      <c r="M3646" s="149" t="s">
        <v>2160</v>
      </c>
      <c r="N3646" s="149" t="s">
        <v>2157</v>
      </c>
      <c r="O3646" s="149" t="s">
        <v>2158</v>
      </c>
    </row>
    <row r="3647" spans="1:15" x14ac:dyDescent="0.35">
      <c r="A3647" s="321"/>
      <c r="B3647" s="320"/>
      <c r="C3647" s="153"/>
      <c r="D3647" s="154"/>
      <c r="E3647" s="154"/>
      <c r="F3647" s="154"/>
      <c r="G3647" s="154"/>
      <c r="H3647" s="154"/>
      <c r="I3647" s="154"/>
      <c r="J3647" s="154"/>
      <c r="K3647" s="154"/>
      <c r="L3647" s="156"/>
      <c r="M3647" s="154"/>
      <c r="N3647" s="154"/>
      <c r="O3647" s="154"/>
    </row>
    <row r="3648" spans="1:15" ht="21" x14ac:dyDescent="0.35">
      <c r="A3648" s="321"/>
      <c r="B3648" s="320" t="str">
        <f>B3642</f>
        <v>TRANSPORTE ATÉ ATERRO ESTRUTURAL - BOTA FORA - MATERIAL NÃO APROVEITADO</v>
      </c>
      <c r="C3648" s="153"/>
      <c r="D3648" s="154"/>
      <c r="E3648" s="154">
        <f>44.2-E3642</f>
        <v>14.200000000000003</v>
      </c>
      <c r="F3648" s="154"/>
      <c r="G3648" s="154"/>
      <c r="H3648" s="154"/>
      <c r="I3648" s="154"/>
      <c r="J3648" s="154">
        <f>E3648*O3648</f>
        <v>457.7249689277524</v>
      </c>
      <c r="K3648" s="154"/>
      <c r="L3648" s="165"/>
      <c r="M3648" s="154"/>
      <c r="N3648" s="154"/>
      <c r="O3648" s="154">
        <f>O3642</f>
        <v>32.234152741391007</v>
      </c>
    </row>
    <row r="3649" spans="1:15" ht="21" x14ac:dyDescent="0.35">
      <c r="A3649" s="321"/>
      <c r="B3649" s="320" t="str">
        <f>B3643</f>
        <v>TRANSPORTE ATÉ ATERRO SAMAMBIA - BOTA FORA - ROCHA</v>
      </c>
      <c r="C3649" s="153"/>
      <c r="D3649" s="154"/>
      <c r="E3649" s="154">
        <f>74.8-E3643</f>
        <v>44.8</v>
      </c>
      <c r="F3649" s="154"/>
      <c r="G3649" s="154"/>
      <c r="H3649" s="154"/>
      <c r="I3649" s="154"/>
      <c r="J3649" s="154">
        <f>E3649*O3649</f>
        <v>287.40095999999988</v>
      </c>
      <c r="K3649" s="154"/>
      <c r="L3649" s="165"/>
      <c r="M3649" s="154"/>
      <c r="N3649" s="154"/>
      <c r="O3649" s="154">
        <f>O3643</f>
        <v>6.4151999999999978</v>
      </c>
    </row>
    <row r="3650" spans="1:15" x14ac:dyDescent="0.35">
      <c r="A3650" s="321"/>
      <c r="B3650" s="320"/>
      <c r="C3650" s="153"/>
      <c r="D3650" s="154"/>
      <c r="E3650" s="154"/>
      <c r="F3650" s="154"/>
      <c r="G3650" s="154"/>
      <c r="H3650" s="154"/>
      <c r="I3650" s="154"/>
      <c r="J3650" s="154"/>
      <c r="K3650" s="154"/>
      <c r="L3650" s="165"/>
      <c r="M3650" s="154"/>
      <c r="N3650" s="154"/>
      <c r="O3650" s="154"/>
    </row>
    <row r="3651" spans="1:15" x14ac:dyDescent="0.35">
      <c r="A3651" s="321"/>
      <c r="B3651" s="318" t="s">
        <v>377</v>
      </c>
      <c r="C3651" s="158" t="s">
        <v>402</v>
      </c>
      <c r="D3651" s="158"/>
      <c r="E3651" s="158"/>
      <c r="F3651" s="158"/>
      <c r="G3651" s="158"/>
      <c r="H3651" s="158"/>
      <c r="I3651" s="158"/>
      <c r="J3651" s="158">
        <f>SUM(J3648:J3650)</f>
        <v>745.12592892775228</v>
      </c>
      <c r="K3651" s="158"/>
      <c r="L3651" s="158"/>
      <c r="M3651" s="158"/>
      <c r="N3651" s="158"/>
      <c r="O3651" s="158"/>
    </row>
    <row r="3652" spans="1:15" ht="21" x14ac:dyDescent="0.35">
      <c r="A3652" s="323" t="str">
        <f>ORÇAMENTO!A545</f>
        <v>5.5.18</v>
      </c>
      <c r="B3652" s="322" t="str">
        <f>VLOOKUP(A3652,ORÇAMENTO!$A:$F,4,0)</f>
        <v>USINAGEM DE CBUQ SEM  CAP 50/70, PARA CAPA DE ROLAMENTO (SEM MATERIAL  E TRANSPORTE)</v>
      </c>
      <c r="C3652" s="149" t="str">
        <f>VLOOKUP(A3652,ORÇAMENTO!$A:$F,5,0)</f>
        <v>T</v>
      </c>
      <c r="D3652" s="149">
        <f>SUM(E3657:O3657)</f>
        <v>14.052883653912712</v>
      </c>
      <c r="E3652" s="149" t="s">
        <v>2149</v>
      </c>
      <c r="F3652" s="149" t="s">
        <v>2150</v>
      </c>
      <c r="G3652" s="149" t="s">
        <v>2151</v>
      </c>
      <c r="H3652" s="149" t="s">
        <v>2152</v>
      </c>
      <c r="I3652" s="149" t="s">
        <v>2153</v>
      </c>
      <c r="J3652" s="149" t="s">
        <v>2154</v>
      </c>
      <c r="K3652" s="149" t="s">
        <v>2172</v>
      </c>
      <c r="L3652" s="149" t="s">
        <v>2178</v>
      </c>
      <c r="M3652" s="149" t="s">
        <v>2160</v>
      </c>
      <c r="N3652" s="149" t="s">
        <v>2157</v>
      </c>
      <c r="O3652" s="149" t="s">
        <v>2158</v>
      </c>
    </row>
    <row r="3653" spans="1:15" x14ac:dyDescent="0.35">
      <c r="A3653" s="321"/>
      <c r="B3653" s="318" t="s">
        <v>2171</v>
      </c>
      <c r="C3653" s="160"/>
      <c r="D3653" s="161"/>
      <c r="E3653" s="161"/>
      <c r="F3653" s="161"/>
      <c r="G3653" s="161"/>
      <c r="H3653" s="161"/>
      <c r="I3653" s="161"/>
      <c r="J3653" s="161"/>
      <c r="K3653" s="161"/>
      <c r="L3653" s="161"/>
      <c r="M3653" s="161"/>
      <c r="N3653" s="161"/>
      <c r="O3653" s="161"/>
    </row>
    <row r="3654" spans="1:15" x14ac:dyDescent="0.35">
      <c r="A3654" s="321"/>
      <c r="B3654" s="320" t="s">
        <v>2222</v>
      </c>
      <c r="C3654" s="160"/>
      <c r="D3654" s="161"/>
      <c r="E3654" s="161"/>
      <c r="F3654" s="161"/>
      <c r="G3654" s="161"/>
      <c r="H3654" s="161"/>
      <c r="I3654" s="161"/>
      <c r="J3654" s="161"/>
      <c r="K3654" s="161"/>
      <c r="L3654" s="161">
        <v>2.4</v>
      </c>
      <c r="M3654" s="161"/>
      <c r="N3654" s="161"/>
      <c r="O3654" s="161"/>
    </row>
    <row r="3655" spans="1:15" x14ac:dyDescent="0.35">
      <c r="A3655" s="321"/>
      <c r="B3655" s="320" t="str">
        <f>B3198</f>
        <v>CONCRETO BETUMINOSO USINADO A QUENTE</v>
      </c>
      <c r="C3655" s="160"/>
      <c r="D3655" s="161"/>
      <c r="E3655" s="161"/>
      <c r="F3655" s="161"/>
      <c r="G3655" s="161"/>
      <c r="H3655" s="161">
        <f>H3195</f>
        <v>0.03</v>
      </c>
      <c r="I3655" s="161"/>
      <c r="J3655" s="161"/>
      <c r="K3655" s="161">
        <f>L3654*O3655</f>
        <v>14.052883653912712</v>
      </c>
      <c r="L3655" s="161"/>
      <c r="M3655" s="161"/>
      <c r="N3655" s="161"/>
      <c r="O3655" s="161">
        <f>O3198</f>
        <v>5.8553681891302967</v>
      </c>
    </row>
    <row r="3656" spans="1:15" x14ac:dyDescent="0.35">
      <c r="A3656" s="321"/>
      <c r="B3656" s="320"/>
      <c r="C3656" s="160"/>
      <c r="D3656" s="161"/>
      <c r="E3656" s="161"/>
      <c r="F3656" s="161"/>
      <c r="G3656" s="161"/>
      <c r="H3656" s="161"/>
      <c r="I3656" s="161"/>
      <c r="J3656" s="161"/>
      <c r="K3656" s="161"/>
      <c r="L3656" s="162"/>
      <c r="M3656" s="161"/>
      <c r="N3656" s="161"/>
      <c r="O3656" s="161"/>
    </row>
    <row r="3657" spans="1:15" x14ac:dyDescent="0.35">
      <c r="A3657" s="321"/>
      <c r="B3657" s="318" t="s">
        <v>377</v>
      </c>
      <c r="C3657" s="158" t="s">
        <v>402</v>
      </c>
      <c r="D3657" s="158"/>
      <c r="E3657" s="158"/>
      <c r="F3657" s="158"/>
      <c r="G3657" s="158"/>
      <c r="H3657" s="158"/>
      <c r="I3657" s="158"/>
      <c r="J3657" s="158"/>
      <c r="K3657" s="158">
        <f>SUM(K3655:K3656)</f>
        <v>14.052883653912712</v>
      </c>
      <c r="L3657" s="158"/>
      <c r="M3657" s="158"/>
      <c r="N3657" s="158"/>
      <c r="O3657" s="158"/>
    </row>
    <row r="3658" spans="1:15" ht="21" x14ac:dyDescent="0.35">
      <c r="A3658" s="323" t="str">
        <f>ORÇAMENTO!A546</f>
        <v>5.5.19</v>
      </c>
      <c r="B3658" s="322" t="str">
        <f>VLOOKUP(A3658,ORÇAMENTO!$A:$F,4,0)</f>
        <v>CIMENTO ASFÁLTICO DE PETRÓLEO - CAP 50/70 FORNECIMENTO E TRANSPORTE</v>
      </c>
      <c r="C3658" s="149" t="str">
        <f>VLOOKUP(A3658,ORÇAMENTO!$A:$F,5,0)</f>
        <v>T</v>
      </c>
      <c r="D3658" s="149">
        <f>SUM(E3662:O3662)</f>
        <v>0.88856383343690071</v>
      </c>
      <c r="E3658" s="149" t="s">
        <v>2149</v>
      </c>
      <c r="F3658" s="149" t="s">
        <v>2150</v>
      </c>
      <c r="G3658" s="149" t="s">
        <v>2151</v>
      </c>
      <c r="H3658" s="149" t="s">
        <v>2152</v>
      </c>
      <c r="I3658" s="149" t="s">
        <v>2153</v>
      </c>
      <c r="J3658" s="149" t="s">
        <v>2154</v>
      </c>
      <c r="K3658" s="149" t="s">
        <v>2172</v>
      </c>
      <c r="L3658" s="149" t="s">
        <v>2213</v>
      </c>
      <c r="M3658" s="149" t="s">
        <v>2160</v>
      </c>
      <c r="N3658" s="149" t="s">
        <v>2157</v>
      </c>
      <c r="O3658" s="149" t="s">
        <v>2158</v>
      </c>
    </row>
    <row r="3659" spans="1:15" x14ac:dyDescent="0.35">
      <c r="A3659" s="321"/>
      <c r="B3659" s="320" t="str">
        <f>B3655</f>
        <v>CONCRETO BETUMINOSO USINADO A QUENTE</v>
      </c>
      <c r="C3659" s="160"/>
      <c r="D3659" s="161"/>
      <c r="E3659" s="161"/>
      <c r="F3659" s="161"/>
      <c r="G3659" s="161"/>
      <c r="H3659" s="161"/>
      <c r="I3659" s="161"/>
      <c r="J3659" s="161"/>
      <c r="K3659" s="161">
        <f>K3655</f>
        <v>14.052883653912712</v>
      </c>
      <c r="L3659" s="161"/>
      <c r="M3659" s="161"/>
      <c r="N3659" s="161"/>
      <c r="O3659" s="161"/>
    </row>
    <row r="3660" spans="1:15" x14ac:dyDescent="0.35">
      <c r="A3660" s="321"/>
      <c r="B3660" s="320" t="s">
        <v>2223</v>
      </c>
      <c r="C3660" s="160"/>
      <c r="D3660" s="161"/>
      <c r="E3660" s="161"/>
      <c r="F3660" s="161"/>
      <c r="G3660" s="161"/>
      <c r="H3660" s="161"/>
      <c r="I3660" s="161"/>
      <c r="J3660" s="161"/>
      <c r="K3660" s="161"/>
      <c r="L3660" s="174">
        <v>6.3229999999999995E-2</v>
      </c>
      <c r="M3660" s="161"/>
      <c r="N3660" s="161"/>
      <c r="O3660" s="161"/>
    </row>
    <row r="3661" spans="1:15" x14ac:dyDescent="0.35">
      <c r="A3661" s="321"/>
      <c r="B3661" s="320"/>
      <c r="C3661" s="160"/>
      <c r="D3661" s="161"/>
      <c r="E3661" s="161"/>
      <c r="F3661" s="161"/>
      <c r="G3661" s="161"/>
      <c r="H3661" s="161"/>
      <c r="I3661" s="161"/>
      <c r="J3661" s="161"/>
      <c r="K3661" s="325"/>
      <c r="L3661" s="161"/>
      <c r="M3661" s="161"/>
      <c r="N3661" s="161"/>
      <c r="O3661" s="161"/>
    </row>
    <row r="3662" spans="1:15" x14ac:dyDescent="0.35">
      <c r="A3662" s="321"/>
      <c r="B3662" s="318" t="s">
        <v>377</v>
      </c>
      <c r="C3662" s="160"/>
      <c r="D3662" s="161"/>
      <c r="E3662" s="161"/>
      <c r="F3662" s="161"/>
      <c r="G3662" s="161"/>
      <c r="H3662" s="161"/>
      <c r="I3662" s="161"/>
      <c r="J3662" s="161"/>
      <c r="K3662" s="161">
        <f>K3659*L3660</f>
        <v>0.88856383343690071</v>
      </c>
      <c r="L3662" s="162"/>
      <c r="M3662" s="161"/>
      <c r="N3662" s="161"/>
      <c r="O3662" s="161"/>
    </row>
    <row r="3663" spans="1:15" ht="21" x14ac:dyDescent="0.35">
      <c r="A3663" s="323" t="str">
        <f>ORÇAMENTO!A547</f>
        <v>5.5.20</v>
      </c>
      <c r="B3663" s="322" t="str">
        <f>VLOOKUP(A3663,ORÇAMENTO!$A:$F,4,0)</f>
        <v>EMULSÃO ASFÁLTICA - RR-1C - FORNECIMENTO E TRANSPORTE</v>
      </c>
      <c r="C3663" s="149" t="str">
        <f>VLOOKUP(A3663,ORÇAMENTO!$A:$F,5,0)</f>
        <v>T</v>
      </c>
      <c r="D3663" s="149">
        <f>SUM(E3733:O3733)</f>
        <v>8.7830522836954444E-2</v>
      </c>
      <c r="E3663" s="149" t="s">
        <v>2149</v>
      </c>
      <c r="F3663" s="149" t="s">
        <v>2150</v>
      </c>
      <c r="G3663" s="149" t="s">
        <v>2151</v>
      </c>
      <c r="H3663" s="149" t="s">
        <v>2152</v>
      </c>
      <c r="I3663" s="149" t="s">
        <v>2153</v>
      </c>
      <c r="J3663" s="149" t="s">
        <v>2154</v>
      </c>
      <c r="K3663" s="149" t="s">
        <v>2172</v>
      </c>
      <c r="L3663" s="149" t="s">
        <v>2213</v>
      </c>
      <c r="M3663" s="149" t="s">
        <v>2204</v>
      </c>
      <c r="N3663" s="149" t="s">
        <v>2157</v>
      </c>
      <c r="O3663" s="149" t="s">
        <v>2158</v>
      </c>
    </row>
    <row r="3664" spans="1:15" ht="21" x14ac:dyDescent="0.35">
      <c r="A3664" s="321"/>
      <c r="B3664" s="318" t="s">
        <v>2215</v>
      </c>
      <c r="C3664" s="153"/>
      <c r="D3664" s="153"/>
      <c r="E3664" s="154"/>
      <c r="F3664" s="154"/>
      <c r="G3664" s="154"/>
      <c r="H3664" s="154"/>
      <c r="I3664" s="154"/>
      <c r="J3664" s="154"/>
      <c r="K3664" s="154"/>
      <c r="L3664" s="154"/>
      <c r="M3664" s="154"/>
      <c r="N3664" s="154"/>
      <c r="O3664" s="154"/>
    </row>
    <row r="3665" spans="1:15" ht="31.5" x14ac:dyDescent="0.35">
      <c r="A3665" s="321"/>
      <c r="B3665" s="320" t="s">
        <v>2216</v>
      </c>
      <c r="C3665" s="153"/>
      <c r="D3665" s="154"/>
      <c r="E3665" s="154"/>
      <c r="F3665" s="154"/>
      <c r="G3665" s="154"/>
      <c r="H3665" s="154"/>
      <c r="I3665" s="154"/>
      <c r="J3665" s="154"/>
      <c r="K3665" s="154"/>
      <c r="L3665" s="172">
        <v>4.4999999999999999E-4</v>
      </c>
      <c r="M3665" s="154"/>
      <c r="N3665" s="154"/>
      <c r="O3665" s="154"/>
    </row>
    <row r="3666" spans="1:15" x14ac:dyDescent="0.35">
      <c r="A3666" s="321"/>
      <c r="B3666" s="320" t="str">
        <f t="shared" ref="B3666:B3697" si="151">B3204</f>
        <v>PV2-102</v>
      </c>
      <c r="C3666" s="161"/>
      <c r="D3666" s="161"/>
      <c r="E3666" s="161"/>
      <c r="F3666" s="161"/>
      <c r="G3666" s="161"/>
      <c r="H3666" s="161"/>
      <c r="I3666" s="161"/>
      <c r="J3666" s="161"/>
      <c r="K3666" s="166">
        <f t="shared" ref="K3666:K3697" si="152">$L$3665*N3666</f>
        <v>1.3307654975296135E-3</v>
      </c>
      <c r="L3666" s="161"/>
      <c r="M3666" s="161"/>
      <c r="N3666" s="188">
        <f t="shared" ref="N3666:N3697" si="153">N3204</f>
        <v>2.9572566611769187</v>
      </c>
      <c r="O3666" s="188"/>
    </row>
    <row r="3667" spans="1:15" x14ac:dyDescent="0.35">
      <c r="A3667" s="321"/>
      <c r="B3667" s="320" t="str">
        <f t="shared" si="151"/>
        <v>PV3-102</v>
      </c>
      <c r="C3667" s="161"/>
      <c r="D3667" s="161"/>
      <c r="E3667" s="161"/>
      <c r="F3667" s="161"/>
      <c r="G3667" s="161"/>
      <c r="H3667" s="161"/>
      <c r="I3667" s="161"/>
      <c r="J3667" s="161"/>
      <c r="K3667" s="166">
        <f t="shared" si="152"/>
        <v>1.3307654975296135E-3</v>
      </c>
      <c r="L3667" s="161"/>
      <c r="M3667" s="161"/>
      <c r="N3667" s="188">
        <f t="shared" si="153"/>
        <v>2.9572566611769187</v>
      </c>
      <c r="O3667" s="188"/>
    </row>
    <row r="3668" spans="1:15" x14ac:dyDescent="0.35">
      <c r="A3668" s="321"/>
      <c r="B3668" s="320" t="str">
        <f t="shared" si="151"/>
        <v>PV4-102</v>
      </c>
      <c r="C3668" s="161"/>
      <c r="D3668" s="161"/>
      <c r="E3668" s="161"/>
      <c r="F3668" s="161"/>
      <c r="G3668" s="161"/>
      <c r="H3668" s="161"/>
      <c r="I3668" s="161"/>
      <c r="J3668" s="161"/>
      <c r="K3668" s="166">
        <f t="shared" si="152"/>
        <v>1.3307654975296135E-3</v>
      </c>
      <c r="L3668" s="161"/>
      <c r="M3668" s="161"/>
      <c r="N3668" s="188">
        <f t="shared" si="153"/>
        <v>2.9572566611769187</v>
      </c>
      <c r="O3668" s="188"/>
    </row>
    <row r="3669" spans="1:15" x14ac:dyDescent="0.35">
      <c r="A3669" s="321"/>
      <c r="B3669" s="320" t="str">
        <f t="shared" si="151"/>
        <v>PV5-102</v>
      </c>
      <c r="C3669" s="161"/>
      <c r="D3669" s="161"/>
      <c r="E3669" s="161"/>
      <c r="F3669" s="161"/>
      <c r="G3669" s="161"/>
      <c r="H3669" s="161"/>
      <c r="I3669" s="161"/>
      <c r="J3669" s="161"/>
      <c r="K3669" s="166">
        <f t="shared" si="152"/>
        <v>1.3307654975296135E-3</v>
      </c>
      <c r="L3669" s="161"/>
      <c r="M3669" s="161"/>
      <c r="N3669" s="188">
        <f t="shared" si="153"/>
        <v>2.9572566611769187</v>
      </c>
      <c r="O3669" s="188"/>
    </row>
    <row r="3670" spans="1:15" x14ac:dyDescent="0.35">
      <c r="A3670" s="321"/>
      <c r="B3670" s="320" t="str">
        <f t="shared" si="151"/>
        <v>PV9-102</v>
      </c>
      <c r="C3670" s="161"/>
      <c r="D3670" s="161"/>
      <c r="E3670" s="161"/>
      <c r="F3670" s="161"/>
      <c r="G3670" s="161"/>
      <c r="H3670" s="161"/>
      <c r="I3670" s="161"/>
      <c r="J3670" s="161"/>
      <c r="K3670" s="166">
        <f t="shared" si="152"/>
        <v>1.3307654975296135E-3</v>
      </c>
      <c r="L3670" s="161"/>
      <c r="M3670" s="161"/>
      <c r="N3670" s="188">
        <f t="shared" si="153"/>
        <v>2.9572566611769187</v>
      </c>
      <c r="O3670" s="188"/>
    </row>
    <row r="3671" spans="1:15" x14ac:dyDescent="0.35">
      <c r="A3671" s="321"/>
      <c r="B3671" s="320" t="str">
        <f t="shared" si="151"/>
        <v>PV1-103</v>
      </c>
      <c r="C3671" s="161"/>
      <c r="D3671" s="161"/>
      <c r="E3671" s="161"/>
      <c r="F3671" s="161"/>
      <c r="G3671" s="161"/>
      <c r="H3671" s="161"/>
      <c r="I3671" s="161"/>
      <c r="J3671" s="161"/>
      <c r="K3671" s="166">
        <f t="shared" si="152"/>
        <v>1.3307654975296135E-3</v>
      </c>
      <c r="L3671" s="161"/>
      <c r="M3671" s="161"/>
      <c r="N3671" s="188">
        <f t="shared" si="153"/>
        <v>2.9572566611769187</v>
      </c>
      <c r="O3671" s="188"/>
    </row>
    <row r="3672" spans="1:15" x14ac:dyDescent="0.35">
      <c r="A3672" s="321"/>
      <c r="B3672" s="320" t="str">
        <f t="shared" si="151"/>
        <v>PV2-103</v>
      </c>
      <c r="C3672" s="161"/>
      <c r="D3672" s="161"/>
      <c r="E3672" s="161"/>
      <c r="F3672" s="161"/>
      <c r="G3672" s="161"/>
      <c r="H3672" s="161"/>
      <c r="I3672" s="161"/>
      <c r="J3672" s="161"/>
      <c r="K3672" s="166">
        <f t="shared" si="152"/>
        <v>1.3307654975296135E-3</v>
      </c>
      <c r="L3672" s="161"/>
      <c r="M3672" s="161"/>
      <c r="N3672" s="188">
        <f t="shared" si="153"/>
        <v>2.9572566611769187</v>
      </c>
      <c r="O3672" s="188"/>
    </row>
    <row r="3673" spans="1:15" x14ac:dyDescent="0.35">
      <c r="A3673" s="321"/>
      <c r="B3673" s="320" t="str">
        <f t="shared" si="151"/>
        <v>PV3-103</v>
      </c>
      <c r="C3673" s="161"/>
      <c r="D3673" s="161"/>
      <c r="E3673" s="161"/>
      <c r="F3673" s="161"/>
      <c r="G3673" s="161"/>
      <c r="H3673" s="161"/>
      <c r="I3673" s="161"/>
      <c r="J3673" s="161"/>
      <c r="K3673" s="166">
        <f t="shared" si="152"/>
        <v>1.3307654975296135E-3</v>
      </c>
      <c r="L3673" s="161"/>
      <c r="M3673" s="161"/>
      <c r="N3673" s="188">
        <f t="shared" si="153"/>
        <v>2.9572566611769187</v>
      </c>
      <c r="O3673" s="188"/>
    </row>
    <row r="3674" spans="1:15" x14ac:dyDescent="0.35">
      <c r="A3674" s="321"/>
      <c r="B3674" s="320" t="str">
        <f t="shared" si="151"/>
        <v>PV1-104</v>
      </c>
      <c r="C3674" s="161"/>
      <c r="D3674" s="161"/>
      <c r="E3674" s="161"/>
      <c r="F3674" s="161"/>
      <c r="G3674" s="161"/>
      <c r="H3674" s="161"/>
      <c r="I3674" s="161"/>
      <c r="J3674" s="161"/>
      <c r="K3674" s="166">
        <f t="shared" si="152"/>
        <v>1.3307654975296135E-3</v>
      </c>
      <c r="L3674" s="161"/>
      <c r="M3674" s="161"/>
      <c r="N3674" s="188">
        <f t="shared" si="153"/>
        <v>2.9572566611769187</v>
      </c>
      <c r="O3674" s="188"/>
    </row>
    <row r="3675" spans="1:15" x14ac:dyDescent="0.35">
      <c r="A3675" s="321"/>
      <c r="B3675" s="320" t="str">
        <f t="shared" si="151"/>
        <v>PV2-104</v>
      </c>
      <c r="C3675" s="161"/>
      <c r="D3675" s="161"/>
      <c r="E3675" s="161"/>
      <c r="F3675" s="161"/>
      <c r="G3675" s="161"/>
      <c r="H3675" s="161"/>
      <c r="I3675" s="161"/>
      <c r="J3675" s="161"/>
      <c r="K3675" s="166">
        <f t="shared" si="152"/>
        <v>1.3307654975296135E-3</v>
      </c>
      <c r="L3675" s="161"/>
      <c r="M3675" s="161"/>
      <c r="N3675" s="188">
        <f t="shared" si="153"/>
        <v>2.9572566611769187</v>
      </c>
      <c r="O3675" s="188"/>
    </row>
    <row r="3676" spans="1:15" x14ac:dyDescent="0.35">
      <c r="A3676" s="321"/>
      <c r="B3676" s="320" t="str">
        <f t="shared" si="151"/>
        <v>PV3-104</v>
      </c>
      <c r="C3676" s="161"/>
      <c r="D3676" s="161"/>
      <c r="E3676" s="161"/>
      <c r="F3676" s="161"/>
      <c r="G3676" s="161"/>
      <c r="H3676" s="161"/>
      <c r="I3676" s="161"/>
      <c r="J3676" s="161"/>
      <c r="K3676" s="166">
        <f t="shared" si="152"/>
        <v>1.3307654975296135E-3</v>
      </c>
      <c r="L3676" s="161"/>
      <c r="M3676" s="161"/>
      <c r="N3676" s="188">
        <f t="shared" si="153"/>
        <v>2.9572566611769187</v>
      </c>
      <c r="O3676" s="188"/>
    </row>
    <row r="3677" spans="1:15" x14ac:dyDescent="0.35">
      <c r="A3677" s="321"/>
      <c r="B3677" s="320" t="str">
        <f t="shared" si="151"/>
        <v>PV1-105</v>
      </c>
      <c r="C3677" s="161"/>
      <c r="D3677" s="161"/>
      <c r="E3677" s="161"/>
      <c r="F3677" s="161"/>
      <c r="G3677" s="161"/>
      <c r="H3677" s="161"/>
      <c r="I3677" s="161"/>
      <c r="J3677" s="161"/>
      <c r="K3677" s="166">
        <f t="shared" si="152"/>
        <v>1.3307654975296135E-3</v>
      </c>
      <c r="L3677" s="161"/>
      <c r="M3677" s="161"/>
      <c r="N3677" s="188">
        <f t="shared" si="153"/>
        <v>2.9572566611769187</v>
      </c>
      <c r="O3677" s="188"/>
    </row>
    <row r="3678" spans="1:15" x14ac:dyDescent="0.35">
      <c r="A3678" s="321"/>
      <c r="B3678" s="320" t="str">
        <f t="shared" si="151"/>
        <v>PV2-105</v>
      </c>
      <c r="C3678" s="161"/>
      <c r="D3678" s="161"/>
      <c r="E3678" s="161"/>
      <c r="F3678" s="161"/>
      <c r="G3678" s="161"/>
      <c r="H3678" s="161"/>
      <c r="I3678" s="161"/>
      <c r="J3678" s="161"/>
      <c r="K3678" s="166">
        <f t="shared" si="152"/>
        <v>1.3307654975296135E-3</v>
      </c>
      <c r="L3678" s="161"/>
      <c r="M3678" s="161"/>
      <c r="N3678" s="188">
        <f t="shared" si="153"/>
        <v>2.9572566611769187</v>
      </c>
      <c r="O3678" s="188"/>
    </row>
    <row r="3679" spans="1:15" x14ac:dyDescent="0.35">
      <c r="A3679" s="321"/>
      <c r="B3679" s="320" t="str">
        <f t="shared" si="151"/>
        <v>PV3-105</v>
      </c>
      <c r="C3679" s="161"/>
      <c r="D3679" s="161"/>
      <c r="E3679" s="161"/>
      <c r="F3679" s="161"/>
      <c r="G3679" s="161"/>
      <c r="H3679" s="161"/>
      <c r="I3679" s="161"/>
      <c r="J3679" s="161"/>
      <c r="K3679" s="166">
        <f t="shared" si="152"/>
        <v>1.3307654975296135E-3</v>
      </c>
      <c r="L3679" s="161"/>
      <c r="M3679" s="161"/>
      <c r="N3679" s="188">
        <f t="shared" si="153"/>
        <v>2.9572566611769187</v>
      </c>
      <c r="O3679" s="188"/>
    </row>
    <row r="3680" spans="1:15" x14ac:dyDescent="0.35">
      <c r="A3680" s="321"/>
      <c r="B3680" s="320" t="str">
        <f t="shared" si="151"/>
        <v>PV1-106</v>
      </c>
      <c r="C3680" s="161"/>
      <c r="D3680" s="161"/>
      <c r="E3680" s="161"/>
      <c r="F3680" s="161"/>
      <c r="G3680" s="161"/>
      <c r="H3680" s="161"/>
      <c r="I3680" s="161"/>
      <c r="J3680" s="161"/>
      <c r="K3680" s="166">
        <f t="shared" si="152"/>
        <v>1.3307654975296135E-3</v>
      </c>
      <c r="L3680" s="161"/>
      <c r="M3680" s="161"/>
      <c r="N3680" s="188">
        <f t="shared" si="153"/>
        <v>2.9572566611769187</v>
      </c>
      <c r="O3680" s="188"/>
    </row>
    <row r="3681" spans="1:15" x14ac:dyDescent="0.35">
      <c r="A3681" s="321"/>
      <c r="B3681" s="320" t="str">
        <f t="shared" si="151"/>
        <v>PV2-106</v>
      </c>
      <c r="C3681" s="161"/>
      <c r="D3681" s="161"/>
      <c r="E3681" s="161"/>
      <c r="F3681" s="161"/>
      <c r="G3681" s="161"/>
      <c r="H3681" s="161"/>
      <c r="I3681" s="161"/>
      <c r="J3681" s="161"/>
      <c r="K3681" s="166">
        <f t="shared" si="152"/>
        <v>1.3307654975296135E-3</v>
      </c>
      <c r="L3681" s="161"/>
      <c r="M3681" s="161"/>
      <c r="N3681" s="188">
        <f t="shared" si="153"/>
        <v>2.9572566611769187</v>
      </c>
      <c r="O3681" s="188"/>
    </row>
    <row r="3682" spans="1:15" x14ac:dyDescent="0.35">
      <c r="A3682" s="321"/>
      <c r="B3682" s="320" t="str">
        <f t="shared" si="151"/>
        <v>PV3-106</v>
      </c>
      <c r="C3682" s="161"/>
      <c r="D3682" s="161"/>
      <c r="E3682" s="161"/>
      <c r="F3682" s="161"/>
      <c r="G3682" s="161"/>
      <c r="H3682" s="161"/>
      <c r="I3682" s="161"/>
      <c r="J3682" s="161"/>
      <c r="K3682" s="166">
        <f t="shared" si="152"/>
        <v>1.3307654975296135E-3</v>
      </c>
      <c r="L3682" s="161"/>
      <c r="M3682" s="161"/>
      <c r="N3682" s="188">
        <f t="shared" si="153"/>
        <v>2.9572566611769187</v>
      </c>
      <c r="O3682" s="188"/>
    </row>
    <row r="3683" spans="1:15" x14ac:dyDescent="0.35">
      <c r="A3683" s="321"/>
      <c r="B3683" s="320" t="str">
        <f t="shared" si="151"/>
        <v>PV1-107</v>
      </c>
      <c r="C3683" s="161"/>
      <c r="D3683" s="161"/>
      <c r="E3683" s="161"/>
      <c r="F3683" s="161"/>
      <c r="G3683" s="161"/>
      <c r="H3683" s="161"/>
      <c r="I3683" s="161"/>
      <c r="J3683" s="161"/>
      <c r="K3683" s="166">
        <f t="shared" si="152"/>
        <v>1.3307654975296135E-3</v>
      </c>
      <c r="L3683" s="161"/>
      <c r="M3683" s="161"/>
      <c r="N3683" s="188">
        <f t="shared" si="153"/>
        <v>2.9572566611769187</v>
      </c>
      <c r="O3683" s="188"/>
    </row>
    <row r="3684" spans="1:15" x14ac:dyDescent="0.35">
      <c r="A3684" s="321"/>
      <c r="B3684" s="320" t="str">
        <f t="shared" si="151"/>
        <v>PV2-107</v>
      </c>
      <c r="C3684" s="161"/>
      <c r="D3684" s="161"/>
      <c r="E3684" s="161"/>
      <c r="F3684" s="161"/>
      <c r="G3684" s="161"/>
      <c r="H3684" s="161"/>
      <c r="I3684" s="161"/>
      <c r="J3684" s="161"/>
      <c r="K3684" s="166">
        <f t="shared" si="152"/>
        <v>1.3307654975296135E-3</v>
      </c>
      <c r="L3684" s="161"/>
      <c r="M3684" s="161"/>
      <c r="N3684" s="188">
        <f t="shared" si="153"/>
        <v>2.9572566611769187</v>
      </c>
      <c r="O3684" s="188"/>
    </row>
    <row r="3685" spans="1:15" x14ac:dyDescent="0.35">
      <c r="A3685" s="321"/>
      <c r="B3685" s="320" t="str">
        <f t="shared" si="151"/>
        <v>PV3-107</v>
      </c>
      <c r="C3685" s="161"/>
      <c r="D3685" s="161"/>
      <c r="E3685" s="161"/>
      <c r="F3685" s="161"/>
      <c r="G3685" s="161"/>
      <c r="H3685" s="161"/>
      <c r="I3685" s="161"/>
      <c r="J3685" s="161"/>
      <c r="K3685" s="166">
        <f t="shared" si="152"/>
        <v>1.3307654975296135E-3</v>
      </c>
      <c r="L3685" s="161"/>
      <c r="M3685" s="161"/>
      <c r="N3685" s="188">
        <f t="shared" si="153"/>
        <v>2.9572566611769187</v>
      </c>
      <c r="O3685" s="188"/>
    </row>
    <row r="3686" spans="1:15" x14ac:dyDescent="0.35">
      <c r="A3686" s="321"/>
      <c r="B3686" s="320" t="str">
        <f t="shared" si="151"/>
        <v>PV1-108</v>
      </c>
      <c r="C3686" s="161"/>
      <c r="D3686" s="161"/>
      <c r="E3686" s="161"/>
      <c r="F3686" s="161"/>
      <c r="G3686" s="161"/>
      <c r="H3686" s="161"/>
      <c r="I3686" s="161"/>
      <c r="J3686" s="161"/>
      <c r="K3686" s="166">
        <f t="shared" si="152"/>
        <v>1.3307654975296135E-3</v>
      </c>
      <c r="L3686" s="161"/>
      <c r="M3686" s="161"/>
      <c r="N3686" s="188">
        <f t="shared" si="153"/>
        <v>2.9572566611769187</v>
      </c>
      <c r="O3686" s="188"/>
    </row>
    <row r="3687" spans="1:15" x14ac:dyDescent="0.35">
      <c r="A3687" s="321"/>
      <c r="B3687" s="320" t="str">
        <f t="shared" si="151"/>
        <v>PV2-108</v>
      </c>
      <c r="C3687" s="161"/>
      <c r="D3687" s="161"/>
      <c r="E3687" s="161"/>
      <c r="F3687" s="161"/>
      <c r="G3687" s="161"/>
      <c r="H3687" s="161"/>
      <c r="I3687" s="161"/>
      <c r="J3687" s="161"/>
      <c r="K3687" s="166">
        <f t="shared" si="152"/>
        <v>1.3307654975296135E-3</v>
      </c>
      <c r="L3687" s="161"/>
      <c r="M3687" s="161"/>
      <c r="N3687" s="188">
        <f t="shared" si="153"/>
        <v>2.9572566611769187</v>
      </c>
      <c r="O3687" s="188"/>
    </row>
    <row r="3688" spans="1:15" x14ac:dyDescent="0.35">
      <c r="A3688" s="321"/>
      <c r="B3688" s="320" t="str">
        <f t="shared" si="151"/>
        <v>PV3-108</v>
      </c>
      <c r="C3688" s="161"/>
      <c r="D3688" s="161"/>
      <c r="E3688" s="161"/>
      <c r="F3688" s="161"/>
      <c r="G3688" s="161"/>
      <c r="H3688" s="161"/>
      <c r="I3688" s="161"/>
      <c r="J3688" s="161"/>
      <c r="K3688" s="166">
        <f t="shared" si="152"/>
        <v>1.3307654975296135E-3</v>
      </c>
      <c r="L3688" s="161"/>
      <c r="M3688" s="161"/>
      <c r="N3688" s="188">
        <f t="shared" si="153"/>
        <v>2.9572566611769187</v>
      </c>
      <c r="O3688" s="188"/>
    </row>
    <row r="3689" spans="1:15" x14ac:dyDescent="0.35">
      <c r="A3689" s="321"/>
      <c r="B3689" s="320" t="str">
        <f t="shared" si="151"/>
        <v>PV1-109</v>
      </c>
      <c r="C3689" s="161"/>
      <c r="D3689" s="161"/>
      <c r="E3689" s="161"/>
      <c r="F3689" s="161"/>
      <c r="G3689" s="161"/>
      <c r="H3689" s="161"/>
      <c r="I3689" s="161"/>
      <c r="J3689" s="161"/>
      <c r="K3689" s="166">
        <f t="shared" si="152"/>
        <v>1.3307654975296135E-3</v>
      </c>
      <c r="L3689" s="161"/>
      <c r="M3689" s="161"/>
      <c r="N3689" s="188">
        <f t="shared" si="153"/>
        <v>2.9572566611769187</v>
      </c>
      <c r="O3689" s="188"/>
    </row>
    <row r="3690" spans="1:15" x14ac:dyDescent="0.35">
      <c r="A3690" s="321"/>
      <c r="B3690" s="320" t="str">
        <f t="shared" si="151"/>
        <v>PV2-109</v>
      </c>
      <c r="C3690" s="161"/>
      <c r="D3690" s="161"/>
      <c r="E3690" s="161"/>
      <c r="F3690" s="161"/>
      <c r="G3690" s="161"/>
      <c r="H3690" s="161"/>
      <c r="I3690" s="161"/>
      <c r="J3690" s="161"/>
      <c r="K3690" s="166">
        <f t="shared" si="152"/>
        <v>1.3307654975296135E-3</v>
      </c>
      <c r="L3690" s="161"/>
      <c r="M3690" s="161"/>
      <c r="N3690" s="188">
        <f t="shared" si="153"/>
        <v>2.9572566611769187</v>
      </c>
      <c r="O3690" s="188"/>
    </row>
    <row r="3691" spans="1:15" x14ac:dyDescent="0.35">
      <c r="A3691" s="321"/>
      <c r="B3691" s="320" t="str">
        <f t="shared" si="151"/>
        <v>PV3-109</v>
      </c>
      <c r="C3691" s="161"/>
      <c r="D3691" s="161"/>
      <c r="E3691" s="161"/>
      <c r="F3691" s="161"/>
      <c r="G3691" s="161"/>
      <c r="H3691" s="161"/>
      <c r="I3691" s="161"/>
      <c r="J3691" s="161"/>
      <c r="K3691" s="166">
        <f t="shared" si="152"/>
        <v>1.3307654975296135E-3</v>
      </c>
      <c r="L3691" s="161"/>
      <c r="M3691" s="161"/>
      <c r="N3691" s="188">
        <f t="shared" si="153"/>
        <v>2.9572566611769187</v>
      </c>
      <c r="O3691" s="188"/>
    </row>
    <row r="3692" spans="1:15" x14ac:dyDescent="0.35">
      <c r="A3692" s="321"/>
      <c r="B3692" s="320" t="str">
        <f t="shared" si="151"/>
        <v>PV1-110</v>
      </c>
      <c r="C3692" s="161"/>
      <c r="D3692" s="161"/>
      <c r="E3692" s="161"/>
      <c r="F3692" s="161"/>
      <c r="G3692" s="161"/>
      <c r="H3692" s="161"/>
      <c r="I3692" s="161"/>
      <c r="J3692" s="161"/>
      <c r="K3692" s="166">
        <f t="shared" si="152"/>
        <v>1.3307654975296135E-3</v>
      </c>
      <c r="L3692" s="161"/>
      <c r="M3692" s="161"/>
      <c r="N3692" s="188">
        <f t="shared" si="153"/>
        <v>2.9572566611769187</v>
      </c>
      <c r="O3692" s="188"/>
    </row>
    <row r="3693" spans="1:15" x14ac:dyDescent="0.35">
      <c r="A3693" s="321"/>
      <c r="B3693" s="320" t="str">
        <f t="shared" si="151"/>
        <v>PV2-110</v>
      </c>
      <c r="C3693" s="161"/>
      <c r="D3693" s="161"/>
      <c r="E3693" s="161"/>
      <c r="F3693" s="161"/>
      <c r="G3693" s="161"/>
      <c r="H3693" s="161"/>
      <c r="I3693" s="161"/>
      <c r="J3693" s="161"/>
      <c r="K3693" s="166">
        <f t="shared" si="152"/>
        <v>1.3307654975296135E-3</v>
      </c>
      <c r="L3693" s="161"/>
      <c r="M3693" s="161"/>
      <c r="N3693" s="188">
        <f t="shared" si="153"/>
        <v>2.9572566611769187</v>
      </c>
      <c r="O3693" s="188"/>
    </row>
    <row r="3694" spans="1:15" x14ac:dyDescent="0.35">
      <c r="A3694" s="321"/>
      <c r="B3694" s="320" t="str">
        <f t="shared" si="151"/>
        <v>PV3-110</v>
      </c>
      <c r="C3694" s="161"/>
      <c r="D3694" s="161"/>
      <c r="E3694" s="161"/>
      <c r="F3694" s="161"/>
      <c r="G3694" s="161"/>
      <c r="H3694" s="161"/>
      <c r="I3694" s="161"/>
      <c r="J3694" s="161"/>
      <c r="K3694" s="166">
        <f t="shared" si="152"/>
        <v>1.3307654975296135E-3</v>
      </c>
      <c r="L3694" s="161"/>
      <c r="M3694" s="161"/>
      <c r="N3694" s="188">
        <f t="shared" si="153"/>
        <v>2.9572566611769187</v>
      </c>
      <c r="O3694" s="188"/>
    </row>
    <row r="3695" spans="1:15" x14ac:dyDescent="0.35">
      <c r="A3695" s="321"/>
      <c r="B3695" s="320" t="str">
        <f t="shared" si="151"/>
        <v>PV1-111</v>
      </c>
      <c r="C3695" s="161"/>
      <c r="D3695" s="161"/>
      <c r="E3695" s="161"/>
      <c r="F3695" s="161"/>
      <c r="G3695" s="161"/>
      <c r="H3695" s="161"/>
      <c r="I3695" s="161"/>
      <c r="J3695" s="161"/>
      <c r="K3695" s="166">
        <f t="shared" si="152"/>
        <v>1.3307654975296135E-3</v>
      </c>
      <c r="L3695" s="161"/>
      <c r="M3695" s="161"/>
      <c r="N3695" s="188">
        <f t="shared" si="153"/>
        <v>2.9572566611769187</v>
      </c>
      <c r="O3695" s="188"/>
    </row>
    <row r="3696" spans="1:15" x14ac:dyDescent="0.35">
      <c r="A3696" s="321"/>
      <c r="B3696" s="320" t="str">
        <f t="shared" si="151"/>
        <v>PV2-111</v>
      </c>
      <c r="C3696" s="161"/>
      <c r="D3696" s="161"/>
      <c r="E3696" s="161"/>
      <c r="F3696" s="161"/>
      <c r="G3696" s="161"/>
      <c r="H3696" s="161"/>
      <c r="I3696" s="161"/>
      <c r="J3696" s="161"/>
      <c r="K3696" s="166">
        <f t="shared" si="152"/>
        <v>1.3307654975296135E-3</v>
      </c>
      <c r="L3696" s="161"/>
      <c r="M3696" s="161"/>
      <c r="N3696" s="188">
        <f t="shared" si="153"/>
        <v>2.9572566611769187</v>
      </c>
      <c r="O3696" s="188"/>
    </row>
    <row r="3697" spans="1:15" x14ac:dyDescent="0.35">
      <c r="A3697" s="321"/>
      <c r="B3697" s="320" t="str">
        <f t="shared" si="151"/>
        <v>PV3-111</v>
      </c>
      <c r="C3697" s="161"/>
      <c r="D3697" s="161"/>
      <c r="E3697" s="161"/>
      <c r="F3697" s="161"/>
      <c r="G3697" s="161"/>
      <c r="H3697" s="161"/>
      <c r="I3697" s="161"/>
      <c r="J3697" s="161"/>
      <c r="K3697" s="166">
        <f t="shared" si="152"/>
        <v>1.3307654975296135E-3</v>
      </c>
      <c r="L3697" s="161"/>
      <c r="M3697" s="161"/>
      <c r="N3697" s="188">
        <f t="shared" si="153"/>
        <v>2.9572566611769187</v>
      </c>
      <c r="O3697" s="188"/>
    </row>
    <row r="3698" spans="1:15" x14ac:dyDescent="0.35">
      <c r="A3698" s="321"/>
      <c r="B3698" s="320" t="str">
        <f t="shared" ref="B3698:B3729" si="154">B3236</f>
        <v>PV4-111</v>
      </c>
      <c r="C3698" s="161"/>
      <c r="D3698" s="161"/>
      <c r="E3698" s="161"/>
      <c r="F3698" s="161"/>
      <c r="G3698" s="161"/>
      <c r="H3698" s="161"/>
      <c r="I3698" s="161"/>
      <c r="J3698" s="161"/>
      <c r="K3698" s="166">
        <f t="shared" ref="K3698:K3731" si="155">$L$3665*N3698</f>
        <v>1.3307654975296135E-3</v>
      </c>
      <c r="L3698" s="161"/>
      <c r="M3698" s="161"/>
      <c r="N3698" s="188">
        <f t="shared" ref="N3698:N3729" si="156">N3236</f>
        <v>2.9572566611769187</v>
      </c>
      <c r="O3698" s="188"/>
    </row>
    <row r="3699" spans="1:15" x14ac:dyDescent="0.35">
      <c r="A3699" s="321"/>
      <c r="B3699" s="320" t="str">
        <f t="shared" si="154"/>
        <v>PV5-111</v>
      </c>
      <c r="C3699" s="161"/>
      <c r="D3699" s="161"/>
      <c r="E3699" s="161"/>
      <c r="F3699" s="161"/>
      <c r="G3699" s="161"/>
      <c r="H3699" s="161"/>
      <c r="I3699" s="161"/>
      <c r="J3699" s="161"/>
      <c r="K3699" s="166">
        <f t="shared" si="155"/>
        <v>1.3307654975296135E-3</v>
      </c>
      <c r="L3699" s="161"/>
      <c r="M3699" s="161"/>
      <c r="N3699" s="188">
        <f t="shared" si="156"/>
        <v>2.9572566611769187</v>
      </c>
      <c r="O3699" s="188"/>
    </row>
    <row r="3700" spans="1:15" x14ac:dyDescent="0.35">
      <c r="A3700" s="321"/>
      <c r="B3700" s="320" t="str">
        <f t="shared" si="154"/>
        <v>PV7-111</v>
      </c>
      <c r="C3700" s="161"/>
      <c r="D3700" s="161"/>
      <c r="E3700" s="161"/>
      <c r="F3700" s="161"/>
      <c r="G3700" s="161"/>
      <c r="H3700" s="161"/>
      <c r="I3700" s="161"/>
      <c r="J3700" s="161"/>
      <c r="K3700" s="166">
        <f t="shared" si="155"/>
        <v>1.3307654975296135E-3</v>
      </c>
      <c r="L3700" s="161"/>
      <c r="M3700" s="161"/>
      <c r="N3700" s="188">
        <f t="shared" si="156"/>
        <v>2.9572566611769187</v>
      </c>
      <c r="O3700" s="188"/>
    </row>
    <row r="3701" spans="1:15" x14ac:dyDescent="0.35">
      <c r="A3701" s="321"/>
      <c r="B3701" s="320" t="str">
        <f t="shared" si="154"/>
        <v>PV8-111</v>
      </c>
      <c r="C3701" s="161"/>
      <c r="D3701" s="161"/>
      <c r="E3701" s="161"/>
      <c r="F3701" s="161"/>
      <c r="G3701" s="161"/>
      <c r="H3701" s="161"/>
      <c r="I3701" s="161"/>
      <c r="J3701" s="161"/>
      <c r="K3701" s="166">
        <f t="shared" si="155"/>
        <v>1.3307654975296135E-3</v>
      </c>
      <c r="L3701" s="161"/>
      <c r="M3701" s="161"/>
      <c r="N3701" s="188">
        <f t="shared" si="156"/>
        <v>2.9572566611769187</v>
      </c>
      <c r="O3701" s="188"/>
    </row>
    <row r="3702" spans="1:15" x14ac:dyDescent="0.35">
      <c r="A3702" s="321"/>
      <c r="B3702" s="320" t="str">
        <f t="shared" si="154"/>
        <v>PV9-111</v>
      </c>
      <c r="C3702" s="161"/>
      <c r="D3702" s="161"/>
      <c r="E3702" s="161"/>
      <c r="F3702" s="161"/>
      <c r="G3702" s="161"/>
      <c r="H3702" s="161"/>
      <c r="I3702" s="161"/>
      <c r="J3702" s="161"/>
      <c r="K3702" s="166">
        <f t="shared" si="155"/>
        <v>1.3307654975296135E-3</v>
      </c>
      <c r="L3702" s="161"/>
      <c r="M3702" s="161"/>
      <c r="N3702" s="188">
        <f t="shared" si="156"/>
        <v>2.9572566611769187</v>
      </c>
      <c r="O3702" s="188"/>
    </row>
    <row r="3703" spans="1:15" x14ac:dyDescent="0.35">
      <c r="A3703" s="321"/>
      <c r="B3703" s="320" t="str">
        <f t="shared" si="154"/>
        <v>PV10-111</v>
      </c>
      <c r="C3703" s="161"/>
      <c r="D3703" s="161"/>
      <c r="E3703" s="161"/>
      <c r="F3703" s="161"/>
      <c r="G3703" s="161"/>
      <c r="H3703" s="161"/>
      <c r="I3703" s="161"/>
      <c r="J3703" s="161"/>
      <c r="K3703" s="166">
        <f t="shared" si="155"/>
        <v>1.3307654975296135E-3</v>
      </c>
      <c r="L3703" s="161"/>
      <c r="M3703" s="161"/>
      <c r="N3703" s="188">
        <f t="shared" si="156"/>
        <v>2.9572566611769187</v>
      </c>
      <c r="O3703" s="188"/>
    </row>
    <row r="3704" spans="1:15" x14ac:dyDescent="0.35">
      <c r="A3704" s="321"/>
      <c r="B3704" s="320" t="str">
        <f t="shared" si="154"/>
        <v>PV1-112</v>
      </c>
      <c r="C3704" s="161"/>
      <c r="D3704" s="161"/>
      <c r="E3704" s="161"/>
      <c r="F3704" s="161"/>
      <c r="G3704" s="161"/>
      <c r="H3704" s="161"/>
      <c r="I3704" s="161"/>
      <c r="J3704" s="161"/>
      <c r="K3704" s="166">
        <f t="shared" si="155"/>
        <v>1.3307654975296135E-3</v>
      </c>
      <c r="L3704" s="161"/>
      <c r="M3704" s="161"/>
      <c r="N3704" s="188">
        <f t="shared" si="156"/>
        <v>2.9572566611769187</v>
      </c>
      <c r="O3704" s="188"/>
    </row>
    <row r="3705" spans="1:15" x14ac:dyDescent="0.35">
      <c r="A3705" s="321"/>
      <c r="B3705" s="320" t="str">
        <f t="shared" si="154"/>
        <v>PV2-112</v>
      </c>
      <c r="C3705" s="161"/>
      <c r="D3705" s="161"/>
      <c r="E3705" s="161"/>
      <c r="F3705" s="161"/>
      <c r="G3705" s="161"/>
      <c r="H3705" s="161"/>
      <c r="I3705" s="161"/>
      <c r="J3705" s="161"/>
      <c r="K3705" s="166">
        <f t="shared" si="155"/>
        <v>1.3307654975296135E-3</v>
      </c>
      <c r="L3705" s="161"/>
      <c r="M3705" s="161"/>
      <c r="N3705" s="188">
        <f t="shared" si="156"/>
        <v>2.9572566611769187</v>
      </c>
      <c r="O3705" s="188"/>
    </row>
    <row r="3706" spans="1:15" x14ac:dyDescent="0.35">
      <c r="A3706" s="321"/>
      <c r="B3706" s="320" t="str">
        <f t="shared" si="154"/>
        <v>PV3-112</v>
      </c>
      <c r="C3706" s="161"/>
      <c r="D3706" s="161"/>
      <c r="E3706" s="161"/>
      <c r="F3706" s="161"/>
      <c r="G3706" s="161"/>
      <c r="H3706" s="161"/>
      <c r="I3706" s="161"/>
      <c r="J3706" s="161"/>
      <c r="K3706" s="166">
        <f t="shared" si="155"/>
        <v>1.3307654975296135E-3</v>
      </c>
      <c r="L3706" s="161"/>
      <c r="M3706" s="161"/>
      <c r="N3706" s="188">
        <f t="shared" si="156"/>
        <v>2.9572566611769187</v>
      </c>
      <c r="O3706" s="188"/>
    </row>
    <row r="3707" spans="1:15" x14ac:dyDescent="0.35">
      <c r="A3707" s="321"/>
      <c r="B3707" s="320" t="str">
        <f t="shared" si="154"/>
        <v>PV1-113</v>
      </c>
      <c r="C3707" s="161"/>
      <c r="D3707" s="161"/>
      <c r="E3707" s="161"/>
      <c r="F3707" s="161"/>
      <c r="G3707" s="161"/>
      <c r="H3707" s="161"/>
      <c r="I3707" s="161"/>
      <c r="J3707" s="161"/>
      <c r="K3707" s="166">
        <f t="shared" si="155"/>
        <v>1.3307654975296135E-3</v>
      </c>
      <c r="L3707" s="161"/>
      <c r="M3707" s="161"/>
      <c r="N3707" s="188">
        <f t="shared" si="156"/>
        <v>2.9572566611769187</v>
      </c>
      <c r="O3707" s="188"/>
    </row>
    <row r="3708" spans="1:15" x14ac:dyDescent="0.35">
      <c r="A3708" s="321"/>
      <c r="B3708" s="320" t="str">
        <f t="shared" si="154"/>
        <v>PV2-113</v>
      </c>
      <c r="C3708" s="161"/>
      <c r="D3708" s="161"/>
      <c r="E3708" s="161"/>
      <c r="F3708" s="161"/>
      <c r="G3708" s="161"/>
      <c r="H3708" s="161"/>
      <c r="I3708" s="161"/>
      <c r="J3708" s="161"/>
      <c r="K3708" s="166">
        <f t="shared" si="155"/>
        <v>1.3307654975296135E-3</v>
      </c>
      <c r="L3708" s="161"/>
      <c r="M3708" s="161"/>
      <c r="N3708" s="188">
        <f t="shared" si="156"/>
        <v>2.9572566611769187</v>
      </c>
      <c r="O3708" s="188"/>
    </row>
    <row r="3709" spans="1:15" x14ac:dyDescent="0.35">
      <c r="A3709" s="321"/>
      <c r="B3709" s="320" t="str">
        <f t="shared" si="154"/>
        <v>PV3-113</v>
      </c>
      <c r="C3709" s="161"/>
      <c r="D3709" s="161"/>
      <c r="E3709" s="161"/>
      <c r="F3709" s="161"/>
      <c r="G3709" s="161"/>
      <c r="H3709" s="161"/>
      <c r="I3709" s="161"/>
      <c r="J3709" s="161"/>
      <c r="K3709" s="166">
        <f t="shared" si="155"/>
        <v>1.3307654975296135E-3</v>
      </c>
      <c r="L3709" s="161"/>
      <c r="M3709" s="161"/>
      <c r="N3709" s="188">
        <f t="shared" si="156"/>
        <v>2.9572566611769187</v>
      </c>
      <c r="O3709" s="188"/>
    </row>
    <row r="3710" spans="1:15" x14ac:dyDescent="0.35">
      <c r="A3710" s="321"/>
      <c r="B3710" s="320" t="str">
        <f t="shared" si="154"/>
        <v>PV1-114</v>
      </c>
      <c r="C3710" s="161"/>
      <c r="D3710" s="161"/>
      <c r="E3710" s="161"/>
      <c r="F3710" s="161"/>
      <c r="G3710" s="161"/>
      <c r="H3710" s="161"/>
      <c r="I3710" s="161"/>
      <c r="J3710" s="161"/>
      <c r="K3710" s="166">
        <f t="shared" si="155"/>
        <v>1.3307654975296135E-3</v>
      </c>
      <c r="L3710" s="161"/>
      <c r="M3710" s="161"/>
      <c r="N3710" s="188">
        <f t="shared" si="156"/>
        <v>2.9572566611769187</v>
      </c>
      <c r="O3710" s="188"/>
    </row>
    <row r="3711" spans="1:15" x14ac:dyDescent="0.35">
      <c r="A3711" s="321"/>
      <c r="B3711" s="320" t="str">
        <f t="shared" si="154"/>
        <v>PV2-114</v>
      </c>
      <c r="C3711" s="161"/>
      <c r="D3711" s="161"/>
      <c r="E3711" s="161"/>
      <c r="F3711" s="161"/>
      <c r="G3711" s="161"/>
      <c r="H3711" s="161"/>
      <c r="I3711" s="161"/>
      <c r="J3711" s="161"/>
      <c r="K3711" s="166">
        <f t="shared" si="155"/>
        <v>1.3307654975296135E-3</v>
      </c>
      <c r="L3711" s="161"/>
      <c r="M3711" s="161"/>
      <c r="N3711" s="188">
        <f t="shared" si="156"/>
        <v>2.9572566611769187</v>
      </c>
      <c r="O3711" s="188"/>
    </row>
    <row r="3712" spans="1:15" x14ac:dyDescent="0.35">
      <c r="A3712" s="321"/>
      <c r="B3712" s="320" t="str">
        <f t="shared" si="154"/>
        <v>PV3-114</v>
      </c>
      <c r="C3712" s="161"/>
      <c r="D3712" s="161"/>
      <c r="E3712" s="161"/>
      <c r="F3712" s="161"/>
      <c r="G3712" s="161"/>
      <c r="H3712" s="161"/>
      <c r="I3712" s="161"/>
      <c r="J3712" s="161"/>
      <c r="K3712" s="166">
        <f t="shared" si="155"/>
        <v>1.3307654975296135E-3</v>
      </c>
      <c r="L3712" s="161"/>
      <c r="M3712" s="161"/>
      <c r="N3712" s="188">
        <f t="shared" si="156"/>
        <v>2.9572566611769187</v>
      </c>
      <c r="O3712" s="188"/>
    </row>
    <row r="3713" spans="1:15" x14ac:dyDescent="0.35">
      <c r="A3713" s="321"/>
      <c r="B3713" s="320" t="str">
        <f t="shared" si="154"/>
        <v>PV1-115</v>
      </c>
      <c r="C3713" s="161"/>
      <c r="D3713" s="161"/>
      <c r="E3713" s="161"/>
      <c r="F3713" s="161"/>
      <c r="G3713" s="161"/>
      <c r="H3713" s="161"/>
      <c r="I3713" s="161"/>
      <c r="J3713" s="161"/>
      <c r="K3713" s="166">
        <f t="shared" si="155"/>
        <v>1.3307654975296135E-3</v>
      </c>
      <c r="L3713" s="161"/>
      <c r="M3713" s="161"/>
      <c r="N3713" s="188">
        <f t="shared" si="156"/>
        <v>2.9572566611769187</v>
      </c>
      <c r="O3713" s="188"/>
    </row>
    <row r="3714" spans="1:15" x14ac:dyDescent="0.35">
      <c r="A3714" s="321"/>
      <c r="B3714" s="320" t="str">
        <f t="shared" si="154"/>
        <v>PV2-115</v>
      </c>
      <c r="C3714" s="161"/>
      <c r="D3714" s="161"/>
      <c r="E3714" s="161"/>
      <c r="F3714" s="161"/>
      <c r="G3714" s="161"/>
      <c r="H3714" s="161"/>
      <c r="I3714" s="161"/>
      <c r="J3714" s="161"/>
      <c r="K3714" s="166">
        <f t="shared" si="155"/>
        <v>1.3307654975296135E-3</v>
      </c>
      <c r="L3714" s="161"/>
      <c r="M3714" s="161"/>
      <c r="N3714" s="188">
        <f t="shared" si="156"/>
        <v>2.9572566611769187</v>
      </c>
      <c r="O3714" s="188"/>
    </row>
    <row r="3715" spans="1:15" x14ac:dyDescent="0.35">
      <c r="A3715" s="321"/>
      <c r="B3715" s="320" t="str">
        <f t="shared" si="154"/>
        <v>PV3-115</v>
      </c>
      <c r="C3715" s="161"/>
      <c r="D3715" s="161"/>
      <c r="E3715" s="161"/>
      <c r="F3715" s="161"/>
      <c r="G3715" s="161"/>
      <c r="H3715" s="161"/>
      <c r="I3715" s="161"/>
      <c r="J3715" s="161"/>
      <c r="K3715" s="166">
        <f t="shared" si="155"/>
        <v>1.3307654975296135E-3</v>
      </c>
      <c r="L3715" s="161"/>
      <c r="M3715" s="161"/>
      <c r="N3715" s="188">
        <f t="shared" si="156"/>
        <v>2.9572566611769187</v>
      </c>
      <c r="O3715" s="188"/>
    </row>
    <row r="3716" spans="1:15" x14ac:dyDescent="0.35">
      <c r="A3716" s="321"/>
      <c r="B3716" s="320" t="str">
        <f t="shared" si="154"/>
        <v>PV4-115</v>
      </c>
      <c r="C3716" s="161"/>
      <c r="D3716" s="161"/>
      <c r="E3716" s="161"/>
      <c r="F3716" s="161"/>
      <c r="G3716" s="161"/>
      <c r="H3716" s="161"/>
      <c r="I3716" s="161"/>
      <c r="J3716" s="161"/>
      <c r="K3716" s="166">
        <f t="shared" si="155"/>
        <v>1.3307654975296135E-3</v>
      </c>
      <c r="L3716" s="161"/>
      <c r="M3716" s="161"/>
      <c r="N3716" s="188">
        <f t="shared" si="156"/>
        <v>2.9572566611769187</v>
      </c>
      <c r="O3716" s="188"/>
    </row>
    <row r="3717" spans="1:15" x14ac:dyDescent="0.35">
      <c r="A3717" s="321"/>
      <c r="B3717" s="320" t="str">
        <f t="shared" si="154"/>
        <v>PV5-115</v>
      </c>
      <c r="C3717" s="161"/>
      <c r="D3717" s="161"/>
      <c r="E3717" s="161"/>
      <c r="F3717" s="161"/>
      <c r="G3717" s="161"/>
      <c r="H3717" s="161"/>
      <c r="I3717" s="161"/>
      <c r="J3717" s="161"/>
      <c r="K3717" s="166">
        <f t="shared" si="155"/>
        <v>1.3307654975296135E-3</v>
      </c>
      <c r="L3717" s="161"/>
      <c r="M3717" s="161"/>
      <c r="N3717" s="188">
        <f t="shared" si="156"/>
        <v>2.9572566611769187</v>
      </c>
      <c r="O3717" s="188"/>
    </row>
    <row r="3718" spans="1:15" x14ac:dyDescent="0.35">
      <c r="A3718" s="321"/>
      <c r="B3718" s="320" t="str">
        <f t="shared" si="154"/>
        <v>PV1-116</v>
      </c>
      <c r="C3718" s="161"/>
      <c r="D3718" s="161"/>
      <c r="E3718" s="161"/>
      <c r="F3718" s="161"/>
      <c r="G3718" s="161"/>
      <c r="H3718" s="161"/>
      <c r="I3718" s="161"/>
      <c r="J3718" s="161"/>
      <c r="K3718" s="166">
        <f t="shared" si="155"/>
        <v>1.3307654975296135E-3</v>
      </c>
      <c r="L3718" s="161"/>
      <c r="M3718" s="161"/>
      <c r="N3718" s="188">
        <f t="shared" si="156"/>
        <v>2.9572566611769187</v>
      </c>
      <c r="O3718" s="188"/>
    </row>
    <row r="3719" spans="1:15" x14ac:dyDescent="0.35">
      <c r="A3719" s="321"/>
      <c r="B3719" s="320" t="str">
        <f t="shared" si="154"/>
        <v>PV2-116</v>
      </c>
      <c r="C3719" s="161"/>
      <c r="D3719" s="161"/>
      <c r="E3719" s="161"/>
      <c r="F3719" s="161"/>
      <c r="G3719" s="161"/>
      <c r="H3719" s="161"/>
      <c r="I3719" s="161"/>
      <c r="J3719" s="161"/>
      <c r="K3719" s="166">
        <f t="shared" si="155"/>
        <v>1.3307654975296135E-3</v>
      </c>
      <c r="L3719" s="161"/>
      <c r="M3719" s="161"/>
      <c r="N3719" s="188">
        <f t="shared" si="156"/>
        <v>2.9572566611769187</v>
      </c>
      <c r="O3719" s="188"/>
    </row>
    <row r="3720" spans="1:15" x14ac:dyDescent="0.35">
      <c r="A3720" s="321"/>
      <c r="B3720" s="320" t="str">
        <f t="shared" si="154"/>
        <v>PV3-116</v>
      </c>
      <c r="C3720" s="161"/>
      <c r="D3720" s="161"/>
      <c r="E3720" s="161"/>
      <c r="F3720" s="161"/>
      <c r="G3720" s="161"/>
      <c r="H3720" s="161"/>
      <c r="I3720" s="161"/>
      <c r="J3720" s="161"/>
      <c r="K3720" s="166">
        <f t="shared" si="155"/>
        <v>1.3307654975296135E-3</v>
      </c>
      <c r="L3720" s="161"/>
      <c r="M3720" s="161"/>
      <c r="N3720" s="188">
        <f t="shared" si="156"/>
        <v>2.9572566611769187</v>
      </c>
      <c r="O3720" s="188"/>
    </row>
    <row r="3721" spans="1:15" x14ac:dyDescent="0.35">
      <c r="A3721" s="321"/>
      <c r="B3721" s="320" t="str">
        <f t="shared" si="154"/>
        <v>PV1-117</v>
      </c>
      <c r="C3721" s="161"/>
      <c r="D3721" s="161"/>
      <c r="E3721" s="161"/>
      <c r="F3721" s="161"/>
      <c r="G3721" s="161"/>
      <c r="H3721" s="161"/>
      <c r="I3721" s="161"/>
      <c r="J3721" s="161"/>
      <c r="K3721" s="166">
        <f t="shared" si="155"/>
        <v>1.3307654975296135E-3</v>
      </c>
      <c r="L3721" s="161"/>
      <c r="M3721" s="161"/>
      <c r="N3721" s="188">
        <f t="shared" si="156"/>
        <v>2.9572566611769187</v>
      </c>
      <c r="O3721" s="188"/>
    </row>
    <row r="3722" spans="1:15" x14ac:dyDescent="0.35">
      <c r="A3722" s="321"/>
      <c r="B3722" s="320" t="str">
        <f t="shared" si="154"/>
        <v>PV2-117</v>
      </c>
      <c r="C3722" s="161"/>
      <c r="D3722" s="161"/>
      <c r="E3722" s="161"/>
      <c r="F3722" s="161"/>
      <c r="G3722" s="161"/>
      <c r="H3722" s="161"/>
      <c r="I3722" s="161"/>
      <c r="J3722" s="161"/>
      <c r="K3722" s="166">
        <f t="shared" si="155"/>
        <v>1.3307654975296135E-3</v>
      </c>
      <c r="L3722" s="161"/>
      <c r="M3722" s="161"/>
      <c r="N3722" s="188">
        <f t="shared" si="156"/>
        <v>2.9572566611769187</v>
      </c>
      <c r="O3722" s="188"/>
    </row>
    <row r="3723" spans="1:15" x14ac:dyDescent="0.35">
      <c r="A3723" s="321"/>
      <c r="B3723" s="320" t="str">
        <f t="shared" si="154"/>
        <v>PV3-117</v>
      </c>
      <c r="C3723" s="161"/>
      <c r="D3723" s="161"/>
      <c r="E3723" s="161"/>
      <c r="F3723" s="161"/>
      <c r="G3723" s="161"/>
      <c r="H3723" s="161"/>
      <c r="I3723" s="161"/>
      <c r="J3723" s="161"/>
      <c r="K3723" s="166">
        <f t="shared" si="155"/>
        <v>1.3307654975296135E-3</v>
      </c>
      <c r="L3723" s="161"/>
      <c r="M3723" s="161"/>
      <c r="N3723" s="188">
        <f t="shared" si="156"/>
        <v>2.9572566611769187</v>
      </c>
      <c r="O3723" s="188"/>
    </row>
    <row r="3724" spans="1:15" x14ac:dyDescent="0.35">
      <c r="A3724" s="321"/>
      <c r="B3724" s="320" t="str">
        <f t="shared" si="154"/>
        <v>PV1-119</v>
      </c>
      <c r="C3724" s="161"/>
      <c r="D3724" s="161"/>
      <c r="E3724" s="161"/>
      <c r="F3724" s="161"/>
      <c r="G3724" s="161"/>
      <c r="H3724" s="161"/>
      <c r="I3724" s="161"/>
      <c r="J3724" s="161"/>
      <c r="K3724" s="166">
        <f t="shared" si="155"/>
        <v>1.3307654975296135E-3</v>
      </c>
      <c r="L3724" s="161"/>
      <c r="M3724" s="161"/>
      <c r="N3724" s="188">
        <f t="shared" si="156"/>
        <v>2.9572566611769187</v>
      </c>
      <c r="O3724" s="188"/>
    </row>
    <row r="3725" spans="1:15" x14ac:dyDescent="0.35">
      <c r="A3725" s="321"/>
      <c r="B3725" s="320" t="str">
        <f t="shared" si="154"/>
        <v>PV2-119</v>
      </c>
      <c r="C3725" s="161"/>
      <c r="D3725" s="161"/>
      <c r="E3725" s="161"/>
      <c r="F3725" s="161"/>
      <c r="G3725" s="161"/>
      <c r="H3725" s="161"/>
      <c r="I3725" s="161"/>
      <c r="J3725" s="161"/>
      <c r="K3725" s="166">
        <f t="shared" si="155"/>
        <v>1.3307654975296135E-3</v>
      </c>
      <c r="L3725" s="161"/>
      <c r="M3725" s="161"/>
      <c r="N3725" s="188">
        <f t="shared" si="156"/>
        <v>2.9572566611769187</v>
      </c>
      <c r="O3725" s="188"/>
    </row>
    <row r="3726" spans="1:15" x14ac:dyDescent="0.35">
      <c r="A3726" s="321"/>
      <c r="B3726" s="320" t="str">
        <f t="shared" si="154"/>
        <v>PV3-119</v>
      </c>
      <c r="C3726" s="161"/>
      <c r="D3726" s="161"/>
      <c r="E3726" s="161"/>
      <c r="F3726" s="161"/>
      <c r="G3726" s="161"/>
      <c r="H3726" s="161"/>
      <c r="I3726" s="161"/>
      <c r="J3726" s="161"/>
      <c r="K3726" s="166">
        <f t="shared" si="155"/>
        <v>1.3307654975296135E-3</v>
      </c>
      <c r="L3726" s="161"/>
      <c r="M3726" s="161"/>
      <c r="N3726" s="188">
        <f t="shared" si="156"/>
        <v>2.9572566611769187</v>
      </c>
      <c r="O3726" s="188"/>
    </row>
    <row r="3727" spans="1:15" x14ac:dyDescent="0.35">
      <c r="A3727" s="321"/>
      <c r="B3727" s="320" t="str">
        <f t="shared" si="154"/>
        <v>PV19-121</v>
      </c>
      <c r="C3727" s="161"/>
      <c r="D3727" s="161"/>
      <c r="E3727" s="161"/>
      <c r="F3727" s="161"/>
      <c r="G3727" s="161"/>
      <c r="H3727" s="161"/>
      <c r="I3727" s="161"/>
      <c r="J3727" s="161"/>
      <c r="K3727" s="166">
        <f t="shared" si="155"/>
        <v>1.3307654975296135E-3</v>
      </c>
      <c r="L3727" s="161"/>
      <c r="M3727" s="161"/>
      <c r="N3727" s="188">
        <f t="shared" si="156"/>
        <v>2.9572566611769187</v>
      </c>
      <c r="O3727" s="188"/>
    </row>
    <row r="3728" spans="1:15" x14ac:dyDescent="0.35">
      <c r="A3728" s="321"/>
      <c r="B3728" s="320" t="str">
        <f t="shared" si="154"/>
        <v>PV6-102</v>
      </c>
      <c r="C3728" s="161"/>
      <c r="D3728" s="161"/>
      <c r="E3728" s="161"/>
      <c r="F3728" s="161"/>
      <c r="G3728" s="161"/>
      <c r="H3728" s="161"/>
      <c r="I3728" s="161"/>
      <c r="J3728" s="161"/>
      <c r="K3728" s="166">
        <f t="shared" si="155"/>
        <v>1.3307654975296135E-3</v>
      </c>
      <c r="L3728" s="161"/>
      <c r="M3728" s="161"/>
      <c r="N3728" s="188">
        <f t="shared" si="156"/>
        <v>2.9572566611769187</v>
      </c>
      <c r="O3728" s="188"/>
    </row>
    <row r="3729" spans="1:15" x14ac:dyDescent="0.35">
      <c r="A3729" s="321"/>
      <c r="B3729" s="320" t="str">
        <f t="shared" si="154"/>
        <v>PV7-102</v>
      </c>
      <c r="C3729" s="161"/>
      <c r="D3729" s="161"/>
      <c r="E3729" s="161"/>
      <c r="F3729" s="161"/>
      <c r="G3729" s="161"/>
      <c r="H3729" s="161"/>
      <c r="I3729" s="161"/>
      <c r="J3729" s="161"/>
      <c r="K3729" s="166">
        <f t="shared" si="155"/>
        <v>1.3307654975296135E-3</v>
      </c>
      <c r="L3729" s="161"/>
      <c r="M3729" s="161"/>
      <c r="N3729" s="188">
        <f t="shared" si="156"/>
        <v>2.9572566611769187</v>
      </c>
      <c r="O3729" s="188"/>
    </row>
    <row r="3730" spans="1:15" x14ac:dyDescent="0.35">
      <c r="A3730" s="321"/>
      <c r="B3730" s="320" t="str">
        <f t="shared" ref="B3730:B3731" si="157">B3268</f>
        <v>PV8-102</v>
      </c>
      <c r="C3730" s="161"/>
      <c r="D3730" s="161"/>
      <c r="E3730" s="161"/>
      <c r="F3730" s="161"/>
      <c r="G3730" s="161"/>
      <c r="H3730" s="161"/>
      <c r="I3730" s="161"/>
      <c r="J3730" s="161"/>
      <c r="K3730" s="166">
        <f t="shared" si="155"/>
        <v>1.3307654975296135E-3</v>
      </c>
      <c r="L3730" s="161"/>
      <c r="M3730" s="161"/>
      <c r="N3730" s="188">
        <f t="shared" ref="N3730:N3731" si="158">N3268</f>
        <v>2.9572566611769187</v>
      </c>
      <c r="O3730" s="188"/>
    </row>
    <row r="3731" spans="1:15" x14ac:dyDescent="0.35">
      <c r="A3731" s="321"/>
      <c r="B3731" s="320" t="str">
        <f t="shared" si="157"/>
        <v>PV6-111</v>
      </c>
      <c r="C3731" s="161"/>
      <c r="D3731" s="161"/>
      <c r="E3731" s="161"/>
      <c r="F3731" s="161"/>
      <c r="G3731" s="161"/>
      <c r="H3731" s="161"/>
      <c r="I3731" s="161"/>
      <c r="J3731" s="161"/>
      <c r="K3731" s="166">
        <f t="shared" si="155"/>
        <v>1.3307654975296135E-3</v>
      </c>
      <c r="L3731" s="161"/>
      <c r="M3731" s="161"/>
      <c r="N3731" s="188">
        <f t="shared" si="158"/>
        <v>2.9572566611769187</v>
      </c>
      <c r="O3731" s="188"/>
    </row>
    <row r="3732" spans="1:15" x14ac:dyDescent="0.35">
      <c r="A3732" s="321"/>
      <c r="B3732" s="320"/>
      <c r="C3732" s="161"/>
      <c r="D3732" s="161"/>
      <c r="E3732" s="161"/>
      <c r="F3732" s="161"/>
      <c r="G3732" s="161"/>
      <c r="H3732" s="161"/>
      <c r="I3732" s="161"/>
      <c r="J3732" s="161"/>
      <c r="K3732" s="161"/>
      <c r="L3732" s="161"/>
      <c r="M3732" s="161"/>
      <c r="N3732" s="161"/>
      <c r="O3732" s="324"/>
    </row>
    <row r="3733" spans="1:15" x14ac:dyDescent="0.35">
      <c r="A3733" s="319"/>
      <c r="B3733" s="318" t="s">
        <v>377</v>
      </c>
      <c r="C3733" s="182" t="s">
        <v>402</v>
      </c>
      <c r="D3733" s="182"/>
      <c r="E3733" s="182"/>
      <c r="F3733" s="182"/>
      <c r="G3733" s="182"/>
      <c r="H3733" s="182"/>
      <c r="I3733" s="182"/>
      <c r="J3733" s="182"/>
      <c r="K3733" s="170">
        <f>SUM(K3666:K3731)</f>
        <v>8.7830522836954444E-2</v>
      </c>
      <c r="L3733" s="182"/>
      <c r="M3733" s="182"/>
      <c r="N3733" s="182"/>
      <c r="O3733" s="170"/>
    </row>
    <row r="3734" spans="1:15" ht="21" x14ac:dyDescent="0.35">
      <c r="A3734" s="323" t="str">
        <f>ORÇAMENTO!A548</f>
        <v>5.5.21</v>
      </c>
      <c r="B3734" s="322" t="str">
        <f>VLOOKUP(A3734,ORÇAMENTO!$A:$F,4,0)</f>
        <v>EMULSÃO ASFÁLTICA PARA IMPRIMAÇÃO - FORNECIMENTO E TRANSPORTE</v>
      </c>
      <c r="C3734" s="149" t="str">
        <f>VLOOKUP(A3734,ORÇAMENTO!$A:$F,5,0)</f>
        <v>T</v>
      </c>
      <c r="D3734" s="149">
        <f>SUM(E3804:O3804)</f>
        <v>0.25373262152897957</v>
      </c>
      <c r="E3734" s="149" t="s">
        <v>2149</v>
      </c>
      <c r="F3734" s="149" t="s">
        <v>2150</v>
      </c>
      <c r="G3734" s="149" t="s">
        <v>2151</v>
      </c>
      <c r="H3734" s="149" t="s">
        <v>2152</v>
      </c>
      <c r="I3734" s="149" t="s">
        <v>2153</v>
      </c>
      <c r="J3734" s="149" t="s">
        <v>2154</v>
      </c>
      <c r="K3734" s="149" t="s">
        <v>2172</v>
      </c>
      <c r="L3734" s="149" t="s">
        <v>2213</v>
      </c>
      <c r="M3734" s="149" t="s">
        <v>2204</v>
      </c>
      <c r="N3734" s="149" t="s">
        <v>2157</v>
      </c>
      <c r="O3734" s="149" t="s">
        <v>2158</v>
      </c>
    </row>
    <row r="3735" spans="1:15" x14ac:dyDescent="0.35">
      <c r="A3735" s="321"/>
      <c r="B3735" s="318" t="s">
        <v>2217</v>
      </c>
      <c r="C3735" s="153"/>
      <c r="D3735" s="153"/>
      <c r="E3735" s="154"/>
      <c r="F3735" s="154"/>
      <c r="G3735" s="154"/>
      <c r="H3735" s="154"/>
      <c r="I3735" s="154"/>
      <c r="J3735" s="154"/>
      <c r="K3735" s="154"/>
      <c r="L3735" s="154"/>
      <c r="M3735" s="154"/>
      <c r="N3735" s="154"/>
      <c r="O3735" s="154"/>
    </row>
    <row r="3736" spans="1:15" ht="42" x14ac:dyDescent="0.35">
      <c r="A3736" s="321"/>
      <c r="B3736" s="320" t="s">
        <v>2218</v>
      </c>
      <c r="C3736" s="153"/>
      <c r="D3736" s="154"/>
      <c r="E3736" s="154"/>
      <c r="F3736" s="154"/>
      <c r="G3736" s="154"/>
      <c r="H3736" s="154"/>
      <c r="I3736" s="154"/>
      <c r="J3736" s="154"/>
      <c r="K3736" s="154"/>
      <c r="L3736" s="172">
        <v>1.2999999999999999E-3</v>
      </c>
      <c r="M3736" s="154"/>
      <c r="N3736" s="154"/>
      <c r="O3736" s="154"/>
    </row>
    <row r="3737" spans="1:15" x14ac:dyDescent="0.35">
      <c r="A3737" s="321"/>
      <c r="B3737" s="320" t="str">
        <f t="shared" ref="B3737:B3768" si="159">B3275</f>
        <v>PV2-102</v>
      </c>
      <c r="C3737" s="161"/>
      <c r="D3737" s="161"/>
      <c r="E3737" s="161"/>
      <c r="F3737" s="161"/>
      <c r="G3737" s="161"/>
      <c r="H3737" s="161"/>
      <c r="I3737" s="161"/>
      <c r="J3737" s="161"/>
      <c r="K3737" s="166">
        <f t="shared" ref="K3737:K3768" si="160">$L$3736*N3737</f>
        <v>3.844433659529994E-3</v>
      </c>
      <c r="L3737" s="161"/>
      <c r="M3737" s="161"/>
      <c r="N3737" s="188">
        <f t="shared" ref="N3737:N3768" si="161">N3275</f>
        <v>2.9572566611769187</v>
      </c>
      <c r="O3737" s="188"/>
    </row>
    <row r="3738" spans="1:15" x14ac:dyDescent="0.35">
      <c r="A3738" s="321"/>
      <c r="B3738" s="320" t="str">
        <f t="shared" si="159"/>
        <v>PV3-102</v>
      </c>
      <c r="C3738" s="161"/>
      <c r="D3738" s="161"/>
      <c r="E3738" s="161"/>
      <c r="F3738" s="161"/>
      <c r="G3738" s="161"/>
      <c r="H3738" s="161"/>
      <c r="I3738" s="161"/>
      <c r="J3738" s="161"/>
      <c r="K3738" s="166">
        <f t="shared" si="160"/>
        <v>3.844433659529994E-3</v>
      </c>
      <c r="L3738" s="161"/>
      <c r="M3738" s="161"/>
      <c r="N3738" s="188">
        <f t="shared" si="161"/>
        <v>2.9572566611769187</v>
      </c>
      <c r="O3738" s="188"/>
    </row>
    <row r="3739" spans="1:15" x14ac:dyDescent="0.35">
      <c r="A3739" s="321"/>
      <c r="B3739" s="320" t="str">
        <f t="shared" si="159"/>
        <v>PV4-102</v>
      </c>
      <c r="C3739" s="161"/>
      <c r="D3739" s="161"/>
      <c r="E3739" s="161"/>
      <c r="F3739" s="161"/>
      <c r="G3739" s="161"/>
      <c r="H3739" s="161"/>
      <c r="I3739" s="161"/>
      <c r="J3739" s="161"/>
      <c r="K3739" s="166">
        <f t="shared" si="160"/>
        <v>3.844433659529994E-3</v>
      </c>
      <c r="L3739" s="161"/>
      <c r="M3739" s="161"/>
      <c r="N3739" s="188">
        <f t="shared" si="161"/>
        <v>2.9572566611769187</v>
      </c>
      <c r="O3739" s="188"/>
    </row>
    <row r="3740" spans="1:15" x14ac:dyDescent="0.35">
      <c r="A3740" s="321"/>
      <c r="B3740" s="320" t="str">
        <f t="shared" si="159"/>
        <v>PV5-102</v>
      </c>
      <c r="C3740" s="161"/>
      <c r="D3740" s="161"/>
      <c r="E3740" s="161"/>
      <c r="F3740" s="161"/>
      <c r="G3740" s="161"/>
      <c r="H3740" s="161"/>
      <c r="I3740" s="161"/>
      <c r="J3740" s="161"/>
      <c r="K3740" s="166">
        <f t="shared" si="160"/>
        <v>3.844433659529994E-3</v>
      </c>
      <c r="L3740" s="161"/>
      <c r="M3740" s="161"/>
      <c r="N3740" s="188">
        <f t="shared" si="161"/>
        <v>2.9572566611769187</v>
      </c>
      <c r="O3740" s="188"/>
    </row>
    <row r="3741" spans="1:15" x14ac:dyDescent="0.35">
      <c r="A3741" s="321"/>
      <c r="B3741" s="320" t="str">
        <f t="shared" si="159"/>
        <v>PV9-102</v>
      </c>
      <c r="C3741" s="161"/>
      <c r="D3741" s="161"/>
      <c r="E3741" s="161"/>
      <c r="F3741" s="161"/>
      <c r="G3741" s="161"/>
      <c r="H3741" s="161"/>
      <c r="I3741" s="161"/>
      <c r="J3741" s="161"/>
      <c r="K3741" s="166">
        <f t="shared" si="160"/>
        <v>3.844433659529994E-3</v>
      </c>
      <c r="L3741" s="161"/>
      <c r="M3741" s="161"/>
      <c r="N3741" s="188">
        <f t="shared" si="161"/>
        <v>2.9572566611769187</v>
      </c>
      <c r="O3741" s="188"/>
    </row>
    <row r="3742" spans="1:15" x14ac:dyDescent="0.35">
      <c r="A3742" s="321"/>
      <c r="B3742" s="320" t="str">
        <f t="shared" si="159"/>
        <v>PV1-103</v>
      </c>
      <c r="C3742" s="161"/>
      <c r="D3742" s="161"/>
      <c r="E3742" s="161"/>
      <c r="F3742" s="161"/>
      <c r="G3742" s="161"/>
      <c r="H3742" s="161"/>
      <c r="I3742" s="161"/>
      <c r="J3742" s="161"/>
      <c r="K3742" s="166">
        <f t="shared" si="160"/>
        <v>3.844433659529994E-3</v>
      </c>
      <c r="L3742" s="161"/>
      <c r="M3742" s="161"/>
      <c r="N3742" s="188">
        <f t="shared" si="161"/>
        <v>2.9572566611769187</v>
      </c>
      <c r="O3742" s="188"/>
    </row>
    <row r="3743" spans="1:15" x14ac:dyDescent="0.35">
      <c r="A3743" s="321"/>
      <c r="B3743" s="320" t="str">
        <f t="shared" si="159"/>
        <v>PV2-103</v>
      </c>
      <c r="C3743" s="161"/>
      <c r="D3743" s="161"/>
      <c r="E3743" s="161"/>
      <c r="F3743" s="161"/>
      <c r="G3743" s="161"/>
      <c r="H3743" s="161"/>
      <c r="I3743" s="161"/>
      <c r="J3743" s="161"/>
      <c r="K3743" s="166">
        <f t="shared" si="160"/>
        <v>3.844433659529994E-3</v>
      </c>
      <c r="L3743" s="161"/>
      <c r="M3743" s="161"/>
      <c r="N3743" s="188">
        <f t="shared" si="161"/>
        <v>2.9572566611769187</v>
      </c>
      <c r="O3743" s="188"/>
    </row>
    <row r="3744" spans="1:15" x14ac:dyDescent="0.35">
      <c r="A3744" s="321"/>
      <c r="B3744" s="320" t="str">
        <f t="shared" si="159"/>
        <v>PV3-103</v>
      </c>
      <c r="C3744" s="161"/>
      <c r="D3744" s="161"/>
      <c r="E3744" s="161"/>
      <c r="F3744" s="161"/>
      <c r="G3744" s="161"/>
      <c r="H3744" s="161"/>
      <c r="I3744" s="161"/>
      <c r="J3744" s="161"/>
      <c r="K3744" s="166">
        <f t="shared" si="160"/>
        <v>3.844433659529994E-3</v>
      </c>
      <c r="L3744" s="161"/>
      <c r="M3744" s="161"/>
      <c r="N3744" s="188">
        <f t="shared" si="161"/>
        <v>2.9572566611769187</v>
      </c>
      <c r="O3744" s="188"/>
    </row>
    <row r="3745" spans="1:15" x14ac:dyDescent="0.35">
      <c r="A3745" s="321"/>
      <c r="B3745" s="320" t="str">
        <f t="shared" si="159"/>
        <v>PV1-104</v>
      </c>
      <c r="C3745" s="161"/>
      <c r="D3745" s="161"/>
      <c r="E3745" s="161"/>
      <c r="F3745" s="161"/>
      <c r="G3745" s="161"/>
      <c r="H3745" s="161"/>
      <c r="I3745" s="161"/>
      <c r="J3745" s="161"/>
      <c r="K3745" s="166">
        <f t="shared" si="160"/>
        <v>3.844433659529994E-3</v>
      </c>
      <c r="L3745" s="161"/>
      <c r="M3745" s="161"/>
      <c r="N3745" s="188">
        <f t="shared" si="161"/>
        <v>2.9572566611769187</v>
      </c>
      <c r="O3745" s="188"/>
    </row>
    <row r="3746" spans="1:15" x14ac:dyDescent="0.35">
      <c r="A3746" s="321"/>
      <c r="B3746" s="320" t="str">
        <f t="shared" si="159"/>
        <v>PV2-104</v>
      </c>
      <c r="C3746" s="161"/>
      <c r="D3746" s="161"/>
      <c r="E3746" s="161"/>
      <c r="F3746" s="161"/>
      <c r="G3746" s="161"/>
      <c r="H3746" s="161"/>
      <c r="I3746" s="161"/>
      <c r="J3746" s="161"/>
      <c r="K3746" s="166">
        <f t="shared" si="160"/>
        <v>3.844433659529994E-3</v>
      </c>
      <c r="L3746" s="161"/>
      <c r="M3746" s="161"/>
      <c r="N3746" s="188">
        <f t="shared" si="161"/>
        <v>2.9572566611769187</v>
      </c>
      <c r="O3746" s="188"/>
    </row>
    <row r="3747" spans="1:15" x14ac:dyDescent="0.35">
      <c r="A3747" s="321"/>
      <c r="B3747" s="320" t="str">
        <f t="shared" si="159"/>
        <v>PV3-104</v>
      </c>
      <c r="C3747" s="161"/>
      <c r="D3747" s="161"/>
      <c r="E3747" s="161"/>
      <c r="F3747" s="161"/>
      <c r="G3747" s="161"/>
      <c r="H3747" s="161"/>
      <c r="I3747" s="161"/>
      <c r="J3747" s="161"/>
      <c r="K3747" s="166">
        <f t="shared" si="160"/>
        <v>3.844433659529994E-3</v>
      </c>
      <c r="L3747" s="161"/>
      <c r="M3747" s="161"/>
      <c r="N3747" s="188">
        <f t="shared" si="161"/>
        <v>2.9572566611769187</v>
      </c>
      <c r="O3747" s="188"/>
    </row>
    <row r="3748" spans="1:15" x14ac:dyDescent="0.35">
      <c r="A3748" s="321"/>
      <c r="B3748" s="320" t="str">
        <f t="shared" si="159"/>
        <v>PV1-105</v>
      </c>
      <c r="C3748" s="161"/>
      <c r="D3748" s="161"/>
      <c r="E3748" s="161"/>
      <c r="F3748" s="161"/>
      <c r="G3748" s="161"/>
      <c r="H3748" s="161"/>
      <c r="I3748" s="161"/>
      <c r="J3748" s="161"/>
      <c r="K3748" s="166">
        <f t="shared" si="160"/>
        <v>3.844433659529994E-3</v>
      </c>
      <c r="L3748" s="161"/>
      <c r="M3748" s="161"/>
      <c r="N3748" s="188">
        <f t="shared" si="161"/>
        <v>2.9572566611769187</v>
      </c>
      <c r="O3748" s="188"/>
    </row>
    <row r="3749" spans="1:15" x14ac:dyDescent="0.35">
      <c r="A3749" s="321"/>
      <c r="B3749" s="320" t="str">
        <f t="shared" si="159"/>
        <v>PV2-105</v>
      </c>
      <c r="C3749" s="161"/>
      <c r="D3749" s="161"/>
      <c r="E3749" s="161"/>
      <c r="F3749" s="161"/>
      <c r="G3749" s="161"/>
      <c r="H3749" s="161"/>
      <c r="I3749" s="161"/>
      <c r="J3749" s="161"/>
      <c r="K3749" s="166">
        <f t="shared" si="160"/>
        <v>3.844433659529994E-3</v>
      </c>
      <c r="L3749" s="161"/>
      <c r="M3749" s="161"/>
      <c r="N3749" s="188">
        <f t="shared" si="161"/>
        <v>2.9572566611769187</v>
      </c>
      <c r="O3749" s="188"/>
    </row>
    <row r="3750" spans="1:15" x14ac:dyDescent="0.35">
      <c r="A3750" s="321"/>
      <c r="B3750" s="320" t="str">
        <f t="shared" si="159"/>
        <v>PV3-105</v>
      </c>
      <c r="C3750" s="161"/>
      <c r="D3750" s="161"/>
      <c r="E3750" s="161"/>
      <c r="F3750" s="161"/>
      <c r="G3750" s="161"/>
      <c r="H3750" s="161"/>
      <c r="I3750" s="161"/>
      <c r="J3750" s="161"/>
      <c r="K3750" s="166">
        <f t="shared" si="160"/>
        <v>3.844433659529994E-3</v>
      </c>
      <c r="L3750" s="161"/>
      <c r="M3750" s="161"/>
      <c r="N3750" s="188">
        <f t="shared" si="161"/>
        <v>2.9572566611769187</v>
      </c>
      <c r="O3750" s="188"/>
    </row>
    <row r="3751" spans="1:15" x14ac:dyDescent="0.35">
      <c r="A3751" s="321"/>
      <c r="B3751" s="320" t="str">
        <f t="shared" si="159"/>
        <v>PV1-106</v>
      </c>
      <c r="C3751" s="161"/>
      <c r="D3751" s="161"/>
      <c r="E3751" s="161"/>
      <c r="F3751" s="161"/>
      <c r="G3751" s="161"/>
      <c r="H3751" s="161"/>
      <c r="I3751" s="161"/>
      <c r="J3751" s="161"/>
      <c r="K3751" s="166">
        <f t="shared" si="160"/>
        <v>3.844433659529994E-3</v>
      </c>
      <c r="L3751" s="161"/>
      <c r="M3751" s="161"/>
      <c r="N3751" s="188">
        <f t="shared" si="161"/>
        <v>2.9572566611769187</v>
      </c>
      <c r="O3751" s="188"/>
    </row>
    <row r="3752" spans="1:15" x14ac:dyDescent="0.35">
      <c r="A3752" s="321"/>
      <c r="B3752" s="320" t="str">
        <f t="shared" si="159"/>
        <v>PV2-106</v>
      </c>
      <c r="C3752" s="161"/>
      <c r="D3752" s="161"/>
      <c r="E3752" s="161"/>
      <c r="F3752" s="161"/>
      <c r="G3752" s="161"/>
      <c r="H3752" s="161"/>
      <c r="I3752" s="161"/>
      <c r="J3752" s="161"/>
      <c r="K3752" s="166">
        <f t="shared" si="160"/>
        <v>3.844433659529994E-3</v>
      </c>
      <c r="L3752" s="161"/>
      <c r="M3752" s="161"/>
      <c r="N3752" s="188">
        <f t="shared" si="161"/>
        <v>2.9572566611769187</v>
      </c>
      <c r="O3752" s="188"/>
    </row>
    <row r="3753" spans="1:15" x14ac:dyDescent="0.35">
      <c r="A3753" s="321"/>
      <c r="B3753" s="320" t="str">
        <f t="shared" si="159"/>
        <v>PV3-106</v>
      </c>
      <c r="C3753" s="161"/>
      <c r="D3753" s="161"/>
      <c r="E3753" s="161"/>
      <c r="F3753" s="161"/>
      <c r="G3753" s="161"/>
      <c r="H3753" s="161"/>
      <c r="I3753" s="161"/>
      <c r="J3753" s="161"/>
      <c r="K3753" s="166">
        <f t="shared" si="160"/>
        <v>3.844433659529994E-3</v>
      </c>
      <c r="L3753" s="161"/>
      <c r="M3753" s="161"/>
      <c r="N3753" s="188">
        <f t="shared" si="161"/>
        <v>2.9572566611769187</v>
      </c>
      <c r="O3753" s="188"/>
    </row>
    <row r="3754" spans="1:15" x14ac:dyDescent="0.35">
      <c r="A3754" s="321"/>
      <c r="B3754" s="320" t="str">
        <f t="shared" si="159"/>
        <v>PV1-107</v>
      </c>
      <c r="C3754" s="161"/>
      <c r="D3754" s="161"/>
      <c r="E3754" s="161"/>
      <c r="F3754" s="161"/>
      <c r="G3754" s="161"/>
      <c r="H3754" s="161"/>
      <c r="I3754" s="161"/>
      <c r="J3754" s="161"/>
      <c r="K3754" s="166">
        <f t="shared" si="160"/>
        <v>3.844433659529994E-3</v>
      </c>
      <c r="L3754" s="161"/>
      <c r="M3754" s="161"/>
      <c r="N3754" s="188">
        <f t="shared" si="161"/>
        <v>2.9572566611769187</v>
      </c>
      <c r="O3754" s="188"/>
    </row>
    <row r="3755" spans="1:15" x14ac:dyDescent="0.35">
      <c r="A3755" s="321"/>
      <c r="B3755" s="320" t="str">
        <f t="shared" si="159"/>
        <v>PV2-107</v>
      </c>
      <c r="C3755" s="161"/>
      <c r="D3755" s="161"/>
      <c r="E3755" s="161"/>
      <c r="F3755" s="161"/>
      <c r="G3755" s="161"/>
      <c r="H3755" s="161"/>
      <c r="I3755" s="161"/>
      <c r="J3755" s="161"/>
      <c r="K3755" s="166">
        <f t="shared" si="160"/>
        <v>3.844433659529994E-3</v>
      </c>
      <c r="L3755" s="161"/>
      <c r="M3755" s="161"/>
      <c r="N3755" s="188">
        <f t="shared" si="161"/>
        <v>2.9572566611769187</v>
      </c>
      <c r="O3755" s="188"/>
    </row>
    <row r="3756" spans="1:15" x14ac:dyDescent="0.35">
      <c r="A3756" s="321"/>
      <c r="B3756" s="320" t="str">
        <f t="shared" si="159"/>
        <v>PV3-107</v>
      </c>
      <c r="C3756" s="161"/>
      <c r="D3756" s="161"/>
      <c r="E3756" s="161"/>
      <c r="F3756" s="161"/>
      <c r="G3756" s="161"/>
      <c r="H3756" s="161"/>
      <c r="I3756" s="161"/>
      <c r="J3756" s="161"/>
      <c r="K3756" s="166">
        <f t="shared" si="160"/>
        <v>3.844433659529994E-3</v>
      </c>
      <c r="L3756" s="161"/>
      <c r="M3756" s="161"/>
      <c r="N3756" s="188">
        <f t="shared" si="161"/>
        <v>2.9572566611769187</v>
      </c>
      <c r="O3756" s="188"/>
    </row>
    <row r="3757" spans="1:15" x14ac:dyDescent="0.35">
      <c r="A3757" s="321"/>
      <c r="B3757" s="320" t="str">
        <f t="shared" si="159"/>
        <v>PV1-108</v>
      </c>
      <c r="C3757" s="161"/>
      <c r="D3757" s="161"/>
      <c r="E3757" s="161"/>
      <c r="F3757" s="161"/>
      <c r="G3757" s="161"/>
      <c r="H3757" s="161"/>
      <c r="I3757" s="161"/>
      <c r="J3757" s="161"/>
      <c r="K3757" s="166">
        <f t="shared" si="160"/>
        <v>3.844433659529994E-3</v>
      </c>
      <c r="L3757" s="161"/>
      <c r="M3757" s="161"/>
      <c r="N3757" s="188">
        <f t="shared" si="161"/>
        <v>2.9572566611769187</v>
      </c>
      <c r="O3757" s="188"/>
    </row>
    <row r="3758" spans="1:15" x14ac:dyDescent="0.35">
      <c r="A3758" s="321"/>
      <c r="B3758" s="320" t="str">
        <f t="shared" si="159"/>
        <v>PV2-108</v>
      </c>
      <c r="C3758" s="161"/>
      <c r="D3758" s="161"/>
      <c r="E3758" s="161"/>
      <c r="F3758" s="161"/>
      <c r="G3758" s="161"/>
      <c r="H3758" s="161"/>
      <c r="I3758" s="161"/>
      <c r="J3758" s="161"/>
      <c r="K3758" s="166">
        <f t="shared" si="160"/>
        <v>3.844433659529994E-3</v>
      </c>
      <c r="L3758" s="161"/>
      <c r="M3758" s="161"/>
      <c r="N3758" s="188">
        <f t="shared" si="161"/>
        <v>2.9572566611769187</v>
      </c>
      <c r="O3758" s="188"/>
    </row>
    <row r="3759" spans="1:15" x14ac:dyDescent="0.35">
      <c r="A3759" s="321"/>
      <c r="B3759" s="320" t="str">
        <f t="shared" si="159"/>
        <v>PV3-108</v>
      </c>
      <c r="C3759" s="161"/>
      <c r="D3759" s="161"/>
      <c r="E3759" s="161"/>
      <c r="F3759" s="161"/>
      <c r="G3759" s="161"/>
      <c r="H3759" s="161"/>
      <c r="I3759" s="161"/>
      <c r="J3759" s="161"/>
      <c r="K3759" s="166">
        <f t="shared" si="160"/>
        <v>3.844433659529994E-3</v>
      </c>
      <c r="L3759" s="161"/>
      <c r="M3759" s="161"/>
      <c r="N3759" s="188">
        <f t="shared" si="161"/>
        <v>2.9572566611769187</v>
      </c>
      <c r="O3759" s="188"/>
    </row>
    <row r="3760" spans="1:15" x14ac:dyDescent="0.35">
      <c r="A3760" s="321"/>
      <c r="B3760" s="320" t="str">
        <f t="shared" si="159"/>
        <v>PV1-109</v>
      </c>
      <c r="C3760" s="161"/>
      <c r="D3760" s="161"/>
      <c r="E3760" s="161"/>
      <c r="F3760" s="161"/>
      <c r="G3760" s="161"/>
      <c r="H3760" s="161"/>
      <c r="I3760" s="161"/>
      <c r="J3760" s="161"/>
      <c r="K3760" s="166">
        <f t="shared" si="160"/>
        <v>3.844433659529994E-3</v>
      </c>
      <c r="L3760" s="161"/>
      <c r="M3760" s="161"/>
      <c r="N3760" s="188">
        <f t="shared" si="161"/>
        <v>2.9572566611769187</v>
      </c>
      <c r="O3760" s="188"/>
    </row>
    <row r="3761" spans="1:15" x14ac:dyDescent="0.35">
      <c r="A3761" s="321"/>
      <c r="B3761" s="320" t="str">
        <f t="shared" si="159"/>
        <v>PV2-109</v>
      </c>
      <c r="C3761" s="161"/>
      <c r="D3761" s="161"/>
      <c r="E3761" s="161"/>
      <c r="F3761" s="161"/>
      <c r="G3761" s="161"/>
      <c r="H3761" s="161"/>
      <c r="I3761" s="161"/>
      <c r="J3761" s="161"/>
      <c r="K3761" s="166">
        <f t="shared" si="160"/>
        <v>3.844433659529994E-3</v>
      </c>
      <c r="L3761" s="161"/>
      <c r="M3761" s="161"/>
      <c r="N3761" s="188">
        <f t="shared" si="161"/>
        <v>2.9572566611769187</v>
      </c>
      <c r="O3761" s="188"/>
    </row>
    <row r="3762" spans="1:15" x14ac:dyDescent="0.35">
      <c r="A3762" s="321"/>
      <c r="B3762" s="320" t="str">
        <f t="shared" si="159"/>
        <v>PV3-109</v>
      </c>
      <c r="C3762" s="161"/>
      <c r="D3762" s="161"/>
      <c r="E3762" s="161"/>
      <c r="F3762" s="161"/>
      <c r="G3762" s="161"/>
      <c r="H3762" s="161"/>
      <c r="I3762" s="161"/>
      <c r="J3762" s="161"/>
      <c r="K3762" s="166">
        <f t="shared" si="160"/>
        <v>3.844433659529994E-3</v>
      </c>
      <c r="L3762" s="161"/>
      <c r="M3762" s="161"/>
      <c r="N3762" s="188">
        <f t="shared" si="161"/>
        <v>2.9572566611769187</v>
      </c>
      <c r="O3762" s="188"/>
    </row>
    <row r="3763" spans="1:15" x14ac:dyDescent="0.35">
      <c r="A3763" s="321"/>
      <c r="B3763" s="320" t="str">
        <f t="shared" si="159"/>
        <v>PV1-110</v>
      </c>
      <c r="C3763" s="161"/>
      <c r="D3763" s="161"/>
      <c r="E3763" s="161"/>
      <c r="F3763" s="161"/>
      <c r="G3763" s="161"/>
      <c r="H3763" s="161"/>
      <c r="I3763" s="161"/>
      <c r="J3763" s="161"/>
      <c r="K3763" s="166">
        <f t="shared" si="160"/>
        <v>3.844433659529994E-3</v>
      </c>
      <c r="L3763" s="161"/>
      <c r="M3763" s="161"/>
      <c r="N3763" s="188">
        <f t="shared" si="161"/>
        <v>2.9572566611769187</v>
      </c>
      <c r="O3763" s="188"/>
    </row>
    <row r="3764" spans="1:15" x14ac:dyDescent="0.35">
      <c r="A3764" s="321"/>
      <c r="B3764" s="320" t="str">
        <f t="shared" si="159"/>
        <v>PV2-110</v>
      </c>
      <c r="C3764" s="161"/>
      <c r="D3764" s="161"/>
      <c r="E3764" s="161"/>
      <c r="F3764" s="161"/>
      <c r="G3764" s="161"/>
      <c r="H3764" s="161"/>
      <c r="I3764" s="161"/>
      <c r="J3764" s="161"/>
      <c r="K3764" s="166">
        <f t="shared" si="160"/>
        <v>3.844433659529994E-3</v>
      </c>
      <c r="L3764" s="161"/>
      <c r="M3764" s="161"/>
      <c r="N3764" s="188">
        <f t="shared" si="161"/>
        <v>2.9572566611769187</v>
      </c>
      <c r="O3764" s="188"/>
    </row>
    <row r="3765" spans="1:15" x14ac:dyDescent="0.35">
      <c r="A3765" s="321"/>
      <c r="B3765" s="320" t="str">
        <f t="shared" si="159"/>
        <v>PV3-110</v>
      </c>
      <c r="C3765" s="161"/>
      <c r="D3765" s="161"/>
      <c r="E3765" s="161"/>
      <c r="F3765" s="161"/>
      <c r="G3765" s="161"/>
      <c r="H3765" s="161"/>
      <c r="I3765" s="161"/>
      <c r="J3765" s="161"/>
      <c r="K3765" s="166">
        <f t="shared" si="160"/>
        <v>3.844433659529994E-3</v>
      </c>
      <c r="L3765" s="161"/>
      <c r="M3765" s="161"/>
      <c r="N3765" s="188">
        <f t="shared" si="161"/>
        <v>2.9572566611769187</v>
      </c>
      <c r="O3765" s="188"/>
    </row>
    <row r="3766" spans="1:15" x14ac:dyDescent="0.35">
      <c r="A3766" s="321"/>
      <c r="B3766" s="320" t="str">
        <f t="shared" si="159"/>
        <v>PV1-111</v>
      </c>
      <c r="C3766" s="161"/>
      <c r="D3766" s="161"/>
      <c r="E3766" s="161"/>
      <c r="F3766" s="161"/>
      <c r="G3766" s="161"/>
      <c r="H3766" s="161"/>
      <c r="I3766" s="161"/>
      <c r="J3766" s="161"/>
      <c r="K3766" s="166">
        <f t="shared" si="160"/>
        <v>3.844433659529994E-3</v>
      </c>
      <c r="L3766" s="161"/>
      <c r="M3766" s="161"/>
      <c r="N3766" s="188">
        <f t="shared" si="161"/>
        <v>2.9572566611769187</v>
      </c>
      <c r="O3766" s="188"/>
    </row>
    <row r="3767" spans="1:15" x14ac:dyDescent="0.35">
      <c r="A3767" s="321"/>
      <c r="B3767" s="320" t="str">
        <f t="shared" si="159"/>
        <v>PV2-111</v>
      </c>
      <c r="C3767" s="161"/>
      <c r="D3767" s="161"/>
      <c r="E3767" s="161"/>
      <c r="F3767" s="161"/>
      <c r="G3767" s="161"/>
      <c r="H3767" s="161"/>
      <c r="I3767" s="161"/>
      <c r="J3767" s="161"/>
      <c r="K3767" s="166">
        <f t="shared" si="160"/>
        <v>3.844433659529994E-3</v>
      </c>
      <c r="L3767" s="161"/>
      <c r="M3767" s="161"/>
      <c r="N3767" s="188">
        <f t="shared" si="161"/>
        <v>2.9572566611769187</v>
      </c>
      <c r="O3767" s="188"/>
    </row>
    <row r="3768" spans="1:15" x14ac:dyDescent="0.35">
      <c r="A3768" s="321"/>
      <c r="B3768" s="320" t="str">
        <f t="shared" si="159"/>
        <v>PV3-111</v>
      </c>
      <c r="C3768" s="161"/>
      <c r="D3768" s="161"/>
      <c r="E3768" s="161"/>
      <c r="F3768" s="161"/>
      <c r="G3768" s="161"/>
      <c r="H3768" s="161"/>
      <c r="I3768" s="161"/>
      <c r="J3768" s="161"/>
      <c r="K3768" s="166">
        <f t="shared" si="160"/>
        <v>3.844433659529994E-3</v>
      </c>
      <c r="L3768" s="161"/>
      <c r="M3768" s="161"/>
      <c r="N3768" s="188">
        <f t="shared" si="161"/>
        <v>2.9572566611769187</v>
      </c>
      <c r="O3768" s="188"/>
    </row>
    <row r="3769" spans="1:15" x14ac:dyDescent="0.35">
      <c r="A3769" s="321"/>
      <c r="B3769" s="320" t="str">
        <f t="shared" ref="B3769:B3800" si="162">B3307</f>
        <v>PV4-111</v>
      </c>
      <c r="C3769" s="161"/>
      <c r="D3769" s="161"/>
      <c r="E3769" s="161"/>
      <c r="F3769" s="161"/>
      <c r="G3769" s="161"/>
      <c r="H3769" s="161"/>
      <c r="I3769" s="161"/>
      <c r="J3769" s="161"/>
      <c r="K3769" s="166">
        <f t="shared" ref="K3769:K3802" si="163">$L$3736*N3769</f>
        <v>3.844433659529994E-3</v>
      </c>
      <c r="L3769" s="161"/>
      <c r="M3769" s="161"/>
      <c r="N3769" s="188">
        <f t="shared" ref="N3769:N3800" si="164">N3307</f>
        <v>2.9572566611769187</v>
      </c>
      <c r="O3769" s="188"/>
    </row>
    <row r="3770" spans="1:15" x14ac:dyDescent="0.35">
      <c r="A3770" s="321"/>
      <c r="B3770" s="320" t="str">
        <f t="shared" si="162"/>
        <v>PV5-111</v>
      </c>
      <c r="C3770" s="161"/>
      <c r="D3770" s="161"/>
      <c r="E3770" s="161"/>
      <c r="F3770" s="161"/>
      <c r="G3770" s="161"/>
      <c r="H3770" s="161"/>
      <c r="I3770" s="161"/>
      <c r="J3770" s="161"/>
      <c r="K3770" s="166">
        <f t="shared" si="163"/>
        <v>3.844433659529994E-3</v>
      </c>
      <c r="L3770" s="161"/>
      <c r="M3770" s="161"/>
      <c r="N3770" s="188">
        <f t="shared" si="164"/>
        <v>2.9572566611769187</v>
      </c>
      <c r="O3770" s="188"/>
    </row>
    <row r="3771" spans="1:15" x14ac:dyDescent="0.35">
      <c r="A3771" s="321"/>
      <c r="B3771" s="320" t="str">
        <f t="shared" si="162"/>
        <v>PV7-111</v>
      </c>
      <c r="C3771" s="161"/>
      <c r="D3771" s="161"/>
      <c r="E3771" s="161"/>
      <c r="F3771" s="161"/>
      <c r="G3771" s="161"/>
      <c r="H3771" s="161"/>
      <c r="I3771" s="161"/>
      <c r="J3771" s="161"/>
      <c r="K3771" s="166">
        <f t="shared" si="163"/>
        <v>3.844433659529994E-3</v>
      </c>
      <c r="L3771" s="161"/>
      <c r="M3771" s="161"/>
      <c r="N3771" s="188">
        <f t="shared" si="164"/>
        <v>2.9572566611769187</v>
      </c>
      <c r="O3771" s="188"/>
    </row>
    <row r="3772" spans="1:15" x14ac:dyDescent="0.35">
      <c r="A3772" s="321"/>
      <c r="B3772" s="320" t="str">
        <f t="shared" si="162"/>
        <v>PV8-111</v>
      </c>
      <c r="C3772" s="161"/>
      <c r="D3772" s="161"/>
      <c r="E3772" s="161"/>
      <c r="F3772" s="161"/>
      <c r="G3772" s="161"/>
      <c r="H3772" s="161"/>
      <c r="I3772" s="161"/>
      <c r="J3772" s="161"/>
      <c r="K3772" s="166">
        <f t="shared" si="163"/>
        <v>3.844433659529994E-3</v>
      </c>
      <c r="L3772" s="161"/>
      <c r="M3772" s="161"/>
      <c r="N3772" s="188">
        <f t="shared" si="164"/>
        <v>2.9572566611769187</v>
      </c>
      <c r="O3772" s="188"/>
    </row>
    <row r="3773" spans="1:15" x14ac:dyDescent="0.35">
      <c r="A3773" s="321"/>
      <c r="B3773" s="320" t="str">
        <f t="shared" si="162"/>
        <v>PV9-111</v>
      </c>
      <c r="C3773" s="161"/>
      <c r="D3773" s="161"/>
      <c r="E3773" s="161"/>
      <c r="F3773" s="161"/>
      <c r="G3773" s="161"/>
      <c r="H3773" s="161"/>
      <c r="I3773" s="161"/>
      <c r="J3773" s="161"/>
      <c r="K3773" s="166">
        <f t="shared" si="163"/>
        <v>3.844433659529994E-3</v>
      </c>
      <c r="L3773" s="161"/>
      <c r="M3773" s="161"/>
      <c r="N3773" s="188">
        <f t="shared" si="164"/>
        <v>2.9572566611769187</v>
      </c>
      <c r="O3773" s="188"/>
    </row>
    <row r="3774" spans="1:15" x14ac:dyDescent="0.35">
      <c r="A3774" s="321"/>
      <c r="B3774" s="320" t="str">
        <f t="shared" si="162"/>
        <v>PV10-111</v>
      </c>
      <c r="C3774" s="161"/>
      <c r="D3774" s="161"/>
      <c r="E3774" s="161"/>
      <c r="F3774" s="161"/>
      <c r="G3774" s="161"/>
      <c r="H3774" s="161"/>
      <c r="I3774" s="161"/>
      <c r="J3774" s="161"/>
      <c r="K3774" s="166">
        <f t="shared" si="163"/>
        <v>3.844433659529994E-3</v>
      </c>
      <c r="L3774" s="161"/>
      <c r="M3774" s="161"/>
      <c r="N3774" s="188">
        <f t="shared" si="164"/>
        <v>2.9572566611769187</v>
      </c>
      <c r="O3774" s="188"/>
    </row>
    <row r="3775" spans="1:15" x14ac:dyDescent="0.35">
      <c r="A3775" s="321"/>
      <c r="B3775" s="320" t="str">
        <f t="shared" si="162"/>
        <v>PV1-112</v>
      </c>
      <c r="C3775" s="161"/>
      <c r="D3775" s="161"/>
      <c r="E3775" s="161"/>
      <c r="F3775" s="161"/>
      <c r="G3775" s="161"/>
      <c r="H3775" s="161"/>
      <c r="I3775" s="161"/>
      <c r="J3775" s="161"/>
      <c r="K3775" s="166">
        <f t="shared" si="163"/>
        <v>3.844433659529994E-3</v>
      </c>
      <c r="L3775" s="161"/>
      <c r="M3775" s="161"/>
      <c r="N3775" s="188">
        <f t="shared" si="164"/>
        <v>2.9572566611769187</v>
      </c>
      <c r="O3775" s="188"/>
    </row>
    <row r="3776" spans="1:15" x14ac:dyDescent="0.35">
      <c r="A3776" s="321"/>
      <c r="B3776" s="320" t="str">
        <f t="shared" si="162"/>
        <v>PV2-112</v>
      </c>
      <c r="C3776" s="161"/>
      <c r="D3776" s="161"/>
      <c r="E3776" s="161"/>
      <c r="F3776" s="161"/>
      <c r="G3776" s="161"/>
      <c r="H3776" s="161"/>
      <c r="I3776" s="161"/>
      <c r="J3776" s="161"/>
      <c r="K3776" s="166">
        <f t="shared" si="163"/>
        <v>3.844433659529994E-3</v>
      </c>
      <c r="L3776" s="161"/>
      <c r="M3776" s="161"/>
      <c r="N3776" s="188">
        <f t="shared" si="164"/>
        <v>2.9572566611769187</v>
      </c>
      <c r="O3776" s="188"/>
    </row>
    <row r="3777" spans="1:15" x14ac:dyDescent="0.35">
      <c r="A3777" s="321"/>
      <c r="B3777" s="320" t="str">
        <f t="shared" si="162"/>
        <v>PV3-112</v>
      </c>
      <c r="C3777" s="161"/>
      <c r="D3777" s="161"/>
      <c r="E3777" s="161"/>
      <c r="F3777" s="161"/>
      <c r="G3777" s="161"/>
      <c r="H3777" s="161"/>
      <c r="I3777" s="161"/>
      <c r="J3777" s="161"/>
      <c r="K3777" s="166">
        <f t="shared" si="163"/>
        <v>3.844433659529994E-3</v>
      </c>
      <c r="L3777" s="161"/>
      <c r="M3777" s="161"/>
      <c r="N3777" s="188">
        <f t="shared" si="164"/>
        <v>2.9572566611769187</v>
      </c>
      <c r="O3777" s="188"/>
    </row>
    <row r="3778" spans="1:15" x14ac:dyDescent="0.35">
      <c r="A3778" s="321"/>
      <c r="B3778" s="320" t="str">
        <f t="shared" si="162"/>
        <v>PV1-113</v>
      </c>
      <c r="C3778" s="161"/>
      <c r="D3778" s="161"/>
      <c r="E3778" s="161"/>
      <c r="F3778" s="161"/>
      <c r="G3778" s="161"/>
      <c r="H3778" s="161"/>
      <c r="I3778" s="161"/>
      <c r="J3778" s="161"/>
      <c r="K3778" s="166">
        <f t="shared" si="163"/>
        <v>3.844433659529994E-3</v>
      </c>
      <c r="L3778" s="161"/>
      <c r="M3778" s="161"/>
      <c r="N3778" s="188">
        <f t="shared" si="164"/>
        <v>2.9572566611769187</v>
      </c>
      <c r="O3778" s="188"/>
    </row>
    <row r="3779" spans="1:15" x14ac:dyDescent="0.35">
      <c r="A3779" s="321"/>
      <c r="B3779" s="320" t="str">
        <f t="shared" si="162"/>
        <v>PV2-113</v>
      </c>
      <c r="C3779" s="161"/>
      <c r="D3779" s="161"/>
      <c r="E3779" s="161"/>
      <c r="F3779" s="161"/>
      <c r="G3779" s="161"/>
      <c r="H3779" s="161"/>
      <c r="I3779" s="161"/>
      <c r="J3779" s="161"/>
      <c r="K3779" s="166">
        <f t="shared" si="163"/>
        <v>3.844433659529994E-3</v>
      </c>
      <c r="L3779" s="161"/>
      <c r="M3779" s="161"/>
      <c r="N3779" s="188">
        <f t="shared" si="164"/>
        <v>2.9572566611769187</v>
      </c>
      <c r="O3779" s="188"/>
    </row>
    <row r="3780" spans="1:15" x14ac:dyDescent="0.35">
      <c r="A3780" s="321"/>
      <c r="B3780" s="320" t="str">
        <f t="shared" si="162"/>
        <v>PV3-113</v>
      </c>
      <c r="C3780" s="161"/>
      <c r="D3780" s="161"/>
      <c r="E3780" s="161"/>
      <c r="F3780" s="161"/>
      <c r="G3780" s="161"/>
      <c r="H3780" s="161"/>
      <c r="I3780" s="161"/>
      <c r="J3780" s="161"/>
      <c r="K3780" s="166">
        <f t="shared" si="163"/>
        <v>3.844433659529994E-3</v>
      </c>
      <c r="L3780" s="161"/>
      <c r="M3780" s="161"/>
      <c r="N3780" s="188">
        <f t="shared" si="164"/>
        <v>2.9572566611769187</v>
      </c>
      <c r="O3780" s="188"/>
    </row>
    <row r="3781" spans="1:15" x14ac:dyDescent="0.35">
      <c r="A3781" s="321"/>
      <c r="B3781" s="320" t="str">
        <f t="shared" si="162"/>
        <v>PV1-114</v>
      </c>
      <c r="C3781" s="161"/>
      <c r="D3781" s="161"/>
      <c r="E3781" s="161"/>
      <c r="F3781" s="161"/>
      <c r="G3781" s="161"/>
      <c r="H3781" s="161"/>
      <c r="I3781" s="161"/>
      <c r="J3781" s="161"/>
      <c r="K3781" s="166">
        <f t="shared" si="163"/>
        <v>3.844433659529994E-3</v>
      </c>
      <c r="L3781" s="161"/>
      <c r="M3781" s="161"/>
      <c r="N3781" s="188">
        <f t="shared" si="164"/>
        <v>2.9572566611769187</v>
      </c>
      <c r="O3781" s="188"/>
    </row>
    <row r="3782" spans="1:15" x14ac:dyDescent="0.35">
      <c r="A3782" s="321"/>
      <c r="B3782" s="320" t="str">
        <f t="shared" si="162"/>
        <v>PV2-114</v>
      </c>
      <c r="C3782" s="161"/>
      <c r="D3782" s="161"/>
      <c r="E3782" s="161"/>
      <c r="F3782" s="161"/>
      <c r="G3782" s="161"/>
      <c r="H3782" s="161"/>
      <c r="I3782" s="161"/>
      <c r="J3782" s="161"/>
      <c r="K3782" s="166">
        <f t="shared" si="163"/>
        <v>3.844433659529994E-3</v>
      </c>
      <c r="L3782" s="161"/>
      <c r="M3782" s="161"/>
      <c r="N3782" s="188">
        <f t="shared" si="164"/>
        <v>2.9572566611769187</v>
      </c>
      <c r="O3782" s="188"/>
    </row>
    <row r="3783" spans="1:15" x14ac:dyDescent="0.35">
      <c r="A3783" s="321"/>
      <c r="B3783" s="320" t="str">
        <f t="shared" si="162"/>
        <v>PV3-114</v>
      </c>
      <c r="C3783" s="161"/>
      <c r="D3783" s="161"/>
      <c r="E3783" s="161"/>
      <c r="F3783" s="161"/>
      <c r="G3783" s="161"/>
      <c r="H3783" s="161"/>
      <c r="I3783" s="161"/>
      <c r="J3783" s="161"/>
      <c r="K3783" s="166">
        <f t="shared" si="163"/>
        <v>3.844433659529994E-3</v>
      </c>
      <c r="L3783" s="161"/>
      <c r="M3783" s="161"/>
      <c r="N3783" s="188">
        <f t="shared" si="164"/>
        <v>2.9572566611769187</v>
      </c>
      <c r="O3783" s="188"/>
    </row>
    <row r="3784" spans="1:15" x14ac:dyDescent="0.35">
      <c r="A3784" s="321"/>
      <c r="B3784" s="320" t="str">
        <f t="shared" si="162"/>
        <v>PV1-115</v>
      </c>
      <c r="C3784" s="161"/>
      <c r="D3784" s="161"/>
      <c r="E3784" s="161"/>
      <c r="F3784" s="161"/>
      <c r="G3784" s="161"/>
      <c r="H3784" s="161"/>
      <c r="I3784" s="161"/>
      <c r="J3784" s="161"/>
      <c r="K3784" s="166">
        <f t="shared" si="163"/>
        <v>3.844433659529994E-3</v>
      </c>
      <c r="L3784" s="161"/>
      <c r="M3784" s="161"/>
      <c r="N3784" s="188">
        <f t="shared" si="164"/>
        <v>2.9572566611769187</v>
      </c>
      <c r="O3784" s="188"/>
    </row>
    <row r="3785" spans="1:15" x14ac:dyDescent="0.35">
      <c r="A3785" s="321"/>
      <c r="B3785" s="320" t="str">
        <f t="shared" si="162"/>
        <v>PV2-115</v>
      </c>
      <c r="C3785" s="161"/>
      <c r="D3785" s="161"/>
      <c r="E3785" s="161"/>
      <c r="F3785" s="161"/>
      <c r="G3785" s="161"/>
      <c r="H3785" s="161"/>
      <c r="I3785" s="161"/>
      <c r="J3785" s="161"/>
      <c r="K3785" s="166">
        <f t="shared" si="163"/>
        <v>3.844433659529994E-3</v>
      </c>
      <c r="L3785" s="161"/>
      <c r="M3785" s="161"/>
      <c r="N3785" s="188">
        <f t="shared" si="164"/>
        <v>2.9572566611769187</v>
      </c>
      <c r="O3785" s="188"/>
    </row>
    <row r="3786" spans="1:15" x14ac:dyDescent="0.35">
      <c r="A3786" s="321"/>
      <c r="B3786" s="320" t="str">
        <f t="shared" si="162"/>
        <v>PV3-115</v>
      </c>
      <c r="C3786" s="161"/>
      <c r="D3786" s="161"/>
      <c r="E3786" s="161"/>
      <c r="F3786" s="161"/>
      <c r="G3786" s="161"/>
      <c r="H3786" s="161"/>
      <c r="I3786" s="161"/>
      <c r="J3786" s="161"/>
      <c r="K3786" s="166">
        <f t="shared" si="163"/>
        <v>3.844433659529994E-3</v>
      </c>
      <c r="L3786" s="161"/>
      <c r="M3786" s="161"/>
      <c r="N3786" s="188">
        <f t="shared" si="164"/>
        <v>2.9572566611769187</v>
      </c>
      <c r="O3786" s="188"/>
    </row>
    <row r="3787" spans="1:15" x14ac:dyDescent="0.35">
      <c r="A3787" s="321"/>
      <c r="B3787" s="320" t="str">
        <f t="shared" si="162"/>
        <v>PV4-115</v>
      </c>
      <c r="C3787" s="161"/>
      <c r="D3787" s="161"/>
      <c r="E3787" s="161"/>
      <c r="F3787" s="161"/>
      <c r="G3787" s="161"/>
      <c r="H3787" s="161"/>
      <c r="I3787" s="161"/>
      <c r="J3787" s="161"/>
      <c r="K3787" s="166">
        <f t="shared" si="163"/>
        <v>3.844433659529994E-3</v>
      </c>
      <c r="L3787" s="161"/>
      <c r="M3787" s="161"/>
      <c r="N3787" s="188">
        <f t="shared" si="164"/>
        <v>2.9572566611769187</v>
      </c>
      <c r="O3787" s="188"/>
    </row>
    <row r="3788" spans="1:15" x14ac:dyDescent="0.35">
      <c r="A3788" s="321"/>
      <c r="B3788" s="320" t="str">
        <f t="shared" si="162"/>
        <v>PV5-115</v>
      </c>
      <c r="C3788" s="161"/>
      <c r="D3788" s="161"/>
      <c r="E3788" s="161"/>
      <c r="F3788" s="161"/>
      <c r="G3788" s="161"/>
      <c r="H3788" s="161"/>
      <c r="I3788" s="161"/>
      <c r="J3788" s="161"/>
      <c r="K3788" s="166">
        <f t="shared" si="163"/>
        <v>3.844433659529994E-3</v>
      </c>
      <c r="L3788" s="161"/>
      <c r="M3788" s="161"/>
      <c r="N3788" s="188">
        <f t="shared" si="164"/>
        <v>2.9572566611769187</v>
      </c>
      <c r="O3788" s="188"/>
    </row>
    <row r="3789" spans="1:15" x14ac:dyDescent="0.35">
      <c r="A3789" s="321"/>
      <c r="B3789" s="320" t="str">
        <f t="shared" si="162"/>
        <v>PV1-116</v>
      </c>
      <c r="C3789" s="161"/>
      <c r="D3789" s="161"/>
      <c r="E3789" s="161"/>
      <c r="F3789" s="161"/>
      <c r="G3789" s="161"/>
      <c r="H3789" s="161"/>
      <c r="I3789" s="161"/>
      <c r="J3789" s="161"/>
      <c r="K3789" s="166">
        <f t="shared" si="163"/>
        <v>3.844433659529994E-3</v>
      </c>
      <c r="L3789" s="161"/>
      <c r="M3789" s="161"/>
      <c r="N3789" s="188">
        <f t="shared" si="164"/>
        <v>2.9572566611769187</v>
      </c>
      <c r="O3789" s="188"/>
    </row>
    <row r="3790" spans="1:15" x14ac:dyDescent="0.35">
      <c r="A3790" s="321"/>
      <c r="B3790" s="320" t="str">
        <f t="shared" si="162"/>
        <v>PV2-116</v>
      </c>
      <c r="C3790" s="161"/>
      <c r="D3790" s="161"/>
      <c r="E3790" s="161"/>
      <c r="F3790" s="161"/>
      <c r="G3790" s="161"/>
      <c r="H3790" s="161"/>
      <c r="I3790" s="161"/>
      <c r="J3790" s="161"/>
      <c r="K3790" s="166">
        <f t="shared" si="163"/>
        <v>3.844433659529994E-3</v>
      </c>
      <c r="L3790" s="161"/>
      <c r="M3790" s="161"/>
      <c r="N3790" s="188">
        <f t="shared" si="164"/>
        <v>2.9572566611769187</v>
      </c>
      <c r="O3790" s="188"/>
    </row>
    <row r="3791" spans="1:15" x14ac:dyDescent="0.35">
      <c r="A3791" s="321"/>
      <c r="B3791" s="320" t="str">
        <f t="shared" si="162"/>
        <v>PV3-116</v>
      </c>
      <c r="C3791" s="161"/>
      <c r="D3791" s="161"/>
      <c r="E3791" s="161"/>
      <c r="F3791" s="161"/>
      <c r="G3791" s="161"/>
      <c r="H3791" s="161"/>
      <c r="I3791" s="161"/>
      <c r="J3791" s="161"/>
      <c r="K3791" s="166">
        <f t="shared" si="163"/>
        <v>3.844433659529994E-3</v>
      </c>
      <c r="L3791" s="161"/>
      <c r="M3791" s="161"/>
      <c r="N3791" s="188">
        <f t="shared" si="164"/>
        <v>2.9572566611769187</v>
      </c>
      <c r="O3791" s="188"/>
    </row>
    <row r="3792" spans="1:15" x14ac:dyDescent="0.35">
      <c r="A3792" s="321"/>
      <c r="B3792" s="320" t="str">
        <f t="shared" si="162"/>
        <v>PV1-117</v>
      </c>
      <c r="C3792" s="161"/>
      <c r="D3792" s="161"/>
      <c r="E3792" s="161"/>
      <c r="F3792" s="161"/>
      <c r="G3792" s="161"/>
      <c r="H3792" s="161"/>
      <c r="I3792" s="161"/>
      <c r="J3792" s="161"/>
      <c r="K3792" s="166">
        <f t="shared" si="163"/>
        <v>3.844433659529994E-3</v>
      </c>
      <c r="L3792" s="161"/>
      <c r="M3792" s="161"/>
      <c r="N3792" s="188">
        <f t="shared" si="164"/>
        <v>2.9572566611769187</v>
      </c>
      <c r="O3792" s="188"/>
    </row>
    <row r="3793" spans="1:15" x14ac:dyDescent="0.35">
      <c r="A3793" s="321"/>
      <c r="B3793" s="320" t="str">
        <f t="shared" si="162"/>
        <v>PV2-117</v>
      </c>
      <c r="C3793" s="161"/>
      <c r="D3793" s="161"/>
      <c r="E3793" s="161"/>
      <c r="F3793" s="161"/>
      <c r="G3793" s="161"/>
      <c r="H3793" s="161"/>
      <c r="I3793" s="161"/>
      <c r="J3793" s="161"/>
      <c r="K3793" s="166">
        <f t="shared" si="163"/>
        <v>3.844433659529994E-3</v>
      </c>
      <c r="L3793" s="161"/>
      <c r="M3793" s="161"/>
      <c r="N3793" s="188">
        <f t="shared" si="164"/>
        <v>2.9572566611769187</v>
      </c>
      <c r="O3793" s="188"/>
    </row>
    <row r="3794" spans="1:15" x14ac:dyDescent="0.35">
      <c r="A3794" s="321"/>
      <c r="B3794" s="320" t="str">
        <f t="shared" si="162"/>
        <v>PV3-117</v>
      </c>
      <c r="C3794" s="161"/>
      <c r="D3794" s="161"/>
      <c r="E3794" s="161"/>
      <c r="F3794" s="161"/>
      <c r="G3794" s="161"/>
      <c r="H3794" s="161"/>
      <c r="I3794" s="161"/>
      <c r="J3794" s="161"/>
      <c r="K3794" s="166">
        <f t="shared" si="163"/>
        <v>3.844433659529994E-3</v>
      </c>
      <c r="L3794" s="161"/>
      <c r="M3794" s="161"/>
      <c r="N3794" s="188">
        <f t="shared" si="164"/>
        <v>2.9572566611769187</v>
      </c>
      <c r="O3794" s="188"/>
    </row>
    <row r="3795" spans="1:15" x14ac:dyDescent="0.35">
      <c r="A3795" s="321"/>
      <c r="B3795" s="320" t="str">
        <f t="shared" si="162"/>
        <v>PV1-119</v>
      </c>
      <c r="C3795" s="161"/>
      <c r="D3795" s="161"/>
      <c r="E3795" s="161"/>
      <c r="F3795" s="161"/>
      <c r="G3795" s="161"/>
      <c r="H3795" s="161"/>
      <c r="I3795" s="161"/>
      <c r="J3795" s="161"/>
      <c r="K3795" s="166">
        <f t="shared" si="163"/>
        <v>3.844433659529994E-3</v>
      </c>
      <c r="L3795" s="161"/>
      <c r="M3795" s="161"/>
      <c r="N3795" s="188">
        <f t="shared" si="164"/>
        <v>2.9572566611769187</v>
      </c>
      <c r="O3795" s="188"/>
    </row>
    <row r="3796" spans="1:15" x14ac:dyDescent="0.35">
      <c r="A3796" s="321"/>
      <c r="B3796" s="320" t="str">
        <f t="shared" si="162"/>
        <v>PV2-119</v>
      </c>
      <c r="C3796" s="161"/>
      <c r="D3796" s="161"/>
      <c r="E3796" s="161"/>
      <c r="F3796" s="161"/>
      <c r="G3796" s="161"/>
      <c r="H3796" s="161"/>
      <c r="I3796" s="161"/>
      <c r="J3796" s="161"/>
      <c r="K3796" s="166">
        <f t="shared" si="163"/>
        <v>3.844433659529994E-3</v>
      </c>
      <c r="L3796" s="161"/>
      <c r="M3796" s="161"/>
      <c r="N3796" s="188">
        <f t="shared" si="164"/>
        <v>2.9572566611769187</v>
      </c>
      <c r="O3796" s="188"/>
    </row>
    <row r="3797" spans="1:15" x14ac:dyDescent="0.35">
      <c r="A3797" s="321"/>
      <c r="B3797" s="320" t="str">
        <f t="shared" si="162"/>
        <v>PV3-119</v>
      </c>
      <c r="C3797" s="161"/>
      <c r="D3797" s="161"/>
      <c r="E3797" s="161"/>
      <c r="F3797" s="161"/>
      <c r="G3797" s="161"/>
      <c r="H3797" s="161"/>
      <c r="I3797" s="161"/>
      <c r="J3797" s="161"/>
      <c r="K3797" s="166">
        <f t="shared" si="163"/>
        <v>3.844433659529994E-3</v>
      </c>
      <c r="L3797" s="161"/>
      <c r="M3797" s="161"/>
      <c r="N3797" s="188">
        <f t="shared" si="164"/>
        <v>2.9572566611769187</v>
      </c>
      <c r="O3797" s="188"/>
    </row>
    <row r="3798" spans="1:15" x14ac:dyDescent="0.35">
      <c r="A3798" s="321"/>
      <c r="B3798" s="320" t="str">
        <f t="shared" si="162"/>
        <v>PV19-121</v>
      </c>
      <c r="C3798" s="161"/>
      <c r="D3798" s="161"/>
      <c r="E3798" s="161"/>
      <c r="F3798" s="161"/>
      <c r="G3798" s="161"/>
      <c r="H3798" s="161"/>
      <c r="I3798" s="161"/>
      <c r="J3798" s="161"/>
      <c r="K3798" s="166">
        <f t="shared" si="163"/>
        <v>3.844433659529994E-3</v>
      </c>
      <c r="L3798" s="161"/>
      <c r="M3798" s="161"/>
      <c r="N3798" s="188">
        <f t="shared" si="164"/>
        <v>2.9572566611769187</v>
      </c>
      <c r="O3798" s="188"/>
    </row>
    <row r="3799" spans="1:15" x14ac:dyDescent="0.35">
      <c r="A3799" s="321"/>
      <c r="B3799" s="320" t="str">
        <f t="shared" si="162"/>
        <v>PV6-102</v>
      </c>
      <c r="C3799" s="161"/>
      <c r="D3799" s="161"/>
      <c r="E3799" s="161"/>
      <c r="F3799" s="161"/>
      <c r="G3799" s="161"/>
      <c r="H3799" s="161"/>
      <c r="I3799" s="161"/>
      <c r="J3799" s="161"/>
      <c r="K3799" s="166">
        <f t="shared" si="163"/>
        <v>3.844433659529994E-3</v>
      </c>
      <c r="L3799" s="161"/>
      <c r="M3799" s="161"/>
      <c r="N3799" s="188">
        <f t="shared" si="164"/>
        <v>2.9572566611769187</v>
      </c>
      <c r="O3799" s="188"/>
    </row>
    <row r="3800" spans="1:15" x14ac:dyDescent="0.35">
      <c r="A3800" s="321"/>
      <c r="B3800" s="320" t="str">
        <f t="shared" si="162"/>
        <v>PV7-102</v>
      </c>
      <c r="C3800" s="161"/>
      <c r="D3800" s="161"/>
      <c r="E3800" s="161"/>
      <c r="F3800" s="161"/>
      <c r="G3800" s="161"/>
      <c r="H3800" s="161"/>
      <c r="I3800" s="161"/>
      <c r="J3800" s="161"/>
      <c r="K3800" s="166">
        <f t="shared" si="163"/>
        <v>3.844433659529994E-3</v>
      </c>
      <c r="L3800" s="161"/>
      <c r="M3800" s="161"/>
      <c r="N3800" s="188">
        <f t="shared" si="164"/>
        <v>2.9572566611769187</v>
      </c>
      <c r="O3800" s="188"/>
    </row>
    <row r="3801" spans="1:15" x14ac:dyDescent="0.35">
      <c r="A3801" s="321"/>
      <c r="B3801" s="320" t="str">
        <f t="shared" ref="B3801:B3802" si="165">B3339</f>
        <v>PV8-102</v>
      </c>
      <c r="C3801" s="161"/>
      <c r="D3801" s="161"/>
      <c r="E3801" s="161"/>
      <c r="F3801" s="161"/>
      <c r="G3801" s="161"/>
      <c r="H3801" s="161"/>
      <c r="I3801" s="161"/>
      <c r="J3801" s="161"/>
      <c r="K3801" s="166">
        <f t="shared" si="163"/>
        <v>3.844433659529994E-3</v>
      </c>
      <c r="L3801" s="161"/>
      <c r="M3801" s="161"/>
      <c r="N3801" s="188">
        <f t="shared" ref="N3801:N3802" si="166">N3339</f>
        <v>2.9572566611769187</v>
      </c>
      <c r="O3801" s="188"/>
    </row>
    <row r="3802" spans="1:15" x14ac:dyDescent="0.35">
      <c r="A3802" s="321"/>
      <c r="B3802" s="320" t="str">
        <f t="shared" si="165"/>
        <v>PV6-111</v>
      </c>
      <c r="C3802" s="161"/>
      <c r="D3802" s="161"/>
      <c r="E3802" s="161"/>
      <c r="F3802" s="161"/>
      <c r="G3802" s="161"/>
      <c r="H3802" s="161"/>
      <c r="I3802" s="161"/>
      <c r="J3802" s="161"/>
      <c r="K3802" s="166">
        <f t="shared" si="163"/>
        <v>3.844433659529994E-3</v>
      </c>
      <c r="L3802" s="161"/>
      <c r="M3802" s="161"/>
      <c r="N3802" s="188">
        <f t="shared" si="166"/>
        <v>2.9572566611769187</v>
      </c>
      <c r="O3802" s="188"/>
    </row>
    <row r="3803" spans="1:15" x14ac:dyDescent="0.35">
      <c r="A3803" s="321"/>
      <c r="B3803" s="320"/>
      <c r="C3803" s="161"/>
      <c r="D3803" s="161"/>
      <c r="E3803" s="161"/>
      <c r="F3803" s="161"/>
      <c r="G3803" s="161"/>
      <c r="H3803" s="161"/>
      <c r="I3803" s="161"/>
      <c r="J3803" s="161"/>
      <c r="K3803" s="161"/>
      <c r="L3803" s="161"/>
      <c r="M3803" s="161"/>
      <c r="N3803" s="161"/>
      <c r="O3803" s="324"/>
    </row>
    <row r="3804" spans="1:15" x14ac:dyDescent="0.35">
      <c r="A3804" s="319"/>
      <c r="B3804" s="318" t="s">
        <v>377</v>
      </c>
      <c r="C3804" s="182" t="s">
        <v>402</v>
      </c>
      <c r="D3804" s="182"/>
      <c r="E3804" s="182"/>
      <c r="F3804" s="182"/>
      <c r="G3804" s="182"/>
      <c r="H3804" s="182"/>
      <c r="I3804" s="182"/>
      <c r="J3804" s="182"/>
      <c r="K3804" s="170">
        <f>SUM(K3737:K3802)</f>
        <v>0.25373262152897957</v>
      </c>
      <c r="L3804" s="182"/>
      <c r="M3804" s="182"/>
      <c r="N3804" s="182"/>
      <c r="O3804" s="170"/>
    </row>
    <row r="3805" spans="1:15" ht="21" x14ac:dyDescent="0.35">
      <c r="A3805" s="323" t="str">
        <f>ORÇAMENTO!A549</f>
        <v>5.5.22</v>
      </c>
      <c r="B3805" s="322" t="str">
        <f>VLOOKUP(A3805,ORÇAMENTO!$A:$F,4,0)</f>
        <v>CAL HIDRATADA - A GRANEL</v>
      </c>
      <c r="C3805" s="149" t="str">
        <f>VLOOKUP(A3805,ORÇAMENTO!$A:$F,5,0)</f>
        <v>KG</v>
      </c>
      <c r="D3805" s="149">
        <f>SUM(E3875:O3875)</f>
        <v>5.5726544523219212</v>
      </c>
      <c r="E3805" s="149" t="s">
        <v>2149</v>
      </c>
      <c r="F3805" s="149" t="s">
        <v>2150</v>
      </c>
      <c r="G3805" s="149" t="s">
        <v>2151</v>
      </c>
      <c r="H3805" s="149" t="s">
        <v>2152</v>
      </c>
      <c r="I3805" s="149" t="s">
        <v>2153</v>
      </c>
      <c r="J3805" s="149" t="s">
        <v>2154</v>
      </c>
      <c r="K3805" s="149" t="s">
        <v>2155</v>
      </c>
      <c r="L3805" s="149" t="s">
        <v>2178</v>
      </c>
      <c r="M3805" s="149" t="s">
        <v>2204</v>
      </c>
      <c r="N3805" s="149" t="s">
        <v>2157</v>
      </c>
      <c r="O3805" s="149" t="s">
        <v>2158</v>
      </c>
    </row>
    <row r="3806" spans="1:15" x14ac:dyDescent="0.35">
      <c r="A3806" s="321"/>
      <c r="B3806" s="318" t="s">
        <v>2332</v>
      </c>
      <c r="C3806" s="153"/>
      <c r="D3806" s="153"/>
      <c r="E3806" s="154"/>
      <c r="F3806" s="154"/>
      <c r="G3806" s="154"/>
      <c r="H3806" s="154"/>
      <c r="I3806" s="154"/>
      <c r="J3806" s="154"/>
      <c r="K3806" s="154"/>
      <c r="L3806" s="154"/>
      <c r="M3806" s="154"/>
      <c r="N3806" s="154"/>
      <c r="O3806" s="154"/>
    </row>
    <row r="3807" spans="1:15" x14ac:dyDescent="0.35">
      <c r="A3807" s="321"/>
      <c r="B3807" s="320" t="s">
        <v>2333</v>
      </c>
      <c r="C3807" s="153"/>
      <c r="D3807" s="154"/>
      <c r="E3807" s="154"/>
      <c r="F3807" s="154"/>
      <c r="G3807" s="154"/>
      <c r="H3807" s="154"/>
      <c r="I3807" s="154"/>
      <c r="J3807" s="154"/>
      <c r="K3807" s="154"/>
      <c r="L3807" s="172">
        <v>0.7</v>
      </c>
      <c r="M3807" s="154"/>
      <c r="N3807" s="154"/>
      <c r="O3807" s="154"/>
    </row>
    <row r="3808" spans="1:15" x14ac:dyDescent="0.35">
      <c r="A3808" s="321"/>
      <c r="B3808" s="320" t="str">
        <f t="shared" ref="B3808:B3839" si="167">B3417</f>
        <v>PV2-102</v>
      </c>
      <c r="C3808" s="161"/>
      <c r="D3808" s="161"/>
      <c r="E3808" s="161"/>
      <c r="F3808" s="161"/>
      <c r="G3808" s="161"/>
      <c r="H3808" s="161"/>
      <c r="I3808" s="161"/>
      <c r="J3808" s="161"/>
      <c r="K3808" s="161">
        <f t="shared" ref="K3808:K3839" si="168">$L$3807*O3808</f>
        <v>4.1401593256617894E-2</v>
      </c>
      <c r="L3808" s="161"/>
      <c r="M3808" s="161"/>
      <c r="N3808" s="161"/>
      <c r="O3808" s="188">
        <f t="shared" ref="O3808:O3839" si="169">O3417</f>
        <v>5.9145133223739849E-2</v>
      </c>
    </row>
    <row r="3809" spans="1:15" x14ac:dyDescent="0.35">
      <c r="A3809" s="321"/>
      <c r="B3809" s="320" t="str">
        <f t="shared" si="167"/>
        <v>PV3-102</v>
      </c>
      <c r="C3809" s="161"/>
      <c r="D3809" s="161"/>
      <c r="E3809" s="161"/>
      <c r="F3809" s="161"/>
      <c r="G3809" s="161"/>
      <c r="H3809" s="161"/>
      <c r="I3809" s="161"/>
      <c r="J3809" s="161"/>
      <c r="K3809" s="161">
        <f t="shared" si="168"/>
        <v>0</v>
      </c>
      <c r="L3809" s="161"/>
      <c r="M3809" s="161"/>
      <c r="N3809" s="161"/>
      <c r="O3809" s="188">
        <f t="shared" si="169"/>
        <v>0</v>
      </c>
    </row>
    <row r="3810" spans="1:15" x14ac:dyDescent="0.35">
      <c r="A3810" s="321"/>
      <c r="B3810" s="320" t="str">
        <f t="shared" si="167"/>
        <v>PV4-102</v>
      </c>
      <c r="C3810" s="161"/>
      <c r="D3810" s="161"/>
      <c r="E3810" s="161"/>
      <c r="F3810" s="161"/>
      <c r="G3810" s="161"/>
      <c r="H3810" s="161"/>
      <c r="I3810" s="161"/>
      <c r="J3810" s="161"/>
      <c r="K3810" s="161">
        <f t="shared" si="168"/>
        <v>0.31051194942357646</v>
      </c>
      <c r="L3810" s="161"/>
      <c r="M3810" s="161"/>
      <c r="N3810" s="161"/>
      <c r="O3810" s="188">
        <f t="shared" si="169"/>
        <v>0.44358849917653781</v>
      </c>
    </row>
    <row r="3811" spans="1:15" x14ac:dyDescent="0.35">
      <c r="A3811" s="321"/>
      <c r="B3811" s="320" t="str">
        <f t="shared" si="167"/>
        <v>PV5-102</v>
      </c>
      <c r="C3811" s="161"/>
      <c r="D3811" s="161"/>
      <c r="E3811" s="161"/>
      <c r="F3811" s="161"/>
      <c r="G3811" s="161"/>
      <c r="H3811" s="161"/>
      <c r="I3811" s="161"/>
      <c r="J3811" s="161"/>
      <c r="K3811" s="161">
        <f t="shared" si="168"/>
        <v>0.31051194942357646</v>
      </c>
      <c r="L3811" s="161"/>
      <c r="M3811" s="161"/>
      <c r="N3811" s="161"/>
      <c r="O3811" s="188">
        <f t="shared" si="169"/>
        <v>0.44358849917653781</v>
      </c>
    </row>
    <row r="3812" spans="1:15" x14ac:dyDescent="0.35">
      <c r="A3812" s="321"/>
      <c r="B3812" s="320" t="str">
        <f t="shared" si="167"/>
        <v>PV9-102</v>
      </c>
      <c r="C3812" s="161"/>
      <c r="D3812" s="161"/>
      <c r="E3812" s="161"/>
      <c r="F3812" s="161"/>
      <c r="G3812" s="161"/>
      <c r="H3812" s="161"/>
      <c r="I3812" s="161"/>
      <c r="J3812" s="161"/>
      <c r="K3812" s="161">
        <f t="shared" si="168"/>
        <v>0.31051194942357646</v>
      </c>
      <c r="L3812" s="161"/>
      <c r="M3812" s="161"/>
      <c r="N3812" s="161"/>
      <c r="O3812" s="188">
        <f t="shared" si="169"/>
        <v>0.44358849917653781</v>
      </c>
    </row>
    <row r="3813" spans="1:15" x14ac:dyDescent="0.35">
      <c r="A3813" s="321"/>
      <c r="B3813" s="320" t="str">
        <f t="shared" si="167"/>
        <v>PV1-103</v>
      </c>
      <c r="C3813" s="161"/>
      <c r="D3813" s="161"/>
      <c r="E3813" s="161"/>
      <c r="F3813" s="161"/>
      <c r="G3813" s="161"/>
      <c r="H3813" s="161"/>
      <c r="I3813" s="161"/>
      <c r="J3813" s="161"/>
      <c r="K3813" s="161">
        <f t="shared" si="168"/>
        <v>0</v>
      </c>
      <c r="L3813" s="161"/>
      <c r="M3813" s="161"/>
      <c r="N3813" s="161"/>
      <c r="O3813" s="188">
        <f t="shared" si="169"/>
        <v>0</v>
      </c>
    </row>
    <row r="3814" spans="1:15" x14ac:dyDescent="0.35">
      <c r="A3814" s="321"/>
      <c r="B3814" s="320" t="str">
        <f t="shared" si="167"/>
        <v>PV2-103</v>
      </c>
      <c r="C3814" s="161"/>
      <c r="D3814" s="161"/>
      <c r="E3814" s="161"/>
      <c r="F3814" s="161"/>
      <c r="G3814" s="161"/>
      <c r="H3814" s="161"/>
      <c r="I3814" s="161"/>
      <c r="J3814" s="161"/>
      <c r="K3814" s="161">
        <f t="shared" si="168"/>
        <v>0</v>
      </c>
      <c r="L3814" s="161"/>
      <c r="M3814" s="161"/>
      <c r="N3814" s="161"/>
      <c r="O3814" s="188">
        <f t="shared" si="169"/>
        <v>0</v>
      </c>
    </row>
    <row r="3815" spans="1:15" x14ac:dyDescent="0.35">
      <c r="A3815" s="321"/>
      <c r="B3815" s="320" t="str">
        <f t="shared" si="167"/>
        <v>PV3-103</v>
      </c>
      <c r="C3815" s="161"/>
      <c r="D3815" s="161"/>
      <c r="E3815" s="161"/>
      <c r="F3815" s="161"/>
      <c r="G3815" s="161"/>
      <c r="H3815" s="161"/>
      <c r="I3815" s="161"/>
      <c r="J3815" s="161"/>
      <c r="K3815" s="161">
        <f t="shared" si="168"/>
        <v>0.31051194942357646</v>
      </c>
      <c r="L3815" s="161"/>
      <c r="M3815" s="161"/>
      <c r="N3815" s="161"/>
      <c r="O3815" s="188">
        <f t="shared" si="169"/>
        <v>0.44358849917653781</v>
      </c>
    </row>
    <row r="3816" spans="1:15" x14ac:dyDescent="0.35">
      <c r="A3816" s="321"/>
      <c r="B3816" s="320" t="str">
        <f t="shared" si="167"/>
        <v>PV1-104</v>
      </c>
      <c r="C3816" s="161"/>
      <c r="D3816" s="161"/>
      <c r="E3816" s="161"/>
      <c r="F3816" s="161"/>
      <c r="G3816" s="161"/>
      <c r="H3816" s="161"/>
      <c r="I3816" s="161"/>
      <c r="J3816" s="161"/>
      <c r="K3816" s="161">
        <f t="shared" si="168"/>
        <v>0</v>
      </c>
      <c r="L3816" s="161"/>
      <c r="M3816" s="161"/>
      <c r="N3816" s="161"/>
      <c r="O3816" s="188">
        <f t="shared" si="169"/>
        <v>0</v>
      </c>
    </row>
    <row r="3817" spans="1:15" x14ac:dyDescent="0.35">
      <c r="A3817" s="321"/>
      <c r="B3817" s="320" t="str">
        <f t="shared" si="167"/>
        <v>PV2-104</v>
      </c>
      <c r="C3817" s="161"/>
      <c r="D3817" s="161"/>
      <c r="E3817" s="161"/>
      <c r="F3817" s="161"/>
      <c r="G3817" s="161"/>
      <c r="H3817" s="161"/>
      <c r="I3817" s="161"/>
      <c r="J3817" s="161"/>
      <c r="K3817" s="161">
        <f t="shared" si="168"/>
        <v>4.1401593256476778E-2</v>
      </c>
      <c r="L3817" s="161"/>
      <c r="M3817" s="161"/>
      <c r="N3817" s="161"/>
      <c r="O3817" s="188">
        <f t="shared" si="169"/>
        <v>5.914513322353826E-2</v>
      </c>
    </row>
    <row r="3818" spans="1:15" x14ac:dyDescent="0.35">
      <c r="A3818" s="321"/>
      <c r="B3818" s="320" t="str">
        <f t="shared" si="167"/>
        <v>PV3-104</v>
      </c>
      <c r="C3818" s="161"/>
      <c r="D3818" s="161"/>
      <c r="E3818" s="161"/>
      <c r="F3818" s="161"/>
      <c r="G3818" s="161"/>
      <c r="H3818" s="161"/>
      <c r="I3818" s="161"/>
      <c r="J3818" s="161"/>
      <c r="K3818" s="161">
        <f t="shared" si="168"/>
        <v>1.0350398314118879E-2</v>
      </c>
      <c r="L3818" s="161"/>
      <c r="M3818" s="161"/>
      <c r="N3818" s="161"/>
      <c r="O3818" s="188">
        <f t="shared" si="169"/>
        <v>1.4786283305884114E-2</v>
      </c>
    </row>
    <row r="3819" spans="1:15" x14ac:dyDescent="0.35">
      <c r="A3819" s="321"/>
      <c r="B3819" s="320" t="str">
        <f t="shared" si="167"/>
        <v>PV1-105</v>
      </c>
      <c r="C3819" s="161"/>
      <c r="D3819" s="161"/>
      <c r="E3819" s="161"/>
      <c r="F3819" s="161"/>
      <c r="G3819" s="161"/>
      <c r="H3819" s="161"/>
      <c r="I3819" s="161"/>
      <c r="J3819" s="161"/>
      <c r="K3819" s="161">
        <f t="shared" si="168"/>
        <v>0</v>
      </c>
      <c r="L3819" s="161"/>
      <c r="M3819" s="161"/>
      <c r="N3819" s="161"/>
      <c r="O3819" s="188">
        <f t="shared" si="169"/>
        <v>0</v>
      </c>
    </row>
    <row r="3820" spans="1:15" x14ac:dyDescent="0.35">
      <c r="A3820" s="321"/>
      <c r="B3820" s="320" t="str">
        <f t="shared" si="167"/>
        <v>PV2-105</v>
      </c>
      <c r="C3820" s="161"/>
      <c r="D3820" s="161"/>
      <c r="E3820" s="161"/>
      <c r="F3820" s="161"/>
      <c r="G3820" s="161"/>
      <c r="H3820" s="161"/>
      <c r="I3820" s="161"/>
      <c r="J3820" s="161"/>
      <c r="K3820" s="161">
        <f t="shared" si="168"/>
        <v>1.0350398314118879E-2</v>
      </c>
      <c r="L3820" s="161"/>
      <c r="M3820" s="161"/>
      <c r="N3820" s="161"/>
      <c r="O3820" s="188">
        <f t="shared" si="169"/>
        <v>1.4786283305884114E-2</v>
      </c>
    </row>
    <row r="3821" spans="1:15" x14ac:dyDescent="0.35">
      <c r="A3821" s="321"/>
      <c r="B3821" s="320" t="str">
        <f t="shared" si="167"/>
        <v>PV3-105</v>
      </c>
      <c r="C3821" s="161"/>
      <c r="D3821" s="161"/>
      <c r="E3821" s="161"/>
      <c r="F3821" s="161"/>
      <c r="G3821" s="161"/>
      <c r="H3821" s="161"/>
      <c r="I3821" s="161"/>
      <c r="J3821" s="161"/>
      <c r="K3821" s="161">
        <f t="shared" si="168"/>
        <v>0</v>
      </c>
      <c r="L3821" s="161"/>
      <c r="M3821" s="161"/>
      <c r="N3821" s="161"/>
      <c r="O3821" s="188">
        <f t="shared" si="169"/>
        <v>0</v>
      </c>
    </row>
    <row r="3822" spans="1:15" x14ac:dyDescent="0.35">
      <c r="A3822" s="321"/>
      <c r="B3822" s="320" t="str">
        <f t="shared" si="167"/>
        <v>PV1-106</v>
      </c>
      <c r="C3822" s="161"/>
      <c r="D3822" s="161"/>
      <c r="E3822" s="161"/>
      <c r="F3822" s="161"/>
      <c r="G3822" s="161"/>
      <c r="H3822" s="161"/>
      <c r="I3822" s="161"/>
      <c r="J3822" s="161"/>
      <c r="K3822" s="161">
        <f t="shared" si="168"/>
        <v>0</v>
      </c>
      <c r="L3822" s="161"/>
      <c r="M3822" s="161"/>
      <c r="N3822" s="161"/>
      <c r="O3822" s="188">
        <f t="shared" si="169"/>
        <v>0</v>
      </c>
    </row>
    <row r="3823" spans="1:15" x14ac:dyDescent="0.35">
      <c r="A3823" s="321"/>
      <c r="B3823" s="320" t="str">
        <f t="shared" si="167"/>
        <v>PV2-106</v>
      </c>
      <c r="C3823" s="161"/>
      <c r="D3823" s="161"/>
      <c r="E3823" s="161"/>
      <c r="F3823" s="161"/>
      <c r="G3823" s="161"/>
      <c r="H3823" s="161"/>
      <c r="I3823" s="161"/>
      <c r="J3823" s="161"/>
      <c r="K3823" s="161">
        <f t="shared" si="168"/>
        <v>0</v>
      </c>
      <c r="L3823" s="161"/>
      <c r="M3823" s="161"/>
      <c r="N3823" s="161"/>
      <c r="O3823" s="188">
        <f t="shared" si="169"/>
        <v>0</v>
      </c>
    </row>
    <row r="3824" spans="1:15" x14ac:dyDescent="0.35">
      <c r="A3824" s="321"/>
      <c r="B3824" s="320" t="str">
        <f t="shared" si="167"/>
        <v>PV3-106</v>
      </c>
      <c r="C3824" s="161"/>
      <c r="D3824" s="161"/>
      <c r="E3824" s="161"/>
      <c r="F3824" s="161"/>
      <c r="G3824" s="161"/>
      <c r="H3824" s="161"/>
      <c r="I3824" s="161"/>
      <c r="J3824" s="161"/>
      <c r="K3824" s="161">
        <f t="shared" si="168"/>
        <v>0</v>
      </c>
      <c r="L3824" s="161"/>
      <c r="M3824" s="161"/>
      <c r="N3824" s="161"/>
      <c r="O3824" s="188">
        <f t="shared" si="169"/>
        <v>0</v>
      </c>
    </row>
    <row r="3825" spans="1:15" x14ac:dyDescent="0.35">
      <c r="A3825" s="321"/>
      <c r="B3825" s="320" t="str">
        <f t="shared" si="167"/>
        <v>PV1-107</v>
      </c>
      <c r="C3825" s="161"/>
      <c r="D3825" s="161"/>
      <c r="E3825" s="161"/>
      <c r="F3825" s="161"/>
      <c r="G3825" s="161"/>
      <c r="H3825" s="161"/>
      <c r="I3825" s="161"/>
      <c r="J3825" s="161"/>
      <c r="K3825" s="161">
        <f t="shared" si="168"/>
        <v>0</v>
      </c>
      <c r="L3825" s="161"/>
      <c r="M3825" s="161"/>
      <c r="N3825" s="161"/>
      <c r="O3825" s="188">
        <f t="shared" si="169"/>
        <v>0</v>
      </c>
    </row>
    <row r="3826" spans="1:15" x14ac:dyDescent="0.35">
      <c r="A3826" s="321"/>
      <c r="B3826" s="320" t="str">
        <f t="shared" si="167"/>
        <v>PV2-107</v>
      </c>
      <c r="C3826" s="161"/>
      <c r="D3826" s="161"/>
      <c r="E3826" s="161"/>
      <c r="F3826" s="161"/>
      <c r="G3826" s="161"/>
      <c r="H3826" s="161"/>
      <c r="I3826" s="161"/>
      <c r="J3826" s="161"/>
      <c r="K3826" s="161">
        <f t="shared" si="168"/>
        <v>0.24840955953886076</v>
      </c>
      <c r="L3826" s="161"/>
      <c r="M3826" s="161"/>
      <c r="N3826" s="161"/>
      <c r="O3826" s="188">
        <f t="shared" si="169"/>
        <v>0.35487079934122967</v>
      </c>
    </row>
    <row r="3827" spans="1:15" x14ac:dyDescent="0.35">
      <c r="A3827" s="321"/>
      <c r="B3827" s="320" t="str">
        <f t="shared" si="167"/>
        <v>PV3-107</v>
      </c>
      <c r="C3827" s="161"/>
      <c r="D3827" s="161"/>
      <c r="E3827" s="161"/>
      <c r="F3827" s="161"/>
      <c r="G3827" s="161"/>
      <c r="H3827" s="161"/>
      <c r="I3827" s="161"/>
      <c r="J3827" s="161"/>
      <c r="K3827" s="161">
        <f t="shared" si="168"/>
        <v>1.0350398314118879E-2</v>
      </c>
      <c r="L3827" s="161"/>
      <c r="M3827" s="161"/>
      <c r="N3827" s="161"/>
      <c r="O3827" s="188">
        <f t="shared" si="169"/>
        <v>1.4786283305884114E-2</v>
      </c>
    </row>
    <row r="3828" spans="1:15" x14ac:dyDescent="0.35">
      <c r="A3828" s="321"/>
      <c r="B3828" s="320" t="str">
        <f t="shared" si="167"/>
        <v>PV1-108</v>
      </c>
      <c r="C3828" s="161"/>
      <c r="D3828" s="161"/>
      <c r="E3828" s="161"/>
      <c r="F3828" s="161"/>
      <c r="G3828" s="161"/>
      <c r="H3828" s="161"/>
      <c r="I3828" s="161"/>
      <c r="J3828" s="161"/>
      <c r="K3828" s="161">
        <f t="shared" si="168"/>
        <v>0</v>
      </c>
      <c r="L3828" s="161"/>
      <c r="M3828" s="161"/>
      <c r="N3828" s="161"/>
      <c r="O3828" s="188">
        <f t="shared" si="169"/>
        <v>0</v>
      </c>
    </row>
    <row r="3829" spans="1:15" x14ac:dyDescent="0.35">
      <c r="A3829" s="321"/>
      <c r="B3829" s="320" t="str">
        <f t="shared" si="167"/>
        <v>PV2-108</v>
      </c>
      <c r="C3829" s="161"/>
      <c r="D3829" s="161"/>
      <c r="E3829" s="161"/>
      <c r="F3829" s="161"/>
      <c r="G3829" s="161"/>
      <c r="H3829" s="161"/>
      <c r="I3829" s="161"/>
      <c r="J3829" s="161"/>
      <c r="K3829" s="161">
        <f t="shared" si="168"/>
        <v>1.0350398314118879E-2</v>
      </c>
      <c r="L3829" s="161"/>
      <c r="M3829" s="161"/>
      <c r="N3829" s="161"/>
      <c r="O3829" s="188">
        <f t="shared" si="169"/>
        <v>1.4786283305884114E-2</v>
      </c>
    </row>
    <row r="3830" spans="1:15" x14ac:dyDescent="0.35">
      <c r="A3830" s="321"/>
      <c r="B3830" s="320" t="str">
        <f t="shared" si="167"/>
        <v>PV3-108</v>
      </c>
      <c r="C3830" s="161"/>
      <c r="D3830" s="161"/>
      <c r="E3830" s="161"/>
      <c r="F3830" s="161"/>
      <c r="G3830" s="161"/>
      <c r="H3830" s="161"/>
      <c r="I3830" s="161"/>
      <c r="J3830" s="161"/>
      <c r="K3830" s="161">
        <f t="shared" si="168"/>
        <v>0</v>
      </c>
      <c r="L3830" s="161"/>
      <c r="M3830" s="161"/>
      <c r="N3830" s="161"/>
      <c r="O3830" s="188">
        <f t="shared" si="169"/>
        <v>0</v>
      </c>
    </row>
    <row r="3831" spans="1:15" x14ac:dyDescent="0.35">
      <c r="A3831" s="321"/>
      <c r="B3831" s="320" t="str">
        <f t="shared" si="167"/>
        <v>PV1-109</v>
      </c>
      <c r="C3831" s="161"/>
      <c r="D3831" s="161"/>
      <c r="E3831" s="161"/>
      <c r="F3831" s="161"/>
      <c r="G3831" s="161"/>
      <c r="H3831" s="161"/>
      <c r="I3831" s="161"/>
      <c r="J3831" s="161"/>
      <c r="K3831" s="161">
        <f t="shared" si="168"/>
        <v>0</v>
      </c>
      <c r="L3831" s="161"/>
      <c r="M3831" s="161"/>
      <c r="N3831" s="161"/>
      <c r="O3831" s="188">
        <f t="shared" si="169"/>
        <v>0</v>
      </c>
    </row>
    <row r="3832" spans="1:15" x14ac:dyDescent="0.35">
      <c r="A3832" s="321"/>
      <c r="B3832" s="320" t="str">
        <f t="shared" si="167"/>
        <v>PV2-109</v>
      </c>
      <c r="C3832" s="161"/>
      <c r="D3832" s="161"/>
      <c r="E3832" s="161"/>
      <c r="F3832" s="161"/>
      <c r="G3832" s="161"/>
      <c r="H3832" s="161"/>
      <c r="I3832" s="161"/>
      <c r="J3832" s="161"/>
      <c r="K3832" s="161">
        <f t="shared" si="168"/>
        <v>0</v>
      </c>
      <c r="L3832" s="161"/>
      <c r="M3832" s="161"/>
      <c r="N3832" s="161"/>
      <c r="O3832" s="188">
        <f t="shared" si="169"/>
        <v>0</v>
      </c>
    </row>
    <row r="3833" spans="1:15" x14ac:dyDescent="0.35">
      <c r="A3833" s="321"/>
      <c r="B3833" s="320" t="str">
        <f t="shared" si="167"/>
        <v>PV3-109</v>
      </c>
      <c r="C3833" s="161"/>
      <c r="D3833" s="161"/>
      <c r="E3833" s="161"/>
      <c r="F3833" s="161"/>
      <c r="G3833" s="161"/>
      <c r="H3833" s="161"/>
      <c r="I3833" s="161"/>
      <c r="J3833" s="161"/>
      <c r="K3833" s="161">
        <f t="shared" si="168"/>
        <v>0.10350398314119212</v>
      </c>
      <c r="L3833" s="161"/>
      <c r="M3833" s="161"/>
      <c r="N3833" s="161"/>
      <c r="O3833" s="188">
        <f t="shared" si="169"/>
        <v>0.1478628330588459</v>
      </c>
    </row>
    <row r="3834" spans="1:15" x14ac:dyDescent="0.35">
      <c r="A3834" s="321"/>
      <c r="B3834" s="320" t="str">
        <f t="shared" si="167"/>
        <v>PV1-110</v>
      </c>
      <c r="C3834" s="161"/>
      <c r="D3834" s="161"/>
      <c r="E3834" s="161"/>
      <c r="F3834" s="161"/>
      <c r="G3834" s="161"/>
      <c r="H3834" s="161"/>
      <c r="I3834" s="161"/>
      <c r="J3834" s="161"/>
      <c r="K3834" s="161">
        <f t="shared" si="168"/>
        <v>0</v>
      </c>
      <c r="L3834" s="161"/>
      <c r="M3834" s="161"/>
      <c r="N3834" s="161"/>
      <c r="O3834" s="188">
        <f t="shared" si="169"/>
        <v>0</v>
      </c>
    </row>
    <row r="3835" spans="1:15" x14ac:dyDescent="0.35">
      <c r="A3835" s="321"/>
      <c r="B3835" s="320" t="str">
        <f t="shared" si="167"/>
        <v>PV2-110</v>
      </c>
      <c r="C3835" s="161"/>
      <c r="D3835" s="161"/>
      <c r="E3835" s="161"/>
      <c r="F3835" s="161"/>
      <c r="G3835" s="161"/>
      <c r="H3835" s="161"/>
      <c r="I3835" s="161"/>
      <c r="J3835" s="161"/>
      <c r="K3835" s="161">
        <f t="shared" si="168"/>
        <v>3.1051194942357328E-2</v>
      </c>
      <c r="L3835" s="161"/>
      <c r="M3835" s="161"/>
      <c r="N3835" s="161"/>
      <c r="O3835" s="188">
        <f t="shared" si="169"/>
        <v>4.4358849917653327E-2</v>
      </c>
    </row>
    <row r="3836" spans="1:15" x14ac:dyDescent="0.35">
      <c r="A3836" s="321"/>
      <c r="B3836" s="320" t="str">
        <f t="shared" si="167"/>
        <v>PV3-110</v>
      </c>
      <c r="C3836" s="161"/>
      <c r="D3836" s="161"/>
      <c r="E3836" s="161"/>
      <c r="F3836" s="161"/>
      <c r="G3836" s="161"/>
      <c r="H3836" s="161"/>
      <c r="I3836" s="161"/>
      <c r="J3836" s="161"/>
      <c r="K3836" s="161">
        <f t="shared" si="168"/>
        <v>0.10350398314119212</v>
      </c>
      <c r="L3836" s="161"/>
      <c r="M3836" s="161"/>
      <c r="N3836" s="161"/>
      <c r="O3836" s="188">
        <f t="shared" si="169"/>
        <v>0.1478628330588459</v>
      </c>
    </row>
    <row r="3837" spans="1:15" x14ac:dyDescent="0.35">
      <c r="A3837" s="321"/>
      <c r="B3837" s="320" t="str">
        <f t="shared" si="167"/>
        <v>PV1-111</v>
      </c>
      <c r="C3837" s="161"/>
      <c r="D3837" s="161"/>
      <c r="E3837" s="161"/>
      <c r="F3837" s="161"/>
      <c r="G3837" s="161"/>
      <c r="H3837" s="161"/>
      <c r="I3837" s="161"/>
      <c r="J3837" s="161"/>
      <c r="K3837" s="161">
        <f t="shared" si="168"/>
        <v>0</v>
      </c>
      <c r="L3837" s="161"/>
      <c r="M3837" s="161"/>
      <c r="N3837" s="161"/>
      <c r="O3837" s="188">
        <f t="shared" si="169"/>
        <v>0</v>
      </c>
    </row>
    <row r="3838" spans="1:15" x14ac:dyDescent="0.35">
      <c r="A3838" s="321"/>
      <c r="B3838" s="320" t="str">
        <f t="shared" si="167"/>
        <v>PV2-111</v>
      </c>
      <c r="C3838" s="161"/>
      <c r="D3838" s="161"/>
      <c r="E3838" s="161"/>
      <c r="F3838" s="161"/>
      <c r="G3838" s="161"/>
      <c r="H3838" s="161"/>
      <c r="I3838" s="161"/>
      <c r="J3838" s="161"/>
      <c r="K3838" s="161">
        <f t="shared" si="168"/>
        <v>0</v>
      </c>
      <c r="L3838" s="161"/>
      <c r="M3838" s="161"/>
      <c r="N3838" s="161"/>
      <c r="O3838" s="188">
        <f t="shared" si="169"/>
        <v>0</v>
      </c>
    </row>
    <row r="3839" spans="1:15" x14ac:dyDescent="0.35">
      <c r="A3839" s="321"/>
      <c r="B3839" s="320" t="str">
        <f t="shared" si="167"/>
        <v>PV3-111</v>
      </c>
      <c r="C3839" s="161"/>
      <c r="D3839" s="161"/>
      <c r="E3839" s="161"/>
      <c r="F3839" s="161"/>
      <c r="G3839" s="161"/>
      <c r="H3839" s="161"/>
      <c r="I3839" s="161"/>
      <c r="J3839" s="161"/>
      <c r="K3839" s="161">
        <f t="shared" si="168"/>
        <v>0</v>
      </c>
      <c r="L3839" s="161"/>
      <c r="M3839" s="161"/>
      <c r="N3839" s="161"/>
      <c r="O3839" s="188">
        <f t="shared" si="169"/>
        <v>0</v>
      </c>
    </row>
    <row r="3840" spans="1:15" x14ac:dyDescent="0.35">
      <c r="A3840" s="321"/>
      <c r="B3840" s="320" t="str">
        <f t="shared" ref="B3840:B3871" si="170">B3449</f>
        <v>PV4-111</v>
      </c>
      <c r="C3840" s="161"/>
      <c r="D3840" s="161"/>
      <c r="E3840" s="161"/>
      <c r="F3840" s="161"/>
      <c r="G3840" s="161"/>
      <c r="H3840" s="161"/>
      <c r="I3840" s="161"/>
      <c r="J3840" s="161"/>
      <c r="K3840" s="161">
        <f t="shared" ref="K3840:K3873" si="171">$L$3807*O3840</f>
        <v>0.14490557639766902</v>
      </c>
      <c r="L3840" s="161"/>
      <c r="M3840" s="161"/>
      <c r="N3840" s="161"/>
      <c r="O3840" s="188">
        <f t="shared" ref="O3840:O3871" si="172">O3449</f>
        <v>0.20700796628238433</v>
      </c>
    </row>
    <row r="3841" spans="1:15" x14ac:dyDescent="0.35">
      <c r="A3841" s="321"/>
      <c r="B3841" s="320" t="str">
        <f t="shared" si="170"/>
        <v>PV5-111</v>
      </c>
      <c r="C3841" s="161"/>
      <c r="D3841" s="161"/>
      <c r="E3841" s="161"/>
      <c r="F3841" s="161"/>
      <c r="G3841" s="161"/>
      <c r="H3841" s="161"/>
      <c r="I3841" s="161"/>
      <c r="J3841" s="161"/>
      <c r="K3841" s="161">
        <f t="shared" si="171"/>
        <v>0.20700796628238391</v>
      </c>
      <c r="L3841" s="161"/>
      <c r="M3841" s="161"/>
      <c r="N3841" s="161"/>
      <c r="O3841" s="188">
        <f t="shared" si="172"/>
        <v>0.2957256661176913</v>
      </c>
    </row>
    <row r="3842" spans="1:15" x14ac:dyDescent="0.35">
      <c r="A3842" s="321"/>
      <c r="B3842" s="320" t="str">
        <f t="shared" si="170"/>
        <v>PV7-111</v>
      </c>
      <c r="C3842" s="161"/>
      <c r="D3842" s="161"/>
      <c r="E3842" s="161"/>
      <c r="F3842" s="161"/>
      <c r="G3842" s="161"/>
      <c r="H3842" s="161"/>
      <c r="I3842" s="161"/>
      <c r="J3842" s="161"/>
      <c r="K3842" s="161">
        <f t="shared" si="171"/>
        <v>0.31051194942357646</v>
      </c>
      <c r="L3842" s="161"/>
      <c r="M3842" s="161"/>
      <c r="N3842" s="161"/>
      <c r="O3842" s="188">
        <f t="shared" si="172"/>
        <v>0.44358849917653781</v>
      </c>
    </row>
    <row r="3843" spans="1:15" x14ac:dyDescent="0.35">
      <c r="A3843" s="321"/>
      <c r="B3843" s="320" t="str">
        <f t="shared" si="170"/>
        <v>PV8-111</v>
      </c>
      <c r="C3843" s="161"/>
      <c r="D3843" s="161"/>
      <c r="E3843" s="161"/>
      <c r="F3843" s="161"/>
      <c r="G3843" s="161"/>
      <c r="H3843" s="161"/>
      <c r="I3843" s="161"/>
      <c r="J3843" s="161"/>
      <c r="K3843" s="161">
        <f t="shared" si="171"/>
        <v>0</v>
      </c>
      <c r="L3843" s="161"/>
      <c r="M3843" s="161"/>
      <c r="N3843" s="161"/>
      <c r="O3843" s="188">
        <f t="shared" si="172"/>
        <v>0</v>
      </c>
    </row>
    <row r="3844" spans="1:15" x14ac:dyDescent="0.35">
      <c r="A3844" s="321"/>
      <c r="B3844" s="320" t="str">
        <f t="shared" si="170"/>
        <v>PV9-111</v>
      </c>
      <c r="C3844" s="161"/>
      <c r="D3844" s="161"/>
      <c r="E3844" s="161"/>
      <c r="F3844" s="161"/>
      <c r="G3844" s="161"/>
      <c r="H3844" s="161"/>
      <c r="I3844" s="161"/>
      <c r="J3844" s="161"/>
      <c r="K3844" s="161">
        <f t="shared" si="171"/>
        <v>0</v>
      </c>
      <c r="L3844" s="161"/>
      <c r="M3844" s="161"/>
      <c r="N3844" s="161"/>
      <c r="O3844" s="188">
        <f t="shared" si="172"/>
        <v>0</v>
      </c>
    </row>
    <row r="3845" spans="1:15" x14ac:dyDescent="0.35">
      <c r="A3845" s="321"/>
      <c r="B3845" s="320" t="str">
        <f t="shared" si="170"/>
        <v>PV10-111</v>
      </c>
      <c r="C3845" s="161"/>
      <c r="D3845" s="161"/>
      <c r="E3845" s="161"/>
      <c r="F3845" s="161"/>
      <c r="G3845" s="161"/>
      <c r="H3845" s="161"/>
      <c r="I3845" s="161"/>
      <c r="J3845" s="161"/>
      <c r="K3845" s="161">
        <f t="shared" si="171"/>
        <v>1.4490557639766567E-2</v>
      </c>
      <c r="L3845" s="161"/>
      <c r="M3845" s="161"/>
      <c r="N3845" s="161"/>
      <c r="O3845" s="188">
        <f t="shared" si="172"/>
        <v>2.0700796628237955E-2</v>
      </c>
    </row>
    <row r="3846" spans="1:15" x14ac:dyDescent="0.35">
      <c r="A3846" s="321"/>
      <c r="B3846" s="320" t="str">
        <f t="shared" si="170"/>
        <v>PV1-112</v>
      </c>
      <c r="C3846" s="161"/>
      <c r="D3846" s="161"/>
      <c r="E3846" s="161"/>
      <c r="F3846" s="161"/>
      <c r="G3846" s="161"/>
      <c r="H3846" s="161"/>
      <c r="I3846" s="161"/>
      <c r="J3846" s="161"/>
      <c r="K3846" s="161">
        <f t="shared" si="171"/>
        <v>0</v>
      </c>
      <c r="L3846" s="161"/>
      <c r="M3846" s="161"/>
      <c r="N3846" s="161"/>
      <c r="O3846" s="188">
        <f t="shared" si="172"/>
        <v>0</v>
      </c>
    </row>
    <row r="3847" spans="1:15" x14ac:dyDescent="0.35">
      <c r="A3847" s="321"/>
      <c r="B3847" s="320" t="str">
        <f t="shared" si="170"/>
        <v>PV2-112</v>
      </c>
      <c r="C3847" s="161"/>
      <c r="D3847" s="161"/>
      <c r="E3847" s="161"/>
      <c r="F3847" s="161"/>
      <c r="G3847" s="161"/>
      <c r="H3847" s="161"/>
      <c r="I3847" s="161"/>
      <c r="J3847" s="161"/>
      <c r="K3847" s="161">
        <f t="shared" si="171"/>
        <v>7.2452788198834217E-2</v>
      </c>
      <c r="L3847" s="161"/>
      <c r="M3847" s="161"/>
      <c r="N3847" s="161"/>
      <c r="O3847" s="188">
        <f t="shared" si="172"/>
        <v>0.10350398314119175</v>
      </c>
    </row>
    <row r="3848" spans="1:15" x14ac:dyDescent="0.35">
      <c r="A3848" s="321"/>
      <c r="B3848" s="320" t="str">
        <f t="shared" si="170"/>
        <v>PV3-112</v>
      </c>
      <c r="C3848" s="161"/>
      <c r="D3848" s="161"/>
      <c r="E3848" s="161"/>
      <c r="F3848" s="161"/>
      <c r="G3848" s="161"/>
      <c r="H3848" s="161"/>
      <c r="I3848" s="161"/>
      <c r="J3848" s="161"/>
      <c r="K3848" s="161">
        <f t="shared" si="171"/>
        <v>0.10350398314119212</v>
      </c>
      <c r="L3848" s="161"/>
      <c r="M3848" s="161"/>
      <c r="N3848" s="161"/>
      <c r="O3848" s="188">
        <f t="shared" si="172"/>
        <v>0.1478628330588459</v>
      </c>
    </row>
    <row r="3849" spans="1:15" x14ac:dyDescent="0.35">
      <c r="A3849" s="321"/>
      <c r="B3849" s="320" t="str">
        <f t="shared" si="170"/>
        <v>PV1-113</v>
      </c>
      <c r="C3849" s="161"/>
      <c r="D3849" s="161"/>
      <c r="E3849" s="161"/>
      <c r="F3849" s="161"/>
      <c r="G3849" s="161"/>
      <c r="H3849" s="161"/>
      <c r="I3849" s="161"/>
      <c r="J3849" s="161"/>
      <c r="K3849" s="161">
        <f t="shared" si="171"/>
        <v>0</v>
      </c>
      <c r="L3849" s="161"/>
      <c r="M3849" s="161"/>
      <c r="N3849" s="161"/>
      <c r="O3849" s="188">
        <f t="shared" si="172"/>
        <v>0</v>
      </c>
    </row>
    <row r="3850" spans="1:15" x14ac:dyDescent="0.35">
      <c r="A3850" s="321"/>
      <c r="B3850" s="320" t="str">
        <f t="shared" si="170"/>
        <v>PV2-113</v>
      </c>
      <c r="C3850" s="161"/>
      <c r="D3850" s="161"/>
      <c r="E3850" s="161"/>
      <c r="F3850" s="161"/>
      <c r="G3850" s="161"/>
      <c r="H3850" s="161"/>
      <c r="I3850" s="161"/>
      <c r="J3850" s="161"/>
      <c r="K3850" s="161">
        <f t="shared" si="171"/>
        <v>0</v>
      </c>
      <c r="L3850" s="161"/>
      <c r="M3850" s="161"/>
      <c r="N3850" s="161"/>
      <c r="O3850" s="188">
        <f t="shared" si="172"/>
        <v>0</v>
      </c>
    </row>
    <row r="3851" spans="1:15" x14ac:dyDescent="0.35">
      <c r="A3851" s="321"/>
      <c r="B3851" s="320" t="str">
        <f t="shared" si="170"/>
        <v>PV3-113</v>
      </c>
      <c r="C3851" s="161"/>
      <c r="D3851" s="161"/>
      <c r="E3851" s="161"/>
      <c r="F3851" s="161"/>
      <c r="G3851" s="161"/>
      <c r="H3851" s="161"/>
      <c r="I3851" s="161"/>
      <c r="J3851" s="161"/>
      <c r="K3851" s="161">
        <f t="shared" si="171"/>
        <v>5.1751991570595769E-2</v>
      </c>
      <c r="L3851" s="161"/>
      <c r="M3851" s="161"/>
      <c r="N3851" s="161"/>
      <c r="O3851" s="188">
        <f t="shared" si="172"/>
        <v>7.3931416529422533E-2</v>
      </c>
    </row>
    <row r="3852" spans="1:15" x14ac:dyDescent="0.35">
      <c r="A3852" s="321"/>
      <c r="B3852" s="320" t="str">
        <f t="shared" si="170"/>
        <v>PV1-114</v>
      </c>
      <c r="C3852" s="161"/>
      <c r="D3852" s="161"/>
      <c r="E3852" s="161"/>
      <c r="F3852" s="161"/>
      <c r="G3852" s="161"/>
      <c r="H3852" s="161"/>
      <c r="I3852" s="161"/>
      <c r="J3852" s="161"/>
      <c r="K3852" s="161">
        <f t="shared" si="171"/>
        <v>0</v>
      </c>
      <c r="L3852" s="161"/>
      <c r="M3852" s="161"/>
      <c r="N3852" s="161"/>
      <c r="O3852" s="188">
        <f t="shared" si="172"/>
        <v>0</v>
      </c>
    </row>
    <row r="3853" spans="1:15" x14ac:dyDescent="0.35">
      <c r="A3853" s="321"/>
      <c r="B3853" s="320" t="str">
        <f t="shared" si="170"/>
        <v>PV2-114</v>
      </c>
      <c r="C3853" s="161"/>
      <c r="D3853" s="161"/>
      <c r="E3853" s="161"/>
      <c r="F3853" s="161"/>
      <c r="G3853" s="161"/>
      <c r="H3853" s="161"/>
      <c r="I3853" s="161"/>
      <c r="J3853" s="161"/>
      <c r="K3853" s="161">
        <f t="shared" si="171"/>
        <v>0</v>
      </c>
      <c r="L3853" s="161"/>
      <c r="M3853" s="161"/>
      <c r="N3853" s="161"/>
      <c r="O3853" s="188">
        <f t="shared" si="172"/>
        <v>0</v>
      </c>
    </row>
    <row r="3854" spans="1:15" x14ac:dyDescent="0.35">
      <c r="A3854" s="321"/>
      <c r="B3854" s="320" t="str">
        <f t="shared" si="170"/>
        <v>PV3-114</v>
      </c>
      <c r="C3854" s="161"/>
      <c r="D3854" s="161"/>
      <c r="E3854" s="161"/>
      <c r="F3854" s="161"/>
      <c r="G3854" s="161"/>
      <c r="H3854" s="161"/>
      <c r="I3854" s="161"/>
      <c r="J3854" s="161"/>
      <c r="K3854" s="161">
        <f t="shared" si="171"/>
        <v>6.2102389884715226E-2</v>
      </c>
      <c r="L3854" s="161"/>
      <c r="M3854" s="161"/>
      <c r="N3854" s="161"/>
      <c r="O3854" s="188">
        <f t="shared" si="172"/>
        <v>8.8717699835307473E-2</v>
      </c>
    </row>
    <row r="3855" spans="1:15" x14ac:dyDescent="0.35">
      <c r="A3855" s="321"/>
      <c r="B3855" s="320" t="str">
        <f t="shared" si="170"/>
        <v>PV1-115</v>
      </c>
      <c r="C3855" s="161"/>
      <c r="D3855" s="161"/>
      <c r="E3855" s="161"/>
      <c r="F3855" s="161"/>
      <c r="G3855" s="161"/>
      <c r="H3855" s="161"/>
      <c r="I3855" s="161"/>
      <c r="J3855" s="161"/>
      <c r="K3855" s="161">
        <f t="shared" si="171"/>
        <v>0</v>
      </c>
      <c r="L3855" s="161"/>
      <c r="M3855" s="161"/>
      <c r="N3855" s="161"/>
      <c r="O3855" s="188">
        <f t="shared" si="172"/>
        <v>0</v>
      </c>
    </row>
    <row r="3856" spans="1:15" x14ac:dyDescent="0.35">
      <c r="A3856" s="321"/>
      <c r="B3856" s="320" t="str">
        <f t="shared" si="170"/>
        <v>PV2-115</v>
      </c>
      <c r="C3856" s="161"/>
      <c r="D3856" s="161"/>
      <c r="E3856" s="161"/>
      <c r="F3856" s="161"/>
      <c r="G3856" s="161"/>
      <c r="H3856" s="161"/>
      <c r="I3856" s="161"/>
      <c r="J3856" s="161"/>
      <c r="K3856" s="161">
        <f t="shared" si="171"/>
        <v>0</v>
      </c>
      <c r="L3856" s="161"/>
      <c r="M3856" s="161"/>
      <c r="N3856" s="161"/>
      <c r="O3856" s="188">
        <f t="shared" si="172"/>
        <v>0</v>
      </c>
    </row>
    <row r="3857" spans="1:15" x14ac:dyDescent="0.35">
      <c r="A3857" s="321"/>
      <c r="B3857" s="320" t="str">
        <f t="shared" si="170"/>
        <v>PV3-115</v>
      </c>
      <c r="C3857" s="161"/>
      <c r="D3857" s="161"/>
      <c r="E3857" s="161"/>
      <c r="F3857" s="161"/>
      <c r="G3857" s="161"/>
      <c r="H3857" s="161"/>
      <c r="I3857" s="161"/>
      <c r="J3857" s="161"/>
      <c r="K3857" s="161">
        <f t="shared" si="171"/>
        <v>0</v>
      </c>
      <c r="L3857" s="161"/>
      <c r="M3857" s="161"/>
      <c r="N3857" s="161"/>
      <c r="O3857" s="188">
        <f t="shared" si="172"/>
        <v>0</v>
      </c>
    </row>
    <row r="3858" spans="1:15" x14ac:dyDescent="0.35">
      <c r="A3858" s="321"/>
      <c r="B3858" s="320" t="str">
        <f t="shared" si="170"/>
        <v>PV4-115</v>
      </c>
      <c r="C3858" s="161"/>
      <c r="D3858" s="161"/>
      <c r="E3858" s="161"/>
      <c r="F3858" s="161"/>
      <c r="G3858" s="161"/>
      <c r="H3858" s="161"/>
      <c r="I3858" s="161"/>
      <c r="J3858" s="161"/>
      <c r="K3858" s="161">
        <f t="shared" si="171"/>
        <v>0</v>
      </c>
      <c r="L3858" s="161"/>
      <c r="M3858" s="161"/>
      <c r="N3858" s="161"/>
      <c r="O3858" s="188">
        <f t="shared" si="172"/>
        <v>0</v>
      </c>
    </row>
    <row r="3859" spans="1:15" x14ac:dyDescent="0.35">
      <c r="A3859" s="321"/>
      <c r="B3859" s="320" t="str">
        <f t="shared" si="170"/>
        <v>PV5-115</v>
      </c>
      <c r="C3859" s="161"/>
      <c r="D3859" s="161"/>
      <c r="E3859" s="161"/>
      <c r="F3859" s="161"/>
      <c r="G3859" s="161"/>
      <c r="H3859" s="161"/>
      <c r="I3859" s="161"/>
      <c r="J3859" s="161"/>
      <c r="K3859" s="161">
        <f t="shared" si="171"/>
        <v>0.31051194942357646</v>
      </c>
      <c r="L3859" s="161"/>
      <c r="M3859" s="161"/>
      <c r="N3859" s="161"/>
      <c r="O3859" s="188">
        <f t="shared" si="172"/>
        <v>0.44358849917653781</v>
      </c>
    </row>
    <row r="3860" spans="1:15" x14ac:dyDescent="0.35">
      <c r="A3860" s="321"/>
      <c r="B3860" s="320" t="str">
        <f t="shared" si="170"/>
        <v>PV1-116</v>
      </c>
      <c r="C3860" s="161"/>
      <c r="D3860" s="161"/>
      <c r="E3860" s="161"/>
      <c r="F3860" s="161"/>
      <c r="G3860" s="161"/>
      <c r="H3860" s="161"/>
      <c r="I3860" s="161"/>
      <c r="J3860" s="161"/>
      <c r="K3860" s="161">
        <f t="shared" si="171"/>
        <v>0</v>
      </c>
      <c r="L3860" s="161"/>
      <c r="M3860" s="161"/>
      <c r="N3860" s="161"/>
      <c r="O3860" s="188">
        <f t="shared" si="172"/>
        <v>0</v>
      </c>
    </row>
    <row r="3861" spans="1:15" x14ac:dyDescent="0.35">
      <c r="A3861" s="321"/>
      <c r="B3861" s="320" t="str">
        <f t="shared" si="170"/>
        <v>PV2-116</v>
      </c>
      <c r="C3861" s="161"/>
      <c r="D3861" s="161"/>
      <c r="E3861" s="161"/>
      <c r="F3861" s="161"/>
      <c r="G3861" s="161"/>
      <c r="H3861" s="161"/>
      <c r="I3861" s="161"/>
      <c r="J3861" s="161"/>
      <c r="K3861" s="161">
        <f t="shared" si="171"/>
        <v>0.10350398314119212</v>
      </c>
      <c r="L3861" s="161"/>
      <c r="M3861" s="161"/>
      <c r="N3861" s="161"/>
      <c r="O3861" s="188">
        <f t="shared" si="172"/>
        <v>0.1478628330588459</v>
      </c>
    </row>
    <row r="3862" spans="1:15" x14ac:dyDescent="0.35">
      <c r="A3862" s="321"/>
      <c r="B3862" s="320" t="str">
        <f t="shared" si="170"/>
        <v>PV3-116</v>
      </c>
      <c r="C3862" s="161"/>
      <c r="D3862" s="161"/>
      <c r="E3862" s="161"/>
      <c r="F3862" s="161"/>
      <c r="G3862" s="161"/>
      <c r="H3862" s="161"/>
      <c r="I3862" s="161"/>
      <c r="J3862" s="161"/>
      <c r="K3862" s="161">
        <f t="shared" si="171"/>
        <v>0</v>
      </c>
      <c r="L3862" s="161"/>
      <c r="M3862" s="161"/>
      <c r="N3862" s="161"/>
      <c r="O3862" s="188">
        <f t="shared" si="172"/>
        <v>0</v>
      </c>
    </row>
    <row r="3863" spans="1:15" x14ac:dyDescent="0.35">
      <c r="A3863" s="321"/>
      <c r="B3863" s="320" t="str">
        <f t="shared" si="170"/>
        <v>PV1-117</v>
      </c>
      <c r="C3863" s="161"/>
      <c r="D3863" s="161"/>
      <c r="E3863" s="161"/>
      <c r="F3863" s="161"/>
      <c r="G3863" s="161"/>
      <c r="H3863" s="161"/>
      <c r="I3863" s="161"/>
      <c r="J3863" s="161"/>
      <c r="K3863" s="161">
        <f t="shared" si="171"/>
        <v>0.14490557639766902</v>
      </c>
      <c r="L3863" s="161"/>
      <c r="M3863" s="161"/>
      <c r="N3863" s="161"/>
      <c r="O3863" s="188">
        <f t="shared" si="172"/>
        <v>0.20700796628238433</v>
      </c>
    </row>
    <row r="3864" spans="1:15" x14ac:dyDescent="0.35">
      <c r="A3864" s="321"/>
      <c r="B3864" s="320" t="str">
        <f t="shared" si="170"/>
        <v>PV2-117</v>
      </c>
      <c r="C3864" s="161"/>
      <c r="D3864" s="161"/>
      <c r="E3864" s="161"/>
      <c r="F3864" s="161"/>
      <c r="G3864" s="161"/>
      <c r="H3864" s="161"/>
      <c r="I3864" s="161"/>
      <c r="J3864" s="161"/>
      <c r="K3864" s="161">
        <f t="shared" si="171"/>
        <v>0</v>
      </c>
      <c r="L3864" s="161"/>
      <c r="M3864" s="161"/>
      <c r="N3864" s="161"/>
      <c r="O3864" s="188">
        <f t="shared" si="172"/>
        <v>0</v>
      </c>
    </row>
    <row r="3865" spans="1:15" x14ac:dyDescent="0.35">
      <c r="A3865" s="321"/>
      <c r="B3865" s="320" t="str">
        <f t="shared" si="170"/>
        <v>PV3-117</v>
      </c>
      <c r="C3865" s="161"/>
      <c r="D3865" s="161"/>
      <c r="E3865" s="161"/>
      <c r="F3865" s="161"/>
      <c r="G3865" s="161"/>
      <c r="H3865" s="161"/>
      <c r="I3865" s="161"/>
      <c r="J3865" s="161"/>
      <c r="K3865" s="161">
        <f t="shared" si="171"/>
        <v>4.1401593256476778E-2</v>
      </c>
      <c r="L3865" s="161"/>
      <c r="M3865" s="161"/>
      <c r="N3865" s="161"/>
      <c r="O3865" s="188">
        <f t="shared" si="172"/>
        <v>5.914513322353826E-2</v>
      </c>
    </row>
    <row r="3866" spans="1:15" x14ac:dyDescent="0.35">
      <c r="A3866" s="321"/>
      <c r="B3866" s="320" t="str">
        <f t="shared" si="170"/>
        <v>PV1-119</v>
      </c>
      <c r="C3866" s="161"/>
      <c r="D3866" s="161"/>
      <c r="E3866" s="161"/>
      <c r="F3866" s="161"/>
      <c r="G3866" s="161"/>
      <c r="H3866" s="161"/>
      <c r="I3866" s="161"/>
      <c r="J3866" s="161"/>
      <c r="K3866" s="161">
        <f t="shared" si="171"/>
        <v>0</v>
      </c>
      <c r="L3866" s="161"/>
      <c r="M3866" s="161"/>
      <c r="N3866" s="161"/>
      <c r="O3866" s="188">
        <f t="shared" si="172"/>
        <v>0</v>
      </c>
    </row>
    <row r="3867" spans="1:15" x14ac:dyDescent="0.35">
      <c r="A3867" s="321"/>
      <c r="B3867" s="320" t="str">
        <f t="shared" si="170"/>
        <v>PV2-119</v>
      </c>
      <c r="C3867" s="161"/>
      <c r="D3867" s="161"/>
      <c r="E3867" s="161"/>
      <c r="F3867" s="161"/>
      <c r="G3867" s="161"/>
      <c r="H3867" s="161"/>
      <c r="I3867" s="161"/>
      <c r="J3867" s="161"/>
      <c r="K3867" s="161">
        <f t="shared" si="171"/>
        <v>0.31051194942357646</v>
      </c>
      <c r="L3867" s="161"/>
      <c r="M3867" s="161"/>
      <c r="N3867" s="161"/>
      <c r="O3867" s="188">
        <f t="shared" si="172"/>
        <v>0.44358849917653781</v>
      </c>
    </row>
    <row r="3868" spans="1:15" x14ac:dyDescent="0.35">
      <c r="A3868" s="321"/>
      <c r="B3868" s="320" t="str">
        <f t="shared" si="170"/>
        <v>PV3-119</v>
      </c>
      <c r="C3868" s="161"/>
      <c r="D3868" s="161"/>
      <c r="E3868" s="161"/>
      <c r="F3868" s="161"/>
      <c r="G3868" s="161"/>
      <c r="H3868" s="161"/>
      <c r="I3868" s="161"/>
      <c r="J3868" s="161"/>
      <c r="K3868" s="161">
        <f t="shared" si="171"/>
        <v>0.28981115279533765</v>
      </c>
      <c r="L3868" s="161"/>
      <c r="M3868" s="161"/>
      <c r="N3868" s="161"/>
      <c r="O3868" s="188">
        <f t="shared" si="172"/>
        <v>0.4140159325647681</v>
      </c>
    </row>
    <row r="3869" spans="1:15" x14ac:dyDescent="0.35">
      <c r="A3869" s="321"/>
      <c r="B3869" s="320" t="str">
        <f t="shared" si="170"/>
        <v>PV19-121</v>
      </c>
      <c r="C3869" s="161"/>
      <c r="D3869" s="161"/>
      <c r="E3869" s="161"/>
      <c r="F3869" s="161"/>
      <c r="G3869" s="161"/>
      <c r="H3869" s="161"/>
      <c r="I3869" s="161"/>
      <c r="J3869" s="161"/>
      <c r="K3869" s="161">
        <f t="shared" si="171"/>
        <v>0.31051194942357646</v>
      </c>
      <c r="L3869" s="161"/>
      <c r="M3869" s="161"/>
      <c r="N3869" s="161"/>
      <c r="O3869" s="188">
        <f t="shared" si="172"/>
        <v>0.44358849917653781</v>
      </c>
    </row>
    <row r="3870" spans="1:15" x14ac:dyDescent="0.35">
      <c r="A3870" s="321"/>
      <c r="B3870" s="320" t="str">
        <f t="shared" si="170"/>
        <v>PV6-102</v>
      </c>
      <c r="C3870" s="161"/>
      <c r="D3870" s="161"/>
      <c r="E3870" s="161"/>
      <c r="F3870" s="161"/>
      <c r="G3870" s="161"/>
      <c r="H3870" s="161"/>
      <c r="I3870" s="161"/>
      <c r="J3870" s="161"/>
      <c r="K3870" s="161">
        <f t="shared" si="171"/>
        <v>0.31051194942357646</v>
      </c>
      <c r="L3870" s="161"/>
      <c r="M3870" s="161"/>
      <c r="N3870" s="161"/>
      <c r="O3870" s="188">
        <f t="shared" si="172"/>
        <v>0.44358849917653781</v>
      </c>
    </row>
    <row r="3871" spans="1:15" x14ac:dyDescent="0.35">
      <c r="A3871" s="321"/>
      <c r="B3871" s="320" t="str">
        <f t="shared" si="170"/>
        <v>PV7-102</v>
      </c>
      <c r="C3871" s="161"/>
      <c r="D3871" s="161"/>
      <c r="E3871" s="161"/>
      <c r="F3871" s="161"/>
      <c r="G3871" s="161"/>
      <c r="H3871" s="161"/>
      <c r="I3871" s="161"/>
      <c r="J3871" s="161"/>
      <c r="K3871" s="161">
        <f t="shared" si="171"/>
        <v>0.31051194942357646</v>
      </c>
      <c r="L3871" s="161"/>
      <c r="M3871" s="161"/>
      <c r="N3871" s="161"/>
      <c r="O3871" s="188">
        <f t="shared" si="172"/>
        <v>0.44358849917653781</v>
      </c>
    </row>
    <row r="3872" spans="1:15" x14ac:dyDescent="0.35">
      <c r="A3872" s="321"/>
      <c r="B3872" s="320" t="str">
        <f t="shared" ref="B3872:B3873" si="173">B3481</f>
        <v>PV8-102</v>
      </c>
      <c r="C3872" s="161"/>
      <c r="D3872" s="161"/>
      <c r="E3872" s="161"/>
      <c r="F3872" s="161"/>
      <c r="G3872" s="161"/>
      <c r="H3872" s="161"/>
      <c r="I3872" s="161"/>
      <c r="J3872" s="161"/>
      <c r="K3872" s="161">
        <f t="shared" si="171"/>
        <v>0.31051194942357646</v>
      </c>
      <c r="L3872" s="161"/>
      <c r="M3872" s="161"/>
      <c r="N3872" s="161"/>
      <c r="O3872" s="188">
        <f t="shared" ref="O3872:O3873" si="174">O3481</f>
        <v>0.44358849917653781</v>
      </c>
    </row>
    <row r="3873" spans="1:15" x14ac:dyDescent="0.35">
      <c r="A3873" s="321"/>
      <c r="B3873" s="320" t="str">
        <f t="shared" si="173"/>
        <v>PV6-111</v>
      </c>
      <c r="C3873" s="161"/>
      <c r="D3873" s="161"/>
      <c r="E3873" s="161"/>
      <c r="F3873" s="161"/>
      <c r="G3873" s="161"/>
      <c r="H3873" s="161"/>
      <c r="I3873" s="161"/>
      <c r="J3873" s="161"/>
      <c r="K3873" s="161">
        <f t="shared" si="171"/>
        <v>0.31051194942357646</v>
      </c>
      <c r="L3873" s="161"/>
      <c r="M3873" s="161"/>
      <c r="N3873" s="161"/>
      <c r="O3873" s="188">
        <f t="shared" si="174"/>
        <v>0.44358849917653781</v>
      </c>
    </row>
    <row r="3874" spans="1:15" x14ac:dyDescent="0.35">
      <c r="A3874" s="321"/>
      <c r="B3874" s="320"/>
      <c r="C3874" s="161"/>
      <c r="D3874" s="161"/>
      <c r="E3874" s="161"/>
      <c r="F3874" s="161"/>
      <c r="G3874" s="161"/>
      <c r="H3874" s="161"/>
      <c r="I3874" s="161"/>
      <c r="J3874" s="161"/>
      <c r="K3874" s="161"/>
      <c r="L3874" s="161"/>
      <c r="M3874" s="161"/>
      <c r="N3874" s="161"/>
      <c r="O3874" s="188"/>
    </row>
    <row r="3875" spans="1:15" x14ac:dyDescent="0.35">
      <c r="A3875" s="319"/>
      <c r="B3875" s="318" t="s">
        <v>377</v>
      </c>
      <c r="C3875" s="182" t="s">
        <v>402</v>
      </c>
      <c r="D3875" s="182"/>
      <c r="E3875" s="182"/>
      <c r="F3875" s="182"/>
      <c r="G3875" s="182"/>
      <c r="H3875" s="182"/>
      <c r="I3875" s="182"/>
      <c r="J3875" s="182"/>
      <c r="K3875" s="170">
        <f>SUM(K3808:K3874)</f>
        <v>5.5726544523219212</v>
      </c>
      <c r="L3875" s="182"/>
      <c r="M3875" s="182"/>
      <c r="N3875" s="182"/>
      <c r="O3875" s="170"/>
    </row>
  </sheetData>
  <autoFilter ref="A5:S3875" xr:uid="{AA0C87A3-1144-42B9-9E81-3328C81870D8}"/>
  <mergeCells count="8">
    <mergeCell ref="A4:B4"/>
    <mergeCell ref="C4:K4"/>
    <mergeCell ref="C1:K1"/>
    <mergeCell ref="A1:B1"/>
    <mergeCell ref="L1:O1"/>
    <mergeCell ref="A2:O2"/>
    <mergeCell ref="A3:B3"/>
    <mergeCell ref="C3:K3"/>
  </mergeCells>
  <printOptions horizontalCentered="1"/>
  <pageMargins left="0.39370078740157483" right="0.39370078740157483" top="0.78740157480314965" bottom="0.39370078740157483" header="0.31496062992125984" footer="0.39370078740157483"/>
  <pageSetup paperSize="9" scale="4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88E9-C24B-467B-BD00-517DD8A6360E}">
  <sheetPr codeName="Planilha8"/>
  <dimension ref="A1:N28"/>
  <sheetViews>
    <sheetView tabSelected="1" view="pageBreakPreview" zoomScaleNormal="100" zoomScaleSheetLayoutView="100" workbookViewId="0">
      <selection activeCell="Q32" sqref="Q32"/>
    </sheetView>
  </sheetViews>
  <sheetFormatPr defaultColWidth="9" defaultRowHeight="14.5" x14ac:dyDescent="0.35"/>
  <cols>
    <col min="1" max="1" width="33.33203125" style="127" customWidth="1"/>
    <col min="2" max="2" width="11.5" style="126" customWidth="1"/>
    <col min="3" max="3" width="10.5" style="126" bestFit="1" customWidth="1"/>
    <col min="4" max="4" width="9.75" style="126" bestFit="1" customWidth="1"/>
    <col min="5" max="5" width="17.75" style="126" bestFit="1" customWidth="1"/>
    <col min="6" max="6" width="11.25" style="126" bestFit="1" customWidth="1"/>
    <col min="7" max="7" width="17.83203125" style="126" bestFit="1" customWidth="1"/>
    <col min="8" max="8" width="14.83203125" style="123" customWidth="1"/>
    <col min="9" max="9" width="21.58203125" style="123" customWidth="1"/>
    <col min="10" max="10" width="8.33203125" style="123" bestFit="1" customWidth="1"/>
    <col min="11" max="16384" width="9" style="123"/>
  </cols>
  <sheetData>
    <row r="1" spans="1:14" s="567" customFormat="1" x14ac:dyDescent="0.35">
      <c r="A1" s="566"/>
    </row>
    <row r="2" spans="1:14" s="567" customFormat="1" ht="70" customHeight="1" x14ac:dyDescent="0.35">
      <c r="A2" s="713" t="s">
        <v>3768</v>
      </c>
      <c r="B2" s="713"/>
      <c r="C2" s="713"/>
      <c r="D2" s="713"/>
      <c r="E2" s="713"/>
      <c r="F2" s="713"/>
      <c r="G2" s="713"/>
      <c r="H2" s="713"/>
      <c r="I2" s="713"/>
      <c r="J2" s="569"/>
      <c r="K2" s="569"/>
      <c r="L2" s="569"/>
      <c r="M2" s="569"/>
      <c r="N2" s="569"/>
    </row>
    <row r="3" spans="1:14" s="567" customFormat="1" ht="45" customHeight="1" x14ac:dyDescent="0.35">
      <c r="A3" s="714" t="s">
        <v>3769</v>
      </c>
      <c r="B3" s="714"/>
      <c r="C3" s="714"/>
      <c r="D3" s="714"/>
      <c r="E3" s="714"/>
      <c r="F3" s="714"/>
      <c r="G3" s="714"/>
      <c r="H3" s="714"/>
      <c r="I3" s="714"/>
      <c r="J3" s="569"/>
      <c r="K3" s="569"/>
      <c r="L3" s="569"/>
      <c r="M3" s="569"/>
      <c r="N3" s="569"/>
    </row>
    <row r="4" spans="1:14" s="567" customFormat="1" x14ac:dyDescent="0.35">
      <c r="A4" s="570" t="s">
        <v>3770</v>
      </c>
      <c r="I4" s="571">
        <v>45352</v>
      </c>
    </row>
    <row r="5" spans="1:14" s="567" customFormat="1" ht="15" thickBot="1" x14ac:dyDescent="0.4">
      <c r="A5" s="566"/>
    </row>
    <row r="6" spans="1:14" s="567" customFormat="1" ht="30" customHeight="1" thickBot="1" x14ac:dyDescent="0.4">
      <c r="A6" s="715" t="s">
        <v>3771</v>
      </c>
      <c r="B6" s="716"/>
      <c r="C6" s="716"/>
      <c r="D6" s="716"/>
      <c r="E6" s="716"/>
      <c r="F6" s="716"/>
      <c r="G6" s="716"/>
      <c r="H6" s="716"/>
      <c r="I6" s="717"/>
    </row>
    <row r="7" spans="1:14" s="567" customFormat="1" ht="15" thickBot="1" x14ac:dyDescent="0.4">
      <c r="A7" s="568"/>
    </row>
    <row r="8" spans="1:14" s="572" customFormat="1" ht="15" thickBot="1" x14ac:dyDescent="0.4">
      <c r="A8" s="718" t="s">
        <v>2128</v>
      </c>
      <c r="B8" s="719"/>
      <c r="C8" s="719"/>
      <c r="D8" s="719"/>
      <c r="E8" s="719"/>
      <c r="F8" s="719"/>
      <c r="G8" s="719"/>
      <c r="H8" s="719"/>
      <c r="I8" s="720"/>
    </row>
    <row r="9" spans="1:14" ht="15" thickBot="1" x14ac:dyDescent="0.4">
      <c r="A9" s="721" t="s">
        <v>2131</v>
      </c>
      <c r="B9" s="723" t="s">
        <v>3772</v>
      </c>
      <c r="C9" s="724"/>
      <c r="D9" s="724"/>
      <c r="E9" s="724"/>
      <c r="F9" s="724"/>
      <c r="G9" s="725"/>
      <c r="H9" s="726" t="s">
        <v>2133</v>
      </c>
      <c r="I9" s="727"/>
    </row>
    <row r="10" spans="1:14" ht="18" x14ac:dyDescent="0.35">
      <c r="A10" s="722"/>
      <c r="B10" s="573" t="s">
        <v>2134</v>
      </c>
      <c r="C10" s="574" t="s">
        <v>2135</v>
      </c>
      <c r="D10" s="574" t="s">
        <v>2136</v>
      </c>
      <c r="E10" s="574" t="s">
        <v>2137</v>
      </c>
      <c r="F10" s="574" t="s">
        <v>2138</v>
      </c>
      <c r="G10" s="575" t="s">
        <v>2139</v>
      </c>
      <c r="H10" s="576" t="s">
        <v>2140</v>
      </c>
      <c r="I10" s="577" t="s">
        <v>2141</v>
      </c>
    </row>
    <row r="11" spans="1:14" customFormat="1" ht="14" x14ac:dyDescent="0.3">
      <c r="A11" s="578" t="s">
        <v>2142</v>
      </c>
      <c r="B11" s="579">
        <v>4986.8220826116813</v>
      </c>
      <c r="C11" s="580">
        <v>137.75798869586185</v>
      </c>
      <c r="D11" s="580">
        <v>1.96</v>
      </c>
      <c r="E11" s="580">
        <v>4243.5893557216668</v>
      </c>
      <c r="F11" s="580">
        <v>0</v>
      </c>
      <c r="G11" s="581">
        <v>743.23272689001442</v>
      </c>
      <c r="H11" s="579">
        <v>1.96</v>
      </c>
      <c r="I11" s="581">
        <v>766.77457581966803</v>
      </c>
    </row>
    <row r="12" spans="1:14" customFormat="1" ht="14" x14ac:dyDescent="0.3">
      <c r="A12" s="578" t="s">
        <v>2143</v>
      </c>
      <c r="B12" s="579">
        <v>813.06435343999999</v>
      </c>
      <c r="C12" s="580">
        <v>239.98230699999988</v>
      </c>
      <c r="D12" s="580">
        <v>0</v>
      </c>
      <c r="E12" s="580">
        <v>813.06435343999999</v>
      </c>
      <c r="F12" s="580">
        <v>99.318382405398438</v>
      </c>
      <c r="G12" s="581">
        <v>0</v>
      </c>
      <c r="H12" s="579">
        <v>0</v>
      </c>
      <c r="I12" s="581">
        <v>239.98230699999988</v>
      </c>
    </row>
    <row r="13" spans="1:14" customFormat="1" ht="14" x14ac:dyDescent="0.3">
      <c r="A13" s="578" t="s">
        <v>2144</v>
      </c>
      <c r="B13" s="579">
        <v>666.31975115999944</v>
      </c>
      <c r="C13" s="580">
        <v>179.56741095999999</v>
      </c>
      <c r="D13" s="580">
        <v>7.2637599999999996</v>
      </c>
      <c r="E13" s="580">
        <v>484.6098219999995</v>
      </c>
      <c r="F13" s="580">
        <v>0</v>
      </c>
      <c r="G13" s="581">
        <v>181.70992915999994</v>
      </c>
      <c r="H13" s="579">
        <v>7.2637599999999996</v>
      </c>
      <c r="I13" s="581">
        <v>361.27734011999996</v>
      </c>
    </row>
    <row r="14" spans="1:14" s="124" customFormat="1" x14ac:dyDescent="0.35">
      <c r="A14" s="582" t="s">
        <v>377</v>
      </c>
      <c r="B14" s="583">
        <v>6466.2061872116801</v>
      </c>
      <c r="C14" s="584">
        <v>557.30770665586169</v>
      </c>
      <c r="D14" s="584">
        <v>9.2237599999999986</v>
      </c>
      <c r="E14" s="584">
        <v>5541.2635311616659</v>
      </c>
      <c r="F14" s="584">
        <v>99.318382405398438</v>
      </c>
      <c r="G14" s="585">
        <v>825.62427364461598</v>
      </c>
      <c r="H14" s="583">
        <v>9.2237599999999986</v>
      </c>
      <c r="I14" s="586">
        <v>1368.0342229396679</v>
      </c>
    </row>
    <row r="15" spans="1:14" s="124" customFormat="1" ht="15" thickBot="1" x14ac:dyDescent="0.4">
      <c r="A15" s="587" t="s">
        <v>2145</v>
      </c>
      <c r="B15" s="588"/>
      <c r="C15" s="589"/>
      <c r="D15" s="589"/>
      <c r="E15" s="589"/>
      <c r="F15" s="589"/>
      <c r="G15" s="590">
        <v>711.40813387840774</v>
      </c>
      <c r="H15" s="591"/>
      <c r="I15" s="592"/>
    </row>
    <row r="16" spans="1:14" s="567" customFormat="1" ht="15" thickBot="1" x14ac:dyDescent="0.4">
      <c r="A16" s="710" t="s">
        <v>3773</v>
      </c>
      <c r="B16" s="711"/>
      <c r="C16" s="711"/>
      <c r="D16" s="711"/>
      <c r="E16" s="711"/>
      <c r="F16" s="711"/>
      <c r="G16" s="711"/>
      <c r="H16" s="711"/>
      <c r="I16" s="712"/>
    </row>
    <row r="17" spans="1:9" ht="15" thickBot="1" x14ac:dyDescent="0.4">
      <c r="A17" s="593"/>
      <c r="B17" s="593"/>
      <c r="C17" s="593"/>
      <c r="D17" s="593"/>
      <c r="E17" s="593"/>
      <c r="F17" s="593"/>
      <c r="G17" s="593"/>
      <c r="H17" s="594"/>
      <c r="I17" s="594"/>
    </row>
    <row r="18" spans="1:9" s="572" customFormat="1" ht="15" thickBot="1" x14ac:dyDescent="0.4">
      <c r="A18" s="718" t="s">
        <v>2750</v>
      </c>
      <c r="B18" s="719"/>
      <c r="C18" s="719"/>
      <c r="D18" s="719"/>
      <c r="E18" s="719"/>
      <c r="F18" s="719"/>
      <c r="G18" s="719"/>
      <c r="H18" s="719"/>
      <c r="I18" s="720"/>
    </row>
    <row r="19" spans="1:9" ht="15" thickBot="1" x14ac:dyDescent="0.4">
      <c r="A19" s="728" t="s">
        <v>2131</v>
      </c>
      <c r="B19" s="723" t="s">
        <v>3772</v>
      </c>
      <c r="C19" s="724"/>
      <c r="D19" s="724"/>
      <c r="E19" s="724"/>
      <c r="F19" s="724"/>
      <c r="G19" s="725"/>
      <c r="H19" s="726" t="s">
        <v>2133</v>
      </c>
      <c r="I19" s="727"/>
    </row>
    <row r="20" spans="1:9" ht="18" x14ac:dyDescent="0.35">
      <c r="A20" s="729"/>
      <c r="B20" s="573" t="s">
        <v>2134</v>
      </c>
      <c r="C20" s="574" t="s">
        <v>2135</v>
      </c>
      <c r="D20" s="574" t="s">
        <v>2136</v>
      </c>
      <c r="E20" s="574" t="s">
        <v>2137</v>
      </c>
      <c r="F20" s="574" t="s">
        <v>2138</v>
      </c>
      <c r="G20" s="575" t="s">
        <v>2139</v>
      </c>
      <c r="H20" s="576" t="s">
        <v>2140</v>
      </c>
      <c r="I20" s="577" t="s">
        <v>2141</v>
      </c>
    </row>
    <row r="21" spans="1:9" customFormat="1" ht="14" x14ac:dyDescent="0.3">
      <c r="A21" s="595" t="s">
        <v>2830</v>
      </c>
      <c r="B21" s="579">
        <v>12649.151889449906</v>
      </c>
      <c r="C21" s="580">
        <v>387.57760000000002</v>
      </c>
      <c r="D21" s="580">
        <v>663.17471063731489</v>
      </c>
      <c r="E21" s="580">
        <v>12312.12644105222</v>
      </c>
      <c r="F21" s="580">
        <v>0</v>
      </c>
      <c r="G21" s="581">
        <v>337.02544839768598</v>
      </c>
      <c r="H21" s="579">
        <v>663.17471063731489</v>
      </c>
      <c r="I21" s="581">
        <v>724.60304839768605</v>
      </c>
    </row>
    <row r="22" spans="1:9" customFormat="1" ht="14" x14ac:dyDescent="0.3">
      <c r="A22" s="595" t="s">
        <v>2143</v>
      </c>
      <c r="B22" s="579">
        <v>1153.1585800000012</v>
      </c>
      <c r="C22" s="580">
        <v>932.66025800000079</v>
      </c>
      <c r="D22" s="580">
        <v>12.931116000000211</v>
      </c>
      <c r="E22" s="580">
        <v>1153.1585800000012</v>
      </c>
      <c r="F22" s="580">
        <v>674.92249791287747</v>
      </c>
      <c r="G22" s="581">
        <v>0</v>
      </c>
      <c r="H22" s="579">
        <v>12.931116000000211</v>
      </c>
      <c r="I22" s="581">
        <v>932.66025800000079</v>
      </c>
    </row>
    <row r="23" spans="1:9" customFormat="1" ht="14" x14ac:dyDescent="0.3">
      <c r="A23" s="595" t="s">
        <v>2144</v>
      </c>
      <c r="B23" s="579">
        <v>1193.1576221600005</v>
      </c>
      <c r="C23" s="580">
        <v>778.85684687999981</v>
      </c>
      <c r="D23" s="580">
        <v>27.016988880000437</v>
      </c>
      <c r="E23" s="580">
        <v>1090.8877000000011</v>
      </c>
      <c r="F23" s="580">
        <v>0</v>
      </c>
      <c r="G23" s="581">
        <v>102.2699221599994</v>
      </c>
      <c r="H23" s="579">
        <v>27.016988880000437</v>
      </c>
      <c r="I23" s="581">
        <v>881.1267690399992</v>
      </c>
    </row>
    <row r="24" spans="1:9" customFormat="1" ht="14" x14ac:dyDescent="0.3">
      <c r="A24" s="595" t="s">
        <v>2829</v>
      </c>
      <c r="B24" s="579">
        <v>3647.3</v>
      </c>
      <c r="C24" s="580">
        <v>0</v>
      </c>
      <c r="D24" s="580">
        <v>0</v>
      </c>
      <c r="E24" s="580">
        <v>43.66</v>
      </c>
      <c r="F24" s="580">
        <v>0</v>
      </c>
      <c r="G24" s="581">
        <v>3603.6400000000003</v>
      </c>
      <c r="H24" s="579">
        <v>0</v>
      </c>
      <c r="I24" s="581">
        <v>2827.4791274001914</v>
      </c>
    </row>
    <row r="25" spans="1:9" customFormat="1" ht="14" x14ac:dyDescent="0.3">
      <c r="A25" s="595" t="s">
        <v>2828</v>
      </c>
      <c r="B25" s="579">
        <v>3581.46</v>
      </c>
      <c r="C25" s="580">
        <v>0</v>
      </c>
      <c r="D25" s="580">
        <v>0</v>
      </c>
      <c r="E25" s="580">
        <v>24.77</v>
      </c>
      <c r="F25" s="580">
        <v>0</v>
      </c>
      <c r="G25" s="581">
        <v>3556.69</v>
      </c>
      <c r="H25" s="579">
        <v>0</v>
      </c>
      <c r="I25" s="581">
        <v>3556.69</v>
      </c>
    </row>
    <row r="26" spans="1:9" x14ac:dyDescent="0.35">
      <c r="A26" s="596" t="s">
        <v>377</v>
      </c>
      <c r="B26" s="597">
        <v>22224.228091609908</v>
      </c>
      <c r="C26" s="598">
        <v>2099.0947048800008</v>
      </c>
      <c r="D26" s="598">
        <v>703.12281551731553</v>
      </c>
      <c r="E26" s="598">
        <v>14624.602721052222</v>
      </c>
      <c r="F26" s="598">
        <v>674.92249791287747</v>
      </c>
      <c r="G26" s="599">
        <v>6924.7028726448079</v>
      </c>
      <c r="H26" s="597">
        <v>703.12281551731553</v>
      </c>
      <c r="I26" s="600">
        <v>8922.5592028378778</v>
      </c>
    </row>
    <row r="27" spans="1:9" ht="15" thickBot="1" x14ac:dyDescent="0.4">
      <c r="A27" s="601" t="s">
        <v>2145</v>
      </c>
      <c r="B27" s="602"/>
      <c r="C27" s="603"/>
      <c r="D27" s="603"/>
      <c r="E27" s="603"/>
      <c r="F27" s="603"/>
      <c r="G27" s="604">
        <v>6148.5420000449985</v>
      </c>
      <c r="H27" s="605"/>
      <c r="I27" s="606"/>
    </row>
    <row r="28" spans="1:9" s="567" customFormat="1" ht="15" thickBot="1" x14ac:dyDescent="0.4">
      <c r="A28" s="710" t="s">
        <v>2827</v>
      </c>
      <c r="B28" s="711"/>
      <c r="C28" s="711"/>
      <c r="D28" s="711"/>
      <c r="E28" s="711"/>
      <c r="F28" s="711"/>
      <c r="G28" s="711"/>
      <c r="H28" s="711"/>
      <c r="I28" s="712"/>
    </row>
  </sheetData>
  <mergeCells count="13">
    <mergeCell ref="A28:I28"/>
    <mergeCell ref="A16:I16"/>
    <mergeCell ref="A2:I2"/>
    <mergeCell ref="A3:I3"/>
    <mergeCell ref="A6:I6"/>
    <mergeCell ref="A8:I8"/>
    <mergeCell ref="A18:I18"/>
    <mergeCell ref="A9:A10"/>
    <mergeCell ref="B9:G9"/>
    <mergeCell ref="H9:I9"/>
    <mergeCell ref="A19:A20"/>
    <mergeCell ref="B19:G19"/>
    <mergeCell ref="H19:I19"/>
  </mergeCells>
  <pageMargins left="0.511811024" right="0.511811024" top="0.78740157499999996" bottom="0.78740157499999996" header="0.31496062000000002" footer="0.31496062000000002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C083-C084-4A6D-98B9-1A02E17624A5}">
  <sheetPr codeName="Planilha9"/>
  <dimension ref="A1:DS176"/>
  <sheetViews>
    <sheetView topLeftCell="AX92" zoomScale="85" zoomScaleNormal="85" workbookViewId="0">
      <selection activeCell="BL29" sqref="BL29"/>
    </sheetView>
  </sheetViews>
  <sheetFormatPr defaultColWidth="7" defaultRowHeight="12.5" x14ac:dyDescent="0.25"/>
  <cols>
    <col min="1" max="1" width="39.83203125" style="193" customWidth="1"/>
    <col min="2" max="2" width="12.58203125" style="289" bestFit="1" customWidth="1"/>
    <col min="3" max="3" width="13.5" style="193" customWidth="1"/>
    <col min="4" max="4" width="14.25" style="193" customWidth="1"/>
    <col min="5" max="5" width="12.25" style="193" customWidth="1"/>
    <col min="6" max="7" width="11.58203125" style="193" bestFit="1" customWidth="1"/>
    <col min="8" max="9" width="11.25" style="193" customWidth="1"/>
    <col min="10" max="10" width="11.58203125" style="193" bestFit="1" customWidth="1"/>
    <col min="11" max="11" width="16.5" style="193" customWidth="1"/>
    <col min="12" max="13" width="10.08203125" style="193" customWidth="1"/>
    <col min="14" max="14" width="12.08203125" style="193" customWidth="1"/>
    <col min="15" max="15" width="12.08203125" style="290" customWidth="1"/>
    <col min="16" max="18" width="18.25" style="290" customWidth="1"/>
    <col min="19" max="19" width="12.08203125" style="290" customWidth="1"/>
    <col min="20" max="21" width="8.83203125" style="193" customWidth="1"/>
    <col min="22" max="26" width="12.25" style="193" customWidth="1"/>
    <col min="27" max="37" width="29.58203125" style="193" customWidth="1"/>
    <col min="38" max="38" width="13.33203125" style="193" customWidth="1"/>
    <col min="39" max="39" width="12.83203125" style="193" customWidth="1"/>
    <col min="40" max="43" width="13.83203125" style="193" customWidth="1"/>
    <col min="44" max="45" width="10.58203125" style="193" customWidth="1"/>
    <col min="46" max="46" width="19.75" style="193" bestFit="1" customWidth="1"/>
    <col min="47" max="47" width="12.25" style="193" bestFit="1" customWidth="1"/>
    <col min="48" max="48" width="12.08203125" style="193" customWidth="1"/>
    <col min="49" max="49" width="13.58203125" style="193" bestFit="1" customWidth="1"/>
    <col min="50" max="50" width="13.58203125" style="193" customWidth="1"/>
    <col min="51" max="51" width="21.33203125" style="193" customWidth="1"/>
    <col min="52" max="52" width="20.33203125" style="193" bestFit="1" customWidth="1"/>
    <col min="53" max="56" width="20.25" style="193" customWidth="1"/>
    <col min="57" max="57" width="16.58203125" style="193" bestFit="1" customWidth="1"/>
    <col min="58" max="58" width="16.58203125" style="193" customWidth="1"/>
    <col min="59" max="65" width="16.5" style="193" customWidth="1"/>
    <col min="66" max="66" width="10.33203125" style="193" customWidth="1"/>
    <col min="67" max="67" width="8.08203125" style="193" customWidth="1"/>
    <col min="68" max="68" width="8.25" style="193" bestFit="1" customWidth="1"/>
    <col min="69" max="69" width="8.08203125" style="193" bestFit="1" customWidth="1"/>
    <col min="70" max="70" width="8.25" style="193" bestFit="1" customWidth="1"/>
    <col min="71" max="71" width="7.08203125" style="193" customWidth="1"/>
    <col min="72" max="72" width="9.83203125" style="193" bestFit="1" customWidth="1"/>
    <col min="73" max="73" width="10.25" style="193" bestFit="1" customWidth="1"/>
    <col min="74" max="74" width="8.08203125" style="193" bestFit="1" customWidth="1"/>
    <col min="75" max="75" width="7.08203125" style="193" customWidth="1"/>
    <col min="76" max="76" width="8.08203125" style="193" bestFit="1" customWidth="1"/>
    <col min="77" max="77" width="8.83203125" style="193" bestFit="1" customWidth="1"/>
    <col min="78" max="79" width="7.08203125" style="193" customWidth="1"/>
    <col min="80" max="80" width="8.5" style="193" bestFit="1" customWidth="1"/>
    <col min="81" max="81" width="9.25" style="193" bestFit="1" customWidth="1"/>
    <col min="82" max="82" width="7.75" style="193" bestFit="1" customWidth="1"/>
    <col min="83" max="83" width="7.08203125" style="193" customWidth="1"/>
    <col min="84" max="84" width="8.08203125" style="193" bestFit="1" customWidth="1"/>
    <col min="85" max="85" width="7.25" style="193" bestFit="1" customWidth="1"/>
    <col min="86" max="86" width="7.75" style="193" bestFit="1" customWidth="1"/>
    <col min="87" max="87" width="7.08203125" style="193" customWidth="1"/>
    <col min="88" max="88" width="8.08203125" style="193" bestFit="1" customWidth="1"/>
    <col min="89" max="89" width="7.75" style="193" bestFit="1" customWidth="1"/>
    <col min="90" max="90" width="9.25" style="193" bestFit="1" customWidth="1"/>
    <col min="91" max="91" width="7.08203125" style="193" customWidth="1"/>
    <col min="92" max="92" width="8.83203125" style="193" bestFit="1" customWidth="1"/>
    <col min="93" max="93" width="8.33203125" style="193" bestFit="1" customWidth="1"/>
    <col min="94" max="94" width="8.58203125" style="193" bestFit="1" customWidth="1"/>
    <col min="95" max="95" width="8.33203125" style="193" bestFit="1" customWidth="1"/>
    <col min="96" max="96" width="8.83203125" style="193" bestFit="1" customWidth="1"/>
    <col min="97" max="98" width="8.33203125" style="193" bestFit="1" customWidth="1"/>
    <col min="99" max="99" width="17.5" style="193" customWidth="1"/>
    <col min="100" max="100" width="19" style="193" bestFit="1" customWidth="1"/>
    <col min="101" max="104" width="18.83203125" style="193" customWidth="1"/>
    <col min="105" max="105" width="10.08203125" style="193" bestFit="1" customWidth="1"/>
    <col min="106" max="107" width="8.83203125" style="193" bestFit="1" customWidth="1"/>
    <col min="108" max="109" width="8.75" style="193" customWidth="1"/>
    <col min="110" max="110" width="8.83203125" style="193" bestFit="1" customWidth="1"/>
    <col min="111" max="111" width="12.08203125" style="193" bestFit="1" customWidth="1"/>
    <col min="112" max="112" width="16.25" style="193" bestFit="1" customWidth="1"/>
    <col min="113" max="113" width="16.58203125" style="193" bestFit="1" customWidth="1"/>
    <col min="114" max="120" width="16.5" style="193" customWidth="1"/>
    <col min="121" max="16384" width="7" style="193"/>
  </cols>
  <sheetData>
    <row r="1" spans="1:123" x14ac:dyDescent="0.25">
      <c r="A1" s="192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  <c r="BV1" s="192"/>
      <c r="BW1" s="192"/>
      <c r="BX1" s="192"/>
      <c r="BY1" s="192"/>
      <c r="BZ1" s="192"/>
      <c r="CA1" s="192"/>
      <c r="CB1" s="192"/>
      <c r="CC1" s="192"/>
      <c r="CD1" s="192"/>
      <c r="CE1" s="192"/>
      <c r="CF1" s="192"/>
      <c r="CG1" s="192"/>
      <c r="CH1" s="192"/>
      <c r="CI1" s="192"/>
      <c r="CJ1" s="192"/>
      <c r="CK1" s="192"/>
      <c r="CL1" s="192"/>
      <c r="CM1" s="192"/>
      <c r="CN1" s="192"/>
      <c r="CO1" s="192"/>
      <c r="CP1" s="192"/>
      <c r="CQ1" s="192"/>
      <c r="CR1" s="192"/>
      <c r="CS1" s="192"/>
      <c r="CT1" s="192"/>
      <c r="CU1" s="192"/>
      <c r="CV1" s="192"/>
      <c r="CW1" s="192"/>
      <c r="CX1" s="192"/>
      <c r="CY1" s="192"/>
      <c r="CZ1" s="192"/>
      <c r="DA1" s="192"/>
      <c r="DB1" s="192"/>
      <c r="DC1" s="192"/>
      <c r="DD1" s="192"/>
      <c r="DE1" s="192"/>
      <c r="DF1" s="192"/>
      <c r="DG1" s="192"/>
      <c r="DH1" s="192"/>
      <c r="DI1" s="192"/>
      <c r="DJ1" s="192"/>
      <c r="DK1" s="192"/>
      <c r="DL1" s="192"/>
      <c r="DM1" s="192"/>
      <c r="DN1" s="192"/>
      <c r="DO1" s="192"/>
      <c r="DP1" s="192"/>
      <c r="DQ1" s="192"/>
      <c r="DR1" s="192"/>
      <c r="DS1" s="192"/>
    </row>
    <row r="2" spans="1:123" ht="16" thickBot="1" x14ac:dyDescent="0.3">
      <c r="B2" s="193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  <c r="AP2" s="195"/>
      <c r="AQ2" s="195"/>
    </row>
    <row r="3" spans="1:123" ht="13.5" thickBot="1" x14ac:dyDescent="0.35">
      <c r="A3" s="196" t="s">
        <v>2128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7"/>
      <c r="Q3" s="197"/>
      <c r="R3" s="197"/>
      <c r="S3" s="197"/>
      <c r="T3" s="196"/>
      <c r="U3" s="196"/>
      <c r="V3" s="730" t="s">
        <v>2132</v>
      </c>
      <c r="W3" s="731"/>
      <c r="X3" s="731"/>
      <c r="Y3" s="731"/>
      <c r="Z3" s="731"/>
      <c r="AA3" s="731"/>
      <c r="AB3" s="731"/>
      <c r="AC3" s="731"/>
      <c r="AD3" s="731"/>
      <c r="AE3" s="731"/>
      <c r="AF3" s="731"/>
      <c r="AG3" s="731"/>
      <c r="AH3" s="731"/>
      <c r="AI3" s="731"/>
      <c r="AJ3" s="731"/>
      <c r="AK3" s="731"/>
      <c r="AL3" s="730"/>
      <c r="AM3" s="730"/>
      <c r="AN3" s="730"/>
      <c r="AO3" s="198"/>
      <c r="AP3" s="198"/>
      <c r="AQ3" s="198"/>
      <c r="AR3" s="198"/>
      <c r="AS3" s="198"/>
      <c r="AT3" s="198"/>
      <c r="AU3" s="196"/>
      <c r="AV3" s="196"/>
      <c r="AW3" s="198"/>
      <c r="AX3" s="198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6"/>
      <c r="BM3" s="196"/>
      <c r="BN3" s="196"/>
      <c r="BO3" s="732" t="s">
        <v>2334</v>
      </c>
      <c r="BP3" s="733"/>
      <c r="BQ3" s="733"/>
      <c r="BR3" s="733"/>
      <c r="BS3" s="733"/>
      <c r="BT3" s="733"/>
      <c r="BU3" s="733"/>
      <c r="BV3" s="733"/>
      <c r="BW3" s="733"/>
      <c r="BX3" s="733"/>
      <c r="BY3" s="733"/>
      <c r="BZ3" s="733"/>
      <c r="CA3" s="733"/>
      <c r="CB3" s="733"/>
      <c r="CC3" s="733"/>
      <c r="CD3" s="733"/>
      <c r="CE3" s="733"/>
      <c r="CF3" s="733"/>
      <c r="CG3" s="733"/>
      <c r="CH3" s="733"/>
      <c r="CI3" s="733"/>
      <c r="CJ3" s="733"/>
      <c r="CK3" s="733"/>
      <c r="CL3" s="733"/>
      <c r="CM3" s="733"/>
      <c r="CN3" s="733"/>
      <c r="CO3" s="733"/>
      <c r="CP3" s="733"/>
      <c r="CQ3" s="733"/>
      <c r="CR3" s="733"/>
      <c r="CS3" s="733"/>
      <c r="CT3" s="734"/>
      <c r="CU3" s="196"/>
      <c r="CV3" s="735" t="s">
        <v>2335</v>
      </c>
      <c r="CW3" s="730"/>
      <c r="CX3" s="730"/>
      <c r="CY3" s="730"/>
      <c r="CZ3" s="730"/>
      <c r="DA3" s="196"/>
      <c r="DB3" s="731" t="s">
        <v>2336</v>
      </c>
      <c r="DC3" s="731"/>
      <c r="DD3" s="731"/>
      <c r="DE3" s="731"/>
      <c r="DF3" s="731"/>
      <c r="DG3" s="732" t="s">
        <v>2337</v>
      </c>
      <c r="DH3" s="733"/>
      <c r="DI3" s="733"/>
      <c r="DJ3" s="733"/>
      <c r="DK3" s="733"/>
      <c r="DL3" s="733"/>
      <c r="DM3" s="733"/>
      <c r="DN3" s="733"/>
      <c r="DO3" s="733"/>
      <c r="DP3" s="733"/>
    </row>
    <row r="4" spans="1:123" s="219" customFormat="1" ht="52" x14ac:dyDescent="0.3">
      <c r="A4" s="199" t="s">
        <v>2338</v>
      </c>
      <c r="B4" s="200" t="s">
        <v>2339</v>
      </c>
      <c r="C4" s="201" t="s">
        <v>2340</v>
      </c>
      <c r="D4" s="201" t="s">
        <v>2341</v>
      </c>
      <c r="E4" s="201" t="s">
        <v>2342</v>
      </c>
      <c r="F4" s="201" t="s">
        <v>2343</v>
      </c>
      <c r="G4" s="201" t="s">
        <v>2344</v>
      </c>
      <c r="H4" s="201" t="s">
        <v>2345</v>
      </c>
      <c r="I4" s="202" t="s">
        <v>2346</v>
      </c>
      <c r="J4" s="201" t="s">
        <v>2347</v>
      </c>
      <c r="K4" s="203" t="s">
        <v>2348</v>
      </c>
      <c r="L4" s="204" t="s">
        <v>2349</v>
      </c>
      <c r="M4" s="203" t="s">
        <v>2350</v>
      </c>
      <c r="N4" s="204" t="s">
        <v>2351</v>
      </c>
      <c r="O4" s="203" t="s">
        <v>2352</v>
      </c>
      <c r="P4" s="203" t="s">
        <v>2353</v>
      </c>
      <c r="Q4" s="203" t="s">
        <v>2354</v>
      </c>
      <c r="R4" s="203" t="s">
        <v>2355</v>
      </c>
      <c r="S4" s="203" t="s">
        <v>2356</v>
      </c>
      <c r="T4" s="204" t="s">
        <v>2357</v>
      </c>
      <c r="U4" s="205" t="s">
        <v>2358</v>
      </c>
      <c r="V4" s="206" t="s">
        <v>2359</v>
      </c>
      <c r="W4" s="206" t="s">
        <v>2360</v>
      </c>
      <c r="X4" s="206" t="s">
        <v>2361</v>
      </c>
      <c r="Y4" s="206" t="s">
        <v>2362</v>
      </c>
      <c r="Z4" s="206" t="s">
        <v>2363</v>
      </c>
      <c r="AA4" s="207" t="s">
        <v>2364</v>
      </c>
      <c r="AB4" s="207" t="s">
        <v>2365</v>
      </c>
      <c r="AC4" s="208" t="s">
        <v>2366</v>
      </c>
      <c r="AD4" s="208" t="s">
        <v>2367</v>
      </c>
      <c r="AE4" s="208" t="s">
        <v>2368</v>
      </c>
      <c r="AF4" s="208" t="s">
        <v>2369</v>
      </c>
      <c r="AG4" s="208" t="s">
        <v>2370</v>
      </c>
      <c r="AH4" s="202" t="s">
        <v>2371</v>
      </c>
      <c r="AI4" s="208" t="s">
        <v>2372</v>
      </c>
      <c r="AJ4" s="208" t="s">
        <v>2373</v>
      </c>
      <c r="AK4" s="208" t="s">
        <v>2374</v>
      </c>
      <c r="AL4" s="208" t="s">
        <v>2375</v>
      </c>
      <c r="AM4" s="208" t="s">
        <v>2376</v>
      </c>
      <c r="AN4" s="202" t="s">
        <v>2377</v>
      </c>
      <c r="AO4" s="208" t="s">
        <v>2378</v>
      </c>
      <c r="AP4" s="208" t="s">
        <v>2379</v>
      </c>
      <c r="AQ4" s="208" t="s">
        <v>2380</v>
      </c>
      <c r="AR4" s="201" t="s">
        <v>2136</v>
      </c>
      <c r="AS4" s="201" t="s">
        <v>2381</v>
      </c>
      <c r="AT4" s="201" t="s">
        <v>2382</v>
      </c>
      <c r="AU4" s="202" t="s">
        <v>2383</v>
      </c>
      <c r="AV4" s="202" t="s">
        <v>2384</v>
      </c>
      <c r="AW4" s="202" t="s">
        <v>2385</v>
      </c>
      <c r="AX4" s="208" t="s">
        <v>2386</v>
      </c>
      <c r="AY4" s="209" t="s">
        <v>2387</v>
      </c>
      <c r="AZ4" s="210" t="s">
        <v>2388</v>
      </c>
      <c r="BA4" s="211" t="s">
        <v>2389</v>
      </c>
      <c r="BB4" s="208" t="s">
        <v>2390</v>
      </c>
      <c r="BC4" s="208" t="s">
        <v>2391</v>
      </c>
      <c r="BD4" s="208" t="s">
        <v>2392</v>
      </c>
      <c r="BE4" s="201" t="s">
        <v>2393</v>
      </c>
      <c r="BF4" s="202" t="s">
        <v>2394</v>
      </c>
      <c r="BG4" s="202" t="s">
        <v>2395</v>
      </c>
      <c r="BH4" s="202" t="s">
        <v>2396</v>
      </c>
      <c r="BI4" s="202" t="s">
        <v>2397</v>
      </c>
      <c r="BJ4" s="202" t="s">
        <v>2398</v>
      </c>
      <c r="BK4" s="202" t="s">
        <v>2399</v>
      </c>
      <c r="BL4" s="202" t="s">
        <v>2133</v>
      </c>
      <c r="BM4" s="202" t="s">
        <v>2400</v>
      </c>
      <c r="BN4" s="753">
        <v>400</v>
      </c>
      <c r="BO4" s="753"/>
      <c r="BP4" s="753"/>
      <c r="BQ4" s="212"/>
      <c r="BR4" s="737">
        <v>500</v>
      </c>
      <c r="BS4" s="754"/>
      <c r="BT4" s="736">
        <v>600</v>
      </c>
      <c r="BU4" s="737"/>
      <c r="BV4" s="737"/>
      <c r="BW4" s="754"/>
      <c r="BX4" s="736">
        <v>800</v>
      </c>
      <c r="BY4" s="737"/>
      <c r="BZ4" s="737"/>
      <c r="CA4" s="754"/>
      <c r="CB4" s="736">
        <v>1000</v>
      </c>
      <c r="CC4" s="737"/>
      <c r="CD4" s="737"/>
      <c r="CE4" s="754"/>
      <c r="CF4" s="736">
        <v>1200</v>
      </c>
      <c r="CG4" s="737"/>
      <c r="CH4" s="737"/>
      <c r="CI4" s="738"/>
      <c r="CJ4" s="739">
        <v>1500</v>
      </c>
      <c r="CK4" s="740"/>
      <c r="CL4" s="740"/>
      <c r="CM4" s="741"/>
      <c r="CN4" s="214">
        <v>1650</v>
      </c>
      <c r="CO4" s="212">
        <v>1800</v>
      </c>
      <c r="CP4" s="212">
        <v>2000</v>
      </c>
      <c r="CQ4" s="212">
        <v>2200</v>
      </c>
      <c r="CR4" s="212">
        <v>2400</v>
      </c>
      <c r="CS4" s="212">
        <v>2600</v>
      </c>
      <c r="CT4" s="215">
        <v>3000</v>
      </c>
      <c r="CU4" s="201" t="s">
        <v>310</v>
      </c>
      <c r="CV4" s="213">
        <v>600</v>
      </c>
      <c r="CW4" s="213">
        <v>800</v>
      </c>
      <c r="CX4" s="213">
        <v>1000</v>
      </c>
      <c r="CY4" s="213">
        <v>1200</v>
      </c>
      <c r="CZ4" s="213">
        <v>1500</v>
      </c>
      <c r="DA4" s="216" t="s">
        <v>2401</v>
      </c>
      <c r="DB4" s="217">
        <v>600</v>
      </c>
      <c r="DC4" s="217">
        <v>800</v>
      </c>
      <c r="DD4" s="217">
        <v>1000</v>
      </c>
      <c r="DE4" s="217">
        <v>12000</v>
      </c>
      <c r="DF4" s="217">
        <v>1500</v>
      </c>
      <c r="DG4" s="218" t="s">
        <v>2402</v>
      </c>
      <c r="DH4" s="218" t="s">
        <v>2403</v>
      </c>
      <c r="DI4" s="218" t="s">
        <v>2404</v>
      </c>
      <c r="DJ4" s="218" t="s">
        <v>2405</v>
      </c>
      <c r="DK4" s="218" t="s">
        <v>2406</v>
      </c>
      <c r="DL4" s="218" t="s">
        <v>2407</v>
      </c>
      <c r="DM4" s="218" t="s">
        <v>2408</v>
      </c>
      <c r="DN4" s="218" t="s">
        <v>2409</v>
      </c>
      <c r="DO4" s="218" t="s">
        <v>2410</v>
      </c>
      <c r="DP4" s="218" t="s">
        <v>2411</v>
      </c>
    </row>
    <row r="5" spans="1:123" ht="13" x14ac:dyDescent="0.3">
      <c r="A5" s="220"/>
      <c r="B5" s="221"/>
      <c r="C5" s="222" t="str">
        <f>'Planilha Hidráulica'!B9</f>
        <v>RD-1</v>
      </c>
      <c r="D5" s="223"/>
      <c r="E5" s="223"/>
      <c r="F5" s="223"/>
      <c r="G5" s="223"/>
      <c r="H5" s="201"/>
      <c r="I5" s="201"/>
      <c r="J5" s="201"/>
      <c r="K5" s="224"/>
      <c r="L5" s="225"/>
      <c r="M5" s="225"/>
      <c r="N5" s="225"/>
      <c r="O5" s="224"/>
      <c r="P5" s="224"/>
      <c r="Q5" s="224"/>
      <c r="R5" s="224"/>
      <c r="S5" s="224"/>
      <c r="T5" s="225"/>
      <c r="U5" s="226"/>
      <c r="V5" s="227" t="s">
        <v>2412</v>
      </c>
      <c r="W5" s="227"/>
      <c r="X5" s="227"/>
      <c r="Y5" s="227"/>
      <c r="Z5" s="227"/>
      <c r="AA5" s="228" t="s">
        <v>2413</v>
      </c>
      <c r="AB5" s="229"/>
      <c r="AC5" s="229"/>
      <c r="AD5" s="229"/>
      <c r="AE5" s="229"/>
      <c r="AF5" s="229"/>
      <c r="AG5" s="229"/>
      <c r="AH5" s="229"/>
      <c r="AI5" s="229"/>
      <c r="AJ5" s="229"/>
      <c r="AK5" s="229"/>
      <c r="AL5" s="217"/>
      <c r="AM5" s="217"/>
      <c r="AN5" s="217"/>
      <c r="AO5" s="217"/>
      <c r="AP5" s="217"/>
      <c r="AQ5" s="217"/>
      <c r="AR5" s="201"/>
      <c r="AS5" s="201"/>
      <c r="AT5" s="201"/>
      <c r="AU5" s="201"/>
      <c r="AV5" s="213"/>
      <c r="AW5" s="201"/>
      <c r="AX5" s="201"/>
      <c r="AY5" s="198"/>
      <c r="AZ5" s="230"/>
      <c r="BA5" s="230"/>
      <c r="BB5" s="230"/>
      <c r="BC5" s="230"/>
      <c r="BD5" s="230"/>
      <c r="BE5" s="201"/>
      <c r="BF5" s="201"/>
      <c r="BG5" s="201"/>
      <c r="BH5" s="201"/>
      <c r="BI5" s="201"/>
      <c r="BJ5" s="201"/>
      <c r="BK5" s="201"/>
      <c r="BL5" s="201"/>
      <c r="BM5" s="201"/>
      <c r="BN5" s="231"/>
      <c r="BO5" s="198"/>
      <c r="BP5" s="198"/>
      <c r="BQ5" s="198"/>
      <c r="BR5" s="232"/>
      <c r="BS5" s="233"/>
      <c r="BT5" s="234"/>
      <c r="BU5" s="232"/>
      <c r="BV5" s="232"/>
      <c r="BW5" s="233"/>
      <c r="BX5" s="234"/>
      <c r="BY5" s="232"/>
      <c r="BZ5" s="232"/>
      <c r="CA5" s="233"/>
      <c r="CB5" s="234"/>
      <c r="CC5" s="232"/>
      <c r="CD5" s="232"/>
      <c r="CE5" s="233"/>
      <c r="CF5" s="234"/>
      <c r="CG5" s="232"/>
      <c r="CH5" s="232"/>
      <c r="CI5" s="232"/>
      <c r="CJ5" s="198"/>
      <c r="CK5" s="198"/>
      <c r="CL5" s="198"/>
      <c r="CM5" s="198"/>
      <c r="CN5" s="198"/>
      <c r="CO5" s="198"/>
      <c r="CP5" s="198"/>
      <c r="CQ5" s="198"/>
      <c r="CR5" s="198"/>
      <c r="CS5" s="198"/>
      <c r="CT5" s="235"/>
      <c r="CU5" s="223"/>
      <c r="CV5" s="234"/>
      <c r="CW5" s="234"/>
      <c r="CX5" s="234"/>
      <c r="CY5" s="234"/>
      <c r="CZ5" s="234"/>
      <c r="DA5" s="230"/>
      <c r="DB5" s="198"/>
      <c r="DC5" s="198"/>
      <c r="DD5" s="198"/>
      <c r="DE5" s="198"/>
      <c r="DF5" s="198"/>
      <c r="DG5" s="198"/>
      <c r="DH5" s="198"/>
      <c r="DI5" s="198"/>
      <c r="DJ5" s="198"/>
      <c r="DK5" s="198"/>
      <c r="DL5" s="198"/>
      <c r="DM5" s="198"/>
      <c r="DN5" s="198"/>
      <c r="DO5" s="198"/>
      <c r="DP5" s="198"/>
    </row>
    <row r="6" spans="1:123" x14ac:dyDescent="0.25">
      <c r="A6" s="236" t="s">
        <v>2414</v>
      </c>
      <c r="B6" s="237"/>
      <c r="C6" s="238" t="str">
        <f>'Planilha Hidráulica'!B10</f>
        <v>PV1.1-&gt;PV2.1</v>
      </c>
      <c r="D6" s="239">
        <f>'Planilha Hidráulica'!R10</f>
        <v>2.1862623466196283</v>
      </c>
      <c r="E6" s="239">
        <f>'Planilha Hidráulica'!S10</f>
        <v>2.0623699325568623</v>
      </c>
      <c r="F6" s="239">
        <f>'Planilha Hidráulica'!K10</f>
        <v>37.080761580210684</v>
      </c>
      <c r="G6" s="238">
        <f>'Planilha Hidráulica'!M10</f>
        <v>600</v>
      </c>
      <c r="H6" s="240">
        <f t="shared" ref="H6:H12" si="0">IF(G6=400,((D6+E6)/2)+0.08+T6,IF(G6=500,((D6+E6)/2)+0.1+T6,IF(G6=600,((D6+E6)/2)+0.12+T6,IF(G6=800,((D6+E6)/2)+0.16+T6,IF(G6=1000,((D6+E6)/2)+0.2+T6,IF(G6=1200,((D6+E6)/2)+0.24+T6,IF(G6=1500,((D6+E6)/2)+0.3+T6,IF(G6&gt;1500,((D6+E6)/2)+0.4+T6))))))))</f>
        <v>2.3443161395882455</v>
      </c>
      <c r="I6" s="241">
        <f t="shared" ref="I6:I12" si="1">IF(K6=0,0,IF(H6&gt;=1.25,F6*H6/20,0))</f>
        <v>4.3464513920355818</v>
      </c>
      <c r="J6" s="242">
        <v>0</v>
      </c>
      <c r="K6" s="243">
        <f>IF(G6=400,1,0)+IF(G6=500,1.2,0)+IF(G6=600,1.4,0)+IF(G6=800,1.7,0)+IF(G6=1000,2,0)+IF(G6=1200,2.2,0)+IF(G6=1500,2.6,0)+IF(G6=1650,3,0)+IF(G6=1800,3.2,0)+IF(G6=2000,3.4,0)+IF(G6=2200,3.6,0)+IF(G6=2400,3.8,0)+IF(G6=2600,4,0)+IF(G6=3000,4.4,0)</f>
        <v>1.4</v>
      </c>
      <c r="L6" s="243">
        <f>2*J6*H6+K6</f>
        <v>1.4</v>
      </c>
      <c r="M6" s="243">
        <f>'Planilha Hidráulica'!X10</f>
        <v>400</v>
      </c>
      <c r="N6" s="243">
        <f t="shared" ref="N6:N12" si="2">L6*F6</f>
        <v>51.913066212294957</v>
      </c>
      <c r="O6" s="244" t="str">
        <f>'Planilha Hidráulica'!W10</f>
        <v>ASFALTO</v>
      </c>
      <c r="P6" s="244" t="s">
        <v>2415</v>
      </c>
      <c r="Q6" s="244">
        <v>1</v>
      </c>
      <c r="R6" s="244">
        <v>3</v>
      </c>
      <c r="S6" s="244">
        <v>5</v>
      </c>
      <c r="T6" s="243">
        <f t="shared" ref="T6:T12" si="3">IF(G6=400,0.05,0)+IF(G6=500,0.05,0)+IF(G6=600,0.1,0)+IF(G6=800,0.1,0)+IF(G6=1000,0.15,0)+IF(G6=1200,0.15,0)+IF(G6=1500,0.2,0)+IF(G6=1650,0.2,0)+IF(G6=1800,0.2,0)+IF(G6=2000,0.25,0)+IF(G6=2200,0.25,0)+IF(G6=2400,0.25,0)+IF(G6=2600,0.25,0)+IF(G6=3000,0.25,0)</f>
        <v>0.1</v>
      </c>
      <c r="U6" s="245">
        <f t="shared" ref="U6:U12" si="4">IFERROR((PI()*(M6/1000)*(M6/1000)/4)*F6,0)</f>
        <v>4.6597059267961818</v>
      </c>
      <c r="V6" s="246">
        <f t="shared" ref="V6:V12" si="5">((((J6*H6)*H6)/2)*2+K6*H6)*F6-U6+AW6</f>
        <v>137.8061595351181</v>
      </c>
      <c r="W6" s="247">
        <f t="shared" ref="W6:W12" si="6">ROUND(V6-SUM(AC6:AR6),2)</f>
        <v>0</v>
      </c>
      <c r="X6" s="247">
        <f t="shared" ref="X6:X12" si="7">IF(Q6=1,IF(OR(M6=0,M6="-"),H6+0.4,0.4),0)</f>
        <v>0.4</v>
      </c>
      <c r="Y6" s="248">
        <f>IF(R6&lt;H6,R6,H6)</f>
        <v>2.3443161395882455</v>
      </c>
      <c r="Z6" s="248">
        <f>H6-Y6</f>
        <v>0</v>
      </c>
      <c r="AA6" s="249">
        <f>IF(O6="ASFALTO",L6*F6,0)</f>
        <v>51.913066212294957</v>
      </c>
      <c r="AB6" s="250">
        <f>IF(O6="CONCRETO",L6*F6,0)</f>
        <v>0</v>
      </c>
      <c r="AC6" s="251">
        <f>IF(X6=0,0,IF(X6=0.4,IF(K6&lt;=1.5,IF(Y6+0.4&gt;=1.5,0,K6*F6*0.4),0),IF(K6&lt;=1.5,IF(X6&gt;=1.5,L6*F6*1.5,K6*F6*(X6)),0)+IF(R6&lt;H6+0.4,0,IF(AND(X6&lt;=1.5,K6&lt;=1.5),-U6,0))))</f>
        <v>0</v>
      </c>
      <c r="AD6" s="251">
        <f>IF(X6=0,0,IF(X6=0.4,IF(K6&lt;=1.5,IF(OR(Y6+0.4&gt;=3,Y6+0.4&lt;1.5),0,K6*F6*0.4),0),IF(IF(K6&lt;=1.5,IF(X6&gt;=3,L6*F6*1.5,K6*F6*(X6-1.5)),0)&lt;0,0,IF(K6&lt;=1.5,IF(X6&gt;=3,L6*F6*1.5,K6*F6*(X6-1.5)),0))+IF(R6&lt;H6+0.4,0,IF(AND(X6&lt;=3,K6&lt;=1.5),-U6,0))))</f>
        <v>20.765226484917985</v>
      </c>
      <c r="AE6" s="251">
        <f t="shared" ref="AE6:AE12" si="8">IF(X6=0,0,IF(X6=0.4,IF(K6&lt;=1.5,IF(OR(Y6+0.4&gt;=4.5,Y6+0.4&lt;3),0,K6*F6*0.4),0),IF(IF(K6&lt;=1.5,IF(X6&gt;=4.5,L6*F6*1.5,K6*F6*(X6-3)),0)&lt;0,0,IF(K6&lt;=1.5,IF(X6&gt;=3,L6*F6*1.5,K6*F6*(X6-3)),0))+IF(R6&lt;H6+0.4,0,IF(AND(X6&lt;=4.5,K6&lt;=1.5),-U6,0))))</f>
        <v>0</v>
      </c>
      <c r="AF6" s="251">
        <f>IF(X6=0,0,IF(X6=0.4,IF(AND(K6&gt;1.5,K6&lt;=2.6),IF(Y6+0.4&gt;=1.5,0,K6*F6*0.4),0),IF(AND(K6&gt;1.5,K6&lt;=2.6),IF(X6&gt;=1.5,L6*F6*1.5,K6*F6*(X6)),0)+IF(R6&lt;H6+0.4,0,IF(AND(X6&lt;=1.5,K6&lt;=1.5),-U6,0))))</f>
        <v>0</v>
      </c>
      <c r="AG6" s="251">
        <f>IF(X6=0,0,IF(X6=0.4,IF(AND(K6&gt;1.5,K6&lt;=2.6),IF(OR(Y6+0.4&gt;=3,Y6+0.4&lt;1.5),0,K6*F6*0.4),0),IF(IF(AND(K6&gt;1.5,K6&lt;=2.6),IF(X6&gt;=3,L6*F6*1.5,K6*F6*(X6-1.5)),0)&lt;0,0,IF(AND(K6&gt;1.5,K6&lt;=2.6),IF(X6&gt;=3,L6*F6*1.5,K6*F6*(X6-1.5)),0))+IF(R6&lt;H6+0.4,0,IF(AND(X6&lt;=3,K6&lt;=1.5),-U6,0))))</f>
        <v>0</v>
      </c>
      <c r="AH6" s="251">
        <f>IF(X6=0,0,IF(X6=0.4,IF(AND(K6&gt;1.5,K6&lt;=2.6),IF(OR(Y6+0.4&gt;=4.5,Y6+0.4&lt;3),0,K6*F6*0.4),0),IF(IF(AND(K6&gt;1.5,K6&lt;=2.6),IF(X6&gt;=4.5,L6*F6*1.5,K6*F6*(X6-3)),0)&lt;0,0,IF(AND(K6&gt;1.5,K6&lt;=2.6),IF(X6&gt;=4.5,L6*F6*1.5,K6*F6*(X6-3)),0))+IF(R6&lt;H6+0.4,0,IF(AND(X6&lt;=3,K6&lt;=1.5),-U6,0))))</f>
        <v>0</v>
      </c>
      <c r="AI6" s="251">
        <f>IF(X6=0,0,IF(X6=0.4,IF(AND(K6&gt;1.5,K6&lt;=2.6),IF(OR(Y6+0.4&gt;=6,Y6+0.4&lt;4.5),0,K6*F6*0.4),0),IF(IF(AND(K6&gt;1.5,K6&lt;=2.6),IF(X6&gt;=6,L6*F6*1.5,K6*F6*(X6-4.5)),0)&lt;0,0,IF(AND(K6&gt;1.5,K6&lt;=2.6),IF(X6&gt;=6,L6*F6*1.5,K6*F6*(X6-4.5)),0))+IF(R6&lt;H6+0.4,0,IF(AND(X6&lt;=3,K6&lt;=1.5),-U6,0))))</f>
        <v>0</v>
      </c>
      <c r="AJ6" s="252">
        <f t="shared" ref="AJ6:AJ12" si="9">IF(K6&lt;=1.5,IF(Y6&gt;=1.5,L6*F6*1.5,K6*F6*Y6),0)+IF(R6&lt;H6,0,IF(AND(Y6&lt;=1.5,K6&lt;=1.5),-U6,0))</f>
        <v>77.86959931844244</v>
      </c>
      <c r="AK6" s="252">
        <f t="shared" ref="AK6:AK12" si="10">IF(IF(K6&lt;=1.5,IF(Y6&gt;=3,L6*F6*1.5,K6*F6*(Y6-1.5)),0)&lt;0,0,IF(K6&lt;=1.5,IF(Y6&gt;=3,L6*F6*1.5,K6*F6*(Y6-1.5)),0))+IF(R6&lt;H6,0,IF(AND(Y6&lt;=3,K6&lt;=1.5),-U6,0))</f>
        <v>39.17133373175767</v>
      </c>
      <c r="AL6" s="252">
        <f t="shared" ref="AL6:AL12" si="11">IF(AND(K6&lt;=2.5,K6&gt;1.5),IF(Y6&gt;=1.5,L6*F6*1.5,K6*F6*Y6),0)+IF(R6&lt;H6,0,IF(AND(Y6&lt;=1.5,K6&gt;1.5,K6&lt;=2.5),-U6,0))</f>
        <v>0</v>
      </c>
      <c r="AM6" s="252">
        <f t="shared" ref="AM6:AM12" si="12">IF(IF(AND(K6&lt;=2.5,K6&gt;1.5),IF(Y6&gt;=3,L6*F6*1.5,K6*F6*(Y6-1.5)),0)&lt;0,0,IF(AND(K6&lt;=2.5,K6&gt;1.5),IF(Y6&gt;=3,L6*F6*1.5,K6*F6*(Y6-1.5)),0))+IF(R6&lt;H6,0,IF(AND(Y6&lt;=3,Y6&gt;1.5,K6&gt;1.5,K6&lt;=2.5),-U6,0))</f>
        <v>0</v>
      </c>
      <c r="AN6" s="252">
        <f t="shared" ref="AN6:AN10" si="13">IF(IF(K6&lt;=2.5,IF(Y6&gt;=4.5,L6*F6*1.5,K6*F6*(Y6-3)),0)&lt;0,0,IF(K6&lt;=2.5,IF(Y6&gt;=4.5,L6*F6*1.5,K6*F6*(Y6-3)),0))+IF(R6&lt;H6,0,IF(AND(Y6&lt;=4.5,Y6&gt;3,K6&gt;1.5,K6&lt;=2.5),-U6,0))</f>
        <v>0</v>
      </c>
      <c r="AO6" s="252">
        <f t="shared" ref="AO6:AO12" si="14">IF(K6&gt;2.5,IF(Y6&gt;=2,L6*F6*2,K6*F6*Y6),0)+IF(R6&lt;H6,0,IF(AND(Y6&lt;=2,K6&gt;=2.5),-U6,0))</f>
        <v>0</v>
      </c>
      <c r="AP6" s="252">
        <f t="shared" ref="AP6:AP12" si="15">IF(IF(K6&gt;2.5,IF(Y6&gt;=4,L6*F6*2,K6*F6*(Y6-2)),0)&lt;0,0,IF(K6&gt;2.5,IF(Y6&gt;=4,L6*F6*2,K6*F6*(Y6-2)),0))+IF(R6&lt;H6,0,IF(AND(Y6&lt;=4,Y6&gt;2,K6&gt;2.5),-U6,0))</f>
        <v>0</v>
      </c>
      <c r="AQ6" s="252">
        <f t="shared" ref="AQ6:AQ12" si="16">IF(IF(K6&gt;2.5,IF(Y6&gt;=6,L6*F6*2,K6*F6*(Y6-4)),0)&lt;0,0,IF(K6&gt;2.5,IF(Y6&gt;=6,L6*F6*2,K6*F6*(Y6-4)),0))+IF(R6&lt;H6,0,IF(AND(Y6&lt;=6,Y6&gt;4,K6&gt;2.5),-U6,0))</f>
        <v>0</v>
      </c>
      <c r="AR6" s="253">
        <f t="shared" ref="AR6:AR12" si="17">ROUND(V6-SUM(AC6:AQ6),2)</f>
        <v>0</v>
      </c>
      <c r="AS6" s="243">
        <f t="shared" ref="AS6:AS12" si="18">IF(H6-S6&lt;0,0,(H6-S6)*F6)/75</f>
        <v>0</v>
      </c>
      <c r="AT6" s="253">
        <f t="shared" ref="AT6:AT12" si="19">F6*K6*H6-PI()*(G6/1000)*(G6/1000)/4*F6+AY6</f>
        <v>112.11630064170488</v>
      </c>
      <c r="AU6" s="241">
        <f t="shared" ref="AU6:AU12" si="20">IF(K6&lt;1.5,K6*F6*IF(G6&lt;=500,0.05,IF(G6&lt;=800,0.1,IF(G6&lt;=1200,0.15,IF(G6&gt;=1500,0.2)))),0)</f>
        <v>5.1913066212294963</v>
      </c>
      <c r="AV6" s="246">
        <f t="shared" ref="AV6:AV12" si="21">IF(K6&gt;=1.5,K6*F6*IF(G6&lt;=500,0.05,IF(G6&lt;=800,0.1,IF(G6&lt;=1200,0.15,IF(G6&gt;=1500,0.2)))),0)</f>
        <v>0</v>
      </c>
      <c r="AW6" s="253">
        <f t="shared" ref="AW6:AW12" si="22">IF(Q6=1,0.4*F6*K6,0)</f>
        <v>20.765226484917982</v>
      </c>
      <c r="AX6" s="253">
        <f t="shared" ref="AX6:AX28" si="23">IF(AW6&lt;SUM(AJ6:AQ6),0,AW6)</f>
        <v>0</v>
      </c>
      <c r="AY6" s="253">
        <f t="shared" ref="AY6:AY12" si="24">G6/1000+0.3</f>
        <v>0.89999999999999991</v>
      </c>
      <c r="AZ6" s="253">
        <f t="shared" ref="AZ6:AZ12" si="25">AY6*K6*F6-PI()*(G6/1000*G6/1000)/4*F6</f>
        <v>36.237421255774052</v>
      </c>
      <c r="BA6" s="253">
        <f t="shared" ref="BA6:BA12" si="26">IF(AZ6&lt;SUM(AJ6:AQ6),0,AZ6)</f>
        <v>0</v>
      </c>
      <c r="BB6" s="253">
        <f t="shared" ref="BB6:BB12" si="27">IF(O6="ASFALTO",0.15*F6*K6,0)</f>
        <v>7.7869599318442431</v>
      </c>
      <c r="BC6" s="253">
        <f t="shared" ref="BC6:BC12" si="28">BB6</f>
        <v>7.7869599318442431</v>
      </c>
      <c r="BD6" s="253">
        <f t="shared" ref="BD6:BD12" si="29">IF(O6="ASFALTO",0.03*F6*K6,0)</f>
        <v>1.5573919863688486</v>
      </c>
      <c r="BE6" s="253">
        <f t="shared" ref="BE6:BE12" si="30">AT6-AW6-SUM(AU6:AV6)-BB6-BC6-AZ6</f>
        <v>34.348426416094867</v>
      </c>
      <c r="BF6" s="253">
        <f t="shared" ref="BF6:BF12" si="31">SUM(AJ6:AQ6)-AW6-BB6-AZ6</f>
        <v>52.251325377663832</v>
      </c>
      <c r="BG6" s="253">
        <f t="shared" ref="BG6:BG12" si="32">IF(SMALL(BE6:BF6,1)&lt;0,0,SMALL(BE6:BF6,1))</f>
        <v>34.348426416094867</v>
      </c>
      <c r="BH6" s="253">
        <f t="shared" ref="BH6:BH12" si="33">BF6-BG6</f>
        <v>17.902898961568965</v>
      </c>
      <c r="BI6" s="253">
        <f t="shared" ref="BI6:BI12" si="34">BE6-BG6</f>
        <v>0</v>
      </c>
      <c r="BJ6" s="241">
        <f>IF($BI$29&gt;$BJ$31,($BJ$31/$BI$29)*BI6,BI6)</f>
        <v>0</v>
      </c>
      <c r="BK6" s="253">
        <f t="shared" ref="BK6:BK12" si="35">BI6-BJ6</f>
        <v>0</v>
      </c>
      <c r="BL6" s="253"/>
      <c r="BM6" s="253">
        <f t="shared" ref="BM6:BM12" si="36">IF(AW6+BB6&gt;0,4%*(AW6+BB6),0)</f>
        <v>1.1420874566704891</v>
      </c>
      <c r="BN6" s="249">
        <f t="shared" ref="BN6:BN12" si="37">IF(G6=400,H6,0)</f>
        <v>0</v>
      </c>
      <c r="BO6" s="254">
        <f t="shared" ref="BO6:BO12" si="38">IF(BN6&lt;=1.75,AND(BN6&gt;0)*F6,0)</f>
        <v>0</v>
      </c>
      <c r="BP6" s="254">
        <f t="shared" ref="BP6:BP12" si="39">IF(BN6&lt;=3,AND(BN6&gt;1.75)*F6,0)</f>
        <v>0</v>
      </c>
      <c r="BQ6" s="254">
        <f t="shared" ref="BQ6:BQ12" si="40">IF(G6=500,H6,0)</f>
        <v>0</v>
      </c>
      <c r="BR6" s="243">
        <f t="shared" ref="BR6:BR12" si="41">IF(BQ6&lt;=1.75,AND(BQ6&gt;0)*F6,0)</f>
        <v>0</v>
      </c>
      <c r="BS6" s="243">
        <f t="shared" ref="BS6:BS12" si="42">IF(BQ6&lt;=3,AND(BQ6&gt;1.75)*F6,0)</f>
        <v>0</v>
      </c>
      <c r="BT6" s="243">
        <f t="shared" ref="BT6:BT12" si="43">IF(G6=600,H6,0)</f>
        <v>2.3443161395882455</v>
      </c>
      <c r="BU6" s="243">
        <f t="shared" ref="BU6:BU12" si="44">IF(BT6&lt;=3,AND(BT6&gt;0)*F6,0)</f>
        <v>37.080761580210684</v>
      </c>
      <c r="BV6" s="243">
        <f t="shared" ref="BV6:BV12" si="45">IF(BT6&lt;=6,AND(BT6&gt;3)*F6,0)</f>
        <v>0</v>
      </c>
      <c r="BW6" s="243">
        <f t="shared" ref="BW6:BW12" si="46">IF(BT6&lt;=9,AND(BT6&gt;6)*F6,0)</f>
        <v>0</v>
      </c>
      <c r="BX6" s="243">
        <f t="shared" ref="BX6:BX12" si="47">IF(G6=800,H6,0)</f>
        <v>0</v>
      </c>
      <c r="BY6" s="243">
        <f t="shared" ref="BY6:BY12" si="48">IF(BX6&lt;=3,AND(BX6&gt;0)*F6,0)</f>
        <v>0</v>
      </c>
      <c r="BZ6" s="243">
        <f t="shared" ref="BZ6:BZ12" si="49">IF(BX6&lt;=6,AND(BX6&gt;3)*F6,0)</f>
        <v>0</v>
      </c>
      <c r="CA6" s="243">
        <f t="shared" ref="CA6:CA12" si="50">IF(BX6&lt;=9,AND(BX6&gt;6)*F6,0)</f>
        <v>0</v>
      </c>
      <c r="CB6" s="243">
        <f t="shared" ref="CB6:CB12" si="51">IF(G6=1000,H6,0)</f>
        <v>0</v>
      </c>
      <c r="CC6" s="243">
        <f t="shared" ref="CC6:CC12" si="52">IF(CB6&lt;=3,AND(CB6&gt;0)*F6,0)</f>
        <v>0</v>
      </c>
      <c r="CD6" s="243">
        <f t="shared" ref="CD6:CD12" si="53">IF(CB6&lt;=6,AND(CB6&gt;3)*F6,0)</f>
        <v>0</v>
      </c>
      <c r="CE6" s="243">
        <f t="shared" ref="CE6:CE12" si="54">IF(CB6&lt;=9,AND(CB6&gt;6)*F6,0)</f>
        <v>0</v>
      </c>
      <c r="CF6" s="243">
        <f t="shared" ref="CF6:CF12" si="55">IF(G6=1200,H6,0)</f>
        <v>0</v>
      </c>
      <c r="CG6" s="243">
        <f t="shared" ref="CG6:CG12" si="56">IF(CF6&lt;=3,AND(CF6&gt;0)*F6,0)</f>
        <v>0</v>
      </c>
      <c r="CH6" s="243">
        <f t="shared" ref="CH6:CH12" si="57">IF(CF6&lt;=6,AND(CF6&gt;3)*F6,0)</f>
        <v>0</v>
      </c>
      <c r="CI6" s="243">
        <f t="shared" ref="CI6:CI12" si="58">IF(CF6&lt;=9,AND(CF6&gt;6)*F6,0)</f>
        <v>0</v>
      </c>
      <c r="CJ6" s="255">
        <f t="shared" ref="CJ6:CJ12" si="59">IF(G6=1500,H6,0)</f>
        <v>0</v>
      </c>
      <c r="CK6" s="243">
        <f t="shared" ref="CK6:CK12" si="60">IF(CJ6&lt;=3,AND(CJ6&gt;0)*F6,0)</f>
        <v>0</v>
      </c>
      <c r="CL6" s="243">
        <f t="shared" ref="CL6:CL12" si="61">IF(CJ6&lt;=6,AND(CJ6&gt;3)*F6,0)</f>
        <v>0</v>
      </c>
      <c r="CM6" s="243">
        <f t="shared" ref="CM6:CM12" si="62">IF(CJ6&lt;=9,AND(CJ6&gt;6)*F6,0)</f>
        <v>0</v>
      </c>
      <c r="CN6" s="248">
        <f t="shared" ref="CN6:CN12" si="63">IF(G6=1650,F6,0)</f>
        <v>0</v>
      </c>
      <c r="CO6" s="248">
        <f t="shared" ref="CO6:CO12" si="64">IF(G6=1800,F6,0)</f>
        <v>0</v>
      </c>
      <c r="CP6" s="248">
        <f t="shared" ref="CP6:CP12" si="65">IF(G6=2000,F6,0)</f>
        <v>0</v>
      </c>
      <c r="CQ6" s="248">
        <f t="shared" ref="CQ6:CQ12" si="66">IF(G6=2200,F6,0)</f>
        <v>0</v>
      </c>
      <c r="CR6" s="248">
        <f t="shared" ref="CR6:CR12" si="67">IF(G6=2400,F6,0)</f>
        <v>0</v>
      </c>
      <c r="CS6" s="248">
        <f t="shared" ref="CS6:CS12" si="68">IF(G6=2600,F6,0)</f>
        <v>0</v>
      </c>
      <c r="CT6" s="256">
        <f t="shared" ref="CT6:CT12" si="69">IF(G6=3000,F6,0)</f>
        <v>0</v>
      </c>
      <c r="CU6" s="257">
        <f t="shared" ref="CU6:CU12" si="70">IF(G6&gt;=100,1,0)</f>
        <v>1</v>
      </c>
      <c r="CV6" s="257">
        <f t="shared" ref="CV6:CV12" si="71">IF(CU6=1,IF(G6&lt;=600,1,0))</f>
        <v>1</v>
      </c>
      <c r="CW6" s="257">
        <f>IF(CU6=1,IF($G6=800,1,0))</f>
        <v>0</v>
      </c>
      <c r="CX6" s="257">
        <f>IF(CU6=1,IF($G6=1000,1,0))</f>
        <v>0</v>
      </c>
      <c r="CY6" s="257">
        <f>IF(CU6=1,IF($G6=1200,1,0))</f>
        <v>0</v>
      </c>
      <c r="CZ6" s="257">
        <f>IF(CU6=1,IF($G6=1500,1,0))</f>
        <v>0</v>
      </c>
      <c r="DA6" s="258">
        <f t="shared" ref="DA6:DA12" si="72">IF(IF(G6&lt;=600,(D6-DB6),0)+IF(G6=800,(D6-DC6),0)+IF(G6&gt;=1000,D6-DD6,0)&lt;0,0,IF(G6&lt;=600,(D6-DB6),0)+IF(G6=800,(D6-DC6),0)+IF(G6&gt;=1000,D6-DD6,0))</f>
        <v>0.88626234661962822</v>
      </c>
      <c r="DB6" s="259">
        <v>1.3</v>
      </c>
      <c r="DC6" s="259">
        <v>1.4</v>
      </c>
      <c r="DD6" s="259">
        <v>2</v>
      </c>
      <c r="DE6" s="259">
        <v>2</v>
      </c>
      <c r="DF6" s="260">
        <v>2</v>
      </c>
      <c r="DG6" s="249">
        <f t="shared" ref="DG6:DG12" si="73">IF(K6&lt;=1.5,IF(H6&lt;1.5,H6*F6*2,F6*2*1.5),0)</f>
        <v>111.24228474063204</v>
      </c>
      <c r="DH6" s="261">
        <f t="shared" ref="DH6:DH12" si="74">IF(K6&lt;=1.5,IF(AND(H6&lt;3,H6&gt;1.5),(H6-1.5)*F6*2,IF(H6&gt;=3,(F6*2*1.5),0)),0)</f>
        <v>62.615770940791229</v>
      </c>
      <c r="DI6" s="261">
        <f t="shared" ref="DI6:DI12" si="75">IF(K6&lt;=1.5,IF(AND(H6&lt;4.5,H6&gt;3),(H6-3)*F6*2,IF(H6&gt;=4.5,(F6*2*1.5),0)),0)</f>
        <v>0</v>
      </c>
      <c r="DJ6" s="261">
        <f t="shared" ref="DJ6:DJ12" si="76">IF(AND(K6&lt;=2.5,K6&gt;1.5),IF(H6&lt;1.5,H6*F6*2,F6*2*1.5),0)</f>
        <v>0</v>
      </c>
      <c r="DK6" s="261">
        <f t="shared" ref="DK6:DK12" si="77">IF(AND(K6&gt;1.5,K6&lt;=2.5),IF(AND(H6&lt;3,H6&gt;1.5),(H6-1.5)*F6*2,IF(H6&gt;=3,(F6*2*1.5),0)),0)</f>
        <v>0</v>
      </c>
      <c r="DL6" s="261">
        <f t="shared" ref="DL6:DL12" si="78">IF(AND(K6&gt;1.5,K6&lt;=2.5),IF(AND(H6&lt;4.5,H6&gt;3),(H6-3)*F6*2,IF(H6&gt;=4.5,(F6*2*1.5),0)),0)</f>
        <v>0</v>
      </c>
      <c r="DM6" s="261">
        <f t="shared" ref="DM6:DM12" si="79">IF(AND(K6&lt;=3.5,K6&gt;2.5),IF(H6&lt;1.5,H6*F6*2,F6*2*1.5),0)</f>
        <v>0</v>
      </c>
      <c r="DN6" s="261">
        <f t="shared" ref="DN6:DN12" si="80">IF(AND(K6&gt;2.5,K6&lt;=3.5),IF(AND(H6&lt;3,H6&gt;1.5),(H6-1.5)*F6*2,IF(H6&gt;=3,(F6*2*1.5),0)),0)</f>
        <v>0</v>
      </c>
      <c r="DO6" s="261">
        <f t="shared" ref="DO6:DO12" si="81">IF(AND(K6&gt;2.5,K6&lt;=3.5),IF(AND(H6&lt;4.5,H6&gt;3),(H6-3)*F6*2,IF(H6&gt;=4.5,(F6*2*1.5),0)),0)</f>
        <v>0</v>
      </c>
      <c r="DP6" s="261">
        <f t="shared" ref="DP6:DP12" si="82">IF(AND(K6&gt;2.5,K6&lt;=3.5),IF(AND(H6&lt;6,H6&gt;4.5),(H6-4.5)*F6*2,IF(H6&gt;=6,(F6*2*1.5),0)),0)</f>
        <v>0</v>
      </c>
    </row>
    <row r="7" spans="1:123" x14ac:dyDescent="0.25">
      <c r="A7" s="236" t="s">
        <v>2414</v>
      </c>
      <c r="B7" s="237"/>
      <c r="C7" s="238" t="str">
        <f>'Planilha Hidráulica'!B11</f>
        <v>PV2.1-&gt;PV3.1</v>
      </c>
      <c r="D7" s="239">
        <f>'Planilha Hidráulica'!R11</f>
        <v>2.0623699325568623</v>
      </c>
      <c r="E7" s="239">
        <f>'Planilha Hidráulica'!S11</f>
        <v>2.5473078505702915</v>
      </c>
      <c r="F7" s="239">
        <f>'Planilha Hidráulica'!K11</f>
        <v>37.080761579474405</v>
      </c>
      <c r="G7" s="238">
        <f>'Planilha Hidráulica'!M11</f>
        <v>600</v>
      </c>
      <c r="H7" s="240">
        <f t="shared" si="0"/>
        <v>2.5248388915635771</v>
      </c>
      <c r="I7" s="241">
        <f t="shared" si="1"/>
        <v>4.6811474482326716</v>
      </c>
      <c r="J7" s="242">
        <v>0</v>
      </c>
      <c r="K7" s="243">
        <f>IF(G7=400,1,0)+IF(G7=500,1.2,0)+IF(G7=600,1.4,0)+IF(G7=800,1.7,0)+IF(G7=1000,2,0)+IF(G7=1200,2.2,0)+IF(G7=1500,2.6,0)+IF(G7=1650,3,0)+IF(G7=1800,3.2,0)+IF(G7=2000,3.4,0)+IF(G7=2200,3.6,0)+IF(G7=2400,3.8,0)+IF(G7=2600,4,0)+IF(G7=3000,4.4,0)</f>
        <v>1.4</v>
      </c>
      <c r="L7" s="243">
        <f>2*J7*H7+K7</f>
        <v>1.4</v>
      </c>
      <c r="M7" s="243">
        <f>'Planilha Hidráulica'!X11</f>
        <v>400</v>
      </c>
      <c r="N7" s="243">
        <f t="shared" si="2"/>
        <v>51.913066211264166</v>
      </c>
      <c r="O7" s="244" t="str">
        <f>'Planilha Hidráulica'!W11</f>
        <v>ASFALTO</v>
      </c>
      <c r="P7" s="244" t="s">
        <v>2415</v>
      </c>
      <c r="Q7" s="244">
        <v>1</v>
      </c>
      <c r="R7" s="244">
        <v>3</v>
      </c>
      <c r="S7" s="244">
        <v>5</v>
      </c>
      <c r="T7" s="243">
        <f t="shared" si="3"/>
        <v>0.1</v>
      </c>
      <c r="U7" s="245">
        <f t="shared" si="4"/>
        <v>4.6597059267036585</v>
      </c>
      <c r="V7" s="246">
        <f t="shared" si="5"/>
        <v>147.17764910831681</v>
      </c>
      <c r="W7" s="247">
        <f t="shared" si="6"/>
        <v>0</v>
      </c>
      <c r="X7" s="247">
        <f t="shared" si="7"/>
        <v>0.4</v>
      </c>
      <c r="Y7" s="248">
        <f>IF(R7&lt;H7,R7,H7)</f>
        <v>2.5248388915635771</v>
      </c>
      <c r="Z7" s="248">
        <f>H7-Y7</f>
        <v>0</v>
      </c>
      <c r="AA7" s="249">
        <f>IF(O7="ASFALTO",L7*F7,0)</f>
        <v>51.913066211264166</v>
      </c>
      <c r="AB7" s="250">
        <f>IF(O7="CONCRETO",L7*F7,0)</f>
        <v>0</v>
      </c>
      <c r="AC7" s="251">
        <f>IF(X7=0,0,IF(X7=0.4,IF(K7&lt;=1.5,IF(Y7+0.4&gt;=1.5,0,K7*F7*0.4),0),IF(K7&lt;=1.5,IF(X7&gt;=1.5,L7*F7*1.5,K7*F7*(X7)),0)+IF(R7&lt;H7+0.4,0,IF(AND(X7&lt;=1.5,K7&lt;=1.5),-U7,0))))</f>
        <v>0</v>
      </c>
      <c r="AD7" s="251">
        <f>IF(X7=0,0,IF(X7=0.4,IF(K7&lt;=1.5,IF(OR(Y7+0.4&gt;=3,Y7+0.4&lt;1.5),0,K7*F7*0.4),0),IF(IF(K7&lt;=1.5,IF(X7&gt;=3,L7*F7*1.5,K7*F7*(X7-1.5)),0)&lt;0,0,IF(K7&lt;=1.5,IF(X7&gt;=3,L7*F7*1.5,K7*F7*(X7-1.5)),0))+IF(R7&lt;H7+0.4,0,IF(AND(X7&lt;=3,K7&lt;=1.5),-U7,0))))</f>
        <v>20.765226484505668</v>
      </c>
      <c r="AE7" s="251">
        <f t="shared" si="8"/>
        <v>0</v>
      </c>
      <c r="AF7" s="251">
        <f>IF(X7=0,0,IF(X7=0.4,IF(AND(K7&gt;1.5,K7&lt;=2.6),IF(Y7+0.4&gt;=1.5,0,K7*F7*0.4),0),IF(AND(K7&gt;1.5,K7&lt;=2.6),IF(X7&gt;=1.5,L7*F7*1.5,K7*F7*(X7)),0)+IF(R7&lt;H7+0.4,0,IF(AND(X7&lt;=1.5,K7&lt;=1.5),-U7,0))))</f>
        <v>0</v>
      </c>
      <c r="AG7" s="251">
        <f>IF(X7=0,0,IF(X7=0.4,IF(AND(K7&gt;1.5,K7&lt;=2.6),IF(OR(Y7+0.4&gt;=3,Y7+0.4&lt;1.5),0,K7*F7*0.4),0),IF(IF(AND(K7&gt;1.5,K7&lt;=2.6),IF(X7&gt;=3,L7*F7*1.5,K7*F7*(X7-1.5)),0)&lt;0,0,IF(AND(K7&gt;1.5,K7&lt;=2.6),IF(X7&gt;=3,L7*F7*1.5,K7*F7*(X7-1.5)),0))+IF(R7&lt;H7+0.4,0,IF(AND(X7&lt;=3,K7&lt;=1.5),-U7,0))))</f>
        <v>0</v>
      </c>
      <c r="AH7" s="251">
        <f>IF(X7=0,0,IF(X7=0.4,IF(AND(K7&gt;1.5,K7&lt;=2.6),IF(OR(Y7+0.4&gt;=4.5,Y7+0.4&lt;3),0,K7*F7*0.4),0),IF(IF(AND(K7&gt;1.5,K7&lt;=2.6),IF(X7&gt;=4.5,L7*F7*1.5,K7*F7*(X7-3)),0)&lt;0,0,IF(AND(K7&gt;1.5,K7&lt;=2.6),IF(X7&gt;=4.5,L7*F7*1.5,K7*F7*(X7-3)),0))+IF(R7&lt;H7+0.4,0,IF(AND(X7&lt;=3,K7&lt;=1.5),-U7,0))))</f>
        <v>0</v>
      </c>
      <c r="AI7" s="251">
        <f>IF(X7=0,0,IF(X7=0.4,IF(AND(K7&gt;1.5,K7&lt;=2.6),IF(OR(Y7+0.4&gt;=6,Y7+0.4&lt;4.5),0,K7*F7*0.4),0),IF(IF(AND(K7&gt;1.5,K7&lt;=2.6),IF(X7&gt;=6,L7*F7*1.5,K7*F7*(X7-4.5)),0)&lt;0,0,IF(AND(K7&gt;1.5,K7&lt;=2.6),IF(X7&gt;=6,L7*F7*1.5,K7*F7*(X7-4.5)),0))+IF(R7&lt;H7+0.4,0,IF(AND(X7&lt;=3,K7&lt;=1.5),-U7,0))))</f>
        <v>0</v>
      </c>
      <c r="AJ7" s="252">
        <f t="shared" si="9"/>
        <v>77.869599316896256</v>
      </c>
      <c r="AK7" s="252">
        <f t="shared" si="10"/>
        <v>48.542823306914897</v>
      </c>
      <c r="AL7" s="252">
        <f t="shared" si="11"/>
        <v>0</v>
      </c>
      <c r="AM7" s="252">
        <f t="shared" si="12"/>
        <v>0</v>
      </c>
      <c r="AN7" s="252">
        <f t="shared" si="13"/>
        <v>0</v>
      </c>
      <c r="AO7" s="252">
        <f t="shared" si="14"/>
        <v>0</v>
      </c>
      <c r="AP7" s="252">
        <f t="shared" si="15"/>
        <v>0</v>
      </c>
      <c r="AQ7" s="252">
        <f t="shared" si="16"/>
        <v>0</v>
      </c>
      <c r="AR7" s="253">
        <f t="shared" si="17"/>
        <v>0</v>
      </c>
      <c r="AS7" s="243">
        <f t="shared" si="18"/>
        <v>0</v>
      </c>
      <c r="AT7" s="253">
        <f t="shared" si="19"/>
        <v>121.48779021543157</v>
      </c>
      <c r="AU7" s="241">
        <f t="shared" si="20"/>
        <v>5.1913066211264169</v>
      </c>
      <c r="AV7" s="246">
        <f t="shared" si="21"/>
        <v>0</v>
      </c>
      <c r="AW7" s="253">
        <f t="shared" si="22"/>
        <v>20.765226484505668</v>
      </c>
      <c r="AX7" s="253">
        <f t="shared" ref="AX7" si="83">IF(AW7&lt;SUM(AJ7:AQ7),0,AW7)</f>
        <v>0</v>
      </c>
      <c r="AY7" s="253">
        <f t="shared" si="24"/>
        <v>0.89999999999999991</v>
      </c>
      <c r="AZ7" s="253">
        <f t="shared" si="25"/>
        <v>36.237421255054514</v>
      </c>
      <c r="BA7" s="253">
        <f t="shared" si="26"/>
        <v>0</v>
      </c>
      <c r="BB7" s="253">
        <f t="shared" si="27"/>
        <v>7.7869599316896236</v>
      </c>
      <c r="BC7" s="253">
        <f t="shared" si="28"/>
        <v>7.7869599316896236</v>
      </c>
      <c r="BD7" s="253">
        <f t="shared" si="29"/>
        <v>1.5573919863379249</v>
      </c>
      <c r="BE7" s="253">
        <f t="shared" si="30"/>
        <v>43.719915991365738</v>
      </c>
      <c r="BF7" s="253">
        <f t="shared" si="31"/>
        <v>61.622814952561356</v>
      </c>
      <c r="BG7" s="253">
        <f t="shared" si="32"/>
        <v>43.719915991365738</v>
      </c>
      <c r="BH7" s="253">
        <f t="shared" si="33"/>
        <v>17.902898961195618</v>
      </c>
      <c r="BI7" s="253">
        <f t="shared" si="34"/>
        <v>0</v>
      </c>
      <c r="BJ7" s="241">
        <f t="shared" ref="BJ7:BJ12" si="84">IF($BI$29&gt;$BJ$31,($BJ$31/$BI$29)*BI7,BI7)</f>
        <v>0</v>
      </c>
      <c r="BK7" s="253">
        <f t="shared" si="35"/>
        <v>0</v>
      </c>
      <c r="BL7" s="253"/>
      <c r="BM7" s="253">
        <f t="shared" si="36"/>
        <v>1.1420874566478116</v>
      </c>
      <c r="BN7" s="249">
        <f t="shared" si="37"/>
        <v>0</v>
      </c>
      <c r="BO7" s="254">
        <f t="shared" si="38"/>
        <v>0</v>
      </c>
      <c r="BP7" s="254">
        <f t="shared" si="39"/>
        <v>0</v>
      </c>
      <c r="BQ7" s="254">
        <f t="shared" si="40"/>
        <v>0</v>
      </c>
      <c r="BR7" s="243">
        <f t="shared" si="41"/>
        <v>0</v>
      </c>
      <c r="BS7" s="243">
        <f t="shared" si="42"/>
        <v>0</v>
      </c>
      <c r="BT7" s="243">
        <f t="shared" si="43"/>
        <v>2.5248388915635771</v>
      </c>
      <c r="BU7" s="243">
        <f t="shared" si="44"/>
        <v>37.080761579474405</v>
      </c>
      <c r="BV7" s="243">
        <f t="shared" si="45"/>
        <v>0</v>
      </c>
      <c r="BW7" s="243">
        <f t="shared" si="46"/>
        <v>0</v>
      </c>
      <c r="BX7" s="243">
        <f t="shared" si="47"/>
        <v>0</v>
      </c>
      <c r="BY7" s="243">
        <f t="shared" si="48"/>
        <v>0</v>
      </c>
      <c r="BZ7" s="243">
        <f t="shared" si="49"/>
        <v>0</v>
      </c>
      <c r="CA7" s="243">
        <f t="shared" si="50"/>
        <v>0</v>
      </c>
      <c r="CB7" s="243">
        <f t="shared" si="51"/>
        <v>0</v>
      </c>
      <c r="CC7" s="243">
        <f t="shared" si="52"/>
        <v>0</v>
      </c>
      <c r="CD7" s="243">
        <f t="shared" si="53"/>
        <v>0</v>
      </c>
      <c r="CE7" s="243">
        <f t="shared" si="54"/>
        <v>0</v>
      </c>
      <c r="CF7" s="243">
        <f t="shared" si="55"/>
        <v>0</v>
      </c>
      <c r="CG7" s="243">
        <f t="shared" si="56"/>
        <v>0</v>
      </c>
      <c r="CH7" s="243">
        <f t="shared" si="57"/>
        <v>0</v>
      </c>
      <c r="CI7" s="243">
        <f t="shared" si="58"/>
        <v>0</v>
      </c>
      <c r="CJ7" s="255">
        <f t="shared" si="59"/>
        <v>0</v>
      </c>
      <c r="CK7" s="243">
        <f t="shared" si="60"/>
        <v>0</v>
      </c>
      <c r="CL7" s="243">
        <f t="shared" si="61"/>
        <v>0</v>
      </c>
      <c r="CM7" s="243">
        <f t="shared" si="62"/>
        <v>0</v>
      </c>
      <c r="CN7" s="248">
        <f t="shared" si="63"/>
        <v>0</v>
      </c>
      <c r="CO7" s="248">
        <f t="shared" si="64"/>
        <v>0</v>
      </c>
      <c r="CP7" s="248">
        <f t="shared" si="65"/>
        <v>0</v>
      </c>
      <c r="CQ7" s="248">
        <f t="shared" si="66"/>
        <v>0</v>
      </c>
      <c r="CR7" s="248">
        <f t="shared" si="67"/>
        <v>0</v>
      </c>
      <c r="CS7" s="248">
        <f t="shared" si="68"/>
        <v>0</v>
      </c>
      <c r="CT7" s="256">
        <f t="shared" si="69"/>
        <v>0</v>
      </c>
      <c r="CU7" s="257">
        <f t="shared" si="70"/>
        <v>1</v>
      </c>
      <c r="CV7" s="257">
        <f t="shared" si="71"/>
        <v>1</v>
      </c>
      <c r="CW7" s="257">
        <f>IF(CU7=1,IF($G7=800,1,0))</f>
        <v>0</v>
      </c>
      <c r="CX7" s="257">
        <f>IF(CU7=1,IF($G7=1000,1,0))</f>
        <v>0</v>
      </c>
      <c r="CY7" s="257">
        <f>IF(CU7=1,IF($G7=1200,1,0))</f>
        <v>0</v>
      </c>
      <c r="CZ7" s="257">
        <f>IF(CU7=1,IF($G7=1500,1,0))</f>
        <v>0</v>
      </c>
      <c r="DA7" s="258">
        <f t="shared" si="72"/>
        <v>0.76236993255686225</v>
      </c>
      <c r="DB7" s="259">
        <v>1.3</v>
      </c>
      <c r="DC7" s="259">
        <v>1.4</v>
      </c>
      <c r="DD7" s="259">
        <v>2</v>
      </c>
      <c r="DE7" s="259">
        <v>2</v>
      </c>
      <c r="DF7" s="260">
        <v>2</v>
      </c>
      <c r="DG7" s="249">
        <f t="shared" si="73"/>
        <v>111.24228473842322</v>
      </c>
      <c r="DH7" s="261">
        <f t="shared" si="74"/>
        <v>76.003613190883655</v>
      </c>
      <c r="DI7" s="261">
        <f t="shared" si="75"/>
        <v>0</v>
      </c>
      <c r="DJ7" s="261">
        <f t="shared" si="76"/>
        <v>0</v>
      </c>
      <c r="DK7" s="261">
        <f t="shared" si="77"/>
        <v>0</v>
      </c>
      <c r="DL7" s="261">
        <f t="shared" si="78"/>
        <v>0</v>
      </c>
      <c r="DM7" s="261">
        <f t="shared" si="79"/>
        <v>0</v>
      </c>
      <c r="DN7" s="261">
        <f t="shared" si="80"/>
        <v>0</v>
      </c>
      <c r="DO7" s="261">
        <f t="shared" si="81"/>
        <v>0</v>
      </c>
      <c r="DP7" s="261">
        <f t="shared" si="82"/>
        <v>0</v>
      </c>
    </row>
    <row r="8" spans="1:123" x14ac:dyDescent="0.25">
      <c r="A8" s="220" t="s">
        <v>2416</v>
      </c>
      <c r="B8" s="237"/>
      <c r="C8" s="238" t="str">
        <f>'Planilha Hidráulica'!B12</f>
        <v>PV3.1-&gt;PV4.1</v>
      </c>
      <c r="D8" s="239">
        <f>'Planilha Hidráulica'!R12</f>
        <v>2.5473078505702915</v>
      </c>
      <c r="E8" s="239">
        <f>'Planilha Hidráulica'!S12</f>
        <v>2.5499999999999545</v>
      </c>
      <c r="F8" s="239">
        <f>'Planilha Hidráulica'!K12</f>
        <v>18.956334524745731</v>
      </c>
      <c r="G8" s="238">
        <f>'Planilha Hidráulica'!M12</f>
        <v>600</v>
      </c>
      <c r="H8" s="240">
        <f t="shared" si="0"/>
        <v>2.7686539252851232</v>
      </c>
      <c r="I8" s="241">
        <f t="shared" si="1"/>
        <v>2.6241764995477586</v>
      </c>
      <c r="J8" s="242">
        <v>0</v>
      </c>
      <c r="K8" s="243">
        <f t="shared" ref="K8:K12" si="85">IF(G8=400,1,0)+IF(G8=500,1.2,0)+IF(G8=600,1.4,0)+IF(G8=800,1.7,0)+IF(G8=1000,2,0)+IF(G8=1200,2.2,0)+IF(G8=1500,2.6,0)+IF(G8=1650,3,0)+IF(G8=1800,3.2,0)+IF(G8=2000,3.4,0)+IF(G8=2200,3.6,0)+IF(G8=2400,3.8,0)+IF(G8=2600,4,0)+IF(G8=3000,4.4,0)</f>
        <v>1.4</v>
      </c>
      <c r="L8" s="243">
        <f t="shared" ref="L8:L12" si="86">2*J8*H8+K8</f>
        <v>1.4</v>
      </c>
      <c r="M8" s="243">
        <f>'Planilha Hidráulica'!X12</f>
        <v>400</v>
      </c>
      <c r="N8" s="243">
        <f t="shared" si="2"/>
        <v>26.538868334644022</v>
      </c>
      <c r="O8" s="244" t="str">
        <f>'Planilha Hidráulica'!W12</f>
        <v>ASFALTO</v>
      </c>
      <c r="P8" s="244" t="s">
        <v>2415</v>
      </c>
      <c r="Q8" s="244">
        <v>1</v>
      </c>
      <c r="R8" s="244">
        <v>3</v>
      </c>
      <c r="S8" s="244">
        <v>5</v>
      </c>
      <c r="T8" s="243">
        <f t="shared" si="3"/>
        <v>0.1</v>
      </c>
      <c r="U8" s="245">
        <f t="shared" si="4"/>
        <v>2.3821232512772701</v>
      </c>
      <c r="V8" s="246">
        <f t="shared" si="5"/>
        <v>81.710366069917583</v>
      </c>
      <c r="W8" s="247">
        <f t="shared" si="6"/>
        <v>0</v>
      </c>
      <c r="X8" s="247">
        <f t="shared" si="7"/>
        <v>0.4</v>
      </c>
      <c r="Y8" s="248">
        <f t="shared" ref="Y8:Y12" si="87">IF(R8&lt;H8,R8,H8)</f>
        <v>2.7686539252851232</v>
      </c>
      <c r="Z8" s="248">
        <f t="shared" ref="Z8:Z12" si="88">H8-Y8</f>
        <v>0</v>
      </c>
      <c r="AA8" s="249">
        <f t="shared" ref="AA8:AA12" si="89">IF(O8="ASFALTO",L8*F8,0)</f>
        <v>26.538868334644022</v>
      </c>
      <c r="AB8" s="250">
        <f t="shared" ref="AB8:AB12" si="90">IF(O8="CONCRETO",L8*F8,0)</f>
        <v>0</v>
      </c>
      <c r="AC8" s="251">
        <f t="shared" ref="AC8:AC12" si="91">IF(X8=0,0,IF(X8=0.4,IF(K8&lt;=1.5,IF(Y8+0.4&gt;=1.5,0,K8*F8*0.4),0),IF(K8&lt;=1.5,IF(X8&gt;=1.5,L8*F8*1.5,K8*F8*(X8)),0)+IF(R8&lt;H8+0.4,0,IF(AND(X8&lt;=1.5,K8&lt;=1.5),-U8,0))))</f>
        <v>0</v>
      </c>
      <c r="AD8" s="251">
        <f t="shared" ref="AD8:AD12" si="92">IF(X8=0,0,IF(X8=0.4,IF(K8&lt;=1.5,IF(OR(Y8+0.4&gt;=3,Y8+0.4&lt;1.5),0,K8*F8*0.4),0),IF(IF(K8&lt;=1.5,IF(X8&gt;=3,L8*F8*1.5,K8*F8*(X8-1.5)),0)&lt;0,0,IF(K8&lt;=1.5,IF(X8&gt;=3,L8*F8*1.5,K8*F8*(X8-1.5)),0))+IF(R8&lt;H8+0.4,0,IF(AND(X8&lt;=3,K8&lt;=1.5),-U8,0))))</f>
        <v>0</v>
      </c>
      <c r="AE8" s="251">
        <f t="shared" si="8"/>
        <v>10.615547333857609</v>
      </c>
      <c r="AF8" s="251">
        <f t="shared" ref="AF8:AF12" si="93">IF(X8=0,0,IF(X8=0.4,IF(AND(K8&gt;1.5,K8&lt;=2.6),IF(Y8+0.4&gt;=1.5,0,K8*F8*0.4),0),IF(AND(K8&gt;1.5,K8&lt;=2.6),IF(X8&gt;=1.5,L8*F8*1.5,K8*F8*(X8)),0)+IF(R8&lt;H8+0.4,0,IF(AND(X8&lt;=1.5,K8&lt;=1.5),-U8,0))))</f>
        <v>0</v>
      </c>
      <c r="AG8" s="251">
        <f t="shared" ref="AG8:AG12" si="94">IF(X8=0,0,IF(X8=0.4,IF(AND(K8&gt;1.5,K8&lt;=2.6),IF(OR(Y8+0.4&gt;=3,Y8+0.4&lt;1.5),0,K8*F8*0.4),0),IF(IF(AND(K8&gt;1.5,K8&lt;=2.6),IF(X8&gt;=3,L8*F8*1.5,K8*F8*(X8-1.5)),0)&lt;0,0,IF(AND(K8&gt;1.5,K8&lt;=2.6),IF(X8&gt;=3,L8*F8*1.5,K8*F8*(X8-1.5)),0))+IF(R8&lt;H8+0.4,0,IF(AND(X8&lt;=3,K8&lt;=1.5),-U8,0))))</f>
        <v>0</v>
      </c>
      <c r="AH8" s="251">
        <f t="shared" ref="AH8:AH12" si="95">IF(X8=0,0,IF(X8=0.4,IF(AND(K8&gt;1.5,K8&lt;=2.6),IF(OR(Y8+0.4&gt;=4.5,Y8+0.4&lt;3),0,K8*F8*0.4),0),IF(IF(AND(K8&gt;1.5,K8&lt;=2.6),IF(X8&gt;=4.5,L8*F8*1.5,K8*F8*(X8-3)),0)&lt;0,0,IF(AND(K8&gt;1.5,K8&lt;=2.6),IF(X8&gt;=4.5,L8*F8*1.5,K8*F8*(X8-3)),0))+IF(R8&lt;H8+0.4,0,IF(AND(X8&lt;=3,K8&lt;=1.5),-U8,0))))</f>
        <v>0</v>
      </c>
      <c r="AI8" s="251">
        <f t="shared" ref="AI8:AI12" si="96">IF(X8=0,0,IF(X8=0.4,IF(AND(K8&gt;1.5,K8&lt;=2.6),IF(OR(Y8+0.4&gt;=6,Y8+0.4&lt;4.5),0,K8*F8*0.4),0),IF(IF(AND(K8&gt;1.5,K8&lt;=2.6),IF(X8&gt;=6,L8*F8*1.5,K8*F8*(X8-4.5)),0)&lt;0,0,IF(AND(K8&gt;1.5,K8&lt;=2.6),IF(X8&gt;=6,L8*F8*1.5,K8*F8*(X8-4.5)),0))+IF(R8&lt;H8+0.4,0,IF(AND(X8&lt;=3,K8&lt;=1.5),-U8,0))))</f>
        <v>0</v>
      </c>
      <c r="AJ8" s="252">
        <f t="shared" si="9"/>
        <v>39.808302501966033</v>
      </c>
      <c r="AK8" s="252">
        <f t="shared" si="10"/>
        <v>31.286516234093931</v>
      </c>
      <c r="AL8" s="252">
        <f t="shared" si="11"/>
        <v>0</v>
      </c>
      <c r="AM8" s="252">
        <f t="shared" si="12"/>
        <v>0</v>
      </c>
      <c r="AN8" s="252">
        <f t="shared" si="13"/>
        <v>0</v>
      </c>
      <c r="AO8" s="252">
        <f t="shared" si="14"/>
        <v>0</v>
      </c>
      <c r="AP8" s="252">
        <f t="shared" si="15"/>
        <v>0</v>
      </c>
      <c r="AQ8" s="252">
        <f t="shared" si="16"/>
        <v>0</v>
      </c>
      <c r="AR8" s="253">
        <f t="shared" si="17"/>
        <v>0</v>
      </c>
      <c r="AS8" s="243">
        <f t="shared" si="18"/>
        <v>0</v>
      </c>
      <c r="AT8" s="253">
        <f t="shared" si="19"/>
        <v>69.017164671963371</v>
      </c>
      <c r="AU8" s="241">
        <f t="shared" si="20"/>
        <v>2.6538868334644024</v>
      </c>
      <c r="AV8" s="246">
        <f t="shared" si="21"/>
        <v>0</v>
      </c>
      <c r="AW8" s="253">
        <f t="shared" si="22"/>
        <v>10.615547333857609</v>
      </c>
      <c r="AX8" s="253">
        <f t="shared" si="23"/>
        <v>0</v>
      </c>
      <c r="AY8" s="253">
        <f t="shared" si="24"/>
        <v>0.89999999999999991</v>
      </c>
      <c r="AZ8" s="253">
        <f t="shared" si="25"/>
        <v>18.525204185805759</v>
      </c>
      <c r="BA8" s="253">
        <f t="shared" si="26"/>
        <v>0</v>
      </c>
      <c r="BB8" s="253">
        <f t="shared" si="27"/>
        <v>3.9808302501966035</v>
      </c>
      <c r="BC8" s="253">
        <f t="shared" si="28"/>
        <v>3.9808302501966035</v>
      </c>
      <c r="BD8" s="253">
        <f t="shared" si="29"/>
        <v>0.79616605003932062</v>
      </c>
      <c r="BE8" s="253">
        <f t="shared" si="30"/>
        <v>29.260865818442394</v>
      </c>
      <c r="BF8" s="253">
        <f t="shared" si="31"/>
        <v>37.973236966199991</v>
      </c>
      <c r="BG8" s="253">
        <f t="shared" si="32"/>
        <v>29.260865818442394</v>
      </c>
      <c r="BH8" s="253">
        <f t="shared" si="33"/>
        <v>8.7123711477575974</v>
      </c>
      <c r="BI8" s="253">
        <f t="shared" si="34"/>
        <v>0</v>
      </c>
      <c r="BJ8" s="241">
        <f t="shared" si="84"/>
        <v>0</v>
      </c>
      <c r="BK8" s="253">
        <f t="shared" si="35"/>
        <v>0</v>
      </c>
      <c r="BL8" s="253"/>
      <c r="BM8" s="253">
        <f t="shared" si="36"/>
        <v>0.5838551033621685</v>
      </c>
      <c r="BN8" s="249">
        <f t="shared" si="37"/>
        <v>0</v>
      </c>
      <c r="BO8" s="254">
        <f t="shared" si="38"/>
        <v>0</v>
      </c>
      <c r="BP8" s="254">
        <f t="shared" si="39"/>
        <v>0</v>
      </c>
      <c r="BQ8" s="254">
        <f t="shared" si="40"/>
        <v>0</v>
      </c>
      <c r="BR8" s="243">
        <f t="shared" si="41"/>
        <v>0</v>
      </c>
      <c r="BS8" s="243">
        <f t="shared" si="42"/>
        <v>0</v>
      </c>
      <c r="BT8" s="243">
        <f t="shared" si="43"/>
        <v>2.7686539252851232</v>
      </c>
      <c r="BU8" s="243">
        <f t="shared" si="44"/>
        <v>18.956334524745731</v>
      </c>
      <c r="BV8" s="243">
        <f t="shared" si="45"/>
        <v>0</v>
      </c>
      <c r="BW8" s="243">
        <f t="shared" si="46"/>
        <v>0</v>
      </c>
      <c r="BX8" s="243">
        <f t="shared" si="47"/>
        <v>0</v>
      </c>
      <c r="BY8" s="243">
        <f t="shared" si="48"/>
        <v>0</v>
      </c>
      <c r="BZ8" s="243">
        <f t="shared" si="49"/>
        <v>0</v>
      </c>
      <c r="CA8" s="243">
        <f t="shared" si="50"/>
        <v>0</v>
      </c>
      <c r="CB8" s="243">
        <f t="shared" si="51"/>
        <v>0</v>
      </c>
      <c r="CC8" s="243">
        <f t="shared" si="52"/>
        <v>0</v>
      </c>
      <c r="CD8" s="243">
        <f t="shared" si="53"/>
        <v>0</v>
      </c>
      <c r="CE8" s="243">
        <f t="shared" si="54"/>
        <v>0</v>
      </c>
      <c r="CF8" s="243">
        <f t="shared" si="55"/>
        <v>0</v>
      </c>
      <c r="CG8" s="243">
        <f t="shared" si="56"/>
        <v>0</v>
      </c>
      <c r="CH8" s="243">
        <f t="shared" si="57"/>
        <v>0</v>
      </c>
      <c r="CI8" s="243">
        <f t="shared" si="58"/>
        <v>0</v>
      </c>
      <c r="CJ8" s="255">
        <f t="shared" si="59"/>
        <v>0</v>
      </c>
      <c r="CK8" s="243">
        <f t="shared" si="60"/>
        <v>0</v>
      </c>
      <c r="CL8" s="243">
        <f t="shared" si="61"/>
        <v>0</v>
      </c>
      <c r="CM8" s="243">
        <f t="shared" si="62"/>
        <v>0</v>
      </c>
      <c r="CN8" s="248">
        <f t="shared" si="63"/>
        <v>0</v>
      </c>
      <c r="CO8" s="248">
        <f t="shared" si="64"/>
        <v>0</v>
      </c>
      <c r="CP8" s="248">
        <f t="shared" si="65"/>
        <v>0</v>
      </c>
      <c r="CQ8" s="248">
        <f t="shared" si="66"/>
        <v>0</v>
      </c>
      <c r="CR8" s="248">
        <f t="shared" si="67"/>
        <v>0</v>
      </c>
      <c r="CS8" s="248">
        <f t="shared" si="68"/>
        <v>0</v>
      </c>
      <c r="CT8" s="256">
        <f t="shared" si="69"/>
        <v>0</v>
      </c>
      <c r="CU8" s="257">
        <f t="shared" si="70"/>
        <v>1</v>
      </c>
      <c r="CV8" s="257">
        <f t="shared" si="71"/>
        <v>1</v>
      </c>
      <c r="CW8" s="257">
        <f t="shared" ref="CW8:CW12" si="97">IF(CU8=1,IF($G8=800,1,0))</f>
        <v>0</v>
      </c>
      <c r="CX8" s="257">
        <f t="shared" ref="CX8:CX12" si="98">IF(CU8=1,IF($G8=1000,1,0))</f>
        <v>0</v>
      </c>
      <c r="CY8" s="257">
        <f t="shared" ref="CY8:CY12" si="99">IF(CU8=1,IF($G8=1200,1,0))</f>
        <v>0</v>
      </c>
      <c r="CZ8" s="257">
        <f t="shared" ref="CZ8:CZ12" si="100">IF(CU8=1,IF($G8=1500,1,0))</f>
        <v>0</v>
      </c>
      <c r="DA8" s="258">
        <f t="shared" si="72"/>
        <v>1.2473078505702915</v>
      </c>
      <c r="DB8" s="259">
        <v>1.3</v>
      </c>
      <c r="DC8" s="259">
        <v>1.4</v>
      </c>
      <c r="DD8" s="259">
        <v>2</v>
      </c>
      <c r="DE8" s="259">
        <v>2</v>
      </c>
      <c r="DF8" s="260">
        <v>2</v>
      </c>
      <c r="DG8" s="249">
        <f t="shared" si="73"/>
        <v>56.869003574237198</v>
      </c>
      <c r="DH8" s="261">
        <f t="shared" si="74"/>
        <v>48.098056407673148</v>
      </c>
      <c r="DI8" s="261">
        <f t="shared" si="75"/>
        <v>0</v>
      </c>
      <c r="DJ8" s="261">
        <f t="shared" si="76"/>
        <v>0</v>
      </c>
      <c r="DK8" s="261">
        <f t="shared" si="77"/>
        <v>0</v>
      </c>
      <c r="DL8" s="261">
        <f t="shared" si="78"/>
        <v>0</v>
      </c>
      <c r="DM8" s="261">
        <f t="shared" si="79"/>
        <v>0</v>
      </c>
      <c r="DN8" s="261">
        <f t="shared" si="80"/>
        <v>0</v>
      </c>
      <c r="DO8" s="261">
        <f t="shared" si="81"/>
        <v>0</v>
      </c>
      <c r="DP8" s="261">
        <f t="shared" si="82"/>
        <v>0</v>
      </c>
    </row>
    <row r="9" spans="1:123" x14ac:dyDescent="0.25">
      <c r="A9" s="220" t="s">
        <v>2416</v>
      </c>
      <c r="B9" s="237"/>
      <c r="C9" s="238" t="str">
        <f>'Planilha Hidráulica'!B13</f>
        <v>PV4.1-&gt;PV5.1</v>
      </c>
      <c r="D9" s="239">
        <f>'Planilha Hidráulica'!R13</f>
        <v>2.5499999999999545</v>
      </c>
      <c r="E9" s="239">
        <f>'Planilha Hidráulica'!S13</f>
        <v>2.8173248795136487</v>
      </c>
      <c r="F9" s="239">
        <f>'Planilha Hidráulica'!K13</f>
        <v>36.057388987815095</v>
      </c>
      <c r="G9" s="238">
        <f>'Planilha Hidráulica'!M13</f>
        <v>600</v>
      </c>
      <c r="H9" s="240">
        <f t="shared" si="0"/>
        <v>2.9036624397568018</v>
      </c>
      <c r="I9" s="241">
        <f t="shared" si="1"/>
        <v>5.2349243039809608</v>
      </c>
      <c r="J9" s="242">
        <v>0</v>
      </c>
      <c r="K9" s="243">
        <f t="shared" si="85"/>
        <v>1.4</v>
      </c>
      <c r="L9" s="243">
        <f t="shared" si="86"/>
        <v>1.4</v>
      </c>
      <c r="M9" s="243">
        <f>'Planilha Hidráulica'!X13</f>
        <v>400</v>
      </c>
      <c r="N9" s="243">
        <f t="shared" si="2"/>
        <v>50.480344582941129</v>
      </c>
      <c r="O9" s="244" t="str">
        <f>'Planilha Hidráulica'!W13</f>
        <v>ASFALTO</v>
      </c>
      <c r="P9" s="244" t="s">
        <v>2415</v>
      </c>
      <c r="Q9" s="244">
        <v>1</v>
      </c>
      <c r="R9" s="244">
        <v>3</v>
      </c>
      <c r="S9" s="244">
        <v>5</v>
      </c>
      <c r="T9" s="243">
        <f t="shared" si="3"/>
        <v>0.1</v>
      </c>
      <c r="U9" s="245">
        <f t="shared" si="4"/>
        <v>4.5311051340699766</v>
      </c>
      <c r="V9" s="246">
        <f t="shared" si="5"/>
        <v>162.23891321057337</v>
      </c>
      <c r="W9" s="247">
        <f t="shared" si="6"/>
        <v>0</v>
      </c>
      <c r="X9" s="247">
        <f t="shared" si="7"/>
        <v>0.4</v>
      </c>
      <c r="Y9" s="248">
        <f t="shared" si="87"/>
        <v>2.9036624397568018</v>
      </c>
      <c r="Z9" s="248">
        <f t="shared" si="88"/>
        <v>0</v>
      </c>
      <c r="AA9" s="249">
        <f t="shared" si="89"/>
        <v>50.480344582941129</v>
      </c>
      <c r="AB9" s="250">
        <f t="shared" si="90"/>
        <v>0</v>
      </c>
      <c r="AC9" s="251">
        <f t="shared" si="91"/>
        <v>0</v>
      </c>
      <c r="AD9" s="251">
        <f t="shared" si="92"/>
        <v>0</v>
      </c>
      <c r="AE9" s="251">
        <f t="shared" si="8"/>
        <v>20.192137833176453</v>
      </c>
      <c r="AF9" s="251">
        <f t="shared" si="93"/>
        <v>0</v>
      </c>
      <c r="AG9" s="251">
        <f t="shared" si="94"/>
        <v>0</v>
      </c>
      <c r="AH9" s="251">
        <f t="shared" si="95"/>
        <v>0</v>
      </c>
      <c r="AI9" s="251">
        <f t="shared" si="96"/>
        <v>0</v>
      </c>
      <c r="AJ9" s="252">
        <f t="shared" si="9"/>
        <v>75.720516874411686</v>
      </c>
      <c r="AK9" s="252">
        <f t="shared" si="10"/>
        <v>66.326258502985226</v>
      </c>
      <c r="AL9" s="252">
        <f t="shared" si="11"/>
        <v>0</v>
      </c>
      <c r="AM9" s="252">
        <f t="shared" si="12"/>
        <v>0</v>
      </c>
      <c r="AN9" s="252">
        <f t="shared" si="13"/>
        <v>0</v>
      </c>
      <c r="AO9" s="252">
        <f t="shared" si="14"/>
        <v>0</v>
      </c>
      <c r="AP9" s="252">
        <f t="shared" si="15"/>
        <v>0</v>
      </c>
      <c r="AQ9" s="252">
        <f t="shared" si="16"/>
        <v>0</v>
      </c>
      <c r="AR9" s="253">
        <f t="shared" si="17"/>
        <v>0</v>
      </c>
      <c r="AS9" s="243">
        <f t="shared" si="18"/>
        <v>0</v>
      </c>
      <c r="AT9" s="253">
        <f t="shared" si="19"/>
        <v>137.28289395980946</v>
      </c>
      <c r="AU9" s="241">
        <f t="shared" si="20"/>
        <v>5.0480344582941132</v>
      </c>
      <c r="AV9" s="246">
        <f t="shared" si="21"/>
        <v>0</v>
      </c>
      <c r="AW9" s="253">
        <f t="shared" si="22"/>
        <v>20.192137833176453</v>
      </c>
      <c r="AX9" s="253">
        <f t="shared" si="23"/>
        <v>0</v>
      </c>
      <c r="AY9" s="253">
        <f t="shared" si="24"/>
        <v>0.89999999999999991</v>
      </c>
      <c r="AZ9" s="253">
        <f t="shared" si="25"/>
        <v>35.237323572989567</v>
      </c>
      <c r="BA9" s="253">
        <f t="shared" si="26"/>
        <v>0</v>
      </c>
      <c r="BB9" s="253">
        <f t="shared" si="27"/>
        <v>7.5720516874411699</v>
      </c>
      <c r="BC9" s="253">
        <f t="shared" si="28"/>
        <v>7.5720516874411699</v>
      </c>
      <c r="BD9" s="253">
        <f t="shared" si="29"/>
        <v>1.5144103374882336</v>
      </c>
      <c r="BE9" s="253">
        <f t="shared" si="30"/>
        <v>61.661294720466984</v>
      </c>
      <c r="BF9" s="253">
        <f t="shared" si="31"/>
        <v>79.045262283789711</v>
      </c>
      <c r="BG9" s="253">
        <f t="shared" si="32"/>
        <v>61.661294720466984</v>
      </c>
      <c r="BH9" s="253">
        <f t="shared" si="33"/>
        <v>17.383967563322727</v>
      </c>
      <c r="BI9" s="253">
        <f t="shared" si="34"/>
        <v>0</v>
      </c>
      <c r="BJ9" s="241">
        <f t="shared" si="84"/>
        <v>0</v>
      </c>
      <c r="BK9" s="253">
        <f t="shared" si="35"/>
        <v>0</v>
      </c>
      <c r="BL9" s="253"/>
      <c r="BM9" s="253">
        <f t="shared" si="36"/>
        <v>1.1105675808247051</v>
      </c>
      <c r="BN9" s="249">
        <f t="shared" si="37"/>
        <v>0</v>
      </c>
      <c r="BO9" s="254">
        <f t="shared" si="38"/>
        <v>0</v>
      </c>
      <c r="BP9" s="254">
        <f t="shared" si="39"/>
        <v>0</v>
      </c>
      <c r="BQ9" s="254">
        <f t="shared" si="40"/>
        <v>0</v>
      </c>
      <c r="BR9" s="243">
        <f t="shared" si="41"/>
        <v>0</v>
      </c>
      <c r="BS9" s="243">
        <f t="shared" si="42"/>
        <v>0</v>
      </c>
      <c r="BT9" s="243">
        <f t="shared" si="43"/>
        <v>2.9036624397568018</v>
      </c>
      <c r="BU9" s="243">
        <f t="shared" si="44"/>
        <v>36.057388987815095</v>
      </c>
      <c r="BV9" s="243">
        <f t="shared" si="45"/>
        <v>0</v>
      </c>
      <c r="BW9" s="243">
        <f t="shared" si="46"/>
        <v>0</v>
      </c>
      <c r="BX9" s="243">
        <f t="shared" si="47"/>
        <v>0</v>
      </c>
      <c r="BY9" s="243">
        <f t="shared" si="48"/>
        <v>0</v>
      </c>
      <c r="BZ9" s="243">
        <f t="shared" si="49"/>
        <v>0</v>
      </c>
      <c r="CA9" s="243">
        <f t="shared" si="50"/>
        <v>0</v>
      </c>
      <c r="CB9" s="243">
        <f t="shared" si="51"/>
        <v>0</v>
      </c>
      <c r="CC9" s="243">
        <f t="shared" si="52"/>
        <v>0</v>
      </c>
      <c r="CD9" s="243">
        <f t="shared" si="53"/>
        <v>0</v>
      </c>
      <c r="CE9" s="243">
        <f t="shared" si="54"/>
        <v>0</v>
      </c>
      <c r="CF9" s="243">
        <f t="shared" si="55"/>
        <v>0</v>
      </c>
      <c r="CG9" s="243">
        <f t="shared" si="56"/>
        <v>0</v>
      </c>
      <c r="CH9" s="243">
        <f t="shared" si="57"/>
        <v>0</v>
      </c>
      <c r="CI9" s="243">
        <f t="shared" si="58"/>
        <v>0</v>
      </c>
      <c r="CJ9" s="255">
        <f t="shared" si="59"/>
        <v>0</v>
      </c>
      <c r="CK9" s="243">
        <f t="shared" si="60"/>
        <v>0</v>
      </c>
      <c r="CL9" s="243">
        <f t="shared" si="61"/>
        <v>0</v>
      </c>
      <c r="CM9" s="243">
        <f t="shared" si="62"/>
        <v>0</v>
      </c>
      <c r="CN9" s="248">
        <f t="shared" si="63"/>
        <v>0</v>
      </c>
      <c r="CO9" s="248">
        <f t="shared" si="64"/>
        <v>0</v>
      </c>
      <c r="CP9" s="248">
        <f t="shared" si="65"/>
        <v>0</v>
      </c>
      <c r="CQ9" s="248">
        <f t="shared" si="66"/>
        <v>0</v>
      </c>
      <c r="CR9" s="248">
        <f t="shared" si="67"/>
        <v>0</v>
      </c>
      <c r="CS9" s="248">
        <f t="shared" si="68"/>
        <v>0</v>
      </c>
      <c r="CT9" s="256">
        <f t="shared" si="69"/>
        <v>0</v>
      </c>
      <c r="CU9" s="257">
        <f t="shared" si="70"/>
        <v>1</v>
      </c>
      <c r="CV9" s="257">
        <f t="shared" si="71"/>
        <v>1</v>
      </c>
      <c r="CW9" s="257">
        <f t="shared" si="97"/>
        <v>0</v>
      </c>
      <c r="CX9" s="257">
        <f t="shared" si="98"/>
        <v>0</v>
      </c>
      <c r="CY9" s="257">
        <f t="shared" si="99"/>
        <v>0</v>
      </c>
      <c r="CZ9" s="257">
        <f t="shared" si="100"/>
        <v>0</v>
      </c>
      <c r="DA9" s="258">
        <f t="shared" si="72"/>
        <v>1.2499999999999545</v>
      </c>
      <c r="DB9" s="259">
        <v>1.3</v>
      </c>
      <c r="DC9" s="259">
        <v>1.4</v>
      </c>
      <c r="DD9" s="259">
        <v>2</v>
      </c>
      <c r="DE9" s="259">
        <v>2</v>
      </c>
      <c r="DF9" s="260">
        <v>2</v>
      </c>
      <c r="DG9" s="249">
        <f t="shared" si="73"/>
        <v>108.17216696344528</v>
      </c>
      <c r="DH9" s="261">
        <f t="shared" si="74"/>
        <v>101.22480519579315</v>
      </c>
      <c r="DI9" s="261">
        <f t="shared" si="75"/>
        <v>0</v>
      </c>
      <c r="DJ9" s="261">
        <f t="shared" si="76"/>
        <v>0</v>
      </c>
      <c r="DK9" s="261">
        <f t="shared" si="77"/>
        <v>0</v>
      </c>
      <c r="DL9" s="261">
        <f t="shared" si="78"/>
        <v>0</v>
      </c>
      <c r="DM9" s="261">
        <f t="shared" si="79"/>
        <v>0</v>
      </c>
      <c r="DN9" s="261">
        <f t="shared" si="80"/>
        <v>0</v>
      </c>
      <c r="DO9" s="261">
        <f t="shared" si="81"/>
        <v>0</v>
      </c>
      <c r="DP9" s="261">
        <f t="shared" si="82"/>
        <v>0</v>
      </c>
    </row>
    <row r="10" spans="1:123" x14ac:dyDescent="0.25">
      <c r="A10" s="220" t="s">
        <v>2416</v>
      </c>
      <c r="B10" s="237"/>
      <c r="C10" s="238" t="str">
        <f>'Planilha Hidráulica'!B14</f>
        <v>PV5.1-&gt;PV6.1</v>
      </c>
      <c r="D10" s="239">
        <f>'Planilha Hidráulica'!R14</f>
        <v>2.8173248795136487</v>
      </c>
      <c r="E10" s="239">
        <f>'Planilha Hidráulica'!S14</f>
        <v>3</v>
      </c>
      <c r="F10" s="239">
        <f>'Planilha Hidráulica'!K14</f>
        <v>36.057388983143134</v>
      </c>
      <c r="G10" s="238">
        <f>'Planilha Hidráulica'!M14</f>
        <v>600</v>
      </c>
      <c r="H10" s="240">
        <f t="shared" si="0"/>
        <v>3.1286624397568246</v>
      </c>
      <c r="I10" s="241">
        <f t="shared" si="1"/>
        <v>5.6405699293630729</v>
      </c>
      <c r="J10" s="242">
        <v>0</v>
      </c>
      <c r="K10" s="243">
        <f t="shared" si="85"/>
        <v>1.4</v>
      </c>
      <c r="L10" s="243">
        <f t="shared" si="86"/>
        <v>1.4</v>
      </c>
      <c r="M10" s="243">
        <f>'Planilha Hidráulica'!X14</f>
        <v>400</v>
      </c>
      <c r="N10" s="243">
        <f t="shared" si="2"/>
        <v>50.480344576400384</v>
      </c>
      <c r="O10" s="244" t="str">
        <f>'Planilha Hidráulica'!W14</f>
        <v>ASFALTO</v>
      </c>
      <c r="P10" s="244" t="s">
        <v>2415</v>
      </c>
      <c r="Q10" s="244">
        <v>1</v>
      </c>
      <c r="R10" s="244">
        <v>3</v>
      </c>
      <c r="S10" s="244">
        <v>5</v>
      </c>
      <c r="T10" s="243">
        <f t="shared" si="3"/>
        <v>0.1</v>
      </c>
      <c r="U10" s="245">
        <f t="shared" si="4"/>
        <v>4.5311051334828809</v>
      </c>
      <c r="V10" s="246">
        <f t="shared" si="5"/>
        <v>173.59699071924331</v>
      </c>
      <c r="W10" s="247">
        <f t="shared" si="6"/>
        <v>0</v>
      </c>
      <c r="X10" s="247">
        <f t="shared" si="7"/>
        <v>0.4</v>
      </c>
      <c r="Y10" s="248">
        <f t="shared" si="87"/>
        <v>3</v>
      </c>
      <c r="Z10" s="248">
        <f t="shared" si="88"/>
        <v>0.12866243975682456</v>
      </c>
      <c r="AA10" s="249">
        <f t="shared" si="89"/>
        <v>50.480344576400384</v>
      </c>
      <c r="AB10" s="250">
        <f t="shared" si="90"/>
        <v>0</v>
      </c>
      <c r="AC10" s="251">
        <f t="shared" si="91"/>
        <v>0</v>
      </c>
      <c r="AD10" s="251">
        <f t="shared" si="92"/>
        <v>0</v>
      </c>
      <c r="AE10" s="251">
        <f t="shared" si="8"/>
        <v>20.192137830560156</v>
      </c>
      <c r="AF10" s="251">
        <f t="shared" si="93"/>
        <v>0</v>
      </c>
      <c r="AG10" s="251">
        <f t="shared" si="94"/>
        <v>0</v>
      </c>
      <c r="AH10" s="251">
        <f t="shared" si="95"/>
        <v>0</v>
      </c>
      <c r="AI10" s="251">
        <f t="shared" si="96"/>
        <v>0</v>
      </c>
      <c r="AJ10" s="252">
        <f t="shared" si="9"/>
        <v>75.720516864600569</v>
      </c>
      <c r="AK10" s="252">
        <f t="shared" si="10"/>
        <v>75.720516864600569</v>
      </c>
      <c r="AL10" s="252">
        <f t="shared" si="11"/>
        <v>0</v>
      </c>
      <c r="AM10" s="252">
        <f t="shared" si="12"/>
        <v>0</v>
      </c>
      <c r="AN10" s="252">
        <f t="shared" si="13"/>
        <v>0</v>
      </c>
      <c r="AO10" s="252">
        <f t="shared" si="14"/>
        <v>0</v>
      </c>
      <c r="AP10" s="252">
        <f t="shared" si="15"/>
        <v>0</v>
      </c>
      <c r="AQ10" s="252">
        <f t="shared" si="16"/>
        <v>0</v>
      </c>
      <c r="AR10" s="253">
        <f t="shared" si="17"/>
        <v>1.96</v>
      </c>
      <c r="AS10" s="243">
        <f t="shared" si="18"/>
        <v>0</v>
      </c>
      <c r="AT10" s="253">
        <f t="shared" si="19"/>
        <v>148.64097147182952</v>
      </c>
      <c r="AU10" s="241">
        <f t="shared" si="20"/>
        <v>5.0480344576400391</v>
      </c>
      <c r="AV10" s="246">
        <f t="shared" si="21"/>
        <v>0</v>
      </c>
      <c r="AW10" s="253">
        <f t="shared" si="22"/>
        <v>20.192137830560156</v>
      </c>
      <c r="AX10" s="253">
        <f t="shared" ref="AX10" si="101">IF(AW10&lt;SUM(AJ10:AQ10),0,AW10)</f>
        <v>0</v>
      </c>
      <c r="AY10" s="253">
        <f t="shared" si="24"/>
        <v>0.89999999999999991</v>
      </c>
      <c r="AZ10" s="253">
        <f t="shared" si="25"/>
        <v>35.237323568423861</v>
      </c>
      <c r="BA10" s="253">
        <f t="shared" si="26"/>
        <v>0</v>
      </c>
      <c r="BB10" s="253">
        <f t="shared" si="27"/>
        <v>7.5720516864600578</v>
      </c>
      <c r="BC10" s="253">
        <f t="shared" si="28"/>
        <v>7.5720516864600578</v>
      </c>
      <c r="BD10" s="253">
        <f t="shared" si="29"/>
        <v>1.5144103372920115</v>
      </c>
      <c r="BE10" s="253">
        <f t="shared" si="30"/>
        <v>73.019372242285328</v>
      </c>
      <c r="BF10" s="253">
        <f t="shared" si="31"/>
        <v>88.439520643757049</v>
      </c>
      <c r="BG10" s="253">
        <f t="shared" si="32"/>
        <v>73.019372242285328</v>
      </c>
      <c r="BH10" s="253">
        <f t="shared" si="33"/>
        <v>15.420148401471721</v>
      </c>
      <c r="BI10" s="253">
        <f t="shared" si="34"/>
        <v>0</v>
      </c>
      <c r="BJ10" s="241">
        <f t="shared" si="84"/>
        <v>0</v>
      </c>
      <c r="BK10" s="253">
        <f t="shared" si="35"/>
        <v>0</v>
      </c>
      <c r="BL10" s="253"/>
      <c r="BM10" s="253">
        <f t="shared" si="36"/>
        <v>1.1105675806808086</v>
      </c>
      <c r="BN10" s="249">
        <f t="shared" si="37"/>
        <v>0</v>
      </c>
      <c r="BO10" s="254">
        <f t="shared" si="38"/>
        <v>0</v>
      </c>
      <c r="BP10" s="254">
        <f t="shared" si="39"/>
        <v>0</v>
      </c>
      <c r="BQ10" s="254">
        <f t="shared" si="40"/>
        <v>0</v>
      </c>
      <c r="BR10" s="243">
        <f t="shared" si="41"/>
        <v>0</v>
      </c>
      <c r="BS10" s="243">
        <f t="shared" si="42"/>
        <v>0</v>
      </c>
      <c r="BT10" s="243">
        <f t="shared" si="43"/>
        <v>3.1286624397568246</v>
      </c>
      <c r="BU10" s="243">
        <f t="shared" si="44"/>
        <v>0</v>
      </c>
      <c r="BV10" s="243">
        <f t="shared" si="45"/>
        <v>36.057388983143134</v>
      </c>
      <c r="BW10" s="243">
        <f t="shared" si="46"/>
        <v>0</v>
      </c>
      <c r="BX10" s="243">
        <f t="shared" si="47"/>
        <v>0</v>
      </c>
      <c r="BY10" s="243">
        <f t="shared" si="48"/>
        <v>0</v>
      </c>
      <c r="BZ10" s="243">
        <f t="shared" si="49"/>
        <v>0</v>
      </c>
      <c r="CA10" s="243">
        <f t="shared" si="50"/>
        <v>0</v>
      </c>
      <c r="CB10" s="243">
        <f t="shared" si="51"/>
        <v>0</v>
      </c>
      <c r="CC10" s="243">
        <f t="shared" si="52"/>
        <v>0</v>
      </c>
      <c r="CD10" s="243">
        <f t="shared" si="53"/>
        <v>0</v>
      </c>
      <c r="CE10" s="243">
        <f t="shared" si="54"/>
        <v>0</v>
      </c>
      <c r="CF10" s="243">
        <f t="shared" si="55"/>
        <v>0</v>
      </c>
      <c r="CG10" s="243">
        <f t="shared" si="56"/>
        <v>0</v>
      </c>
      <c r="CH10" s="243">
        <f t="shared" si="57"/>
        <v>0</v>
      </c>
      <c r="CI10" s="243">
        <f t="shared" si="58"/>
        <v>0</v>
      </c>
      <c r="CJ10" s="255">
        <f t="shared" si="59"/>
        <v>0</v>
      </c>
      <c r="CK10" s="243">
        <f t="shared" si="60"/>
        <v>0</v>
      </c>
      <c r="CL10" s="243">
        <f t="shared" si="61"/>
        <v>0</v>
      </c>
      <c r="CM10" s="243">
        <f t="shared" si="62"/>
        <v>0</v>
      </c>
      <c r="CN10" s="248">
        <f t="shared" si="63"/>
        <v>0</v>
      </c>
      <c r="CO10" s="248">
        <f t="shared" si="64"/>
        <v>0</v>
      </c>
      <c r="CP10" s="248">
        <f t="shared" si="65"/>
        <v>0</v>
      </c>
      <c r="CQ10" s="248">
        <f t="shared" si="66"/>
        <v>0</v>
      </c>
      <c r="CR10" s="248">
        <f t="shared" si="67"/>
        <v>0</v>
      </c>
      <c r="CS10" s="248">
        <f t="shared" si="68"/>
        <v>0</v>
      </c>
      <c r="CT10" s="256">
        <f t="shared" si="69"/>
        <v>0</v>
      </c>
      <c r="CU10" s="257">
        <f t="shared" si="70"/>
        <v>1</v>
      </c>
      <c r="CV10" s="257">
        <f t="shared" si="71"/>
        <v>1</v>
      </c>
      <c r="CW10" s="257">
        <f t="shared" si="97"/>
        <v>0</v>
      </c>
      <c r="CX10" s="257">
        <f t="shared" si="98"/>
        <v>0</v>
      </c>
      <c r="CY10" s="257">
        <f t="shared" si="99"/>
        <v>0</v>
      </c>
      <c r="CZ10" s="257">
        <f t="shared" si="100"/>
        <v>0</v>
      </c>
      <c r="DA10" s="258">
        <f t="shared" si="72"/>
        <v>1.5173248795136487</v>
      </c>
      <c r="DB10" s="259">
        <v>1.3</v>
      </c>
      <c r="DC10" s="259">
        <v>1.4</v>
      </c>
      <c r="DD10" s="259">
        <v>2</v>
      </c>
      <c r="DE10" s="259">
        <v>2</v>
      </c>
      <c r="DF10" s="260">
        <v>2</v>
      </c>
      <c r="DG10" s="249">
        <f t="shared" si="73"/>
        <v>108.1721669494294</v>
      </c>
      <c r="DH10" s="261">
        <f t="shared" si="74"/>
        <v>108.1721669494294</v>
      </c>
      <c r="DI10" s="261">
        <f t="shared" si="75"/>
        <v>9.2784632756640875</v>
      </c>
      <c r="DJ10" s="261">
        <f t="shared" si="76"/>
        <v>0</v>
      </c>
      <c r="DK10" s="261">
        <f t="shared" si="77"/>
        <v>0</v>
      </c>
      <c r="DL10" s="261">
        <f t="shared" si="78"/>
        <v>0</v>
      </c>
      <c r="DM10" s="261">
        <f t="shared" si="79"/>
        <v>0</v>
      </c>
      <c r="DN10" s="261">
        <f t="shared" si="80"/>
        <v>0</v>
      </c>
      <c r="DO10" s="261">
        <f t="shared" si="81"/>
        <v>0</v>
      </c>
      <c r="DP10" s="261">
        <f t="shared" si="82"/>
        <v>0</v>
      </c>
    </row>
    <row r="11" spans="1:123" x14ac:dyDescent="0.25">
      <c r="A11" s="220" t="s">
        <v>2416</v>
      </c>
      <c r="B11" s="237"/>
      <c r="C11" s="238" t="str">
        <f>'Planilha Hidráulica'!B15</f>
        <v>PV6.1-&gt;PV7.1</v>
      </c>
      <c r="D11" s="239">
        <f>'Planilha Hidráulica'!R15</f>
        <v>3</v>
      </c>
      <c r="E11" s="239">
        <f>'Planilha Hidráulica'!S15</f>
        <v>3.1458360366905254</v>
      </c>
      <c r="F11" s="239">
        <f>'Planilha Hidráulica'!K15</f>
        <v>40.381886364572772</v>
      </c>
      <c r="G11" s="238">
        <f>'Planilha Hidráulica'!M15</f>
        <v>600</v>
      </c>
      <c r="H11" s="240">
        <f t="shared" si="0"/>
        <v>3.2929180183452629</v>
      </c>
      <c r="I11" s="241">
        <f t="shared" si="1"/>
        <v>6.6487120612336286</v>
      </c>
      <c r="J11" s="242">
        <v>0</v>
      </c>
      <c r="K11" s="243">
        <f t="shared" si="85"/>
        <v>1.4</v>
      </c>
      <c r="L11" s="243">
        <f t="shared" si="86"/>
        <v>1.4</v>
      </c>
      <c r="M11" s="243">
        <f>'Planilha Hidráulica'!X15</f>
        <v>500</v>
      </c>
      <c r="N11" s="243">
        <f t="shared" si="2"/>
        <v>56.534640910401876</v>
      </c>
      <c r="O11" s="244" t="str">
        <f>'Planilha Hidráulica'!W15</f>
        <v>ASFALTO</v>
      </c>
      <c r="P11" s="244" t="s">
        <v>2417</v>
      </c>
      <c r="Q11" s="244">
        <v>1</v>
      </c>
      <c r="R11" s="244">
        <v>3.5</v>
      </c>
      <c r="S11" s="244">
        <v>5</v>
      </c>
      <c r="T11" s="243">
        <f t="shared" si="3"/>
        <v>0.1</v>
      </c>
      <c r="U11" s="245">
        <f t="shared" si="4"/>
        <v>7.9289648463149787</v>
      </c>
      <c r="V11" s="246">
        <f t="shared" si="5"/>
        <v>200.84882923238735</v>
      </c>
      <c r="W11" s="247">
        <f t="shared" si="6"/>
        <v>0</v>
      </c>
      <c r="X11" s="247">
        <f t="shared" si="7"/>
        <v>0.4</v>
      </c>
      <c r="Y11" s="248">
        <f t="shared" si="87"/>
        <v>3.2929180183452629</v>
      </c>
      <c r="Z11" s="248">
        <f t="shared" si="88"/>
        <v>0</v>
      </c>
      <c r="AA11" s="249">
        <f t="shared" si="89"/>
        <v>56.534640910401876</v>
      </c>
      <c r="AB11" s="250">
        <f t="shared" si="90"/>
        <v>0</v>
      </c>
      <c r="AC11" s="251">
        <f t="shared" si="91"/>
        <v>0</v>
      </c>
      <c r="AD11" s="251">
        <f t="shared" si="92"/>
        <v>0</v>
      </c>
      <c r="AE11" s="251">
        <f t="shared" si="8"/>
        <v>22.613856364160753</v>
      </c>
      <c r="AF11" s="251">
        <f t="shared" si="93"/>
        <v>0</v>
      </c>
      <c r="AG11" s="251">
        <f t="shared" si="94"/>
        <v>0</v>
      </c>
      <c r="AH11" s="251">
        <f t="shared" si="95"/>
        <v>0</v>
      </c>
      <c r="AI11" s="251">
        <f t="shared" si="96"/>
        <v>0</v>
      </c>
      <c r="AJ11" s="252">
        <f t="shared" si="9"/>
        <v>84.801961365602807</v>
      </c>
      <c r="AK11" s="252">
        <f t="shared" si="10"/>
        <v>84.801961365602807</v>
      </c>
      <c r="AL11" s="252">
        <f t="shared" si="11"/>
        <v>0</v>
      </c>
      <c r="AM11" s="252">
        <f t="shared" si="12"/>
        <v>0</v>
      </c>
      <c r="AN11" s="252">
        <f>IF(IF(K11&lt;=2.5,IF(Y11&gt;=4.5,L11*F11*1.5,K11*F11*(Y11-3)),0)&lt;0,0,IF(K11&lt;=2.5,IF(Y11&gt;=4.5,L11*F11*1.5,K11*F11*(Y11-3)),0))-U11</f>
        <v>8.6310501370209671</v>
      </c>
      <c r="AO11" s="252">
        <f t="shared" si="14"/>
        <v>0</v>
      </c>
      <c r="AP11" s="252">
        <f t="shared" si="15"/>
        <v>0</v>
      </c>
      <c r="AQ11" s="252">
        <f t="shared" si="16"/>
        <v>0</v>
      </c>
      <c r="AR11" s="253">
        <f t="shared" si="17"/>
        <v>0</v>
      </c>
      <c r="AS11" s="243">
        <f t="shared" si="18"/>
        <v>0</v>
      </c>
      <c r="AT11" s="253">
        <f t="shared" si="19"/>
        <v>175.64622833584801</v>
      </c>
      <c r="AU11" s="241">
        <f t="shared" si="20"/>
        <v>5.6534640910401883</v>
      </c>
      <c r="AV11" s="246">
        <f t="shared" si="21"/>
        <v>0</v>
      </c>
      <c r="AW11" s="253">
        <f t="shared" si="22"/>
        <v>22.61385636416075</v>
      </c>
      <c r="AX11" s="253">
        <f t="shared" si="23"/>
        <v>0</v>
      </c>
      <c r="AY11" s="253">
        <f t="shared" si="24"/>
        <v>0.89999999999999991</v>
      </c>
      <c r="AZ11" s="253">
        <f t="shared" si="25"/>
        <v>39.463467440668111</v>
      </c>
      <c r="BA11" s="253">
        <f t="shared" si="26"/>
        <v>0</v>
      </c>
      <c r="BB11" s="253">
        <f t="shared" si="27"/>
        <v>8.4801961365602825</v>
      </c>
      <c r="BC11" s="253">
        <f t="shared" si="28"/>
        <v>8.4801961365602825</v>
      </c>
      <c r="BD11" s="253">
        <f t="shared" si="29"/>
        <v>1.6960392273120561</v>
      </c>
      <c r="BE11" s="253">
        <f t="shared" si="30"/>
        <v>90.95504816685839</v>
      </c>
      <c r="BF11" s="253">
        <f t="shared" si="31"/>
        <v>107.67745292683743</v>
      </c>
      <c r="BG11" s="253">
        <f t="shared" si="32"/>
        <v>90.95504816685839</v>
      </c>
      <c r="BH11" s="253">
        <f t="shared" si="33"/>
        <v>16.722404759979042</v>
      </c>
      <c r="BI11" s="253">
        <f t="shared" si="34"/>
        <v>0</v>
      </c>
      <c r="BJ11" s="241">
        <f t="shared" si="84"/>
        <v>0</v>
      </c>
      <c r="BK11" s="253">
        <f t="shared" si="35"/>
        <v>0</v>
      </c>
      <c r="BL11" s="253"/>
      <c r="BM11" s="253">
        <f t="shared" si="36"/>
        <v>1.2437621000288415</v>
      </c>
      <c r="BN11" s="249">
        <f t="shared" si="37"/>
        <v>0</v>
      </c>
      <c r="BO11" s="254">
        <f t="shared" si="38"/>
        <v>0</v>
      </c>
      <c r="BP11" s="254">
        <f t="shared" si="39"/>
        <v>0</v>
      </c>
      <c r="BQ11" s="254">
        <f t="shared" si="40"/>
        <v>0</v>
      </c>
      <c r="BR11" s="243">
        <f t="shared" si="41"/>
        <v>0</v>
      </c>
      <c r="BS11" s="243">
        <f t="shared" si="42"/>
        <v>0</v>
      </c>
      <c r="BT11" s="243">
        <f t="shared" si="43"/>
        <v>3.2929180183452629</v>
      </c>
      <c r="BU11" s="243">
        <f t="shared" si="44"/>
        <v>0</v>
      </c>
      <c r="BV11" s="243">
        <f t="shared" si="45"/>
        <v>40.381886364572772</v>
      </c>
      <c r="BW11" s="243">
        <f t="shared" si="46"/>
        <v>0</v>
      </c>
      <c r="BX11" s="243">
        <f t="shared" si="47"/>
        <v>0</v>
      </c>
      <c r="BY11" s="243">
        <f t="shared" si="48"/>
        <v>0</v>
      </c>
      <c r="BZ11" s="243">
        <f t="shared" si="49"/>
        <v>0</v>
      </c>
      <c r="CA11" s="243">
        <f t="shared" si="50"/>
        <v>0</v>
      </c>
      <c r="CB11" s="243">
        <f t="shared" si="51"/>
        <v>0</v>
      </c>
      <c r="CC11" s="243">
        <f t="shared" si="52"/>
        <v>0</v>
      </c>
      <c r="CD11" s="243">
        <f t="shared" si="53"/>
        <v>0</v>
      </c>
      <c r="CE11" s="243">
        <f t="shared" si="54"/>
        <v>0</v>
      </c>
      <c r="CF11" s="243">
        <f t="shared" si="55"/>
        <v>0</v>
      </c>
      <c r="CG11" s="243">
        <f t="shared" si="56"/>
        <v>0</v>
      </c>
      <c r="CH11" s="243">
        <f t="shared" si="57"/>
        <v>0</v>
      </c>
      <c r="CI11" s="243">
        <f t="shared" si="58"/>
        <v>0</v>
      </c>
      <c r="CJ11" s="255">
        <f t="shared" si="59"/>
        <v>0</v>
      </c>
      <c r="CK11" s="243">
        <f t="shared" si="60"/>
        <v>0</v>
      </c>
      <c r="CL11" s="243">
        <f t="shared" si="61"/>
        <v>0</v>
      </c>
      <c r="CM11" s="243">
        <f t="shared" si="62"/>
        <v>0</v>
      </c>
      <c r="CN11" s="248">
        <f t="shared" si="63"/>
        <v>0</v>
      </c>
      <c r="CO11" s="248">
        <f t="shared" si="64"/>
        <v>0</v>
      </c>
      <c r="CP11" s="248">
        <f t="shared" si="65"/>
        <v>0</v>
      </c>
      <c r="CQ11" s="248">
        <f t="shared" si="66"/>
        <v>0</v>
      </c>
      <c r="CR11" s="248">
        <f t="shared" si="67"/>
        <v>0</v>
      </c>
      <c r="CS11" s="248">
        <f t="shared" si="68"/>
        <v>0</v>
      </c>
      <c r="CT11" s="256">
        <f t="shared" si="69"/>
        <v>0</v>
      </c>
      <c r="CU11" s="257">
        <f t="shared" si="70"/>
        <v>1</v>
      </c>
      <c r="CV11" s="257">
        <f t="shared" si="71"/>
        <v>1</v>
      </c>
      <c r="CW11" s="257">
        <f t="shared" si="97"/>
        <v>0</v>
      </c>
      <c r="CX11" s="257">
        <f t="shared" si="98"/>
        <v>0</v>
      </c>
      <c r="CY11" s="257">
        <f t="shared" si="99"/>
        <v>0</v>
      </c>
      <c r="CZ11" s="257">
        <f t="shared" si="100"/>
        <v>0</v>
      </c>
      <c r="DA11" s="258">
        <f t="shared" si="72"/>
        <v>1.7</v>
      </c>
      <c r="DB11" s="259">
        <v>1.3</v>
      </c>
      <c r="DC11" s="259">
        <v>1.4</v>
      </c>
      <c r="DD11" s="259">
        <v>2</v>
      </c>
      <c r="DE11" s="259">
        <v>2</v>
      </c>
      <c r="DF11" s="260">
        <v>2</v>
      </c>
      <c r="DG11" s="249">
        <f t="shared" si="73"/>
        <v>121.14565909371831</v>
      </c>
      <c r="DH11" s="261">
        <f t="shared" si="74"/>
        <v>121.14565909371831</v>
      </c>
      <c r="DI11" s="261">
        <f t="shared" si="75"/>
        <v>23.657164261908495</v>
      </c>
      <c r="DJ11" s="261">
        <f t="shared" si="76"/>
        <v>0</v>
      </c>
      <c r="DK11" s="261">
        <f t="shared" si="77"/>
        <v>0</v>
      </c>
      <c r="DL11" s="261">
        <f t="shared" si="78"/>
        <v>0</v>
      </c>
      <c r="DM11" s="261">
        <f t="shared" si="79"/>
        <v>0</v>
      </c>
      <c r="DN11" s="261">
        <f t="shared" si="80"/>
        <v>0</v>
      </c>
      <c r="DO11" s="261">
        <f t="shared" si="81"/>
        <v>0</v>
      </c>
      <c r="DP11" s="261">
        <f t="shared" si="82"/>
        <v>0</v>
      </c>
    </row>
    <row r="12" spans="1:123" x14ac:dyDescent="0.25">
      <c r="A12" s="220" t="s">
        <v>2416</v>
      </c>
      <c r="B12" s="237"/>
      <c r="C12" s="238" t="str">
        <f>'Planilha Hidráulica'!B16</f>
        <v>PV7.1-&gt;PV8.1</v>
      </c>
      <c r="D12" s="239">
        <f>'Planilha Hidráulica'!R16</f>
        <v>3.1458360366905254</v>
      </c>
      <c r="E12" s="239">
        <f>'Planilha Hidráulica'!S16</f>
        <v>3</v>
      </c>
      <c r="F12" s="239">
        <f>'Planilha Hidráulica'!K16</f>
        <v>40.38188636550575</v>
      </c>
      <c r="G12" s="238">
        <f>'Planilha Hidráulica'!M16</f>
        <v>600</v>
      </c>
      <c r="H12" s="240">
        <f t="shared" si="0"/>
        <v>3.2929180183452629</v>
      </c>
      <c r="I12" s="241">
        <f t="shared" si="1"/>
        <v>6.648712061387239</v>
      </c>
      <c r="J12" s="242">
        <v>0</v>
      </c>
      <c r="K12" s="243">
        <f t="shared" si="85"/>
        <v>1.4</v>
      </c>
      <c r="L12" s="243">
        <f t="shared" si="86"/>
        <v>1.4</v>
      </c>
      <c r="M12" s="243">
        <f>'Planilha Hidráulica'!X16</f>
        <v>500</v>
      </c>
      <c r="N12" s="243">
        <f t="shared" si="2"/>
        <v>56.534640911708046</v>
      </c>
      <c r="O12" s="244" t="str">
        <f>'Planilha Hidráulica'!W16</f>
        <v>ASFALTO</v>
      </c>
      <c r="P12" s="244" t="s">
        <v>2417</v>
      </c>
      <c r="Q12" s="244">
        <v>1</v>
      </c>
      <c r="R12" s="244">
        <v>3.5</v>
      </c>
      <c r="S12" s="244">
        <v>5</v>
      </c>
      <c r="T12" s="243">
        <f t="shared" si="3"/>
        <v>0.1</v>
      </c>
      <c r="U12" s="245">
        <f t="shared" si="4"/>
        <v>7.9289648464981681</v>
      </c>
      <c r="V12" s="246">
        <f t="shared" si="5"/>
        <v>200.84882923702773</v>
      </c>
      <c r="W12" s="247">
        <f t="shared" si="6"/>
        <v>0</v>
      </c>
      <c r="X12" s="247">
        <f t="shared" si="7"/>
        <v>0.4</v>
      </c>
      <c r="Y12" s="248">
        <f t="shared" si="87"/>
        <v>3.2929180183452629</v>
      </c>
      <c r="Z12" s="248">
        <f t="shared" si="88"/>
        <v>0</v>
      </c>
      <c r="AA12" s="249">
        <f t="shared" si="89"/>
        <v>56.534640911708046</v>
      </c>
      <c r="AB12" s="250">
        <f t="shared" si="90"/>
        <v>0</v>
      </c>
      <c r="AC12" s="251">
        <f t="shared" si="91"/>
        <v>0</v>
      </c>
      <c r="AD12" s="251">
        <f t="shared" si="92"/>
        <v>0</v>
      </c>
      <c r="AE12" s="251">
        <f t="shared" si="8"/>
        <v>22.613856364683219</v>
      </c>
      <c r="AF12" s="251">
        <f t="shared" si="93"/>
        <v>0</v>
      </c>
      <c r="AG12" s="251">
        <f t="shared" si="94"/>
        <v>0</v>
      </c>
      <c r="AH12" s="251">
        <f t="shared" si="95"/>
        <v>0</v>
      </c>
      <c r="AI12" s="251">
        <f t="shared" si="96"/>
        <v>0</v>
      </c>
      <c r="AJ12" s="252">
        <f t="shared" si="9"/>
        <v>84.801961367562072</v>
      </c>
      <c r="AK12" s="252">
        <f t="shared" si="10"/>
        <v>84.801961367562072</v>
      </c>
      <c r="AL12" s="252">
        <f t="shared" si="11"/>
        <v>0</v>
      </c>
      <c r="AM12" s="252">
        <f t="shared" si="12"/>
        <v>0</v>
      </c>
      <c r="AN12" s="252">
        <f>IF(IF(K12&lt;=2.5,IF(Y12&gt;=4.5,L12*F12*1.5,K12*F12*(Y12-3)),0)&lt;0,0,IF(K12&lt;=2.5,IF(Y12&gt;=4.5,L12*F12*1.5,K12*F12*(Y12-3)),0))-U12</f>
        <v>8.6310501372203774</v>
      </c>
      <c r="AO12" s="252">
        <f t="shared" si="14"/>
        <v>0</v>
      </c>
      <c r="AP12" s="252">
        <f t="shared" si="15"/>
        <v>0</v>
      </c>
      <c r="AQ12" s="252">
        <f t="shared" si="16"/>
        <v>0</v>
      </c>
      <c r="AR12" s="253">
        <f t="shared" si="17"/>
        <v>0</v>
      </c>
      <c r="AS12" s="243">
        <f t="shared" si="18"/>
        <v>0</v>
      </c>
      <c r="AT12" s="253">
        <f t="shared" si="19"/>
        <v>175.64622833988531</v>
      </c>
      <c r="AU12" s="241">
        <f t="shared" si="20"/>
        <v>5.6534640911708047</v>
      </c>
      <c r="AV12" s="246">
        <f t="shared" si="21"/>
        <v>0</v>
      </c>
      <c r="AW12" s="253">
        <f t="shared" si="22"/>
        <v>22.613856364683219</v>
      </c>
      <c r="AX12" s="253">
        <f t="shared" ref="AX12" si="102">IF(AW12&lt;SUM(AJ12:AQ12),0,AW12)</f>
        <v>0</v>
      </c>
      <c r="AY12" s="253">
        <f t="shared" si="24"/>
        <v>0.89999999999999991</v>
      </c>
      <c r="AZ12" s="253">
        <f t="shared" si="25"/>
        <v>39.463467441579873</v>
      </c>
      <c r="BA12" s="253">
        <f t="shared" si="26"/>
        <v>0</v>
      </c>
      <c r="BB12" s="253">
        <f t="shared" si="27"/>
        <v>8.4801961367562075</v>
      </c>
      <c r="BC12" s="253">
        <f t="shared" si="28"/>
        <v>8.4801961367562075</v>
      </c>
      <c r="BD12" s="253">
        <f t="shared" si="29"/>
        <v>1.6960392273512412</v>
      </c>
      <c r="BE12" s="253">
        <f t="shared" si="30"/>
        <v>90.955048168939015</v>
      </c>
      <c r="BF12" s="253">
        <f t="shared" si="31"/>
        <v>107.67745292932523</v>
      </c>
      <c r="BG12" s="253">
        <f t="shared" si="32"/>
        <v>90.955048168939015</v>
      </c>
      <c r="BH12" s="253">
        <f t="shared" si="33"/>
        <v>16.722404760386212</v>
      </c>
      <c r="BI12" s="253">
        <f t="shared" si="34"/>
        <v>0</v>
      </c>
      <c r="BJ12" s="241">
        <f t="shared" si="84"/>
        <v>0</v>
      </c>
      <c r="BK12" s="253">
        <f t="shared" si="35"/>
        <v>0</v>
      </c>
      <c r="BL12" s="253"/>
      <c r="BM12" s="253">
        <f t="shared" si="36"/>
        <v>1.2437621000575771</v>
      </c>
      <c r="BN12" s="249">
        <f t="shared" si="37"/>
        <v>0</v>
      </c>
      <c r="BO12" s="254">
        <f t="shared" si="38"/>
        <v>0</v>
      </c>
      <c r="BP12" s="254">
        <f t="shared" si="39"/>
        <v>0</v>
      </c>
      <c r="BQ12" s="254">
        <f t="shared" si="40"/>
        <v>0</v>
      </c>
      <c r="BR12" s="243">
        <f t="shared" si="41"/>
        <v>0</v>
      </c>
      <c r="BS12" s="243">
        <f t="shared" si="42"/>
        <v>0</v>
      </c>
      <c r="BT12" s="243">
        <f t="shared" si="43"/>
        <v>3.2929180183452629</v>
      </c>
      <c r="BU12" s="243">
        <f t="shared" si="44"/>
        <v>0</v>
      </c>
      <c r="BV12" s="243">
        <f t="shared" si="45"/>
        <v>40.38188636550575</v>
      </c>
      <c r="BW12" s="243">
        <f t="shared" si="46"/>
        <v>0</v>
      </c>
      <c r="BX12" s="243">
        <f t="shared" si="47"/>
        <v>0</v>
      </c>
      <c r="BY12" s="243">
        <f t="shared" si="48"/>
        <v>0</v>
      </c>
      <c r="BZ12" s="243">
        <f t="shared" si="49"/>
        <v>0</v>
      </c>
      <c r="CA12" s="243">
        <f t="shared" si="50"/>
        <v>0</v>
      </c>
      <c r="CB12" s="243">
        <f t="shared" si="51"/>
        <v>0</v>
      </c>
      <c r="CC12" s="243">
        <f t="shared" si="52"/>
        <v>0</v>
      </c>
      <c r="CD12" s="243">
        <f t="shared" si="53"/>
        <v>0</v>
      </c>
      <c r="CE12" s="243">
        <f t="shared" si="54"/>
        <v>0</v>
      </c>
      <c r="CF12" s="243">
        <f t="shared" si="55"/>
        <v>0</v>
      </c>
      <c r="CG12" s="243">
        <f t="shared" si="56"/>
        <v>0</v>
      </c>
      <c r="CH12" s="243">
        <f t="shared" si="57"/>
        <v>0</v>
      </c>
      <c r="CI12" s="243">
        <f t="shared" si="58"/>
        <v>0</v>
      </c>
      <c r="CJ12" s="255">
        <f t="shared" si="59"/>
        <v>0</v>
      </c>
      <c r="CK12" s="243">
        <f t="shared" si="60"/>
        <v>0</v>
      </c>
      <c r="CL12" s="243">
        <f t="shared" si="61"/>
        <v>0</v>
      </c>
      <c r="CM12" s="243">
        <f t="shared" si="62"/>
        <v>0</v>
      </c>
      <c r="CN12" s="248">
        <f t="shared" si="63"/>
        <v>0</v>
      </c>
      <c r="CO12" s="248">
        <f t="shared" si="64"/>
        <v>0</v>
      </c>
      <c r="CP12" s="248">
        <f t="shared" si="65"/>
        <v>0</v>
      </c>
      <c r="CQ12" s="248">
        <f t="shared" si="66"/>
        <v>0</v>
      </c>
      <c r="CR12" s="248">
        <f t="shared" si="67"/>
        <v>0</v>
      </c>
      <c r="CS12" s="248">
        <f t="shared" si="68"/>
        <v>0</v>
      </c>
      <c r="CT12" s="256">
        <f t="shared" si="69"/>
        <v>0</v>
      </c>
      <c r="CU12" s="257">
        <f t="shared" si="70"/>
        <v>1</v>
      </c>
      <c r="CV12" s="257">
        <f t="shared" si="71"/>
        <v>1</v>
      </c>
      <c r="CW12" s="257">
        <f t="shared" si="97"/>
        <v>0</v>
      </c>
      <c r="CX12" s="257">
        <f t="shared" si="98"/>
        <v>0</v>
      </c>
      <c r="CY12" s="257">
        <f t="shared" si="99"/>
        <v>0</v>
      </c>
      <c r="CZ12" s="257">
        <f t="shared" si="100"/>
        <v>0</v>
      </c>
      <c r="DA12" s="258">
        <f t="shared" si="72"/>
        <v>1.8458360366905253</v>
      </c>
      <c r="DB12" s="259">
        <v>1.3</v>
      </c>
      <c r="DC12" s="259">
        <v>1.4</v>
      </c>
      <c r="DD12" s="259">
        <v>2</v>
      </c>
      <c r="DE12" s="259">
        <v>2</v>
      </c>
      <c r="DF12" s="260">
        <v>2</v>
      </c>
      <c r="DG12" s="249">
        <f t="shared" si="73"/>
        <v>121.14565909651725</v>
      </c>
      <c r="DH12" s="261">
        <f t="shared" si="74"/>
        <v>121.14565909651725</v>
      </c>
      <c r="DI12" s="261">
        <f t="shared" si="75"/>
        <v>23.657164262455069</v>
      </c>
      <c r="DJ12" s="261">
        <f t="shared" si="76"/>
        <v>0</v>
      </c>
      <c r="DK12" s="261">
        <f t="shared" si="77"/>
        <v>0</v>
      </c>
      <c r="DL12" s="261">
        <f t="shared" si="78"/>
        <v>0</v>
      </c>
      <c r="DM12" s="261">
        <f t="shared" si="79"/>
        <v>0</v>
      </c>
      <c r="DN12" s="261">
        <f t="shared" si="80"/>
        <v>0</v>
      </c>
      <c r="DO12" s="261">
        <f t="shared" si="81"/>
        <v>0</v>
      </c>
      <c r="DP12" s="261">
        <f t="shared" si="82"/>
        <v>0</v>
      </c>
    </row>
    <row r="13" spans="1:123" ht="13" x14ac:dyDescent="0.25">
      <c r="A13" s="220"/>
      <c r="B13" s="237"/>
      <c r="C13" s="222" t="str">
        <f>'Planilha Hidráulica'!B17</f>
        <v>RD-2</v>
      </c>
      <c r="D13" s="239"/>
      <c r="E13" s="239"/>
      <c r="F13" s="239"/>
      <c r="G13" s="238"/>
      <c r="H13" s="240"/>
      <c r="I13" s="240"/>
      <c r="J13" s="242"/>
      <c r="K13" s="243"/>
      <c r="L13" s="243"/>
      <c r="M13" s="257"/>
      <c r="N13" s="243"/>
      <c r="O13" s="244"/>
      <c r="P13" s="244"/>
      <c r="Q13" s="244"/>
      <c r="R13" s="244"/>
      <c r="S13" s="244"/>
      <c r="T13" s="243"/>
      <c r="U13" s="248"/>
      <c r="V13" s="248"/>
      <c r="W13" s="248"/>
      <c r="X13" s="248"/>
      <c r="Y13" s="248"/>
      <c r="Z13" s="248"/>
      <c r="AA13" s="249"/>
      <c r="AB13" s="250"/>
      <c r="AC13" s="250"/>
      <c r="AD13" s="250"/>
      <c r="AE13" s="251"/>
      <c r="AF13" s="250"/>
      <c r="AG13" s="250"/>
      <c r="AH13" s="250"/>
      <c r="AI13" s="250"/>
      <c r="AJ13" s="249"/>
      <c r="AK13" s="249"/>
      <c r="AL13" s="249"/>
      <c r="AM13" s="249"/>
      <c r="AN13" s="249"/>
      <c r="AO13" s="249"/>
      <c r="AP13" s="249"/>
      <c r="AQ13" s="249"/>
      <c r="AR13" s="243"/>
      <c r="AS13" s="243"/>
      <c r="AT13" s="262"/>
      <c r="AU13" s="262"/>
      <c r="AV13" s="263"/>
      <c r="AW13" s="262"/>
      <c r="AX13" s="262"/>
      <c r="AY13" s="264"/>
      <c r="AZ13" s="264"/>
      <c r="BA13" s="264"/>
      <c r="BB13" s="264"/>
      <c r="BC13" s="264"/>
      <c r="BD13" s="264"/>
      <c r="BE13" s="240"/>
      <c r="BF13" s="240"/>
      <c r="BG13" s="240"/>
      <c r="BH13" s="240"/>
      <c r="BI13" s="240"/>
      <c r="BJ13" s="240"/>
      <c r="BK13" s="240"/>
      <c r="BL13" s="264"/>
      <c r="BM13" s="264"/>
      <c r="BN13" s="249"/>
      <c r="BO13" s="254"/>
      <c r="BP13" s="254"/>
      <c r="BQ13" s="254"/>
      <c r="BR13" s="243"/>
      <c r="BS13" s="243"/>
      <c r="BT13" s="243"/>
      <c r="BU13" s="243"/>
      <c r="BV13" s="243"/>
      <c r="BW13" s="243"/>
      <c r="BX13" s="243"/>
      <c r="BY13" s="243"/>
      <c r="BZ13" s="243"/>
      <c r="CA13" s="243"/>
      <c r="CB13" s="243"/>
      <c r="CC13" s="243"/>
      <c r="CD13" s="243"/>
      <c r="CE13" s="243"/>
      <c r="CF13" s="243"/>
      <c r="CG13" s="243"/>
      <c r="CH13" s="243"/>
      <c r="CI13" s="243"/>
      <c r="CJ13" s="255"/>
      <c r="CK13" s="243"/>
      <c r="CL13" s="243"/>
      <c r="CM13" s="243"/>
      <c r="CN13" s="248"/>
      <c r="CO13" s="248"/>
      <c r="CP13" s="248"/>
      <c r="CQ13" s="248"/>
      <c r="CR13" s="248"/>
      <c r="CS13" s="248"/>
      <c r="CT13" s="256"/>
      <c r="CU13" s="257"/>
      <c r="CV13" s="257"/>
      <c r="CW13" s="257"/>
      <c r="CX13" s="257"/>
      <c r="CY13" s="257"/>
      <c r="CZ13" s="257"/>
      <c r="DA13" s="258"/>
      <c r="DB13" s="259"/>
      <c r="DC13" s="259"/>
      <c r="DD13" s="259"/>
      <c r="DE13" s="259"/>
      <c r="DF13" s="260"/>
      <c r="DG13" s="249"/>
      <c r="DH13" s="261"/>
      <c r="DI13" s="261"/>
      <c r="DJ13" s="261"/>
      <c r="DK13" s="261"/>
      <c r="DL13" s="261"/>
      <c r="DM13" s="261"/>
      <c r="DN13" s="261"/>
      <c r="DO13" s="261"/>
      <c r="DP13" s="261"/>
    </row>
    <row r="14" spans="1:123" x14ac:dyDescent="0.25">
      <c r="A14" s="220" t="s">
        <v>2418</v>
      </c>
      <c r="B14" s="237"/>
      <c r="C14" s="238" t="str">
        <f>'Planilha Hidráulica'!B18</f>
        <v>PV1.1-&gt;PV2.1</v>
      </c>
      <c r="D14" s="239">
        <f>'Planilha Hidráulica'!R18</f>
        <v>4.3999999999999773</v>
      </c>
      <c r="E14" s="239">
        <f>'Planilha Hidráulica'!S18</f>
        <v>3.6000000000000227</v>
      </c>
      <c r="F14" s="239">
        <f>'Planilha Hidráulica'!K18</f>
        <v>36.808573382687946</v>
      </c>
      <c r="G14" s="238">
        <f>'Planilha Hidráulica'!M18</f>
        <v>1000</v>
      </c>
      <c r="H14" s="240">
        <f t="shared" ref="H14:H15" si="103">IF(G14=400,((D14+E14)/2)+0.08+T14,IF(G14=500,((D14+E14)/2)+0.1+T14,IF(G14=600,((D14+E14)/2)+0.12+T14,IF(G14=800,((D14+E14)/2)+0.16+T14,IF(G14=1000,((D14+E14)/2)+0.2+T14,IF(G14=1200,((D14+E14)/2)+0.24+T14,IF(G14=1500,((D14+E14)/2)+0.3+T14,IF(G14&gt;1500,((D14+E14)/2)+0.4+T14))))))))</f>
        <v>4.3500000000000005</v>
      </c>
      <c r="I14" s="241">
        <f t="shared" ref="I14:I15" si="104">IF(K14=0,0,IF(H14&gt;=1.25,F14*H14/20,0))</f>
        <v>8.0058647107346292</v>
      </c>
      <c r="J14" s="242">
        <v>0</v>
      </c>
      <c r="K14" s="243">
        <f t="shared" ref="K14:K15" si="105">IF(G14=400,1,0)+IF(G14=500,1.2,0)+IF(G14=600,1.4,0)+IF(G14=800,1.7,0)+IF(G14=1000,2,0)+IF(G14=1200,2.2,0)+IF(G14=1500,2.6,0)+IF(G14=1650,3,0)+IF(G14=1800,3.2,0)+IF(G14=2000,3.4,0)+IF(G14=2200,3.6,0)+IF(G14=2400,3.8,0)+IF(G14=2600,4,0)+IF(G14=3000,4.4,0)</f>
        <v>2</v>
      </c>
      <c r="L14" s="243">
        <f t="shared" ref="L14:L15" si="106">2*J14*H14+K14</f>
        <v>2</v>
      </c>
      <c r="M14" s="243">
        <f>'Planilha Hidráulica'!X18</f>
        <v>800</v>
      </c>
      <c r="N14" s="243">
        <f t="shared" ref="N14:N15" si="107">L14*F14</f>
        <v>73.617146765375892</v>
      </c>
      <c r="O14" s="244" t="str">
        <f>'Planilha Hidráulica'!W18</f>
        <v>ASFALTO</v>
      </c>
      <c r="P14" s="244" t="s">
        <v>2419</v>
      </c>
      <c r="Q14" s="244"/>
      <c r="R14" s="244">
        <v>5</v>
      </c>
      <c r="S14" s="244">
        <v>5</v>
      </c>
      <c r="T14" s="243">
        <f t="shared" ref="T14:T15" si="108">IF(G14=400,0.05,0)+IF(G14=500,0.05,0)+IF(G14=600,0.1,0)+IF(G14=800,0.1,0)+IF(G14=1000,0.15,0)+IF(G14=1200,0.15,0)+IF(G14=1500,0.2,0)+IF(G14=1650,0.2,0)+IF(G14=1800,0.2,0)+IF(G14=2000,0.25,0)+IF(G14=2200,0.25,0)+IF(G14=2400,0.25,0)+IF(G14=2600,0.25,0)+IF(G14=3000,0.25,0)</f>
        <v>0.15</v>
      </c>
      <c r="U14" s="245">
        <f t="shared" ref="U14:U15" si="109">IFERROR((PI()*(M14/1000)*(M14/1000)/4)*F14,0)</f>
        <v>18.502006996507721</v>
      </c>
      <c r="V14" s="246">
        <f>((((J14*H14)*H14)/2)*2+K14*H14)*F14-U14+AW14</f>
        <v>301.73258143287745</v>
      </c>
      <c r="W14" s="247">
        <f>ROUND(V14-SUM(AC14:AR14),2)</f>
        <v>0</v>
      </c>
      <c r="X14" s="247">
        <f>IF(Q14=1,IF(OR(M14=0,M14="-"),H14+0.4,0.4),0)</f>
        <v>0</v>
      </c>
      <c r="Y14" s="248">
        <f t="shared" ref="Y14:Y15" si="110">IF(R14&lt;H14,R14,H14)</f>
        <v>4.3500000000000005</v>
      </c>
      <c r="Z14" s="248">
        <f t="shared" ref="Z14:Z15" si="111">H14-Y14</f>
        <v>0</v>
      </c>
      <c r="AA14" s="249">
        <f t="shared" ref="AA14:AA15" si="112">IF(O14="ASFALTO",L14*F14,0)</f>
        <v>73.617146765375892</v>
      </c>
      <c r="AB14" s="250">
        <f t="shared" ref="AB14:AB15" si="113">IF(O14="CONCRETO",L14*F14,0)</f>
        <v>0</v>
      </c>
      <c r="AC14" s="251">
        <f>IF(X14=0,0,IF(X14=0.4,IF(K14&lt;=1.5,IF(Y14+0.4&gt;=1.5,0,K14*F14*0.4),0),IF(K14&lt;=1.5,IF(X14&gt;=1.5,L14*F14*1.5,K14*F14*(X14)),0)+IF(R14&lt;H14+0.4,0,IF(AND(X14&lt;=1.5,K14&lt;=1.5),-U14,0))))</f>
        <v>0</v>
      </c>
      <c r="AD14" s="251">
        <f>IF(X14=0,0,IF(X14=0.4,IF(K14&lt;=1.5,IF(OR(Y14+0.4&gt;=3,Y14+0.4&lt;1.5),0,K14*F14*0.4),0),IF(IF(K14&lt;=1.5,IF(X14&gt;=3,L14*F14*1.5,K14*F14*(X14-1.5)),0)&lt;0,0,IF(K14&lt;=1.5,IF(X14&gt;=3,L14*F14*1.5,K14*F14*(X14-1.5)),0))+IF(R14&lt;H14+0.4,0,IF(AND(X14&lt;=3,K14&lt;=1.5),-U14,0))))</f>
        <v>0</v>
      </c>
      <c r="AE14" s="251">
        <f>IF(X14=0,0,IF(X14=0.4,IF(K14&lt;=1.5,IF(OR(Y14+0.4&gt;=4.5,Y14+0.4&lt;3),0,K14*F14*0.4),0),IF(IF(K14&lt;=1.5,IF(X14&gt;=4.5,L14*F14*1.5,K14*F14*(X14-3)),0)&lt;0,0,IF(K14&lt;=1.5,IF(X14&gt;=3,L14*F14*1.5,K14*F14*(X14-3)),0))+IF(R14&lt;H14+0.4,0,IF(AND(X14&lt;=4.5,K14&lt;=1.5),-U14,0))))</f>
        <v>0</v>
      </c>
      <c r="AF14" s="251">
        <f>IF(X14=0,0,IF(X14=0.4,IF(AND(K14&gt;1.5,K14&lt;=2.6),IF(Y14+0.4&gt;=1.5,0,K14*F14*0.4),0),IF(AND(K14&gt;1.5,K14&lt;=2.6),IF(X14&gt;=1.5,L14*F14*1.5,K14*F14*(X14)),0)+IF(R14&lt;H14+0.4,0,IF(AND(X14&lt;=1.5,K14&lt;=1.5),-U14,0))))</f>
        <v>0</v>
      </c>
      <c r="AG14" s="251">
        <f>IF(X14=0,0,IF(X14=0.4,IF(AND(K14&gt;1.5,K14&lt;=2.6),IF(OR(Y14+0.4&gt;=3,Y14+0.4&lt;1.5),0,K14*F14*0.4),0),IF(IF(AND(K14&gt;1.5,K14&lt;=2.6),IF(X14&gt;=3,L14*F14*1.5,K14*F14*(X14-1.5)),0)&lt;0,0,IF(AND(K14&gt;1.5,K14&lt;=2.6),IF(X14&gt;=3,L14*F14*1.5,K14*F14*(X14-1.5)),0))+IF(R14&lt;H14+0.4,0,IF(AND(X14&lt;=3,K14&lt;=1.5),-U14,0))))</f>
        <v>0</v>
      </c>
      <c r="AH14" s="251">
        <f>IF(X14=0,0,IF(X14=0.4,IF(AND(K14&gt;1.5,K14&lt;=2.6),IF(OR(Y14+0.4&gt;=4.5,Y14+0.4&lt;3),0,K14*F14*0.4),0),IF(IF(AND(K14&gt;1.5,K14&lt;=2.6),IF(X14&gt;=4.5,L14*F14*1.5,K14*F14*(X14-3)),0)&lt;0,0,IF(AND(K14&gt;1.5,K14&lt;=2.6),IF(X14&gt;=4.5,L14*F14*1.5,K14*F14*(X14-3)),0))+IF(R14&lt;H14+0.4,0,IF(AND(X14&lt;=3,K14&lt;=1.5),-U14,0))))</f>
        <v>0</v>
      </c>
      <c r="AI14" s="251">
        <f>IF(X14=0,0,IF(X14=0.4,IF(AND(K14&gt;1.5,K14&lt;=2.6),IF(OR(Y14+0.4&gt;=6,Y14+0.4&lt;4.5),0,K14*F14*0.4),0),IF(IF(AND(K14&gt;1.5,K14&lt;=2.6),IF(X14&gt;=6,L14*F14*1.5,K14*F14*(X14-4.5)),0)&lt;0,0,IF(AND(K14&gt;1.5,K14&lt;=2.6),IF(X14&gt;=6,L14*F14*1.5,K14*F14*(X14-4.5)),0))+IF(R14&lt;H14+0.4,0,IF(AND(X14&lt;=3,K14&lt;=1.5),-U14,0))))</f>
        <v>0</v>
      </c>
      <c r="AJ14" s="252">
        <f t="shared" ref="AJ14:AJ15" si="114">IF(K14&lt;=1.5,IF(Y14&gt;=1.5,L14*F14*1.5,K14*F14*Y14),0)+IF(R14&lt;H14,0,IF(AND(Y14&lt;=1.5,K14&lt;=1.5),-U14,0))</f>
        <v>0</v>
      </c>
      <c r="AK14" s="252">
        <f t="shared" ref="AK14:AK15" si="115">IF(IF(K14&lt;=1.5,IF(Y14&gt;=3,L14*F14*1.5,K14*F14*(Y14-1.5)),0)&lt;0,0,IF(K14&lt;=1.5,IF(Y14&gt;=3,L14*F14*1.5,K14*F14*(Y14-1.5)),0))+IF(R14&lt;H14,0,IF(AND(Y14&lt;=3,K14&lt;=1.5),-U14,0))</f>
        <v>0</v>
      </c>
      <c r="AL14" s="252">
        <f t="shared" ref="AL14:AL15" si="116">IF(AND(K14&lt;=2.5,K14&gt;1.5),IF(Y14&gt;=1.5,L14*F14*1.5,K14*F14*Y14),0)+IF(R14&lt;H14,0,IF(AND(Y14&lt;=1.5,K14&gt;1.5,K14&lt;=2.5),-U14,0))</f>
        <v>110.42572014806385</v>
      </c>
      <c r="AM14" s="252">
        <f t="shared" ref="AM14:AM15" si="117">IF(IF(AND(K14&lt;=2.5,K14&gt;1.5),IF(Y14&gt;=3,L14*F14*1.5,K14*F14*(Y14-1.5)),0)&lt;0,0,IF(AND(K14&lt;=2.5,K14&gt;1.5),IF(Y14&gt;=3,L14*F14*1.5,K14*F14*(Y14-1.5)),0))+IF(R14&lt;H14,0,IF(AND(Y14&lt;=3,Y14&gt;1.5,K14&gt;1.5,K14&lt;=2.5),-U14,0))</f>
        <v>110.42572014806385</v>
      </c>
      <c r="AN14" s="252">
        <f t="shared" ref="AN14:AN15" si="118">IF(IF(K14&lt;=2.5,IF(Y14&gt;=4.5,L14*F14*1.5,K14*F14*(Y14-3)),0)&lt;0,0,IF(K14&lt;=2.5,IF(Y14&gt;=4.5,L14*F14*1.5,K14*F14*(Y14-3)),0))+IF(R14&lt;H14,0,IF(AND(Y14&lt;=4.5,Y14&gt;3,K14&gt;1.5,K14&lt;=2.5),-U14,0))</f>
        <v>80.881141136749775</v>
      </c>
      <c r="AO14" s="252">
        <f t="shared" ref="AO14:AO15" si="119">IF(K14&gt;2.5,IF(Y14&gt;=2,L14*F14*2,K14*F14*Y14),0)+IF(R14&lt;H14,0,IF(AND(Y14&lt;=2,K14&gt;=2.5),-U14,0))</f>
        <v>0</v>
      </c>
      <c r="AP14" s="252">
        <f t="shared" ref="AP14:AP15" si="120">IF(IF(K14&gt;2.5,IF(Y14&gt;=4,L14*F14*2,K14*F14*(Y14-2)),0)&lt;0,0,IF(K14&gt;2.5,IF(Y14&gt;=4,L14*F14*2,K14*F14*(Y14-2)),0))+IF(R14&lt;H14,0,IF(AND(Y14&lt;=4,Y14&gt;2,K14&gt;2.5),-U14,0))</f>
        <v>0</v>
      </c>
      <c r="AQ14" s="252">
        <f t="shared" ref="AQ14:AQ15" si="121">IF(IF(K14&gt;2.5,IF(Y14&gt;=6,L14*F14*2,K14*F14*(Y14-4)),0)&lt;0,0,IF(K14&gt;2.5,IF(Y14&gt;=6,L14*F14*2,K14*F14*(Y14-4)),0))+IF(R14&lt;H14,0,IF(AND(Y14&lt;=6,Y14&gt;4,K14&gt;2.5),-U14,0))</f>
        <v>0</v>
      </c>
      <c r="AR14" s="253">
        <f>ROUND(V14-SUM(AC14:AQ14),2)</f>
        <v>0</v>
      </c>
      <c r="AS14" s="243">
        <f t="shared" ref="AS14:AS15" si="122">IF(H14-S14&lt;0,0,(H14-S14)*F14)/75</f>
        <v>0</v>
      </c>
      <c r="AT14" s="253">
        <f t="shared" ref="AT14:AT15" si="123">F14*K14*H14-PI()*(G14/1000)*(G14/1000)/4*F14+AY14</f>
        <v>292.62520249734183</v>
      </c>
      <c r="AU14" s="241">
        <f t="shared" ref="AU14:AU15" si="124">IF(K14&lt;1.5,K14*F14*IF(G14&lt;=500,0.05,IF(G14&lt;=800,0.1,IF(G14&lt;=1200,0.15,IF(G14&gt;=1500,0.2)))),0)</f>
        <v>0</v>
      </c>
      <c r="AV14" s="246">
        <f t="shared" ref="AV14:AV15" si="125">IF(K14&gt;=1.5,K14*F14*IF(G14&lt;=500,0.05,IF(G14&lt;=800,0.1,IF(G14&lt;=1200,0.15,IF(G14&gt;=1500,0.2)))),0)</f>
        <v>11.042572014806384</v>
      </c>
      <c r="AW14" s="253">
        <f>IF(Q14=1,0.4*F14*K14,0)</f>
        <v>0</v>
      </c>
      <c r="AX14" s="253">
        <f t="shared" si="23"/>
        <v>0</v>
      </c>
      <c r="AY14" s="253">
        <f t="shared" ref="AY14:AY15" si="126">G14/1000+0.3</f>
        <v>1.3</v>
      </c>
      <c r="AZ14" s="253">
        <f t="shared" ref="AZ14:AZ15" si="127">AY14*K14*F14-PI()*(G14/1000*G14/1000)/4*F14</f>
        <v>66.792904862945363</v>
      </c>
      <c r="BA14" s="253">
        <f t="shared" ref="BA14:BA15" si="128">IF(AZ14&lt;SUM(AJ14:AQ14),0,AZ14)</f>
        <v>0</v>
      </c>
      <c r="BB14" s="253">
        <f t="shared" ref="BB14:BB15" si="129">IF(O14="ASFALTO",0.15*F14*K14,0)</f>
        <v>11.042572014806384</v>
      </c>
      <c r="BC14" s="253">
        <f>BB14</f>
        <v>11.042572014806384</v>
      </c>
      <c r="BD14" s="253">
        <f t="shared" ref="BD14:BD15" si="130">IF(O14="ASFALTO",0.03*F14*K14,0)</f>
        <v>2.2085144029612769</v>
      </c>
      <c r="BE14" s="253">
        <f>AT14-AW14-SUM(AU14:AV14)-BB14-BC14-AZ14</f>
        <v>192.70458158997724</v>
      </c>
      <c r="BF14" s="253">
        <f>SUM(AJ14:AQ14)-AW14-BB14-AZ14</f>
        <v>223.89710455512568</v>
      </c>
      <c r="BG14" s="253">
        <f>IF(SMALL(BE14:BF14,1)&lt;0,0,SMALL(BE14:BF14,1))</f>
        <v>192.70458158997724</v>
      </c>
      <c r="BH14" s="253">
        <f t="shared" ref="BH14:BH15" si="131">BF14-BG14</f>
        <v>31.192522965148441</v>
      </c>
      <c r="BI14" s="253">
        <f t="shared" ref="BI14:BI15" si="132">BE14-BG14</f>
        <v>0</v>
      </c>
      <c r="BJ14" s="241">
        <f t="shared" ref="BJ14:BJ15" si="133">IF($BI$29&gt;$BJ$31,($BJ$31/$BI$29)*BI14,BI14)</f>
        <v>0</v>
      </c>
      <c r="BK14" s="253">
        <f t="shared" ref="BK14:BK15" si="134">BI14-BJ14</f>
        <v>0</v>
      </c>
      <c r="BL14" s="253"/>
      <c r="BM14" s="253">
        <f>IF(AW14+BB14&gt;0,4%*(AW14+BB14),0)</f>
        <v>0.44170288059225538</v>
      </c>
      <c r="BN14" s="249">
        <f>IF(G14=400,H14,0)</f>
        <v>0</v>
      </c>
      <c r="BO14" s="254">
        <f>IF(BN14&lt;=1.75,AND(BN14&gt;0)*F14,0)</f>
        <v>0</v>
      </c>
      <c r="BP14" s="254">
        <f>IF(BN14&lt;=3,AND(BN14&gt;1.75)*F14,0)</f>
        <v>0</v>
      </c>
      <c r="BQ14" s="254">
        <f>IF(G14=500,H14,0)</f>
        <v>0</v>
      </c>
      <c r="BR14" s="243">
        <f>IF(BQ14&lt;=1.75,AND(BQ14&gt;0)*F14,0)</f>
        <v>0</v>
      </c>
      <c r="BS14" s="243">
        <f>IF(BQ14&lt;=3,AND(BQ14&gt;1.75)*F14,0)</f>
        <v>0</v>
      </c>
      <c r="BT14" s="243">
        <f>IF(G14=600,H14,0)</f>
        <v>0</v>
      </c>
      <c r="BU14" s="243">
        <f>IF(BT14&lt;=3,AND(BT14&gt;0)*F14,0)</f>
        <v>0</v>
      </c>
      <c r="BV14" s="243">
        <f>IF(BT14&lt;=6,AND(BT14&gt;3)*F14,0)</f>
        <v>0</v>
      </c>
      <c r="BW14" s="243">
        <f>IF(BT14&lt;=9,AND(BT14&gt;6)*F14,0)</f>
        <v>0</v>
      </c>
      <c r="BX14" s="243">
        <f>IF(G14=800,H14,0)</f>
        <v>0</v>
      </c>
      <c r="BY14" s="243">
        <f>IF(BX14&lt;=3,AND(BX14&gt;0)*F14,0)</f>
        <v>0</v>
      </c>
      <c r="BZ14" s="243">
        <f>IF(BX14&lt;=6,AND(BX14&gt;3)*F14,0)</f>
        <v>0</v>
      </c>
      <c r="CA14" s="243">
        <f>IF(BX14&lt;=9,AND(BX14&gt;6)*F14,0)</f>
        <v>0</v>
      </c>
      <c r="CB14" s="243">
        <f>IF(G14=1000,H14,0)</f>
        <v>4.3500000000000005</v>
      </c>
      <c r="CC14" s="243">
        <f>IF(CB14&lt;=3,AND(CB14&gt;0)*F14,0)</f>
        <v>0</v>
      </c>
      <c r="CD14" s="243">
        <f>IF(CB14&lt;=6,AND(CB14&gt;3)*F14,0)</f>
        <v>36.808573382687946</v>
      </c>
      <c r="CE14" s="243">
        <f>IF(CB14&lt;=9,AND(CB14&gt;6)*F14,0)</f>
        <v>0</v>
      </c>
      <c r="CF14" s="243">
        <f>IF(G14=1200,H14,0)</f>
        <v>0</v>
      </c>
      <c r="CG14" s="243">
        <f>IF(CF14&lt;=3,AND(CF14&gt;0)*F14,0)</f>
        <v>0</v>
      </c>
      <c r="CH14" s="243">
        <f>IF(CF14&lt;=6,AND(CF14&gt;3)*F14,0)</f>
        <v>0</v>
      </c>
      <c r="CI14" s="243">
        <f>IF(CF14&lt;=9,AND(CF14&gt;6)*F14,0)</f>
        <v>0</v>
      </c>
      <c r="CJ14" s="255">
        <f>IF(G14=1500,H14,0)</f>
        <v>0</v>
      </c>
      <c r="CK14" s="243">
        <f>IF(CJ14&lt;=3,AND(CJ14&gt;0)*F14,0)</f>
        <v>0</v>
      </c>
      <c r="CL14" s="243">
        <f>IF(CJ14&lt;=6,AND(CJ14&gt;3)*F14,0)</f>
        <v>0</v>
      </c>
      <c r="CM14" s="243">
        <f>IF(CJ14&lt;=9,AND(CJ14&gt;6)*F14,0)</f>
        <v>0</v>
      </c>
      <c r="CN14" s="248">
        <f>IF(G14=1650,F14,0)</f>
        <v>0</v>
      </c>
      <c r="CO14" s="248">
        <f>IF(G14=1800,F14,0)</f>
        <v>0</v>
      </c>
      <c r="CP14" s="248">
        <f>IF(G14=2000,F14,0)</f>
        <v>0</v>
      </c>
      <c r="CQ14" s="248">
        <f>IF(G14=2200,F14,0)</f>
        <v>0</v>
      </c>
      <c r="CR14" s="248">
        <f>IF(G14=2400,F14,0)</f>
        <v>0</v>
      </c>
      <c r="CS14" s="248">
        <f>IF(G14=2600,F14,0)</f>
        <v>0</v>
      </c>
      <c r="CT14" s="256">
        <f>IF(G14=3000,F14,0)</f>
        <v>0</v>
      </c>
      <c r="CU14" s="257">
        <f>IF(G14&gt;=100,1,0)</f>
        <v>1</v>
      </c>
      <c r="CV14" s="257">
        <f>IF(CU14=1,IF(G14&lt;=600,1,0))</f>
        <v>0</v>
      </c>
      <c r="CW14" s="257">
        <f t="shared" ref="CW14:CW15" si="135">IF(CU14=1,IF($G14=800,1,0))</f>
        <v>0</v>
      </c>
      <c r="CX14" s="257">
        <f t="shared" ref="CX14:CX15" si="136">IF(CU14=1,IF($G14=1000,1,0))</f>
        <v>1</v>
      </c>
      <c r="CY14" s="257">
        <f t="shared" ref="CY14:CY15" si="137">IF(CU14=1,IF($G14=1200,1,0))</f>
        <v>0</v>
      </c>
      <c r="CZ14" s="257">
        <f t="shared" ref="CZ14:CZ15" si="138">IF(CU14=1,IF($G14=1500,1,0))</f>
        <v>0</v>
      </c>
      <c r="DA14" s="258">
        <f>IF(IF(G14&lt;=600,(D14-DB14),0)+IF(G14=800,(D14-DC14),0)+IF(G14&gt;=1000,D14-DD14,0)&lt;0,0,IF(G14&lt;=600,(D14-DB14),0)+IF(G14=800,(D14-DC14),0)+IF(G14&gt;=1000,D14-DD14,0))</f>
        <v>2.3999999999999773</v>
      </c>
      <c r="DB14" s="259">
        <v>1.3</v>
      </c>
      <c r="DC14" s="259">
        <v>1.4</v>
      </c>
      <c r="DD14" s="259">
        <v>2</v>
      </c>
      <c r="DE14" s="259">
        <v>2</v>
      </c>
      <c r="DF14" s="260">
        <v>2</v>
      </c>
      <c r="DG14" s="249">
        <f>IF(K14&lt;=1.5,IF(H14&lt;1.5,H14*F14*2,F14*2*1.5),0)</f>
        <v>0</v>
      </c>
      <c r="DH14" s="261">
        <f>IF(K14&lt;=1.5,IF(AND(H14&lt;3,H14&gt;1.5),(H14-1.5)*F14*2,IF(H14&gt;=3,(F14*2*1.5),0)),0)</f>
        <v>0</v>
      </c>
      <c r="DI14" s="261">
        <f>IF(K14&lt;=1.5,IF(AND(H14&lt;4.5,H14&gt;3),(H14-3)*F14*2,IF(H14&gt;=4.5,(F14*2*1.5),0)),0)</f>
        <v>0</v>
      </c>
      <c r="DJ14" s="261">
        <f>IF(AND(K14&lt;=2.5,K14&gt;1.5),IF(H14&lt;1.5,H14*F14*2,F14*2*1.5),0)</f>
        <v>110.42572014806385</v>
      </c>
      <c r="DK14" s="261">
        <f>IF(AND(K14&gt;1.5,K14&lt;=2.5),IF(AND(H14&lt;3,H14&gt;1.5),(H14-1.5)*F14*2,IF(H14&gt;=3,(F14*2*1.5),0)),0)</f>
        <v>110.42572014806385</v>
      </c>
      <c r="DL14" s="261">
        <f>IF(AND(K14&gt;1.5,K14&lt;=2.5),IF(AND(H14&lt;4.5,H14&gt;3),(H14-3)*F14*2,IF(H14&gt;=4.5,(F14*2*1.5),0)),0)</f>
        <v>99.383148133257492</v>
      </c>
      <c r="DM14" s="261">
        <f>IF(AND(K14&lt;=3.5,K14&gt;2.5),IF(H14&lt;1.5,H14*F14*2,F14*2*1.5),0)</f>
        <v>0</v>
      </c>
      <c r="DN14" s="261">
        <f>IF(AND(K14&gt;2.5,K14&lt;=3.5),IF(AND(H14&lt;3,H14&gt;1.5),(H14-1.5)*F14*2,IF(H14&gt;=3,(F14*2*1.5),0)),0)</f>
        <v>0</v>
      </c>
      <c r="DO14" s="261">
        <f>IF(AND(K14&gt;2.5,K14&lt;=3.5),IF(AND(H14&lt;4.5,H14&gt;3),(H14-3)*F14*2,IF(H14&gt;=4.5,(F14*2*1.5),0)),0)</f>
        <v>0</v>
      </c>
      <c r="DP14" s="261">
        <f>IF(AND(K14&gt;2.5,K14&lt;=3.5),IF(AND(H14&lt;6,H14&gt;4.5),(H14-4.5)*F14*2,IF(H14&gt;=6,(F14*2*1.5),0)),0)</f>
        <v>0</v>
      </c>
    </row>
    <row r="15" spans="1:123" x14ac:dyDescent="0.25">
      <c r="A15" s="220" t="s">
        <v>2418</v>
      </c>
      <c r="B15" s="237"/>
      <c r="C15" s="238" t="str">
        <f>'Planilha Hidráulica'!B19</f>
        <v>PV2.1-&gt;PV3.1</v>
      </c>
      <c r="D15" s="239">
        <f>'Planilha Hidráulica'!R19</f>
        <v>3.6000000000000227</v>
      </c>
      <c r="E15" s="239">
        <f>'Planilha Hidráulica'!S19</f>
        <v>3</v>
      </c>
      <c r="F15" s="239">
        <f>'Planilha Hidráulica'!K19</f>
        <v>36.808573383619702</v>
      </c>
      <c r="G15" s="238">
        <f>'Planilha Hidráulica'!M19</f>
        <v>1000</v>
      </c>
      <c r="H15" s="240">
        <f t="shared" si="103"/>
        <v>3.6500000000000115</v>
      </c>
      <c r="I15" s="241">
        <f t="shared" si="104"/>
        <v>6.7175646425106166</v>
      </c>
      <c r="J15" s="242">
        <v>0</v>
      </c>
      <c r="K15" s="243">
        <f t="shared" si="105"/>
        <v>2</v>
      </c>
      <c r="L15" s="243">
        <f t="shared" si="106"/>
        <v>2</v>
      </c>
      <c r="M15" s="243">
        <f>'Planilha Hidráulica'!X19</f>
        <v>800</v>
      </c>
      <c r="N15" s="243">
        <f t="shared" si="107"/>
        <v>73.617146767239404</v>
      </c>
      <c r="O15" s="244" t="str">
        <f>'Planilha Hidráulica'!W19</f>
        <v>ASFALTO</v>
      </c>
      <c r="P15" s="244" t="s">
        <v>2977</v>
      </c>
      <c r="Q15" s="244"/>
      <c r="R15" s="244">
        <v>5</v>
      </c>
      <c r="S15" s="244">
        <v>5</v>
      </c>
      <c r="T15" s="243">
        <f t="shared" si="108"/>
        <v>0.15</v>
      </c>
      <c r="U15" s="245">
        <f t="shared" si="109"/>
        <v>18.502006996976075</v>
      </c>
      <c r="V15" s="246">
        <f>((((J15*H15)*H15)/2)*2+K15*H15)*F15-U15+AW15</f>
        <v>250.2005787034486</v>
      </c>
      <c r="W15" s="247">
        <f>ROUND(V15-SUM(AC15:AR15),2)</f>
        <v>0</v>
      </c>
      <c r="X15" s="247">
        <f>IF(Q15=1,IF(OR(M15=0,M15="-"),H15+0.4,0.4),0)</f>
        <v>0</v>
      </c>
      <c r="Y15" s="248">
        <f t="shared" si="110"/>
        <v>3.6500000000000115</v>
      </c>
      <c r="Z15" s="248">
        <f t="shared" si="111"/>
        <v>0</v>
      </c>
      <c r="AA15" s="249">
        <f t="shared" si="112"/>
        <v>73.617146767239404</v>
      </c>
      <c r="AB15" s="250">
        <f t="shared" si="113"/>
        <v>0</v>
      </c>
      <c r="AC15" s="251">
        <f>IF(X15=0,0,IF(X15=0.4,IF(K15&lt;=1.5,IF(Y15+0.4&gt;=1.5,0,K15*F15*0.4),0),IF(K15&lt;=1.5,IF(X15&gt;=1.5,L15*F15*1.5,K15*F15*(X15)),0)+IF(R15&lt;H15+0.4,0,IF(AND(X15&lt;=1.5,K15&lt;=1.5),-U15,0))))</f>
        <v>0</v>
      </c>
      <c r="AD15" s="251">
        <f>IF(X15=0,0,IF(X15=0.4,IF(K15&lt;=1.5,IF(OR(Y15+0.4&gt;=3,Y15+0.4&lt;1.5),0,K15*F15*0.4),0),IF(IF(K15&lt;=1.5,IF(X15&gt;=3,L15*F15*1.5,K15*F15*(X15-1.5)),0)&lt;0,0,IF(K15&lt;=1.5,IF(X15&gt;=3,L15*F15*1.5,K15*F15*(X15-1.5)),0))+IF(R15&lt;H15+0.4,0,IF(AND(X15&lt;=3,K15&lt;=1.5),-U15,0))))</f>
        <v>0</v>
      </c>
      <c r="AE15" s="251">
        <f>IF(X15=0,0,IF(X15=0.4,IF(K15&lt;=1.5,IF(OR(Y15+0.4&gt;=4.5,Y15+0.4&lt;3),0,K15*F15*0.4),0),IF(IF(K15&lt;=1.5,IF(X15&gt;=4.5,L15*F15*1.5,K15*F15*(X15-3)),0)&lt;0,0,IF(K15&lt;=1.5,IF(X15&gt;=3,L15*F15*1.5,K15*F15*(X15-3)),0))+IF(R15&lt;H15+0.4,0,IF(AND(X15&lt;=4.5,K15&lt;=1.5),-U15,0))))</f>
        <v>0</v>
      </c>
      <c r="AF15" s="251">
        <f>IF(X15=0,0,IF(X15=0.4,IF(AND(K15&gt;1.5,K15&lt;=2.6),IF(Y15+0.4&gt;=1.5,0,K15*F15*0.4),0),IF(AND(K15&gt;1.5,K15&lt;=2.6),IF(X15&gt;=1.5,L15*F15*1.5,K15*F15*(X15)),0)+IF(R15&lt;H15+0.4,0,IF(AND(X15&lt;=1.5,K15&lt;=1.5),-U15,0))))</f>
        <v>0</v>
      </c>
      <c r="AG15" s="251">
        <f>IF(X15=0,0,IF(X15=0.4,IF(AND(K15&gt;1.5,K15&lt;=2.6),IF(OR(Y15+0.4&gt;=3,Y15+0.4&lt;1.5),0,K15*F15*0.4),0),IF(IF(AND(K15&gt;1.5,K15&lt;=2.6),IF(X15&gt;=3,L15*F15*1.5,K15*F15*(X15-1.5)),0)&lt;0,0,IF(AND(K15&gt;1.5,K15&lt;=2.6),IF(X15&gt;=3,L15*F15*1.5,K15*F15*(X15-1.5)),0))+IF(R15&lt;H15+0.4,0,IF(AND(X15&lt;=3,K15&lt;=1.5),-U15,0))))</f>
        <v>0</v>
      </c>
      <c r="AH15" s="251">
        <f>IF(X15=0,0,IF(X15=0.4,IF(AND(K15&gt;1.5,K15&lt;=2.6),IF(OR(Y15+0.4&gt;=4.5,Y15+0.4&lt;3),0,K15*F15*0.4),0),IF(IF(AND(K15&gt;1.5,K15&lt;=2.6),IF(X15&gt;=4.5,L15*F15*1.5,K15*F15*(X15-3)),0)&lt;0,0,IF(AND(K15&gt;1.5,K15&lt;=2.6),IF(X15&gt;=4.5,L15*F15*1.5,K15*F15*(X15-3)),0))+IF(R15&lt;H15+0.4,0,IF(AND(X15&lt;=3,K15&lt;=1.5),-U15,0))))</f>
        <v>0</v>
      </c>
      <c r="AI15" s="251">
        <f>IF(X15=0,0,IF(X15=0.4,IF(AND(K15&gt;1.5,K15&lt;=2.6),IF(OR(Y15+0.4&gt;=6,Y15+0.4&lt;4.5),0,K15*F15*0.4),0),IF(IF(AND(K15&gt;1.5,K15&lt;=2.6),IF(X15&gt;=6,L15*F15*1.5,K15*F15*(X15-4.5)),0)&lt;0,0,IF(AND(K15&gt;1.5,K15&lt;=2.6),IF(X15&gt;=6,L15*F15*1.5,K15*F15*(X15-4.5)),0))+IF(R15&lt;H15+0.4,0,IF(AND(X15&lt;=3,K15&lt;=1.5),-U15,0))))</f>
        <v>0</v>
      </c>
      <c r="AJ15" s="252">
        <f t="shared" si="114"/>
        <v>0</v>
      </c>
      <c r="AK15" s="252">
        <f t="shared" si="115"/>
        <v>0</v>
      </c>
      <c r="AL15" s="252">
        <f t="shared" si="116"/>
        <v>110.42572015085911</v>
      </c>
      <c r="AM15" s="252">
        <f t="shared" si="117"/>
        <v>110.42572015085911</v>
      </c>
      <c r="AN15" s="252">
        <f t="shared" si="118"/>
        <v>29.349138401730382</v>
      </c>
      <c r="AO15" s="252">
        <f t="shared" si="119"/>
        <v>0</v>
      </c>
      <c r="AP15" s="252">
        <f t="shared" si="120"/>
        <v>0</v>
      </c>
      <c r="AQ15" s="252">
        <f t="shared" si="121"/>
        <v>0</v>
      </c>
      <c r="AR15" s="253">
        <f>ROUND(V15-SUM(AC15:AQ15),2)</f>
        <v>0</v>
      </c>
      <c r="AS15" s="243">
        <f t="shared" si="122"/>
        <v>0</v>
      </c>
      <c r="AT15" s="253">
        <f t="shared" si="123"/>
        <v>241.09319976764957</v>
      </c>
      <c r="AU15" s="241">
        <f t="shared" si="124"/>
        <v>0</v>
      </c>
      <c r="AV15" s="246">
        <f t="shared" si="125"/>
        <v>11.042572015085911</v>
      </c>
      <c r="AW15" s="253">
        <f>IF(Q15=1,0.4*F15*K15,0)</f>
        <v>0</v>
      </c>
      <c r="AX15" s="253">
        <f t="shared" ref="AX15" si="139">IF(AW15&lt;SUM(AJ15:AQ15),0,AW15)</f>
        <v>0</v>
      </c>
      <c r="AY15" s="253">
        <f t="shared" si="126"/>
        <v>1.3</v>
      </c>
      <c r="AZ15" s="253">
        <f t="shared" si="127"/>
        <v>66.792904864636114</v>
      </c>
      <c r="BA15" s="253">
        <f t="shared" si="128"/>
        <v>0</v>
      </c>
      <c r="BB15" s="253">
        <f t="shared" si="129"/>
        <v>11.042572015085911</v>
      </c>
      <c r="BC15" s="253">
        <f>BB15</f>
        <v>11.042572015085911</v>
      </c>
      <c r="BD15" s="253">
        <f t="shared" si="130"/>
        <v>2.2085144030171819</v>
      </c>
      <c r="BE15" s="253">
        <f>AT15-AW15-SUM(AU15:AV15)-BB15-BC15-AZ15</f>
        <v>141.17257885775572</v>
      </c>
      <c r="BF15" s="253">
        <f>SUM(AJ15:AQ15)-AW15-BB15-AZ15</f>
        <v>172.36510182372658</v>
      </c>
      <c r="BG15" s="253">
        <f>IF(SMALL(BE15:BF15,1)&lt;0,0,SMALL(BE15:BF15,1))</f>
        <v>141.17257885775572</v>
      </c>
      <c r="BH15" s="253">
        <f t="shared" si="131"/>
        <v>31.192522965970852</v>
      </c>
      <c r="BI15" s="253">
        <f t="shared" si="132"/>
        <v>0</v>
      </c>
      <c r="BJ15" s="241">
        <f t="shared" si="133"/>
        <v>0</v>
      </c>
      <c r="BK15" s="253">
        <f t="shared" si="134"/>
        <v>0</v>
      </c>
      <c r="BL15" s="253"/>
      <c r="BM15" s="253">
        <f>IF(AW15+BB15&gt;0,4%*(AW15+BB15),0)</f>
        <v>0.44170288060343643</v>
      </c>
      <c r="BN15" s="249">
        <f>IF(G15=400,H15,0)</f>
        <v>0</v>
      </c>
      <c r="BO15" s="254">
        <f>IF(BN15&lt;=1.75,AND(BN15&gt;0)*F15,0)</f>
        <v>0</v>
      </c>
      <c r="BP15" s="254">
        <f>IF(BN15&lt;=3,AND(BN15&gt;1.75)*F15,0)</f>
        <v>0</v>
      </c>
      <c r="BQ15" s="254">
        <f>IF(G15=500,H15,0)</f>
        <v>0</v>
      </c>
      <c r="BR15" s="243">
        <f>IF(BQ15&lt;=1.75,AND(BQ15&gt;0)*F15,0)</f>
        <v>0</v>
      </c>
      <c r="BS15" s="243">
        <f>IF(BQ15&lt;=3,AND(BQ15&gt;1.75)*F15,0)</f>
        <v>0</v>
      </c>
      <c r="BT15" s="243">
        <f>IF(G15=600,H15,0)</f>
        <v>0</v>
      </c>
      <c r="BU15" s="243">
        <f>IF(BT15&lt;=3,AND(BT15&gt;0)*F15,0)</f>
        <v>0</v>
      </c>
      <c r="BV15" s="243">
        <f>IF(BT15&lt;=6,AND(BT15&gt;3)*F15,0)</f>
        <v>0</v>
      </c>
      <c r="BW15" s="243">
        <f>IF(BT15&lt;=9,AND(BT15&gt;6)*F15,0)</f>
        <v>0</v>
      </c>
      <c r="BX15" s="243">
        <f>IF(G15=800,H15,0)</f>
        <v>0</v>
      </c>
      <c r="BY15" s="243">
        <f>IF(BX15&lt;=3,AND(BX15&gt;0)*F15,0)</f>
        <v>0</v>
      </c>
      <c r="BZ15" s="243">
        <f>IF(BX15&lt;=6,AND(BX15&gt;3)*F15,0)</f>
        <v>0</v>
      </c>
      <c r="CA15" s="243">
        <f>IF(BX15&lt;=9,AND(BX15&gt;6)*F15,0)</f>
        <v>0</v>
      </c>
      <c r="CB15" s="243">
        <f>IF(G15=1000,H15,0)</f>
        <v>3.6500000000000115</v>
      </c>
      <c r="CC15" s="243">
        <f>IF(CB15&lt;=3,AND(CB15&gt;0)*F15,0)</f>
        <v>0</v>
      </c>
      <c r="CD15" s="243">
        <f>IF(CB15&lt;=6,AND(CB15&gt;3)*F15,0)</f>
        <v>36.808573383619702</v>
      </c>
      <c r="CE15" s="243">
        <f>IF(CB15&lt;=9,AND(CB15&gt;6)*F15,0)</f>
        <v>0</v>
      </c>
      <c r="CF15" s="243">
        <f>IF(G15=1200,H15,0)</f>
        <v>0</v>
      </c>
      <c r="CG15" s="243">
        <f>IF(CF15&lt;=3,AND(CF15&gt;0)*F15,0)</f>
        <v>0</v>
      </c>
      <c r="CH15" s="243">
        <f>IF(CF15&lt;=6,AND(CF15&gt;3)*F15,0)</f>
        <v>0</v>
      </c>
      <c r="CI15" s="243">
        <f>IF(CF15&lt;=9,AND(CF15&gt;6)*F15,0)</f>
        <v>0</v>
      </c>
      <c r="CJ15" s="255">
        <f>IF(G15=1500,H15,0)</f>
        <v>0</v>
      </c>
      <c r="CK15" s="243">
        <f>IF(CJ15&lt;=3,AND(CJ15&gt;0)*F15,0)</f>
        <v>0</v>
      </c>
      <c r="CL15" s="243">
        <f>IF(CJ15&lt;=6,AND(CJ15&gt;3)*F15,0)</f>
        <v>0</v>
      </c>
      <c r="CM15" s="243">
        <f>IF(CJ15&lt;=9,AND(CJ15&gt;6)*F15,0)</f>
        <v>0</v>
      </c>
      <c r="CN15" s="248">
        <f>IF(G15=1650,F15,0)</f>
        <v>0</v>
      </c>
      <c r="CO15" s="248">
        <f>IF(G15=1800,F15,0)</f>
        <v>0</v>
      </c>
      <c r="CP15" s="248">
        <f>IF(G15=2000,F15,0)</f>
        <v>0</v>
      </c>
      <c r="CQ15" s="248">
        <f>IF(G15=2200,F15,0)</f>
        <v>0</v>
      </c>
      <c r="CR15" s="248">
        <f>IF(G15=2400,F15,0)</f>
        <v>0</v>
      </c>
      <c r="CS15" s="248">
        <f>IF(G15=2600,F15,0)</f>
        <v>0</v>
      </c>
      <c r="CT15" s="256">
        <f>IF(G15=3000,F15,0)</f>
        <v>0</v>
      </c>
      <c r="CU15" s="257">
        <f>IF(G15&gt;=100,1,0)</f>
        <v>1</v>
      </c>
      <c r="CV15" s="257">
        <f>IF(CU15=1,IF(G15&lt;=600,1,0))</f>
        <v>0</v>
      </c>
      <c r="CW15" s="257">
        <f t="shared" si="135"/>
        <v>0</v>
      </c>
      <c r="CX15" s="257">
        <f t="shared" si="136"/>
        <v>1</v>
      </c>
      <c r="CY15" s="257">
        <f t="shared" si="137"/>
        <v>0</v>
      </c>
      <c r="CZ15" s="257">
        <f t="shared" si="138"/>
        <v>0</v>
      </c>
      <c r="DA15" s="258">
        <f>IF(IF(G15&lt;=600,(D15-DB15),0)+IF(G15=800,(D15-DC15),0)+IF(G15&gt;=1000,D15-DD15,0)&lt;0,0,IF(G15&lt;=600,(D15-DB15),0)+IF(G15=800,(D15-DC15),0)+IF(G15&gt;=1000,D15-DD15,0))</f>
        <v>1.6000000000000227</v>
      </c>
      <c r="DB15" s="259">
        <v>1.3</v>
      </c>
      <c r="DC15" s="259">
        <v>1.4</v>
      </c>
      <c r="DD15" s="259">
        <v>2</v>
      </c>
      <c r="DE15" s="259">
        <v>2</v>
      </c>
      <c r="DF15" s="260">
        <v>2</v>
      </c>
      <c r="DG15" s="249">
        <f>IF(K15&lt;=1.5,IF(H15&lt;1.5,H15*F15*2,F15*2*1.5),0)</f>
        <v>0</v>
      </c>
      <c r="DH15" s="261">
        <f>IF(K15&lt;=1.5,IF(AND(H15&lt;3,H15&gt;1.5),(H15-1.5)*F15*2,IF(H15&gt;=3,(F15*2*1.5),0)),0)</f>
        <v>0</v>
      </c>
      <c r="DI15" s="261">
        <f>IF(K15&lt;=1.5,IF(AND(H15&lt;4.5,H15&gt;3),(H15-3)*F15*2,IF(H15&gt;=4.5,(F15*2*1.5),0)),0)</f>
        <v>0</v>
      </c>
      <c r="DJ15" s="261">
        <f>IF(AND(K15&lt;=2.5,K15&gt;1.5),IF(H15&lt;1.5,H15*F15*2,F15*2*1.5),0)</f>
        <v>110.42572015085911</v>
      </c>
      <c r="DK15" s="261">
        <f>IF(AND(K15&gt;1.5,K15&lt;=2.5),IF(AND(H15&lt;3,H15&gt;1.5),(H15-1.5)*F15*2,IF(H15&gt;=3,(F15*2*1.5),0)),0)</f>
        <v>110.42572015085911</v>
      </c>
      <c r="DL15" s="261">
        <f>IF(AND(K15&gt;1.5,K15&lt;=2.5),IF(AND(H15&lt;4.5,H15&gt;3),(H15-3)*F15*2,IF(H15&gt;=4.5,(F15*2*1.5),0)),0)</f>
        <v>47.851145398706457</v>
      </c>
      <c r="DM15" s="261">
        <f>IF(AND(K15&lt;=3.5,K15&gt;2.5),IF(H15&lt;1.5,H15*F15*2,F15*2*1.5),0)</f>
        <v>0</v>
      </c>
      <c r="DN15" s="261">
        <f>IF(AND(K15&gt;2.5,K15&lt;=3.5),IF(AND(H15&lt;3,H15&gt;1.5),(H15-1.5)*F15*2,IF(H15&gt;=3,(F15*2*1.5),0)),0)</f>
        <v>0</v>
      </c>
      <c r="DO15" s="261">
        <f>IF(AND(K15&gt;2.5,K15&lt;=3.5),IF(AND(H15&lt;4.5,H15&gt;3),(H15-3)*F15*2,IF(H15&gt;=4.5,(F15*2*1.5),0)),0)</f>
        <v>0</v>
      </c>
      <c r="DP15" s="261">
        <f>IF(AND(K15&gt;2.5,K15&lt;=3.5),IF(AND(H15&lt;6,H15&gt;4.5),(H15-4.5)*F15*2,IF(H15&gt;=6,(F15*2*1.5),0)),0)</f>
        <v>0</v>
      </c>
    </row>
    <row r="16" spans="1:123" ht="13" x14ac:dyDescent="0.25">
      <c r="A16" s="220"/>
      <c r="B16" s="237"/>
      <c r="C16" s="222" t="str">
        <f>'Planilha Hidráulica'!B20</f>
        <v>RD-3</v>
      </c>
      <c r="D16" s="239"/>
      <c r="E16" s="239"/>
      <c r="F16" s="239"/>
      <c r="G16" s="238"/>
      <c r="H16" s="240"/>
      <c r="I16" s="240"/>
      <c r="J16" s="242"/>
      <c r="K16" s="243"/>
      <c r="L16" s="243"/>
      <c r="M16" s="257"/>
      <c r="N16" s="243"/>
      <c r="O16" s="244"/>
      <c r="P16" s="244"/>
      <c r="Q16" s="244"/>
      <c r="R16" s="244"/>
      <c r="S16" s="244"/>
      <c r="T16" s="243"/>
      <c r="U16" s="248"/>
      <c r="V16" s="248"/>
      <c r="W16" s="248"/>
      <c r="X16" s="248"/>
      <c r="Y16" s="248"/>
      <c r="Z16" s="248"/>
      <c r="AA16" s="249"/>
      <c r="AB16" s="250"/>
      <c r="AC16" s="250"/>
      <c r="AD16" s="250"/>
      <c r="AE16" s="251"/>
      <c r="AF16" s="250"/>
      <c r="AG16" s="250"/>
      <c r="AH16" s="250"/>
      <c r="AI16" s="250"/>
      <c r="AJ16" s="249"/>
      <c r="AK16" s="249"/>
      <c r="AL16" s="249"/>
      <c r="AM16" s="249"/>
      <c r="AN16" s="249"/>
      <c r="AO16" s="249"/>
      <c r="AP16" s="249"/>
      <c r="AQ16" s="249"/>
      <c r="AR16" s="243"/>
      <c r="AS16" s="243"/>
      <c r="AT16" s="262"/>
      <c r="AU16" s="262"/>
      <c r="AV16" s="263"/>
      <c r="AW16" s="262"/>
      <c r="AX16" s="262"/>
      <c r="AY16" s="264"/>
      <c r="AZ16" s="264"/>
      <c r="BA16" s="264"/>
      <c r="BB16" s="264"/>
      <c r="BC16" s="264"/>
      <c r="BD16" s="264"/>
      <c r="BE16" s="240"/>
      <c r="BF16" s="240"/>
      <c r="BG16" s="240"/>
      <c r="BH16" s="240"/>
      <c r="BI16" s="240"/>
      <c r="BJ16" s="240"/>
      <c r="BK16" s="240"/>
      <c r="BL16" s="264"/>
      <c r="BM16" s="264"/>
      <c r="BN16" s="249"/>
      <c r="BO16" s="254"/>
      <c r="BP16" s="254"/>
      <c r="BQ16" s="254"/>
      <c r="BR16" s="243"/>
      <c r="BS16" s="243"/>
      <c r="BT16" s="243"/>
      <c r="BU16" s="243"/>
      <c r="BV16" s="243"/>
      <c r="BW16" s="243"/>
      <c r="BX16" s="243"/>
      <c r="BY16" s="243"/>
      <c r="BZ16" s="243"/>
      <c r="CA16" s="243"/>
      <c r="CB16" s="243"/>
      <c r="CC16" s="243"/>
      <c r="CD16" s="243"/>
      <c r="CE16" s="243"/>
      <c r="CF16" s="243"/>
      <c r="CG16" s="243"/>
      <c r="CH16" s="243"/>
      <c r="CI16" s="243"/>
      <c r="CJ16" s="255"/>
      <c r="CK16" s="243"/>
      <c r="CL16" s="243"/>
      <c r="CM16" s="243"/>
      <c r="CN16" s="248"/>
      <c r="CO16" s="248"/>
      <c r="CP16" s="248"/>
      <c r="CQ16" s="248"/>
      <c r="CR16" s="248"/>
      <c r="CS16" s="248"/>
      <c r="CT16" s="256"/>
      <c r="CU16" s="257"/>
      <c r="CV16" s="257"/>
      <c r="CW16" s="257"/>
      <c r="CX16" s="257"/>
      <c r="CY16" s="257"/>
      <c r="CZ16" s="257"/>
      <c r="DA16" s="258"/>
      <c r="DB16" s="259"/>
      <c r="DC16" s="259"/>
      <c r="DD16" s="259"/>
      <c r="DE16" s="259"/>
      <c r="DF16" s="260"/>
      <c r="DG16" s="249"/>
      <c r="DH16" s="261"/>
      <c r="DI16" s="261"/>
      <c r="DJ16" s="261"/>
      <c r="DK16" s="261"/>
      <c r="DL16" s="261"/>
      <c r="DM16" s="261"/>
      <c r="DN16" s="261"/>
      <c r="DO16" s="261"/>
      <c r="DP16" s="261"/>
    </row>
    <row r="17" spans="1:120" x14ac:dyDescent="0.25">
      <c r="A17" s="220" t="s">
        <v>2420</v>
      </c>
      <c r="B17" s="237"/>
      <c r="C17" s="238" t="str">
        <f>'Planilha Hidráulica'!B21</f>
        <v>PV1.1-&gt;PV2.1</v>
      </c>
      <c r="D17" s="239">
        <f>'Planilha Hidráulica'!R21</f>
        <v>3.53</v>
      </c>
      <c r="E17" s="239">
        <f>'Planilha Hidráulica'!S21</f>
        <v>3</v>
      </c>
      <c r="F17" s="239">
        <f>'Planilha Hidráulica'!K21</f>
        <v>51.56</v>
      </c>
      <c r="G17" s="238">
        <f>'Planilha Hidráulica'!M21</f>
        <v>1200</v>
      </c>
      <c r="H17" s="240">
        <f t="shared" ref="H17:H28" si="140">IF(G17=400,((D17+E17)/2)+0.08+T17,IF(G17=500,((D17+E17)/2)+0.1+T17,IF(G17=600,((D17+E17)/2)+0.12+T17,IF(G17=800,((D17+E17)/2)+0.16+T17,IF(G17=1000,((D17+E17)/2)+0.2+T17,IF(G17=1200,((D17+E17)/2)+0.24+T17,IF(G17=1500,((D17+E17)/2)+0.3+T17,IF(G17&gt;1500,((D17+E17)/2)+0.4+T17))))))))</f>
        <v>3.6549999999999998</v>
      </c>
      <c r="I17" s="241">
        <f t="shared" ref="I17:I28" si="141">IF(K17=0,0,IF(H17&gt;=1.25,F17*H17/20,0))</f>
        <v>9.4225899999999996</v>
      </c>
      <c r="J17" s="242">
        <v>0</v>
      </c>
      <c r="K17" s="243">
        <f t="shared" ref="K17:K28" si="142">IF(G17=400,1,0)+IF(G17=500,1.2,0)+IF(G17=600,1.4,0)+IF(G17=800,1.7,0)+IF(G17=1000,2,0)+IF(G17=1200,2.2,0)+IF(G17=1500,2.6,0)+IF(G17=1650,3,0)+IF(G17=1800,3.2,0)+IF(G17=2000,3.4,0)+IF(G17=2200,3.6,0)+IF(G17=2400,3.8,0)+IF(G17=2600,4,0)+IF(G17=3000,4.4,0)</f>
        <v>2.2000000000000002</v>
      </c>
      <c r="L17" s="243">
        <f t="shared" ref="L17:L28" si="143">2*J17*H17+K17</f>
        <v>2.2000000000000002</v>
      </c>
      <c r="M17" s="243">
        <f>'Planilha Hidráulica'!X21</f>
        <v>1000</v>
      </c>
      <c r="N17" s="243">
        <f t="shared" ref="N17:N28" si="144">L17*F17</f>
        <v>113.43200000000002</v>
      </c>
      <c r="O17" s="244" t="str">
        <f>'Planilha Hidráulica'!W21</f>
        <v>ASFALTO</v>
      </c>
      <c r="P17" s="244" t="s">
        <v>2421</v>
      </c>
      <c r="Q17" s="244"/>
      <c r="R17" s="244">
        <v>5</v>
      </c>
      <c r="S17" s="244">
        <v>5</v>
      </c>
      <c r="T17" s="243">
        <f t="shared" ref="T17:T28" si="145">IF(G17=400,0.05,0)+IF(G17=500,0.05,0)+IF(G17=600,0.1,0)+IF(G17=800,0.1,0)+IF(G17=1000,0.15,0)+IF(G17=1200,0.15,0)+IF(G17=1500,0.2,0)+IF(G17=1650,0.2,0)+IF(G17=1800,0.2,0)+IF(G17=2000,0.25,0)+IF(G17=2200,0.25,0)+IF(G17=2400,0.25,0)+IF(G17=2600,0.25,0)+IF(G17=3000,0.25,0)</f>
        <v>0.15</v>
      </c>
      <c r="U17" s="245">
        <f t="shared" ref="U17:U28" si="146">IFERROR((PI()*(M17/1000)*(M17/1000)/4)*F17,0)</f>
        <v>40.495129304772433</v>
      </c>
      <c r="V17" s="246">
        <f t="shared" ref="V17:V28" si="147">((((J17*H17)*H17)/2)*2+K17*H17)*F17-U17+AW17</f>
        <v>374.0988306952276</v>
      </c>
      <c r="W17" s="247">
        <f t="shared" ref="W17:W28" si="148">ROUND(V17-SUM(AC17:AR17),2)</f>
        <v>0</v>
      </c>
      <c r="X17" s="247">
        <f t="shared" ref="X17:X28" si="149">IF(Q17=1,IF(OR(M17=0,M17="-"),H17+0.4,0.4),0)</f>
        <v>0</v>
      </c>
      <c r="Y17" s="248">
        <f t="shared" ref="Y17:Y28" si="150">IF(R17&lt;H17,R17,H17)</f>
        <v>3.6549999999999998</v>
      </c>
      <c r="Z17" s="248">
        <f t="shared" ref="Z17:Z28" si="151">H17-Y17</f>
        <v>0</v>
      </c>
      <c r="AA17" s="249">
        <f t="shared" ref="AA17:AA28" si="152">IF(O17="ASFALTO",L17*F17,0)</f>
        <v>113.43200000000002</v>
      </c>
      <c r="AB17" s="250">
        <f t="shared" ref="AB17:AB28" si="153">IF(O17="CONCRETO",L17*F17,0)</f>
        <v>0</v>
      </c>
      <c r="AC17" s="251">
        <f t="shared" ref="AC17:AC28" si="154">IF(X17=0,0,IF(X17=0.4,IF(K17&lt;=1.5,IF(Y17+0.4&gt;=1.5,0,K17*F17*0.4),0),IF(K17&lt;=1.5,IF(X17&gt;=1.5,L17*F17*1.5,K17*F17*(X17)),0)+IF(R17&lt;H17+0.4,0,IF(AND(X17&lt;=1.5,K17&lt;=1.5),-U17,0))))</f>
        <v>0</v>
      </c>
      <c r="AD17" s="251">
        <f t="shared" ref="AD17:AD28" si="155">IF(X17=0,0,IF(X17=0.4,IF(K17&lt;=1.5,IF(OR(Y17+0.4&gt;=3,Y17+0.4&lt;1.5),0,K17*F17*0.4),0),IF(IF(K17&lt;=1.5,IF(X17&gt;=3,L17*F17*1.5,K17*F17*(X17-1.5)),0)&lt;0,0,IF(K17&lt;=1.5,IF(X17&gt;=3,L17*F17*1.5,K17*F17*(X17-1.5)),0))+IF(R17&lt;H17+0.4,0,IF(AND(X17&lt;=3,K17&lt;=1.5),-U17,0))))</f>
        <v>0</v>
      </c>
      <c r="AE17" s="251">
        <f t="shared" ref="AE17:AE28" si="156">IF(X17=0,0,IF(X17=0.4,IF(K17&lt;=1.5,IF(OR(Y17+0.4&gt;=4.5,Y17+0.4&lt;3),0,K17*F17*0.4),0),IF(IF(K17&lt;=1.5,IF(X17&gt;=4.5,L17*F17*1.5,K17*F17*(X17-3)),0)&lt;0,0,IF(K17&lt;=1.5,IF(X17&gt;=3,L17*F17*1.5,K17*F17*(X17-3)),0))+IF(R17&lt;H17+0.4,0,IF(AND(X17&lt;=4.5,K17&lt;=1.5),-U17,0))))</f>
        <v>0</v>
      </c>
      <c r="AF17" s="251">
        <f t="shared" ref="AF17:AF28" si="157">IF(X17=0,0,IF(X17=0.4,IF(AND(K17&gt;1.5,K17&lt;=2.6),IF(Y17+0.4&gt;=1.5,0,K17*F17*0.4),0),IF(AND(K17&gt;1.5,K17&lt;=2.6),IF(X17&gt;=1.5,L17*F17*1.5,K17*F17*(X17)),0)+IF(R17&lt;H17+0.4,0,IF(AND(X17&lt;=1.5,K17&lt;=1.5),-U17,0))))</f>
        <v>0</v>
      </c>
      <c r="AG17" s="251">
        <f t="shared" ref="AG17:AG28" si="158">IF(X17=0,0,IF(X17=0.4,IF(AND(K17&gt;1.5,K17&lt;=2.6),IF(OR(Y17+0.4&gt;=3,Y17+0.4&lt;1.5),0,K17*F17*0.4),0),IF(IF(AND(K17&gt;1.5,K17&lt;=2.6),IF(X17&gt;=3,L17*F17*1.5,K17*F17*(X17-1.5)),0)&lt;0,0,IF(AND(K17&gt;1.5,K17&lt;=2.6),IF(X17&gt;=3,L17*F17*1.5,K17*F17*(X17-1.5)),0))+IF(R17&lt;H17+0.4,0,IF(AND(X17&lt;=3,K17&lt;=1.5),-U17,0))))</f>
        <v>0</v>
      </c>
      <c r="AH17" s="251">
        <f t="shared" ref="AH17:AH28" si="159">IF(X17=0,0,IF(X17=0.4,IF(AND(K17&gt;1.5,K17&lt;=2.6),IF(OR(Y17+0.4&gt;=4.5,Y17+0.4&lt;3),0,K17*F17*0.4),0),IF(IF(AND(K17&gt;1.5,K17&lt;=2.6),IF(X17&gt;=4.5,L17*F17*1.5,K17*F17*(X17-3)),0)&lt;0,0,IF(AND(K17&gt;1.5,K17&lt;=2.6),IF(X17&gt;=4.5,L17*F17*1.5,K17*F17*(X17-3)),0))+IF(R17&lt;H17+0.4,0,IF(AND(X17&lt;=3,K17&lt;=1.5),-U17,0))))</f>
        <v>0</v>
      </c>
      <c r="AI17" s="251">
        <f t="shared" ref="AI17:AI28" si="160">IF(X17=0,0,IF(X17=0.4,IF(AND(K17&gt;1.5,K17&lt;=2.6),IF(OR(Y17+0.4&gt;=6,Y17+0.4&lt;4.5),0,K17*F17*0.4),0),IF(IF(AND(K17&gt;1.5,K17&lt;=2.6),IF(X17&gt;=6,L17*F17*1.5,K17*F17*(X17-4.5)),0)&lt;0,0,IF(AND(K17&gt;1.5,K17&lt;=2.6),IF(X17&gt;=6,L17*F17*1.5,K17*F17*(X17-4.5)),0))+IF(R17&lt;H17+0.4,0,IF(AND(X17&lt;=3,K17&lt;=1.5),-U17,0))))</f>
        <v>0</v>
      </c>
      <c r="AJ17" s="252">
        <f t="shared" ref="AJ17:AJ28" si="161">IF(K17&lt;=1.5,IF(Y17&gt;=1.5,L17*F17*1.5,K17*F17*Y17),0)+IF(R17&lt;H17,0,IF(AND(Y17&lt;=1.5,K17&lt;=1.5),-U17,0))</f>
        <v>0</v>
      </c>
      <c r="AK17" s="252">
        <f t="shared" ref="AK17:AK28" si="162">IF(IF(K17&lt;=1.5,IF(Y17&gt;=3,L17*F17*1.5,K17*F17*(Y17-1.5)),0)&lt;0,0,IF(K17&lt;=1.5,IF(Y17&gt;=3,L17*F17*1.5,K17*F17*(Y17-1.5)),0))+IF(R17&lt;H17,0,IF(AND(Y17&lt;=3,K17&lt;=1.5),-U17,0))</f>
        <v>0</v>
      </c>
      <c r="AL17" s="252">
        <f t="shared" ref="AL17:AL28" si="163">IF(AND(K17&lt;=2.5,K17&gt;1.5),IF(Y17&gt;=1.5,L17*F17*1.5,K17*F17*Y17),0)+IF(R17&lt;H17,0,IF(AND(Y17&lt;=1.5,K17&gt;1.5,K17&lt;=2.5),-U17,0))</f>
        <v>170.14800000000002</v>
      </c>
      <c r="AM17" s="252">
        <f>IF(IF(AND(K17&lt;=2.5,K17&gt;1.5),IF(Y17&gt;=3,L17*F17*1.5,K17*F17*(Y17-1.5)),0)&lt;0,0,IF(AND(K17&lt;=2.5,K17&gt;1.5),IF(Y17&gt;=3,L17*F17*1.5,K17*F17*(Y17-1.5)),0))-U17</f>
        <v>129.65287069522759</v>
      </c>
      <c r="AN17" s="252">
        <f>IF(IF(K17&lt;=2.5,IF(Y17&gt;=4.5,L17*F17*1.5,K17*F17*(Y17-3)),0)&lt;0,0,IF(K17&lt;=2.5,IF(Y17&gt;=4.5,L17*F17*1.5,K17*F17*(Y17-3)),0))</f>
        <v>74.297959999999989</v>
      </c>
      <c r="AO17" s="252">
        <f t="shared" ref="AO17:AO28" si="164">IF(K17&gt;2.5,IF(Y17&gt;=2,L17*F17*2,K17*F17*Y17),0)+IF(R17&lt;H17,0,IF(AND(Y17&lt;=2,K17&gt;=2.5),-U17,0))</f>
        <v>0</v>
      </c>
      <c r="AP17" s="252">
        <f t="shared" ref="AP17:AP28" si="165">IF(IF(K17&gt;2.5,IF(Y17&gt;=4,L17*F17*2,K17*F17*(Y17-2)),0)&lt;0,0,IF(K17&gt;2.5,IF(Y17&gt;=4,L17*F17*2,K17*F17*(Y17-2)),0))+IF(R17&lt;H17,0,IF(AND(Y17&lt;=4,Y17&gt;2,K17&gt;2.5),-U17,0))</f>
        <v>0</v>
      </c>
      <c r="AQ17" s="252">
        <f t="shared" ref="AQ17:AQ28" si="166">IF(IF(K17&gt;2.5,IF(Y17&gt;=6,L17*F17*2,K17*F17*(Y17-4)),0)&lt;0,0,IF(K17&gt;2.5,IF(Y17&gt;=6,L17*F17*2,K17*F17*(Y17-4)),0))+IF(R17&lt;H17,0,IF(AND(Y17&lt;=6,Y17&gt;4,K17&gt;2.5),-U17,0))</f>
        <v>0</v>
      </c>
      <c r="AR17" s="253">
        <f t="shared" ref="AR17:AR28" si="167">ROUND(V17-SUM(AC17:AQ17),2)</f>
        <v>0</v>
      </c>
      <c r="AS17" s="243">
        <f t="shared" ref="AS17:AS28" si="168">IF(H17-S17&lt;0,0,(H17-S17)*F17)/75</f>
        <v>0</v>
      </c>
      <c r="AT17" s="253">
        <f t="shared" ref="AT17:AT28" si="169">F17*K17*H17-PI()*(G17/1000)*(G17/1000)/4*F17+AY17</f>
        <v>357.78097380112774</v>
      </c>
      <c r="AU17" s="241">
        <f t="shared" ref="AU17:AU28" si="170">IF(K17&lt;1.5,K17*F17*IF(G17&lt;=500,0.05,IF(G17&lt;=800,0.1,IF(G17&lt;=1200,0.15,IF(G17&gt;=1500,0.2)))),0)</f>
        <v>0</v>
      </c>
      <c r="AV17" s="246">
        <f t="shared" ref="AV17:AV28" si="171">IF(K17&gt;=1.5,K17*F17*IF(G17&lt;=500,0.05,IF(G17&lt;=800,0.1,IF(G17&lt;=1200,0.15,IF(G17&gt;=1500,0.2)))),0)</f>
        <v>17.014800000000001</v>
      </c>
      <c r="AW17" s="253">
        <f t="shared" ref="AW17:AW28" si="172">IF(Q17=1,0.4*F17*K17,0)</f>
        <v>0</v>
      </c>
      <c r="AX17" s="253">
        <f t="shared" si="23"/>
        <v>0</v>
      </c>
      <c r="AY17" s="253">
        <f t="shared" ref="AY17:AY28" si="173">G17/1000+0.3</f>
        <v>1.5</v>
      </c>
      <c r="AZ17" s="253">
        <f t="shared" ref="AZ17:AZ28" si="174">AY17*K17*F17-PI()*(G17/1000*G17/1000)/4*F17</f>
        <v>111.83501380112772</v>
      </c>
      <c r="BA17" s="253">
        <f t="shared" ref="BA17:BA28" si="175">IF(AZ17&lt;SUM(AJ17:AQ17),0,AZ17)</f>
        <v>0</v>
      </c>
      <c r="BB17" s="253">
        <f t="shared" ref="BB17:BB28" si="176">IF(O17="ASFALTO",0.15*F17*K17,0)</f>
        <v>17.014800000000001</v>
      </c>
      <c r="BC17" s="253">
        <f t="shared" ref="BC17:BC28" si="177">BB17</f>
        <v>17.014800000000001</v>
      </c>
      <c r="BD17" s="253">
        <f t="shared" ref="BD17:BD28" si="178">IF(O17="ASFALTO",0.03*F17*K17,0)</f>
        <v>3.4029600000000002</v>
      </c>
      <c r="BE17" s="253">
        <f t="shared" ref="BE17:BE28" si="179">AT17-AW17-SUM(AU17:AV17)-BB17-BC17-AZ17</f>
        <v>194.90156000000007</v>
      </c>
      <c r="BF17" s="253">
        <f t="shared" ref="BF17:BF28" si="180">SUM(AJ17:AQ17)-AW17-BB17-AZ17</f>
        <v>245.2490168940999</v>
      </c>
      <c r="BG17" s="253">
        <f t="shared" ref="BG17:BG28" si="181">IF(SMALL(BE17:BF17,1)&lt;0,0,SMALL(BE17:BF17,1))</f>
        <v>194.90156000000007</v>
      </c>
      <c r="BH17" s="253">
        <f t="shared" ref="BH17:BH28" si="182">BF17-BG17</f>
        <v>50.347456894099821</v>
      </c>
      <c r="BI17" s="253">
        <f t="shared" ref="BI17:BI28" si="183">BE17-BG17</f>
        <v>0</v>
      </c>
      <c r="BJ17" s="241">
        <f t="shared" ref="BJ17:BJ28" si="184">IF($BI$29&gt;$BJ$31,($BJ$31/$BI$29)*BI17,BI17)</f>
        <v>0</v>
      </c>
      <c r="BK17" s="253">
        <f t="shared" ref="BK17:BK28" si="185">BI17-BJ17</f>
        <v>0</v>
      </c>
      <c r="BL17" s="253"/>
      <c r="BM17" s="253">
        <f t="shared" ref="BM17:BM28" si="186">IF(AW17+BB17&gt;0,4%*(AW17+BB17),0)</f>
        <v>0.68059200000000009</v>
      </c>
      <c r="BN17" s="249">
        <f t="shared" ref="BN17:BN28" si="187">IF(G17=400,H17,0)</f>
        <v>0</v>
      </c>
      <c r="BO17" s="254">
        <f t="shared" ref="BO17:BO28" si="188">IF(BN17&lt;=1.75,AND(BN17&gt;0)*F17,0)</f>
        <v>0</v>
      </c>
      <c r="BP17" s="254">
        <f t="shared" ref="BP17:BP28" si="189">IF(BN17&lt;=3,AND(BN17&gt;1.75)*F17,0)</f>
        <v>0</v>
      </c>
      <c r="BQ17" s="254">
        <f t="shared" ref="BQ17:BQ28" si="190">IF(G17=500,H17,0)</f>
        <v>0</v>
      </c>
      <c r="BR17" s="243">
        <f t="shared" ref="BR17:BR28" si="191">IF(BQ17&lt;=1.75,AND(BQ17&gt;0)*F17,0)</f>
        <v>0</v>
      </c>
      <c r="BS17" s="243">
        <f t="shared" ref="BS17:BS28" si="192">IF(BQ17&lt;=3,AND(BQ17&gt;1.75)*F17,0)</f>
        <v>0</v>
      </c>
      <c r="BT17" s="243">
        <f t="shared" ref="BT17:BT28" si="193">IF(G17=600,H17,0)</f>
        <v>0</v>
      </c>
      <c r="BU17" s="243">
        <f t="shared" ref="BU17:BU28" si="194">IF(BT17&lt;=3,AND(BT17&gt;0)*F17,0)</f>
        <v>0</v>
      </c>
      <c r="BV17" s="243">
        <f t="shared" ref="BV17:BV28" si="195">IF(BT17&lt;=6,AND(BT17&gt;3)*F17,0)</f>
        <v>0</v>
      </c>
      <c r="BW17" s="243">
        <f t="shared" ref="BW17:BW28" si="196">IF(BT17&lt;=9,AND(BT17&gt;6)*F17,0)</f>
        <v>0</v>
      </c>
      <c r="BX17" s="243">
        <f t="shared" ref="BX17:BX28" si="197">IF(G17=800,H17,0)</f>
        <v>0</v>
      </c>
      <c r="BY17" s="243">
        <f t="shared" ref="BY17:BY28" si="198">IF(BX17&lt;=3,AND(BX17&gt;0)*F17,0)</f>
        <v>0</v>
      </c>
      <c r="BZ17" s="243">
        <f t="shared" ref="BZ17:BZ28" si="199">IF(BX17&lt;=6,AND(BX17&gt;3)*F17,0)</f>
        <v>0</v>
      </c>
      <c r="CA17" s="243">
        <f t="shared" ref="CA17:CA28" si="200">IF(BX17&lt;=9,AND(BX17&gt;6)*F17,0)</f>
        <v>0</v>
      </c>
      <c r="CB17" s="243">
        <f t="shared" ref="CB17:CB28" si="201">IF(G17=1000,H17,0)</f>
        <v>0</v>
      </c>
      <c r="CC17" s="243">
        <f t="shared" ref="CC17:CC28" si="202">IF(CB17&lt;=3,AND(CB17&gt;0)*F17,0)</f>
        <v>0</v>
      </c>
      <c r="CD17" s="243">
        <f t="shared" ref="CD17:CD28" si="203">IF(CB17&lt;=6,AND(CB17&gt;3)*F17,0)</f>
        <v>0</v>
      </c>
      <c r="CE17" s="243">
        <f t="shared" ref="CE17:CE28" si="204">IF(CB17&lt;=9,AND(CB17&gt;6)*F17,0)</f>
        <v>0</v>
      </c>
      <c r="CF17" s="243">
        <f t="shared" ref="CF17:CF28" si="205">IF(G17=1200,H17,0)</f>
        <v>3.6549999999999998</v>
      </c>
      <c r="CG17" s="243">
        <f t="shared" ref="CG17:CG28" si="206">IF(CF17&lt;=3,AND(CF17&gt;0)*F17,0)</f>
        <v>0</v>
      </c>
      <c r="CH17" s="243">
        <f t="shared" ref="CH17:CH28" si="207">IF(CF17&lt;=6,AND(CF17&gt;3)*F17,0)</f>
        <v>51.56</v>
      </c>
      <c r="CI17" s="243">
        <f t="shared" ref="CI17:CI28" si="208">IF(CF17&lt;=9,AND(CF17&gt;6)*F17,0)</f>
        <v>0</v>
      </c>
      <c r="CJ17" s="255">
        <f t="shared" ref="CJ17:CJ28" si="209">IF(G17=1500,H17,0)</f>
        <v>0</v>
      </c>
      <c r="CK17" s="243">
        <f t="shared" ref="CK17:CK28" si="210">IF(CJ17&lt;=3,AND(CJ17&gt;0)*F17,0)</f>
        <v>0</v>
      </c>
      <c r="CL17" s="243">
        <f t="shared" ref="CL17:CL28" si="211">IF(CJ17&lt;=6,AND(CJ17&gt;3)*F17,0)</f>
        <v>0</v>
      </c>
      <c r="CM17" s="243">
        <f t="shared" ref="CM17:CM28" si="212">IF(CJ17&lt;=9,AND(CJ17&gt;6)*F17,0)</f>
        <v>0</v>
      </c>
      <c r="CN17" s="248">
        <f t="shared" ref="CN17:CN28" si="213">IF(G17=1650,F17,0)</f>
        <v>0</v>
      </c>
      <c r="CO17" s="248">
        <f t="shared" ref="CO17:CO28" si="214">IF(G17=1800,F17,0)</f>
        <v>0</v>
      </c>
      <c r="CP17" s="248">
        <f t="shared" ref="CP17:CP28" si="215">IF(G17=2000,F17,0)</f>
        <v>0</v>
      </c>
      <c r="CQ17" s="248">
        <f t="shared" ref="CQ17:CQ28" si="216">IF(G17=2200,F17,0)</f>
        <v>0</v>
      </c>
      <c r="CR17" s="248">
        <f t="shared" ref="CR17:CR28" si="217">IF(G17=2400,F17,0)</f>
        <v>0</v>
      </c>
      <c r="CS17" s="248">
        <f t="shared" ref="CS17:CS28" si="218">IF(G17=2600,F17,0)</f>
        <v>0</v>
      </c>
      <c r="CT17" s="256">
        <f t="shared" ref="CT17:CT28" si="219">IF(G17=3000,F17,0)</f>
        <v>0</v>
      </c>
      <c r="CU17" s="257">
        <f t="shared" ref="CU17:CU28" si="220">IF(G17&gt;=100,1,0)</f>
        <v>1</v>
      </c>
      <c r="CV17" s="257">
        <f t="shared" ref="CV17:CV28" si="221">IF(CU17=1,IF(G17&lt;=600,1,0))</f>
        <v>0</v>
      </c>
      <c r="CW17" s="257">
        <f t="shared" ref="CW17:CW28" si="222">IF(CU17=1,IF($G17=800,1,0))</f>
        <v>0</v>
      </c>
      <c r="CX17" s="257">
        <f t="shared" ref="CX17:CX28" si="223">IF(CU17=1,IF($G17=1000,1,0))</f>
        <v>0</v>
      </c>
      <c r="CY17" s="257">
        <f t="shared" ref="CY17:CY28" si="224">IF(CU17=1,IF($G17=1200,1,0))</f>
        <v>1</v>
      </c>
      <c r="CZ17" s="257">
        <f t="shared" ref="CZ17:CZ28" si="225">IF(CU17=1,IF($G17=1500,1,0))</f>
        <v>0</v>
      </c>
      <c r="DA17" s="258">
        <f t="shared" ref="DA17:DA28" si="226">IF(IF(G17&lt;=600,(D17-DB17),0)+IF(G17=800,(D17-DC17),0)+IF(G17&gt;=1000,D17-DD17,0)&lt;0,0,IF(G17&lt;=600,(D17-DB17),0)+IF(G17=800,(D17-DC17),0)+IF(G17&gt;=1000,D17-DD17,0))</f>
        <v>1.5299999999999998</v>
      </c>
      <c r="DB17" s="259">
        <v>1.3</v>
      </c>
      <c r="DC17" s="259">
        <v>1.4</v>
      </c>
      <c r="DD17" s="259">
        <v>2</v>
      </c>
      <c r="DE17" s="259">
        <v>2</v>
      </c>
      <c r="DF17" s="260">
        <v>2</v>
      </c>
      <c r="DG17" s="249">
        <f t="shared" ref="DG17:DG28" si="227">IF(K17&lt;=1.5,IF(H17&lt;1.5,H17*F17*2,F17*2*1.5),0)</f>
        <v>0</v>
      </c>
      <c r="DH17" s="261">
        <f t="shared" ref="DH17:DH28" si="228">IF(K17&lt;=1.5,IF(AND(H17&lt;3,H17&gt;1.5),(H17-1.5)*F17*2,IF(H17&gt;=3,(F17*2*1.5),0)),0)</f>
        <v>0</v>
      </c>
      <c r="DI17" s="261">
        <f t="shared" ref="DI17:DI28" si="229">IF(K17&lt;=1.5,IF(AND(H17&lt;4.5,H17&gt;3),(H17-3)*F17*2,IF(H17&gt;=4.5,(F17*2*1.5),0)),0)</f>
        <v>0</v>
      </c>
      <c r="DJ17" s="261">
        <f t="shared" ref="DJ17:DJ28" si="230">IF(AND(K17&lt;=2.5,K17&gt;1.5),IF(H17&lt;1.5,H17*F17*2,F17*2*1.5),0)</f>
        <v>154.68</v>
      </c>
      <c r="DK17" s="261">
        <f t="shared" ref="DK17:DK28" si="231">IF(AND(K17&gt;1.5,K17&lt;=2.5),IF(AND(H17&lt;3,H17&gt;1.5),(H17-1.5)*F17*2,IF(H17&gt;=3,(F17*2*1.5),0)),0)</f>
        <v>154.68</v>
      </c>
      <c r="DL17" s="261">
        <f t="shared" ref="DL17:DL28" si="232">IF(AND(K17&gt;1.5,K17&lt;=2.5),IF(AND(H17&lt;4.5,H17&gt;3),(H17-3)*F17*2,IF(H17&gt;=4.5,(F17*2*1.5),0)),0)</f>
        <v>67.543599999999984</v>
      </c>
      <c r="DM17" s="261">
        <f t="shared" ref="DM17:DM28" si="233">IF(AND(K17&lt;=3.5,K17&gt;2.5),IF(H17&lt;1.5,H17*F17*2,F17*2*1.5),0)</f>
        <v>0</v>
      </c>
      <c r="DN17" s="261">
        <f t="shared" ref="DN17:DN28" si="234">IF(AND(K17&gt;2.5,K17&lt;=3.5),IF(AND(H17&lt;3,H17&gt;1.5),(H17-1.5)*F17*2,IF(H17&gt;=3,(F17*2*1.5),0)),0)</f>
        <v>0</v>
      </c>
      <c r="DO17" s="261">
        <f t="shared" ref="DO17:DO28" si="235">IF(AND(K17&gt;2.5,K17&lt;=3.5),IF(AND(H17&lt;4.5,H17&gt;3),(H17-3)*F17*2,IF(H17&gt;=4.5,(F17*2*1.5),0)),0)</f>
        <v>0</v>
      </c>
      <c r="DP17" s="261">
        <f t="shared" ref="DP17:DP28" si="236">IF(AND(K17&gt;2.5,K17&lt;=3.5),IF(AND(H17&lt;6,H17&gt;4.5),(H17-4.5)*F17*2,IF(H17&gt;=6,(F17*2*1.5),0)),0)</f>
        <v>0</v>
      </c>
    </row>
    <row r="18" spans="1:120" x14ac:dyDescent="0.25">
      <c r="A18" s="220" t="s">
        <v>2420</v>
      </c>
      <c r="B18" s="237"/>
      <c r="C18" s="238" t="str">
        <f>'Planilha Hidráulica'!B22</f>
        <v>PV2.1-&gt;PV3.1</v>
      </c>
      <c r="D18" s="239">
        <f>'Planilha Hidráulica'!R22</f>
        <v>3</v>
      </c>
      <c r="E18" s="239">
        <f>'Planilha Hidráulica'!S22</f>
        <v>3</v>
      </c>
      <c r="F18" s="239">
        <f>'Planilha Hidráulica'!K22</f>
        <v>18.510000000000002</v>
      </c>
      <c r="G18" s="238">
        <f>'Planilha Hidráulica'!M22</f>
        <v>1200</v>
      </c>
      <c r="H18" s="240">
        <f t="shared" si="140"/>
        <v>3.39</v>
      </c>
      <c r="I18" s="241">
        <f t="shared" si="141"/>
        <v>3.1374450000000005</v>
      </c>
      <c r="J18" s="242">
        <v>0</v>
      </c>
      <c r="K18" s="243">
        <f t="shared" si="142"/>
        <v>2.2000000000000002</v>
      </c>
      <c r="L18" s="243">
        <f t="shared" si="143"/>
        <v>2.2000000000000002</v>
      </c>
      <c r="M18" s="243">
        <f>'Planilha Hidráulica'!X22</f>
        <v>1000</v>
      </c>
      <c r="N18" s="243">
        <f t="shared" si="144"/>
        <v>40.722000000000008</v>
      </c>
      <c r="O18" s="244" t="str">
        <f>'Planilha Hidráulica'!W22</f>
        <v>ASFALTO</v>
      </c>
      <c r="P18" s="244" t="s">
        <v>2421</v>
      </c>
      <c r="Q18" s="244"/>
      <c r="R18" s="244">
        <v>5</v>
      </c>
      <c r="S18" s="244">
        <v>5</v>
      </c>
      <c r="T18" s="243">
        <f t="shared" si="145"/>
        <v>0.15</v>
      </c>
      <c r="U18" s="245">
        <f t="shared" si="146"/>
        <v>14.537720004486768</v>
      </c>
      <c r="V18" s="246">
        <f t="shared" si="147"/>
        <v>123.50985999551327</v>
      </c>
      <c r="W18" s="247">
        <f t="shared" si="148"/>
        <v>0</v>
      </c>
      <c r="X18" s="247">
        <f t="shared" si="149"/>
        <v>0</v>
      </c>
      <c r="Y18" s="248">
        <f t="shared" si="150"/>
        <v>3.39</v>
      </c>
      <c r="Z18" s="248">
        <f t="shared" si="151"/>
        <v>0</v>
      </c>
      <c r="AA18" s="249">
        <f t="shared" si="152"/>
        <v>40.722000000000008</v>
      </c>
      <c r="AB18" s="250">
        <f t="shared" si="153"/>
        <v>0</v>
      </c>
      <c r="AC18" s="251">
        <f t="shared" si="154"/>
        <v>0</v>
      </c>
      <c r="AD18" s="251">
        <f t="shared" si="155"/>
        <v>0</v>
      </c>
      <c r="AE18" s="251">
        <f t="shared" si="156"/>
        <v>0</v>
      </c>
      <c r="AF18" s="251">
        <f t="shared" si="157"/>
        <v>0</v>
      </c>
      <c r="AG18" s="251">
        <f t="shared" si="158"/>
        <v>0</v>
      </c>
      <c r="AH18" s="251">
        <f t="shared" si="159"/>
        <v>0</v>
      </c>
      <c r="AI18" s="251">
        <f t="shared" si="160"/>
        <v>0</v>
      </c>
      <c r="AJ18" s="252">
        <f t="shared" si="161"/>
        <v>0</v>
      </c>
      <c r="AK18" s="252">
        <f t="shared" si="162"/>
        <v>0</v>
      </c>
      <c r="AL18" s="252">
        <f t="shared" si="163"/>
        <v>61.083000000000013</v>
      </c>
      <c r="AM18" s="252">
        <f>IF(IF(AND(K18&lt;=2.5,K18&gt;1.5),IF(Y18&gt;=3,L18*F18*1.5,K18*F18*(Y18-1.5)),0)&lt;0,0,IF(AND(K18&lt;=2.5,K18&gt;1.5),IF(Y18&gt;=3,L18*F18*1.5,K18*F18*(Y18-1.5)),0))-U18</f>
        <v>46.545279995513241</v>
      </c>
      <c r="AN18" s="252">
        <f>IF(IF(K18&lt;=2.5,IF(Y18&gt;=4.5,L18*F18*1.5,K18*F18*(Y18-3)),0)&lt;0,0,IF(K18&lt;=2.5,IF(Y18&gt;=4.5,L18*F18*1.5,K18*F18*(Y18-3)),0))</f>
        <v>15.881580000000008</v>
      </c>
      <c r="AO18" s="252">
        <f t="shared" si="164"/>
        <v>0</v>
      </c>
      <c r="AP18" s="252">
        <f t="shared" si="165"/>
        <v>0</v>
      </c>
      <c r="AQ18" s="252">
        <f t="shared" si="166"/>
        <v>0</v>
      </c>
      <c r="AR18" s="253">
        <f t="shared" si="167"/>
        <v>0</v>
      </c>
      <c r="AS18" s="243">
        <f t="shared" si="168"/>
        <v>0</v>
      </c>
      <c r="AT18" s="253">
        <f t="shared" si="169"/>
        <v>118.6132631935391</v>
      </c>
      <c r="AU18" s="241">
        <f t="shared" si="170"/>
        <v>0</v>
      </c>
      <c r="AV18" s="246">
        <f t="shared" si="171"/>
        <v>6.1083000000000007</v>
      </c>
      <c r="AW18" s="253">
        <f t="shared" si="172"/>
        <v>0</v>
      </c>
      <c r="AX18" s="253">
        <f t="shared" si="23"/>
        <v>0</v>
      </c>
      <c r="AY18" s="253">
        <f t="shared" si="173"/>
        <v>1.5</v>
      </c>
      <c r="AZ18" s="253">
        <f t="shared" si="174"/>
        <v>40.148683193539064</v>
      </c>
      <c r="BA18" s="253">
        <f t="shared" si="175"/>
        <v>0</v>
      </c>
      <c r="BB18" s="253">
        <f t="shared" si="176"/>
        <v>6.1083000000000007</v>
      </c>
      <c r="BC18" s="253">
        <f t="shared" si="177"/>
        <v>6.1083000000000007</v>
      </c>
      <c r="BD18" s="253">
        <f t="shared" si="178"/>
        <v>1.2216600000000002</v>
      </c>
      <c r="BE18" s="253">
        <f t="shared" si="179"/>
        <v>60.139680000000034</v>
      </c>
      <c r="BF18" s="253">
        <f t="shared" si="180"/>
        <v>77.252876801974196</v>
      </c>
      <c r="BG18" s="253">
        <f t="shared" si="181"/>
        <v>60.139680000000034</v>
      </c>
      <c r="BH18" s="253">
        <f t="shared" si="182"/>
        <v>17.113196801974162</v>
      </c>
      <c r="BI18" s="253">
        <f t="shared" si="183"/>
        <v>0</v>
      </c>
      <c r="BJ18" s="241">
        <f t="shared" si="184"/>
        <v>0</v>
      </c>
      <c r="BK18" s="253">
        <f t="shared" si="185"/>
        <v>0</v>
      </c>
      <c r="BL18" s="253"/>
      <c r="BM18" s="253">
        <f t="shared" si="186"/>
        <v>0.24433200000000002</v>
      </c>
      <c r="BN18" s="249">
        <f t="shared" si="187"/>
        <v>0</v>
      </c>
      <c r="BO18" s="254">
        <f t="shared" si="188"/>
        <v>0</v>
      </c>
      <c r="BP18" s="254">
        <f t="shared" si="189"/>
        <v>0</v>
      </c>
      <c r="BQ18" s="254">
        <f t="shared" si="190"/>
        <v>0</v>
      </c>
      <c r="BR18" s="243">
        <f t="shared" si="191"/>
        <v>0</v>
      </c>
      <c r="BS18" s="243">
        <f t="shared" si="192"/>
        <v>0</v>
      </c>
      <c r="BT18" s="243">
        <f t="shared" si="193"/>
        <v>0</v>
      </c>
      <c r="BU18" s="243">
        <f t="shared" si="194"/>
        <v>0</v>
      </c>
      <c r="BV18" s="243">
        <f t="shared" si="195"/>
        <v>0</v>
      </c>
      <c r="BW18" s="243">
        <f t="shared" si="196"/>
        <v>0</v>
      </c>
      <c r="BX18" s="243">
        <f t="shared" si="197"/>
        <v>0</v>
      </c>
      <c r="BY18" s="243">
        <f t="shared" si="198"/>
        <v>0</v>
      </c>
      <c r="BZ18" s="243">
        <f t="shared" si="199"/>
        <v>0</v>
      </c>
      <c r="CA18" s="243">
        <f t="shared" si="200"/>
        <v>0</v>
      </c>
      <c r="CB18" s="243">
        <f t="shared" si="201"/>
        <v>0</v>
      </c>
      <c r="CC18" s="243">
        <f t="shared" si="202"/>
        <v>0</v>
      </c>
      <c r="CD18" s="243">
        <f t="shared" si="203"/>
        <v>0</v>
      </c>
      <c r="CE18" s="243">
        <f t="shared" si="204"/>
        <v>0</v>
      </c>
      <c r="CF18" s="243">
        <f t="shared" si="205"/>
        <v>3.39</v>
      </c>
      <c r="CG18" s="243">
        <f t="shared" si="206"/>
        <v>0</v>
      </c>
      <c r="CH18" s="243">
        <f t="shared" si="207"/>
        <v>18.510000000000002</v>
      </c>
      <c r="CI18" s="243">
        <f t="shared" si="208"/>
        <v>0</v>
      </c>
      <c r="CJ18" s="255">
        <f t="shared" si="209"/>
        <v>0</v>
      </c>
      <c r="CK18" s="243">
        <f t="shared" si="210"/>
        <v>0</v>
      </c>
      <c r="CL18" s="243">
        <f t="shared" si="211"/>
        <v>0</v>
      </c>
      <c r="CM18" s="243">
        <f t="shared" si="212"/>
        <v>0</v>
      </c>
      <c r="CN18" s="248">
        <f t="shared" si="213"/>
        <v>0</v>
      </c>
      <c r="CO18" s="248">
        <f t="shared" si="214"/>
        <v>0</v>
      </c>
      <c r="CP18" s="248">
        <f t="shared" si="215"/>
        <v>0</v>
      </c>
      <c r="CQ18" s="248">
        <f t="shared" si="216"/>
        <v>0</v>
      </c>
      <c r="CR18" s="248">
        <f t="shared" si="217"/>
        <v>0</v>
      </c>
      <c r="CS18" s="248">
        <f t="shared" si="218"/>
        <v>0</v>
      </c>
      <c r="CT18" s="256">
        <f t="shared" si="219"/>
        <v>0</v>
      </c>
      <c r="CU18" s="257">
        <f t="shared" si="220"/>
        <v>1</v>
      </c>
      <c r="CV18" s="257">
        <f t="shared" si="221"/>
        <v>0</v>
      </c>
      <c r="CW18" s="257">
        <f t="shared" si="222"/>
        <v>0</v>
      </c>
      <c r="CX18" s="257">
        <f t="shared" si="223"/>
        <v>0</v>
      </c>
      <c r="CY18" s="257">
        <f t="shared" si="224"/>
        <v>1</v>
      </c>
      <c r="CZ18" s="257">
        <f t="shared" si="225"/>
        <v>0</v>
      </c>
      <c r="DA18" s="258">
        <f t="shared" si="226"/>
        <v>1</v>
      </c>
      <c r="DB18" s="259">
        <v>1.3</v>
      </c>
      <c r="DC18" s="259">
        <v>1.4</v>
      </c>
      <c r="DD18" s="259">
        <v>2</v>
      </c>
      <c r="DE18" s="259">
        <v>2</v>
      </c>
      <c r="DF18" s="260">
        <v>2</v>
      </c>
      <c r="DG18" s="249">
        <f t="shared" si="227"/>
        <v>0</v>
      </c>
      <c r="DH18" s="261">
        <f t="shared" si="228"/>
        <v>0</v>
      </c>
      <c r="DI18" s="261">
        <f t="shared" si="229"/>
        <v>0</v>
      </c>
      <c r="DJ18" s="261">
        <f t="shared" si="230"/>
        <v>55.53</v>
      </c>
      <c r="DK18" s="261">
        <f t="shared" si="231"/>
        <v>55.53</v>
      </c>
      <c r="DL18" s="261">
        <f t="shared" si="232"/>
        <v>14.437800000000006</v>
      </c>
      <c r="DM18" s="261">
        <f t="shared" si="233"/>
        <v>0</v>
      </c>
      <c r="DN18" s="261">
        <f t="shared" si="234"/>
        <v>0</v>
      </c>
      <c r="DO18" s="261">
        <f t="shared" si="235"/>
        <v>0</v>
      </c>
      <c r="DP18" s="261">
        <f t="shared" si="236"/>
        <v>0</v>
      </c>
    </row>
    <row r="19" spans="1:120" x14ac:dyDescent="0.25">
      <c r="A19" s="220" t="s">
        <v>2420</v>
      </c>
      <c r="B19" s="237"/>
      <c r="C19" s="238" t="str">
        <f>'Planilha Hidráulica'!B23</f>
        <v>PV3.1-&gt;PV4.1</v>
      </c>
      <c r="D19" s="239">
        <f>'Planilha Hidráulica'!R23</f>
        <v>3</v>
      </c>
      <c r="E19" s="239">
        <f>'Planilha Hidráulica'!S23</f>
        <v>3.01</v>
      </c>
      <c r="F19" s="239">
        <f>'Planilha Hidráulica'!K23</f>
        <v>37.4</v>
      </c>
      <c r="G19" s="238">
        <f>'Planilha Hidráulica'!M23</f>
        <v>1200</v>
      </c>
      <c r="H19" s="240">
        <f t="shared" si="140"/>
        <v>3.395</v>
      </c>
      <c r="I19" s="241">
        <f t="shared" si="141"/>
        <v>6.3486500000000001</v>
      </c>
      <c r="J19" s="242">
        <v>0</v>
      </c>
      <c r="K19" s="243">
        <f t="shared" si="142"/>
        <v>2.2000000000000002</v>
      </c>
      <c r="L19" s="243">
        <f t="shared" si="143"/>
        <v>2.2000000000000002</v>
      </c>
      <c r="M19" s="243">
        <f>'Planilha Hidráulica'!X23</f>
        <v>1000</v>
      </c>
      <c r="N19" s="243">
        <f t="shared" si="144"/>
        <v>82.28</v>
      </c>
      <c r="O19" s="244" t="str">
        <f>'Planilha Hidráulica'!W23</f>
        <v>ASFALTO</v>
      </c>
      <c r="P19" s="244" t="s">
        <v>2422</v>
      </c>
      <c r="Q19" s="244"/>
      <c r="R19" s="244">
        <v>5</v>
      </c>
      <c r="S19" s="244">
        <v>3.7</v>
      </c>
      <c r="T19" s="243">
        <f t="shared" si="145"/>
        <v>0.15</v>
      </c>
      <c r="U19" s="245">
        <f t="shared" si="146"/>
        <v>29.373891311064565</v>
      </c>
      <c r="V19" s="246">
        <f t="shared" si="147"/>
        <v>249.96670868893543</v>
      </c>
      <c r="W19" s="247">
        <f t="shared" si="148"/>
        <v>0</v>
      </c>
      <c r="X19" s="247">
        <f t="shared" si="149"/>
        <v>0</v>
      </c>
      <c r="Y19" s="248">
        <f t="shared" si="150"/>
        <v>3.395</v>
      </c>
      <c r="Z19" s="248">
        <f t="shared" si="151"/>
        <v>0</v>
      </c>
      <c r="AA19" s="249">
        <f t="shared" si="152"/>
        <v>82.28</v>
      </c>
      <c r="AB19" s="250">
        <f t="shared" si="153"/>
        <v>0</v>
      </c>
      <c r="AC19" s="251">
        <f t="shared" si="154"/>
        <v>0</v>
      </c>
      <c r="AD19" s="251">
        <f t="shared" si="155"/>
        <v>0</v>
      </c>
      <c r="AE19" s="251">
        <f t="shared" si="156"/>
        <v>0</v>
      </c>
      <c r="AF19" s="251">
        <f t="shared" si="157"/>
        <v>0</v>
      </c>
      <c r="AG19" s="251">
        <f t="shared" si="158"/>
        <v>0</v>
      </c>
      <c r="AH19" s="251">
        <f t="shared" si="159"/>
        <v>0</v>
      </c>
      <c r="AI19" s="251">
        <f t="shared" si="160"/>
        <v>0</v>
      </c>
      <c r="AJ19" s="252">
        <f t="shared" si="161"/>
        <v>0</v>
      </c>
      <c r="AK19" s="252">
        <f t="shared" si="162"/>
        <v>0</v>
      </c>
      <c r="AL19" s="252">
        <f t="shared" si="163"/>
        <v>123.42</v>
      </c>
      <c r="AM19" s="252">
        <f>IF(IF(AND(K19&lt;=2.5,K19&gt;1.5),IF(Y19&gt;=3,L19*F19*1.5,K19*F19*(Y19-1.5)),0)&lt;0,0,IF(AND(K19&lt;=2.5,K19&gt;1.5),IF(Y19&gt;=3,L19*F19*1.5,K19*F19*(Y19-1.5)),0))-U19</f>
        <v>94.046108688935433</v>
      </c>
      <c r="AN19" s="252">
        <f>IF(IF(K19&lt;=2.5,IF(Y19&gt;=4.5,L19*F19*1.5,K19*F19*(Y19-3)),0)&lt;0,0,IF(K19&lt;=2.5,IF(Y19&gt;=4.5,L19*F19*1.5,K19*F19*(Y19-3)),0))</f>
        <v>32.500599999999999</v>
      </c>
      <c r="AO19" s="252">
        <f t="shared" si="164"/>
        <v>0</v>
      </c>
      <c r="AP19" s="252">
        <f t="shared" si="165"/>
        <v>0</v>
      </c>
      <c r="AQ19" s="252">
        <f t="shared" si="166"/>
        <v>0</v>
      </c>
      <c r="AR19" s="253">
        <f t="shared" si="167"/>
        <v>0</v>
      </c>
      <c r="AS19" s="243">
        <f t="shared" si="168"/>
        <v>0</v>
      </c>
      <c r="AT19" s="253">
        <f t="shared" si="169"/>
        <v>238.54219651206702</v>
      </c>
      <c r="AU19" s="241">
        <f t="shared" si="170"/>
        <v>0</v>
      </c>
      <c r="AV19" s="246">
        <f t="shared" si="171"/>
        <v>12.342000000000001</v>
      </c>
      <c r="AW19" s="253">
        <f t="shared" si="172"/>
        <v>0</v>
      </c>
      <c r="AX19" s="253">
        <f t="shared" si="23"/>
        <v>0</v>
      </c>
      <c r="AY19" s="253">
        <f t="shared" si="173"/>
        <v>1.5</v>
      </c>
      <c r="AZ19" s="253">
        <f t="shared" si="174"/>
        <v>81.121596512067029</v>
      </c>
      <c r="BA19" s="253">
        <f t="shared" si="175"/>
        <v>0</v>
      </c>
      <c r="BB19" s="253">
        <f t="shared" si="176"/>
        <v>12.342000000000001</v>
      </c>
      <c r="BC19" s="253">
        <f t="shared" si="177"/>
        <v>12.342000000000001</v>
      </c>
      <c r="BD19" s="253">
        <f t="shared" si="178"/>
        <v>2.4683999999999999</v>
      </c>
      <c r="BE19" s="253">
        <f t="shared" si="179"/>
        <v>120.39459999999995</v>
      </c>
      <c r="BF19" s="253">
        <f t="shared" si="180"/>
        <v>156.5031121768684</v>
      </c>
      <c r="BG19" s="253">
        <f t="shared" si="181"/>
        <v>120.39459999999995</v>
      </c>
      <c r="BH19" s="253">
        <f t="shared" si="182"/>
        <v>36.108512176868444</v>
      </c>
      <c r="BI19" s="253">
        <f t="shared" si="183"/>
        <v>0</v>
      </c>
      <c r="BJ19" s="241">
        <f t="shared" si="184"/>
        <v>0</v>
      </c>
      <c r="BK19" s="253">
        <f t="shared" si="185"/>
        <v>0</v>
      </c>
      <c r="BL19" s="253"/>
      <c r="BM19" s="253">
        <f t="shared" si="186"/>
        <v>0.49368000000000001</v>
      </c>
      <c r="BN19" s="249">
        <f t="shared" si="187"/>
        <v>0</v>
      </c>
      <c r="BO19" s="254">
        <f t="shared" si="188"/>
        <v>0</v>
      </c>
      <c r="BP19" s="254">
        <f t="shared" si="189"/>
        <v>0</v>
      </c>
      <c r="BQ19" s="254">
        <f t="shared" si="190"/>
        <v>0</v>
      </c>
      <c r="BR19" s="243">
        <f t="shared" si="191"/>
        <v>0</v>
      </c>
      <c r="BS19" s="243">
        <f t="shared" si="192"/>
        <v>0</v>
      </c>
      <c r="BT19" s="243">
        <f t="shared" si="193"/>
        <v>0</v>
      </c>
      <c r="BU19" s="243">
        <f t="shared" si="194"/>
        <v>0</v>
      </c>
      <c r="BV19" s="243">
        <f t="shared" si="195"/>
        <v>0</v>
      </c>
      <c r="BW19" s="243">
        <f t="shared" si="196"/>
        <v>0</v>
      </c>
      <c r="BX19" s="243">
        <f t="shared" si="197"/>
        <v>0</v>
      </c>
      <c r="BY19" s="243">
        <f t="shared" si="198"/>
        <v>0</v>
      </c>
      <c r="BZ19" s="243">
        <f t="shared" si="199"/>
        <v>0</v>
      </c>
      <c r="CA19" s="243">
        <f t="shared" si="200"/>
        <v>0</v>
      </c>
      <c r="CB19" s="243">
        <f t="shared" si="201"/>
        <v>0</v>
      </c>
      <c r="CC19" s="243">
        <f t="shared" si="202"/>
        <v>0</v>
      </c>
      <c r="CD19" s="243">
        <f t="shared" si="203"/>
        <v>0</v>
      </c>
      <c r="CE19" s="243">
        <f t="shared" si="204"/>
        <v>0</v>
      </c>
      <c r="CF19" s="243">
        <f t="shared" si="205"/>
        <v>3.395</v>
      </c>
      <c r="CG19" s="243">
        <f t="shared" si="206"/>
        <v>0</v>
      </c>
      <c r="CH19" s="243">
        <f t="shared" si="207"/>
        <v>37.4</v>
      </c>
      <c r="CI19" s="243">
        <f t="shared" si="208"/>
        <v>0</v>
      </c>
      <c r="CJ19" s="255">
        <f t="shared" si="209"/>
        <v>0</v>
      </c>
      <c r="CK19" s="243">
        <f t="shared" si="210"/>
        <v>0</v>
      </c>
      <c r="CL19" s="243">
        <f t="shared" si="211"/>
        <v>0</v>
      </c>
      <c r="CM19" s="243">
        <f t="shared" si="212"/>
        <v>0</v>
      </c>
      <c r="CN19" s="248">
        <f t="shared" si="213"/>
        <v>0</v>
      </c>
      <c r="CO19" s="248">
        <f t="shared" si="214"/>
        <v>0</v>
      </c>
      <c r="CP19" s="248">
        <f t="shared" si="215"/>
        <v>0</v>
      </c>
      <c r="CQ19" s="248">
        <f t="shared" si="216"/>
        <v>0</v>
      </c>
      <c r="CR19" s="248">
        <f t="shared" si="217"/>
        <v>0</v>
      </c>
      <c r="CS19" s="248">
        <f t="shared" si="218"/>
        <v>0</v>
      </c>
      <c r="CT19" s="256">
        <f t="shared" si="219"/>
        <v>0</v>
      </c>
      <c r="CU19" s="257">
        <f t="shared" si="220"/>
        <v>1</v>
      </c>
      <c r="CV19" s="257">
        <f t="shared" si="221"/>
        <v>0</v>
      </c>
      <c r="CW19" s="257">
        <f t="shared" si="222"/>
        <v>0</v>
      </c>
      <c r="CX19" s="257">
        <f t="shared" si="223"/>
        <v>0</v>
      </c>
      <c r="CY19" s="257">
        <f t="shared" si="224"/>
        <v>1</v>
      </c>
      <c r="CZ19" s="257">
        <f t="shared" si="225"/>
        <v>0</v>
      </c>
      <c r="DA19" s="258">
        <f t="shared" si="226"/>
        <v>1</v>
      </c>
      <c r="DB19" s="259">
        <v>1.3</v>
      </c>
      <c r="DC19" s="259">
        <v>1.4</v>
      </c>
      <c r="DD19" s="259">
        <v>2</v>
      </c>
      <c r="DE19" s="259">
        <v>2</v>
      </c>
      <c r="DF19" s="260">
        <v>2</v>
      </c>
      <c r="DG19" s="249">
        <f t="shared" si="227"/>
        <v>0</v>
      </c>
      <c r="DH19" s="261">
        <f t="shared" si="228"/>
        <v>0</v>
      </c>
      <c r="DI19" s="261">
        <f t="shared" si="229"/>
        <v>0</v>
      </c>
      <c r="DJ19" s="261">
        <f t="shared" si="230"/>
        <v>112.19999999999999</v>
      </c>
      <c r="DK19" s="261">
        <f t="shared" si="231"/>
        <v>112.19999999999999</v>
      </c>
      <c r="DL19" s="261">
        <f t="shared" si="232"/>
        <v>29.545999999999999</v>
      </c>
      <c r="DM19" s="261">
        <f t="shared" si="233"/>
        <v>0</v>
      </c>
      <c r="DN19" s="261">
        <f t="shared" si="234"/>
        <v>0</v>
      </c>
      <c r="DO19" s="261">
        <f t="shared" si="235"/>
        <v>0</v>
      </c>
      <c r="DP19" s="261">
        <f t="shared" si="236"/>
        <v>0</v>
      </c>
    </row>
    <row r="20" spans="1:120" x14ac:dyDescent="0.25">
      <c r="A20" s="220" t="s">
        <v>2420</v>
      </c>
      <c r="B20" s="237"/>
      <c r="C20" s="238" t="str">
        <f>'Planilha Hidráulica'!B24</f>
        <v>PV4.1-&gt;PV5.1</v>
      </c>
      <c r="D20" s="239">
        <f>'Planilha Hidráulica'!R24</f>
        <v>3.01</v>
      </c>
      <c r="E20" s="239">
        <f>'Planilha Hidráulica'!S24</f>
        <v>3</v>
      </c>
      <c r="F20" s="239">
        <f>'Planilha Hidráulica'!K24</f>
        <v>37.4</v>
      </c>
      <c r="G20" s="238">
        <f>'Planilha Hidráulica'!M24</f>
        <v>1200</v>
      </c>
      <c r="H20" s="240">
        <f t="shared" si="140"/>
        <v>3.395</v>
      </c>
      <c r="I20" s="241">
        <f t="shared" si="141"/>
        <v>6.3486500000000001</v>
      </c>
      <c r="J20" s="242">
        <v>0</v>
      </c>
      <c r="K20" s="243">
        <f t="shared" si="142"/>
        <v>2.2000000000000002</v>
      </c>
      <c r="L20" s="243">
        <f t="shared" si="143"/>
        <v>2.2000000000000002</v>
      </c>
      <c r="M20" s="243">
        <f>'Planilha Hidráulica'!X24</f>
        <v>1000</v>
      </c>
      <c r="N20" s="243">
        <f t="shared" si="144"/>
        <v>82.28</v>
      </c>
      <c r="O20" s="244" t="str">
        <f>'Planilha Hidráulica'!W24</f>
        <v>ASFALTO</v>
      </c>
      <c r="P20" s="244" t="s">
        <v>2422</v>
      </c>
      <c r="Q20" s="244"/>
      <c r="R20" s="244">
        <v>5</v>
      </c>
      <c r="S20" s="244">
        <v>3.7</v>
      </c>
      <c r="T20" s="243">
        <f t="shared" si="145"/>
        <v>0.15</v>
      </c>
      <c r="U20" s="245">
        <f t="shared" si="146"/>
        <v>29.373891311064565</v>
      </c>
      <c r="V20" s="246">
        <f t="shared" si="147"/>
        <v>249.96670868893543</v>
      </c>
      <c r="W20" s="247">
        <f t="shared" si="148"/>
        <v>0</v>
      </c>
      <c r="X20" s="247">
        <f t="shared" si="149"/>
        <v>0</v>
      </c>
      <c r="Y20" s="248">
        <f t="shared" si="150"/>
        <v>3.395</v>
      </c>
      <c r="Z20" s="248">
        <f t="shared" si="151"/>
        <v>0</v>
      </c>
      <c r="AA20" s="249">
        <f t="shared" si="152"/>
        <v>82.28</v>
      </c>
      <c r="AB20" s="250">
        <f t="shared" si="153"/>
        <v>0</v>
      </c>
      <c r="AC20" s="251">
        <f t="shared" si="154"/>
        <v>0</v>
      </c>
      <c r="AD20" s="251">
        <f t="shared" si="155"/>
        <v>0</v>
      </c>
      <c r="AE20" s="251">
        <f t="shared" si="156"/>
        <v>0</v>
      </c>
      <c r="AF20" s="251">
        <f t="shared" si="157"/>
        <v>0</v>
      </c>
      <c r="AG20" s="251">
        <f t="shared" si="158"/>
        <v>0</v>
      </c>
      <c r="AH20" s="251">
        <f t="shared" si="159"/>
        <v>0</v>
      </c>
      <c r="AI20" s="251">
        <f t="shared" si="160"/>
        <v>0</v>
      </c>
      <c r="AJ20" s="252">
        <f t="shared" si="161"/>
        <v>0</v>
      </c>
      <c r="AK20" s="252">
        <f t="shared" si="162"/>
        <v>0</v>
      </c>
      <c r="AL20" s="252">
        <f t="shared" si="163"/>
        <v>123.42</v>
      </c>
      <c r="AM20" s="252">
        <f>IF(IF(AND(K20&lt;=2.5,K20&gt;1.5),IF(Y20&gt;=3,L20*F20*1.5,K20*F20*(Y20-1.5)),0)&lt;0,0,IF(AND(K20&lt;=2.5,K20&gt;1.5),IF(Y20&gt;=3,L20*F20*1.5,K20*F20*(Y20-1.5)),0))-U20</f>
        <v>94.046108688935433</v>
      </c>
      <c r="AN20" s="252">
        <f>IF(IF(K20&lt;=2.5,IF(Y20&gt;=4.5,L20*F20*1.5,K20*F20*(Y20-3)),0)&lt;0,0,IF(K20&lt;=2.5,IF(Y20&gt;=4.5,L20*F20*1.5,K20*F20*(Y20-3)),0))</f>
        <v>32.500599999999999</v>
      </c>
      <c r="AO20" s="252">
        <f t="shared" si="164"/>
        <v>0</v>
      </c>
      <c r="AP20" s="252">
        <f t="shared" si="165"/>
        <v>0</v>
      </c>
      <c r="AQ20" s="252">
        <f t="shared" si="166"/>
        <v>0</v>
      </c>
      <c r="AR20" s="253">
        <f t="shared" si="167"/>
        <v>0</v>
      </c>
      <c r="AS20" s="243">
        <f t="shared" si="168"/>
        <v>0</v>
      </c>
      <c r="AT20" s="253">
        <f t="shared" si="169"/>
        <v>238.54219651206702</v>
      </c>
      <c r="AU20" s="241">
        <f t="shared" si="170"/>
        <v>0</v>
      </c>
      <c r="AV20" s="246">
        <f t="shared" si="171"/>
        <v>12.342000000000001</v>
      </c>
      <c r="AW20" s="253">
        <f t="shared" si="172"/>
        <v>0</v>
      </c>
      <c r="AX20" s="253">
        <f t="shared" si="23"/>
        <v>0</v>
      </c>
      <c r="AY20" s="253">
        <f t="shared" si="173"/>
        <v>1.5</v>
      </c>
      <c r="AZ20" s="253">
        <f t="shared" si="174"/>
        <v>81.121596512067029</v>
      </c>
      <c r="BA20" s="253">
        <f t="shared" si="175"/>
        <v>0</v>
      </c>
      <c r="BB20" s="253">
        <f t="shared" si="176"/>
        <v>12.342000000000001</v>
      </c>
      <c r="BC20" s="253">
        <f t="shared" si="177"/>
        <v>12.342000000000001</v>
      </c>
      <c r="BD20" s="253">
        <f t="shared" si="178"/>
        <v>2.4683999999999999</v>
      </c>
      <c r="BE20" s="253">
        <f t="shared" si="179"/>
        <v>120.39459999999995</v>
      </c>
      <c r="BF20" s="253">
        <f t="shared" si="180"/>
        <v>156.5031121768684</v>
      </c>
      <c r="BG20" s="253">
        <f t="shared" si="181"/>
        <v>120.39459999999995</v>
      </c>
      <c r="BH20" s="253">
        <f t="shared" si="182"/>
        <v>36.108512176868444</v>
      </c>
      <c r="BI20" s="253">
        <f t="shared" si="183"/>
        <v>0</v>
      </c>
      <c r="BJ20" s="241">
        <f t="shared" si="184"/>
        <v>0</v>
      </c>
      <c r="BK20" s="253">
        <f t="shared" si="185"/>
        <v>0</v>
      </c>
      <c r="BL20" s="253"/>
      <c r="BM20" s="253">
        <f t="shared" si="186"/>
        <v>0.49368000000000001</v>
      </c>
      <c r="BN20" s="249">
        <f t="shared" si="187"/>
        <v>0</v>
      </c>
      <c r="BO20" s="254">
        <f t="shared" si="188"/>
        <v>0</v>
      </c>
      <c r="BP20" s="254">
        <f t="shared" si="189"/>
        <v>0</v>
      </c>
      <c r="BQ20" s="254">
        <f t="shared" si="190"/>
        <v>0</v>
      </c>
      <c r="BR20" s="243">
        <f t="shared" si="191"/>
        <v>0</v>
      </c>
      <c r="BS20" s="243">
        <f t="shared" si="192"/>
        <v>0</v>
      </c>
      <c r="BT20" s="243">
        <f t="shared" si="193"/>
        <v>0</v>
      </c>
      <c r="BU20" s="243">
        <f t="shared" si="194"/>
        <v>0</v>
      </c>
      <c r="BV20" s="243">
        <f t="shared" si="195"/>
        <v>0</v>
      </c>
      <c r="BW20" s="243">
        <f t="shared" si="196"/>
        <v>0</v>
      </c>
      <c r="BX20" s="243">
        <f t="shared" si="197"/>
        <v>0</v>
      </c>
      <c r="BY20" s="243">
        <f t="shared" si="198"/>
        <v>0</v>
      </c>
      <c r="BZ20" s="243">
        <f t="shared" si="199"/>
        <v>0</v>
      </c>
      <c r="CA20" s="243">
        <f t="shared" si="200"/>
        <v>0</v>
      </c>
      <c r="CB20" s="243">
        <f t="shared" si="201"/>
        <v>0</v>
      </c>
      <c r="CC20" s="243">
        <f t="shared" si="202"/>
        <v>0</v>
      </c>
      <c r="CD20" s="243">
        <f t="shared" si="203"/>
        <v>0</v>
      </c>
      <c r="CE20" s="243">
        <f t="shared" si="204"/>
        <v>0</v>
      </c>
      <c r="CF20" s="243">
        <f t="shared" si="205"/>
        <v>3.395</v>
      </c>
      <c r="CG20" s="243">
        <f t="shared" si="206"/>
        <v>0</v>
      </c>
      <c r="CH20" s="243">
        <f t="shared" si="207"/>
        <v>37.4</v>
      </c>
      <c r="CI20" s="243">
        <f t="shared" si="208"/>
        <v>0</v>
      </c>
      <c r="CJ20" s="255">
        <f t="shared" si="209"/>
        <v>0</v>
      </c>
      <c r="CK20" s="243">
        <f t="shared" si="210"/>
        <v>0</v>
      </c>
      <c r="CL20" s="243">
        <f t="shared" si="211"/>
        <v>0</v>
      </c>
      <c r="CM20" s="243">
        <f t="shared" si="212"/>
        <v>0</v>
      </c>
      <c r="CN20" s="248">
        <f t="shared" si="213"/>
        <v>0</v>
      </c>
      <c r="CO20" s="248">
        <f t="shared" si="214"/>
        <v>0</v>
      </c>
      <c r="CP20" s="248">
        <f t="shared" si="215"/>
        <v>0</v>
      </c>
      <c r="CQ20" s="248">
        <f t="shared" si="216"/>
        <v>0</v>
      </c>
      <c r="CR20" s="248">
        <f t="shared" si="217"/>
        <v>0</v>
      </c>
      <c r="CS20" s="248">
        <f t="shared" si="218"/>
        <v>0</v>
      </c>
      <c r="CT20" s="256">
        <f t="shared" si="219"/>
        <v>0</v>
      </c>
      <c r="CU20" s="257">
        <f t="shared" si="220"/>
        <v>1</v>
      </c>
      <c r="CV20" s="257">
        <f t="shared" si="221"/>
        <v>0</v>
      </c>
      <c r="CW20" s="257">
        <f t="shared" si="222"/>
        <v>0</v>
      </c>
      <c r="CX20" s="257">
        <f t="shared" si="223"/>
        <v>0</v>
      </c>
      <c r="CY20" s="257">
        <f t="shared" si="224"/>
        <v>1</v>
      </c>
      <c r="CZ20" s="257">
        <f t="shared" si="225"/>
        <v>0</v>
      </c>
      <c r="DA20" s="258">
        <f t="shared" si="226"/>
        <v>1.0099999999999998</v>
      </c>
      <c r="DB20" s="259">
        <v>1.3</v>
      </c>
      <c r="DC20" s="259">
        <v>1.4</v>
      </c>
      <c r="DD20" s="259">
        <v>2</v>
      </c>
      <c r="DE20" s="259">
        <v>2</v>
      </c>
      <c r="DF20" s="260">
        <v>2</v>
      </c>
      <c r="DG20" s="249">
        <f t="shared" si="227"/>
        <v>0</v>
      </c>
      <c r="DH20" s="261">
        <f t="shared" si="228"/>
        <v>0</v>
      </c>
      <c r="DI20" s="261">
        <f t="shared" si="229"/>
        <v>0</v>
      </c>
      <c r="DJ20" s="261">
        <f t="shared" si="230"/>
        <v>112.19999999999999</v>
      </c>
      <c r="DK20" s="261">
        <f t="shared" si="231"/>
        <v>112.19999999999999</v>
      </c>
      <c r="DL20" s="261">
        <f t="shared" si="232"/>
        <v>29.545999999999999</v>
      </c>
      <c r="DM20" s="261">
        <f t="shared" si="233"/>
        <v>0</v>
      </c>
      <c r="DN20" s="261">
        <f t="shared" si="234"/>
        <v>0</v>
      </c>
      <c r="DO20" s="261">
        <f t="shared" si="235"/>
        <v>0</v>
      </c>
      <c r="DP20" s="261">
        <f t="shared" si="236"/>
        <v>0</v>
      </c>
    </row>
    <row r="21" spans="1:120" x14ac:dyDescent="0.25">
      <c r="A21" s="220" t="s">
        <v>2420</v>
      </c>
      <c r="B21" s="237"/>
      <c r="C21" s="238" t="str">
        <f>'Planilha Hidráulica'!B25</f>
        <v>PV5.1-&gt;PV6.1</v>
      </c>
      <c r="D21" s="239">
        <f>'Planilha Hidráulica'!R25</f>
        <v>3.3</v>
      </c>
      <c r="E21" s="239">
        <f>'Planilha Hidráulica'!S25</f>
        <v>3.23</v>
      </c>
      <c r="F21" s="239">
        <f>'Planilha Hidráulica'!K25</f>
        <v>35.840000000000003</v>
      </c>
      <c r="G21" s="238">
        <f>'Planilha Hidráulica'!M25</f>
        <v>1500</v>
      </c>
      <c r="H21" s="240">
        <f t="shared" si="140"/>
        <v>3.7649999999999997</v>
      </c>
      <c r="I21" s="241">
        <f t="shared" si="141"/>
        <v>6.74688</v>
      </c>
      <c r="J21" s="242">
        <v>0</v>
      </c>
      <c r="K21" s="243">
        <f t="shared" si="142"/>
        <v>2.6</v>
      </c>
      <c r="L21" s="243">
        <f t="shared" si="143"/>
        <v>2.6</v>
      </c>
      <c r="M21" s="243">
        <f>'Planilha Hidráulica'!X25</f>
        <v>1200</v>
      </c>
      <c r="N21" s="243">
        <f t="shared" si="144"/>
        <v>93.184000000000012</v>
      </c>
      <c r="O21" s="244" t="str">
        <f>'Planilha Hidráulica'!W25</f>
        <v>ASFALTO</v>
      </c>
      <c r="P21" s="244" t="s">
        <v>2422</v>
      </c>
      <c r="Q21" s="244"/>
      <c r="R21" s="244">
        <v>5</v>
      </c>
      <c r="S21" s="244">
        <v>3.7</v>
      </c>
      <c r="T21" s="243">
        <f t="shared" si="145"/>
        <v>0.2</v>
      </c>
      <c r="U21" s="245">
        <f t="shared" si="146"/>
        <v>40.534085053676954</v>
      </c>
      <c r="V21" s="246">
        <f t="shared" si="147"/>
        <v>310.30367494632304</v>
      </c>
      <c r="W21" s="247">
        <f t="shared" si="148"/>
        <v>0</v>
      </c>
      <c r="X21" s="247">
        <f t="shared" si="149"/>
        <v>0</v>
      </c>
      <c r="Y21" s="248">
        <f t="shared" si="150"/>
        <v>3.7649999999999997</v>
      </c>
      <c r="Z21" s="248">
        <f t="shared" si="151"/>
        <v>0</v>
      </c>
      <c r="AA21" s="249">
        <f t="shared" si="152"/>
        <v>93.184000000000012</v>
      </c>
      <c r="AB21" s="250">
        <f t="shared" si="153"/>
        <v>0</v>
      </c>
      <c r="AC21" s="251">
        <f t="shared" si="154"/>
        <v>0</v>
      </c>
      <c r="AD21" s="251">
        <f t="shared" si="155"/>
        <v>0</v>
      </c>
      <c r="AE21" s="251">
        <f t="shared" si="156"/>
        <v>0</v>
      </c>
      <c r="AF21" s="251">
        <f t="shared" si="157"/>
        <v>0</v>
      </c>
      <c r="AG21" s="251">
        <f t="shared" si="158"/>
        <v>0</v>
      </c>
      <c r="AH21" s="251">
        <f t="shared" si="159"/>
        <v>0</v>
      </c>
      <c r="AI21" s="251">
        <f t="shared" si="160"/>
        <v>0</v>
      </c>
      <c r="AJ21" s="252">
        <f t="shared" si="161"/>
        <v>0</v>
      </c>
      <c r="AK21" s="252">
        <f t="shared" si="162"/>
        <v>0</v>
      </c>
      <c r="AL21" s="252">
        <f t="shared" si="163"/>
        <v>0</v>
      </c>
      <c r="AM21" s="252">
        <f t="shared" ref="AM21:AM28" si="237">IF(IF(AND(K21&lt;=2.5,K21&gt;1.5),IF(Y21&gt;=3,L21*F21*1.5,K21*F21*(Y21-1.5)),0)&lt;0,0,IF(AND(K21&lt;=2.5,K21&gt;1.5),IF(Y21&gt;=3,L21*F21*1.5,K21*F21*(Y21-1.5)),0))+IF(R21&lt;H21,0,IF(AND(Y21&lt;=3,Y21&gt;1.5,K21&gt;1.5,K21&lt;=2.5),-U21,0))</f>
        <v>0</v>
      </c>
      <c r="AN21" s="252">
        <f t="shared" ref="AN21:AN28" si="238">IF(IF(K21&lt;=2.5,IF(Y21&gt;=4.5,L21*F21*1.5,K21*F21*(Y21-3)),0)&lt;0,0,IF(K21&lt;=2.5,IF(Y21&gt;=4.5,L21*F21*1.5,K21*F21*(Y21-3)),0))+IF(R21&lt;H21,0,IF(AND(Y21&lt;=4.5,Y21&gt;3,K21&gt;1.5,K21&lt;=2.5),-U21,0))</f>
        <v>0</v>
      </c>
      <c r="AO21" s="252">
        <f t="shared" si="164"/>
        <v>186.36800000000002</v>
      </c>
      <c r="AP21" s="252">
        <f t="shared" si="165"/>
        <v>123.93567494632302</v>
      </c>
      <c r="AQ21" s="252">
        <f t="shared" si="166"/>
        <v>0</v>
      </c>
      <c r="AR21" s="253">
        <f t="shared" si="167"/>
        <v>0</v>
      </c>
      <c r="AS21" s="243">
        <f t="shared" si="168"/>
        <v>3.1061333333333097E-2</v>
      </c>
      <c r="AT21" s="253">
        <f t="shared" si="169"/>
        <v>289.3032521036298</v>
      </c>
      <c r="AU21" s="241">
        <f t="shared" si="170"/>
        <v>0</v>
      </c>
      <c r="AV21" s="246">
        <f t="shared" si="171"/>
        <v>18.636800000000004</v>
      </c>
      <c r="AW21" s="253">
        <f t="shared" si="172"/>
        <v>0</v>
      </c>
      <c r="AX21" s="253">
        <f t="shared" si="23"/>
        <v>0</v>
      </c>
      <c r="AY21" s="253">
        <f t="shared" si="173"/>
        <v>1.8</v>
      </c>
      <c r="AZ21" s="253">
        <f t="shared" si="174"/>
        <v>104.39669210362979</v>
      </c>
      <c r="BA21" s="253">
        <f t="shared" si="175"/>
        <v>0</v>
      </c>
      <c r="BB21" s="253">
        <f t="shared" si="176"/>
        <v>13.977600000000001</v>
      </c>
      <c r="BC21" s="253">
        <f t="shared" si="177"/>
        <v>13.977600000000001</v>
      </c>
      <c r="BD21" s="253">
        <f t="shared" si="178"/>
        <v>2.7955200000000007</v>
      </c>
      <c r="BE21" s="253">
        <f t="shared" si="179"/>
        <v>138.31456000000003</v>
      </c>
      <c r="BF21" s="253">
        <f t="shared" si="180"/>
        <v>191.92938284269326</v>
      </c>
      <c r="BG21" s="253">
        <f t="shared" si="181"/>
        <v>138.31456000000003</v>
      </c>
      <c r="BH21" s="253">
        <f t="shared" si="182"/>
        <v>53.614822842693229</v>
      </c>
      <c r="BI21" s="253">
        <f t="shared" si="183"/>
        <v>0</v>
      </c>
      <c r="BJ21" s="241">
        <f t="shared" si="184"/>
        <v>0</v>
      </c>
      <c r="BK21" s="253">
        <f t="shared" si="185"/>
        <v>0</v>
      </c>
      <c r="BL21" s="253"/>
      <c r="BM21" s="253">
        <f t="shared" si="186"/>
        <v>0.55910400000000005</v>
      </c>
      <c r="BN21" s="249">
        <f t="shared" si="187"/>
        <v>0</v>
      </c>
      <c r="BO21" s="254">
        <f t="shared" si="188"/>
        <v>0</v>
      </c>
      <c r="BP21" s="254">
        <f t="shared" si="189"/>
        <v>0</v>
      </c>
      <c r="BQ21" s="254">
        <f t="shared" si="190"/>
        <v>0</v>
      </c>
      <c r="BR21" s="243">
        <f t="shared" si="191"/>
        <v>0</v>
      </c>
      <c r="BS21" s="243">
        <f t="shared" si="192"/>
        <v>0</v>
      </c>
      <c r="BT21" s="243">
        <f t="shared" si="193"/>
        <v>0</v>
      </c>
      <c r="BU21" s="243">
        <f t="shared" si="194"/>
        <v>0</v>
      </c>
      <c r="BV21" s="243">
        <f t="shared" si="195"/>
        <v>0</v>
      </c>
      <c r="BW21" s="243">
        <f t="shared" si="196"/>
        <v>0</v>
      </c>
      <c r="BX21" s="243">
        <f t="shared" si="197"/>
        <v>0</v>
      </c>
      <c r="BY21" s="243">
        <f t="shared" si="198"/>
        <v>0</v>
      </c>
      <c r="BZ21" s="243">
        <f t="shared" si="199"/>
        <v>0</v>
      </c>
      <c r="CA21" s="243">
        <f t="shared" si="200"/>
        <v>0</v>
      </c>
      <c r="CB21" s="243">
        <f t="shared" si="201"/>
        <v>0</v>
      </c>
      <c r="CC21" s="243">
        <f t="shared" si="202"/>
        <v>0</v>
      </c>
      <c r="CD21" s="243">
        <f t="shared" si="203"/>
        <v>0</v>
      </c>
      <c r="CE21" s="243">
        <f t="shared" si="204"/>
        <v>0</v>
      </c>
      <c r="CF21" s="243">
        <f t="shared" si="205"/>
        <v>0</v>
      </c>
      <c r="CG21" s="243">
        <f t="shared" si="206"/>
        <v>0</v>
      </c>
      <c r="CH21" s="243">
        <f t="shared" si="207"/>
        <v>0</v>
      </c>
      <c r="CI21" s="243">
        <f t="shared" si="208"/>
        <v>0</v>
      </c>
      <c r="CJ21" s="255">
        <f t="shared" si="209"/>
        <v>3.7649999999999997</v>
      </c>
      <c r="CK21" s="243">
        <f t="shared" si="210"/>
        <v>0</v>
      </c>
      <c r="CL21" s="243">
        <f t="shared" si="211"/>
        <v>35.840000000000003</v>
      </c>
      <c r="CM21" s="243">
        <f t="shared" si="212"/>
        <v>0</v>
      </c>
      <c r="CN21" s="248">
        <f t="shared" si="213"/>
        <v>0</v>
      </c>
      <c r="CO21" s="248">
        <f t="shared" si="214"/>
        <v>0</v>
      </c>
      <c r="CP21" s="248">
        <f t="shared" si="215"/>
        <v>0</v>
      </c>
      <c r="CQ21" s="248">
        <f t="shared" si="216"/>
        <v>0</v>
      </c>
      <c r="CR21" s="248">
        <f t="shared" si="217"/>
        <v>0</v>
      </c>
      <c r="CS21" s="248">
        <f t="shared" si="218"/>
        <v>0</v>
      </c>
      <c r="CT21" s="256">
        <f t="shared" si="219"/>
        <v>0</v>
      </c>
      <c r="CU21" s="257">
        <f t="shared" si="220"/>
        <v>1</v>
      </c>
      <c r="CV21" s="257">
        <f t="shared" si="221"/>
        <v>0</v>
      </c>
      <c r="CW21" s="257">
        <f t="shared" si="222"/>
        <v>0</v>
      </c>
      <c r="CX21" s="257">
        <f t="shared" si="223"/>
        <v>0</v>
      </c>
      <c r="CY21" s="257">
        <f t="shared" si="224"/>
        <v>0</v>
      </c>
      <c r="CZ21" s="257">
        <f t="shared" si="225"/>
        <v>1</v>
      </c>
      <c r="DA21" s="258">
        <f t="shared" si="226"/>
        <v>1.2999999999999998</v>
      </c>
      <c r="DB21" s="259">
        <v>1.3</v>
      </c>
      <c r="DC21" s="259">
        <v>1.4</v>
      </c>
      <c r="DD21" s="259">
        <v>2</v>
      </c>
      <c r="DE21" s="259">
        <v>2</v>
      </c>
      <c r="DF21" s="260">
        <v>2</v>
      </c>
      <c r="DG21" s="249">
        <f t="shared" si="227"/>
        <v>0</v>
      </c>
      <c r="DH21" s="261">
        <f t="shared" si="228"/>
        <v>0</v>
      </c>
      <c r="DI21" s="261">
        <f t="shared" si="229"/>
        <v>0</v>
      </c>
      <c r="DJ21" s="261">
        <f t="shared" si="230"/>
        <v>0</v>
      </c>
      <c r="DK21" s="261">
        <f t="shared" si="231"/>
        <v>0</v>
      </c>
      <c r="DL21" s="261">
        <f t="shared" si="232"/>
        <v>0</v>
      </c>
      <c r="DM21" s="261">
        <f t="shared" si="233"/>
        <v>107.52000000000001</v>
      </c>
      <c r="DN21" s="261">
        <f t="shared" si="234"/>
        <v>107.52000000000001</v>
      </c>
      <c r="DO21" s="261">
        <f t="shared" si="235"/>
        <v>54.835199999999979</v>
      </c>
      <c r="DP21" s="261">
        <f t="shared" si="236"/>
        <v>0</v>
      </c>
    </row>
    <row r="22" spans="1:120" x14ac:dyDescent="0.25">
      <c r="A22" s="220" t="s">
        <v>2420</v>
      </c>
      <c r="B22" s="237"/>
      <c r="C22" s="238" t="str">
        <f>'Planilha Hidráulica'!B26</f>
        <v>PV6.1-&gt;PV7.1</v>
      </c>
      <c r="D22" s="239">
        <f>'Planilha Hidráulica'!R26</f>
        <v>3.23</v>
      </c>
      <c r="E22" s="239">
        <f>'Planilha Hidráulica'!S26</f>
        <v>3.3</v>
      </c>
      <c r="F22" s="239">
        <f>'Planilha Hidráulica'!K26</f>
        <v>35.840000000000003</v>
      </c>
      <c r="G22" s="238">
        <f>'Planilha Hidráulica'!M26</f>
        <v>1500</v>
      </c>
      <c r="H22" s="240">
        <f t="shared" si="140"/>
        <v>3.7649999999999997</v>
      </c>
      <c r="I22" s="241">
        <f t="shared" si="141"/>
        <v>6.74688</v>
      </c>
      <c r="J22" s="242">
        <v>0</v>
      </c>
      <c r="K22" s="243">
        <f t="shared" si="142"/>
        <v>2.6</v>
      </c>
      <c r="L22" s="243">
        <f t="shared" si="143"/>
        <v>2.6</v>
      </c>
      <c r="M22" s="243">
        <f>'Planilha Hidráulica'!X26</f>
        <v>1200</v>
      </c>
      <c r="N22" s="243">
        <f t="shared" si="144"/>
        <v>93.184000000000012</v>
      </c>
      <c r="O22" s="244" t="str">
        <f>'Planilha Hidráulica'!W26</f>
        <v>ASFALTO</v>
      </c>
      <c r="P22" s="244" t="s">
        <v>2422</v>
      </c>
      <c r="Q22" s="244"/>
      <c r="R22" s="244">
        <v>5</v>
      </c>
      <c r="S22" s="244">
        <v>3.7</v>
      </c>
      <c r="T22" s="243">
        <f t="shared" si="145"/>
        <v>0.2</v>
      </c>
      <c r="U22" s="245">
        <f t="shared" si="146"/>
        <v>40.534085053676954</v>
      </c>
      <c r="V22" s="246">
        <f t="shared" si="147"/>
        <v>310.30367494632304</v>
      </c>
      <c r="W22" s="247">
        <f t="shared" si="148"/>
        <v>0</v>
      </c>
      <c r="X22" s="247">
        <f t="shared" si="149"/>
        <v>0</v>
      </c>
      <c r="Y22" s="248">
        <f t="shared" si="150"/>
        <v>3.7649999999999997</v>
      </c>
      <c r="Z22" s="248">
        <f t="shared" si="151"/>
        <v>0</v>
      </c>
      <c r="AA22" s="249">
        <f t="shared" si="152"/>
        <v>93.184000000000012</v>
      </c>
      <c r="AB22" s="250">
        <f t="shared" si="153"/>
        <v>0</v>
      </c>
      <c r="AC22" s="251">
        <f t="shared" si="154"/>
        <v>0</v>
      </c>
      <c r="AD22" s="251">
        <f t="shared" si="155"/>
        <v>0</v>
      </c>
      <c r="AE22" s="251">
        <f t="shared" si="156"/>
        <v>0</v>
      </c>
      <c r="AF22" s="251">
        <f t="shared" si="157"/>
        <v>0</v>
      </c>
      <c r="AG22" s="251">
        <f t="shared" si="158"/>
        <v>0</v>
      </c>
      <c r="AH22" s="251">
        <f t="shared" si="159"/>
        <v>0</v>
      </c>
      <c r="AI22" s="251">
        <f t="shared" si="160"/>
        <v>0</v>
      </c>
      <c r="AJ22" s="252">
        <f t="shared" si="161"/>
        <v>0</v>
      </c>
      <c r="AK22" s="252">
        <f t="shared" si="162"/>
        <v>0</v>
      </c>
      <c r="AL22" s="252">
        <f t="shared" si="163"/>
        <v>0</v>
      </c>
      <c r="AM22" s="252">
        <f t="shared" si="237"/>
        <v>0</v>
      </c>
      <c r="AN22" s="252">
        <f t="shared" si="238"/>
        <v>0</v>
      </c>
      <c r="AO22" s="252">
        <f t="shared" si="164"/>
        <v>186.36800000000002</v>
      </c>
      <c r="AP22" s="252">
        <f t="shared" si="165"/>
        <v>123.93567494632302</v>
      </c>
      <c r="AQ22" s="252">
        <f t="shared" si="166"/>
        <v>0</v>
      </c>
      <c r="AR22" s="253">
        <f t="shared" si="167"/>
        <v>0</v>
      </c>
      <c r="AS22" s="243">
        <f t="shared" si="168"/>
        <v>3.1061333333333097E-2</v>
      </c>
      <c r="AT22" s="253">
        <f t="shared" si="169"/>
        <v>289.3032521036298</v>
      </c>
      <c r="AU22" s="241">
        <f t="shared" si="170"/>
        <v>0</v>
      </c>
      <c r="AV22" s="246">
        <f t="shared" si="171"/>
        <v>18.636800000000004</v>
      </c>
      <c r="AW22" s="253">
        <f t="shared" si="172"/>
        <v>0</v>
      </c>
      <c r="AX22" s="253">
        <f t="shared" si="23"/>
        <v>0</v>
      </c>
      <c r="AY22" s="253">
        <f t="shared" si="173"/>
        <v>1.8</v>
      </c>
      <c r="AZ22" s="253">
        <f t="shared" si="174"/>
        <v>104.39669210362979</v>
      </c>
      <c r="BA22" s="253">
        <f t="shared" si="175"/>
        <v>0</v>
      </c>
      <c r="BB22" s="253">
        <f t="shared" si="176"/>
        <v>13.977600000000001</v>
      </c>
      <c r="BC22" s="253">
        <f t="shared" si="177"/>
        <v>13.977600000000001</v>
      </c>
      <c r="BD22" s="253">
        <f t="shared" si="178"/>
        <v>2.7955200000000007</v>
      </c>
      <c r="BE22" s="253">
        <f t="shared" si="179"/>
        <v>138.31456000000003</v>
      </c>
      <c r="BF22" s="253">
        <f t="shared" si="180"/>
        <v>191.92938284269326</v>
      </c>
      <c r="BG22" s="253">
        <f t="shared" si="181"/>
        <v>138.31456000000003</v>
      </c>
      <c r="BH22" s="253">
        <f t="shared" si="182"/>
        <v>53.614822842693229</v>
      </c>
      <c r="BI22" s="253">
        <f t="shared" si="183"/>
        <v>0</v>
      </c>
      <c r="BJ22" s="241">
        <f t="shared" si="184"/>
        <v>0</v>
      </c>
      <c r="BK22" s="253">
        <f t="shared" si="185"/>
        <v>0</v>
      </c>
      <c r="BL22" s="253"/>
      <c r="BM22" s="253">
        <f t="shared" si="186"/>
        <v>0.55910400000000005</v>
      </c>
      <c r="BN22" s="249">
        <f t="shared" si="187"/>
        <v>0</v>
      </c>
      <c r="BO22" s="254">
        <f t="shared" si="188"/>
        <v>0</v>
      </c>
      <c r="BP22" s="254">
        <f t="shared" si="189"/>
        <v>0</v>
      </c>
      <c r="BQ22" s="254">
        <f t="shared" si="190"/>
        <v>0</v>
      </c>
      <c r="BR22" s="243">
        <f t="shared" si="191"/>
        <v>0</v>
      </c>
      <c r="BS22" s="243">
        <f t="shared" si="192"/>
        <v>0</v>
      </c>
      <c r="BT22" s="243">
        <f t="shared" si="193"/>
        <v>0</v>
      </c>
      <c r="BU22" s="243">
        <f t="shared" si="194"/>
        <v>0</v>
      </c>
      <c r="BV22" s="243">
        <f t="shared" si="195"/>
        <v>0</v>
      </c>
      <c r="BW22" s="243">
        <f t="shared" si="196"/>
        <v>0</v>
      </c>
      <c r="BX22" s="243">
        <f t="shared" si="197"/>
        <v>0</v>
      </c>
      <c r="BY22" s="243">
        <f t="shared" si="198"/>
        <v>0</v>
      </c>
      <c r="BZ22" s="243">
        <f t="shared" si="199"/>
        <v>0</v>
      </c>
      <c r="CA22" s="243">
        <f t="shared" si="200"/>
        <v>0</v>
      </c>
      <c r="CB22" s="243">
        <f t="shared" si="201"/>
        <v>0</v>
      </c>
      <c r="CC22" s="243">
        <f t="shared" si="202"/>
        <v>0</v>
      </c>
      <c r="CD22" s="243">
        <f t="shared" si="203"/>
        <v>0</v>
      </c>
      <c r="CE22" s="243">
        <f t="shared" si="204"/>
        <v>0</v>
      </c>
      <c r="CF22" s="243">
        <f t="shared" si="205"/>
        <v>0</v>
      </c>
      <c r="CG22" s="243">
        <f t="shared" si="206"/>
        <v>0</v>
      </c>
      <c r="CH22" s="243">
        <f t="shared" si="207"/>
        <v>0</v>
      </c>
      <c r="CI22" s="243">
        <f t="shared" si="208"/>
        <v>0</v>
      </c>
      <c r="CJ22" s="255">
        <f t="shared" si="209"/>
        <v>3.7649999999999997</v>
      </c>
      <c r="CK22" s="243">
        <f t="shared" si="210"/>
        <v>0</v>
      </c>
      <c r="CL22" s="243">
        <f t="shared" si="211"/>
        <v>35.840000000000003</v>
      </c>
      <c r="CM22" s="243">
        <f t="shared" si="212"/>
        <v>0</v>
      </c>
      <c r="CN22" s="248">
        <f t="shared" si="213"/>
        <v>0</v>
      </c>
      <c r="CO22" s="248">
        <f t="shared" si="214"/>
        <v>0</v>
      </c>
      <c r="CP22" s="248">
        <f t="shared" si="215"/>
        <v>0</v>
      </c>
      <c r="CQ22" s="248">
        <f t="shared" si="216"/>
        <v>0</v>
      </c>
      <c r="CR22" s="248">
        <f t="shared" si="217"/>
        <v>0</v>
      </c>
      <c r="CS22" s="248">
        <f t="shared" si="218"/>
        <v>0</v>
      </c>
      <c r="CT22" s="256">
        <f t="shared" si="219"/>
        <v>0</v>
      </c>
      <c r="CU22" s="257">
        <f t="shared" si="220"/>
        <v>1</v>
      </c>
      <c r="CV22" s="257">
        <f t="shared" si="221"/>
        <v>0</v>
      </c>
      <c r="CW22" s="257">
        <f t="shared" si="222"/>
        <v>0</v>
      </c>
      <c r="CX22" s="257">
        <f t="shared" si="223"/>
        <v>0</v>
      </c>
      <c r="CY22" s="257">
        <f t="shared" si="224"/>
        <v>0</v>
      </c>
      <c r="CZ22" s="257">
        <f t="shared" si="225"/>
        <v>1</v>
      </c>
      <c r="DA22" s="258">
        <f t="shared" si="226"/>
        <v>1.23</v>
      </c>
      <c r="DB22" s="259">
        <v>1.3</v>
      </c>
      <c r="DC22" s="259">
        <v>1.4</v>
      </c>
      <c r="DD22" s="259">
        <v>2</v>
      </c>
      <c r="DE22" s="259">
        <v>2</v>
      </c>
      <c r="DF22" s="260">
        <v>2</v>
      </c>
      <c r="DG22" s="249">
        <f t="shared" si="227"/>
        <v>0</v>
      </c>
      <c r="DH22" s="261">
        <f t="shared" si="228"/>
        <v>0</v>
      </c>
      <c r="DI22" s="261">
        <f t="shared" si="229"/>
        <v>0</v>
      </c>
      <c r="DJ22" s="261">
        <f t="shared" si="230"/>
        <v>0</v>
      </c>
      <c r="DK22" s="261">
        <f t="shared" si="231"/>
        <v>0</v>
      </c>
      <c r="DL22" s="261">
        <f t="shared" si="232"/>
        <v>0</v>
      </c>
      <c r="DM22" s="261">
        <f t="shared" si="233"/>
        <v>107.52000000000001</v>
      </c>
      <c r="DN22" s="261">
        <f t="shared" si="234"/>
        <v>107.52000000000001</v>
      </c>
      <c r="DO22" s="261">
        <f t="shared" si="235"/>
        <v>54.835199999999979</v>
      </c>
      <c r="DP22" s="261">
        <f t="shared" si="236"/>
        <v>0</v>
      </c>
    </row>
    <row r="23" spans="1:120" x14ac:dyDescent="0.25">
      <c r="A23" s="220" t="s">
        <v>2420</v>
      </c>
      <c r="B23" s="237"/>
      <c r="C23" s="238" t="str">
        <f>'Planilha Hidráulica'!B27</f>
        <v>PV7.1-&gt;PV8.1</v>
      </c>
      <c r="D23" s="239">
        <f>'Planilha Hidráulica'!R27</f>
        <v>3.3</v>
      </c>
      <c r="E23" s="239">
        <f>'Planilha Hidráulica'!S27</f>
        <v>3.29</v>
      </c>
      <c r="F23" s="239">
        <f>'Planilha Hidráulica'!K27</f>
        <v>36.29</v>
      </c>
      <c r="G23" s="238">
        <f>'Planilha Hidráulica'!M27</f>
        <v>1500</v>
      </c>
      <c r="H23" s="240">
        <f t="shared" si="140"/>
        <v>3.7949999999999999</v>
      </c>
      <c r="I23" s="241">
        <f t="shared" si="141"/>
        <v>6.8860275</v>
      </c>
      <c r="J23" s="242">
        <v>0</v>
      </c>
      <c r="K23" s="243">
        <f t="shared" si="142"/>
        <v>2.6</v>
      </c>
      <c r="L23" s="243">
        <f t="shared" si="143"/>
        <v>2.6</v>
      </c>
      <c r="M23" s="243">
        <f>'Planilha Hidráulica'!X27</f>
        <v>1200</v>
      </c>
      <c r="N23" s="243">
        <f t="shared" si="144"/>
        <v>94.353999999999999</v>
      </c>
      <c r="O23" s="244" t="str">
        <f>'Planilha Hidráulica'!W27</f>
        <v>ASFALTO</v>
      </c>
      <c r="P23" s="244" t="s">
        <v>2423</v>
      </c>
      <c r="Q23" s="244"/>
      <c r="R23" s="244">
        <v>3.9</v>
      </c>
      <c r="S23" s="244">
        <v>5</v>
      </c>
      <c r="T23" s="243">
        <f t="shared" si="145"/>
        <v>0.2</v>
      </c>
      <c r="U23" s="245">
        <f t="shared" si="146"/>
        <v>41.043023063558493</v>
      </c>
      <c r="V23" s="246">
        <f t="shared" si="147"/>
        <v>317.03040693644152</v>
      </c>
      <c r="W23" s="247">
        <f t="shared" si="148"/>
        <v>0</v>
      </c>
      <c r="X23" s="247">
        <f t="shared" si="149"/>
        <v>0</v>
      </c>
      <c r="Y23" s="248">
        <f t="shared" si="150"/>
        <v>3.7949999999999999</v>
      </c>
      <c r="Z23" s="248">
        <f t="shared" si="151"/>
        <v>0</v>
      </c>
      <c r="AA23" s="249">
        <f t="shared" si="152"/>
        <v>94.353999999999999</v>
      </c>
      <c r="AB23" s="250">
        <f t="shared" si="153"/>
        <v>0</v>
      </c>
      <c r="AC23" s="251">
        <f t="shared" si="154"/>
        <v>0</v>
      </c>
      <c r="AD23" s="251">
        <f t="shared" si="155"/>
        <v>0</v>
      </c>
      <c r="AE23" s="251">
        <f t="shared" si="156"/>
        <v>0</v>
      </c>
      <c r="AF23" s="251">
        <f t="shared" si="157"/>
        <v>0</v>
      </c>
      <c r="AG23" s="251">
        <f t="shared" si="158"/>
        <v>0</v>
      </c>
      <c r="AH23" s="251">
        <f t="shared" si="159"/>
        <v>0</v>
      </c>
      <c r="AI23" s="251">
        <f t="shared" si="160"/>
        <v>0</v>
      </c>
      <c r="AJ23" s="252">
        <f t="shared" si="161"/>
        <v>0</v>
      </c>
      <c r="AK23" s="252">
        <f t="shared" si="162"/>
        <v>0</v>
      </c>
      <c r="AL23" s="252">
        <f t="shared" si="163"/>
        <v>0</v>
      </c>
      <c r="AM23" s="252">
        <f t="shared" si="237"/>
        <v>0</v>
      </c>
      <c r="AN23" s="252">
        <f t="shared" si="238"/>
        <v>0</v>
      </c>
      <c r="AO23" s="252">
        <f t="shared" si="164"/>
        <v>188.708</v>
      </c>
      <c r="AP23" s="252">
        <f t="shared" si="165"/>
        <v>128.3224069364415</v>
      </c>
      <c r="AQ23" s="252">
        <f t="shared" si="166"/>
        <v>0</v>
      </c>
      <c r="AR23" s="253">
        <f t="shared" si="167"/>
        <v>0</v>
      </c>
      <c r="AS23" s="243">
        <f t="shared" si="168"/>
        <v>0</v>
      </c>
      <c r="AT23" s="253">
        <f t="shared" si="169"/>
        <v>295.74370646318982</v>
      </c>
      <c r="AU23" s="241">
        <f t="shared" si="170"/>
        <v>0</v>
      </c>
      <c r="AV23" s="246">
        <f t="shared" si="171"/>
        <v>18.870799999999999</v>
      </c>
      <c r="AW23" s="253">
        <f t="shared" si="172"/>
        <v>0</v>
      </c>
      <c r="AX23" s="253">
        <f t="shared" si="23"/>
        <v>0</v>
      </c>
      <c r="AY23" s="253">
        <f t="shared" si="173"/>
        <v>1.8</v>
      </c>
      <c r="AZ23" s="253">
        <f t="shared" si="174"/>
        <v>105.70747646318988</v>
      </c>
      <c r="BA23" s="253">
        <f t="shared" si="175"/>
        <v>0</v>
      </c>
      <c r="BB23" s="253">
        <f t="shared" si="176"/>
        <v>14.153099999999998</v>
      </c>
      <c r="BC23" s="253">
        <f t="shared" si="177"/>
        <v>14.153099999999998</v>
      </c>
      <c r="BD23" s="253">
        <f t="shared" si="178"/>
        <v>2.8306200000000001</v>
      </c>
      <c r="BE23" s="253">
        <f t="shared" si="179"/>
        <v>142.85922999999997</v>
      </c>
      <c r="BF23" s="253">
        <f t="shared" si="180"/>
        <v>197.16983047325164</v>
      </c>
      <c r="BG23" s="253">
        <f t="shared" si="181"/>
        <v>142.85922999999997</v>
      </c>
      <c r="BH23" s="253">
        <f t="shared" si="182"/>
        <v>54.310600473251668</v>
      </c>
      <c r="BI23" s="253">
        <f t="shared" si="183"/>
        <v>0</v>
      </c>
      <c r="BJ23" s="241">
        <f t="shared" si="184"/>
        <v>0</v>
      </c>
      <c r="BK23" s="253">
        <f t="shared" si="185"/>
        <v>0</v>
      </c>
      <c r="BL23" s="253"/>
      <c r="BM23" s="253">
        <f t="shared" si="186"/>
        <v>0.56612399999999996</v>
      </c>
      <c r="BN23" s="249">
        <f t="shared" si="187"/>
        <v>0</v>
      </c>
      <c r="BO23" s="254">
        <f t="shared" si="188"/>
        <v>0</v>
      </c>
      <c r="BP23" s="254">
        <f t="shared" si="189"/>
        <v>0</v>
      </c>
      <c r="BQ23" s="254">
        <f t="shared" si="190"/>
        <v>0</v>
      </c>
      <c r="BR23" s="243">
        <f t="shared" si="191"/>
        <v>0</v>
      </c>
      <c r="BS23" s="243">
        <f t="shared" si="192"/>
        <v>0</v>
      </c>
      <c r="BT23" s="243">
        <f t="shared" si="193"/>
        <v>0</v>
      </c>
      <c r="BU23" s="243">
        <f t="shared" si="194"/>
        <v>0</v>
      </c>
      <c r="BV23" s="243">
        <f t="shared" si="195"/>
        <v>0</v>
      </c>
      <c r="BW23" s="243">
        <f t="shared" si="196"/>
        <v>0</v>
      </c>
      <c r="BX23" s="243">
        <f t="shared" si="197"/>
        <v>0</v>
      </c>
      <c r="BY23" s="243">
        <f t="shared" si="198"/>
        <v>0</v>
      </c>
      <c r="BZ23" s="243">
        <f t="shared" si="199"/>
        <v>0</v>
      </c>
      <c r="CA23" s="243">
        <f t="shared" si="200"/>
        <v>0</v>
      </c>
      <c r="CB23" s="243">
        <f t="shared" si="201"/>
        <v>0</v>
      </c>
      <c r="CC23" s="243">
        <f t="shared" si="202"/>
        <v>0</v>
      </c>
      <c r="CD23" s="243">
        <f t="shared" si="203"/>
        <v>0</v>
      </c>
      <c r="CE23" s="243">
        <f t="shared" si="204"/>
        <v>0</v>
      </c>
      <c r="CF23" s="243">
        <f t="shared" si="205"/>
        <v>0</v>
      </c>
      <c r="CG23" s="243">
        <f t="shared" si="206"/>
        <v>0</v>
      </c>
      <c r="CH23" s="243">
        <f t="shared" si="207"/>
        <v>0</v>
      </c>
      <c r="CI23" s="243">
        <f t="shared" si="208"/>
        <v>0</v>
      </c>
      <c r="CJ23" s="255">
        <f t="shared" si="209"/>
        <v>3.7949999999999999</v>
      </c>
      <c r="CK23" s="243">
        <f t="shared" si="210"/>
        <v>0</v>
      </c>
      <c r="CL23" s="243">
        <f t="shared" si="211"/>
        <v>36.29</v>
      </c>
      <c r="CM23" s="243">
        <f t="shared" si="212"/>
        <v>0</v>
      </c>
      <c r="CN23" s="248">
        <f t="shared" si="213"/>
        <v>0</v>
      </c>
      <c r="CO23" s="248">
        <f t="shared" si="214"/>
        <v>0</v>
      </c>
      <c r="CP23" s="248">
        <f t="shared" si="215"/>
        <v>0</v>
      </c>
      <c r="CQ23" s="248">
        <f t="shared" si="216"/>
        <v>0</v>
      </c>
      <c r="CR23" s="248">
        <f t="shared" si="217"/>
        <v>0</v>
      </c>
      <c r="CS23" s="248">
        <f t="shared" si="218"/>
        <v>0</v>
      </c>
      <c r="CT23" s="256">
        <f t="shared" si="219"/>
        <v>0</v>
      </c>
      <c r="CU23" s="257">
        <f t="shared" si="220"/>
        <v>1</v>
      </c>
      <c r="CV23" s="257">
        <f t="shared" si="221"/>
        <v>0</v>
      </c>
      <c r="CW23" s="257">
        <f t="shared" si="222"/>
        <v>0</v>
      </c>
      <c r="CX23" s="257">
        <f t="shared" si="223"/>
        <v>0</v>
      </c>
      <c r="CY23" s="257">
        <f t="shared" si="224"/>
        <v>0</v>
      </c>
      <c r="CZ23" s="257">
        <f t="shared" si="225"/>
        <v>1</v>
      </c>
      <c r="DA23" s="258">
        <f t="shared" si="226"/>
        <v>1.2999999999999998</v>
      </c>
      <c r="DB23" s="259">
        <v>1.3</v>
      </c>
      <c r="DC23" s="259">
        <v>1.4</v>
      </c>
      <c r="DD23" s="259">
        <v>2</v>
      </c>
      <c r="DE23" s="259">
        <v>2</v>
      </c>
      <c r="DF23" s="260">
        <v>2</v>
      </c>
      <c r="DG23" s="249">
        <f t="shared" si="227"/>
        <v>0</v>
      </c>
      <c r="DH23" s="261">
        <f t="shared" si="228"/>
        <v>0</v>
      </c>
      <c r="DI23" s="261">
        <f t="shared" si="229"/>
        <v>0</v>
      </c>
      <c r="DJ23" s="261">
        <f t="shared" si="230"/>
        <v>0</v>
      </c>
      <c r="DK23" s="261">
        <f t="shared" si="231"/>
        <v>0</v>
      </c>
      <c r="DL23" s="261">
        <f t="shared" si="232"/>
        <v>0</v>
      </c>
      <c r="DM23" s="261">
        <f t="shared" si="233"/>
        <v>108.87</v>
      </c>
      <c r="DN23" s="261">
        <f t="shared" si="234"/>
        <v>108.87</v>
      </c>
      <c r="DO23" s="261">
        <f t="shared" si="235"/>
        <v>57.701099999999997</v>
      </c>
      <c r="DP23" s="261">
        <f t="shared" si="236"/>
        <v>0</v>
      </c>
    </row>
    <row r="24" spans="1:120" x14ac:dyDescent="0.25">
      <c r="A24" s="220" t="s">
        <v>2420</v>
      </c>
      <c r="B24" s="237"/>
      <c r="C24" s="238" t="str">
        <f>'Planilha Hidráulica'!B28</f>
        <v>PV8.1-&gt;PV9.1</v>
      </c>
      <c r="D24" s="239">
        <f>'Planilha Hidráulica'!R28</f>
        <v>3.29</v>
      </c>
      <c r="E24" s="239">
        <f>'Planilha Hidráulica'!S28</f>
        <v>3.3</v>
      </c>
      <c r="F24" s="239">
        <f>'Planilha Hidráulica'!K28</f>
        <v>36.29</v>
      </c>
      <c r="G24" s="238">
        <f>'Planilha Hidráulica'!M28</f>
        <v>1500</v>
      </c>
      <c r="H24" s="240">
        <f t="shared" si="140"/>
        <v>3.7949999999999999</v>
      </c>
      <c r="I24" s="241">
        <f t="shared" si="141"/>
        <v>6.8860275</v>
      </c>
      <c r="J24" s="242">
        <v>0</v>
      </c>
      <c r="K24" s="243">
        <f t="shared" si="142"/>
        <v>2.6</v>
      </c>
      <c r="L24" s="243">
        <f t="shared" si="143"/>
        <v>2.6</v>
      </c>
      <c r="M24" s="243">
        <f>'Planilha Hidráulica'!X28</f>
        <v>1200</v>
      </c>
      <c r="N24" s="243">
        <f t="shared" si="144"/>
        <v>94.353999999999999</v>
      </c>
      <c r="O24" s="244" t="str">
        <f>'Planilha Hidráulica'!W28</f>
        <v>ASFALTO</v>
      </c>
      <c r="P24" s="244" t="s">
        <v>2423</v>
      </c>
      <c r="Q24" s="244"/>
      <c r="R24" s="244">
        <v>3.9</v>
      </c>
      <c r="S24" s="244">
        <v>5</v>
      </c>
      <c r="T24" s="243">
        <f t="shared" si="145"/>
        <v>0.2</v>
      </c>
      <c r="U24" s="245">
        <f t="shared" si="146"/>
        <v>41.043023063558493</v>
      </c>
      <c r="V24" s="246">
        <f t="shared" si="147"/>
        <v>317.03040693644152</v>
      </c>
      <c r="W24" s="247">
        <f t="shared" si="148"/>
        <v>0</v>
      </c>
      <c r="X24" s="247">
        <f t="shared" si="149"/>
        <v>0</v>
      </c>
      <c r="Y24" s="248">
        <f t="shared" si="150"/>
        <v>3.7949999999999999</v>
      </c>
      <c r="Z24" s="248">
        <f t="shared" si="151"/>
        <v>0</v>
      </c>
      <c r="AA24" s="249">
        <f t="shared" si="152"/>
        <v>94.353999999999999</v>
      </c>
      <c r="AB24" s="250">
        <f t="shared" si="153"/>
        <v>0</v>
      </c>
      <c r="AC24" s="251">
        <f t="shared" si="154"/>
        <v>0</v>
      </c>
      <c r="AD24" s="251">
        <f t="shared" si="155"/>
        <v>0</v>
      </c>
      <c r="AE24" s="251">
        <f t="shared" si="156"/>
        <v>0</v>
      </c>
      <c r="AF24" s="251">
        <f t="shared" si="157"/>
        <v>0</v>
      </c>
      <c r="AG24" s="251">
        <f t="shared" si="158"/>
        <v>0</v>
      </c>
      <c r="AH24" s="251">
        <f t="shared" si="159"/>
        <v>0</v>
      </c>
      <c r="AI24" s="251">
        <f t="shared" si="160"/>
        <v>0</v>
      </c>
      <c r="AJ24" s="252">
        <f t="shared" si="161"/>
        <v>0</v>
      </c>
      <c r="AK24" s="252">
        <f t="shared" si="162"/>
        <v>0</v>
      </c>
      <c r="AL24" s="252">
        <f t="shared" si="163"/>
        <v>0</v>
      </c>
      <c r="AM24" s="252">
        <f t="shared" si="237"/>
        <v>0</v>
      </c>
      <c r="AN24" s="252">
        <f t="shared" si="238"/>
        <v>0</v>
      </c>
      <c r="AO24" s="252">
        <f t="shared" si="164"/>
        <v>188.708</v>
      </c>
      <c r="AP24" s="252">
        <f t="shared" si="165"/>
        <v>128.3224069364415</v>
      </c>
      <c r="AQ24" s="252">
        <f t="shared" si="166"/>
        <v>0</v>
      </c>
      <c r="AR24" s="253">
        <f t="shared" si="167"/>
        <v>0</v>
      </c>
      <c r="AS24" s="243">
        <f t="shared" si="168"/>
        <v>0</v>
      </c>
      <c r="AT24" s="253">
        <f t="shared" si="169"/>
        <v>295.74370646318982</v>
      </c>
      <c r="AU24" s="241">
        <f t="shared" si="170"/>
        <v>0</v>
      </c>
      <c r="AV24" s="246">
        <f t="shared" si="171"/>
        <v>18.870799999999999</v>
      </c>
      <c r="AW24" s="253">
        <f t="shared" si="172"/>
        <v>0</v>
      </c>
      <c r="AX24" s="253">
        <f t="shared" si="23"/>
        <v>0</v>
      </c>
      <c r="AY24" s="253">
        <f t="shared" si="173"/>
        <v>1.8</v>
      </c>
      <c r="AZ24" s="253">
        <f t="shared" si="174"/>
        <v>105.70747646318988</v>
      </c>
      <c r="BA24" s="253">
        <f t="shared" si="175"/>
        <v>0</v>
      </c>
      <c r="BB24" s="253">
        <f t="shared" si="176"/>
        <v>14.153099999999998</v>
      </c>
      <c r="BC24" s="253">
        <f t="shared" si="177"/>
        <v>14.153099999999998</v>
      </c>
      <c r="BD24" s="253">
        <f t="shared" si="178"/>
        <v>2.8306200000000001</v>
      </c>
      <c r="BE24" s="253">
        <f t="shared" si="179"/>
        <v>142.85922999999997</v>
      </c>
      <c r="BF24" s="253">
        <f t="shared" si="180"/>
        <v>197.16983047325164</v>
      </c>
      <c r="BG24" s="253">
        <f t="shared" si="181"/>
        <v>142.85922999999997</v>
      </c>
      <c r="BH24" s="253">
        <f t="shared" si="182"/>
        <v>54.310600473251668</v>
      </c>
      <c r="BI24" s="253">
        <f t="shared" si="183"/>
        <v>0</v>
      </c>
      <c r="BJ24" s="241">
        <f t="shared" si="184"/>
        <v>0</v>
      </c>
      <c r="BK24" s="253">
        <f t="shared" si="185"/>
        <v>0</v>
      </c>
      <c r="BL24" s="253"/>
      <c r="BM24" s="253">
        <f t="shared" si="186"/>
        <v>0.56612399999999996</v>
      </c>
      <c r="BN24" s="249">
        <f t="shared" si="187"/>
        <v>0</v>
      </c>
      <c r="BO24" s="254">
        <f t="shared" si="188"/>
        <v>0</v>
      </c>
      <c r="BP24" s="254">
        <f t="shared" si="189"/>
        <v>0</v>
      </c>
      <c r="BQ24" s="254">
        <f t="shared" si="190"/>
        <v>0</v>
      </c>
      <c r="BR24" s="243">
        <f t="shared" si="191"/>
        <v>0</v>
      </c>
      <c r="BS24" s="243">
        <f t="shared" si="192"/>
        <v>0</v>
      </c>
      <c r="BT24" s="243">
        <f t="shared" si="193"/>
        <v>0</v>
      </c>
      <c r="BU24" s="243">
        <f t="shared" si="194"/>
        <v>0</v>
      </c>
      <c r="BV24" s="243">
        <f t="shared" si="195"/>
        <v>0</v>
      </c>
      <c r="BW24" s="243">
        <f t="shared" si="196"/>
        <v>0</v>
      </c>
      <c r="BX24" s="243">
        <f t="shared" si="197"/>
        <v>0</v>
      </c>
      <c r="BY24" s="243">
        <f t="shared" si="198"/>
        <v>0</v>
      </c>
      <c r="BZ24" s="243">
        <f t="shared" si="199"/>
        <v>0</v>
      </c>
      <c r="CA24" s="243">
        <f t="shared" si="200"/>
        <v>0</v>
      </c>
      <c r="CB24" s="243">
        <f t="shared" si="201"/>
        <v>0</v>
      </c>
      <c r="CC24" s="243">
        <f t="shared" si="202"/>
        <v>0</v>
      </c>
      <c r="CD24" s="243">
        <f t="shared" si="203"/>
        <v>0</v>
      </c>
      <c r="CE24" s="243">
        <f t="shared" si="204"/>
        <v>0</v>
      </c>
      <c r="CF24" s="243">
        <f t="shared" si="205"/>
        <v>0</v>
      </c>
      <c r="CG24" s="243">
        <f t="shared" si="206"/>
        <v>0</v>
      </c>
      <c r="CH24" s="243">
        <f t="shared" si="207"/>
        <v>0</v>
      </c>
      <c r="CI24" s="243">
        <f t="shared" si="208"/>
        <v>0</v>
      </c>
      <c r="CJ24" s="255">
        <f t="shared" si="209"/>
        <v>3.7949999999999999</v>
      </c>
      <c r="CK24" s="243">
        <f t="shared" si="210"/>
        <v>0</v>
      </c>
      <c r="CL24" s="243">
        <f t="shared" si="211"/>
        <v>36.29</v>
      </c>
      <c r="CM24" s="243">
        <f t="shared" si="212"/>
        <v>0</v>
      </c>
      <c r="CN24" s="248">
        <f t="shared" si="213"/>
        <v>0</v>
      </c>
      <c r="CO24" s="248">
        <f t="shared" si="214"/>
        <v>0</v>
      </c>
      <c r="CP24" s="248">
        <f t="shared" si="215"/>
        <v>0</v>
      </c>
      <c r="CQ24" s="248">
        <f t="shared" si="216"/>
        <v>0</v>
      </c>
      <c r="CR24" s="248">
        <f t="shared" si="217"/>
        <v>0</v>
      </c>
      <c r="CS24" s="248">
        <f t="shared" si="218"/>
        <v>0</v>
      </c>
      <c r="CT24" s="256">
        <f t="shared" si="219"/>
        <v>0</v>
      </c>
      <c r="CU24" s="257">
        <f t="shared" si="220"/>
        <v>1</v>
      </c>
      <c r="CV24" s="257">
        <f t="shared" si="221"/>
        <v>0</v>
      </c>
      <c r="CW24" s="257">
        <f t="shared" si="222"/>
        <v>0</v>
      </c>
      <c r="CX24" s="257">
        <f t="shared" si="223"/>
        <v>0</v>
      </c>
      <c r="CY24" s="257">
        <f t="shared" si="224"/>
        <v>0</v>
      </c>
      <c r="CZ24" s="257">
        <f t="shared" si="225"/>
        <v>1</v>
      </c>
      <c r="DA24" s="258">
        <f t="shared" si="226"/>
        <v>1.29</v>
      </c>
      <c r="DB24" s="259">
        <v>1.3</v>
      </c>
      <c r="DC24" s="259">
        <v>1.4</v>
      </c>
      <c r="DD24" s="259">
        <v>2</v>
      </c>
      <c r="DE24" s="259">
        <v>2</v>
      </c>
      <c r="DF24" s="260">
        <v>2</v>
      </c>
      <c r="DG24" s="249">
        <f t="shared" si="227"/>
        <v>0</v>
      </c>
      <c r="DH24" s="261">
        <f t="shared" si="228"/>
        <v>0</v>
      </c>
      <c r="DI24" s="261">
        <f t="shared" si="229"/>
        <v>0</v>
      </c>
      <c r="DJ24" s="261">
        <f t="shared" si="230"/>
        <v>0</v>
      </c>
      <c r="DK24" s="261">
        <f t="shared" si="231"/>
        <v>0</v>
      </c>
      <c r="DL24" s="261">
        <f t="shared" si="232"/>
        <v>0</v>
      </c>
      <c r="DM24" s="261">
        <f t="shared" si="233"/>
        <v>108.87</v>
      </c>
      <c r="DN24" s="261">
        <f t="shared" si="234"/>
        <v>108.87</v>
      </c>
      <c r="DO24" s="261">
        <f t="shared" si="235"/>
        <v>57.701099999999997</v>
      </c>
      <c r="DP24" s="261">
        <f t="shared" si="236"/>
        <v>0</v>
      </c>
    </row>
    <row r="25" spans="1:120" x14ac:dyDescent="0.25">
      <c r="A25" s="220" t="s">
        <v>2420</v>
      </c>
      <c r="B25" s="237"/>
      <c r="C25" s="238" t="str">
        <f>'Planilha Hidráulica'!B29</f>
        <v>PV9.1-&gt;PV10.1</v>
      </c>
      <c r="D25" s="239">
        <f>'Planilha Hidráulica'!R29</f>
        <v>3.3</v>
      </c>
      <c r="E25" s="239">
        <f>'Planilha Hidráulica'!S29</f>
        <v>3.37</v>
      </c>
      <c r="F25" s="239">
        <f>'Planilha Hidráulica'!K29</f>
        <v>36.979999999999997</v>
      </c>
      <c r="G25" s="238">
        <f>'Planilha Hidráulica'!M29</f>
        <v>1500</v>
      </c>
      <c r="H25" s="240">
        <f t="shared" si="140"/>
        <v>3.835</v>
      </c>
      <c r="I25" s="241">
        <f t="shared" si="141"/>
        <v>7.0909149999999999</v>
      </c>
      <c r="J25" s="242">
        <v>0</v>
      </c>
      <c r="K25" s="243">
        <f t="shared" si="142"/>
        <v>2.6</v>
      </c>
      <c r="L25" s="243">
        <f t="shared" si="143"/>
        <v>2.6</v>
      </c>
      <c r="M25" s="243">
        <f>'Planilha Hidráulica'!X29</f>
        <v>1200</v>
      </c>
      <c r="N25" s="243">
        <f t="shared" si="144"/>
        <v>96.147999999999996</v>
      </c>
      <c r="O25" s="244" t="str">
        <f>'Planilha Hidráulica'!W29</f>
        <v>ASFALTO</v>
      </c>
      <c r="P25" s="244" t="s">
        <v>2423</v>
      </c>
      <c r="Q25" s="244"/>
      <c r="R25" s="244">
        <v>3.9</v>
      </c>
      <c r="S25" s="244">
        <v>5</v>
      </c>
      <c r="T25" s="243">
        <f t="shared" si="145"/>
        <v>0.2</v>
      </c>
      <c r="U25" s="245">
        <f t="shared" si="146"/>
        <v>41.823394678710194</v>
      </c>
      <c r="V25" s="246">
        <f t="shared" si="147"/>
        <v>326.90418532128979</v>
      </c>
      <c r="W25" s="247">
        <f t="shared" si="148"/>
        <v>0</v>
      </c>
      <c r="X25" s="247">
        <f t="shared" si="149"/>
        <v>0</v>
      </c>
      <c r="Y25" s="248">
        <f t="shared" si="150"/>
        <v>3.835</v>
      </c>
      <c r="Z25" s="248">
        <f t="shared" si="151"/>
        <v>0</v>
      </c>
      <c r="AA25" s="249">
        <f t="shared" si="152"/>
        <v>96.147999999999996</v>
      </c>
      <c r="AB25" s="250">
        <f t="shared" si="153"/>
        <v>0</v>
      </c>
      <c r="AC25" s="251">
        <f t="shared" si="154"/>
        <v>0</v>
      </c>
      <c r="AD25" s="251">
        <f t="shared" si="155"/>
        <v>0</v>
      </c>
      <c r="AE25" s="251">
        <f t="shared" si="156"/>
        <v>0</v>
      </c>
      <c r="AF25" s="251">
        <f t="shared" si="157"/>
        <v>0</v>
      </c>
      <c r="AG25" s="251">
        <f t="shared" si="158"/>
        <v>0</v>
      </c>
      <c r="AH25" s="251">
        <f t="shared" si="159"/>
        <v>0</v>
      </c>
      <c r="AI25" s="251">
        <f t="shared" si="160"/>
        <v>0</v>
      </c>
      <c r="AJ25" s="252">
        <f t="shared" si="161"/>
        <v>0</v>
      </c>
      <c r="AK25" s="252">
        <f t="shared" si="162"/>
        <v>0</v>
      </c>
      <c r="AL25" s="252">
        <f t="shared" si="163"/>
        <v>0</v>
      </c>
      <c r="AM25" s="252">
        <f t="shared" si="237"/>
        <v>0</v>
      </c>
      <c r="AN25" s="252">
        <f t="shared" si="238"/>
        <v>0</v>
      </c>
      <c r="AO25" s="252">
        <f t="shared" si="164"/>
        <v>192.29599999999999</v>
      </c>
      <c r="AP25" s="252">
        <f t="shared" si="165"/>
        <v>134.6081853212898</v>
      </c>
      <c r="AQ25" s="252">
        <f t="shared" si="166"/>
        <v>0</v>
      </c>
      <c r="AR25" s="253">
        <f t="shared" si="167"/>
        <v>0</v>
      </c>
      <c r="AS25" s="243">
        <f t="shared" si="168"/>
        <v>0</v>
      </c>
      <c r="AT25" s="253">
        <f t="shared" si="169"/>
        <v>305.17852581451535</v>
      </c>
      <c r="AU25" s="241">
        <f t="shared" si="170"/>
        <v>0</v>
      </c>
      <c r="AV25" s="246">
        <f t="shared" si="171"/>
        <v>19.229600000000001</v>
      </c>
      <c r="AW25" s="253">
        <f t="shared" si="172"/>
        <v>0</v>
      </c>
      <c r="AX25" s="253">
        <f t="shared" si="23"/>
        <v>0</v>
      </c>
      <c r="AY25" s="253">
        <f t="shared" si="173"/>
        <v>1.8</v>
      </c>
      <c r="AZ25" s="253">
        <f t="shared" si="174"/>
        <v>107.71734581451534</v>
      </c>
      <c r="BA25" s="253">
        <f t="shared" si="175"/>
        <v>0</v>
      </c>
      <c r="BB25" s="253">
        <f t="shared" si="176"/>
        <v>14.4222</v>
      </c>
      <c r="BC25" s="253">
        <f t="shared" si="177"/>
        <v>14.4222</v>
      </c>
      <c r="BD25" s="253">
        <f t="shared" si="178"/>
        <v>2.8844400000000001</v>
      </c>
      <c r="BE25" s="253">
        <f t="shared" si="179"/>
        <v>149.38718000000006</v>
      </c>
      <c r="BF25" s="253">
        <f t="shared" si="180"/>
        <v>204.76463950677447</v>
      </c>
      <c r="BG25" s="253">
        <f t="shared" si="181"/>
        <v>149.38718000000006</v>
      </c>
      <c r="BH25" s="253">
        <f t="shared" si="182"/>
        <v>55.377459506774414</v>
      </c>
      <c r="BI25" s="253">
        <f t="shared" si="183"/>
        <v>0</v>
      </c>
      <c r="BJ25" s="241">
        <f t="shared" si="184"/>
        <v>0</v>
      </c>
      <c r="BK25" s="253">
        <f t="shared" si="185"/>
        <v>0</v>
      </c>
      <c r="BL25" s="253"/>
      <c r="BM25" s="253">
        <f t="shared" si="186"/>
        <v>0.57688800000000007</v>
      </c>
      <c r="BN25" s="249">
        <f t="shared" si="187"/>
        <v>0</v>
      </c>
      <c r="BO25" s="254">
        <f t="shared" si="188"/>
        <v>0</v>
      </c>
      <c r="BP25" s="254">
        <f t="shared" si="189"/>
        <v>0</v>
      </c>
      <c r="BQ25" s="254">
        <f t="shared" si="190"/>
        <v>0</v>
      </c>
      <c r="BR25" s="243">
        <f t="shared" si="191"/>
        <v>0</v>
      </c>
      <c r="BS25" s="243">
        <f t="shared" si="192"/>
        <v>0</v>
      </c>
      <c r="BT25" s="243">
        <f t="shared" si="193"/>
        <v>0</v>
      </c>
      <c r="BU25" s="243">
        <f t="shared" si="194"/>
        <v>0</v>
      </c>
      <c r="BV25" s="243">
        <f t="shared" si="195"/>
        <v>0</v>
      </c>
      <c r="BW25" s="243">
        <f t="shared" si="196"/>
        <v>0</v>
      </c>
      <c r="BX25" s="243">
        <f t="shared" si="197"/>
        <v>0</v>
      </c>
      <c r="BY25" s="243">
        <f t="shared" si="198"/>
        <v>0</v>
      </c>
      <c r="BZ25" s="243">
        <f t="shared" si="199"/>
        <v>0</v>
      </c>
      <c r="CA25" s="243">
        <f t="shared" si="200"/>
        <v>0</v>
      </c>
      <c r="CB25" s="243">
        <f t="shared" si="201"/>
        <v>0</v>
      </c>
      <c r="CC25" s="243">
        <f t="shared" si="202"/>
        <v>0</v>
      </c>
      <c r="CD25" s="243">
        <f t="shared" si="203"/>
        <v>0</v>
      </c>
      <c r="CE25" s="243">
        <f t="shared" si="204"/>
        <v>0</v>
      </c>
      <c r="CF25" s="243">
        <f t="shared" si="205"/>
        <v>0</v>
      </c>
      <c r="CG25" s="243">
        <f t="shared" si="206"/>
        <v>0</v>
      </c>
      <c r="CH25" s="243">
        <f t="shared" si="207"/>
        <v>0</v>
      </c>
      <c r="CI25" s="243">
        <f t="shared" si="208"/>
        <v>0</v>
      </c>
      <c r="CJ25" s="255">
        <f t="shared" si="209"/>
        <v>3.835</v>
      </c>
      <c r="CK25" s="243">
        <f t="shared" si="210"/>
        <v>0</v>
      </c>
      <c r="CL25" s="243">
        <f t="shared" si="211"/>
        <v>36.979999999999997</v>
      </c>
      <c r="CM25" s="243">
        <f t="shared" si="212"/>
        <v>0</v>
      </c>
      <c r="CN25" s="248">
        <f t="shared" si="213"/>
        <v>0</v>
      </c>
      <c r="CO25" s="248">
        <f t="shared" si="214"/>
        <v>0</v>
      </c>
      <c r="CP25" s="248">
        <f t="shared" si="215"/>
        <v>0</v>
      </c>
      <c r="CQ25" s="248">
        <f t="shared" si="216"/>
        <v>0</v>
      </c>
      <c r="CR25" s="248">
        <f t="shared" si="217"/>
        <v>0</v>
      </c>
      <c r="CS25" s="248">
        <f t="shared" si="218"/>
        <v>0</v>
      </c>
      <c r="CT25" s="256">
        <f t="shared" si="219"/>
        <v>0</v>
      </c>
      <c r="CU25" s="257">
        <f t="shared" si="220"/>
        <v>1</v>
      </c>
      <c r="CV25" s="257">
        <f t="shared" si="221"/>
        <v>0</v>
      </c>
      <c r="CW25" s="257">
        <f t="shared" si="222"/>
        <v>0</v>
      </c>
      <c r="CX25" s="257">
        <f t="shared" si="223"/>
        <v>0</v>
      </c>
      <c r="CY25" s="257">
        <f t="shared" si="224"/>
        <v>0</v>
      </c>
      <c r="CZ25" s="257">
        <f t="shared" si="225"/>
        <v>1</v>
      </c>
      <c r="DA25" s="258">
        <f t="shared" si="226"/>
        <v>1.2999999999999998</v>
      </c>
      <c r="DB25" s="259">
        <v>1.3</v>
      </c>
      <c r="DC25" s="259">
        <v>1.4</v>
      </c>
      <c r="DD25" s="259">
        <v>2</v>
      </c>
      <c r="DE25" s="259">
        <v>2</v>
      </c>
      <c r="DF25" s="260">
        <v>2</v>
      </c>
      <c r="DG25" s="249">
        <f t="shared" si="227"/>
        <v>0</v>
      </c>
      <c r="DH25" s="261">
        <f t="shared" si="228"/>
        <v>0</v>
      </c>
      <c r="DI25" s="261">
        <f t="shared" si="229"/>
        <v>0</v>
      </c>
      <c r="DJ25" s="261">
        <f t="shared" si="230"/>
        <v>0</v>
      </c>
      <c r="DK25" s="261">
        <f t="shared" si="231"/>
        <v>0</v>
      </c>
      <c r="DL25" s="261">
        <f t="shared" si="232"/>
        <v>0</v>
      </c>
      <c r="DM25" s="261">
        <f t="shared" si="233"/>
        <v>110.94</v>
      </c>
      <c r="DN25" s="261">
        <f t="shared" si="234"/>
        <v>110.94</v>
      </c>
      <c r="DO25" s="261">
        <f t="shared" si="235"/>
        <v>61.756599999999992</v>
      </c>
      <c r="DP25" s="261">
        <f t="shared" si="236"/>
        <v>0</v>
      </c>
    </row>
    <row r="26" spans="1:120" x14ac:dyDescent="0.25">
      <c r="A26" s="220" t="s">
        <v>2420</v>
      </c>
      <c r="B26" s="237"/>
      <c r="C26" s="238" t="str">
        <f>'Planilha Hidráulica'!B30</f>
        <v>PV10.1-&gt;PV11.1</v>
      </c>
      <c r="D26" s="239">
        <f>'Planilha Hidráulica'!R30</f>
        <v>3.37</v>
      </c>
      <c r="E26" s="239">
        <f>'Planilha Hidráulica'!S30</f>
        <v>3.3</v>
      </c>
      <c r="F26" s="239">
        <f>'Planilha Hidráulica'!K30</f>
        <v>36.979999999999997</v>
      </c>
      <c r="G26" s="238">
        <f>'Planilha Hidráulica'!M30</f>
        <v>1500</v>
      </c>
      <c r="H26" s="240">
        <f t="shared" si="140"/>
        <v>3.835</v>
      </c>
      <c r="I26" s="241">
        <f t="shared" si="141"/>
        <v>7.0909149999999999</v>
      </c>
      <c r="J26" s="242">
        <v>0</v>
      </c>
      <c r="K26" s="243">
        <f t="shared" si="142"/>
        <v>2.6</v>
      </c>
      <c r="L26" s="243">
        <f t="shared" si="143"/>
        <v>2.6</v>
      </c>
      <c r="M26" s="243">
        <f>'Planilha Hidráulica'!X30</f>
        <v>1200</v>
      </c>
      <c r="N26" s="243">
        <f t="shared" si="144"/>
        <v>96.147999999999996</v>
      </c>
      <c r="O26" s="244" t="str">
        <f>'Planilha Hidráulica'!W30</f>
        <v>ASFALTO</v>
      </c>
      <c r="P26" s="244" t="s">
        <v>2423</v>
      </c>
      <c r="Q26" s="244"/>
      <c r="R26" s="244">
        <v>3.9</v>
      </c>
      <c r="S26" s="244">
        <v>5</v>
      </c>
      <c r="T26" s="243">
        <f t="shared" si="145"/>
        <v>0.2</v>
      </c>
      <c r="U26" s="245">
        <f t="shared" si="146"/>
        <v>41.823394678710194</v>
      </c>
      <c r="V26" s="246">
        <f t="shared" si="147"/>
        <v>326.90418532128979</v>
      </c>
      <c r="W26" s="247">
        <f t="shared" si="148"/>
        <v>0</v>
      </c>
      <c r="X26" s="247">
        <f t="shared" si="149"/>
        <v>0</v>
      </c>
      <c r="Y26" s="248">
        <f t="shared" si="150"/>
        <v>3.835</v>
      </c>
      <c r="Z26" s="248">
        <f t="shared" si="151"/>
        <v>0</v>
      </c>
      <c r="AA26" s="249">
        <f t="shared" si="152"/>
        <v>96.147999999999996</v>
      </c>
      <c r="AB26" s="250">
        <f t="shared" si="153"/>
        <v>0</v>
      </c>
      <c r="AC26" s="251">
        <f t="shared" si="154"/>
        <v>0</v>
      </c>
      <c r="AD26" s="251">
        <f t="shared" si="155"/>
        <v>0</v>
      </c>
      <c r="AE26" s="251">
        <f t="shared" si="156"/>
        <v>0</v>
      </c>
      <c r="AF26" s="251">
        <f t="shared" si="157"/>
        <v>0</v>
      </c>
      <c r="AG26" s="251">
        <f t="shared" si="158"/>
        <v>0</v>
      </c>
      <c r="AH26" s="251">
        <f t="shared" si="159"/>
        <v>0</v>
      </c>
      <c r="AI26" s="251">
        <f t="shared" si="160"/>
        <v>0</v>
      </c>
      <c r="AJ26" s="252">
        <f t="shared" si="161"/>
        <v>0</v>
      </c>
      <c r="AK26" s="252">
        <f t="shared" si="162"/>
        <v>0</v>
      </c>
      <c r="AL26" s="252">
        <f t="shared" si="163"/>
        <v>0</v>
      </c>
      <c r="AM26" s="252">
        <f t="shared" si="237"/>
        <v>0</v>
      </c>
      <c r="AN26" s="252">
        <f t="shared" si="238"/>
        <v>0</v>
      </c>
      <c r="AO26" s="252">
        <f t="shared" si="164"/>
        <v>192.29599999999999</v>
      </c>
      <c r="AP26" s="252">
        <f t="shared" si="165"/>
        <v>134.6081853212898</v>
      </c>
      <c r="AQ26" s="252">
        <f t="shared" si="166"/>
        <v>0</v>
      </c>
      <c r="AR26" s="253">
        <f t="shared" si="167"/>
        <v>0</v>
      </c>
      <c r="AS26" s="243">
        <f t="shared" si="168"/>
        <v>0</v>
      </c>
      <c r="AT26" s="253">
        <f t="shared" si="169"/>
        <v>305.17852581451535</v>
      </c>
      <c r="AU26" s="241">
        <f t="shared" si="170"/>
        <v>0</v>
      </c>
      <c r="AV26" s="246">
        <f t="shared" si="171"/>
        <v>19.229600000000001</v>
      </c>
      <c r="AW26" s="253">
        <f t="shared" si="172"/>
        <v>0</v>
      </c>
      <c r="AX26" s="253">
        <f t="shared" si="23"/>
        <v>0</v>
      </c>
      <c r="AY26" s="253">
        <f t="shared" si="173"/>
        <v>1.8</v>
      </c>
      <c r="AZ26" s="253">
        <f t="shared" si="174"/>
        <v>107.71734581451534</v>
      </c>
      <c r="BA26" s="253">
        <f t="shared" si="175"/>
        <v>0</v>
      </c>
      <c r="BB26" s="253">
        <f t="shared" si="176"/>
        <v>14.4222</v>
      </c>
      <c r="BC26" s="253">
        <f t="shared" si="177"/>
        <v>14.4222</v>
      </c>
      <c r="BD26" s="253">
        <f t="shared" si="178"/>
        <v>2.8844400000000001</v>
      </c>
      <c r="BE26" s="253">
        <f t="shared" si="179"/>
        <v>149.38718000000006</v>
      </c>
      <c r="BF26" s="253">
        <f t="shared" si="180"/>
        <v>204.76463950677447</v>
      </c>
      <c r="BG26" s="253">
        <f t="shared" si="181"/>
        <v>149.38718000000006</v>
      </c>
      <c r="BH26" s="253">
        <f t="shared" si="182"/>
        <v>55.377459506774414</v>
      </c>
      <c r="BI26" s="253">
        <f t="shared" si="183"/>
        <v>0</v>
      </c>
      <c r="BJ26" s="241">
        <f t="shared" si="184"/>
        <v>0</v>
      </c>
      <c r="BK26" s="253">
        <f t="shared" si="185"/>
        <v>0</v>
      </c>
      <c r="BL26" s="253"/>
      <c r="BM26" s="253">
        <f t="shared" si="186"/>
        <v>0.57688800000000007</v>
      </c>
      <c r="BN26" s="249">
        <f t="shared" si="187"/>
        <v>0</v>
      </c>
      <c r="BO26" s="254">
        <f t="shared" si="188"/>
        <v>0</v>
      </c>
      <c r="BP26" s="254">
        <f t="shared" si="189"/>
        <v>0</v>
      </c>
      <c r="BQ26" s="254">
        <f t="shared" si="190"/>
        <v>0</v>
      </c>
      <c r="BR26" s="243">
        <f t="shared" si="191"/>
        <v>0</v>
      </c>
      <c r="BS26" s="243">
        <f t="shared" si="192"/>
        <v>0</v>
      </c>
      <c r="BT26" s="243">
        <f t="shared" si="193"/>
        <v>0</v>
      </c>
      <c r="BU26" s="243">
        <f t="shared" si="194"/>
        <v>0</v>
      </c>
      <c r="BV26" s="243">
        <f t="shared" si="195"/>
        <v>0</v>
      </c>
      <c r="BW26" s="243">
        <f t="shared" si="196"/>
        <v>0</v>
      </c>
      <c r="BX26" s="243">
        <f t="shared" si="197"/>
        <v>0</v>
      </c>
      <c r="BY26" s="243">
        <f t="shared" si="198"/>
        <v>0</v>
      </c>
      <c r="BZ26" s="243">
        <f t="shared" si="199"/>
        <v>0</v>
      </c>
      <c r="CA26" s="243">
        <f t="shared" si="200"/>
        <v>0</v>
      </c>
      <c r="CB26" s="243">
        <f t="shared" si="201"/>
        <v>0</v>
      </c>
      <c r="CC26" s="243">
        <f t="shared" si="202"/>
        <v>0</v>
      </c>
      <c r="CD26" s="243">
        <f t="shared" si="203"/>
        <v>0</v>
      </c>
      <c r="CE26" s="243">
        <f t="shared" si="204"/>
        <v>0</v>
      </c>
      <c r="CF26" s="243">
        <f t="shared" si="205"/>
        <v>0</v>
      </c>
      <c r="CG26" s="243">
        <f t="shared" si="206"/>
        <v>0</v>
      </c>
      <c r="CH26" s="243">
        <f t="shared" si="207"/>
        <v>0</v>
      </c>
      <c r="CI26" s="243">
        <f t="shared" si="208"/>
        <v>0</v>
      </c>
      <c r="CJ26" s="255">
        <f t="shared" si="209"/>
        <v>3.835</v>
      </c>
      <c r="CK26" s="243">
        <f t="shared" si="210"/>
        <v>0</v>
      </c>
      <c r="CL26" s="243">
        <f t="shared" si="211"/>
        <v>36.979999999999997</v>
      </c>
      <c r="CM26" s="243">
        <f t="shared" si="212"/>
        <v>0</v>
      </c>
      <c r="CN26" s="248">
        <f t="shared" si="213"/>
        <v>0</v>
      </c>
      <c r="CO26" s="248">
        <f t="shared" si="214"/>
        <v>0</v>
      </c>
      <c r="CP26" s="248">
        <f t="shared" si="215"/>
        <v>0</v>
      </c>
      <c r="CQ26" s="248">
        <f t="shared" si="216"/>
        <v>0</v>
      </c>
      <c r="CR26" s="248">
        <f t="shared" si="217"/>
        <v>0</v>
      </c>
      <c r="CS26" s="248">
        <f t="shared" si="218"/>
        <v>0</v>
      </c>
      <c r="CT26" s="256">
        <f t="shared" si="219"/>
        <v>0</v>
      </c>
      <c r="CU26" s="257">
        <f t="shared" si="220"/>
        <v>1</v>
      </c>
      <c r="CV26" s="257">
        <f t="shared" si="221"/>
        <v>0</v>
      </c>
      <c r="CW26" s="257">
        <f t="shared" si="222"/>
        <v>0</v>
      </c>
      <c r="CX26" s="257">
        <f t="shared" si="223"/>
        <v>0</v>
      </c>
      <c r="CY26" s="257">
        <f t="shared" si="224"/>
        <v>0</v>
      </c>
      <c r="CZ26" s="257">
        <f t="shared" si="225"/>
        <v>1</v>
      </c>
      <c r="DA26" s="258">
        <f t="shared" si="226"/>
        <v>1.37</v>
      </c>
      <c r="DB26" s="259">
        <v>1.3</v>
      </c>
      <c r="DC26" s="259">
        <v>1.4</v>
      </c>
      <c r="DD26" s="259">
        <v>2</v>
      </c>
      <c r="DE26" s="259">
        <v>2</v>
      </c>
      <c r="DF26" s="260">
        <v>2</v>
      </c>
      <c r="DG26" s="249">
        <f t="shared" si="227"/>
        <v>0</v>
      </c>
      <c r="DH26" s="261">
        <f t="shared" si="228"/>
        <v>0</v>
      </c>
      <c r="DI26" s="261">
        <f t="shared" si="229"/>
        <v>0</v>
      </c>
      <c r="DJ26" s="261">
        <f t="shared" si="230"/>
        <v>0</v>
      </c>
      <c r="DK26" s="261">
        <f t="shared" si="231"/>
        <v>0</v>
      </c>
      <c r="DL26" s="261">
        <f t="shared" si="232"/>
        <v>0</v>
      </c>
      <c r="DM26" s="261">
        <f t="shared" si="233"/>
        <v>110.94</v>
      </c>
      <c r="DN26" s="261">
        <f t="shared" si="234"/>
        <v>110.94</v>
      </c>
      <c r="DO26" s="261">
        <f t="shared" si="235"/>
        <v>61.756599999999992</v>
      </c>
      <c r="DP26" s="261">
        <f t="shared" si="236"/>
        <v>0</v>
      </c>
    </row>
    <row r="27" spans="1:120" x14ac:dyDescent="0.25">
      <c r="A27" s="220" t="s">
        <v>2420</v>
      </c>
      <c r="B27" s="237"/>
      <c r="C27" s="238" t="str">
        <f>'Planilha Hidráulica'!B31</f>
        <v>PV11.1-&gt;PV12.1</v>
      </c>
      <c r="D27" s="239">
        <f>'Planilha Hidráulica'!R31</f>
        <v>3.3</v>
      </c>
      <c r="E27" s="239">
        <f>'Planilha Hidráulica'!S31</f>
        <v>3.02</v>
      </c>
      <c r="F27" s="239">
        <f>'Planilha Hidráulica'!K31</f>
        <v>34.729999999999997</v>
      </c>
      <c r="G27" s="238">
        <f>'Planilha Hidráulica'!M31</f>
        <v>1500</v>
      </c>
      <c r="H27" s="240">
        <f t="shared" si="140"/>
        <v>3.66</v>
      </c>
      <c r="I27" s="241">
        <f t="shared" si="141"/>
        <v>6.3555899999999994</v>
      </c>
      <c r="J27" s="242">
        <v>0</v>
      </c>
      <c r="K27" s="243">
        <f t="shared" si="142"/>
        <v>2.6</v>
      </c>
      <c r="L27" s="243">
        <f t="shared" si="143"/>
        <v>2.6</v>
      </c>
      <c r="M27" s="243">
        <f>'Planilha Hidráulica'!X31</f>
        <v>1200</v>
      </c>
      <c r="N27" s="243">
        <f t="shared" si="144"/>
        <v>90.298000000000002</v>
      </c>
      <c r="O27" s="244" t="str">
        <f>'Planilha Hidráulica'!W31</f>
        <v>ASFALTO</v>
      </c>
      <c r="P27" s="244" t="s">
        <v>2423</v>
      </c>
      <c r="Q27" s="244"/>
      <c r="R27" s="244">
        <v>3.9</v>
      </c>
      <c r="S27" s="244">
        <v>5</v>
      </c>
      <c r="T27" s="243">
        <f t="shared" si="145"/>
        <v>0.2</v>
      </c>
      <c r="U27" s="245">
        <f t="shared" si="146"/>
        <v>39.27870462930246</v>
      </c>
      <c r="V27" s="246">
        <f t="shared" si="147"/>
        <v>291.21197537069753</v>
      </c>
      <c r="W27" s="247">
        <f t="shared" si="148"/>
        <v>0</v>
      </c>
      <c r="X27" s="247">
        <f t="shared" si="149"/>
        <v>0</v>
      </c>
      <c r="Y27" s="248">
        <f t="shared" si="150"/>
        <v>3.66</v>
      </c>
      <c r="Z27" s="248">
        <f t="shared" si="151"/>
        <v>0</v>
      </c>
      <c r="AA27" s="249">
        <f t="shared" si="152"/>
        <v>90.298000000000002</v>
      </c>
      <c r="AB27" s="250">
        <f t="shared" si="153"/>
        <v>0</v>
      </c>
      <c r="AC27" s="251">
        <f t="shared" si="154"/>
        <v>0</v>
      </c>
      <c r="AD27" s="251">
        <f t="shared" si="155"/>
        <v>0</v>
      </c>
      <c r="AE27" s="251">
        <f t="shared" si="156"/>
        <v>0</v>
      </c>
      <c r="AF27" s="251">
        <f t="shared" si="157"/>
        <v>0</v>
      </c>
      <c r="AG27" s="251">
        <f t="shared" si="158"/>
        <v>0</v>
      </c>
      <c r="AH27" s="251">
        <f t="shared" si="159"/>
        <v>0</v>
      </c>
      <c r="AI27" s="251">
        <f t="shared" si="160"/>
        <v>0</v>
      </c>
      <c r="AJ27" s="252">
        <f t="shared" si="161"/>
        <v>0</v>
      </c>
      <c r="AK27" s="252">
        <f t="shared" si="162"/>
        <v>0</v>
      </c>
      <c r="AL27" s="252">
        <f t="shared" si="163"/>
        <v>0</v>
      </c>
      <c r="AM27" s="252">
        <f t="shared" si="237"/>
        <v>0</v>
      </c>
      <c r="AN27" s="252">
        <f t="shared" si="238"/>
        <v>0</v>
      </c>
      <c r="AO27" s="252">
        <f t="shared" si="164"/>
        <v>180.596</v>
      </c>
      <c r="AP27" s="252">
        <f t="shared" si="165"/>
        <v>110.61597537069756</v>
      </c>
      <c r="AQ27" s="252">
        <f t="shared" si="166"/>
        <v>0</v>
      </c>
      <c r="AR27" s="253">
        <f t="shared" si="167"/>
        <v>0</v>
      </c>
      <c r="AS27" s="243">
        <f t="shared" si="168"/>
        <v>0</v>
      </c>
      <c r="AT27" s="253">
        <f t="shared" si="169"/>
        <v>270.91770401671494</v>
      </c>
      <c r="AU27" s="241">
        <f t="shared" si="170"/>
        <v>0</v>
      </c>
      <c r="AV27" s="246">
        <f t="shared" si="171"/>
        <v>18.0596</v>
      </c>
      <c r="AW27" s="253">
        <f t="shared" si="172"/>
        <v>0</v>
      </c>
      <c r="AX27" s="253">
        <f t="shared" si="23"/>
        <v>0</v>
      </c>
      <c r="AY27" s="253">
        <f t="shared" si="173"/>
        <v>1.8</v>
      </c>
      <c r="AZ27" s="253">
        <f t="shared" si="174"/>
        <v>101.16342401671491</v>
      </c>
      <c r="BA27" s="253">
        <f t="shared" si="175"/>
        <v>0</v>
      </c>
      <c r="BB27" s="253">
        <f t="shared" si="176"/>
        <v>13.544699999999999</v>
      </c>
      <c r="BC27" s="253">
        <f t="shared" si="177"/>
        <v>13.544699999999999</v>
      </c>
      <c r="BD27" s="253">
        <f t="shared" si="178"/>
        <v>2.7089399999999997</v>
      </c>
      <c r="BE27" s="253">
        <f t="shared" si="179"/>
        <v>124.60528000000002</v>
      </c>
      <c r="BF27" s="253">
        <f t="shared" si="180"/>
        <v>176.5038513539827</v>
      </c>
      <c r="BG27" s="253">
        <f t="shared" si="181"/>
        <v>124.60528000000002</v>
      </c>
      <c r="BH27" s="253">
        <f t="shared" si="182"/>
        <v>51.898571353982675</v>
      </c>
      <c r="BI27" s="253">
        <f t="shared" si="183"/>
        <v>0</v>
      </c>
      <c r="BJ27" s="241">
        <f t="shared" si="184"/>
        <v>0</v>
      </c>
      <c r="BK27" s="253">
        <f t="shared" si="185"/>
        <v>0</v>
      </c>
      <c r="BL27" s="253"/>
      <c r="BM27" s="253">
        <f t="shared" si="186"/>
        <v>0.54178799999999994</v>
      </c>
      <c r="BN27" s="249">
        <f t="shared" si="187"/>
        <v>0</v>
      </c>
      <c r="BO27" s="254">
        <f t="shared" si="188"/>
        <v>0</v>
      </c>
      <c r="BP27" s="254">
        <f t="shared" si="189"/>
        <v>0</v>
      </c>
      <c r="BQ27" s="254">
        <f t="shared" si="190"/>
        <v>0</v>
      </c>
      <c r="BR27" s="243">
        <f t="shared" si="191"/>
        <v>0</v>
      </c>
      <c r="BS27" s="243">
        <f t="shared" si="192"/>
        <v>0</v>
      </c>
      <c r="BT27" s="243">
        <f t="shared" si="193"/>
        <v>0</v>
      </c>
      <c r="BU27" s="243">
        <f t="shared" si="194"/>
        <v>0</v>
      </c>
      <c r="BV27" s="243">
        <f t="shared" si="195"/>
        <v>0</v>
      </c>
      <c r="BW27" s="243">
        <f t="shared" si="196"/>
        <v>0</v>
      </c>
      <c r="BX27" s="243">
        <f t="shared" si="197"/>
        <v>0</v>
      </c>
      <c r="BY27" s="243">
        <f t="shared" si="198"/>
        <v>0</v>
      </c>
      <c r="BZ27" s="243">
        <f t="shared" si="199"/>
        <v>0</v>
      </c>
      <c r="CA27" s="243">
        <f t="shared" si="200"/>
        <v>0</v>
      </c>
      <c r="CB27" s="243">
        <f t="shared" si="201"/>
        <v>0</v>
      </c>
      <c r="CC27" s="243">
        <f t="shared" si="202"/>
        <v>0</v>
      </c>
      <c r="CD27" s="243">
        <f t="shared" si="203"/>
        <v>0</v>
      </c>
      <c r="CE27" s="243">
        <f t="shared" si="204"/>
        <v>0</v>
      </c>
      <c r="CF27" s="243">
        <f t="shared" si="205"/>
        <v>0</v>
      </c>
      <c r="CG27" s="243">
        <f t="shared" si="206"/>
        <v>0</v>
      </c>
      <c r="CH27" s="243">
        <f t="shared" si="207"/>
        <v>0</v>
      </c>
      <c r="CI27" s="243">
        <f t="shared" si="208"/>
        <v>0</v>
      </c>
      <c r="CJ27" s="255">
        <f t="shared" si="209"/>
        <v>3.66</v>
      </c>
      <c r="CK27" s="243">
        <f t="shared" si="210"/>
        <v>0</v>
      </c>
      <c r="CL27" s="243">
        <f t="shared" si="211"/>
        <v>34.729999999999997</v>
      </c>
      <c r="CM27" s="243">
        <f t="shared" si="212"/>
        <v>0</v>
      </c>
      <c r="CN27" s="248">
        <f t="shared" si="213"/>
        <v>0</v>
      </c>
      <c r="CO27" s="248">
        <f t="shared" si="214"/>
        <v>0</v>
      </c>
      <c r="CP27" s="248">
        <f t="shared" si="215"/>
        <v>0</v>
      </c>
      <c r="CQ27" s="248">
        <f t="shared" si="216"/>
        <v>0</v>
      </c>
      <c r="CR27" s="248">
        <f t="shared" si="217"/>
        <v>0</v>
      </c>
      <c r="CS27" s="248">
        <f t="shared" si="218"/>
        <v>0</v>
      </c>
      <c r="CT27" s="256">
        <f t="shared" si="219"/>
        <v>0</v>
      </c>
      <c r="CU27" s="257">
        <f t="shared" si="220"/>
        <v>1</v>
      </c>
      <c r="CV27" s="257">
        <f t="shared" si="221"/>
        <v>0</v>
      </c>
      <c r="CW27" s="257">
        <f t="shared" si="222"/>
        <v>0</v>
      </c>
      <c r="CX27" s="257">
        <f t="shared" si="223"/>
        <v>0</v>
      </c>
      <c r="CY27" s="257">
        <f t="shared" si="224"/>
        <v>0</v>
      </c>
      <c r="CZ27" s="257">
        <f t="shared" si="225"/>
        <v>1</v>
      </c>
      <c r="DA27" s="258">
        <f t="shared" si="226"/>
        <v>1.2999999999999998</v>
      </c>
      <c r="DB27" s="259">
        <v>1.3</v>
      </c>
      <c r="DC27" s="259">
        <v>1.4</v>
      </c>
      <c r="DD27" s="259">
        <v>2</v>
      </c>
      <c r="DE27" s="259">
        <v>2</v>
      </c>
      <c r="DF27" s="260">
        <v>2</v>
      </c>
      <c r="DG27" s="249">
        <f t="shared" si="227"/>
        <v>0</v>
      </c>
      <c r="DH27" s="261">
        <f t="shared" si="228"/>
        <v>0</v>
      </c>
      <c r="DI27" s="261">
        <f t="shared" si="229"/>
        <v>0</v>
      </c>
      <c r="DJ27" s="261">
        <f t="shared" si="230"/>
        <v>0</v>
      </c>
      <c r="DK27" s="261">
        <f t="shared" si="231"/>
        <v>0</v>
      </c>
      <c r="DL27" s="261">
        <f t="shared" si="232"/>
        <v>0</v>
      </c>
      <c r="DM27" s="261">
        <f t="shared" si="233"/>
        <v>104.19</v>
      </c>
      <c r="DN27" s="261">
        <f t="shared" si="234"/>
        <v>104.19</v>
      </c>
      <c r="DO27" s="261">
        <f t="shared" si="235"/>
        <v>45.843600000000009</v>
      </c>
      <c r="DP27" s="261">
        <f t="shared" si="236"/>
        <v>0</v>
      </c>
    </row>
    <row r="28" spans="1:120" x14ac:dyDescent="0.25">
      <c r="A28" s="220" t="s">
        <v>2420</v>
      </c>
      <c r="B28" s="237"/>
      <c r="C28" s="238" t="str">
        <f>'Planilha Hidráulica'!B32</f>
        <v>PV12.1-&gt;PV13.1</v>
      </c>
      <c r="D28" s="239">
        <f>'Planilha Hidráulica'!R32</f>
        <v>3.02</v>
      </c>
      <c r="E28" s="239">
        <f>'Planilha Hidráulica'!S32</f>
        <v>2.9</v>
      </c>
      <c r="F28" s="239">
        <f>'Planilha Hidráulica'!K32</f>
        <v>34.729999999999997</v>
      </c>
      <c r="G28" s="238">
        <f>'Planilha Hidráulica'!M32</f>
        <v>1500</v>
      </c>
      <c r="H28" s="240">
        <f t="shared" si="140"/>
        <v>3.46</v>
      </c>
      <c r="I28" s="241">
        <f t="shared" si="141"/>
        <v>6.0082899999999997</v>
      </c>
      <c r="J28" s="242">
        <v>0</v>
      </c>
      <c r="K28" s="243">
        <f t="shared" si="142"/>
        <v>2.6</v>
      </c>
      <c r="L28" s="243">
        <f t="shared" si="143"/>
        <v>2.6</v>
      </c>
      <c r="M28" s="243">
        <f>'Planilha Hidráulica'!X32</f>
        <v>1200</v>
      </c>
      <c r="N28" s="243">
        <f t="shared" si="144"/>
        <v>90.298000000000002</v>
      </c>
      <c r="O28" s="244" t="str">
        <f>'Planilha Hidráulica'!W32</f>
        <v>ASFALTO</v>
      </c>
      <c r="P28" s="244" t="s">
        <v>2423</v>
      </c>
      <c r="Q28" s="244"/>
      <c r="R28" s="244">
        <v>3.9</v>
      </c>
      <c r="S28" s="244">
        <v>5</v>
      </c>
      <c r="T28" s="243">
        <f t="shared" si="145"/>
        <v>0.2</v>
      </c>
      <c r="U28" s="245">
        <f t="shared" si="146"/>
        <v>39.27870462930246</v>
      </c>
      <c r="V28" s="246">
        <f t="shared" si="147"/>
        <v>273.15237537069754</v>
      </c>
      <c r="W28" s="247">
        <f t="shared" si="148"/>
        <v>0</v>
      </c>
      <c r="X28" s="247">
        <f t="shared" si="149"/>
        <v>0</v>
      </c>
      <c r="Y28" s="248">
        <f t="shared" si="150"/>
        <v>3.46</v>
      </c>
      <c r="Z28" s="248">
        <f t="shared" si="151"/>
        <v>0</v>
      </c>
      <c r="AA28" s="249">
        <f t="shared" si="152"/>
        <v>90.298000000000002</v>
      </c>
      <c r="AB28" s="250">
        <f t="shared" si="153"/>
        <v>0</v>
      </c>
      <c r="AC28" s="251">
        <f t="shared" si="154"/>
        <v>0</v>
      </c>
      <c r="AD28" s="251">
        <f t="shared" si="155"/>
        <v>0</v>
      </c>
      <c r="AE28" s="251">
        <f t="shared" si="156"/>
        <v>0</v>
      </c>
      <c r="AF28" s="251">
        <f t="shared" si="157"/>
        <v>0</v>
      </c>
      <c r="AG28" s="251">
        <f t="shared" si="158"/>
        <v>0</v>
      </c>
      <c r="AH28" s="251">
        <f t="shared" si="159"/>
        <v>0</v>
      </c>
      <c r="AI28" s="251">
        <f t="shared" si="160"/>
        <v>0</v>
      </c>
      <c r="AJ28" s="252">
        <f t="shared" si="161"/>
        <v>0</v>
      </c>
      <c r="AK28" s="252">
        <f t="shared" si="162"/>
        <v>0</v>
      </c>
      <c r="AL28" s="252">
        <f t="shared" si="163"/>
        <v>0</v>
      </c>
      <c r="AM28" s="252">
        <f t="shared" si="237"/>
        <v>0</v>
      </c>
      <c r="AN28" s="252">
        <f t="shared" si="238"/>
        <v>0</v>
      </c>
      <c r="AO28" s="252">
        <f t="shared" si="164"/>
        <v>180.596</v>
      </c>
      <c r="AP28" s="252">
        <f t="shared" si="165"/>
        <v>92.556375370697538</v>
      </c>
      <c r="AQ28" s="252">
        <f t="shared" si="166"/>
        <v>0</v>
      </c>
      <c r="AR28" s="253">
        <f t="shared" si="167"/>
        <v>0</v>
      </c>
      <c r="AS28" s="243">
        <f t="shared" si="168"/>
        <v>0</v>
      </c>
      <c r="AT28" s="253">
        <f t="shared" si="169"/>
        <v>252.85810401671492</v>
      </c>
      <c r="AU28" s="241">
        <f t="shared" si="170"/>
        <v>0</v>
      </c>
      <c r="AV28" s="246">
        <f t="shared" si="171"/>
        <v>18.0596</v>
      </c>
      <c r="AW28" s="253">
        <f t="shared" si="172"/>
        <v>0</v>
      </c>
      <c r="AX28" s="253">
        <f t="shared" si="23"/>
        <v>0</v>
      </c>
      <c r="AY28" s="253">
        <f t="shared" si="173"/>
        <v>1.8</v>
      </c>
      <c r="AZ28" s="253">
        <f t="shared" si="174"/>
        <v>101.16342401671491</v>
      </c>
      <c r="BA28" s="253">
        <f t="shared" si="175"/>
        <v>0</v>
      </c>
      <c r="BB28" s="253">
        <f t="shared" si="176"/>
        <v>13.544699999999999</v>
      </c>
      <c r="BC28" s="253">
        <f t="shared" si="177"/>
        <v>13.544699999999999</v>
      </c>
      <c r="BD28" s="253">
        <f t="shared" si="178"/>
        <v>2.7089399999999997</v>
      </c>
      <c r="BE28" s="253">
        <f t="shared" si="179"/>
        <v>106.54568</v>
      </c>
      <c r="BF28" s="253">
        <f t="shared" si="180"/>
        <v>158.44425135398265</v>
      </c>
      <c r="BG28" s="253">
        <f t="shared" si="181"/>
        <v>106.54568</v>
      </c>
      <c r="BH28" s="253">
        <f t="shared" si="182"/>
        <v>51.898571353982646</v>
      </c>
      <c r="BI28" s="253">
        <f t="shared" si="183"/>
        <v>0</v>
      </c>
      <c r="BJ28" s="241">
        <f t="shared" si="184"/>
        <v>0</v>
      </c>
      <c r="BK28" s="253">
        <f t="shared" si="185"/>
        <v>0</v>
      </c>
      <c r="BL28" s="253"/>
      <c r="BM28" s="253">
        <f t="shared" si="186"/>
        <v>0.54178799999999994</v>
      </c>
      <c r="BN28" s="249">
        <f t="shared" si="187"/>
        <v>0</v>
      </c>
      <c r="BO28" s="254">
        <f t="shared" si="188"/>
        <v>0</v>
      </c>
      <c r="BP28" s="254">
        <f t="shared" si="189"/>
        <v>0</v>
      </c>
      <c r="BQ28" s="254">
        <f t="shared" si="190"/>
        <v>0</v>
      </c>
      <c r="BR28" s="243">
        <f t="shared" si="191"/>
        <v>0</v>
      </c>
      <c r="BS28" s="243">
        <f t="shared" si="192"/>
        <v>0</v>
      </c>
      <c r="BT28" s="243">
        <f t="shared" si="193"/>
        <v>0</v>
      </c>
      <c r="BU28" s="243">
        <f t="shared" si="194"/>
        <v>0</v>
      </c>
      <c r="BV28" s="243">
        <f t="shared" si="195"/>
        <v>0</v>
      </c>
      <c r="BW28" s="243">
        <f t="shared" si="196"/>
        <v>0</v>
      </c>
      <c r="BX28" s="243">
        <f t="shared" si="197"/>
        <v>0</v>
      </c>
      <c r="BY28" s="243">
        <f t="shared" si="198"/>
        <v>0</v>
      </c>
      <c r="BZ28" s="243">
        <f t="shared" si="199"/>
        <v>0</v>
      </c>
      <c r="CA28" s="243">
        <f t="shared" si="200"/>
        <v>0</v>
      </c>
      <c r="CB28" s="243">
        <f t="shared" si="201"/>
        <v>0</v>
      </c>
      <c r="CC28" s="243">
        <f t="shared" si="202"/>
        <v>0</v>
      </c>
      <c r="CD28" s="243">
        <f t="shared" si="203"/>
        <v>0</v>
      </c>
      <c r="CE28" s="243">
        <f t="shared" si="204"/>
        <v>0</v>
      </c>
      <c r="CF28" s="243">
        <f t="shared" si="205"/>
        <v>0</v>
      </c>
      <c r="CG28" s="243">
        <f t="shared" si="206"/>
        <v>0</v>
      </c>
      <c r="CH28" s="243">
        <f t="shared" si="207"/>
        <v>0</v>
      </c>
      <c r="CI28" s="243">
        <f t="shared" si="208"/>
        <v>0</v>
      </c>
      <c r="CJ28" s="255">
        <f t="shared" si="209"/>
        <v>3.46</v>
      </c>
      <c r="CK28" s="243">
        <f t="shared" si="210"/>
        <v>0</v>
      </c>
      <c r="CL28" s="243">
        <f t="shared" si="211"/>
        <v>34.729999999999997</v>
      </c>
      <c r="CM28" s="243">
        <f t="shared" si="212"/>
        <v>0</v>
      </c>
      <c r="CN28" s="248">
        <f t="shared" si="213"/>
        <v>0</v>
      </c>
      <c r="CO28" s="248">
        <f t="shared" si="214"/>
        <v>0</v>
      </c>
      <c r="CP28" s="248">
        <f t="shared" si="215"/>
        <v>0</v>
      </c>
      <c r="CQ28" s="248">
        <f t="shared" si="216"/>
        <v>0</v>
      </c>
      <c r="CR28" s="248">
        <f t="shared" si="217"/>
        <v>0</v>
      </c>
      <c r="CS28" s="248">
        <f t="shared" si="218"/>
        <v>0</v>
      </c>
      <c r="CT28" s="256">
        <f t="shared" si="219"/>
        <v>0</v>
      </c>
      <c r="CU28" s="257">
        <f t="shared" si="220"/>
        <v>1</v>
      </c>
      <c r="CV28" s="257">
        <f t="shared" si="221"/>
        <v>0</v>
      </c>
      <c r="CW28" s="257">
        <f t="shared" si="222"/>
        <v>0</v>
      </c>
      <c r="CX28" s="257">
        <f t="shared" si="223"/>
        <v>0</v>
      </c>
      <c r="CY28" s="257">
        <f t="shared" si="224"/>
        <v>0</v>
      </c>
      <c r="CZ28" s="257">
        <f t="shared" si="225"/>
        <v>1</v>
      </c>
      <c r="DA28" s="258">
        <f t="shared" si="226"/>
        <v>1.02</v>
      </c>
      <c r="DB28" s="259">
        <v>1.3</v>
      </c>
      <c r="DC28" s="259">
        <v>1.4</v>
      </c>
      <c r="DD28" s="259">
        <v>2</v>
      </c>
      <c r="DE28" s="259">
        <v>2</v>
      </c>
      <c r="DF28" s="260">
        <v>2</v>
      </c>
      <c r="DG28" s="249">
        <f t="shared" si="227"/>
        <v>0</v>
      </c>
      <c r="DH28" s="261">
        <f t="shared" si="228"/>
        <v>0</v>
      </c>
      <c r="DI28" s="261">
        <f t="shared" si="229"/>
        <v>0</v>
      </c>
      <c r="DJ28" s="261">
        <f t="shared" si="230"/>
        <v>0</v>
      </c>
      <c r="DK28" s="261">
        <f t="shared" si="231"/>
        <v>0</v>
      </c>
      <c r="DL28" s="261">
        <f t="shared" si="232"/>
        <v>0</v>
      </c>
      <c r="DM28" s="261">
        <f t="shared" si="233"/>
        <v>104.19</v>
      </c>
      <c r="DN28" s="261">
        <f t="shared" si="234"/>
        <v>104.19</v>
      </c>
      <c r="DO28" s="261">
        <f t="shared" si="235"/>
        <v>31.951599999999996</v>
      </c>
      <c r="DP28" s="261">
        <f t="shared" si="236"/>
        <v>0</v>
      </c>
    </row>
    <row r="29" spans="1:120" s="265" customFormat="1" ht="13" x14ac:dyDescent="0.3">
      <c r="F29" s="266">
        <f>SUM(F6:F28)</f>
        <v>752.1635551517752</v>
      </c>
      <c r="I29" s="266">
        <f>SUM(I6:I28)</f>
        <v>129.61698304902615</v>
      </c>
      <c r="P29" s="267"/>
      <c r="Q29" s="267"/>
      <c r="R29" s="267"/>
      <c r="S29" s="267"/>
      <c r="V29" s="266">
        <f>SUM(V6:V28)</f>
        <v>5126.5438904670254</v>
      </c>
      <c r="AA29" s="266">
        <f t="shared" ref="AA29:AX29" si="239">SUM(AA6:AA28)</f>
        <v>1558.3112652722696</v>
      </c>
      <c r="AB29" s="266">
        <f t="shared" si="239"/>
        <v>0</v>
      </c>
      <c r="AC29" s="266">
        <f t="shared" si="239"/>
        <v>0</v>
      </c>
      <c r="AD29" s="266">
        <f t="shared" si="239"/>
        <v>41.530452969423649</v>
      </c>
      <c r="AE29" s="266">
        <f t="shared" si="239"/>
        <v>96.227535726438191</v>
      </c>
      <c r="AF29" s="266">
        <f t="shared" si="239"/>
        <v>0</v>
      </c>
      <c r="AG29" s="266">
        <f t="shared" si="239"/>
        <v>0</v>
      </c>
      <c r="AH29" s="266">
        <f t="shared" si="239"/>
        <v>0</v>
      </c>
      <c r="AI29" s="266">
        <f t="shared" si="239"/>
        <v>0</v>
      </c>
      <c r="AJ29" s="266">
        <f t="shared" si="239"/>
        <v>516.59245760948181</v>
      </c>
      <c r="AK29" s="266">
        <f t="shared" si="239"/>
        <v>430.65137137351712</v>
      </c>
      <c r="AL29" s="266">
        <f t="shared" si="239"/>
        <v>698.92244029892299</v>
      </c>
      <c r="AM29" s="266">
        <f t="shared" si="239"/>
        <v>585.14180836753462</v>
      </c>
      <c r="AN29" s="266">
        <f t="shared" si="239"/>
        <v>282.6731198127215</v>
      </c>
      <c r="AO29" s="266">
        <f t="shared" si="239"/>
        <v>1495.9360000000001</v>
      </c>
      <c r="AP29" s="266">
        <f t="shared" si="239"/>
        <v>976.9048851495038</v>
      </c>
      <c r="AQ29" s="266">
        <f t="shared" si="239"/>
        <v>0</v>
      </c>
      <c r="AR29" s="266">
        <f t="shared" si="239"/>
        <v>1.96</v>
      </c>
      <c r="AS29" s="266">
        <f t="shared" si="239"/>
        <v>6.2122666666666194E-2</v>
      </c>
      <c r="AT29" s="266">
        <f t="shared" si="239"/>
        <v>4731.2613867163645</v>
      </c>
      <c r="AU29" s="266">
        <f t="shared" si="239"/>
        <v>34.439497173965457</v>
      </c>
      <c r="AV29" s="266">
        <f t="shared" si="239"/>
        <v>219.48584402989229</v>
      </c>
      <c r="AW29" s="266">
        <f t="shared" si="239"/>
        <v>137.75798869586183</v>
      </c>
      <c r="AX29" s="266">
        <f t="shared" si="239"/>
        <v>0</v>
      </c>
      <c r="AY29" s="268"/>
      <c r="AZ29" s="266">
        <f t="shared" ref="AZ29:BK29" si="240">SUM(AZ6:AZ28)</f>
        <v>1526.1842052627781</v>
      </c>
      <c r="BA29" s="266">
        <f t="shared" si="240"/>
        <v>0</v>
      </c>
      <c r="BB29" s="266">
        <f t="shared" si="240"/>
        <v>233.74668979084049</v>
      </c>
      <c r="BC29" s="266">
        <f t="shared" si="240"/>
        <v>233.74668979084049</v>
      </c>
      <c r="BD29" s="266">
        <f t="shared" si="240"/>
        <v>46.749337958168091</v>
      </c>
      <c r="BE29" s="266">
        <f t="shared" si="240"/>
        <v>2345.9004719721861</v>
      </c>
      <c r="BF29" s="266">
        <f t="shared" si="240"/>
        <v>3089.1331988622019</v>
      </c>
      <c r="BG29" s="266">
        <f t="shared" si="240"/>
        <v>2345.9004719721861</v>
      </c>
      <c r="BH29" s="266">
        <f t="shared" si="240"/>
        <v>743.23272689001601</v>
      </c>
      <c r="BI29" s="266">
        <f t="shared" si="240"/>
        <v>0</v>
      </c>
      <c r="BJ29" s="266">
        <f t="shared" si="240"/>
        <v>0</v>
      </c>
      <c r="BK29" s="266">
        <f t="shared" si="240"/>
        <v>0</v>
      </c>
      <c r="BL29" s="269">
        <f>SUM(AC29:AI29)+BJ33+AR29</f>
        <v>882.95071558587631</v>
      </c>
      <c r="BM29" s="269">
        <f>SUM(BM6:BM28)</f>
        <v>14.860187139468096</v>
      </c>
      <c r="BN29" s="742">
        <v>400</v>
      </c>
      <c r="BO29" s="743"/>
      <c r="BP29" s="744"/>
      <c r="BQ29" s="231"/>
      <c r="BR29" s="745">
        <v>500</v>
      </c>
      <c r="BS29" s="746"/>
      <c r="BT29" s="747">
        <v>600</v>
      </c>
      <c r="BU29" s="748"/>
      <c r="BV29" s="748"/>
      <c r="BW29" s="749"/>
      <c r="BX29" s="747">
        <v>800</v>
      </c>
      <c r="BY29" s="748"/>
      <c r="BZ29" s="748"/>
      <c r="CA29" s="749"/>
      <c r="CB29" s="747">
        <v>1000</v>
      </c>
      <c r="CC29" s="748"/>
      <c r="CD29" s="748"/>
      <c r="CE29" s="749"/>
      <c r="CF29" s="747">
        <v>1200</v>
      </c>
      <c r="CG29" s="748"/>
      <c r="CH29" s="748"/>
      <c r="CI29" s="750"/>
      <c r="CJ29" s="745">
        <v>1500</v>
      </c>
      <c r="CK29" s="751"/>
      <c r="CL29" s="751"/>
      <c r="CM29" s="752"/>
      <c r="CN29" s="266"/>
      <c r="CU29" s="265">
        <f t="shared" ref="CU29:DA29" si="241">SUM(CU6:CU28)</f>
        <v>21</v>
      </c>
      <c r="CV29" s="265">
        <f t="shared" si="241"/>
        <v>7</v>
      </c>
      <c r="CW29" s="265">
        <f t="shared" si="241"/>
        <v>0</v>
      </c>
      <c r="CX29" s="265">
        <f t="shared" si="241"/>
        <v>2</v>
      </c>
      <c r="CY29" s="265">
        <f t="shared" si="241"/>
        <v>4</v>
      </c>
      <c r="CZ29" s="265">
        <f t="shared" si="241"/>
        <v>8</v>
      </c>
      <c r="DA29" s="265">
        <f t="shared" si="241"/>
        <v>27.859101045950911</v>
      </c>
      <c r="DG29" s="265">
        <f t="shared" ref="DG29:DP29" si="242">SUM(DG6:DG28)</f>
        <v>737.98922515640265</v>
      </c>
      <c r="DH29" s="265">
        <f t="shared" si="242"/>
        <v>638.40573087480607</v>
      </c>
      <c r="DI29" s="265">
        <f t="shared" si="242"/>
        <v>56.592791800027655</v>
      </c>
      <c r="DJ29" s="265">
        <f t="shared" si="242"/>
        <v>655.46144029892298</v>
      </c>
      <c r="DK29" s="265">
        <f t="shared" si="242"/>
        <v>655.46144029892298</v>
      </c>
      <c r="DL29" s="265">
        <f t="shared" si="242"/>
        <v>288.30769353196393</v>
      </c>
      <c r="DM29" s="265">
        <f t="shared" si="242"/>
        <v>863.04000000000019</v>
      </c>
      <c r="DN29" s="265">
        <f t="shared" si="242"/>
        <v>863.04000000000019</v>
      </c>
      <c r="DO29" s="265">
        <f t="shared" si="242"/>
        <v>426.38099999999997</v>
      </c>
      <c r="DP29" s="265">
        <f t="shared" si="242"/>
        <v>0</v>
      </c>
    </row>
    <row r="30" spans="1:120" s="265" customFormat="1" ht="13" x14ac:dyDescent="0.3">
      <c r="P30" s="267"/>
      <c r="Q30" s="267"/>
      <c r="R30" s="267"/>
      <c r="S30" s="267"/>
      <c r="AA30" s="250">
        <f>IF(O30="ASFALTO",L30*F29,0)</f>
        <v>0</v>
      </c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755"/>
      <c r="AM30" s="755"/>
      <c r="AN30" s="755"/>
      <c r="AO30" s="270"/>
      <c r="AP30" s="270"/>
      <c r="AQ30" s="270"/>
      <c r="BA30" s="264"/>
      <c r="BB30" s="271"/>
      <c r="BC30" s="271"/>
      <c r="BD30" s="271"/>
      <c r="BI30" s="265" t="s">
        <v>2424</v>
      </c>
      <c r="BJ30" s="272">
        <f>SUM(AJ29:AQ29)</f>
        <v>4986.8220826116813</v>
      </c>
      <c r="BK30" s="271" t="s">
        <v>2425</v>
      </c>
      <c r="BL30" s="273">
        <f>SUM(AR29)</f>
        <v>1.96</v>
      </c>
      <c r="BM30" s="259"/>
      <c r="BN30" s="217" t="s">
        <v>2426</v>
      </c>
      <c r="BO30" s="274" t="s">
        <v>2427</v>
      </c>
      <c r="BP30" s="274" t="s">
        <v>2428</v>
      </c>
      <c r="BQ30" s="274" t="s">
        <v>2426</v>
      </c>
      <c r="BR30" s="275" t="s">
        <v>2427</v>
      </c>
      <c r="BS30" s="275" t="s">
        <v>2428</v>
      </c>
      <c r="BT30" s="198" t="s">
        <v>2426</v>
      </c>
      <c r="BU30" s="276" t="s">
        <v>2429</v>
      </c>
      <c r="BV30" s="276" t="s">
        <v>2430</v>
      </c>
      <c r="BW30" s="276" t="s">
        <v>2431</v>
      </c>
      <c r="BX30" s="276" t="s">
        <v>2426</v>
      </c>
      <c r="BY30" s="276" t="s">
        <v>2429</v>
      </c>
      <c r="BZ30" s="276" t="s">
        <v>2430</v>
      </c>
      <c r="CA30" s="276" t="s">
        <v>2431</v>
      </c>
      <c r="CB30" s="276" t="s">
        <v>2426</v>
      </c>
      <c r="CC30" s="276" t="s">
        <v>2429</v>
      </c>
      <c r="CD30" s="276" t="s">
        <v>2430</v>
      </c>
      <c r="CE30" s="276" t="s">
        <v>2431</v>
      </c>
      <c r="CF30" s="276" t="s">
        <v>2426</v>
      </c>
      <c r="CG30" s="276" t="s">
        <v>2429</v>
      </c>
      <c r="CH30" s="276" t="s">
        <v>2430</v>
      </c>
      <c r="CI30" s="276" t="s">
        <v>2431</v>
      </c>
      <c r="CJ30" s="277" t="s">
        <v>2426</v>
      </c>
      <c r="CK30" s="277" t="s">
        <v>2429</v>
      </c>
      <c r="CL30" s="277" t="s">
        <v>2430</v>
      </c>
      <c r="CM30" s="277" t="s">
        <v>2431</v>
      </c>
      <c r="CU30" s="268"/>
    </row>
    <row r="31" spans="1:120" s="265" customFormat="1" ht="65" x14ac:dyDescent="0.3">
      <c r="B31" s="278"/>
      <c r="P31" s="267"/>
      <c r="Q31" s="267"/>
      <c r="R31" s="267"/>
      <c r="S31" s="267"/>
      <c r="AA31" s="250">
        <f>IF(O31="ASFALTO",L31*F31,0)</f>
        <v>0</v>
      </c>
      <c r="AB31" s="259"/>
      <c r="AC31" s="259"/>
      <c r="AD31" s="259"/>
      <c r="AE31" s="259"/>
      <c r="AF31" s="259"/>
      <c r="AG31" s="259"/>
      <c r="AH31" s="259"/>
      <c r="AI31" s="259"/>
      <c r="AJ31" s="259"/>
      <c r="AK31" s="259"/>
      <c r="BA31" s="264"/>
      <c r="BB31" s="271"/>
      <c r="BC31" s="271"/>
      <c r="BD31" s="271"/>
      <c r="BI31" s="279" t="s">
        <v>2432</v>
      </c>
      <c r="BJ31" s="264">
        <f>BJ30-BG29-AW29-BB29-AZ29</f>
        <v>743.23272689001442</v>
      </c>
      <c r="BK31" s="271" t="s">
        <v>2433</v>
      </c>
      <c r="BL31" s="271">
        <f>BJ33+SUM(AC29:AI29)</f>
        <v>880.99071558587627</v>
      </c>
      <c r="BM31" s="259"/>
      <c r="BN31" s="280"/>
      <c r="BO31" s="281">
        <f>SUM(BO6:BO28)</f>
        <v>0</v>
      </c>
      <c r="BP31" s="281">
        <f>SUM(BP6:BP28)</f>
        <v>0</v>
      </c>
      <c r="BQ31" s="281"/>
      <c r="BR31" s="281">
        <f>SUM(BR6:BR28)</f>
        <v>0</v>
      </c>
      <c r="BS31" s="281">
        <f>SUM(BS6:BS28)</f>
        <v>0</v>
      </c>
      <c r="BT31" s="281"/>
      <c r="BU31" s="281">
        <f>SUM(BU6:BU28)</f>
        <v>129.17524667224592</v>
      </c>
      <c r="BV31" s="281">
        <f>SUM(BV6:BV28)</f>
        <v>116.82116171322166</v>
      </c>
      <c r="BW31" s="281">
        <f>SUM(BW6:BW28)</f>
        <v>0</v>
      </c>
      <c r="BX31" s="281"/>
      <c r="BY31" s="281">
        <f>SUM(BY6:BY28)</f>
        <v>0</v>
      </c>
      <c r="BZ31" s="281">
        <f>SUM(BZ6:BZ28)</f>
        <v>0</v>
      </c>
      <c r="CA31" s="281">
        <f>SUM(CA6:CA28)</f>
        <v>0</v>
      </c>
      <c r="CB31" s="281"/>
      <c r="CC31" s="281">
        <f>SUM(CC6:CC28)</f>
        <v>0</v>
      </c>
      <c r="CD31" s="281">
        <f>SUM(CD6:CD28)</f>
        <v>73.617146766307656</v>
      </c>
      <c r="CE31" s="281">
        <f>SUM(CE6:CE28)</f>
        <v>0</v>
      </c>
      <c r="CF31" s="281"/>
      <c r="CG31" s="281">
        <f>SUM(CG6:CG28)</f>
        <v>0</v>
      </c>
      <c r="CH31" s="281">
        <f>SUM(CH6:CH28)</f>
        <v>144.87</v>
      </c>
      <c r="CI31" s="281">
        <f>SUM(CI6:CI28)</f>
        <v>0</v>
      </c>
      <c r="CJ31" s="281"/>
      <c r="CK31" s="281">
        <f>SUM(CK6:CK28)</f>
        <v>0</v>
      </c>
      <c r="CL31" s="281">
        <f>SUM(CL6:CL28)</f>
        <v>287.67999999999995</v>
      </c>
      <c r="CM31" s="281">
        <f>SUM(CM6:CM28)</f>
        <v>0</v>
      </c>
      <c r="CU31" s="268"/>
    </row>
    <row r="32" spans="1:120" s="265" customFormat="1" ht="39" x14ac:dyDescent="0.3">
      <c r="B32" s="278"/>
      <c r="P32" s="267"/>
      <c r="Q32" s="267"/>
      <c r="R32" s="267"/>
      <c r="S32" s="267"/>
      <c r="AA32" s="259"/>
      <c r="AB32" s="259"/>
      <c r="AC32" s="259"/>
      <c r="AD32" s="259"/>
      <c r="AE32" s="259"/>
      <c r="AF32" s="259"/>
      <c r="AG32" s="259"/>
      <c r="AH32" s="259"/>
      <c r="AI32" s="259"/>
      <c r="AJ32" s="259"/>
      <c r="AK32" s="259"/>
      <c r="BA32" s="271"/>
      <c r="BB32" s="271"/>
      <c r="BC32" s="271"/>
      <c r="BD32" s="271"/>
      <c r="BI32" s="279" t="s">
        <v>2434</v>
      </c>
      <c r="BJ32" s="282">
        <f>BK29</f>
        <v>0</v>
      </c>
      <c r="BM32" s="259"/>
      <c r="BN32" s="280"/>
      <c r="BO32" s="283"/>
      <c r="BP32" s="284"/>
      <c r="BQ32" s="281"/>
      <c r="BR32" s="283"/>
      <c r="BS32" s="284"/>
      <c r="BT32" s="281"/>
      <c r="BU32" s="283"/>
      <c r="BV32" s="285"/>
      <c r="BW32" s="284"/>
      <c r="BX32" s="281"/>
      <c r="BY32" s="283"/>
      <c r="BZ32" s="285"/>
      <c r="CA32" s="284"/>
      <c r="CB32" s="281"/>
      <c r="CC32" s="283"/>
      <c r="CD32" s="285"/>
      <c r="CE32" s="284"/>
      <c r="CF32" s="281"/>
      <c r="CG32" s="283"/>
      <c r="CH32" s="285"/>
      <c r="CI32" s="284"/>
      <c r="CJ32" s="281"/>
      <c r="CK32" s="283"/>
      <c r="CL32" s="285"/>
      <c r="CM32" s="284"/>
      <c r="CU32" s="268"/>
    </row>
    <row r="33" spans="1:121" s="265" customFormat="1" ht="13" x14ac:dyDescent="0.3">
      <c r="B33" s="278"/>
      <c r="O33" s="279"/>
      <c r="P33" s="279"/>
      <c r="Q33" s="279"/>
      <c r="R33" s="279"/>
      <c r="S33" s="279"/>
      <c r="AQ33" s="265">
        <f>1600*(1+30%)</f>
        <v>2080</v>
      </c>
      <c r="BI33" s="265" t="s">
        <v>2435</v>
      </c>
      <c r="BJ33" s="286">
        <f>BJ31-BJ29</f>
        <v>743.23272689001442</v>
      </c>
      <c r="BN33" s="280"/>
      <c r="BO33" s="756">
        <f>SUM(BO31:BP31)</f>
        <v>0</v>
      </c>
      <c r="BP33" s="757"/>
      <c r="BQ33" s="280"/>
      <c r="BR33" s="756">
        <f>SUM(BR31:BS31)</f>
        <v>0</v>
      </c>
      <c r="BS33" s="757"/>
      <c r="BT33" s="280" t="s">
        <v>2436</v>
      </c>
      <c r="BU33" s="756">
        <f>SUM(BU31:BW31)</f>
        <v>245.99640838546759</v>
      </c>
      <c r="BV33" s="758"/>
      <c r="BW33" s="757"/>
      <c r="BX33" s="280" t="s">
        <v>2436</v>
      </c>
      <c r="BY33" s="756">
        <f>SUM(BY31:CA31)</f>
        <v>0</v>
      </c>
      <c r="BZ33" s="758"/>
      <c r="CA33" s="757"/>
      <c r="CB33" s="280" t="s">
        <v>2436</v>
      </c>
      <c r="CC33" s="756">
        <f>SUM(CC31:CE31)</f>
        <v>73.617146766307656</v>
      </c>
      <c r="CD33" s="758"/>
      <c r="CE33" s="757"/>
      <c r="CF33" s="280" t="s">
        <v>2436</v>
      </c>
      <c r="CG33" s="756">
        <f>SUM(CG31:CI31)</f>
        <v>144.87</v>
      </c>
      <c r="CH33" s="758"/>
      <c r="CI33" s="757"/>
      <c r="CJ33" s="280" t="s">
        <v>2436</v>
      </c>
      <c r="CK33" s="756">
        <f>SUM(CK31:CM31)</f>
        <v>287.67999999999995</v>
      </c>
      <c r="CL33" s="758"/>
      <c r="CM33" s="757"/>
      <c r="CN33" s="266">
        <f>SUM(CN6:CN28)</f>
        <v>0</v>
      </c>
      <c r="CU33" s="268"/>
      <c r="CW33" s="265">
        <f>92-15</f>
        <v>77</v>
      </c>
    </row>
    <row r="34" spans="1:121" s="265" customFormat="1" ht="13" x14ac:dyDescent="0.3">
      <c r="B34" s="278"/>
      <c r="O34" s="279"/>
      <c r="P34" s="279"/>
      <c r="Q34" s="279"/>
      <c r="R34" s="279"/>
      <c r="S34" s="279"/>
      <c r="BI34" s="279"/>
      <c r="BJ34" s="268"/>
      <c r="CW34" s="265">
        <f>CW33*0.9</f>
        <v>69.3</v>
      </c>
      <c r="CX34" s="265">
        <f>5.8*48</f>
        <v>278.39999999999998</v>
      </c>
      <c r="CY34" s="265">
        <f>6.14*24</f>
        <v>147.35999999999999</v>
      </c>
      <c r="CZ34" s="287"/>
    </row>
    <row r="35" spans="1:121" s="265" customFormat="1" ht="13" x14ac:dyDescent="0.3">
      <c r="B35" s="278"/>
      <c r="O35" s="279"/>
      <c r="P35" s="279"/>
      <c r="Q35" s="279"/>
      <c r="R35" s="279"/>
      <c r="S35" s="279"/>
      <c r="AN35" s="265">
        <f>IF(R17&lt;H17,0,IF(AND(Y17&lt;=4.5,Y17&gt;3,K17&gt;1.5,K17&lt;=2.5),-U17,0))</f>
        <v>-40.495129304772433</v>
      </c>
      <c r="BI35" s="279"/>
      <c r="BJ35" s="268"/>
      <c r="CW35" s="265">
        <f>CW34/2</f>
        <v>34.65</v>
      </c>
      <c r="CX35" s="265">
        <f>CX34-20</f>
        <v>258.39999999999998</v>
      </c>
      <c r="CZ35" s="288"/>
    </row>
    <row r="36" spans="1:121" s="265" customFormat="1" ht="13" x14ac:dyDescent="0.3">
      <c r="B36" s="278"/>
      <c r="O36" s="279"/>
      <c r="P36" s="279"/>
      <c r="Q36" s="279"/>
      <c r="R36" s="279"/>
      <c r="S36" s="279"/>
      <c r="CU36" s="265">
        <f>629.1*0.8</f>
        <v>503.28000000000003</v>
      </c>
      <c r="CX36" s="265">
        <f>CX35/48</f>
        <v>5.3833333333333329</v>
      </c>
      <c r="CY36" s="265">
        <f>CX36*0.9</f>
        <v>4.8449999999999998</v>
      </c>
    </row>
    <row r="37" spans="1:121" s="265" customFormat="1" ht="13" x14ac:dyDescent="0.3">
      <c r="B37" s="278"/>
      <c r="O37" s="279"/>
      <c r="P37" s="279"/>
      <c r="Q37" s="279"/>
      <c r="R37" s="279"/>
      <c r="S37" s="279"/>
    </row>
    <row r="38" spans="1:121" s="265" customFormat="1" ht="13" x14ac:dyDescent="0.3">
      <c r="B38" s="278"/>
      <c r="O38" s="279"/>
      <c r="P38" s="279"/>
      <c r="Q38" s="279"/>
      <c r="R38" s="279"/>
      <c r="S38" s="279"/>
    </row>
    <row r="40" spans="1:121" x14ac:dyDescent="0.25">
      <c r="B40" s="193"/>
      <c r="O40" s="193"/>
      <c r="P40" s="193"/>
      <c r="Q40" s="193"/>
      <c r="R40" s="193"/>
      <c r="S40" s="193"/>
    </row>
    <row r="41" spans="1:121" ht="16" thickBot="1" x14ac:dyDescent="0.3">
      <c r="B41" s="193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  <c r="AN41" s="194"/>
      <c r="AO41" s="195"/>
      <c r="AP41" s="195"/>
      <c r="AQ41" s="195"/>
    </row>
    <row r="42" spans="1:121" ht="13.5" thickBot="1" x14ac:dyDescent="0.35">
      <c r="A42" s="196" t="s">
        <v>2750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7"/>
      <c r="P42" s="197"/>
      <c r="Q42" s="197"/>
      <c r="R42" s="197"/>
      <c r="S42" s="197"/>
      <c r="T42" s="196"/>
      <c r="U42" s="196"/>
      <c r="V42" s="730"/>
      <c r="W42" s="731"/>
      <c r="X42" s="731"/>
      <c r="Y42" s="731"/>
      <c r="Z42" s="731"/>
      <c r="AA42" s="731"/>
      <c r="AB42" s="731"/>
      <c r="AC42" s="731"/>
      <c r="AD42" s="731"/>
      <c r="AE42" s="731"/>
      <c r="AF42" s="731"/>
      <c r="AG42" s="731"/>
      <c r="AH42" s="731"/>
      <c r="AI42" s="731"/>
      <c r="AJ42" s="731"/>
      <c r="AK42" s="731"/>
      <c r="AL42" s="730"/>
      <c r="AM42" s="730"/>
      <c r="AN42" s="730"/>
      <c r="AO42" s="198"/>
      <c r="AP42" s="198"/>
      <c r="AQ42" s="198"/>
      <c r="AR42" s="198"/>
      <c r="AS42" s="198"/>
      <c r="AT42" s="198"/>
      <c r="AU42" s="196"/>
      <c r="AV42" s="196"/>
      <c r="AW42" s="198"/>
      <c r="AX42" s="198"/>
      <c r="AY42" s="196"/>
      <c r="AZ42" s="196"/>
      <c r="BA42" s="196"/>
      <c r="BB42" s="196"/>
      <c r="BC42" s="196"/>
      <c r="BD42" s="196"/>
      <c r="BE42" s="196"/>
      <c r="BF42" s="196"/>
      <c r="BG42" s="196"/>
      <c r="BH42" s="196"/>
      <c r="BI42" s="196"/>
      <c r="BJ42" s="196"/>
      <c r="BK42" s="196"/>
      <c r="BL42" s="196"/>
      <c r="BM42" s="196"/>
      <c r="BN42" s="196"/>
      <c r="BO42" s="732" t="s">
        <v>2334</v>
      </c>
      <c r="BP42" s="733"/>
      <c r="BQ42" s="733"/>
      <c r="BR42" s="733"/>
      <c r="BS42" s="733"/>
      <c r="BT42" s="733"/>
      <c r="BU42" s="733"/>
      <c r="BV42" s="733"/>
      <c r="BW42" s="733"/>
      <c r="BX42" s="733"/>
      <c r="BY42" s="733"/>
      <c r="BZ42" s="733"/>
      <c r="CA42" s="733"/>
      <c r="CB42" s="733"/>
      <c r="CC42" s="733"/>
      <c r="CD42" s="733"/>
      <c r="CE42" s="733"/>
      <c r="CF42" s="733"/>
      <c r="CG42" s="733"/>
      <c r="CH42" s="733"/>
      <c r="CI42" s="733"/>
      <c r="CJ42" s="733"/>
      <c r="CK42" s="733"/>
      <c r="CL42" s="733"/>
      <c r="CM42" s="733"/>
      <c r="CN42" s="733"/>
      <c r="CO42" s="733"/>
      <c r="CP42" s="733"/>
      <c r="CQ42" s="733"/>
      <c r="CR42" s="733"/>
      <c r="CS42" s="733"/>
      <c r="CT42" s="734"/>
      <c r="CU42" s="196"/>
      <c r="CV42" s="735" t="s">
        <v>2335</v>
      </c>
      <c r="CW42" s="730"/>
      <c r="CX42" s="730"/>
      <c r="CY42" s="730"/>
      <c r="CZ42" s="730"/>
      <c r="DA42" s="196"/>
      <c r="DB42" s="731" t="s">
        <v>2336</v>
      </c>
      <c r="DC42" s="731"/>
      <c r="DD42" s="731"/>
      <c r="DE42" s="731"/>
      <c r="DF42" s="731"/>
      <c r="DG42" s="732" t="s">
        <v>2337</v>
      </c>
      <c r="DH42" s="733"/>
      <c r="DI42" s="733"/>
      <c r="DJ42" s="733"/>
      <c r="DK42" s="733"/>
      <c r="DL42" s="733"/>
      <c r="DM42" s="733"/>
      <c r="DN42" s="733"/>
      <c r="DO42" s="733"/>
      <c r="DP42" s="733"/>
    </row>
    <row r="43" spans="1:121" ht="52" x14ac:dyDescent="0.25">
      <c r="A43" s="381" t="s">
        <v>2338</v>
      </c>
      <c r="B43" s="380" t="s">
        <v>2339</v>
      </c>
      <c r="C43" s="372" t="s">
        <v>2340</v>
      </c>
      <c r="D43" s="372" t="s">
        <v>2341</v>
      </c>
      <c r="E43" s="372" t="s">
        <v>2342</v>
      </c>
      <c r="F43" s="372" t="s">
        <v>2343</v>
      </c>
      <c r="G43" s="372" t="s">
        <v>2344</v>
      </c>
      <c r="H43" s="372" t="s">
        <v>2345</v>
      </c>
      <c r="I43" s="371" t="s">
        <v>2346</v>
      </c>
      <c r="J43" s="372" t="s">
        <v>2347</v>
      </c>
      <c r="K43" s="379" t="s">
        <v>2348</v>
      </c>
      <c r="L43" s="378" t="s">
        <v>2349</v>
      </c>
      <c r="M43" s="379" t="s">
        <v>2350</v>
      </c>
      <c r="N43" s="378" t="s">
        <v>2351</v>
      </c>
      <c r="O43" s="379" t="s">
        <v>2352</v>
      </c>
      <c r="P43" s="379" t="s">
        <v>2353</v>
      </c>
      <c r="Q43" s="379" t="s">
        <v>2354</v>
      </c>
      <c r="R43" s="379" t="s">
        <v>2355</v>
      </c>
      <c r="S43" s="379" t="s">
        <v>2356</v>
      </c>
      <c r="T43" s="378" t="s">
        <v>2357</v>
      </c>
      <c r="U43" s="377" t="s">
        <v>2358</v>
      </c>
      <c r="V43" s="376" t="s">
        <v>2359</v>
      </c>
      <c r="W43" s="376" t="s">
        <v>2360</v>
      </c>
      <c r="X43" s="376" t="s">
        <v>2361</v>
      </c>
      <c r="Y43" s="376" t="s">
        <v>2362</v>
      </c>
      <c r="Z43" s="376" t="s">
        <v>2363</v>
      </c>
      <c r="AA43" s="207" t="s">
        <v>2364</v>
      </c>
      <c r="AB43" s="207" t="s">
        <v>2365</v>
      </c>
      <c r="AC43" s="373" t="s">
        <v>2366</v>
      </c>
      <c r="AD43" s="373" t="s">
        <v>2367</v>
      </c>
      <c r="AE43" s="373" t="s">
        <v>2368</v>
      </c>
      <c r="AF43" s="373" t="s">
        <v>2369</v>
      </c>
      <c r="AG43" s="373" t="s">
        <v>2370</v>
      </c>
      <c r="AH43" s="371" t="s">
        <v>2371</v>
      </c>
      <c r="AI43" s="373" t="s">
        <v>2372</v>
      </c>
      <c r="AJ43" s="373" t="s">
        <v>2373</v>
      </c>
      <c r="AK43" s="373" t="s">
        <v>2374</v>
      </c>
      <c r="AL43" s="373" t="s">
        <v>2375</v>
      </c>
      <c r="AM43" s="373" t="s">
        <v>2376</v>
      </c>
      <c r="AN43" s="371" t="s">
        <v>2377</v>
      </c>
      <c r="AO43" s="373" t="s">
        <v>2378</v>
      </c>
      <c r="AP43" s="373" t="s">
        <v>2379</v>
      </c>
      <c r="AQ43" s="373" t="s">
        <v>2380</v>
      </c>
      <c r="AR43" s="372" t="s">
        <v>2136</v>
      </c>
      <c r="AS43" s="372" t="s">
        <v>2381</v>
      </c>
      <c r="AT43" s="372" t="s">
        <v>2382</v>
      </c>
      <c r="AU43" s="371" t="s">
        <v>2383</v>
      </c>
      <c r="AV43" s="371" t="s">
        <v>2384</v>
      </c>
      <c r="AW43" s="371" t="s">
        <v>2385</v>
      </c>
      <c r="AX43" s="373" t="s">
        <v>2386</v>
      </c>
      <c r="AY43" s="370" t="s">
        <v>2387</v>
      </c>
      <c r="AZ43" s="375" t="s">
        <v>2388</v>
      </c>
      <c r="BA43" s="374" t="s">
        <v>2389</v>
      </c>
      <c r="BB43" s="373" t="s">
        <v>2390</v>
      </c>
      <c r="BC43" s="373" t="s">
        <v>2391</v>
      </c>
      <c r="BD43" s="373" t="s">
        <v>2392</v>
      </c>
      <c r="BE43" s="372" t="s">
        <v>2393</v>
      </c>
      <c r="BF43" s="371" t="s">
        <v>2394</v>
      </c>
      <c r="BG43" s="371" t="s">
        <v>2395</v>
      </c>
      <c r="BH43" s="371" t="s">
        <v>2396</v>
      </c>
      <c r="BI43" s="371" t="s">
        <v>2397</v>
      </c>
      <c r="BJ43" s="371" t="s">
        <v>2398</v>
      </c>
      <c r="BK43" s="371" t="s">
        <v>2399</v>
      </c>
      <c r="BL43" s="371" t="s">
        <v>2133</v>
      </c>
      <c r="BM43" s="371" t="s">
        <v>2400</v>
      </c>
      <c r="BN43" s="753">
        <v>400</v>
      </c>
      <c r="BO43" s="753"/>
      <c r="BP43" s="753"/>
      <c r="BQ43" s="212"/>
      <c r="BR43" s="760">
        <v>500</v>
      </c>
      <c r="BS43" s="761"/>
      <c r="BT43" s="759">
        <v>600</v>
      </c>
      <c r="BU43" s="760"/>
      <c r="BV43" s="760"/>
      <c r="BW43" s="761"/>
      <c r="BX43" s="759">
        <v>800</v>
      </c>
      <c r="BY43" s="760"/>
      <c r="BZ43" s="760"/>
      <c r="CA43" s="761"/>
      <c r="CB43" s="759">
        <v>1000</v>
      </c>
      <c r="CC43" s="760"/>
      <c r="CD43" s="760"/>
      <c r="CE43" s="761"/>
      <c r="CF43" s="759">
        <v>1200</v>
      </c>
      <c r="CG43" s="760"/>
      <c r="CH43" s="760"/>
      <c r="CI43" s="762"/>
      <c r="CJ43" s="739">
        <v>1500</v>
      </c>
      <c r="CK43" s="763"/>
      <c r="CL43" s="763"/>
      <c r="CM43" s="764"/>
      <c r="CN43" s="369">
        <v>1650</v>
      </c>
      <c r="CO43" s="212">
        <v>1800</v>
      </c>
      <c r="CP43" s="212">
        <v>2000</v>
      </c>
      <c r="CQ43" s="212">
        <v>2200</v>
      </c>
      <c r="CR43" s="212">
        <v>2400</v>
      </c>
      <c r="CS43" s="212">
        <v>2600</v>
      </c>
      <c r="CT43" s="215">
        <v>3000</v>
      </c>
      <c r="CU43" s="201" t="s">
        <v>310</v>
      </c>
      <c r="CV43" s="213">
        <v>600</v>
      </c>
      <c r="CW43" s="213">
        <v>800</v>
      </c>
      <c r="CX43" s="213">
        <v>1000</v>
      </c>
      <c r="CY43" s="213">
        <v>1200</v>
      </c>
      <c r="CZ43" s="213">
        <v>1500</v>
      </c>
      <c r="DA43" s="216" t="s">
        <v>2401</v>
      </c>
      <c r="DB43" s="217">
        <v>600</v>
      </c>
      <c r="DC43" s="217">
        <v>800</v>
      </c>
      <c r="DD43" s="217">
        <v>1000</v>
      </c>
      <c r="DE43" s="217">
        <v>12000</v>
      </c>
      <c r="DF43" s="217">
        <v>1500</v>
      </c>
      <c r="DG43" s="218" t="s">
        <v>2402</v>
      </c>
      <c r="DH43" s="218" t="s">
        <v>2403</v>
      </c>
      <c r="DI43" s="218" t="s">
        <v>2404</v>
      </c>
      <c r="DJ43" s="218" t="s">
        <v>2405</v>
      </c>
      <c r="DK43" s="218" t="s">
        <v>2406</v>
      </c>
      <c r="DL43" s="218" t="s">
        <v>2407</v>
      </c>
      <c r="DM43" s="218" t="s">
        <v>2408</v>
      </c>
      <c r="DN43" s="218" t="s">
        <v>2409</v>
      </c>
      <c r="DO43" s="218" t="s">
        <v>2410</v>
      </c>
      <c r="DP43" s="218" t="s">
        <v>2411</v>
      </c>
      <c r="DQ43" s="219"/>
    </row>
    <row r="44" spans="1:121" ht="13" x14ac:dyDescent="0.25">
      <c r="A44" s="238"/>
      <c r="B44" s="238"/>
      <c r="C44" s="222" t="str">
        <f>'Planilha Hidráulica'!B53</f>
        <v>RD-1</v>
      </c>
      <c r="D44" s="239"/>
      <c r="E44" s="239"/>
      <c r="F44" s="239"/>
      <c r="G44" s="238"/>
      <c r="H44" s="240"/>
      <c r="I44" s="368"/>
      <c r="J44" s="368"/>
      <c r="K44" s="240"/>
      <c r="L44" s="240"/>
      <c r="M44" s="243"/>
      <c r="N44" s="240"/>
      <c r="O44" s="367"/>
      <c r="P44" s="367"/>
      <c r="Q44" s="367"/>
      <c r="R44" s="367"/>
      <c r="S44" s="367"/>
      <c r="T44" s="240"/>
      <c r="U44" s="245"/>
      <c r="V44" s="246"/>
      <c r="W44" s="245"/>
      <c r="X44" s="247"/>
      <c r="Y44" s="245"/>
      <c r="Z44" s="245"/>
      <c r="AA44" s="252"/>
      <c r="AB44" s="361"/>
      <c r="AC44" s="251"/>
      <c r="AD44" s="251"/>
      <c r="AE44" s="251"/>
      <c r="AF44" s="251"/>
      <c r="AG44" s="251"/>
      <c r="AH44" s="251"/>
      <c r="AI44" s="251"/>
      <c r="AJ44" s="252"/>
      <c r="AK44" s="252"/>
      <c r="AL44" s="252"/>
      <c r="AM44" s="252"/>
      <c r="AN44" s="252"/>
      <c r="AO44" s="252"/>
      <c r="AP44" s="252"/>
      <c r="AQ44" s="252"/>
      <c r="AR44" s="253"/>
      <c r="AS44" s="240"/>
      <c r="AT44" s="253"/>
      <c r="AU44" s="262"/>
      <c r="AV44" s="263"/>
      <c r="AW44" s="253"/>
      <c r="AX44" s="253"/>
      <c r="AY44" s="217"/>
      <c r="AZ44" s="217"/>
      <c r="BA44" s="217"/>
      <c r="BB44" s="217"/>
      <c r="BC44" s="217"/>
      <c r="BD44" s="217"/>
      <c r="BE44" s="217"/>
      <c r="BF44" s="217"/>
      <c r="BG44" s="240"/>
      <c r="BH44" s="240"/>
      <c r="BI44" s="240"/>
      <c r="BJ44" s="253"/>
      <c r="BK44" s="257"/>
      <c r="BL44" s="262"/>
      <c r="BM44" s="253"/>
      <c r="BN44" s="252"/>
      <c r="BO44" s="366"/>
      <c r="BP44" s="366"/>
      <c r="BQ44" s="366"/>
      <c r="BR44" s="240"/>
      <c r="BS44" s="240"/>
      <c r="BT44" s="240"/>
      <c r="BU44" s="240"/>
      <c r="BV44" s="240"/>
      <c r="BW44" s="240"/>
      <c r="BX44" s="240"/>
      <c r="BY44" s="240"/>
      <c r="BZ44" s="240"/>
      <c r="CA44" s="240"/>
      <c r="CB44" s="240"/>
      <c r="CC44" s="240"/>
      <c r="CD44" s="240"/>
      <c r="CE44" s="240"/>
      <c r="CF44" s="240"/>
      <c r="CG44" s="240"/>
      <c r="CH44" s="240"/>
      <c r="CI44" s="240"/>
      <c r="CJ44" s="365"/>
      <c r="CK44" s="240"/>
      <c r="CL44" s="240"/>
      <c r="CM44" s="240"/>
      <c r="CN44" s="245"/>
      <c r="CO44" s="245"/>
      <c r="CP44" s="245"/>
      <c r="CQ44" s="245"/>
      <c r="CR44" s="245"/>
      <c r="CS44" s="245"/>
      <c r="CT44" s="364"/>
      <c r="CU44" s="363"/>
      <c r="CV44" s="363"/>
      <c r="CW44" s="363"/>
      <c r="CX44" s="363"/>
      <c r="CY44" s="363"/>
      <c r="CZ44" s="363"/>
      <c r="DA44" s="362"/>
      <c r="DB44" s="361"/>
      <c r="DC44" s="361"/>
      <c r="DD44" s="361"/>
      <c r="DE44" s="361"/>
      <c r="DF44" s="360"/>
      <c r="DG44" s="252"/>
      <c r="DH44" s="360"/>
      <c r="DI44" s="360"/>
      <c r="DJ44" s="360"/>
      <c r="DK44" s="360"/>
      <c r="DL44" s="360"/>
      <c r="DM44" s="360"/>
      <c r="DN44" s="360"/>
      <c r="DO44" s="360"/>
      <c r="DP44" s="360"/>
      <c r="DQ44" s="219"/>
    </row>
    <row r="45" spans="1:121" x14ac:dyDescent="0.25">
      <c r="A45" s="238" t="s">
        <v>2749</v>
      </c>
      <c r="B45" s="238"/>
      <c r="C45" s="238" t="str">
        <f>'Planilha Hidráulica'!B54</f>
        <v>PV1.1-&gt;PV2.1</v>
      </c>
      <c r="D45" s="239">
        <f>'Planilha Hidráulica'!T54</f>
        <v>2.5</v>
      </c>
      <c r="E45" s="239">
        <f>'Planilha Hidráulica'!U54</f>
        <v>2.5</v>
      </c>
      <c r="F45" s="239">
        <f>'Planilha Hidráulica'!L54</f>
        <v>51.26</v>
      </c>
      <c r="G45" s="238">
        <f>'Planilha Hidráulica'!N54</f>
        <v>600</v>
      </c>
      <c r="H45" s="240">
        <f t="shared" ref="H45:H67" si="243">IF(G45=400,((D45+E45)/2)+0.08+T45,IF(G45=500,((D45+E45)/2)+0.1+T45,IF(G45=600,((D45+E45)/2)+0.12+T45,IF(G45=800,((D45+E45)/2)+0.16+T45,IF(G45=1000,((D45+E45)/2)+0.2+T45,IF(G45=1200,((D45+E45)/2)+0.24+T45,IF(G45=1500,((D45+E45)/2)+0.3+T45,IF(G45&gt;1500,((D45+E45)/2)+0.4+T45))))))))</f>
        <v>2.72</v>
      </c>
      <c r="I45" s="241">
        <f t="shared" ref="I45:I91" si="244">IF(K45=0,0,IF(H45&gt;=1.25,F45*H45/20,0))</f>
        <v>6.9713599999999998</v>
      </c>
      <c r="J45" s="368">
        <v>0</v>
      </c>
      <c r="K45" s="240">
        <f t="shared" ref="K45:K67" si="245">IF(G45=400,1,0)+IF(G45=500,1.2,0)+IF(G45=600,1.4,0)+IF(G45=800,1.7,0)+IF(G45=1000,2,0)+IF(G45=1200,2.2,0)+IF(G45=1500,2.6,0)+IF(G45=1650,3,0)+IF(G45=1800,3.2,0)+IF(G45=2000,3.4,0)+IF(G45=2200,3.6,0)+IF(G45=2400,3.8,0)+IF(G45=2600,4,0)+IF(G45=3000,4.4,0)</f>
        <v>1.4</v>
      </c>
      <c r="L45" s="240">
        <f t="shared" ref="L45:L67" si="246">2*J45*H45+K45</f>
        <v>1.4</v>
      </c>
      <c r="M45" s="243">
        <f>'Planilha Hidráulica'!Z54</f>
        <v>500</v>
      </c>
      <c r="N45" s="240">
        <f t="shared" ref="N45:N67" si="247">L45*F45</f>
        <v>71.763999999999996</v>
      </c>
      <c r="O45" s="367" t="str">
        <f>'Planilha Hidráulica'!Y54</f>
        <v>ASFALTO</v>
      </c>
      <c r="P45" s="367" t="s">
        <v>2536</v>
      </c>
      <c r="Q45" s="367">
        <v>0</v>
      </c>
      <c r="R45" s="367">
        <v>3.2</v>
      </c>
      <c r="S45" s="367">
        <v>1.6</v>
      </c>
      <c r="T45" s="240">
        <f t="shared" ref="T45:T67" si="248">IF(G45=400,0.05,0)+IF(G45=500,0.05,0)+IF(G45=600,0.1,0)+IF(G45=800,0.1,0)+IF(G45=1000,0.15,0)+IF(G45=1200,0.15,0)+IF(G45=1500,0.2,0)+IF(G45=1650,0.2,0)+IF(G45=1800,0.2,0)+IF(G45=2000,0.25,0)+IF(G45=2200,0.25,0)+IF(G45=2400,0.25,0)+IF(G45=2600,0.25,0)+IF(G45=3000,0.25,0)</f>
        <v>0.1</v>
      </c>
      <c r="U45" s="245">
        <f t="shared" ref="U45:U67" si="249">IFERROR((PI()*(M45/1000)*(M45/1000)/4)*F45,0)</f>
        <v>10.064877463938299</v>
      </c>
      <c r="V45" s="246">
        <f t="shared" ref="V45:V67" si="250">((((J45*H45)*H45)/2)*2+K45*H45)*F45-U45+AW45</f>
        <v>185.13320253606167</v>
      </c>
      <c r="W45" s="245">
        <f t="shared" ref="W45:W67" si="251">V45-SUM(AJ45:AR45)</f>
        <v>0</v>
      </c>
      <c r="X45" s="247">
        <f t="shared" ref="X45:X67" si="252">IF(Q45=1,IF(OR(M45=0,M45="-"),H45+0.4,0.4),0)</f>
        <v>0</v>
      </c>
      <c r="Y45" s="245">
        <f t="shared" ref="Y45:Y67" si="253">IF(R45&lt;H45,R45,H45)</f>
        <v>2.72</v>
      </c>
      <c r="Z45" s="245">
        <f t="shared" ref="Z45:Z67" si="254">H45-Y45</f>
        <v>0</v>
      </c>
      <c r="AA45" s="252">
        <f t="shared" ref="AA45:AA67" si="255">IF(O45="ASFALTO",L45*F45,0)</f>
        <v>71.763999999999996</v>
      </c>
      <c r="AB45" s="361">
        <f t="shared" ref="AB45:AB67" si="256">IF(O45="CONCRETO",L45*F45,0)</f>
        <v>0</v>
      </c>
      <c r="AC45" s="251">
        <f t="shared" ref="AC45:AC67" si="257">IF(X45=0,0,IF(X45=0.4,IF(K45&lt;=1.5,IF(Y45+0.4&gt;=1.5,0,K45*F45*0.4),0),IF(K45&lt;=1.5,IF(X45&gt;=1.5,L45*F45*1.5,K45*F45*(X45)),0)+IF(R45&lt;H45+0.4,0,IF(AND(X45&lt;=1.5,K45&lt;=1.5),-U45,0))))</f>
        <v>0</v>
      </c>
      <c r="AD45" s="251">
        <f t="shared" ref="AD45:AD67" si="258">IF(X45=0,0,IF(X45=0.4,IF(K45&lt;=1.5,IF(OR(Y45+0.4&gt;=3,Y45+0.4&lt;1.5),0,K45*F45*0.4),0),IF(IF(K45&lt;=1.5,IF(X45&gt;=3,L45*F45*1.5,K45*F45*(X45-1.5)),0)&lt;0,0,IF(K45&lt;=1.5,IF(X45&gt;=3,L45*F45*1.5,K45*F45*(X45-1.5)),0))+IF(R45&lt;H45+0.4,0,IF(AND(X45&lt;=3,K45&lt;=1.5),-U45,0))))</f>
        <v>0</v>
      </c>
      <c r="AE45" s="251">
        <f t="shared" ref="AE45:AE67" si="259">IF(X45=0,0,IF(X45=0.4,IF(K45&lt;=1.5,IF(OR(Y45+0.4&gt;=4.5,Y45+0.4&lt;3),0,K45*F45*0.4),0),IF(IF(K45&lt;=1.5,IF(X45&gt;=4.5,L45*F45*1.5,K45*F45*(X45-3)),0)&lt;0,0,IF(K45&lt;=1.5,IF(X45&gt;=3,L45*F45*1.5,K45*F45*(X45-3)),0))+IF(R45&lt;H45+0.4,0,IF(AND(X45&lt;=4.5,K45&lt;=1.5),-U45,0))))</f>
        <v>0</v>
      </c>
      <c r="AF45" s="251">
        <f t="shared" ref="AF45:AF67" si="260">IF(X45=0,0,IF(X45=0.4,IF(AND(K45&gt;1.5,K45&lt;=2.6),IF(Y45+0.4&gt;=1.5,0,K45*F45*0.4),0),IF(AND(K45&gt;1.5,K45&lt;=2.6),IF(X45&gt;=1.5,L45*F45*1.5,K45*F45*(X45)),0)+IF(R45&lt;H45+0.4,0,IF(AND(X45&lt;=1.5,K45&lt;=1.5),-U45,0))))</f>
        <v>0</v>
      </c>
      <c r="AG45" s="251">
        <f t="shared" ref="AG45:AG67" si="261">IF(X45=0,0,IF(X45=0.4,IF(AND(K45&gt;1.5,K45&lt;=2.6),IF(OR(Y45+0.4&gt;=3,Y45+0.4&lt;1.5),0,K45*F45*0.4),0),IF(IF(AND(K45&gt;1.5,K45&lt;=2.6),IF(X45&gt;=3,L45*F45*1.5,K45*F45*(X45-1.5)),0)&lt;0,0,IF(AND(K45&gt;1.5,K45&lt;=2.6),IF(X45&gt;=3,L45*F45*1.5,K45*F45*(X45-1.5)),0))+IF(R45&lt;H45+0.4,0,IF(AND(X45&lt;=3,K45&lt;=1.5),-U45,0))))</f>
        <v>0</v>
      </c>
      <c r="AH45" s="251">
        <f t="shared" ref="AH45:AH67" si="262">IF(X45=0,0,IF(X45=0.4,IF(AND(K45&gt;1.5,K45&lt;=2.6),IF(OR(Y45+0.4&gt;=4.5,Y45+0.4&lt;3),0,K45*F45*0.4),0),IF(IF(AND(K45&gt;1.5,K45&lt;=2.6),IF(X45&gt;=4.5,L45*F45*1.5,K45*F45*(X45-3)),0)&lt;0,0,IF(AND(K45&gt;1.5,K45&lt;=2.6),IF(X45&gt;=4.5,L45*F45*1.5,K45*F45*(X45-3)),0))+IF(R45&lt;H45+0.4,0,IF(AND(X45&lt;=3,K45&lt;=1.5),-U45,0))))</f>
        <v>0</v>
      </c>
      <c r="AI45" s="251">
        <f t="shared" ref="AI45:AI67" si="263">IF(X45=0,0,IF(X45=0.4,IF(AND(K45&gt;1.5,K45&lt;=2.6),IF(OR(Y45+0.4&gt;=6,Y45+0.4&lt;4.5),0,K45*F45*0.4),0),IF(IF(AND(K45&gt;1.5,K45&lt;=2.6),IF(X45&gt;=6,L45*F45*1.5,K45*F45*(X45-4.5)),0)&lt;0,0,IF(AND(K45&gt;1.5,K45&lt;=2.6),IF(X45&gt;=6,L45*F45*1.5,K45*F45*(X45-4.5)),0))+IF(R45&lt;H45+0.4,0,IF(AND(X45&lt;=3,K45&lt;=1.5),-U45,0))))</f>
        <v>0</v>
      </c>
      <c r="AJ45" s="251">
        <f t="shared" ref="AJ45:AJ67" si="264">IF(K45&lt;=1.5,IF(Y45&gt;=1.5,L45*F45*1.5,K45*F45*Y45),0)+IF(R45&lt;H45,0,IF(AND(Y45&lt;=1.5,K45&lt;=1.5),-U45,0))</f>
        <v>107.64599999999999</v>
      </c>
      <c r="AK45" s="251">
        <f>IF(IF(K45&lt;=1.5,IF(Y45&gt;=3,L45*F45*1.5,K45*F45*(Y45-1.5)),0)&lt;0,0,IF(K45&lt;=1.5,IF(Y45&gt;=3,L45*F45*1.5,K45*F45*(Y45-1.5)),0))-U45</f>
        <v>77.487202536061702</v>
      </c>
      <c r="AL45" s="251">
        <f t="shared" ref="AL45:AL67" si="265">IF(AND(K45&lt;=2.5,K45&gt;1.5),IF(Y45&gt;=1.5,L45*F45*1.5,K45*F45*Y45),0)+IF(R45&lt;H45,0,IF(AND(Y45&lt;=1.5,K45&gt;1.5,K45&lt;=2.5),-U45,0))</f>
        <v>0</v>
      </c>
      <c r="AM45" s="251">
        <f>IF(IF(AND(K45&lt;=2.5,K45&gt;1.5),IF(Y45&gt;=3,L45*F45*1.5,K45*F45*(Y45-1.5)),0)&lt;0,0,IF(AND(K45&lt;=2.5,K45&gt;1.5),IF(Y45&gt;=3,L45*F45*1.5,K45*F45*(Y45-1.5)),0))+IF(R45&lt;H45,0,IF(AND(Y45&lt;=3,Y45&gt;1.5,K45&gt;1.5,K45&lt;=2.5),-U45,0))</f>
        <v>0</v>
      </c>
      <c r="AN45" s="251">
        <f>IF(AND(K45&lt;=2.5,Y45&gt;=4.5),L45*F45*1.5,IF(AND(K45&lt;=2.5,Y45&gt;3),K45*F45*(Y45-3),0))+IF(R45&lt;H45,0,IF(AND(Y45&lt;=4.5,Y45&gt;3,K45&gt;1.5,K45&lt;=2.5),-U45,0))</f>
        <v>0</v>
      </c>
      <c r="AO45" s="251">
        <f t="shared" ref="AO45:AO65" si="266">IF(K45&gt;2.5,IF(Y45&gt;=2,L45*F45*2,K45*F45*Y45),0)+IF(R45&lt;H45,0,IF(AND(Y45&lt;=2,K45&gt;=2.5),-U45,0))</f>
        <v>0</v>
      </c>
      <c r="AP45" s="251">
        <f t="shared" ref="AP45:AP58" si="267">IF(IF(K45&gt;2.5,IF(Y45&gt;=4,L45*F45*2,K45*F45*(Y45-2)),0)&lt;0,0,IF(K45&gt;2.5,IF(Y45&gt;=4,L45*F45*2,K45*F45*(Y45-2)),0))+IF(R45&lt;H45,0,IF(AND(Y45&lt;=4,Y45&gt;2,K45&gt;2.5),-U45,0))</f>
        <v>0</v>
      </c>
      <c r="AQ45" s="251">
        <f t="shared" ref="AQ45:AQ58" si="268">IF(IF(K45&gt;2.5,IF(Y45&gt;=6,L45*F45*2,K45*F45*(Y45-4)),0)&lt;0,0,IF(K45&gt;2.5,IF(Y45&gt;=6,L45*F45*2,K45*F45*(Y45-4)),0))+IF(R45&lt;H45,0,IF(AND(Y45&lt;=6,Y45&gt;4,K45&gt;2.5),-U45,0))</f>
        <v>0</v>
      </c>
      <c r="AR45" s="253">
        <f t="shared" ref="AR45:AR67" si="269">V45-SUM(AC45:AQ45)</f>
        <v>0</v>
      </c>
      <c r="AS45" s="253">
        <f t="shared" ref="AS45:AS67" si="270">IF(H45-S45&lt;0,0,(H45-S45)*F45)/75</f>
        <v>0.76548266666666664</v>
      </c>
      <c r="AT45" s="253">
        <f t="shared" ref="AT45:AT67" si="271">F45*K45*H45-PI()*(G45/1000)*(G45/1000)/4*F45+AW45</f>
        <v>180.70465645192886</v>
      </c>
      <c r="AU45" s="241">
        <f t="shared" ref="AU45:AU67" si="272">IF(K45&lt;1.5,K45*F45*IF(G45&lt;=500,0.05,IF(G45&lt;=800,0.1,IF(G45&lt;=1200,0.15,IF(G45&gt;=1500,0.2)))),0)</f>
        <v>7.1764000000000001</v>
      </c>
      <c r="AV45" s="246">
        <f t="shared" ref="AV45:AV67" si="273">IF(K45&gt;=1.5,K45*F45*IF(G45&lt;=500,0.05,IF(G45&lt;=800,0.1,IF(G45&lt;=1200,0.15,IF(G45&gt;=1500,0.2)))),0)</f>
        <v>0</v>
      </c>
      <c r="AW45" s="253">
        <f t="shared" ref="AW45:AW91" si="274">IF(Q45=1,0.4*F45*K45,0)</f>
        <v>0</v>
      </c>
      <c r="AX45" s="253">
        <f t="shared" ref="AX45:AX91" si="275">IF(AW45&lt;SUM(AJ45:AQ45),0,AW45)</f>
        <v>0</v>
      </c>
      <c r="AY45" s="253">
        <f t="shared" ref="AY45:AY67" si="276">G45/1000+0.3</f>
        <v>0.89999999999999991</v>
      </c>
      <c r="AZ45" s="253">
        <f t="shared" ref="AZ45:AZ65" si="277">AY45*K45*F45-PI()*(G45/1000*G45/1000)/4*F45</f>
        <v>50.094176451928831</v>
      </c>
      <c r="BA45" s="253">
        <f t="shared" ref="BA45:BA67" si="278">IF(AZ45&lt;SUM(AJ45:AQ45),0,AZ45)</f>
        <v>0</v>
      </c>
      <c r="BB45" s="253">
        <f t="shared" ref="BB45:BB67" si="279">IF(O45="ASFALTO",0.15*F45*K45,0)</f>
        <v>10.764599999999998</v>
      </c>
      <c r="BC45" s="253">
        <f t="shared" ref="BC45:BC67" si="280">BB45</f>
        <v>10.764599999999998</v>
      </c>
      <c r="BD45" s="253">
        <f t="shared" ref="BD45:BD67" si="281">IF(O45="ASFALTO",0.03*F45*K45,0)</f>
        <v>2.1529199999999995</v>
      </c>
      <c r="BE45" s="531">
        <f t="shared" ref="BE45:BE67" si="282">AT45-AW45-SUM(AU45:AV45)-BB45-BC45-AZ45</f>
        <v>101.90488000000002</v>
      </c>
      <c r="BF45" s="253">
        <f t="shared" ref="BF45:BF67" si="283">SUM(AJ45:AQ45)-AW45-BB45-AZ45</f>
        <v>124.27442608413284</v>
      </c>
      <c r="BG45" s="253">
        <f t="shared" ref="BG45:BG67" si="284">IF(SMALL(BE45:BF45,1)&lt;0,0,SMALL(BE45:BF45,1))</f>
        <v>101.90488000000002</v>
      </c>
      <c r="BH45" s="253">
        <f t="shared" ref="BH45:BH67" si="285">BF45-BG45</f>
        <v>22.369546084132821</v>
      </c>
      <c r="BI45" s="253">
        <f t="shared" ref="BI45:BI67" si="286">BE45-BG45</f>
        <v>0</v>
      </c>
      <c r="BJ45" s="241">
        <f t="shared" ref="BJ45:BJ67" si="287">IF($BI$106&gt;$BJ$108,($BJ$108/$BI$106)*BI45,BI45)</f>
        <v>0</v>
      </c>
      <c r="BK45" s="253">
        <f t="shared" ref="BK45:BK67" si="288">BI45-BJ45</f>
        <v>0</v>
      </c>
      <c r="BL45" s="253"/>
      <c r="BM45" s="253">
        <f t="shared" ref="BM45:BM67" si="289">IF(AW45+BB45&gt;0,4%*(AW45+BB45),0)</f>
        <v>0.43058399999999991</v>
      </c>
      <c r="BN45" s="252">
        <f t="shared" ref="BN45:BN67" si="290">IF(G45=400,H45,0)</f>
        <v>0</v>
      </c>
      <c r="BO45" s="366">
        <f t="shared" ref="BO45:BO67" si="291">IF(BN45&lt;=1.75,AND(BN45&gt;0)*F45,0)</f>
        <v>0</v>
      </c>
      <c r="BP45" s="366">
        <f t="shared" ref="BP45:BP67" si="292">IF(BN45&lt;=3,AND(BN45&gt;1.75)*F45,0)</f>
        <v>0</v>
      </c>
      <c r="BQ45" s="366">
        <f t="shared" ref="BQ45:BQ67" si="293">IF(G45=500,H45,0)</f>
        <v>0</v>
      </c>
      <c r="BR45" s="240">
        <f t="shared" ref="BR45:BR67" si="294">IF(BQ45&lt;=1.75,AND(BQ45&gt;0)*F45,0)</f>
        <v>0</v>
      </c>
      <c r="BS45" s="240">
        <f t="shared" ref="BS45:BS67" si="295">IF(BQ45&lt;=3,AND(BQ45&gt;1.75)*F45,0)</f>
        <v>0</v>
      </c>
      <c r="BT45" s="240">
        <f t="shared" ref="BT45:BT67" si="296">IF(G45=600,H45,0)</f>
        <v>2.72</v>
      </c>
      <c r="BU45" s="240">
        <f t="shared" ref="BU45:BU67" si="297">IF(BT45&lt;=3,AND(BT45&gt;0)*F45,0)</f>
        <v>51.26</v>
      </c>
      <c r="BV45" s="240">
        <f t="shared" ref="BV45:BV67" si="298">IF(BT45&lt;=6,AND(BT45&gt;3)*F45,0)</f>
        <v>0</v>
      </c>
      <c r="BW45" s="240">
        <f t="shared" ref="BW45:BW67" si="299">IF(BT45&lt;=9,AND(BT45&gt;6)*F45,0)</f>
        <v>0</v>
      </c>
      <c r="BX45" s="240">
        <f t="shared" ref="BX45:BX67" si="300">IF(G45=800,H45,0)</f>
        <v>0</v>
      </c>
      <c r="BY45" s="240">
        <f t="shared" ref="BY45:BY67" si="301">IF(BX45&lt;=3,AND(BX45&gt;0)*F45,0)</f>
        <v>0</v>
      </c>
      <c r="BZ45" s="240">
        <f t="shared" ref="BZ45:BZ67" si="302">IF(BX45&lt;=6,AND(BX45&gt;3)*F45,0)</f>
        <v>0</v>
      </c>
      <c r="CA45" s="240">
        <f t="shared" ref="CA45:CA67" si="303">IF(BX45&lt;=9,AND(BX45&gt;6)*F45,0)</f>
        <v>0</v>
      </c>
      <c r="CB45" s="240">
        <f t="shared" ref="CB45:CB67" si="304">IF(G45=1000,H45,0)</f>
        <v>0</v>
      </c>
      <c r="CC45" s="240">
        <f t="shared" ref="CC45:CC67" si="305">IF(CB45&lt;=3,AND(CB45&gt;0)*F45,0)</f>
        <v>0</v>
      </c>
      <c r="CD45" s="240">
        <f t="shared" ref="CD45:CD67" si="306">IF(CB45&lt;=6,AND(CB45&gt;3)*F45,0)</f>
        <v>0</v>
      </c>
      <c r="CE45" s="240">
        <f t="shared" ref="CE45:CE67" si="307">IF(CB45&lt;=9,AND(CB45&gt;6)*F45,0)</f>
        <v>0</v>
      </c>
      <c r="CF45" s="240">
        <f t="shared" ref="CF45:CF67" si="308">IF(G45=1200,H45,0)</f>
        <v>0</v>
      </c>
      <c r="CG45" s="240">
        <f t="shared" ref="CG45:CG67" si="309">IF(CF45&lt;=3,AND(CF45&gt;0)*F45,0)</f>
        <v>0</v>
      </c>
      <c r="CH45" s="240">
        <f t="shared" ref="CH45:CH67" si="310">IF(CF45&lt;=6,AND(CF45&gt;3)*F45,0)</f>
        <v>0</v>
      </c>
      <c r="CI45" s="240">
        <f t="shared" ref="CI45:CI67" si="311">IF(CF45&lt;=9,AND(CF45&gt;6)*F45,0)</f>
        <v>0</v>
      </c>
      <c r="CJ45" s="365">
        <f t="shared" ref="CJ45:CJ67" si="312">IF(G45=1500,H45,0)</f>
        <v>0</v>
      </c>
      <c r="CK45" s="240">
        <f t="shared" ref="CK45:CK67" si="313">IF(CJ45&lt;=3,AND(CJ45&gt;0)*F45,0)</f>
        <v>0</v>
      </c>
      <c r="CL45" s="240">
        <f t="shared" ref="CL45:CL67" si="314">IF(CJ45&lt;=6,AND(CJ45&gt;3)*F45,0)</f>
        <v>0</v>
      </c>
      <c r="CM45" s="240">
        <f t="shared" ref="CM45:CM67" si="315">IF(CJ45&lt;=9,AND(CJ45&gt;6)*F45,0)</f>
        <v>0</v>
      </c>
      <c r="CN45" s="245">
        <f t="shared" ref="CN45:CN67" si="316">IF(G45=1650,F45,0)</f>
        <v>0</v>
      </c>
      <c r="CO45" s="245">
        <f t="shared" ref="CO45:CO67" si="317">IF(G45=1800,F45,0)</f>
        <v>0</v>
      </c>
      <c r="CP45" s="245">
        <f t="shared" ref="CP45:CP67" si="318">IF(G45=2000,F45,0)</f>
        <v>0</v>
      </c>
      <c r="CQ45" s="245">
        <f t="shared" ref="CQ45:CQ67" si="319">IF(G45=2200,F45,0)</f>
        <v>0</v>
      </c>
      <c r="CR45" s="245">
        <f t="shared" ref="CR45:CR67" si="320">IF(G45=2400,F45,0)</f>
        <v>0</v>
      </c>
      <c r="CS45" s="245">
        <f t="shared" ref="CS45:CS67" si="321">IF(G45=2600,F45,0)</f>
        <v>0</v>
      </c>
      <c r="CT45" s="364">
        <f t="shared" ref="CT45:CT67" si="322">IF(G45=3000,F45,0)</f>
        <v>0</v>
      </c>
      <c r="CU45" s="363">
        <f t="shared" ref="CU45:CU67" si="323">IF(G45&gt;=100,1,0)</f>
        <v>1</v>
      </c>
      <c r="CV45" s="363">
        <f t="shared" ref="CV45:CV67" si="324">IF(CU45=1,IF(G45&lt;=600,1,0))</f>
        <v>1</v>
      </c>
      <c r="CW45" s="363">
        <f t="shared" ref="CW45:CW67" si="325">IF(CU45=1,IF($G45=800,1,0))</f>
        <v>0</v>
      </c>
      <c r="CX45" s="363">
        <f t="shared" ref="CX45:CX67" si="326">IF(CU45=1,IF($G45=1000,1,0))</f>
        <v>0</v>
      </c>
      <c r="CY45" s="363">
        <f t="shared" ref="CY45:CY67" si="327">IF(CU45=1,IF($G45=1200,1,0))</f>
        <v>0</v>
      </c>
      <c r="CZ45" s="363">
        <f t="shared" ref="CZ45:CZ67" si="328">IF(CU45=1,IF($G45=1500,1,0))</f>
        <v>0</v>
      </c>
      <c r="DA45" s="362">
        <f t="shared" ref="DA45:DA67" si="329">IF(IF(G45&lt;=600,(D45-DB45),0)+IF(G45=800,(D45-DC45),0)+IF(G45&gt;=1000,D45-DD45,0)&lt;0,0,IF(G45&lt;=600,(D45-DB45),0)+IF(G45=800,(D45-DC45),0)+IF(G45&gt;=1000,D45-DD45,0))</f>
        <v>1.2</v>
      </c>
      <c r="DB45" s="361">
        <v>1.3</v>
      </c>
      <c r="DC45" s="361">
        <v>1.4</v>
      </c>
      <c r="DD45" s="361">
        <v>2</v>
      </c>
      <c r="DE45" s="361">
        <v>2</v>
      </c>
      <c r="DF45" s="360">
        <v>2</v>
      </c>
      <c r="DG45" s="252">
        <f t="shared" ref="DG45:DG67" si="330">IF(K45&lt;=1.5,IF(H45&lt;1.5,H45*F45*2,F45*2*1.5),0)</f>
        <v>153.78</v>
      </c>
      <c r="DH45" s="360">
        <f t="shared" ref="DH45:DH67" si="331">IF(K45&lt;=1.5,IF(AND(H45&lt;3,H45&gt;1.5),(H45-1.5)*F45*2,IF(H45&gt;=3,(F45*2*1.5),0)),0)</f>
        <v>125.07440000000001</v>
      </c>
      <c r="DI45" s="360">
        <f t="shared" ref="DI45:DI67" si="332">IF(K45&lt;=1.5,IF(AND(H45&lt;4.5,H45&gt;3),(H45-3)*F45*2,IF(H45&gt;=4.5,(F45*2*1.5),0)),0)</f>
        <v>0</v>
      </c>
      <c r="DJ45" s="360">
        <f t="shared" ref="DJ45:DJ67" si="333">IF(AND(K45&lt;=2.5,K45&gt;1.5),IF(H45&lt;1.5,H45*F45*2,F45*2*1.5),0)</f>
        <v>0</v>
      </c>
      <c r="DK45" s="360">
        <f t="shared" ref="DK45:DK67" si="334">IF(AND(K45&gt;1.5,K45&lt;=2.5),IF(AND(H45&lt;3,H45&gt;1.5),(H45-1.5)*F45*2,IF(H45&gt;=3,(F45*2*1.5),0)),0)</f>
        <v>0</v>
      </c>
      <c r="DL45" s="360">
        <f t="shared" ref="DL45:DL67" si="335">IF(AND(K45&gt;1.5,K45&lt;=2.5),IF(AND(H45&lt;4.5,H45&gt;3),(H45-3)*F45*2,IF(H45&gt;=4.5,(F45*2*1.5),0)),0)</f>
        <v>0</v>
      </c>
      <c r="DM45" s="360">
        <f t="shared" ref="DM45:DM67" si="336">IF(AND(K45&lt;=3.5,K45&gt;2.5),IF(H45&lt;1.5,H45*F45*2,F45*2*1.5),0)</f>
        <v>0</v>
      </c>
      <c r="DN45" s="360">
        <f t="shared" ref="DN45:DN67" si="337">IF(AND(K45&gt;2.5,K45&lt;=3.5),IF(AND(H45&lt;3,H45&gt;1.5),(H45-1.5)*F45*2,IF(H45&gt;=3,(F45*2*1.5),0)),0)</f>
        <v>0</v>
      </c>
      <c r="DO45" s="360">
        <f t="shared" ref="DO45:DO67" si="338">IF(AND(K45&gt;2.5,K45&lt;=3.5),IF(AND(H45&lt;4.5,H45&gt;3),(H45-3)*F45*2,IF(H45&gt;=4.5,(F45*2*1.5),0)),0)</f>
        <v>0</v>
      </c>
      <c r="DP45" s="360">
        <f t="shared" ref="DP45:DP67" si="339">IF(AND(K45&gt;2.5,K45&lt;=3.5),IF(AND(H45&lt;6,H45&gt;4.5),(H45-4.5)*F45*2,IF(H45&gt;=6,(F45*2*1.5),0)),0)</f>
        <v>0</v>
      </c>
      <c r="DQ45" s="219"/>
    </row>
    <row r="46" spans="1:121" x14ac:dyDescent="0.25">
      <c r="A46" s="238" t="s">
        <v>2748</v>
      </c>
      <c r="B46" s="238"/>
      <c r="C46" s="238" t="str">
        <f>'Planilha Hidráulica'!B55</f>
        <v>PV2.1-&gt;PV3.1</v>
      </c>
      <c r="D46" s="239">
        <f>'Planilha Hidráulica'!T55</f>
        <v>2.72</v>
      </c>
      <c r="E46" s="239">
        <f>'Planilha Hidráulica'!U55</f>
        <v>2.72</v>
      </c>
      <c r="F46" s="239">
        <f>'Planilha Hidráulica'!L55</f>
        <v>48.9</v>
      </c>
      <c r="G46" s="238">
        <f>'Planilha Hidráulica'!N55</f>
        <v>800</v>
      </c>
      <c r="H46" s="240">
        <f t="shared" si="243"/>
        <v>2.9800000000000004</v>
      </c>
      <c r="I46" s="241">
        <f t="shared" si="244"/>
        <v>7.2861000000000002</v>
      </c>
      <c r="J46" s="368">
        <v>0</v>
      </c>
      <c r="K46" s="240">
        <f t="shared" si="245"/>
        <v>1.7</v>
      </c>
      <c r="L46" s="240">
        <f t="shared" si="246"/>
        <v>1.7</v>
      </c>
      <c r="M46" s="243">
        <f>'Planilha Hidráulica'!Z55</f>
        <v>800</v>
      </c>
      <c r="N46" s="240">
        <f t="shared" si="247"/>
        <v>83.13</v>
      </c>
      <c r="O46" s="367" t="str">
        <f>'Planilha Hidráulica'!Y55</f>
        <v>ASFALTO</v>
      </c>
      <c r="P46" s="367" t="s">
        <v>2536</v>
      </c>
      <c r="Q46" s="367">
        <v>0</v>
      </c>
      <c r="R46" s="367">
        <v>3.2</v>
      </c>
      <c r="S46" s="367">
        <v>1.6</v>
      </c>
      <c r="T46" s="240">
        <f t="shared" si="248"/>
        <v>0.1</v>
      </c>
      <c r="U46" s="245">
        <f t="shared" si="249"/>
        <v>24.579820921686544</v>
      </c>
      <c r="V46" s="246">
        <f t="shared" si="250"/>
        <v>223.14757907831347</v>
      </c>
      <c r="W46" s="245">
        <f t="shared" si="251"/>
        <v>0</v>
      </c>
      <c r="X46" s="247">
        <f t="shared" si="252"/>
        <v>0</v>
      </c>
      <c r="Y46" s="245">
        <f t="shared" si="253"/>
        <v>2.9800000000000004</v>
      </c>
      <c r="Z46" s="245">
        <f t="shared" si="254"/>
        <v>0</v>
      </c>
      <c r="AA46" s="252">
        <f t="shared" si="255"/>
        <v>83.13</v>
      </c>
      <c r="AB46" s="361">
        <f t="shared" si="256"/>
        <v>0</v>
      </c>
      <c r="AC46" s="251">
        <f t="shared" si="257"/>
        <v>0</v>
      </c>
      <c r="AD46" s="251">
        <f t="shared" si="258"/>
        <v>0</v>
      </c>
      <c r="AE46" s="251">
        <f t="shared" si="259"/>
        <v>0</v>
      </c>
      <c r="AF46" s="251">
        <f t="shared" si="260"/>
        <v>0</v>
      </c>
      <c r="AG46" s="251">
        <f t="shared" si="261"/>
        <v>0</v>
      </c>
      <c r="AH46" s="251">
        <f t="shared" si="262"/>
        <v>0</v>
      </c>
      <c r="AI46" s="251">
        <f t="shared" si="263"/>
        <v>0</v>
      </c>
      <c r="AJ46" s="251">
        <f t="shared" si="264"/>
        <v>0</v>
      </c>
      <c r="AK46" s="251">
        <f t="shared" ref="AK46:AK67" si="340">IF(IF(K46&lt;=1.5,IF(Y46&gt;=3,L46*F46*1.5,K46*F46*(Y46-1.5)),0)&lt;0,0,IF(K46&lt;=1.5,IF(Y46&gt;=3,L46*F46*1.5,K46*F46*(Y46-1.5)),0))+IF(R46&lt;H46,0,IF(AND(Y46&lt;=3,K46&lt;=1.5),-U46,0))</f>
        <v>0</v>
      </c>
      <c r="AL46" s="251">
        <f t="shared" si="265"/>
        <v>124.69499999999999</v>
      </c>
      <c r="AM46" s="251">
        <f>IF(IF(AND(K46&lt;=2.5,K46&gt;1.5),IF(Y46&gt;=3,L46*F46*1.5,K46*F46*(Y46-1.5)),0)&lt;0,0,IF(AND(K46&lt;=2.5,K46&gt;1.5),IF(Y46&gt;=3,L46*F46*1.5,K46*F46*(Y46-1.5)),0))-U46</f>
        <v>98.452579078313477</v>
      </c>
      <c r="AN46" s="251">
        <f>IF(AND(K46&lt;=2.5,Y46&gt;=4.5),L46*F46*1.5,IF(AND(K46&lt;=2.5,Y46&gt;3),K46*F46*(Y46-3),0))</f>
        <v>0</v>
      </c>
      <c r="AO46" s="251">
        <f t="shared" si="266"/>
        <v>0</v>
      </c>
      <c r="AP46" s="251">
        <f t="shared" si="267"/>
        <v>0</v>
      </c>
      <c r="AQ46" s="251">
        <f t="shared" si="268"/>
        <v>0</v>
      </c>
      <c r="AR46" s="253">
        <f t="shared" si="269"/>
        <v>0</v>
      </c>
      <c r="AS46" s="253">
        <f t="shared" si="270"/>
        <v>0.89976000000000023</v>
      </c>
      <c r="AT46" s="253">
        <f t="shared" si="271"/>
        <v>223.14757907831347</v>
      </c>
      <c r="AU46" s="241">
        <f t="shared" si="272"/>
        <v>0</v>
      </c>
      <c r="AV46" s="246">
        <f t="shared" si="273"/>
        <v>8.3130000000000006</v>
      </c>
      <c r="AW46" s="253">
        <f t="shared" si="274"/>
        <v>0</v>
      </c>
      <c r="AX46" s="253">
        <f t="shared" si="275"/>
        <v>0</v>
      </c>
      <c r="AY46" s="253">
        <f t="shared" si="276"/>
        <v>1.1000000000000001</v>
      </c>
      <c r="AZ46" s="253">
        <f t="shared" si="277"/>
        <v>66.863179078313451</v>
      </c>
      <c r="BA46" s="253">
        <f t="shared" si="278"/>
        <v>0</v>
      </c>
      <c r="BB46" s="253">
        <f t="shared" si="279"/>
        <v>12.469499999999998</v>
      </c>
      <c r="BC46" s="253">
        <f t="shared" si="280"/>
        <v>12.469499999999998</v>
      </c>
      <c r="BD46" s="253">
        <f t="shared" si="281"/>
        <v>2.4938999999999996</v>
      </c>
      <c r="BE46" s="531">
        <f t="shared" si="282"/>
        <v>123.03240000000001</v>
      </c>
      <c r="BF46" s="253">
        <f t="shared" si="283"/>
        <v>143.81490000000002</v>
      </c>
      <c r="BG46" s="253">
        <f t="shared" si="284"/>
        <v>123.03240000000001</v>
      </c>
      <c r="BH46" s="253">
        <f t="shared" si="285"/>
        <v>20.782500000000013</v>
      </c>
      <c r="BI46" s="253">
        <f t="shared" si="286"/>
        <v>0</v>
      </c>
      <c r="BJ46" s="241">
        <f t="shared" si="287"/>
        <v>0</v>
      </c>
      <c r="BK46" s="253">
        <f t="shared" si="288"/>
        <v>0</v>
      </c>
      <c r="BL46" s="253"/>
      <c r="BM46" s="253">
        <f t="shared" si="289"/>
        <v>0.49877999999999995</v>
      </c>
      <c r="BN46" s="252">
        <f t="shared" si="290"/>
        <v>0</v>
      </c>
      <c r="BO46" s="366">
        <f t="shared" si="291"/>
        <v>0</v>
      </c>
      <c r="BP46" s="366">
        <f t="shared" si="292"/>
        <v>0</v>
      </c>
      <c r="BQ46" s="366">
        <f t="shared" si="293"/>
        <v>0</v>
      </c>
      <c r="BR46" s="240">
        <f t="shared" si="294"/>
        <v>0</v>
      </c>
      <c r="BS46" s="240">
        <f t="shared" si="295"/>
        <v>0</v>
      </c>
      <c r="BT46" s="240">
        <f t="shared" si="296"/>
        <v>0</v>
      </c>
      <c r="BU46" s="240">
        <f t="shared" si="297"/>
        <v>0</v>
      </c>
      <c r="BV46" s="240">
        <f t="shared" si="298"/>
        <v>0</v>
      </c>
      <c r="BW46" s="240">
        <f t="shared" si="299"/>
        <v>0</v>
      </c>
      <c r="BX46" s="240">
        <f t="shared" si="300"/>
        <v>2.9800000000000004</v>
      </c>
      <c r="BY46" s="240">
        <f t="shared" si="301"/>
        <v>48.9</v>
      </c>
      <c r="BZ46" s="240">
        <f t="shared" si="302"/>
        <v>0</v>
      </c>
      <c r="CA46" s="240">
        <f t="shared" si="303"/>
        <v>0</v>
      </c>
      <c r="CB46" s="240">
        <f t="shared" si="304"/>
        <v>0</v>
      </c>
      <c r="CC46" s="240">
        <f t="shared" si="305"/>
        <v>0</v>
      </c>
      <c r="CD46" s="240">
        <f t="shared" si="306"/>
        <v>0</v>
      </c>
      <c r="CE46" s="240">
        <f t="shared" si="307"/>
        <v>0</v>
      </c>
      <c r="CF46" s="240">
        <f t="shared" si="308"/>
        <v>0</v>
      </c>
      <c r="CG46" s="240">
        <f t="shared" si="309"/>
        <v>0</v>
      </c>
      <c r="CH46" s="240">
        <f t="shared" si="310"/>
        <v>0</v>
      </c>
      <c r="CI46" s="240">
        <f t="shared" si="311"/>
        <v>0</v>
      </c>
      <c r="CJ46" s="365">
        <f t="shared" si="312"/>
        <v>0</v>
      </c>
      <c r="CK46" s="240">
        <f t="shared" si="313"/>
        <v>0</v>
      </c>
      <c r="CL46" s="240">
        <f t="shared" si="314"/>
        <v>0</v>
      </c>
      <c r="CM46" s="240">
        <f t="shared" si="315"/>
        <v>0</v>
      </c>
      <c r="CN46" s="245">
        <f t="shared" si="316"/>
        <v>0</v>
      </c>
      <c r="CO46" s="245">
        <f t="shared" si="317"/>
        <v>0</v>
      </c>
      <c r="CP46" s="245">
        <f t="shared" si="318"/>
        <v>0</v>
      </c>
      <c r="CQ46" s="245">
        <f t="shared" si="319"/>
        <v>0</v>
      </c>
      <c r="CR46" s="245">
        <f t="shared" si="320"/>
        <v>0</v>
      </c>
      <c r="CS46" s="245">
        <f t="shared" si="321"/>
        <v>0</v>
      </c>
      <c r="CT46" s="364">
        <f t="shared" si="322"/>
        <v>0</v>
      </c>
      <c r="CU46" s="363">
        <f t="shared" si="323"/>
        <v>1</v>
      </c>
      <c r="CV46" s="363">
        <f t="shared" si="324"/>
        <v>0</v>
      </c>
      <c r="CW46" s="363">
        <f t="shared" si="325"/>
        <v>1</v>
      </c>
      <c r="CX46" s="363">
        <f t="shared" si="326"/>
        <v>0</v>
      </c>
      <c r="CY46" s="363">
        <f t="shared" si="327"/>
        <v>0</v>
      </c>
      <c r="CZ46" s="363">
        <f t="shared" si="328"/>
        <v>0</v>
      </c>
      <c r="DA46" s="362">
        <f t="shared" si="329"/>
        <v>1.3200000000000003</v>
      </c>
      <c r="DB46" s="361">
        <v>1.3</v>
      </c>
      <c r="DC46" s="361">
        <v>1.4</v>
      </c>
      <c r="DD46" s="361">
        <v>2</v>
      </c>
      <c r="DE46" s="361">
        <v>2</v>
      </c>
      <c r="DF46" s="360">
        <v>2</v>
      </c>
      <c r="DG46" s="252">
        <f t="shared" si="330"/>
        <v>0</v>
      </c>
      <c r="DH46" s="360">
        <f t="shared" si="331"/>
        <v>0</v>
      </c>
      <c r="DI46" s="360">
        <f t="shared" si="332"/>
        <v>0</v>
      </c>
      <c r="DJ46" s="360">
        <f t="shared" si="333"/>
        <v>146.69999999999999</v>
      </c>
      <c r="DK46" s="360">
        <f t="shared" si="334"/>
        <v>144.74400000000003</v>
      </c>
      <c r="DL46" s="360">
        <f t="shared" si="335"/>
        <v>0</v>
      </c>
      <c r="DM46" s="360">
        <f t="shared" si="336"/>
        <v>0</v>
      </c>
      <c r="DN46" s="360">
        <f t="shared" si="337"/>
        <v>0</v>
      </c>
      <c r="DO46" s="360">
        <f t="shared" si="338"/>
        <v>0</v>
      </c>
      <c r="DP46" s="360">
        <f t="shared" si="339"/>
        <v>0</v>
      </c>
      <c r="DQ46" s="219"/>
    </row>
    <row r="47" spans="1:121" x14ac:dyDescent="0.25">
      <c r="A47" s="238" t="s">
        <v>2747</v>
      </c>
      <c r="B47" s="238"/>
      <c r="C47" s="238" t="str">
        <f>'Planilha Hidráulica'!B56</f>
        <v>PV3.1-&gt;PV4.1</v>
      </c>
      <c r="D47" s="239">
        <f>'Planilha Hidráulica'!T56</f>
        <v>2.94</v>
      </c>
      <c r="E47" s="239">
        <f>'Planilha Hidráulica'!U56</f>
        <v>2.94</v>
      </c>
      <c r="F47" s="239">
        <f>'Planilha Hidráulica'!L56</f>
        <v>50.36</v>
      </c>
      <c r="G47" s="238">
        <f>'Planilha Hidráulica'!N56</f>
        <v>1000</v>
      </c>
      <c r="H47" s="240">
        <f t="shared" si="243"/>
        <v>3.29</v>
      </c>
      <c r="I47" s="241">
        <f t="shared" si="244"/>
        <v>8.2842200000000012</v>
      </c>
      <c r="J47" s="368">
        <v>0</v>
      </c>
      <c r="K47" s="240">
        <f t="shared" si="245"/>
        <v>2</v>
      </c>
      <c r="L47" s="240">
        <f t="shared" si="246"/>
        <v>2</v>
      </c>
      <c r="M47" s="243">
        <f>'Planilha Hidráulica'!Z56</f>
        <v>800</v>
      </c>
      <c r="N47" s="240">
        <f t="shared" si="247"/>
        <v>100.72</v>
      </c>
      <c r="O47" s="367" t="str">
        <f>'Planilha Hidráulica'!Y56</f>
        <v>ASFALTO</v>
      </c>
      <c r="P47" s="367" t="s">
        <v>2536</v>
      </c>
      <c r="Q47" s="367">
        <v>0</v>
      </c>
      <c r="R47" s="367">
        <v>3.2</v>
      </c>
      <c r="S47" s="367">
        <v>1.6</v>
      </c>
      <c r="T47" s="240">
        <f t="shared" si="248"/>
        <v>0.15</v>
      </c>
      <c r="U47" s="245">
        <f t="shared" si="249"/>
        <v>25.313696965565118</v>
      </c>
      <c r="V47" s="246">
        <f t="shared" si="250"/>
        <v>306.05510303443492</v>
      </c>
      <c r="W47" s="245">
        <f t="shared" si="251"/>
        <v>0</v>
      </c>
      <c r="X47" s="247">
        <f t="shared" si="252"/>
        <v>0</v>
      </c>
      <c r="Y47" s="245">
        <f t="shared" si="253"/>
        <v>3.2</v>
      </c>
      <c r="Z47" s="245">
        <f t="shared" si="254"/>
        <v>8.9999999999999858E-2</v>
      </c>
      <c r="AA47" s="252">
        <f t="shared" si="255"/>
        <v>100.72</v>
      </c>
      <c r="AB47" s="361">
        <f t="shared" si="256"/>
        <v>0</v>
      </c>
      <c r="AC47" s="251">
        <f t="shared" si="257"/>
        <v>0</v>
      </c>
      <c r="AD47" s="251">
        <f t="shared" si="258"/>
        <v>0</v>
      </c>
      <c r="AE47" s="251">
        <f t="shared" si="259"/>
        <v>0</v>
      </c>
      <c r="AF47" s="251">
        <f t="shared" si="260"/>
        <v>0</v>
      </c>
      <c r="AG47" s="251">
        <f t="shared" si="261"/>
        <v>0</v>
      </c>
      <c r="AH47" s="251">
        <f t="shared" si="262"/>
        <v>0</v>
      </c>
      <c r="AI47" s="251">
        <f t="shared" si="263"/>
        <v>0</v>
      </c>
      <c r="AJ47" s="251">
        <f t="shared" si="264"/>
        <v>0</v>
      </c>
      <c r="AK47" s="251">
        <f t="shared" si="340"/>
        <v>0</v>
      </c>
      <c r="AL47" s="251">
        <f t="shared" si="265"/>
        <v>151.07999999999998</v>
      </c>
      <c r="AM47" s="251">
        <f>IF(IF(AND(K47&lt;=2.5,K47&gt;1.5),IF(Y47&gt;=3,L47*F47*1.5,K47*F47*(Y47-1.5)),0)&lt;0,0,IF(AND(K47&lt;=2.5,K47&gt;1.5),IF(Y47&gt;=3,L47*F47*1.5,K47*F47*(Y47-1.5)),0))-U47</f>
        <v>125.76630303443487</v>
      </c>
      <c r="AN47" s="251">
        <f>IF(AND(K47&lt;=2.5,Y47&gt;=4.5),L47*F47*1.5,IF(AND(K47&lt;=2.5,Y47&gt;3),K47*F47*(Y47-3),0))+IF(R47&lt;H47,0,IF(AND(Y47&lt;=4.5,Y47&gt;3,K47&gt;1.5,K47&lt;=2.5),-U47,0))</f>
        <v>20.144000000000016</v>
      </c>
      <c r="AO47" s="251">
        <f t="shared" si="266"/>
        <v>0</v>
      </c>
      <c r="AP47" s="251">
        <f t="shared" si="267"/>
        <v>0</v>
      </c>
      <c r="AQ47" s="251">
        <f t="shared" si="268"/>
        <v>0</v>
      </c>
      <c r="AR47" s="253">
        <f t="shared" si="269"/>
        <v>9.0648000000000479</v>
      </c>
      <c r="AS47" s="253">
        <f t="shared" si="270"/>
        <v>1.1347786666666666</v>
      </c>
      <c r="AT47" s="253">
        <f t="shared" si="271"/>
        <v>291.81614849130455</v>
      </c>
      <c r="AU47" s="241">
        <f t="shared" si="272"/>
        <v>0</v>
      </c>
      <c r="AV47" s="246">
        <f t="shared" si="273"/>
        <v>15.107999999999999</v>
      </c>
      <c r="AW47" s="253">
        <f t="shared" si="274"/>
        <v>0</v>
      </c>
      <c r="AX47" s="253">
        <f t="shared" si="275"/>
        <v>0</v>
      </c>
      <c r="AY47" s="253">
        <f t="shared" si="276"/>
        <v>1.3</v>
      </c>
      <c r="AZ47" s="253">
        <f t="shared" si="277"/>
        <v>91.383348491304503</v>
      </c>
      <c r="BA47" s="253">
        <f t="shared" si="278"/>
        <v>0</v>
      </c>
      <c r="BB47" s="253">
        <f t="shared" si="279"/>
        <v>15.107999999999999</v>
      </c>
      <c r="BC47" s="253">
        <f t="shared" si="280"/>
        <v>15.107999999999999</v>
      </c>
      <c r="BD47" s="253">
        <f t="shared" si="281"/>
        <v>3.0215999999999998</v>
      </c>
      <c r="BE47" s="531">
        <f t="shared" si="282"/>
        <v>155.10880000000003</v>
      </c>
      <c r="BF47" s="253">
        <f t="shared" si="283"/>
        <v>190.49895454313037</v>
      </c>
      <c r="BG47" s="253">
        <f t="shared" si="284"/>
        <v>155.10880000000003</v>
      </c>
      <c r="BH47" s="253">
        <f t="shared" si="285"/>
        <v>35.390154543130336</v>
      </c>
      <c r="BI47" s="253">
        <f t="shared" si="286"/>
        <v>0</v>
      </c>
      <c r="BJ47" s="241">
        <f t="shared" si="287"/>
        <v>0</v>
      </c>
      <c r="BK47" s="253">
        <f t="shared" si="288"/>
        <v>0</v>
      </c>
      <c r="BL47" s="253"/>
      <c r="BM47" s="253">
        <f t="shared" si="289"/>
        <v>0.60431999999999997</v>
      </c>
      <c r="BN47" s="252">
        <f t="shared" si="290"/>
        <v>0</v>
      </c>
      <c r="BO47" s="366">
        <f t="shared" si="291"/>
        <v>0</v>
      </c>
      <c r="BP47" s="366">
        <f t="shared" si="292"/>
        <v>0</v>
      </c>
      <c r="BQ47" s="366">
        <f t="shared" si="293"/>
        <v>0</v>
      </c>
      <c r="BR47" s="240">
        <f t="shared" si="294"/>
        <v>0</v>
      </c>
      <c r="BS47" s="240">
        <f t="shared" si="295"/>
        <v>0</v>
      </c>
      <c r="BT47" s="240">
        <f t="shared" si="296"/>
        <v>0</v>
      </c>
      <c r="BU47" s="240">
        <f t="shared" si="297"/>
        <v>0</v>
      </c>
      <c r="BV47" s="240">
        <f t="shared" si="298"/>
        <v>0</v>
      </c>
      <c r="BW47" s="240">
        <f t="shared" si="299"/>
        <v>0</v>
      </c>
      <c r="BX47" s="240">
        <f t="shared" si="300"/>
        <v>0</v>
      </c>
      <c r="BY47" s="240">
        <f t="shared" si="301"/>
        <v>0</v>
      </c>
      <c r="BZ47" s="240">
        <f t="shared" si="302"/>
        <v>0</v>
      </c>
      <c r="CA47" s="240">
        <f t="shared" si="303"/>
        <v>0</v>
      </c>
      <c r="CB47" s="240">
        <f t="shared" si="304"/>
        <v>3.29</v>
      </c>
      <c r="CC47" s="240">
        <f t="shared" si="305"/>
        <v>0</v>
      </c>
      <c r="CD47" s="240">
        <f t="shared" si="306"/>
        <v>50.36</v>
      </c>
      <c r="CE47" s="240">
        <f t="shared" si="307"/>
        <v>0</v>
      </c>
      <c r="CF47" s="240">
        <f t="shared" si="308"/>
        <v>0</v>
      </c>
      <c r="CG47" s="240">
        <f t="shared" si="309"/>
        <v>0</v>
      </c>
      <c r="CH47" s="240">
        <f t="shared" si="310"/>
        <v>0</v>
      </c>
      <c r="CI47" s="240">
        <f t="shared" si="311"/>
        <v>0</v>
      </c>
      <c r="CJ47" s="365">
        <f t="shared" si="312"/>
        <v>0</v>
      </c>
      <c r="CK47" s="240">
        <f t="shared" si="313"/>
        <v>0</v>
      </c>
      <c r="CL47" s="240">
        <f t="shared" si="314"/>
        <v>0</v>
      </c>
      <c r="CM47" s="240">
        <f t="shared" si="315"/>
        <v>0</v>
      </c>
      <c r="CN47" s="245">
        <f t="shared" si="316"/>
        <v>0</v>
      </c>
      <c r="CO47" s="245">
        <f t="shared" si="317"/>
        <v>0</v>
      </c>
      <c r="CP47" s="245">
        <f t="shared" si="318"/>
        <v>0</v>
      </c>
      <c r="CQ47" s="245">
        <f t="shared" si="319"/>
        <v>0</v>
      </c>
      <c r="CR47" s="245">
        <f t="shared" si="320"/>
        <v>0</v>
      </c>
      <c r="CS47" s="245">
        <f t="shared" si="321"/>
        <v>0</v>
      </c>
      <c r="CT47" s="364">
        <f t="shared" si="322"/>
        <v>0</v>
      </c>
      <c r="CU47" s="363">
        <f t="shared" si="323"/>
        <v>1</v>
      </c>
      <c r="CV47" s="363">
        <f t="shared" si="324"/>
        <v>0</v>
      </c>
      <c r="CW47" s="363">
        <f t="shared" si="325"/>
        <v>0</v>
      </c>
      <c r="CX47" s="363">
        <f t="shared" si="326"/>
        <v>1</v>
      </c>
      <c r="CY47" s="363">
        <f t="shared" si="327"/>
        <v>0</v>
      </c>
      <c r="CZ47" s="363">
        <f t="shared" si="328"/>
        <v>0</v>
      </c>
      <c r="DA47" s="362">
        <f t="shared" si="329"/>
        <v>0.94</v>
      </c>
      <c r="DB47" s="361">
        <v>1.3</v>
      </c>
      <c r="DC47" s="361">
        <v>1.4</v>
      </c>
      <c r="DD47" s="361">
        <v>2</v>
      </c>
      <c r="DE47" s="361">
        <v>2</v>
      </c>
      <c r="DF47" s="360">
        <v>2</v>
      </c>
      <c r="DG47" s="252">
        <f t="shared" si="330"/>
        <v>0</v>
      </c>
      <c r="DH47" s="360">
        <f t="shared" si="331"/>
        <v>0</v>
      </c>
      <c r="DI47" s="360">
        <f t="shared" si="332"/>
        <v>0</v>
      </c>
      <c r="DJ47" s="360">
        <f t="shared" si="333"/>
        <v>151.07999999999998</v>
      </c>
      <c r="DK47" s="360">
        <f t="shared" si="334"/>
        <v>151.07999999999998</v>
      </c>
      <c r="DL47" s="360">
        <f t="shared" si="335"/>
        <v>29.208800000000004</v>
      </c>
      <c r="DM47" s="360">
        <f t="shared" si="336"/>
        <v>0</v>
      </c>
      <c r="DN47" s="360">
        <f t="shared" si="337"/>
        <v>0</v>
      </c>
      <c r="DO47" s="360">
        <f t="shared" si="338"/>
        <v>0</v>
      </c>
      <c r="DP47" s="360">
        <f t="shared" si="339"/>
        <v>0</v>
      </c>
      <c r="DQ47" s="219"/>
    </row>
    <row r="48" spans="1:121" x14ac:dyDescent="0.25">
      <c r="A48" s="238" t="s">
        <v>2745</v>
      </c>
      <c r="B48" s="238"/>
      <c r="C48" s="238" t="str">
        <f>'Planilha Hidráulica'!B57</f>
        <v>PV4.1-&gt;PV5.1</v>
      </c>
      <c r="D48" s="239">
        <f>'Planilha Hidráulica'!T57</f>
        <v>3.17</v>
      </c>
      <c r="E48" s="239">
        <f>'Planilha Hidráulica'!U57</f>
        <v>3.17</v>
      </c>
      <c r="F48" s="239">
        <f>'Planilha Hidráulica'!L57</f>
        <v>50.01</v>
      </c>
      <c r="G48" s="238">
        <f>'Planilha Hidráulica'!N57</f>
        <v>1200</v>
      </c>
      <c r="H48" s="240">
        <f t="shared" si="243"/>
        <v>3.56</v>
      </c>
      <c r="I48" s="241">
        <f t="shared" si="244"/>
        <v>8.9017799999999987</v>
      </c>
      <c r="J48" s="368">
        <v>0</v>
      </c>
      <c r="K48" s="240">
        <f t="shared" si="245"/>
        <v>2.2000000000000002</v>
      </c>
      <c r="L48" s="240">
        <f t="shared" si="246"/>
        <v>2.2000000000000002</v>
      </c>
      <c r="M48" s="243">
        <f>'Planilha Hidráulica'!Z57</f>
        <v>1000</v>
      </c>
      <c r="N48" s="240">
        <f t="shared" si="247"/>
        <v>110.02200000000001</v>
      </c>
      <c r="O48" s="367" t="str">
        <f>'Planilha Hidráulica'!Y57</f>
        <v>ASFALTO</v>
      </c>
      <c r="P48" s="367" t="s">
        <v>2737</v>
      </c>
      <c r="Q48" s="367">
        <v>1</v>
      </c>
      <c r="R48" s="367">
        <v>8.7100000000000009</v>
      </c>
      <c r="S48" s="367">
        <v>1.9</v>
      </c>
      <c r="T48" s="240">
        <f t="shared" si="248"/>
        <v>0.15</v>
      </c>
      <c r="U48" s="245">
        <f t="shared" si="249"/>
        <v>39.277762151506387</v>
      </c>
      <c r="V48" s="246">
        <f t="shared" si="250"/>
        <v>396.40935784849364</v>
      </c>
      <c r="W48" s="245">
        <f t="shared" si="251"/>
        <v>44.008800000000008</v>
      </c>
      <c r="X48" s="247">
        <f t="shared" si="252"/>
        <v>0.4</v>
      </c>
      <c r="Y48" s="245">
        <f t="shared" si="253"/>
        <v>3.56</v>
      </c>
      <c r="Z48" s="245">
        <f t="shared" si="254"/>
        <v>0</v>
      </c>
      <c r="AA48" s="252">
        <f t="shared" si="255"/>
        <v>110.02200000000001</v>
      </c>
      <c r="AB48" s="361">
        <f t="shared" si="256"/>
        <v>0</v>
      </c>
      <c r="AC48" s="251">
        <f t="shared" si="257"/>
        <v>0</v>
      </c>
      <c r="AD48" s="251">
        <f t="shared" si="258"/>
        <v>0</v>
      </c>
      <c r="AE48" s="251">
        <f t="shared" si="259"/>
        <v>0</v>
      </c>
      <c r="AF48" s="251">
        <f t="shared" si="260"/>
        <v>0</v>
      </c>
      <c r="AG48" s="251">
        <f t="shared" si="261"/>
        <v>0</v>
      </c>
      <c r="AH48" s="251">
        <f t="shared" si="262"/>
        <v>44.008800000000008</v>
      </c>
      <c r="AI48" s="251">
        <f t="shared" si="263"/>
        <v>0</v>
      </c>
      <c r="AJ48" s="251">
        <f t="shared" si="264"/>
        <v>0</v>
      </c>
      <c r="AK48" s="251">
        <f t="shared" si="340"/>
        <v>0</v>
      </c>
      <c r="AL48" s="251">
        <f t="shared" si="265"/>
        <v>165.03300000000002</v>
      </c>
      <c r="AM48" s="251">
        <f>IF(IF(AND(K48&lt;=2.5,K48&gt;1.5),IF(Y48&gt;=3,L48*F48*1.5,K48*F48*(Y48-1.5)),0)&lt;0,0,IF(AND(K48&lt;=2.5,K48&gt;1.5),IF(Y48&gt;=3,L48*F48*1.5,K48*F48*(Y48-1.5)),0))+IF(R48&lt;H48,0,IF(AND(Y48&lt;=3,Y48&gt;1.5,K48&gt;1.5,K48&lt;=2.5),-U48,0))</f>
        <v>165.03300000000002</v>
      </c>
      <c r="AN48" s="251">
        <f>IF(AND(K48&lt;=2.5,Y48&gt;=4.5),L48*F48*1.5,IF(AND(K48&lt;=2.5,Y48&gt;3),K48*F48*(Y48-3),0))+IF(R48&lt;H48,0,IF(AND(Y48&lt;=4.5,Y48&gt;3,K48&gt;1.5,K48&lt;=2.5),-U48,0))</f>
        <v>22.334557848493624</v>
      </c>
      <c r="AO48" s="251">
        <f t="shared" si="266"/>
        <v>0</v>
      </c>
      <c r="AP48" s="251">
        <f t="shared" si="267"/>
        <v>0</v>
      </c>
      <c r="AQ48" s="251">
        <f t="shared" si="268"/>
        <v>0</v>
      </c>
      <c r="AR48" s="253">
        <f t="shared" si="269"/>
        <v>0</v>
      </c>
      <c r="AS48" s="253">
        <f t="shared" si="270"/>
        <v>1.1068879999999999</v>
      </c>
      <c r="AT48" s="253">
        <f t="shared" si="271"/>
        <v>379.12714250183086</v>
      </c>
      <c r="AU48" s="241">
        <f t="shared" si="272"/>
        <v>0</v>
      </c>
      <c r="AV48" s="246">
        <f t="shared" si="273"/>
        <v>16.503299999999999</v>
      </c>
      <c r="AW48" s="253">
        <f t="shared" si="274"/>
        <v>44.008800000000008</v>
      </c>
      <c r="AX48" s="253">
        <f t="shared" si="275"/>
        <v>0</v>
      </c>
      <c r="AY48" s="253">
        <f t="shared" si="276"/>
        <v>1.5</v>
      </c>
      <c r="AZ48" s="253">
        <f t="shared" si="277"/>
        <v>108.47302250183083</v>
      </c>
      <c r="BA48" s="253">
        <f t="shared" si="278"/>
        <v>0</v>
      </c>
      <c r="BB48" s="253">
        <f t="shared" si="279"/>
        <v>16.503299999999999</v>
      </c>
      <c r="BC48" s="253">
        <f t="shared" si="280"/>
        <v>16.503299999999999</v>
      </c>
      <c r="BD48" s="253">
        <f t="shared" si="281"/>
        <v>3.3006600000000001</v>
      </c>
      <c r="BE48" s="531">
        <f t="shared" si="282"/>
        <v>177.13541999999995</v>
      </c>
      <c r="BF48" s="253">
        <f t="shared" si="283"/>
        <v>183.41543534666278</v>
      </c>
      <c r="BG48" s="253">
        <f t="shared" si="284"/>
        <v>177.13541999999995</v>
      </c>
      <c r="BH48" s="253">
        <f t="shared" si="285"/>
        <v>6.2800153466628217</v>
      </c>
      <c r="BI48" s="253">
        <f t="shared" si="286"/>
        <v>0</v>
      </c>
      <c r="BJ48" s="241">
        <f t="shared" si="287"/>
        <v>0</v>
      </c>
      <c r="BK48" s="253">
        <f t="shared" si="288"/>
        <v>0</v>
      </c>
      <c r="BL48" s="253"/>
      <c r="BM48" s="253">
        <f t="shared" si="289"/>
        <v>2.4204840000000001</v>
      </c>
      <c r="BN48" s="252">
        <f t="shared" si="290"/>
        <v>0</v>
      </c>
      <c r="BO48" s="366">
        <f t="shared" si="291"/>
        <v>0</v>
      </c>
      <c r="BP48" s="366">
        <f t="shared" si="292"/>
        <v>0</v>
      </c>
      <c r="BQ48" s="366">
        <f t="shared" si="293"/>
        <v>0</v>
      </c>
      <c r="BR48" s="240">
        <f t="shared" si="294"/>
        <v>0</v>
      </c>
      <c r="BS48" s="240">
        <f t="shared" si="295"/>
        <v>0</v>
      </c>
      <c r="BT48" s="240">
        <f t="shared" si="296"/>
        <v>0</v>
      </c>
      <c r="BU48" s="240">
        <f t="shared" si="297"/>
        <v>0</v>
      </c>
      <c r="BV48" s="240">
        <f t="shared" si="298"/>
        <v>0</v>
      </c>
      <c r="BW48" s="240">
        <f t="shared" si="299"/>
        <v>0</v>
      </c>
      <c r="BX48" s="240">
        <f t="shared" si="300"/>
        <v>0</v>
      </c>
      <c r="BY48" s="240">
        <f t="shared" si="301"/>
        <v>0</v>
      </c>
      <c r="BZ48" s="240">
        <f t="shared" si="302"/>
        <v>0</v>
      </c>
      <c r="CA48" s="240">
        <f t="shared" si="303"/>
        <v>0</v>
      </c>
      <c r="CB48" s="240">
        <f t="shared" si="304"/>
        <v>0</v>
      </c>
      <c r="CC48" s="240">
        <f t="shared" si="305"/>
        <v>0</v>
      </c>
      <c r="CD48" s="240">
        <f t="shared" si="306"/>
        <v>0</v>
      </c>
      <c r="CE48" s="240">
        <f t="shared" si="307"/>
        <v>0</v>
      </c>
      <c r="CF48" s="240">
        <f t="shared" si="308"/>
        <v>3.56</v>
      </c>
      <c r="CG48" s="240">
        <f t="shared" si="309"/>
        <v>0</v>
      </c>
      <c r="CH48" s="240">
        <f t="shared" si="310"/>
        <v>50.01</v>
      </c>
      <c r="CI48" s="240">
        <f t="shared" si="311"/>
        <v>0</v>
      </c>
      <c r="CJ48" s="365">
        <f t="shared" si="312"/>
        <v>0</v>
      </c>
      <c r="CK48" s="240">
        <f t="shared" si="313"/>
        <v>0</v>
      </c>
      <c r="CL48" s="240">
        <f t="shared" si="314"/>
        <v>0</v>
      </c>
      <c r="CM48" s="240">
        <f t="shared" si="315"/>
        <v>0</v>
      </c>
      <c r="CN48" s="245">
        <f t="shared" si="316"/>
        <v>0</v>
      </c>
      <c r="CO48" s="245">
        <f t="shared" si="317"/>
        <v>0</v>
      </c>
      <c r="CP48" s="245">
        <f t="shared" si="318"/>
        <v>0</v>
      </c>
      <c r="CQ48" s="245">
        <f t="shared" si="319"/>
        <v>0</v>
      </c>
      <c r="CR48" s="245">
        <f t="shared" si="320"/>
        <v>0</v>
      </c>
      <c r="CS48" s="245">
        <f t="shared" si="321"/>
        <v>0</v>
      </c>
      <c r="CT48" s="364">
        <f t="shared" si="322"/>
        <v>0</v>
      </c>
      <c r="CU48" s="363">
        <f t="shared" si="323"/>
        <v>1</v>
      </c>
      <c r="CV48" s="363">
        <f t="shared" si="324"/>
        <v>0</v>
      </c>
      <c r="CW48" s="363">
        <f t="shared" si="325"/>
        <v>0</v>
      </c>
      <c r="CX48" s="363">
        <f t="shared" si="326"/>
        <v>0</v>
      </c>
      <c r="CY48" s="363">
        <f t="shared" si="327"/>
        <v>1</v>
      </c>
      <c r="CZ48" s="363">
        <f t="shared" si="328"/>
        <v>0</v>
      </c>
      <c r="DA48" s="362">
        <f t="shared" si="329"/>
        <v>1.17</v>
      </c>
      <c r="DB48" s="361">
        <v>1.3</v>
      </c>
      <c r="DC48" s="361">
        <v>1.4</v>
      </c>
      <c r="DD48" s="361">
        <v>2</v>
      </c>
      <c r="DE48" s="361">
        <v>2</v>
      </c>
      <c r="DF48" s="360">
        <v>2</v>
      </c>
      <c r="DG48" s="252">
        <f t="shared" si="330"/>
        <v>0</v>
      </c>
      <c r="DH48" s="360">
        <f t="shared" si="331"/>
        <v>0</v>
      </c>
      <c r="DI48" s="360">
        <f t="shared" si="332"/>
        <v>0</v>
      </c>
      <c r="DJ48" s="360">
        <f t="shared" si="333"/>
        <v>150.03</v>
      </c>
      <c r="DK48" s="360">
        <f t="shared" si="334"/>
        <v>150.03</v>
      </c>
      <c r="DL48" s="360">
        <f t="shared" si="335"/>
        <v>56.011200000000002</v>
      </c>
      <c r="DM48" s="360">
        <f t="shared" si="336"/>
        <v>0</v>
      </c>
      <c r="DN48" s="360">
        <f t="shared" si="337"/>
        <v>0</v>
      </c>
      <c r="DO48" s="360">
        <f t="shared" si="338"/>
        <v>0</v>
      </c>
      <c r="DP48" s="360">
        <f t="shared" si="339"/>
        <v>0</v>
      </c>
      <c r="DQ48" s="219"/>
    </row>
    <row r="49" spans="1:121" x14ac:dyDescent="0.25">
      <c r="A49" s="238" t="s">
        <v>2728</v>
      </c>
      <c r="B49" s="238"/>
      <c r="C49" s="238" t="str">
        <f>'Planilha Hidráulica'!B58</f>
        <v>PV1.2-&gt;PV2.2</v>
      </c>
      <c r="D49" s="239">
        <f>'Planilha Hidráulica'!T58</f>
        <v>3.64</v>
      </c>
      <c r="E49" s="239">
        <f>'Planilha Hidráulica'!U58</f>
        <v>3.35</v>
      </c>
      <c r="F49" s="239">
        <f>'Planilha Hidráulica'!L58</f>
        <v>40</v>
      </c>
      <c r="G49" s="238">
        <f>'Planilha Hidráulica'!N58</f>
        <v>1000</v>
      </c>
      <c r="H49" s="240">
        <f t="shared" si="243"/>
        <v>3.8450000000000002</v>
      </c>
      <c r="I49" s="241">
        <f t="shared" si="244"/>
        <v>7.69</v>
      </c>
      <c r="J49" s="368">
        <v>0</v>
      </c>
      <c r="K49" s="240">
        <f t="shared" si="245"/>
        <v>2</v>
      </c>
      <c r="L49" s="240">
        <f t="shared" si="246"/>
        <v>2</v>
      </c>
      <c r="M49" s="243">
        <f>'Planilha Hidráulica'!Z58</f>
        <v>1000</v>
      </c>
      <c r="N49" s="240">
        <f t="shared" si="247"/>
        <v>80</v>
      </c>
      <c r="O49" s="367" t="str">
        <f>'Planilha Hidráulica'!Y58</f>
        <v>ASFALTO</v>
      </c>
      <c r="P49" s="367" t="s">
        <v>2746</v>
      </c>
      <c r="Q49" s="367">
        <v>0</v>
      </c>
      <c r="R49" s="367">
        <v>5</v>
      </c>
      <c r="S49" s="367">
        <v>4.8</v>
      </c>
      <c r="T49" s="240">
        <f t="shared" si="248"/>
        <v>0.15</v>
      </c>
      <c r="U49" s="245">
        <f t="shared" si="249"/>
        <v>31.415926535897931</v>
      </c>
      <c r="V49" s="246">
        <f t="shared" si="250"/>
        <v>276.18407346410208</v>
      </c>
      <c r="W49" s="245">
        <f t="shared" si="251"/>
        <v>0</v>
      </c>
      <c r="X49" s="247">
        <f t="shared" si="252"/>
        <v>0</v>
      </c>
      <c r="Y49" s="245">
        <f t="shared" si="253"/>
        <v>3.8450000000000002</v>
      </c>
      <c r="Z49" s="245">
        <f t="shared" si="254"/>
        <v>0</v>
      </c>
      <c r="AA49" s="252">
        <f t="shared" si="255"/>
        <v>80</v>
      </c>
      <c r="AB49" s="361">
        <f t="shared" si="256"/>
        <v>0</v>
      </c>
      <c r="AC49" s="251">
        <f t="shared" si="257"/>
        <v>0</v>
      </c>
      <c r="AD49" s="251">
        <f t="shared" si="258"/>
        <v>0</v>
      </c>
      <c r="AE49" s="251">
        <f t="shared" si="259"/>
        <v>0</v>
      </c>
      <c r="AF49" s="251">
        <f t="shared" si="260"/>
        <v>0</v>
      </c>
      <c r="AG49" s="251">
        <f t="shared" si="261"/>
        <v>0</v>
      </c>
      <c r="AH49" s="251">
        <f t="shared" si="262"/>
        <v>0</v>
      </c>
      <c r="AI49" s="251">
        <f t="shared" si="263"/>
        <v>0</v>
      </c>
      <c r="AJ49" s="251">
        <f t="shared" si="264"/>
        <v>0</v>
      </c>
      <c r="AK49" s="251">
        <f t="shared" si="340"/>
        <v>0</v>
      </c>
      <c r="AL49" s="251">
        <f t="shared" si="265"/>
        <v>120</v>
      </c>
      <c r="AM49" s="251">
        <f>IF(IF(AND(K49&lt;=2.5,K49&gt;1.5),IF(Y49&gt;=3,L49*F49*1.5,K49*F49*(Y49-1.5)),0)&lt;0,0,IF(AND(K49&lt;=2.5,K49&gt;1.5),IF(Y49&gt;=3,L49*F49*1.5,K49*F49*(Y49-1.5)),0))+IF(R49&lt;H49,0,IF(AND(Y49&lt;=3,Y49&gt;1.5,K49&gt;1.5,K49&lt;=2.5),-U49,0))</f>
        <v>120</v>
      </c>
      <c r="AN49" s="251">
        <f>IF(AND(K49&lt;=2.5,Y49&gt;=4.5),L49*F49*1.5,IF(AND(K49&lt;=2.5,Y49&gt;3),K49*F49*(Y49-3),0))+IF(R49&lt;H49,0,IF(AND(Y49&lt;=4.5,Y49&gt;3,K49&gt;1.5,K49&lt;=2.5),-U49,0))</f>
        <v>36.184073464102092</v>
      </c>
      <c r="AO49" s="251">
        <f t="shared" si="266"/>
        <v>0</v>
      </c>
      <c r="AP49" s="251">
        <f t="shared" si="267"/>
        <v>0</v>
      </c>
      <c r="AQ49" s="251">
        <f t="shared" si="268"/>
        <v>0</v>
      </c>
      <c r="AR49" s="253">
        <f t="shared" si="269"/>
        <v>0</v>
      </c>
      <c r="AS49" s="253">
        <f t="shared" si="270"/>
        <v>0</v>
      </c>
      <c r="AT49" s="253">
        <f t="shared" si="271"/>
        <v>276.18407346410208</v>
      </c>
      <c r="AU49" s="241">
        <f t="shared" si="272"/>
        <v>0</v>
      </c>
      <c r="AV49" s="246">
        <f t="shared" si="273"/>
        <v>12</v>
      </c>
      <c r="AW49" s="253">
        <f t="shared" si="274"/>
        <v>0</v>
      </c>
      <c r="AX49" s="253">
        <f t="shared" si="275"/>
        <v>0</v>
      </c>
      <c r="AY49" s="253">
        <f t="shared" si="276"/>
        <v>1.3</v>
      </c>
      <c r="AZ49" s="253">
        <f t="shared" si="277"/>
        <v>72.584073464102062</v>
      </c>
      <c r="BA49" s="253">
        <f t="shared" si="278"/>
        <v>0</v>
      </c>
      <c r="BB49" s="253">
        <f t="shared" si="279"/>
        <v>12</v>
      </c>
      <c r="BC49" s="253">
        <f t="shared" si="280"/>
        <v>12</v>
      </c>
      <c r="BD49" s="253">
        <f t="shared" si="281"/>
        <v>2.4</v>
      </c>
      <c r="BE49" s="531">
        <f t="shared" si="282"/>
        <v>167.60000000000002</v>
      </c>
      <c r="BF49" s="253">
        <f t="shared" si="283"/>
        <v>191.60000000000002</v>
      </c>
      <c r="BG49" s="253">
        <f t="shared" si="284"/>
        <v>167.60000000000002</v>
      </c>
      <c r="BH49" s="253">
        <f t="shared" si="285"/>
        <v>24</v>
      </c>
      <c r="BI49" s="253">
        <f t="shared" si="286"/>
        <v>0</v>
      </c>
      <c r="BJ49" s="241">
        <f t="shared" si="287"/>
        <v>0</v>
      </c>
      <c r="BK49" s="253">
        <f t="shared" si="288"/>
        <v>0</v>
      </c>
      <c r="BL49" s="253"/>
      <c r="BM49" s="253">
        <f t="shared" si="289"/>
        <v>0.48</v>
      </c>
      <c r="BN49" s="252">
        <f t="shared" si="290"/>
        <v>0</v>
      </c>
      <c r="BO49" s="366">
        <f t="shared" si="291"/>
        <v>0</v>
      </c>
      <c r="BP49" s="366">
        <f t="shared" si="292"/>
        <v>0</v>
      </c>
      <c r="BQ49" s="366">
        <f t="shared" si="293"/>
        <v>0</v>
      </c>
      <c r="BR49" s="240">
        <f t="shared" si="294"/>
        <v>0</v>
      </c>
      <c r="BS49" s="240">
        <f t="shared" si="295"/>
        <v>0</v>
      </c>
      <c r="BT49" s="240">
        <f t="shared" si="296"/>
        <v>0</v>
      </c>
      <c r="BU49" s="240">
        <f t="shared" si="297"/>
        <v>0</v>
      </c>
      <c r="BV49" s="240">
        <f t="shared" si="298"/>
        <v>0</v>
      </c>
      <c r="BW49" s="240">
        <f t="shared" si="299"/>
        <v>0</v>
      </c>
      <c r="BX49" s="240">
        <f t="shared" si="300"/>
        <v>0</v>
      </c>
      <c r="BY49" s="240">
        <f t="shared" si="301"/>
        <v>0</v>
      </c>
      <c r="BZ49" s="240">
        <f t="shared" si="302"/>
        <v>0</v>
      </c>
      <c r="CA49" s="240">
        <f t="shared" si="303"/>
        <v>0</v>
      </c>
      <c r="CB49" s="240">
        <f t="shared" si="304"/>
        <v>3.8450000000000002</v>
      </c>
      <c r="CC49" s="240">
        <f t="shared" si="305"/>
        <v>0</v>
      </c>
      <c r="CD49" s="240">
        <f t="shared" si="306"/>
        <v>40</v>
      </c>
      <c r="CE49" s="240">
        <f t="shared" si="307"/>
        <v>0</v>
      </c>
      <c r="CF49" s="240">
        <f t="shared" si="308"/>
        <v>0</v>
      </c>
      <c r="CG49" s="240">
        <f t="shared" si="309"/>
        <v>0</v>
      </c>
      <c r="CH49" s="240">
        <f t="shared" si="310"/>
        <v>0</v>
      </c>
      <c r="CI49" s="240">
        <f t="shared" si="311"/>
        <v>0</v>
      </c>
      <c r="CJ49" s="365">
        <f t="shared" si="312"/>
        <v>0</v>
      </c>
      <c r="CK49" s="240">
        <f t="shared" si="313"/>
        <v>0</v>
      </c>
      <c r="CL49" s="240">
        <f t="shared" si="314"/>
        <v>0</v>
      </c>
      <c r="CM49" s="240">
        <f t="shared" si="315"/>
        <v>0</v>
      </c>
      <c r="CN49" s="245">
        <f t="shared" si="316"/>
        <v>0</v>
      </c>
      <c r="CO49" s="245">
        <f t="shared" si="317"/>
        <v>0</v>
      </c>
      <c r="CP49" s="245">
        <f t="shared" si="318"/>
        <v>0</v>
      </c>
      <c r="CQ49" s="245">
        <f t="shared" si="319"/>
        <v>0</v>
      </c>
      <c r="CR49" s="245">
        <f t="shared" si="320"/>
        <v>0</v>
      </c>
      <c r="CS49" s="245">
        <f t="shared" si="321"/>
        <v>0</v>
      </c>
      <c r="CT49" s="364">
        <f t="shared" si="322"/>
        <v>0</v>
      </c>
      <c r="CU49" s="363">
        <f t="shared" si="323"/>
        <v>1</v>
      </c>
      <c r="CV49" s="363">
        <f t="shared" si="324"/>
        <v>0</v>
      </c>
      <c r="CW49" s="363">
        <f t="shared" si="325"/>
        <v>0</v>
      </c>
      <c r="CX49" s="363">
        <f t="shared" si="326"/>
        <v>1</v>
      </c>
      <c r="CY49" s="363">
        <f t="shared" si="327"/>
        <v>0</v>
      </c>
      <c r="CZ49" s="363">
        <f t="shared" si="328"/>
        <v>0</v>
      </c>
      <c r="DA49" s="362">
        <f t="shared" si="329"/>
        <v>1.6400000000000001</v>
      </c>
      <c r="DB49" s="361">
        <v>1.3</v>
      </c>
      <c r="DC49" s="361">
        <v>1.4</v>
      </c>
      <c r="DD49" s="361">
        <v>2</v>
      </c>
      <c r="DE49" s="361">
        <v>2</v>
      </c>
      <c r="DF49" s="360">
        <v>2</v>
      </c>
      <c r="DG49" s="252">
        <f t="shared" si="330"/>
        <v>0</v>
      </c>
      <c r="DH49" s="360">
        <f t="shared" si="331"/>
        <v>0</v>
      </c>
      <c r="DI49" s="360">
        <f t="shared" si="332"/>
        <v>0</v>
      </c>
      <c r="DJ49" s="360">
        <f t="shared" si="333"/>
        <v>120</v>
      </c>
      <c r="DK49" s="360">
        <f t="shared" si="334"/>
        <v>120</v>
      </c>
      <c r="DL49" s="360">
        <f t="shared" si="335"/>
        <v>67.600000000000023</v>
      </c>
      <c r="DM49" s="360">
        <f t="shared" si="336"/>
        <v>0</v>
      </c>
      <c r="DN49" s="360">
        <f t="shared" si="337"/>
        <v>0</v>
      </c>
      <c r="DO49" s="360">
        <f t="shared" si="338"/>
        <v>0</v>
      </c>
      <c r="DP49" s="360">
        <f t="shared" si="339"/>
        <v>0</v>
      </c>
      <c r="DQ49" s="219"/>
    </row>
    <row r="50" spans="1:121" x14ac:dyDescent="0.25">
      <c r="A50" s="238" t="s">
        <v>2728</v>
      </c>
      <c r="B50" s="238"/>
      <c r="C50" s="238" t="str">
        <f>'Planilha Hidráulica'!B59</f>
        <v>PV2.2-&gt;PV3.2</v>
      </c>
      <c r="D50" s="239">
        <f>'Planilha Hidráulica'!T59</f>
        <v>3.35</v>
      </c>
      <c r="E50" s="239">
        <f>'Planilha Hidráulica'!U59</f>
        <v>3.05</v>
      </c>
      <c r="F50" s="239">
        <f>'Planilha Hidráulica'!L59</f>
        <v>40</v>
      </c>
      <c r="G50" s="238">
        <f>'Planilha Hidráulica'!N59</f>
        <v>1000</v>
      </c>
      <c r="H50" s="240">
        <f t="shared" si="243"/>
        <v>3.5500000000000003</v>
      </c>
      <c r="I50" s="241">
        <f t="shared" si="244"/>
        <v>7.1</v>
      </c>
      <c r="J50" s="368">
        <v>0</v>
      </c>
      <c r="K50" s="240">
        <f t="shared" si="245"/>
        <v>2</v>
      </c>
      <c r="L50" s="240">
        <f t="shared" si="246"/>
        <v>2</v>
      </c>
      <c r="M50" s="243">
        <f>'Planilha Hidráulica'!Z59</f>
        <v>1000</v>
      </c>
      <c r="N50" s="240">
        <f t="shared" si="247"/>
        <v>80</v>
      </c>
      <c r="O50" s="367" t="str">
        <f>'Planilha Hidráulica'!Y59</f>
        <v>ASFALTO</v>
      </c>
      <c r="P50" s="367" t="s">
        <v>2746</v>
      </c>
      <c r="Q50" s="367">
        <v>0</v>
      </c>
      <c r="R50" s="367">
        <v>5</v>
      </c>
      <c r="S50" s="367">
        <v>4.8</v>
      </c>
      <c r="T50" s="240">
        <f t="shared" si="248"/>
        <v>0.15</v>
      </c>
      <c r="U50" s="245">
        <f t="shared" si="249"/>
        <v>31.415926535897931</v>
      </c>
      <c r="V50" s="246">
        <f t="shared" si="250"/>
        <v>252.58407346410206</v>
      </c>
      <c r="W50" s="245">
        <f t="shared" si="251"/>
        <v>0</v>
      </c>
      <c r="X50" s="247">
        <f t="shared" si="252"/>
        <v>0</v>
      </c>
      <c r="Y50" s="245">
        <f t="shared" si="253"/>
        <v>3.5500000000000003</v>
      </c>
      <c r="Z50" s="245">
        <f t="shared" si="254"/>
        <v>0</v>
      </c>
      <c r="AA50" s="252">
        <f t="shared" si="255"/>
        <v>80</v>
      </c>
      <c r="AB50" s="361">
        <f t="shared" si="256"/>
        <v>0</v>
      </c>
      <c r="AC50" s="251">
        <f t="shared" si="257"/>
        <v>0</v>
      </c>
      <c r="AD50" s="251">
        <f t="shared" si="258"/>
        <v>0</v>
      </c>
      <c r="AE50" s="251">
        <f t="shared" si="259"/>
        <v>0</v>
      </c>
      <c r="AF50" s="251">
        <f t="shared" si="260"/>
        <v>0</v>
      </c>
      <c r="AG50" s="251">
        <f t="shared" si="261"/>
        <v>0</v>
      </c>
      <c r="AH50" s="251">
        <f t="shared" si="262"/>
        <v>0</v>
      </c>
      <c r="AI50" s="251">
        <f t="shared" si="263"/>
        <v>0</v>
      </c>
      <c r="AJ50" s="251">
        <f t="shared" si="264"/>
        <v>0</v>
      </c>
      <c r="AK50" s="251">
        <f t="shared" si="340"/>
        <v>0</v>
      </c>
      <c r="AL50" s="251">
        <f t="shared" si="265"/>
        <v>120</v>
      </c>
      <c r="AM50" s="251">
        <f>IF(IF(AND(K50&lt;=2.5,K50&gt;1.5),IF(Y50&gt;=3,L50*F50*1.5,K50*F50*(Y50-1.5)),0)&lt;0,0,IF(AND(K50&lt;=2.5,K50&gt;1.5),IF(Y50&gt;=3,L50*F50*1.5,K50*F50*(Y50-1.5)),0))+IF(R50&lt;H50,0,IF(AND(Y50&lt;=3,Y50&gt;1.5,K50&gt;1.5,K50&lt;=2.5),-U50,0))</f>
        <v>120</v>
      </c>
      <c r="AN50" s="251">
        <f>IF(AND(K50&lt;=2.5,Y50&gt;=4.5),L50*F50*1.5,IF(AND(K50&lt;=2.5,Y50&gt;3),K50*F50*(Y50-3),0))+IF(R50&lt;H50,0,IF(AND(Y50&lt;=4.5,Y50&gt;3,K50&gt;1.5,K50&lt;=2.5),-U50,0))</f>
        <v>12.58407346410209</v>
      </c>
      <c r="AO50" s="251">
        <f t="shared" si="266"/>
        <v>0</v>
      </c>
      <c r="AP50" s="251">
        <f t="shared" si="267"/>
        <v>0</v>
      </c>
      <c r="AQ50" s="251">
        <f t="shared" si="268"/>
        <v>0</v>
      </c>
      <c r="AR50" s="253">
        <f t="shared" si="269"/>
        <v>0</v>
      </c>
      <c r="AS50" s="253">
        <f t="shared" si="270"/>
        <v>0</v>
      </c>
      <c r="AT50" s="253">
        <f t="shared" si="271"/>
        <v>252.58407346410206</v>
      </c>
      <c r="AU50" s="241">
        <f t="shared" si="272"/>
        <v>0</v>
      </c>
      <c r="AV50" s="246">
        <f t="shared" si="273"/>
        <v>12</v>
      </c>
      <c r="AW50" s="253">
        <f t="shared" si="274"/>
        <v>0</v>
      </c>
      <c r="AX50" s="253">
        <f t="shared" si="275"/>
        <v>0</v>
      </c>
      <c r="AY50" s="253">
        <f t="shared" si="276"/>
        <v>1.3</v>
      </c>
      <c r="AZ50" s="253">
        <f t="shared" si="277"/>
        <v>72.584073464102062</v>
      </c>
      <c r="BA50" s="253">
        <f t="shared" si="278"/>
        <v>0</v>
      </c>
      <c r="BB50" s="253">
        <f t="shared" si="279"/>
        <v>12</v>
      </c>
      <c r="BC50" s="253">
        <f t="shared" si="280"/>
        <v>12</v>
      </c>
      <c r="BD50" s="253">
        <f t="shared" si="281"/>
        <v>2.4</v>
      </c>
      <c r="BE50" s="531">
        <f t="shared" si="282"/>
        <v>144</v>
      </c>
      <c r="BF50" s="253">
        <f t="shared" si="283"/>
        <v>168.00000000000003</v>
      </c>
      <c r="BG50" s="253">
        <f t="shared" si="284"/>
        <v>144</v>
      </c>
      <c r="BH50" s="253">
        <f t="shared" si="285"/>
        <v>24.000000000000028</v>
      </c>
      <c r="BI50" s="253">
        <f t="shared" si="286"/>
        <v>0</v>
      </c>
      <c r="BJ50" s="241">
        <f t="shared" si="287"/>
        <v>0</v>
      </c>
      <c r="BK50" s="253">
        <f t="shared" si="288"/>
        <v>0</v>
      </c>
      <c r="BL50" s="253"/>
      <c r="BM50" s="253">
        <f t="shared" si="289"/>
        <v>0.48</v>
      </c>
      <c r="BN50" s="252">
        <f t="shared" si="290"/>
        <v>0</v>
      </c>
      <c r="BO50" s="366">
        <f t="shared" si="291"/>
        <v>0</v>
      </c>
      <c r="BP50" s="366">
        <f t="shared" si="292"/>
        <v>0</v>
      </c>
      <c r="BQ50" s="366">
        <f t="shared" si="293"/>
        <v>0</v>
      </c>
      <c r="BR50" s="240">
        <f t="shared" si="294"/>
        <v>0</v>
      </c>
      <c r="BS50" s="240">
        <f t="shared" si="295"/>
        <v>0</v>
      </c>
      <c r="BT50" s="240">
        <f t="shared" si="296"/>
        <v>0</v>
      </c>
      <c r="BU50" s="240">
        <f t="shared" si="297"/>
        <v>0</v>
      </c>
      <c r="BV50" s="240">
        <f t="shared" si="298"/>
        <v>0</v>
      </c>
      <c r="BW50" s="240">
        <f t="shared" si="299"/>
        <v>0</v>
      </c>
      <c r="BX50" s="240">
        <f t="shared" si="300"/>
        <v>0</v>
      </c>
      <c r="BY50" s="240">
        <f t="shared" si="301"/>
        <v>0</v>
      </c>
      <c r="BZ50" s="240">
        <f t="shared" si="302"/>
        <v>0</v>
      </c>
      <c r="CA50" s="240">
        <f t="shared" si="303"/>
        <v>0</v>
      </c>
      <c r="CB50" s="240">
        <f t="shared" si="304"/>
        <v>3.5500000000000003</v>
      </c>
      <c r="CC50" s="240">
        <f t="shared" si="305"/>
        <v>0</v>
      </c>
      <c r="CD50" s="240">
        <f t="shared" si="306"/>
        <v>40</v>
      </c>
      <c r="CE50" s="240">
        <f t="shared" si="307"/>
        <v>0</v>
      </c>
      <c r="CF50" s="240">
        <f t="shared" si="308"/>
        <v>0</v>
      </c>
      <c r="CG50" s="240">
        <f t="shared" si="309"/>
        <v>0</v>
      </c>
      <c r="CH50" s="240">
        <f t="shared" si="310"/>
        <v>0</v>
      </c>
      <c r="CI50" s="240">
        <f t="shared" si="311"/>
        <v>0</v>
      </c>
      <c r="CJ50" s="365">
        <f t="shared" si="312"/>
        <v>0</v>
      </c>
      <c r="CK50" s="240">
        <f t="shared" si="313"/>
        <v>0</v>
      </c>
      <c r="CL50" s="240">
        <f t="shared" si="314"/>
        <v>0</v>
      </c>
      <c r="CM50" s="240">
        <f t="shared" si="315"/>
        <v>0</v>
      </c>
      <c r="CN50" s="245">
        <f t="shared" si="316"/>
        <v>0</v>
      </c>
      <c r="CO50" s="245">
        <f t="shared" si="317"/>
        <v>0</v>
      </c>
      <c r="CP50" s="245">
        <f t="shared" si="318"/>
        <v>0</v>
      </c>
      <c r="CQ50" s="245">
        <f t="shared" si="319"/>
        <v>0</v>
      </c>
      <c r="CR50" s="245">
        <f t="shared" si="320"/>
        <v>0</v>
      </c>
      <c r="CS50" s="245">
        <f t="shared" si="321"/>
        <v>0</v>
      </c>
      <c r="CT50" s="364">
        <f t="shared" si="322"/>
        <v>0</v>
      </c>
      <c r="CU50" s="363">
        <f t="shared" si="323"/>
        <v>1</v>
      </c>
      <c r="CV50" s="363">
        <f t="shared" si="324"/>
        <v>0</v>
      </c>
      <c r="CW50" s="363">
        <f t="shared" si="325"/>
        <v>0</v>
      </c>
      <c r="CX50" s="363">
        <f t="shared" si="326"/>
        <v>1</v>
      </c>
      <c r="CY50" s="363">
        <f t="shared" si="327"/>
        <v>0</v>
      </c>
      <c r="CZ50" s="363">
        <f t="shared" si="328"/>
        <v>0</v>
      </c>
      <c r="DA50" s="362">
        <f t="shared" si="329"/>
        <v>1.35</v>
      </c>
      <c r="DB50" s="361">
        <v>1.3</v>
      </c>
      <c r="DC50" s="361">
        <v>1.4</v>
      </c>
      <c r="DD50" s="361">
        <v>2</v>
      </c>
      <c r="DE50" s="361">
        <v>2</v>
      </c>
      <c r="DF50" s="360">
        <v>2</v>
      </c>
      <c r="DG50" s="252">
        <f t="shared" si="330"/>
        <v>0</v>
      </c>
      <c r="DH50" s="360">
        <f t="shared" si="331"/>
        <v>0</v>
      </c>
      <c r="DI50" s="360">
        <f t="shared" si="332"/>
        <v>0</v>
      </c>
      <c r="DJ50" s="360">
        <f t="shared" si="333"/>
        <v>120</v>
      </c>
      <c r="DK50" s="360">
        <f t="shared" si="334"/>
        <v>120</v>
      </c>
      <c r="DL50" s="360">
        <f t="shared" si="335"/>
        <v>44.000000000000021</v>
      </c>
      <c r="DM50" s="360">
        <f t="shared" si="336"/>
        <v>0</v>
      </c>
      <c r="DN50" s="360">
        <f t="shared" si="337"/>
        <v>0</v>
      </c>
      <c r="DO50" s="360">
        <f t="shared" si="338"/>
        <v>0</v>
      </c>
      <c r="DP50" s="360">
        <f t="shared" si="339"/>
        <v>0</v>
      </c>
      <c r="DQ50" s="219"/>
    </row>
    <row r="51" spans="1:121" x14ac:dyDescent="0.25">
      <c r="A51" s="238" t="s">
        <v>2728</v>
      </c>
      <c r="B51" s="238"/>
      <c r="C51" s="238" t="str">
        <f>'Planilha Hidráulica'!B60</f>
        <v>PV3.2-&gt;PV4.2</v>
      </c>
      <c r="D51" s="239">
        <f>'Planilha Hidráulica'!T60</f>
        <v>3.05</v>
      </c>
      <c r="E51" s="239">
        <f>'Planilha Hidráulica'!U60</f>
        <v>3.02</v>
      </c>
      <c r="F51" s="239">
        <f>'Planilha Hidráulica'!L60</f>
        <v>60</v>
      </c>
      <c r="G51" s="238">
        <f>'Planilha Hidráulica'!N60</f>
        <v>1000</v>
      </c>
      <c r="H51" s="240">
        <f t="shared" si="243"/>
        <v>3.3850000000000002</v>
      </c>
      <c r="I51" s="241">
        <f t="shared" si="244"/>
        <v>10.155000000000001</v>
      </c>
      <c r="J51" s="368">
        <v>0</v>
      </c>
      <c r="K51" s="240">
        <f t="shared" si="245"/>
        <v>2</v>
      </c>
      <c r="L51" s="240">
        <f t="shared" si="246"/>
        <v>2</v>
      </c>
      <c r="M51" s="243">
        <f>'Planilha Hidráulica'!Z60</f>
        <v>1000</v>
      </c>
      <c r="N51" s="240">
        <f t="shared" si="247"/>
        <v>120</v>
      </c>
      <c r="O51" s="367" t="str">
        <f>'Planilha Hidráulica'!Y60</f>
        <v>ASFALTO</v>
      </c>
      <c r="P51" s="367" t="s">
        <v>2746</v>
      </c>
      <c r="Q51" s="367">
        <v>0</v>
      </c>
      <c r="R51" s="367">
        <v>5</v>
      </c>
      <c r="S51" s="367">
        <v>4.8</v>
      </c>
      <c r="T51" s="240">
        <f t="shared" si="248"/>
        <v>0.15</v>
      </c>
      <c r="U51" s="245">
        <f t="shared" si="249"/>
        <v>47.123889803846893</v>
      </c>
      <c r="V51" s="246">
        <f t="shared" si="250"/>
        <v>359.07611019615314</v>
      </c>
      <c r="W51" s="245">
        <f t="shared" si="251"/>
        <v>0</v>
      </c>
      <c r="X51" s="247">
        <f t="shared" si="252"/>
        <v>0</v>
      </c>
      <c r="Y51" s="245">
        <f t="shared" si="253"/>
        <v>3.3850000000000002</v>
      </c>
      <c r="Z51" s="245">
        <f t="shared" si="254"/>
        <v>0</v>
      </c>
      <c r="AA51" s="252">
        <f t="shared" si="255"/>
        <v>120</v>
      </c>
      <c r="AB51" s="361">
        <f t="shared" si="256"/>
        <v>0</v>
      </c>
      <c r="AC51" s="251">
        <f t="shared" si="257"/>
        <v>0</v>
      </c>
      <c r="AD51" s="251">
        <f t="shared" si="258"/>
        <v>0</v>
      </c>
      <c r="AE51" s="251">
        <f t="shared" si="259"/>
        <v>0</v>
      </c>
      <c r="AF51" s="251">
        <f t="shared" si="260"/>
        <v>0</v>
      </c>
      <c r="AG51" s="251">
        <f t="shared" si="261"/>
        <v>0</v>
      </c>
      <c r="AH51" s="251">
        <f t="shared" si="262"/>
        <v>0</v>
      </c>
      <c r="AI51" s="251">
        <f t="shared" si="263"/>
        <v>0</v>
      </c>
      <c r="AJ51" s="251">
        <f t="shared" si="264"/>
        <v>0</v>
      </c>
      <c r="AK51" s="251">
        <f t="shared" si="340"/>
        <v>0</v>
      </c>
      <c r="AL51" s="251">
        <f t="shared" si="265"/>
        <v>180</v>
      </c>
      <c r="AM51" s="251">
        <f>IF(IF(AND(K51&lt;=2.5,K51&gt;1.5),IF(Y51&gt;=3,L51*F51*1.5,K51*F51*(Y51-1.5)),0)&lt;0,0,IF(AND(K51&lt;=2.5,K51&gt;1.5),IF(Y51&gt;=3,L51*F51*1.5,K51*F51*(Y51-1.5)),0))-U51</f>
        <v>132.87611019615309</v>
      </c>
      <c r="AN51" s="251">
        <f>IF(AND(K51&lt;=2.5,Y51&gt;=4.5),L51*F51*1.5,IF(AND(K51&lt;=2.5,Y51&gt;3),K51*F51*(Y51-3),0))</f>
        <v>46.200000000000031</v>
      </c>
      <c r="AO51" s="251">
        <f t="shared" si="266"/>
        <v>0</v>
      </c>
      <c r="AP51" s="251">
        <f t="shared" si="267"/>
        <v>0</v>
      </c>
      <c r="AQ51" s="251">
        <f t="shared" si="268"/>
        <v>0</v>
      </c>
      <c r="AR51" s="253">
        <f t="shared" si="269"/>
        <v>0</v>
      </c>
      <c r="AS51" s="253">
        <f t="shared" si="270"/>
        <v>0</v>
      </c>
      <c r="AT51" s="253">
        <f t="shared" si="271"/>
        <v>359.07611019615314</v>
      </c>
      <c r="AU51" s="241">
        <f t="shared" si="272"/>
        <v>0</v>
      </c>
      <c r="AV51" s="246">
        <f t="shared" si="273"/>
        <v>18</v>
      </c>
      <c r="AW51" s="253">
        <f t="shared" si="274"/>
        <v>0</v>
      </c>
      <c r="AX51" s="253">
        <f t="shared" si="275"/>
        <v>0</v>
      </c>
      <c r="AY51" s="253">
        <f t="shared" si="276"/>
        <v>1.3</v>
      </c>
      <c r="AZ51" s="253">
        <f t="shared" si="277"/>
        <v>108.87611019615311</v>
      </c>
      <c r="BA51" s="253">
        <f t="shared" si="278"/>
        <v>0</v>
      </c>
      <c r="BB51" s="253">
        <f t="shared" si="279"/>
        <v>18</v>
      </c>
      <c r="BC51" s="253">
        <f t="shared" si="280"/>
        <v>18</v>
      </c>
      <c r="BD51" s="253">
        <f t="shared" si="281"/>
        <v>3.5999999999999996</v>
      </c>
      <c r="BE51" s="531">
        <f t="shared" si="282"/>
        <v>196.20000000000005</v>
      </c>
      <c r="BF51" s="253">
        <f t="shared" si="283"/>
        <v>232.20000000000005</v>
      </c>
      <c r="BG51" s="253">
        <f t="shared" si="284"/>
        <v>196.20000000000005</v>
      </c>
      <c r="BH51" s="253">
        <f t="shared" si="285"/>
        <v>36</v>
      </c>
      <c r="BI51" s="253">
        <f t="shared" si="286"/>
        <v>0</v>
      </c>
      <c r="BJ51" s="241">
        <f t="shared" si="287"/>
        <v>0</v>
      </c>
      <c r="BK51" s="253">
        <f t="shared" si="288"/>
        <v>0</v>
      </c>
      <c r="BL51" s="253"/>
      <c r="BM51" s="253">
        <f t="shared" si="289"/>
        <v>0.72</v>
      </c>
      <c r="BN51" s="252">
        <f t="shared" si="290"/>
        <v>0</v>
      </c>
      <c r="BO51" s="366">
        <f t="shared" si="291"/>
        <v>0</v>
      </c>
      <c r="BP51" s="366">
        <f t="shared" si="292"/>
        <v>0</v>
      </c>
      <c r="BQ51" s="366">
        <f t="shared" si="293"/>
        <v>0</v>
      </c>
      <c r="BR51" s="240">
        <f t="shared" si="294"/>
        <v>0</v>
      </c>
      <c r="BS51" s="240">
        <f t="shared" si="295"/>
        <v>0</v>
      </c>
      <c r="BT51" s="240">
        <f t="shared" si="296"/>
        <v>0</v>
      </c>
      <c r="BU51" s="240">
        <f t="shared" si="297"/>
        <v>0</v>
      </c>
      <c r="BV51" s="240">
        <f t="shared" si="298"/>
        <v>0</v>
      </c>
      <c r="BW51" s="240">
        <f t="shared" si="299"/>
        <v>0</v>
      </c>
      <c r="BX51" s="240">
        <f t="shared" si="300"/>
        <v>0</v>
      </c>
      <c r="BY51" s="240">
        <f t="shared" si="301"/>
        <v>0</v>
      </c>
      <c r="BZ51" s="240">
        <f t="shared" si="302"/>
        <v>0</v>
      </c>
      <c r="CA51" s="240">
        <f t="shared" si="303"/>
        <v>0</v>
      </c>
      <c r="CB51" s="240">
        <f t="shared" si="304"/>
        <v>3.3850000000000002</v>
      </c>
      <c r="CC51" s="240">
        <f t="shared" si="305"/>
        <v>0</v>
      </c>
      <c r="CD51" s="240">
        <f t="shared" si="306"/>
        <v>60</v>
      </c>
      <c r="CE51" s="240">
        <f t="shared" si="307"/>
        <v>0</v>
      </c>
      <c r="CF51" s="240">
        <f t="shared" si="308"/>
        <v>0</v>
      </c>
      <c r="CG51" s="240">
        <f t="shared" si="309"/>
        <v>0</v>
      </c>
      <c r="CH51" s="240">
        <f t="shared" si="310"/>
        <v>0</v>
      </c>
      <c r="CI51" s="240">
        <f t="shared" si="311"/>
        <v>0</v>
      </c>
      <c r="CJ51" s="365">
        <f t="shared" si="312"/>
        <v>0</v>
      </c>
      <c r="CK51" s="240">
        <f t="shared" si="313"/>
        <v>0</v>
      </c>
      <c r="CL51" s="240">
        <f t="shared" si="314"/>
        <v>0</v>
      </c>
      <c r="CM51" s="240">
        <f t="shared" si="315"/>
        <v>0</v>
      </c>
      <c r="CN51" s="245">
        <f t="shared" si="316"/>
        <v>0</v>
      </c>
      <c r="CO51" s="245">
        <f t="shared" si="317"/>
        <v>0</v>
      </c>
      <c r="CP51" s="245">
        <f t="shared" si="318"/>
        <v>0</v>
      </c>
      <c r="CQ51" s="245">
        <f t="shared" si="319"/>
        <v>0</v>
      </c>
      <c r="CR51" s="245">
        <f t="shared" si="320"/>
        <v>0</v>
      </c>
      <c r="CS51" s="245">
        <f t="shared" si="321"/>
        <v>0</v>
      </c>
      <c r="CT51" s="364">
        <f t="shared" si="322"/>
        <v>0</v>
      </c>
      <c r="CU51" s="363">
        <f t="shared" si="323"/>
        <v>1</v>
      </c>
      <c r="CV51" s="363">
        <f t="shared" si="324"/>
        <v>0</v>
      </c>
      <c r="CW51" s="363">
        <f t="shared" si="325"/>
        <v>0</v>
      </c>
      <c r="CX51" s="363">
        <f t="shared" si="326"/>
        <v>1</v>
      </c>
      <c r="CY51" s="363">
        <f t="shared" si="327"/>
        <v>0</v>
      </c>
      <c r="CZ51" s="363">
        <f t="shared" si="328"/>
        <v>0</v>
      </c>
      <c r="DA51" s="362">
        <f t="shared" si="329"/>
        <v>1.0499999999999998</v>
      </c>
      <c r="DB51" s="361">
        <v>1.3</v>
      </c>
      <c r="DC51" s="361">
        <v>1.4</v>
      </c>
      <c r="DD51" s="361">
        <v>2</v>
      </c>
      <c r="DE51" s="361">
        <v>2</v>
      </c>
      <c r="DF51" s="360">
        <v>2</v>
      </c>
      <c r="DG51" s="252">
        <f t="shared" si="330"/>
        <v>0</v>
      </c>
      <c r="DH51" s="360">
        <f t="shared" si="331"/>
        <v>0</v>
      </c>
      <c r="DI51" s="360">
        <f t="shared" si="332"/>
        <v>0</v>
      </c>
      <c r="DJ51" s="360">
        <f t="shared" si="333"/>
        <v>180</v>
      </c>
      <c r="DK51" s="360">
        <f t="shared" si="334"/>
        <v>180</v>
      </c>
      <c r="DL51" s="360">
        <f t="shared" si="335"/>
        <v>46.200000000000031</v>
      </c>
      <c r="DM51" s="360">
        <f t="shared" si="336"/>
        <v>0</v>
      </c>
      <c r="DN51" s="360">
        <f t="shared" si="337"/>
        <v>0</v>
      </c>
      <c r="DO51" s="360">
        <f t="shared" si="338"/>
        <v>0</v>
      </c>
      <c r="DP51" s="360">
        <f t="shared" si="339"/>
        <v>0</v>
      </c>
      <c r="DQ51" s="219"/>
    </row>
    <row r="52" spans="1:121" x14ac:dyDescent="0.25">
      <c r="A52" s="238" t="s">
        <v>2728</v>
      </c>
      <c r="B52" s="238"/>
      <c r="C52" s="238" t="str">
        <f>'Planilha Hidráulica'!B61</f>
        <v>PV4.2-&gt;PV5.1</v>
      </c>
      <c r="D52" s="239">
        <f>'Planilha Hidráulica'!T61</f>
        <v>3.02</v>
      </c>
      <c r="E52" s="239">
        <f>'Planilha Hidráulica'!U61</f>
        <v>2.94</v>
      </c>
      <c r="F52" s="239">
        <f>'Planilha Hidráulica'!L61</f>
        <v>55</v>
      </c>
      <c r="G52" s="238">
        <f>'Planilha Hidráulica'!N61</f>
        <v>1000</v>
      </c>
      <c r="H52" s="240">
        <f t="shared" si="243"/>
        <v>3.33</v>
      </c>
      <c r="I52" s="241">
        <f t="shared" si="244"/>
        <v>9.1575000000000006</v>
      </c>
      <c r="J52" s="368">
        <v>0</v>
      </c>
      <c r="K52" s="240">
        <f t="shared" si="245"/>
        <v>2</v>
      </c>
      <c r="L52" s="240">
        <f t="shared" si="246"/>
        <v>2</v>
      </c>
      <c r="M52" s="243">
        <f>'Planilha Hidráulica'!Z61</f>
        <v>1000</v>
      </c>
      <c r="N52" s="240">
        <f t="shared" si="247"/>
        <v>110</v>
      </c>
      <c r="O52" s="367" t="str">
        <f>'Planilha Hidráulica'!Y61</f>
        <v>ASFALTO</v>
      </c>
      <c r="P52" s="367" t="s">
        <v>2746</v>
      </c>
      <c r="Q52" s="367">
        <v>0</v>
      </c>
      <c r="R52" s="367">
        <v>5</v>
      </c>
      <c r="S52" s="367">
        <v>4.8</v>
      </c>
      <c r="T52" s="240">
        <f t="shared" si="248"/>
        <v>0.15</v>
      </c>
      <c r="U52" s="245">
        <f t="shared" si="249"/>
        <v>43.196898986859658</v>
      </c>
      <c r="V52" s="246">
        <f t="shared" si="250"/>
        <v>323.10310101314036</v>
      </c>
      <c r="W52" s="245">
        <f t="shared" si="251"/>
        <v>0</v>
      </c>
      <c r="X52" s="247">
        <f t="shared" si="252"/>
        <v>0</v>
      </c>
      <c r="Y52" s="245">
        <f t="shared" si="253"/>
        <v>3.33</v>
      </c>
      <c r="Z52" s="245">
        <f t="shared" si="254"/>
        <v>0</v>
      </c>
      <c r="AA52" s="252">
        <f t="shared" si="255"/>
        <v>110</v>
      </c>
      <c r="AB52" s="361">
        <f t="shared" si="256"/>
        <v>0</v>
      </c>
      <c r="AC52" s="251">
        <f t="shared" si="257"/>
        <v>0</v>
      </c>
      <c r="AD52" s="251">
        <f t="shared" si="258"/>
        <v>0</v>
      </c>
      <c r="AE52" s="251">
        <f t="shared" si="259"/>
        <v>0</v>
      </c>
      <c r="AF52" s="251">
        <f t="shared" si="260"/>
        <v>0</v>
      </c>
      <c r="AG52" s="251">
        <f t="shared" si="261"/>
        <v>0</v>
      </c>
      <c r="AH52" s="251">
        <f t="shared" si="262"/>
        <v>0</v>
      </c>
      <c r="AI52" s="251">
        <f t="shared" si="263"/>
        <v>0</v>
      </c>
      <c r="AJ52" s="251">
        <f t="shared" si="264"/>
        <v>0</v>
      </c>
      <c r="AK52" s="251">
        <f t="shared" si="340"/>
        <v>0</v>
      </c>
      <c r="AL52" s="251">
        <f t="shared" si="265"/>
        <v>165</v>
      </c>
      <c r="AM52" s="251">
        <f>IF(IF(AND(K52&lt;=2.5,K52&gt;1.5),IF(Y52&gt;=3,L52*F52*1.5,K52*F52*(Y52-1.5)),0)&lt;0,0,IF(AND(K52&lt;=2.5,K52&gt;1.5),IF(Y52&gt;=3,L52*F52*1.5,K52*F52*(Y52-1.5)),0))+IF(R52&lt;H52,0,IF(AND(Y52&lt;=3,Y52&gt;1.5,K52&gt;1.5,K52&lt;=2.5),-U52,0))-6.897</f>
        <v>158.10300000000001</v>
      </c>
      <c r="AN52" s="251">
        <f>IF(AND(K52&lt;=2.5,Y52&gt;=4.5),L52*F52*1.5,IF(AND(K52&lt;=2.5,Y52&gt;3),K52*F52*(Y52-3),0))+IF(R52&lt;H52,0,IF(AND(Y52&lt;=4.5,Y52&gt;3,K52&gt;1.5,K52&lt;=2.5),,0))-36.3</f>
        <v>0</v>
      </c>
      <c r="AO52" s="251">
        <f t="shared" si="266"/>
        <v>0</v>
      </c>
      <c r="AP52" s="251">
        <f t="shared" si="267"/>
        <v>0</v>
      </c>
      <c r="AQ52" s="251">
        <f t="shared" si="268"/>
        <v>0</v>
      </c>
      <c r="AR52" s="253">
        <f t="shared" si="269"/>
        <v>1.010131403518244E-4</v>
      </c>
      <c r="AS52" s="253">
        <f t="shared" si="270"/>
        <v>0</v>
      </c>
      <c r="AT52" s="253">
        <f t="shared" si="271"/>
        <v>323.10310101314036</v>
      </c>
      <c r="AU52" s="241">
        <f t="shared" si="272"/>
        <v>0</v>
      </c>
      <c r="AV52" s="246">
        <f t="shared" si="273"/>
        <v>16.5</v>
      </c>
      <c r="AW52" s="253">
        <f t="shared" si="274"/>
        <v>0</v>
      </c>
      <c r="AX52" s="253">
        <f t="shared" si="275"/>
        <v>0</v>
      </c>
      <c r="AY52" s="253">
        <f t="shared" si="276"/>
        <v>1.3</v>
      </c>
      <c r="AZ52" s="253">
        <f t="shared" si="277"/>
        <v>99.803101013140349</v>
      </c>
      <c r="BA52" s="253">
        <f t="shared" si="278"/>
        <v>0</v>
      </c>
      <c r="BB52" s="253">
        <f t="shared" si="279"/>
        <v>16.5</v>
      </c>
      <c r="BC52" s="253">
        <f t="shared" si="280"/>
        <v>16.5</v>
      </c>
      <c r="BD52" s="253">
        <f t="shared" si="281"/>
        <v>3.3</v>
      </c>
      <c r="BE52" s="531">
        <f t="shared" si="282"/>
        <v>173.8</v>
      </c>
      <c r="BF52" s="253">
        <f t="shared" si="283"/>
        <v>206.79989898685966</v>
      </c>
      <c r="BG52" s="253">
        <f t="shared" si="284"/>
        <v>173.8</v>
      </c>
      <c r="BH52" s="253">
        <f t="shared" si="285"/>
        <v>32.999898986859648</v>
      </c>
      <c r="BI52" s="253">
        <f t="shared" si="286"/>
        <v>0</v>
      </c>
      <c r="BJ52" s="241">
        <f t="shared" si="287"/>
        <v>0</v>
      </c>
      <c r="BK52" s="253">
        <f t="shared" si="288"/>
        <v>0</v>
      </c>
      <c r="BL52" s="253"/>
      <c r="BM52" s="253">
        <f t="shared" si="289"/>
        <v>0.66</v>
      </c>
      <c r="BN52" s="252">
        <f t="shared" si="290"/>
        <v>0</v>
      </c>
      <c r="BO52" s="366">
        <f t="shared" si="291"/>
        <v>0</v>
      </c>
      <c r="BP52" s="366">
        <f t="shared" si="292"/>
        <v>0</v>
      </c>
      <c r="BQ52" s="366">
        <f t="shared" si="293"/>
        <v>0</v>
      </c>
      <c r="BR52" s="240">
        <f t="shared" si="294"/>
        <v>0</v>
      </c>
      <c r="BS52" s="240">
        <f t="shared" si="295"/>
        <v>0</v>
      </c>
      <c r="BT52" s="240">
        <f t="shared" si="296"/>
        <v>0</v>
      </c>
      <c r="BU52" s="240">
        <f t="shared" si="297"/>
        <v>0</v>
      </c>
      <c r="BV52" s="240">
        <f t="shared" si="298"/>
        <v>0</v>
      </c>
      <c r="BW52" s="240">
        <f t="shared" si="299"/>
        <v>0</v>
      </c>
      <c r="BX52" s="240">
        <f t="shared" si="300"/>
        <v>0</v>
      </c>
      <c r="BY52" s="240">
        <f t="shared" si="301"/>
        <v>0</v>
      </c>
      <c r="BZ52" s="240">
        <f t="shared" si="302"/>
        <v>0</v>
      </c>
      <c r="CA52" s="240">
        <f t="shared" si="303"/>
        <v>0</v>
      </c>
      <c r="CB52" s="240">
        <f t="shared" si="304"/>
        <v>3.33</v>
      </c>
      <c r="CC52" s="240">
        <f t="shared" si="305"/>
        <v>0</v>
      </c>
      <c r="CD52" s="240">
        <f t="shared" si="306"/>
        <v>55</v>
      </c>
      <c r="CE52" s="240">
        <f t="shared" si="307"/>
        <v>0</v>
      </c>
      <c r="CF52" s="240">
        <f t="shared" si="308"/>
        <v>0</v>
      </c>
      <c r="CG52" s="240">
        <f t="shared" si="309"/>
        <v>0</v>
      </c>
      <c r="CH52" s="240">
        <f t="shared" si="310"/>
        <v>0</v>
      </c>
      <c r="CI52" s="240">
        <f t="shared" si="311"/>
        <v>0</v>
      </c>
      <c r="CJ52" s="365">
        <f t="shared" si="312"/>
        <v>0</v>
      </c>
      <c r="CK52" s="240">
        <f t="shared" si="313"/>
        <v>0</v>
      </c>
      <c r="CL52" s="240">
        <f t="shared" si="314"/>
        <v>0</v>
      </c>
      <c r="CM52" s="240">
        <f t="shared" si="315"/>
        <v>0</v>
      </c>
      <c r="CN52" s="245">
        <f t="shared" si="316"/>
        <v>0</v>
      </c>
      <c r="CO52" s="245">
        <f t="shared" si="317"/>
        <v>0</v>
      </c>
      <c r="CP52" s="245">
        <f t="shared" si="318"/>
        <v>0</v>
      </c>
      <c r="CQ52" s="245">
        <f t="shared" si="319"/>
        <v>0</v>
      </c>
      <c r="CR52" s="245">
        <f t="shared" si="320"/>
        <v>0</v>
      </c>
      <c r="CS52" s="245">
        <f t="shared" si="321"/>
        <v>0</v>
      </c>
      <c r="CT52" s="364">
        <f t="shared" si="322"/>
        <v>0</v>
      </c>
      <c r="CU52" s="363">
        <f t="shared" si="323"/>
        <v>1</v>
      </c>
      <c r="CV52" s="363">
        <f t="shared" si="324"/>
        <v>0</v>
      </c>
      <c r="CW52" s="363">
        <f t="shared" si="325"/>
        <v>0</v>
      </c>
      <c r="CX52" s="363">
        <f t="shared" si="326"/>
        <v>1</v>
      </c>
      <c r="CY52" s="363">
        <f t="shared" si="327"/>
        <v>0</v>
      </c>
      <c r="CZ52" s="363">
        <f t="shared" si="328"/>
        <v>0</v>
      </c>
      <c r="DA52" s="362">
        <f t="shared" si="329"/>
        <v>1.02</v>
      </c>
      <c r="DB52" s="361">
        <v>1.3</v>
      </c>
      <c r="DC52" s="361">
        <v>1.4</v>
      </c>
      <c r="DD52" s="361">
        <v>2</v>
      </c>
      <c r="DE52" s="361">
        <v>2</v>
      </c>
      <c r="DF52" s="360">
        <v>2</v>
      </c>
      <c r="DG52" s="252">
        <f t="shared" si="330"/>
        <v>0</v>
      </c>
      <c r="DH52" s="360">
        <f t="shared" si="331"/>
        <v>0</v>
      </c>
      <c r="DI52" s="360">
        <f t="shared" si="332"/>
        <v>0</v>
      </c>
      <c r="DJ52" s="360">
        <f t="shared" si="333"/>
        <v>165</v>
      </c>
      <c r="DK52" s="360">
        <f t="shared" si="334"/>
        <v>165</v>
      </c>
      <c r="DL52" s="360">
        <f t="shared" si="335"/>
        <v>36.300000000000011</v>
      </c>
      <c r="DM52" s="360">
        <f t="shared" si="336"/>
        <v>0</v>
      </c>
      <c r="DN52" s="360">
        <f t="shared" si="337"/>
        <v>0</v>
      </c>
      <c r="DO52" s="360">
        <f t="shared" si="338"/>
        <v>0</v>
      </c>
      <c r="DP52" s="360">
        <f t="shared" si="339"/>
        <v>0</v>
      </c>
      <c r="DQ52" s="219"/>
    </row>
    <row r="53" spans="1:121" x14ac:dyDescent="0.25">
      <c r="A53" s="238" t="s">
        <v>2745</v>
      </c>
      <c r="B53" s="238"/>
      <c r="C53" s="238" t="str">
        <f>'Planilha Hidráulica'!B62</f>
        <v>PV5.1-&gt;PV6.1</v>
      </c>
      <c r="D53" s="239">
        <f>'Planilha Hidráulica'!T62</f>
        <v>3.47</v>
      </c>
      <c r="E53" s="239">
        <f>'Planilha Hidráulica'!U62</f>
        <v>3.48</v>
      </c>
      <c r="F53" s="239">
        <f>'Planilha Hidráulica'!L62</f>
        <v>12.51</v>
      </c>
      <c r="G53" s="238">
        <f>'Planilha Hidráulica'!N62</f>
        <v>1500</v>
      </c>
      <c r="H53" s="240">
        <f t="shared" si="243"/>
        <v>3.9750000000000001</v>
      </c>
      <c r="I53" s="241">
        <f t="shared" si="244"/>
        <v>2.4863624999999998</v>
      </c>
      <c r="J53" s="368">
        <v>0</v>
      </c>
      <c r="K53" s="240">
        <f t="shared" si="245"/>
        <v>2.6</v>
      </c>
      <c r="L53" s="240">
        <f t="shared" si="246"/>
        <v>2.6</v>
      </c>
      <c r="M53" s="243">
        <f>'Planilha Hidráulica'!Z62</f>
        <v>1200</v>
      </c>
      <c r="N53" s="240">
        <f t="shared" si="247"/>
        <v>32.526000000000003</v>
      </c>
      <c r="O53" s="367" t="str">
        <f>'Planilha Hidráulica'!Y62</f>
        <v>ASFALTO</v>
      </c>
      <c r="P53" s="367" t="s">
        <v>2737</v>
      </c>
      <c r="Q53" s="367">
        <v>1</v>
      </c>
      <c r="R53" s="367">
        <v>8.7100000000000009</v>
      </c>
      <c r="S53" s="367">
        <v>1.9</v>
      </c>
      <c r="T53" s="240">
        <f t="shared" si="248"/>
        <v>0.2</v>
      </c>
      <c r="U53" s="245">
        <f t="shared" si="249"/>
        <v>14.148476674706993</v>
      </c>
      <c r="V53" s="246">
        <f t="shared" si="250"/>
        <v>128.152773325293</v>
      </c>
      <c r="W53" s="245">
        <f t="shared" si="251"/>
        <v>13.010399999999976</v>
      </c>
      <c r="X53" s="247">
        <f t="shared" si="252"/>
        <v>0.4</v>
      </c>
      <c r="Y53" s="245">
        <f t="shared" si="253"/>
        <v>3.9750000000000001</v>
      </c>
      <c r="Z53" s="245">
        <f t="shared" si="254"/>
        <v>0</v>
      </c>
      <c r="AA53" s="252">
        <f t="shared" si="255"/>
        <v>32.526000000000003</v>
      </c>
      <c r="AB53" s="361">
        <f t="shared" si="256"/>
        <v>0</v>
      </c>
      <c r="AC53" s="251">
        <f t="shared" si="257"/>
        <v>0</v>
      </c>
      <c r="AD53" s="251">
        <f t="shared" si="258"/>
        <v>0</v>
      </c>
      <c r="AE53" s="251">
        <f t="shared" si="259"/>
        <v>0</v>
      </c>
      <c r="AF53" s="251">
        <f t="shared" si="260"/>
        <v>0</v>
      </c>
      <c r="AG53" s="251">
        <f t="shared" si="261"/>
        <v>0</v>
      </c>
      <c r="AH53" s="251">
        <f t="shared" si="262"/>
        <v>13.010400000000002</v>
      </c>
      <c r="AI53" s="251">
        <f t="shared" si="263"/>
        <v>0</v>
      </c>
      <c r="AJ53" s="251">
        <f t="shared" si="264"/>
        <v>0</v>
      </c>
      <c r="AK53" s="251">
        <f t="shared" si="340"/>
        <v>0</v>
      </c>
      <c r="AL53" s="251">
        <f t="shared" si="265"/>
        <v>0</v>
      </c>
      <c r="AM53" s="251">
        <f t="shared" ref="AM53:AM67" si="341">IF(IF(AND(K53&lt;=2.5,K53&gt;1.5),IF(Y53&gt;=3,L53*F53*1.5,K53*F53*(Y53-1.5)),0)&lt;0,0,IF(AND(K53&lt;=2.5,K53&gt;1.5),IF(Y53&gt;=3,L53*F53*1.5,K53*F53*(Y53-1.5)),0))+IF(R53&lt;H53,0,IF(AND(Y53&lt;=3,Y53&gt;1.5,K53&gt;1.5,K53&lt;=2.5),-U53,0))</f>
        <v>0</v>
      </c>
      <c r="AN53" s="251">
        <f t="shared" ref="AN53:AN67" si="342">IF(AND(K53&lt;=2.5,Y53&gt;=4.5),L53*F53*1.5,IF(AND(K53&lt;=2.5,Y53&gt;3),K53*F53*(Y53-3),0))+IF(R53&lt;H53,0,IF(AND(Y53&lt;=4.5,Y53&gt;3,K53&gt;1.5,K53&lt;=2.5),-U53,0))</f>
        <v>0</v>
      </c>
      <c r="AO53" s="251">
        <f t="shared" si="266"/>
        <v>65.052000000000007</v>
      </c>
      <c r="AP53" s="251">
        <f t="shared" si="267"/>
        <v>50.090373325293022</v>
      </c>
      <c r="AQ53" s="251">
        <f t="shared" si="268"/>
        <v>0</v>
      </c>
      <c r="AR53" s="253">
        <f t="shared" si="269"/>
        <v>0</v>
      </c>
      <c r="AS53" s="253">
        <f t="shared" si="270"/>
        <v>0.34611000000000003</v>
      </c>
      <c r="AT53" s="253">
        <f t="shared" si="271"/>
        <v>120.19425519577034</v>
      </c>
      <c r="AU53" s="241">
        <f t="shared" si="272"/>
        <v>0</v>
      </c>
      <c r="AV53" s="246">
        <f t="shared" si="273"/>
        <v>6.5052000000000012</v>
      </c>
      <c r="AW53" s="253">
        <f t="shared" si="274"/>
        <v>13.010400000000002</v>
      </c>
      <c r="AX53" s="253">
        <f t="shared" si="275"/>
        <v>0</v>
      </c>
      <c r="AY53" s="253">
        <f t="shared" si="276"/>
        <v>1.8</v>
      </c>
      <c r="AZ53" s="253">
        <f t="shared" si="277"/>
        <v>36.439805195770333</v>
      </c>
      <c r="BA53" s="253">
        <f t="shared" si="278"/>
        <v>0</v>
      </c>
      <c r="BB53" s="253">
        <f t="shared" si="279"/>
        <v>4.8788999999999998</v>
      </c>
      <c r="BC53" s="253">
        <f t="shared" si="280"/>
        <v>4.8788999999999998</v>
      </c>
      <c r="BD53" s="253">
        <f t="shared" si="281"/>
        <v>0.97577999999999998</v>
      </c>
      <c r="BE53" s="531">
        <f t="shared" si="282"/>
        <v>54.481049999999996</v>
      </c>
      <c r="BF53" s="253">
        <f t="shared" si="283"/>
        <v>60.813268129522683</v>
      </c>
      <c r="BG53" s="253">
        <f t="shared" si="284"/>
        <v>54.481049999999996</v>
      </c>
      <c r="BH53" s="253">
        <f t="shared" si="285"/>
        <v>6.3322181295226869</v>
      </c>
      <c r="BI53" s="253">
        <f t="shared" si="286"/>
        <v>0</v>
      </c>
      <c r="BJ53" s="241">
        <f t="shared" si="287"/>
        <v>0</v>
      </c>
      <c r="BK53" s="253">
        <f t="shared" si="288"/>
        <v>0</v>
      </c>
      <c r="BL53" s="253"/>
      <c r="BM53" s="253">
        <f t="shared" si="289"/>
        <v>0.7155720000000001</v>
      </c>
      <c r="BN53" s="252">
        <f t="shared" si="290"/>
        <v>0</v>
      </c>
      <c r="BO53" s="366">
        <f t="shared" si="291"/>
        <v>0</v>
      </c>
      <c r="BP53" s="366">
        <f t="shared" si="292"/>
        <v>0</v>
      </c>
      <c r="BQ53" s="366">
        <f t="shared" si="293"/>
        <v>0</v>
      </c>
      <c r="BR53" s="240">
        <f t="shared" si="294"/>
        <v>0</v>
      </c>
      <c r="BS53" s="240">
        <f t="shared" si="295"/>
        <v>0</v>
      </c>
      <c r="BT53" s="240">
        <f t="shared" si="296"/>
        <v>0</v>
      </c>
      <c r="BU53" s="240">
        <f t="shared" si="297"/>
        <v>0</v>
      </c>
      <c r="BV53" s="240">
        <f t="shared" si="298"/>
        <v>0</v>
      </c>
      <c r="BW53" s="240">
        <f t="shared" si="299"/>
        <v>0</v>
      </c>
      <c r="BX53" s="240">
        <f t="shared" si="300"/>
        <v>0</v>
      </c>
      <c r="BY53" s="240">
        <f t="shared" si="301"/>
        <v>0</v>
      </c>
      <c r="BZ53" s="240">
        <f t="shared" si="302"/>
        <v>0</v>
      </c>
      <c r="CA53" s="240">
        <f t="shared" si="303"/>
        <v>0</v>
      </c>
      <c r="CB53" s="240">
        <f t="shared" si="304"/>
        <v>0</v>
      </c>
      <c r="CC53" s="240">
        <f t="shared" si="305"/>
        <v>0</v>
      </c>
      <c r="CD53" s="240">
        <f t="shared" si="306"/>
        <v>0</v>
      </c>
      <c r="CE53" s="240">
        <f t="shared" si="307"/>
        <v>0</v>
      </c>
      <c r="CF53" s="240">
        <f t="shared" si="308"/>
        <v>0</v>
      </c>
      <c r="CG53" s="240">
        <f t="shared" si="309"/>
        <v>0</v>
      </c>
      <c r="CH53" s="240">
        <f t="shared" si="310"/>
        <v>0</v>
      </c>
      <c r="CI53" s="240">
        <f t="shared" si="311"/>
        <v>0</v>
      </c>
      <c r="CJ53" s="365">
        <f t="shared" si="312"/>
        <v>3.9750000000000001</v>
      </c>
      <c r="CK53" s="240">
        <f t="shared" si="313"/>
        <v>0</v>
      </c>
      <c r="CL53" s="240">
        <f t="shared" si="314"/>
        <v>12.51</v>
      </c>
      <c r="CM53" s="240">
        <f t="shared" si="315"/>
        <v>0</v>
      </c>
      <c r="CN53" s="245">
        <f t="shared" si="316"/>
        <v>0</v>
      </c>
      <c r="CO53" s="245">
        <f t="shared" si="317"/>
        <v>0</v>
      </c>
      <c r="CP53" s="245">
        <f t="shared" si="318"/>
        <v>0</v>
      </c>
      <c r="CQ53" s="245">
        <f t="shared" si="319"/>
        <v>0</v>
      </c>
      <c r="CR53" s="245">
        <f t="shared" si="320"/>
        <v>0</v>
      </c>
      <c r="CS53" s="245">
        <f t="shared" si="321"/>
        <v>0</v>
      </c>
      <c r="CT53" s="364">
        <f t="shared" si="322"/>
        <v>0</v>
      </c>
      <c r="CU53" s="363">
        <f t="shared" si="323"/>
        <v>1</v>
      </c>
      <c r="CV53" s="363">
        <f t="shared" si="324"/>
        <v>0</v>
      </c>
      <c r="CW53" s="363">
        <f t="shared" si="325"/>
        <v>0</v>
      </c>
      <c r="CX53" s="363">
        <f t="shared" si="326"/>
        <v>0</v>
      </c>
      <c r="CY53" s="363">
        <f t="shared" si="327"/>
        <v>0</v>
      </c>
      <c r="CZ53" s="363">
        <f t="shared" si="328"/>
        <v>1</v>
      </c>
      <c r="DA53" s="362">
        <f t="shared" si="329"/>
        <v>1.4700000000000002</v>
      </c>
      <c r="DB53" s="361">
        <v>1.3</v>
      </c>
      <c r="DC53" s="361">
        <v>1.4</v>
      </c>
      <c r="DD53" s="361">
        <v>2</v>
      </c>
      <c r="DE53" s="361">
        <v>2</v>
      </c>
      <c r="DF53" s="360">
        <v>2</v>
      </c>
      <c r="DG53" s="252">
        <f t="shared" si="330"/>
        <v>0</v>
      </c>
      <c r="DH53" s="360">
        <f t="shared" si="331"/>
        <v>0</v>
      </c>
      <c r="DI53" s="360">
        <f t="shared" si="332"/>
        <v>0</v>
      </c>
      <c r="DJ53" s="360">
        <f t="shared" si="333"/>
        <v>0</v>
      </c>
      <c r="DK53" s="360">
        <f t="shared" si="334"/>
        <v>0</v>
      </c>
      <c r="DL53" s="360">
        <f t="shared" si="335"/>
        <v>0</v>
      </c>
      <c r="DM53" s="360">
        <f t="shared" si="336"/>
        <v>37.53</v>
      </c>
      <c r="DN53" s="360">
        <f t="shared" si="337"/>
        <v>37.53</v>
      </c>
      <c r="DO53" s="360">
        <f t="shared" si="338"/>
        <v>24.394500000000001</v>
      </c>
      <c r="DP53" s="360">
        <f t="shared" si="339"/>
        <v>0</v>
      </c>
      <c r="DQ53" s="219"/>
    </row>
    <row r="54" spans="1:121" x14ac:dyDescent="0.25">
      <c r="A54" s="238" t="s">
        <v>2744</v>
      </c>
      <c r="B54" s="238"/>
      <c r="C54" s="238" t="str">
        <f>'Planilha Hidráulica'!B63</f>
        <v>PV1.3-&gt;PV2.3</v>
      </c>
      <c r="D54" s="239">
        <f>'Planilha Hidráulica'!T63</f>
        <v>2.72</v>
      </c>
      <c r="E54" s="239">
        <f>'Planilha Hidráulica'!U63</f>
        <v>3.1</v>
      </c>
      <c r="F54" s="239">
        <f>'Planilha Hidráulica'!L63</f>
        <v>49.82</v>
      </c>
      <c r="G54" s="238">
        <f>'Planilha Hidráulica'!N63</f>
        <v>800</v>
      </c>
      <c r="H54" s="240">
        <f t="shared" si="243"/>
        <v>3.1700000000000004</v>
      </c>
      <c r="I54" s="241">
        <f t="shared" si="244"/>
        <v>7.8964700000000008</v>
      </c>
      <c r="J54" s="368">
        <v>0</v>
      </c>
      <c r="K54" s="240">
        <f t="shared" si="245"/>
        <v>1.7</v>
      </c>
      <c r="L54" s="240">
        <f t="shared" si="246"/>
        <v>1.7</v>
      </c>
      <c r="M54" s="243">
        <f>'Planilha Hidráulica'!Z63</f>
        <v>600</v>
      </c>
      <c r="N54" s="240">
        <f t="shared" si="247"/>
        <v>84.694000000000003</v>
      </c>
      <c r="O54" s="367" t="str">
        <f>'Planilha Hidráulica'!Y63</f>
        <v>ASFALTO</v>
      </c>
      <c r="P54" s="367" t="s">
        <v>2743</v>
      </c>
      <c r="Q54" s="367">
        <v>0</v>
      </c>
      <c r="R54" s="367">
        <v>2</v>
      </c>
      <c r="S54" s="367">
        <v>5</v>
      </c>
      <c r="T54" s="240">
        <f t="shared" si="248"/>
        <v>0.1</v>
      </c>
      <c r="U54" s="245">
        <f t="shared" si="249"/>
        <v>14.086273140165915</v>
      </c>
      <c r="V54" s="246">
        <f t="shared" si="250"/>
        <v>254.39370685983408</v>
      </c>
      <c r="W54" s="245">
        <f t="shared" si="251"/>
        <v>0</v>
      </c>
      <c r="X54" s="247">
        <f t="shared" si="252"/>
        <v>0</v>
      </c>
      <c r="Y54" s="245">
        <f t="shared" si="253"/>
        <v>2</v>
      </c>
      <c r="Z54" s="245">
        <f t="shared" si="254"/>
        <v>1.1700000000000004</v>
      </c>
      <c r="AA54" s="252">
        <f t="shared" si="255"/>
        <v>84.694000000000003</v>
      </c>
      <c r="AB54" s="361">
        <f t="shared" si="256"/>
        <v>0</v>
      </c>
      <c r="AC54" s="251">
        <f t="shared" si="257"/>
        <v>0</v>
      </c>
      <c r="AD54" s="251">
        <f t="shared" si="258"/>
        <v>0</v>
      </c>
      <c r="AE54" s="251">
        <f t="shared" si="259"/>
        <v>0</v>
      </c>
      <c r="AF54" s="251">
        <f t="shared" si="260"/>
        <v>0</v>
      </c>
      <c r="AG54" s="251">
        <f t="shared" si="261"/>
        <v>0</v>
      </c>
      <c r="AH54" s="251">
        <f t="shared" si="262"/>
        <v>0</v>
      </c>
      <c r="AI54" s="251">
        <f t="shared" si="263"/>
        <v>0</v>
      </c>
      <c r="AJ54" s="251">
        <f t="shared" si="264"/>
        <v>0</v>
      </c>
      <c r="AK54" s="251">
        <f t="shared" si="340"/>
        <v>0</v>
      </c>
      <c r="AL54" s="251">
        <f t="shared" si="265"/>
        <v>127.041</v>
      </c>
      <c r="AM54" s="251">
        <f t="shared" si="341"/>
        <v>42.347000000000001</v>
      </c>
      <c r="AN54" s="251">
        <f t="shared" si="342"/>
        <v>0</v>
      </c>
      <c r="AO54" s="251">
        <f t="shared" si="266"/>
        <v>0</v>
      </c>
      <c r="AP54" s="251">
        <f t="shared" si="267"/>
        <v>0</v>
      </c>
      <c r="AQ54" s="251">
        <f t="shared" si="268"/>
        <v>0</v>
      </c>
      <c r="AR54" s="253">
        <f t="shared" si="269"/>
        <v>85.005706859834078</v>
      </c>
      <c r="AS54" s="253">
        <f t="shared" si="270"/>
        <v>0</v>
      </c>
      <c r="AT54" s="253">
        <f t="shared" si="271"/>
        <v>243.43771663970506</v>
      </c>
      <c r="AU54" s="241">
        <f t="shared" si="272"/>
        <v>0</v>
      </c>
      <c r="AV54" s="246">
        <f t="shared" si="273"/>
        <v>8.4694000000000003</v>
      </c>
      <c r="AW54" s="253">
        <f t="shared" si="274"/>
        <v>0</v>
      </c>
      <c r="AX54" s="253">
        <f t="shared" si="275"/>
        <v>0</v>
      </c>
      <c r="AY54" s="253">
        <f t="shared" si="276"/>
        <v>1.1000000000000001</v>
      </c>
      <c r="AZ54" s="253">
        <f t="shared" si="277"/>
        <v>68.121136639705043</v>
      </c>
      <c r="BA54" s="253">
        <f t="shared" si="278"/>
        <v>0</v>
      </c>
      <c r="BB54" s="253">
        <f t="shared" si="279"/>
        <v>12.704099999999999</v>
      </c>
      <c r="BC54" s="253">
        <f t="shared" si="280"/>
        <v>12.704099999999999</v>
      </c>
      <c r="BD54" s="253">
        <f t="shared" si="281"/>
        <v>2.5408199999999996</v>
      </c>
      <c r="BE54" s="531">
        <f t="shared" si="282"/>
        <v>141.43897999999999</v>
      </c>
      <c r="BF54" s="253">
        <f t="shared" si="283"/>
        <v>88.562763360294952</v>
      </c>
      <c r="BG54" s="253">
        <f t="shared" si="284"/>
        <v>88.562763360294952</v>
      </c>
      <c r="BH54" s="253">
        <f t="shared" si="285"/>
        <v>0</v>
      </c>
      <c r="BI54" s="253">
        <f t="shared" si="286"/>
        <v>52.876216639705035</v>
      </c>
      <c r="BJ54" s="241">
        <f t="shared" si="287"/>
        <v>52.876216639705035</v>
      </c>
      <c r="BK54" s="253">
        <f t="shared" si="288"/>
        <v>0</v>
      </c>
      <c r="BL54" s="253"/>
      <c r="BM54" s="253">
        <f t="shared" si="289"/>
        <v>0.50816399999999995</v>
      </c>
      <c r="BN54" s="252">
        <f t="shared" si="290"/>
        <v>0</v>
      </c>
      <c r="BO54" s="366">
        <f t="shared" si="291"/>
        <v>0</v>
      </c>
      <c r="BP54" s="366">
        <f t="shared" si="292"/>
        <v>0</v>
      </c>
      <c r="BQ54" s="366">
        <f t="shared" si="293"/>
        <v>0</v>
      </c>
      <c r="BR54" s="240">
        <f t="shared" si="294"/>
        <v>0</v>
      </c>
      <c r="BS54" s="240">
        <f t="shared" si="295"/>
        <v>0</v>
      </c>
      <c r="BT54" s="240">
        <f t="shared" si="296"/>
        <v>0</v>
      </c>
      <c r="BU54" s="240">
        <f t="shared" si="297"/>
        <v>0</v>
      </c>
      <c r="BV54" s="240">
        <f t="shared" si="298"/>
        <v>0</v>
      </c>
      <c r="BW54" s="240">
        <f t="shared" si="299"/>
        <v>0</v>
      </c>
      <c r="BX54" s="240">
        <f t="shared" si="300"/>
        <v>3.1700000000000004</v>
      </c>
      <c r="BY54" s="240">
        <f t="shared" si="301"/>
        <v>0</v>
      </c>
      <c r="BZ54" s="240">
        <f t="shared" si="302"/>
        <v>49.82</v>
      </c>
      <c r="CA54" s="240">
        <f t="shared" si="303"/>
        <v>0</v>
      </c>
      <c r="CB54" s="240">
        <f t="shared" si="304"/>
        <v>0</v>
      </c>
      <c r="CC54" s="240">
        <f t="shared" si="305"/>
        <v>0</v>
      </c>
      <c r="CD54" s="240">
        <f t="shared" si="306"/>
        <v>0</v>
      </c>
      <c r="CE54" s="240">
        <f t="shared" si="307"/>
        <v>0</v>
      </c>
      <c r="CF54" s="240">
        <f t="shared" si="308"/>
        <v>0</v>
      </c>
      <c r="CG54" s="240">
        <f t="shared" si="309"/>
        <v>0</v>
      </c>
      <c r="CH54" s="240">
        <f t="shared" si="310"/>
        <v>0</v>
      </c>
      <c r="CI54" s="240">
        <f t="shared" si="311"/>
        <v>0</v>
      </c>
      <c r="CJ54" s="365">
        <f t="shared" si="312"/>
        <v>0</v>
      </c>
      <c r="CK54" s="240">
        <f t="shared" si="313"/>
        <v>0</v>
      </c>
      <c r="CL54" s="240">
        <f t="shared" si="314"/>
        <v>0</v>
      </c>
      <c r="CM54" s="240">
        <f t="shared" si="315"/>
        <v>0</v>
      </c>
      <c r="CN54" s="245">
        <f t="shared" si="316"/>
        <v>0</v>
      </c>
      <c r="CO54" s="245">
        <f t="shared" si="317"/>
        <v>0</v>
      </c>
      <c r="CP54" s="245">
        <f t="shared" si="318"/>
        <v>0</v>
      </c>
      <c r="CQ54" s="245">
        <f t="shared" si="319"/>
        <v>0</v>
      </c>
      <c r="CR54" s="245">
        <f t="shared" si="320"/>
        <v>0</v>
      </c>
      <c r="CS54" s="245">
        <f t="shared" si="321"/>
        <v>0</v>
      </c>
      <c r="CT54" s="364">
        <f t="shared" si="322"/>
        <v>0</v>
      </c>
      <c r="CU54" s="363">
        <f t="shared" si="323"/>
        <v>1</v>
      </c>
      <c r="CV54" s="363">
        <f t="shared" si="324"/>
        <v>0</v>
      </c>
      <c r="CW54" s="363">
        <f t="shared" si="325"/>
        <v>1</v>
      </c>
      <c r="CX54" s="363">
        <f t="shared" si="326"/>
        <v>0</v>
      </c>
      <c r="CY54" s="363">
        <f t="shared" si="327"/>
        <v>0</v>
      </c>
      <c r="CZ54" s="363">
        <f t="shared" si="328"/>
        <v>0</v>
      </c>
      <c r="DA54" s="362">
        <f t="shared" si="329"/>
        <v>1.3200000000000003</v>
      </c>
      <c r="DB54" s="361">
        <v>1.3</v>
      </c>
      <c r="DC54" s="361">
        <v>1.4</v>
      </c>
      <c r="DD54" s="361">
        <v>2</v>
      </c>
      <c r="DE54" s="361">
        <v>2</v>
      </c>
      <c r="DF54" s="360">
        <v>2</v>
      </c>
      <c r="DG54" s="252">
        <f t="shared" si="330"/>
        <v>0</v>
      </c>
      <c r="DH54" s="360">
        <f t="shared" si="331"/>
        <v>0</v>
      </c>
      <c r="DI54" s="360">
        <f t="shared" si="332"/>
        <v>0</v>
      </c>
      <c r="DJ54" s="360">
        <f t="shared" si="333"/>
        <v>149.46</v>
      </c>
      <c r="DK54" s="360">
        <f t="shared" si="334"/>
        <v>149.46</v>
      </c>
      <c r="DL54" s="360">
        <f t="shared" si="335"/>
        <v>16.938800000000036</v>
      </c>
      <c r="DM54" s="360">
        <f t="shared" si="336"/>
        <v>0</v>
      </c>
      <c r="DN54" s="360">
        <f t="shared" si="337"/>
        <v>0</v>
      </c>
      <c r="DO54" s="360">
        <f t="shared" si="338"/>
        <v>0</v>
      </c>
      <c r="DP54" s="360">
        <f t="shared" si="339"/>
        <v>0</v>
      </c>
      <c r="DQ54" s="219"/>
    </row>
    <row r="55" spans="1:121" x14ac:dyDescent="0.25">
      <c r="A55" s="238" t="s">
        <v>2742</v>
      </c>
      <c r="B55" s="238"/>
      <c r="C55" s="238" t="str">
        <f>'Planilha Hidráulica'!B64</f>
        <v>PV2.3-&gt;PV3.3</v>
      </c>
      <c r="D55" s="239">
        <f>'Planilha Hidráulica'!T64</f>
        <v>3.73</v>
      </c>
      <c r="E55" s="239">
        <f>'Planilha Hidráulica'!U64</f>
        <v>4.0999999999999996</v>
      </c>
      <c r="F55" s="239">
        <f>'Planilha Hidráulica'!L64</f>
        <v>50.58</v>
      </c>
      <c r="G55" s="238">
        <f>'Planilha Hidráulica'!N64</f>
        <v>1200</v>
      </c>
      <c r="H55" s="240">
        <f t="shared" si="243"/>
        <v>4.3050000000000006</v>
      </c>
      <c r="I55" s="241">
        <f t="shared" si="244"/>
        <v>10.887345</v>
      </c>
      <c r="J55" s="368">
        <v>0</v>
      </c>
      <c r="K55" s="240">
        <f t="shared" si="245"/>
        <v>2.2000000000000002</v>
      </c>
      <c r="L55" s="240">
        <f t="shared" si="246"/>
        <v>2.2000000000000002</v>
      </c>
      <c r="M55" s="243">
        <f>'Planilha Hidráulica'!Z64</f>
        <v>1200</v>
      </c>
      <c r="N55" s="240">
        <f t="shared" si="247"/>
        <v>111.27600000000001</v>
      </c>
      <c r="O55" s="367" t="str">
        <f>'Planilha Hidráulica'!Y64</f>
        <v>ASFALTO</v>
      </c>
      <c r="P55" s="367" t="s">
        <v>2737</v>
      </c>
      <c r="Q55" s="367">
        <v>1</v>
      </c>
      <c r="R55" s="367">
        <v>8.7100000000000009</v>
      </c>
      <c r="S55" s="367">
        <v>1.9</v>
      </c>
      <c r="T55" s="240">
        <f t="shared" si="248"/>
        <v>0.15</v>
      </c>
      <c r="U55" s="245">
        <f t="shared" si="249"/>
        <v>57.204632310685824</v>
      </c>
      <c r="V55" s="246">
        <f t="shared" si="250"/>
        <v>466.34894768931423</v>
      </c>
      <c r="W55" s="245">
        <f t="shared" si="251"/>
        <v>44.510399999999947</v>
      </c>
      <c r="X55" s="247">
        <f t="shared" si="252"/>
        <v>0.4</v>
      </c>
      <c r="Y55" s="245">
        <f t="shared" si="253"/>
        <v>4.3050000000000006</v>
      </c>
      <c r="Z55" s="245">
        <f t="shared" si="254"/>
        <v>0</v>
      </c>
      <c r="AA55" s="252">
        <f t="shared" si="255"/>
        <v>111.27600000000001</v>
      </c>
      <c r="AB55" s="361">
        <f t="shared" si="256"/>
        <v>0</v>
      </c>
      <c r="AC55" s="251">
        <f t="shared" si="257"/>
        <v>0</v>
      </c>
      <c r="AD55" s="251">
        <f t="shared" si="258"/>
        <v>0</v>
      </c>
      <c r="AE55" s="251">
        <f t="shared" si="259"/>
        <v>0</v>
      </c>
      <c r="AF55" s="251">
        <f t="shared" si="260"/>
        <v>0</v>
      </c>
      <c r="AG55" s="251">
        <f t="shared" si="261"/>
        <v>0</v>
      </c>
      <c r="AH55" s="251">
        <f t="shared" si="262"/>
        <v>0</v>
      </c>
      <c r="AI55" s="251">
        <f t="shared" si="263"/>
        <v>44.510400000000004</v>
      </c>
      <c r="AJ55" s="251">
        <f t="shared" si="264"/>
        <v>0</v>
      </c>
      <c r="AK55" s="251">
        <f t="shared" si="340"/>
        <v>0</v>
      </c>
      <c r="AL55" s="251">
        <f t="shared" si="265"/>
        <v>166.91400000000002</v>
      </c>
      <c r="AM55" s="251">
        <f t="shared" si="341"/>
        <v>166.91400000000002</v>
      </c>
      <c r="AN55" s="251">
        <f t="shared" si="342"/>
        <v>88.010547689314265</v>
      </c>
      <c r="AO55" s="251">
        <f t="shared" si="266"/>
        <v>0</v>
      </c>
      <c r="AP55" s="251">
        <f t="shared" si="267"/>
        <v>0</v>
      </c>
      <c r="AQ55" s="251">
        <f t="shared" si="268"/>
        <v>0</v>
      </c>
      <c r="AR55" s="253">
        <f t="shared" si="269"/>
        <v>0</v>
      </c>
      <c r="AS55" s="253">
        <f t="shared" si="270"/>
        <v>1.6219320000000004</v>
      </c>
      <c r="AT55" s="253">
        <f t="shared" si="271"/>
        <v>466.34894768931429</v>
      </c>
      <c r="AU55" s="241">
        <f t="shared" si="272"/>
        <v>0</v>
      </c>
      <c r="AV55" s="246">
        <f t="shared" si="273"/>
        <v>16.691400000000002</v>
      </c>
      <c r="AW55" s="253">
        <f t="shared" si="274"/>
        <v>44.510400000000004</v>
      </c>
      <c r="AX55" s="253">
        <f t="shared" si="275"/>
        <v>0</v>
      </c>
      <c r="AY55" s="253">
        <f t="shared" si="276"/>
        <v>1.5</v>
      </c>
      <c r="AZ55" s="253">
        <f t="shared" si="277"/>
        <v>109.70936768931419</v>
      </c>
      <c r="BA55" s="253">
        <f t="shared" si="278"/>
        <v>0</v>
      </c>
      <c r="BB55" s="253">
        <f t="shared" si="279"/>
        <v>16.691400000000002</v>
      </c>
      <c r="BC55" s="253">
        <f t="shared" si="280"/>
        <v>16.691400000000002</v>
      </c>
      <c r="BD55" s="253">
        <f t="shared" si="281"/>
        <v>3.3382800000000001</v>
      </c>
      <c r="BE55" s="531">
        <f t="shared" si="282"/>
        <v>262.05498000000011</v>
      </c>
      <c r="BF55" s="253">
        <f t="shared" si="283"/>
        <v>250.92738000000008</v>
      </c>
      <c r="BG55" s="253">
        <f t="shared" si="284"/>
        <v>250.92738000000008</v>
      </c>
      <c r="BH55" s="253">
        <f t="shared" si="285"/>
        <v>0</v>
      </c>
      <c r="BI55" s="253">
        <f t="shared" si="286"/>
        <v>11.127600000000029</v>
      </c>
      <c r="BJ55" s="241">
        <f t="shared" si="287"/>
        <v>11.127600000000029</v>
      </c>
      <c r="BK55" s="253">
        <f t="shared" si="288"/>
        <v>0</v>
      </c>
      <c r="BL55" s="253"/>
      <c r="BM55" s="253">
        <f t="shared" si="289"/>
        <v>2.4480720000000002</v>
      </c>
      <c r="BN55" s="252">
        <f t="shared" si="290"/>
        <v>0</v>
      </c>
      <c r="BO55" s="366">
        <f t="shared" si="291"/>
        <v>0</v>
      </c>
      <c r="BP55" s="366">
        <f t="shared" si="292"/>
        <v>0</v>
      </c>
      <c r="BQ55" s="366">
        <f t="shared" si="293"/>
        <v>0</v>
      </c>
      <c r="BR55" s="240">
        <f t="shared" si="294"/>
        <v>0</v>
      </c>
      <c r="BS55" s="240">
        <f t="shared" si="295"/>
        <v>0</v>
      </c>
      <c r="BT55" s="240">
        <f t="shared" si="296"/>
        <v>0</v>
      </c>
      <c r="BU55" s="240">
        <f t="shared" si="297"/>
        <v>0</v>
      </c>
      <c r="BV55" s="240">
        <f t="shared" si="298"/>
        <v>0</v>
      </c>
      <c r="BW55" s="240">
        <f t="shared" si="299"/>
        <v>0</v>
      </c>
      <c r="BX55" s="240">
        <f t="shared" si="300"/>
        <v>0</v>
      </c>
      <c r="BY55" s="240">
        <f t="shared" si="301"/>
        <v>0</v>
      </c>
      <c r="BZ55" s="240">
        <f t="shared" si="302"/>
        <v>0</v>
      </c>
      <c r="CA55" s="240">
        <f t="shared" si="303"/>
        <v>0</v>
      </c>
      <c r="CB55" s="240">
        <f t="shared" si="304"/>
        <v>0</v>
      </c>
      <c r="CC55" s="240">
        <f t="shared" si="305"/>
        <v>0</v>
      </c>
      <c r="CD55" s="240">
        <f t="shared" si="306"/>
        <v>0</v>
      </c>
      <c r="CE55" s="240">
        <f t="shared" si="307"/>
        <v>0</v>
      </c>
      <c r="CF55" s="240">
        <f t="shared" si="308"/>
        <v>4.3050000000000006</v>
      </c>
      <c r="CG55" s="240">
        <f t="shared" si="309"/>
        <v>0</v>
      </c>
      <c r="CH55" s="240">
        <f t="shared" si="310"/>
        <v>50.58</v>
      </c>
      <c r="CI55" s="240">
        <f t="shared" si="311"/>
        <v>0</v>
      </c>
      <c r="CJ55" s="365">
        <f t="shared" si="312"/>
        <v>0</v>
      </c>
      <c r="CK55" s="240">
        <f t="shared" si="313"/>
        <v>0</v>
      </c>
      <c r="CL55" s="240">
        <f t="shared" si="314"/>
        <v>0</v>
      </c>
      <c r="CM55" s="240">
        <f t="shared" si="315"/>
        <v>0</v>
      </c>
      <c r="CN55" s="245">
        <f t="shared" si="316"/>
        <v>0</v>
      </c>
      <c r="CO55" s="245">
        <f t="shared" si="317"/>
        <v>0</v>
      </c>
      <c r="CP55" s="245">
        <f t="shared" si="318"/>
        <v>0</v>
      </c>
      <c r="CQ55" s="245">
        <f t="shared" si="319"/>
        <v>0</v>
      </c>
      <c r="CR55" s="245">
        <f t="shared" si="320"/>
        <v>0</v>
      </c>
      <c r="CS55" s="245">
        <f t="shared" si="321"/>
        <v>0</v>
      </c>
      <c r="CT55" s="364">
        <f t="shared" si="322"/>
        <v>0</v>
      </c>
      <c r="CU55" s="363">
        <f t="shared" si="323"/>
        <v>1</v>
      </c>
      <c r="CV55" s="363">
        <f t="shared" si="324"/>
        <v>0</v>
      </c>
      <c r="CW55" s="363">
        <f t="shared" si="325"/>
        <v>0</v>
      </c>
      <c r="CX55" s="363">
        <f t="shared" si="326"/>
        <v>0</v>
      </c>
      <c r="CY55" s="363">
        <f t="shared" si="327"/>
        <v>1</v>
      </c>
      <c r="CZ55" s="363">
        <f t="shared" si="328"/>
        <v>0</v>
      </c>
      <c r="DA55" s="362">
        <f t="shared" si="329"/>
        <v>1.73</v>
      </c>
      <c r="DB55" s="361">
        <v>1.3</v>
      </c>
      <c r="DC55" s="361">
        <v>1.4</v>
      </c>
      <c r="DD55" s="361">
        <v>2</v>
      </c>
      <c r="DE55" s="361">
        <v>2</v>
      </c>
      <c r="DF55" s="360">
        <v>2</v>
      </c>
      <c r="DG55" s="252">
        <f t="shared" si="330"/>
        <v>0</v>
      </c>
      <c r="DH55" s="360">
        <f t="shared" si="331"/>
        <v>0</v>
      </c>
      <c r="DI55" s="360">
        <f t="shared" si="332"/>
        <v>0</v>
      </c>
      <c r="DJ55" s="360">
        <f t="shared" si="333"/>
        <v>151.74</v>
      </c>
      <c r="DK55" s="360">
        <f t="shared" si="334"/>
        <v>151.74</v>
      </c>
      <c r="DL55" s="360">
        <f t="shared" si="335"/>
        <v>132.01380000000006</v>
      </c>
      <c r="DM55" s="360">
        <f t="shared" si="336"/>
        <v>0</v>
      </c>
      <c r="DN55" s="360">
        <f t="shared" si="337"/>
        <v>0</v>
      </c>
      <c r="DO55" s="360">
        <f t="shared" si="338"/>
        <v>0</v>
      </c>
      <c r="DP55" s="360">
        <f t="shared" si="339"/>
        <v>0</v>
      </c>
      <c r="DQ55" s="219"/>
    </row>
    <row r="56" spans="1:121" x14ac:dyDescent="0.25">
      <c r="A56" s="238" t="s">
        <v>2741</v>
      </c>
      <c r="B56" s="238"/>
      <c r="C56" s="238" t="str">
        <f>'Planilha Hidráulica'!B65</f>
        <v>PV3.3-&gt;PV4.3</v>
      </c>
      <c r="D56" s="239">
        <f>'Planilha Hidráulica'!T65</f>
        <v>4.4000000000000004</v>
      </c>
      <c r="E56" s="239">
        <f>'Planilha Hidráulica'!U65</f>
        <v>4.5</v>
      </c>
      <c r="F56" s="239">
        <f>'Planilha Hidráulica'!L65</f>
        <v>49.43</v>
      </c>
      <c r="G56" s="238">
        <f>'Planilha Hidráulica'!N65</f>
        <v>1500</v>
      </c>
      <c r="H56" s="240">
        <f t="shared" si="243"/>
        <v>4.95</v>
      </c>
      <c r="I56" s="241">
        <f t="shared" si="244"/>
        <v>12.233925000000001</v>
      </c>
      <c r="J56" s="368">
        <v>0</v>
      </c>
      <c r="K56" s="240">
        <f t="shared" si="245"/>
        <v>2.6</v>
      </c>
      <c r="L56" s="240">
        <f t="shared" si="246"/>
        <v>2.6</v>
      </c>
      <c r="M56" s="243">
        <f>'Planilha Hidráulica'!Z65</f>
        <v>1500</v>
      </c>
      <c r="N56" s="240">
        <f t="shared" si="247"/>
        <v>128.518</v>
      </c>
      <c r="O56" s="367" t="str">
        <f>'Planilha Hidráulica'!Y65</f>
        <v>ASFALTO</v>
      </c>
      <c r="P56" s="367" t="s">
        <v>2737</v>
      </c>
      <c r="Q56" s="367">
        <v>1</v>
      </c>
      <c r="R56" s="367">
        <v>8.7100000000000009</v>
      </c>
      <c r="S56" s="367">
        <v>1.9</v>
      </c>
      <c r="T56" s="240">
        <f t="shared" si="248"/>
        <v>0.2</v>
      </c>
      <c r="U56" s="245">
        <f t="shared" si="249"/>
        <v>87.350020237655698</v>
      </c>
      <c r="V56" s="246">
        <f t="shared" si="250"/>
        <v>600.22127976234435</v>
      </c>
      <c r="W56" s="245">
        <f t="shared" si="251"/>
        <v>51.407199999999989</v>
      </c>
      <c r="X56" s="247">
        <f t="shared" si="252"/>
        <v>0.4</v>
      </c>
      <c r="Y56" s="245">
        <f t="shared" si="253"/>
        <v>4.95</v>
      </c>
      <c r="Z56" s="245">
        <f t="shared" si="254"/>
        <v>0</v>
      </c>
      <c r="AA56" s="252">
        <f t="shared" si="255"/>
        <v>128.518</v>
      </c>
      <c r="AB56" s="361">
        <f t="shared" si="256"/>
        <v>0</v>
      </c>
      <c r="AC56" s="251">
        <f t="shared" si="257"/>
        <v>0</v>
      </c>
      <c r="AD56" s="251">
        <f t="shared" si="258"/>
        <v>0</v>
      </c>
      <c r="AE56" s="251">
        <f t="shared" si="259"/>
        <v>0</v>
      </c>
      <c r="AF56" s="251">
        <f t="shared" si="260"/>
        <v>0</v>
      </c>
      <c r="AG56" s="251">
        <f t="shared" si="261"/>
        <v>0</v>
      </c>
      <c r="AH56" s="251">
        <f t="shared" si="262"/>
        <v>0</v>
      </c>
      <c r="AI56" s="251">
        <f t="shared" si="263"/>
        <v>51.407200000000003</v>
      </c>
      <c r="AJ56" s="251">
        <f t="shared" si="264"/>
        <v>0</v>
      </c>
      <c r="AK56" s="251">
        <f t="shared" si="340"/>
        <v>0</v>
      </c>
      <c r="AL56" s="251">
        <f t="shared" si="265"/>
        <v>0</v>
      </c>
      <c r="AM56" s="251">
        <f t="shared" si="341"/>
        <v>0</v>
      </c>
      <c r="AN56" s="251">
        <f t="shared" si="342"/>
        <v>0</v>
      </c>
      <c r="AO56" s="251">
        <f t="shared" si="266"/>
        <v>257.036</v>
      </c>
      <c r="AP56" s="251">
        <f t="shared" si="267"/>
        <v>257.036</v>
      </c>
      <c r="AQ56" s="251">
        <f t="shared" si="268"/>
        <v>34.742079762344332</v>
      </c>
      <c r="AR56" s="253">
        <f t="shared" si="269"/>
        <v>0</v>
      </c>
      <c r="AS56" s="253">
        <f t="shared" si="270"/>
        <v>2.0101533333333337</v>
      </c>
      <c r="AT56" s="253">
        <f t="shared" si="271"/>
        <v>600.22127976234435</v>
      </c>
      <c r="AU56" s="241">
        <f t="shared" si="272"/>
        <v>0</v>
      </c>
      <c r="AV56" s="246">
        <f t="shared" si="273"/>
        <v>25.703600000000002</v>
      </c>
      <c r="AW56" s="253">
        <f t="shared" si="274"/>
        <v>51.40720000000001</v>
      </c>
      <c r="AX56" s="253">
        <f t="shared" si="275"/>
        <v>0</v>
      </c>
      <c r="AY56" s="253">
        <f t="shared" si="276"/>
        <v>1.8</v>
      </c>
      <c r="AZ56" s="253">
        <f t="shared" si="277"/>
        <v>143.98237976234435</v>
      </c>
      <c r="BA56" s="253">
        <f t="shared" si="278"/>
        <v>0</v>
      </c>
      <c r="BB56" s="253">
        <f t="shared" si="279"/>
        <v>19.277699999999999</v>
      </c>
      <c r="BC56" s="253">
        <f t="shared" si="280"/>
        <v>19.277699999999999</v>
      </c>
      <c r="BD56" s="253">
        <f t="shared" si="281"/>
        <v>3.85554</v>
      </c>
      <c r="BE56" s="531">
        <f t="shared" si="282"/>
        <v>340.5727</v>
      </c>
      <c r="BF56" s="253">
        <f t="shared" si="283"/>
        <v>334.14680000000004</v>
      </c>
      <c r="BG56" s="253">
        <f t="shared" si="284"/>
        <v>334.14680000000004</v>
      </c>
      <c r="BH56" s="253">
        <f t="shared" si="285"/>
        <v>0</v>
      </c>
      <c r="BI56" s="253">
        <f t="shared" si="286"/>
        <v>6.425899999999956</v>
      </c>
      <c r="BJ56" s="241">
        <f t="shared" si="287"/>
        <v>6.425899999999956</v>
      </c>
      <c r="BK56" s="253">
        <f t="shared" si="288"/>
        <v>0</v>
      </c>
      <c r="BL56" s="253"/>
      <c r="BM56" s="253">
        <f t="shared" si="289"/>
        <v>2.8273960000000007</v>
      </c>
      <c r="BN56" s="252">
        <f t="shared" si="290"/>
        <v>0</v>
      </c>
      <c r="BO56" s="366">
        <f t="shared" si="291"/>
        <v>0</v>
      </c>
      <c r="BP56" s="366">
        <f t="shared" si="292"/>
        <v>0</v>
      </c>
      <c r="BQ56" s="366">
        <f t="shared" si="293"/>
        <v>0</v>
      </c>
      <c r="BR56" s="240">
        <f t="shared" si="294"/>
        <v>0</v>
      </c>
      <c r="BS56" s="240">
        <f t="shared" si="295"/>
        <v>0</v>
      </c>
      <c r="BT56" s="240">
        <f t="shared" si="296"/>
        <v>0</v>
      </c>
      <c r="BU56" s="240">
        <f t="shared" si="297"/>
        <v>0</v>
      </c>
      <c r="BV56" s="240">
        <f t="shared" si="298"/>
        <v>0</v>
      </c>
      <c r="BW56" s="240">
        <f t="shared" si="299"/>
        <v>0</v>
      </c>
      <c r="BX56" s="240">
        <f t="shared" si="300"/>
        <v>0</v>
      </c>
      <c r="BY56" s="240">
        <f t="shared" si="301"/>
        <v>0</v>
      </c>
      <c r="BZ56" s="240">
        <f t="shared" si="302"/>
        <v>0</v>
      </c>
      <c r="CA56" s="240">
        <f t="shared" si="303"/>
        <v>0</v>
      </c>
      <c r="CB56" s="240">
        <f t="shared" si="304"/>
        <v>0</v>
      </c>
      <c r="CC56" s="240">
        <f t="shared" si="305"/>
        <v>0</v>
      </c>
      <c r="CD56" s="240">
        <f t="shared" si="306"/>
        <v>0</v>
      </c>
      <c r="CE56" s="240">
        <f t="shared" si="307"/>
        <v>0</v>
      </c>
      <c r="CF56" s="240">
        <f t="shared" si="308"/>
        <v>0</v>
      </c>
      <c r="CG56" s="240">
        <f t="shared" si="309"/>
        <v>0</v>
      </c>
      <c r="CH56" s="240">
        <f t="shared" si="310"/>
        <v>0</v>
      </c>
      <c r="CI56" s="240">
        <f t="shared" si="311"/>
        <v>0</v>
      </c>
      <c r="CJ56" s="365">
        <f t="shared" si="312"/>
        <v>4.95</v>
      </c>
      <c r="CK56" s="240">
        <f t="shared" si="313"/>
        <v>0</v>
      </c>
      <c r="CL56" s="240">
        <f t="shared" si="314"/>
        <v>49.43</v>
      </c>
      <c r="CM56" s="240">
        <f t="shared" si="315"/>
        <v>0</v>
      </c>
      <c r="CN56" s="245">
        <f t="shared" si="316"/>
        <v>0</v>
      </c>
      <c r="CO56" s="245">
        <f t="shared" si="317"/>
        <v>0</v>
      </c>
      <c r="CP56" s="245">
        <f t="shared" si="318"/>
        <v>0</v>
      </c>
      <c r="CQ56" s="245">
        <f t="shared" si="319"/>
        <v>0</v>
      </c>
      <c r="CR56" s="245">
        <f t="shared" si="320"/>
        <v>0</v>
      </c>
      <c r="CS56" s="245">
        <f t="shared" si="321"/>
        <v>0</v>
      </c>
      <c r="CT56" s="364">
        <f t="shared" si="322"/>
        <v>0</v>
      </c>
      <c r="CU56" s="363">
        <f t="shared" si="323"/>
        <v>1</v>
      </c>
      <c r="CV56" s="363">
        <f t="shared" si="324"/>
        <v>0</v>
      </c>
      <c r="CW56" s="363">
        <f t="shared" si="325"/>
        <v>0</v>
      </c>
      <c r="CX56" s="363">
        <f t="shared" si="326"/>
        <v>0</v>
      </c>
      <c r="CY56" s="363">
        <f t="shared" si="327"/>
        <v>0</v>
      </c>
      <c r="CZ56" s="363">
        <f t="shared" si="328"/>
        <v>1</v>
      </c>
      <c r="DA56" s="362">
        <f t="shared" si="329"/>
        <v>2.4000000000000004</v>
      </c>
      <c r="DB56" s="361">
        <v>1.3</v>
      </c>
      <c r="DC56" s="361">
        <v>1.4</v>
      </c>
      <c r="DD56" s="361">
        <v>2</v>
      </c>
      <c r="DE56" s="361">
        <v>2</v>
      </c>
      <c r="DF56" s="360">
        <v>2</v>
      </c>
      <c r="DG56" s="252">
        <f t="shared" si="330"/>
        <v>0</v>
      </c>
      <c r="DH56" s="360">
        <f t="shared" si="331"/>
        <v>0</v>
      </c>
      <c r="DI56" s="360">
        <f t="shared" si="332"/>
        <v>0</v>
      </c>
      <c r="DJ56" s="360">
        <f t="shared" si="333"/>
        <v>0</v>
      </c>
      <c r="DK56" s="360">
        <f t="shared" si="334"/>
        <v>0</v>
      </c>
      <c r="DL56" s="360">
        <f t="shared" si="335"/>
        <v>0</v>
      </c>
      <c r="DM56" s="360">
        <f t="shared" si="336"/>
        <v>148.29</v>
      </c>
      <c r="DN56" s="360">
        <f t="shared" si="337"/>
        <v>148.29</v>
      </c>
      <c r="DO56" s="360">
        <f t="shared" si="338"/>
        <v>148.29</v>
      </c>
      <c r="DP56" s="360">
        <f t="shared" si="339"/>
        <v>44.487000000000016</v>
      </c>
      <c r="DQ56" s="219"/>
    </row>
    <row r="57" spans="1:121" x14ac:dyDescent="0.25">
      <c r="A57" s="238" t="s">
        <v>2740</v>
      </c>
      <c r="B57" s="238"/>
      <c r="C57" s="238" t="str">
        <f>'Planilha Hidráulica'!B66</f>
        <v>PV4.3-&gt;PV6.1</v>
      </c>
      <c r="D57" s="239">
        <f>'Planilha Hidráulica'!T66</f>
        <v>4.5</v>
      </c>
      <c r="E57" s="239">
        <f>'Planilha Hidráulica'!U66</f>
        <v>4.8</v>
      </c>
      <c r="F57" s="239">
        <f>'Planilha Hidráulica'!L66</f>
        <v>37.78</v>
      </c>
      <c r="G57" s="238">
        <f>'Planilha Hidráulica'!N66</f>
        <v>1500</v>
      </c>
      <c r="H57" s="240">
        <f t="shared" si="243"/>
        <v>5.15</v>
      </c>
      <c r="I57" s="241">
        <f t="shared" si="244"/>
        <v>9.7283500000000007</v>
      </c>
      <c r="J57" s="368">
        <v>0</v>
      </c>
      <c r="K57" s="240">
        <f t="shared" si="245"/>
        <v>2.6</v>
      </c>
      <c r="L57" s="240">
        <f t="shared" si="246"/>
        <v>2.6</v>
      </c>
      <c r="M57" s="243">
        <f>'Planilha Hidráulica'!Z66</f>
        <v>1500</v>
      </c>
      <c r="N57" s="240">
        <f t="shared" si="247"/>
        <v>98.228000000000009</v>
      </c>
      <c r="O57" s="367" t="str">
        <f>'Planilha Hidráulica'!Y66</f>
        <v>ASFALTO</v>
      </c>
      <c r="P57" s="367" t="s">
        <v>2737</v>
      </c>
      <c r="Q57" s="367">
        <v>1</v>
      </c>
      <c r="R57" s="367">
        <v>8.7100000000000009</v>
      </c>
      <c r="S57" s="367">
        <v>1.9</v>
      </c>
      <c r="T57" s="240">
        <f t="shared" si="248"/>
        <v>0.2</v>
      </c>
      <c r="U57" s="245">
        <f t="shared" si="249"/>
        <v>66.762770879600097</v>
      </c>
      <c r="V57" s="246">
        <f t="shared" si="250"/>
        <v>478.40262912039992</v>
      </c>
      <c r="W57" s="245">
        <f t="shared" si="251"/>
        <v>39.291199999999947</v>
      </c>
      <c r="X57" s="247">
        <f t="shared" si="252"/>
        <v>0.4</v>
      </c>
      <c r="Y57" s="245">
        <f t="shared" si="253"/>
        <v>5.15</v>
      </c>
      <c r="Z57" s="245">
        <f t="shared" si="254"/>
        <v>0</v>
      </c>
      <c r="AA57" s="252">
        <f t="shared" si="255"/>
        <v>98.228000000000009</v>
      </c>
      <c r="AB57" s="361">
        <f t="shared" si="256"/>
        <v>0</v>
      </c>
      <c r="AC57" s="251">
        <f t="shared" si="257"/>
        <v>0</v>
      </c>
      <c r="AD57" s="251">
        <f t="shared" si="258"/>
        <v>0</v>
      </c>
      <c r="AE57" s="251">
        <f t="shared" si="259"/>
        <v>0</v>
      </c>
      <c r="AF57" s="251">
        <f t="shared" si="260"/>
        <v>0</v>
      </c>
      <c r="AG57" s="251">
        <f t="shared" si="261"/>
        <v>0</v>
      </c>
      <c r="AH57" s="251">
        <f t="shared" si="262"/>
        <v>0</v>
      </c>
      <c r="AI57" s="251">
        <f t="shared" si="263"/>
        <v>39.291200000000003</v>
      </c>
      <c r="AJ57" s="251">
        <f t="shared" si="264"/>
        <v>0</v>
      </c>
      <c r="AK57" s="251">
        <f t="shared" si="340"/>
        <v>0</v>
      </c>
      <c r="AL57" s="251">
        <f t="shared" si="265"/>
        <v>0</v>
      </c>
      <c r="AM57" s="251">
        <f t="shared" si="341"/>
        <v>0</v>
      </c>
      <c r="AN57" s="251">
        <f t="shared" si="342"/>
        <v>0</v>
      </c>
      <c r="AO57" s="251">
        <f t="shared" si="266"/>
        <v>196.45600000000002</v>
      </c>
      <c r="AP57" s="251">
        <f t="shared" si="267"/>
        <v>196.45600000000002</v>
      </c>
      <c r="AQ57" s="251">
        <f t="shared" si="268"/>
        <v>46.199429120399941</v>
      </c>
      <c r="AR57" s="253">
        <f t="shared" si="269"/>
        <v>0</v>
      </c>
      <c r="AS57" s="253">
        <f t="shared" si="270"/>
        <v>1.6371333333333338</v>
      </c>
      <c r="AT57" s="253">
        <f t="shared" si="271"/>
        <v>478.40262912039998</v>
      </c>
      <c r="AU57" s="241">
        <f t="shared" si="272"/>
        <v>0</v>
      </c>
      <c r="AV57" s="246">
        <f t="shared" si="273"/>
        <v>19.645600000000002</v>
      </c>
      <c r="AW57" s="253">
        <f t="shared" si="274"/>
        <v>39.291200000000003</v>
      </c>
      <c r="AX57" s="253">
        <f t="shared" si="275"/>
        <v>0</v>
      </c>
      <c r="AY57" s="253">
        <f t="shared" si="276"/>
        <v>1.8</v>
      </c>
      <c r="AZ57" s="253">
        <f t="shared" si="277"/>
        <v>110.04762912039992</v>
      </c>
      <c r="BA57" s="253">
        <f t="shared" si="278"/>
        <v>0</v>
      </c>
      <c r="BB57" s="253">
        <f t="shared" si="279"/>
        <v>14.7342</v>
      </c>
      <c r="BC57" s="253">
        <f t="shared" si="280"/>
        <v>14.7342</v>
      </c>
      <c r="BD57" s="253">
        <f t="shared" si="281"/>
        <v>2.9468399999999999</v>
      </c>
      <c r="BE57" s="531">
        <f t="shared" si="282"/>
        <v>279.9498000000001</v>
      </c>
      <c r="BF57" s="253">
        <f t="shared" si="283"/>
        <v>275.03840000000008</v>
      </c>
      <c r="BG57" s="253">
        <f t="shared" si="284"/>
        <v>275.03840000000008</v>
      </c>
      <c r="BH57" s="253">
        <f t="shared" si="285"/>
        <v>0</v>
      </c>
      <c r="BI57" s="253">
        <f t="shared" si="286"/>
        <v>4.9114000000000146</v>
      </c>
      <c r="BJ57" s="241">
        <f t="shared" si="287"/>
        <v>4.9114000000000146</v>
      </c>
      <c r="BK57" s="253">
        <f t="shared" si="288"/>
        <v>0</v>
      </c>
      <c r="BL57" s="253"/>
      <c r="BM57" s="253">
        <f t="shared" si="289"/>
        <v>2.161016</v>
      </c>
      <c r="BN57" s="252">
        <f t="shared" si="290"/>
        <v>0</v>
      </c>
      <c r="BO57" s="366">
        <f t="shared" si="291"/>
        <v>0</v>
      </c>
      <c r="BP57" s="366">
        <f t="shared" si="292"/>
        <v>0</v>
      </c>
      <c r="BQ57" s="366">
        <f t="shared" si="293"/>
        <v>0</v>
      </c>
      <c r="BR57" s="240">
        <f t="shared" si="294"/>
        <v>0</v>
      </c>
      <c r="BS57" s="240">
        <f t="shared" si="295"/>
        <v>0</v>
      </c>
      <c r="BT57" s="240">
        <f t="shared" si="296"/>
        <v>0</v>
      </c>
      <c r="BU57" s="240">
        <f t="shared" si="297"/>
        <v>0</v>
      </c>
      <c r="BV57" s="240">
        <f t="shared" si="298"/>
        <v>0</v>
      </c>
      <c r="BW57" s="240">
        <f t="shared" si="299"/>
        <v>0</v>
      </c>
      <c r="BX57" s="240">
        <f t="shared" si="300"/>
        <v>0</v>
      </c>
      <c r="BY57" s="240">
        <f t="shared" si="301"/>
        <v>0</v>
      </c>
      <c r="BZ57" s="240">
        <f t="shared" si="302"/>
        <v>0</v>
      </c>
      <c r="CA57" s="240">
        <f t="shared" si="303"/>
        <v>0</v>
      </c>
      <c r="CB57" s="240">
        <f t="shared" si="304"/>
        <v>0</v>
      </c>
      <c r="CC57" s="240">
        <f t="shared" si="305"/>
        <v>0</v>
      </c>
      <c r="CD57" s="240">
        <f t="shared" si="306"/>
        <v>0</v>
      </c>
      <c r="CE57" s="240">
        <f t="shared" si="307"/>
        <v>0</v>
      </c>
      <c r="CF57" s="240">
        <f t="shared" si="308"/>
        <v>0</v>
      </c>
      <c r="CG57" s="240">
        <f t="shared" si="309"/>
        <v>0</v>
      </c>
      <c r="CH57" s="240">
        <f t="shared" si="310"/>
        <v>0</v>
      </c>
      <c r="CI57" s="240">
        <f t="shared" si="311"/>
        <v>0</v>
      </c>
      <c r="CJ57" s="365">
        <f t="shared" si="312"/>
        <v>5.15</v>
      </c>
      <c r="CK57" s="240">
        <f t="shared" si="313"/>
        <v>0</v>
      </c>
      <c r="CL57" s="240">
        <f t="shared" si="314"/>
        <v>37.78</v>
      </c>
      <c r="CM57" s="240">
        <f t="shared" si="315"/>
        <v>0</v>
      </c>
      <c r="CN57" s="245">
        <f t="shared" si="316"/>
        <v>0</v>
      </c>
      <c r="CO57" s="245">
        <f t="shared" si="317"/>
        <v>0</v>
      </c>
      <c r="CP57" s="245">
        <f t="shared" si="318"/>
        <v>0</v>
      </c>
      <c r="CQ57" s="245">
        <f t="shared" si="319"/>
        <v>0</v>
      </c>
      <c r="CR57" s="245">
        <f t="shared" si="320"/>
        <v>0</v>
      </c>
      <c r="CS57" s="245">
        <f t="shared" si="321"/>
        <v>0</v>
      </c>
      <c r="CT57" s="364">
        <f t="shared" si="322"/>
        <v>0</v>
      </c>
      <c r="CU57" s="363">
        <f t="shared" si="323"/>
        <v>1</v>
      </c>
      <c r="CV57" s="363">
        <f t="shared" si="324"/>
        <v>0</v>
      </c>
      <c r="CW57" s="363">
        <f t="shared" si="325"/>
        <v>0</v>
      </c>
      <c r="CX57" s="363">
        <f t="shared" si="326"/>
        <v>0</v>
      </c>
      <c r="CY57" s="363">
        <f t="shared" si="327"/>
        <v>0</v>
      </c>
      <c r="CZ57" s="363">
        <f t="shared" si="328"/>
        <v>1</v>
      </c>
      <c r="DA57" s="362">
        <f t="shared" si="329"/>
        <v>2.5</v>
      </c>
      <c r="DB57" s="361">
        <v>1.3</v>
      </c>
      <c r="DC57" s="361">
        <v>1.4</v>
      </c>
      <c r="DD57" s="361">
        <v>2</v>
      </c>
      <c r="DE57" s="361">
        <v>2</v>
      </c>
      <c r="DF57" s="360">
        <v>2</v>
      </c>
      <c r="DG57" s="252">
        <f t="shared" si="330"/>
        <v>0</v>
      </c>
      <c r="DH57" s="360">
        <f t="shared" si="331"/>
        <v>0</v>
      </c>
      <c r="DI57" s="360">
        <f t="shared" si="332"/>
        <v>0</v>
      </c>
      <c r="DJ57" s="360">
        <f t="shared" si="333"/>
        <v>0</v>
      </c>
      <c r="DK57" s="360">
        <f t="shared" si="334"/>
        <v>0</v>
      </c>
      <c r="DL57" s="360">
        <f t="shared" si="335"/>
        <v>0</v>
      </c>
      <c r="DM57" s="360">
        <f t="shared" si="336"/>
        <v>113.34</v>
      </c>
      <c r="DN57" s="360">
        <f t="shared" si="337"/>
        <v>113.34</v>
      </c>
      <c r="DO57" s="360">
        <f t="shared" si="338"/>
        <v>113.34</v>
      </c>
      <c r="DP57" s="360">
        <f t="shared" si="339"/>
        <v>49.114000000000026</v>
      </c>
      <c r="DQ57" s="219"/>
    </row>
    <row r="58" spans="1:121" x14ac:dyDescent="0.25">
      <c r="A58" s="238" t="s">
        <v>2738</v>
      </c>
      <c r="B58" s="238"/>
      <c r="C58" s="238" t="str">
        <f>'Planilha Hidráulica'!B67</f>
        <v>PV6.1-&gt;PV7.1</v>
      </c>
      <c r="D58" s="239">
        <f>'Planilha Hidráulica'!T67</f>
        <v>4.9800000000000004</v>
      </c>
      <c r="E58" s="239">
        <f>'Planilha Hidráulica'!U67</f>
        <v>4.1500000000000004</v>
      </c>
      <c r="F58" s="239">
        <f>'Planilha Hidráulica'!L67</f>
        <v>38.43</v>
      </c>
      <c r="G58" s="238">
        <f>'Planilha Hidráulica'!N67</f>
        <v>1650</v>
      </c>
      <c r="H58" s="240">
        <f t="shared" si="243"/>
        <v>5.1650000000000009</v>
      </c>
      <c r="I58" s="241">
        <f t="shared" si="244"/>
        <v>9.924547500000001</v>
      </c>
      <c r="J58" s="368">
        <v>0</v>
      </c>
      <c r="K58" s="240">
        <f t="shared" si="245"/>
        <v>3</v>
      </c>
      <c r="L58" s="240">
        <f t="shared" si="246"/>
        <v>3</v>
      </c>
      <c r="M58" s="243">
        <f>'Planilha Hidráulica'!Z67</f>
        <v>1650</v>
      </c>
      <c r="N58" s="240">
        <f t="shared" si="247"/>
        <v>115.28999999999999</v>
      </c>
      <c r="O58" s="367" t="str">
        <f>'Planilha Hidráulica'!Y67</f>
        <v>ASFALTO</v>
      </c>
      <c r="P58" s="367" t="s">
        <v>2737</v>
      </c>
      <c r="Q58" s="367">
        <v>1</v>
      </c>
      <c r="R58" s="367">
        <v>8.7100000000000009</v>
      </c>
      <c r="S58" s="367">
        <v>1.9</v>
      </c>
      <c r="T58" s="240">
        <f t="shared" si="248"/>
        <v>0.2</v>
      </c>
      <c r="U58" s="245">
        <f t="shared" si="249"/>
        <v>82.172812989218315</v>
      </c>
      <c r="V58" s="246">
        <f t="shared" si="250"/>
        <v>559.41603701078179</v>
      </c>
      <c r="W58" s="245">
        <f t="shared" si="251"/>
        <v>0</v>
      </c>
      <c r="X58" s="247">
        <f t="shared" si="252"/>
        <v>0.4</v>
      </c>
      <c r="Y58" s="245">
        <f t="shared" si="253"/>
        <v>5.1650000000000009</v>
      </c>
      <c r="Z58" s="245">
        <f t="shared" si="254"/>
        <v>0</v>
      </c>
      <c r="AA58" s="252">
        <f t="shared" si="255"/>
        <v>115.28999999999999</v>
      </c>
      <c r="AB58" s="361">
        <f t="shared" si="256"/>
        <v>0</v>
      </c>
      <c r="AC58" s="251">
        <f t="shared" si="257"/>
        <v>0</v>
      </c>
      <c r="AD58" s="251">
        <f t="shared" si="258"/>
        <v>0</v>
      </c>
      <c r="AE58" s="251">
        <f t="shared" si="259"/>
        <v>0</v>
      </c>
      <c r="AF58" s="251">
        <f t="shared" si="260"/>
        <v>0</v>
      </c>
      <c r="AG58" s="251">
        <f t="shared" si="261"/>
        <v>0</v>
      </c>
      <c r="AH58" s="251">
        <f t="shared" si="262"/>
        <v>0</v>
      </c>
      <c r="AI58" s="251">
        <f t="shared" si="263"/>
        <v>0</v>
      </c>
      <c r="AJ58" s="251">
        <f t="shared" si="264"/>
        <v>0</v>
      </c>
      <c r="AK58" s="251">
        <f t="shared" si="340"/>
        <v>0</v>
      </c>
      <c r="AL58" s="251">
        <f t="shared" si="265"/>
        <v>0</v>
      </c>
      <c r="AM58" s="251">
        <f t="shared" si="341"/>
        <v>0</v>
      </c>
      <c r="AN58" s="251">
        <f t="shared" si="342"/>
        <v>0</v>
      </c>
      <c r="AO58" s="251">
        <f t="shared" si="266"/>
        <v>230.57999999999998</v>
      </c>
      <c r="AP58" s="251">
        <f t="shared" si="267"/>
        <v>230.57999999999998</v>
      </c>
      <c r="AQ58" s="251">
        <f t="shared" si="268"/>
        <v>52.140037010781796</v>
      </c>
      <c r="AR58" s="253">
        <f t="shared" si="269"/>
        <v>46.115999999999985</v>
      </c>
      <c r="AS58" s="253">
        <f t="shared" si="270"/>
        <v>1.6729860000000005</v>
      </c>
      <c r="AT58" s="253">
        <f t="shared" si="271"/>
        <v>559.41603701078179</v>
      </c>
      <c r="AU58" s="241">
        <f t="shared" si="272"/>
        <v>0</v>
      </c>
      <c r="AV58" s="246">
        <f t="shared" si="273"/>
        <v>23.058</v>
      </c>
      <c r="AW58" s="253">
        <f t="shared" si="274"/>
        <v>46.116</v>
      </c>
      <c r="AX58" s="253">
        <f t="shared" si="275"/>
        <v>0</v>
      </c>
      <c r="AY58" s="253">
        <f t="shared" si="276"/>
        <v>1.95</v>
      </c>
      <c r="AZ58" s="253">
        <f t="shared" si="277"/>
        <v>142.64268701078169</v>
      </c>
      <c r="BA58" s="253">
        <f t="shared" si="278"/>
        <v>0</v>
      </c>
      <c r="BB58" s="253">
        <f t="shared" si="279"/>
        <v>17.293500000000002</v>
      </c>
      <c r="BC58" s="253">
        <f t="shared" si="280"/>
        <v>17.293500000000002</v>
      </c>
      <c r="BD58" s="253">
        <f t="shared" si="281"/>
        <v>3.4587000000000003</v>
      </c>
      <c r="BE58" s="531">
        <f t="shared" si="282"/>
        <v>313.01235000000014</v>
      </c>
      <c r="BF58" s="253">
        <f t="shared" si="283"/>
        <v>307.24785000000014</v>
      </c>
      <c r="BG58" s="253">
        <f t="shared" si="284"/>
        <v>307.24785000000014</v>
      </c>
      <c r="BH58" s="253">
        <f t="shared" si="285"/>
        <v>0</v>
      </c>
      <c r="BI58" s="253">
        <f t="shared" si="286"/>
        <v>5.7644999999999982</v>
      </c>
      <c r="BJ58" s="241">
        <f t="shared" si="287"/>
        <v>5.7644999999999982</v>
      </c>
      <c r="BK58" s="253">
        <f t="shared" si="288"/>
        <v>0</v>
      </c>
      <c r="BL58" s="253"/>
      <c r="BM58" s="253">
        <f t="shared" si="289"/>
        <v>2.5363800000000003</v>
      </c>
      <c r="BN58" s="252">
        <f t="shared" si="290"/>
        <v>0</v>
      </c>
      <c r="BO58" s="366">
        <f t="shared" si="291"/>
        <v>0</v>
      </c>
      <c r="BP58" s="366">
        <f t="shared" si="292"/>
        <v>0</v>
      </c>
      <c r="BQ58" s="366">
        <f t="shared" si="293"/>
        <v>0</v>
      </c>
      <c r="BR58" s="240">
        <f t="shared" si="294"/>
        <v>0</v>
      </c>
      <c r="BS58" s="240">
        <f t="shared" si="295"/>
        <v>0</v>
      </c>
      <c r="BT58" s="240">
        <f t="shared" si="296"/>
        <v>0</v>
      </c>
      <c r="BU58" s="240">
        <f t="shared" si="297"/>
        <v>0</v>
      </c>
      <c r="BV58" s="240">
        <f t="shared" si="298"/>
        <v>0</v>
      </c>
      <c r="BW58" s="240">
        <f t="shared" si="299"/>
        <v>0</v>
      </c>
      <c r="BX58" s="240">
        <f t="shared" si="300"/>
        <v>0</v>
      </c>
      <c r="BY58" s="240">
        <f t="shared" si="301"/>
        <v>0</v>
      </c>
      <c r="BZ58" s="240">
        <f t="shared" si="302"/>
        <v>0</v>
      </c>
      <c r="CA58" s="240">
        <f t="shared" si="303"/>
        <v>0</v>
      </c>
      <c r="CB58" s="240">
        <f t="shared" si="304"/>
        <v>0</v>
      </c>
      <c r="CC58" s="240">
        <f t="shared" si="305"/>
        <v>0</v>
      </c>
      <c r="CD58" s="240">
        <f t="shared" si="306"/>
        <v>0</v>
      </c>
      <c r="CE58" s="240">
        <f t="shared" si="307"/>
        <v>0</v>
      </c>
      <c r="CF58" s="240">
        <f t="shared" si="308"/>
        <v>0</v>
      </c>
      <c r="CG58" s="240">
        <f t="shared" si="309"/>
        <v>0</v>
      </c>
      <c r="CH58" s="240">
        <f t="shared" si="310"/>
        <v>0</v>
      </c>
      <c r="CI58" s="240">
        <f t="shared" si="311"/>
        <v>0</v>
      </c>
      <c r="CJ58" s="365">
        <f t="shared" si="312"/>
        <v>0</v>
      </c>
      <c r="CK58" s="240">
        <f t="shared" si="313"/>
        <v>0</v>
      </c>
      <c r="CL58" s="240">
        <f t="shared" si="314"/>
        <v>0</v>
      </c>
      <c r="CM58" s="240">
        <f t="shared" si="315"/>
        <v>0</v>
      </c>
      <c r="CN58" s="245">
        <f t="shared" si="316"/>
        <v>38.43</v>
      </c>
      <c r="CO58" s="245">
        <f t="shared" si="317"/>
        <v>0</v>
      </c>
      <c r="CP58" s="245">
        <f t="shared" si="318"/>
        <v>0</v>
      </c>
      <c r="CQ58" s="245">
        <f t="shared" si="319"/>
        <v>0</v>
      </c>
      <c r="CR58" s="245">
        <f t="shared" si="320"/>
        <v>0</v>
      </c>
      <c r="CS58" s="245">
        <f t="shared" si="321"/>
        <v>0</v>
      </c>
      <c r="CT58" s="364">
        <f t="shared" si="322"/>
        <v>0</v>
      </c>
      <c r="CU58" s="363">
        <f t="shared" si="323"/>
        <v>1</v>
      </c>
      <c r="CV58" s="363">
        <f t="shared" si="324"/>
        <v>0</v>
      </c>
      <c r="CW58" s="363">
        <f t="shared" si="325"/>
        <v>0</v>
      </c>
      <c r="CX58" s="363">
        <f t="shared" si="326"/>
        <v>0</v>
      </c>
      <c r="CY58" s="363">
        <f t="shared" si="327"/>
        <v>0</v>
      </c>
      <c r="CZ58" s="363">
        <f t="shared" si="328"/>
        <v>0</v>
      </c>
      <c r="DA58" s="362">
        <f t="shared" si="329"/>
        <v>2.9800000000000004</v>
      </c>
      <c r="DB58" s="361">
        <v>1.3</v>
      </c>
      <c r="DC58" s="361">
        <v>1.4</v>
      </c>
      <c r="DD58" s="361">
        <v>2</v>
      </c>
      <c r="DE58" s="361">
        <v>2</v>
      </c>
      <c r="DF58" s="360">
        <v>2</v>
      </c>
      <c r="DG58" s="252">
        <f t="shared" si="330"/>
        <v>0</v>
      </c>
      <c r="DH58" s="360">
        <f t="shared" si="331"/>
        <v>0</v>
      </c>
      <c r="DI58" s="360">
        <f t="shared" si="332"/>
        <v>0</v>
      </c>
      <c r="DJ58" s="360">
        <f t="shared" si="333"/>
        <v>0</v>
      </c>
      <c r="DK58" s="360">
        <f t="shared" si="334"/>
        <v>0</v>
      </c>
      <c r="DL58" s="360">
        <f t="shared" si="335"/>
        <v>0</v>
      </c>
      <c r="DM58" s="360">
        <f t="shared" si="336"/>
        <v>115.28999999999999</v>
      </c>
      <c r="DN58" s="360">
        <f t="shared" si="337"/>
        <v>115.28999999999999</v>
      </c>
      <c r="DO58" s="360">
        <f t="shared" si="338"/>
        <v>115.28999999999999</v>
      </c>
      <c r="DP58" s="360">
        <f t="shared" si="339"/>
        <v>51.11190000000007</v>
      </c>
      <c r="DQ58" s="219"/>
    </row>
    <row r="59" spans="1:121" x14ac:dyDescent="0.25">
      <c r="A59" s="238" t="s">
        <v>2738</v>
      </c>
      <c r="B59" s="238"/>
      <c r="C59" s="238" t="str">
        <f>'Planilha Hidráulica'!B68</f>
        <v>PV7.1-&gt;PV8.1</v>
      </c>
      <c r="D59" s="239">
        <f>'Planilha Hidráulica'!T68</f>
        <v>4.1500000000000004</v>
      </c>
      <c r="E59" s="239">
        <f>'Planilha Hidráulica'!U68</f>
        <v>3.8</v>
      </c>
      <c r="F59" s="239">
        <f>'Planilha Hidráulica'!L68</f>
        <v>38.43</v>
      </c>
      <c r="G59" s="238">
        <f>'Planilha Hidráulica'!N68</f>
        <v>1650</v>
      </c>
      <c r="H59" s="240">
        <f t="shared" si="243"/>
        <v>4.5750000000000002</v>
      </c>
      <c r="I59" s="241">
        <f t="shared" si="244"/>
        <v>8.7908624999999994</v>
      </c>
      <c r="J59" s="368">
        <v>0</v>
      </c>
      <c r="K59" s="240">
        <f t="shared" si="245"/>
        <v>3</v>
      </c>
      <c r="L59" s="240">
        <f t="shared" si="246"/>
        <v>3</v>
      </c>
      <c r="M59" s="243">
        <f>'Planilha Hidráulica'!Z68</f>
        <v>1650</v>
      </c>
      <c r="N59" s="240">
        <f t="shared" si="247"/>
        <v>115.28999999999999</v>
      </c>
      <c r="O59" s="367" t="str">
        <f>'Planilha Hidráulica'!Y68</f>
        <v>ASFALTO</v>
      </c>
      <c r="P59" s="367" t="s">
        <v>2737</v>
      </c>
      <c r="Q59" s="367">
        <v>1</v>
      </c>
      <c r="R59" s="367">
        <v>8.7100000000000009</v>
      </c>
      <c r="S59" s="367">
        <v>1.9</v>
      </c>
      <c r="T59" s="240">
        <f t="shared" si="248"/>
        <v>0.2</v>
      </c>
      <c r="U59" s="245">
        <f t="shared" si="249"/>
        <v>82.172812989218315</v>
      </c>
      <c r="V59" s="246">
        <f t="shared" si="250"/>
        <v>491.39493701078175</v>
      </c>
      <c r="W59" s="245">
        <f t="shared" si="251"/>
        <v>0</v>
      </c>
      <c r="X59" s="247">
        <f t="shared" si="252"/>
        <v>0.4</v>
      </c>
      <c r="Y59" s="245">
        <f t="shared" si="253"/>
        <v>4.5750000000000002</v>
      </c>
      <c r="Z59" s="245">
        <f t="shared" si="254"/>
        <v>0</v>
      </c>
      <c r="AA59" s="252">
        <f t="shared" si="255"/>
        <v>115.28999999999999</v>
      </c>
      <c r="AB59" s="361">
        <f t="shared" si="256"/>
        <v>0</v>
      </c>
      <c r="AC59" s="251">
        <f t="shared" si="257"/>
        <v>0</v>
      </c>
      <c r="AD59" s="251">
        <f t="shared" si="258"/>
        <v>0</v>
      </c>
      <c r="AE59" s="251">
        <f t="shared" si="259"/>
        <v>0</v>
      </c>
      <c r="AF59" s="251">
        <f t="shared" si="260"/>
        <v>0</v>
      </c>
      <c r="AG59" s="251">
        <f t="shared" si="261"/>
        <v>0</v>
      </c>
      <c r="AH59" s="251">
        <f t="shared" si="262"/>
        <v>0</v>
      </c>
      <c r="AI59" s="251">
        <f t="shared" si="263"/>
        <v>0</v>
      </c>
      <c r="AJ59" s="251">
        <f t="shared" si="264"/>
        <v>0</v>
      </c>
      <c r="AK59" s="251">
        <f t="shared" si="340"/>
        <v>0</v>
      </c>
      <c r="AL59" s="251">
        <f t="shared" si="265"/>
        <v>0</v>
      </c>
      <c r="AM59" s="251">
        <f t="shared" si="341"/>
        <v>0</v>
      </c>
      <c r="AN59" s="251">
        <f t="shared" si="342"/>
        <v>0</v>
      </c>
      <c r="AO59" s="251">
        <f t="shared" si="266"/>
        <v>230.57999999999998</v>
      </c>
      <c r="AP59" s="251">
        <f>IF(IF(K59&gt;2.5,IF(Y59&gt;=4,L59*F59*2,K59*F59*(Y59-2)),0)&lt;0,0,IF(K59&gt;2.5,IF(Y59&gt;=4,L59*F59*2,K59*F59*(Y59-2)),0))-U59</f>
        <v>148.40718701078168</v>
      </c>
      <c r="AQ59" s="251">
        <f>IF(IF(K59&gt;2.5,IF(Y59&gt;=6,L59*F59*2,K59*F59*(Y59-4)),0)&lt;0,0,IF(K59&gt;2.5,IF(Y59&gt;=6,L59*F59*2,K59*F59*(Y59-4)),0))</f>
        <v>66.291750000000022</v>
      </c>
      <c r="AR59" s="253">
        <f t="shared" si="269"/>
        <v>46.116000000000042</v>
      </c>
      <c r="AS59" s="253">
        <f t="shared" si="270"/>
        <v>1.3706700000000001</v>
      </c>
      <c r="AT59" s="253">
        <f t="shared" si="271"/>
        <v>491.39493701078163</v>
      </c>
      <c r="AU59" s="241">
        <f t="shared" si="272"/>
        <v>0</v>
      </c>
      <c r="AV59" s="246">
        <f t="shared" si="273"/>
        <v>23.058</v>
      </c>
      <c r="AW59" s="253">
        <f t="shared" si="274"/>
        <v>46.116</v>
      </c>
      <c r="AX59" s="253">
        <f t="shared" si="275"/>
        <v>0</v>
      </c>
      <c r="AY59" s="253">
        <f t="shared" si="276"/>
        <v>1.95</v>
      </c>
      <c r="AZ59" s="253">
        <f t="shared" si="277"/>
        <v>142.64268701078169</v>
      </c>
      <c r="BA59" s="253">
        <f t="shared" si="278"/>
        <v>0</v>
      </c>
      <c r="BB59" s="253">
        <f t="shared" si="279"/>
        <v>17.293500000000002</v>
      </c>
      <c r="BC59" s="253">
        <f t="shared" si="280"/>
        <v>17.293500000000002</v>
      </c>
      <c r="BD59" s="253">
        <f t="shared" si="281"/>
        <v>3.4587000000000003</v>
      </c>
      <c r="BE59" s="531">
        <f t="shared" si="282"/>
        <v>244.99124999999998</v>
      </c>
      <c r="BF59" s="253">
        <f t="shared" si="283"/>
        <v>239.22675000000004</v>
      </c>
      <c r="BG59" s="253">
        <f t="shared" si="284"/>
        <v>239.22675000000004</v>
      </c>
      <c r="BH59" s="253">
        <f t="shared" si="285"/>
        <v>0</v>
      </c>
      <c r="BI59" s="253">
        <f t="shared" si="286"/>
        <v>5.7644999999999413</v>
      </c>
      <c r="BJ59" s="241">
        <f t="shared" si="287"/>
        <v>5.7644999999999413</v>
      </c>
      <c r="BK59" s="253">
        <f t="shared" si="288"/>
        <v>0</v>
      </c>
      <c r="BL59" s="253"/>
      <c r="BM59" s="253">
        <f t="shared" si="289"/>
        <v>2.5363800000000003</v>
      </c>
      <c r="BN59" s="252">
        <f t="shared" si="290"/>
        <v>0</v>
      </c>
      <c r="BO59" s="366">
        <f t="shared" si="291"/>
        <v>0</v>
      </c>
      <c r="BP59" s="366">
        <f t="shared" si="292"/>
        <v>0</v>
      </c>
      <c r="BQ59" s="366">
        <f t="shared" si="293"/>
        <v>0</v>
      </c>
      <c r="BR59" s="240">
        <f t="shared" si="294"/>
        <v>0</v>
      </c>
      <c r="BS59" s="240">
        <f t="shared" si="295"/>
        <v>0</v>
      </c>
      <c r="BT59" s="240">
        <f t="shared" si="296"/>
        <v>0</v>
      </c>
      <c r="BU59" s="240">
        <f t="shared" si="297"/>
        <v>0</v>
      </c>
      <c r="BV59" s="240">
        <f t="shared" si="298"/>
        <v>0</v>
      </c>
      <c r="BW59" s="240">
        <f t="shared" si="299"/>
        <v>0</v>
      </c>
      <c r="BX59" s="240">
        <f t="shared" si="300"/>
        <v>0</v>
      </c>
      <c r="BY59" s="240">
        <f t="shared" si="301"/>
        <v>0</v>
      </c>
      <c r="BZ59" s="240">
        <f t="shared" si="302"/>
        <v>0</v>
      </c>
      <c r="CA59" s="240">
        <f t="shared" si="303"/>
        <v>0</v>
      </c>
      <c r="CB59" s="240">
        <f t="shared" si="304"/>
        <v>0</v>
      </c>
      <c r="CC59" s="240">
        <f t="shared" si="305"/>
        <v>0</v>
      </c>
      <c r="CD59" s="240">
        <f t="shared" si="306"/>
        <v>0</v>
      </c>
      <c r="CE59" s="240">
        <f t="shared" si="307"/>
        <v>0</v>
      </c>
      <c r="CF59" s="240">
        <f t="shared" si="308"/>
        <v>0</v>
      </c>
      <c r="CG59" s="240">
        <f t="shared" si="309"/>
        <v>0</v>
      </c>
      <c r="CH59" s="240">
        <f t="shared" si="310"/>
        <v>0</v>
      </c>
      <c r="CI59" s="240">
        <f t="shared" si="311"/>
        <v>0</v>
      </c>
      <c r="CJ59" s="365">
        <f t="shared" si="312"/>
        <v>0</v>
      </c>
      <c r="CK59" s="240">
        <f t="shared" si="313"/>
        <v>0</v>
      </c>
      <c r="CL59" s="240">
        <f t="shared" si="314"/>
        <v>0</v>
      </c>
      <c r="CM59" s="240">
        <f t="shared" si="315"/>
        <v>0</v>
      </c>
      <c r="CN59" s="245">
        <f t="shared" si="316"/>
        <v>38.43</v>
      </c>
      <c r="CO59" s="245">
        <f t="shared" si="317"/>
        <v>0</v>
      </c>
      <c r="CP59" s="245">
        <f t="shared" si="318"/>
        <v>0</v>
      </c>
      <c r="CQ59" s="245">
        <f t="shared" si="319"/>
        <v>0</v>
      </c>
      <c r="CR59" s="245">
        <f t="shared" si="320"/>
        <v>0</v>
      </c>
      <c r="CS59" s="245">
        <f t="shared" si="321"/>
        <v>0</v>
      </c>
      <c r="CT59" s="364">
        <f t="shared" si="322"/>
        <v>0</v>
      </c>
      <c r="CU59" s="363">
        <f t="shared" si="323"/>
        <v>1</v>
      </c>
      <c r="CV59" s="363">
        <f t="shared" si="324"/>
        <v>0</v>
      </c>
      <c r="CW59" s="363">
        <f t="shared" si="325"/>
        <v>0</v>
      </c>
      <c r="CX59" s="363">
        <f t="shared" si="326"/>
        <v>0</v>
      </c>
      <c r="CY59" s="363">
        <f t="shared" si="327"/>
        <v>0</v>
      </c>
      <c r="CZ59" s="363">
        <f t="shared" si="328"/>
        <v>0</v>
      </c>
      <c r="DA59" s="362">
        <f t="shared" si="329"/>
        <v>2.1500000000000004</v>
      </c>
      <c r="DB59" s="361">
        <v>1.3</v>
      </c>
      <c r="DC59" s="361">
        <v>1.4</v>
      </c>
      <c r="DD59" s="361">
        <v>2</v>
      </c>
      <c r="DE59" s="361">
        <v>2</v>
      </c>
      <c r="DF59" s="360">
        <v>2</v>
      </c>
      <c r="DG59" s="252">
        <f t="shared" si="330"/>
        <v>0</v>
      </c>
      <c r="DH59" s="360">
        <f t="shared" si="331"/>
        <v>0</v>
      </c>
      <c r="DI59" s="360">
        <f t="shared" si="332"/>
        <v>0</v>
      </c>
      <c r="DJ59" s="360">
        <f t="shared" si="333"/>
        <v>0</v>
      </c>
      <c r="DK59" s="360">
        <f t="shared" si="334"/>
        <v>0</v>
      </c>
      <c r="DL59" s="360">
        <f t="shared" si="335"/>
        <v>0</v>
      </c>
      <c r="DM59" s="360">
        <f t="shared" si="336"/>
        <v>115.28999999999999</v>
      </c>
      <c r="DN59" s="360">
        <f t="shared" si="337"/>
        <v>115.28999999999999</v>
      </c>
      <c r="DO59" s="360">
        <f t="shared" si="338"/>
        <v>115.28999999999999</v>
      </c>
      <c r="DP59" s="360">
        <f t="shared" si="339"/>
        <v>5.7645000000000133</v>
      </c>
      <c r="DQ59" s="219"/>
    </row>
    <row r="60" spans="1:121" x14ac:dyDescent="0.25">
      <c r="A60" s="238" t="s">
        <v>2738</v>
      </c>
      <c r="B60" s="238"/>
      <c r="C60" s="238" t="str">
        <f>'Planilha Hidráulica'!B69</f>
        <v>PV1.4-&gt;PV2.4</v>
      </c>
      <c r="D60" s="239">
        <f>'Planilha Hidráulica'!T69</f>
        <v>2.4700000000000002</v>
      </c>
      <c r="E60" s="239">
        <f>'Planilha Hidráulica'!U69</f>
        <v>2.5</v>
      </c>
      <c r="F60" s="239">
        <f>'Planilha Hidráulica'!L69</f>
        <v>60</v>
      </c>
      <c r="G60" s="238">
        <f>'Planilha Hidráulica'!N69</f>
        <v>600</v>
      </c>
      <c r="H60" s="240">
        <f t="shared" si="243"/>
        <v>2.7050000000000005</v>
      </c>
      <c r="I60" s="241">
        <f t="shared" si="244"/>
        <v>8.115000000000002</v>
      </c>
      <c r="J60" s="368">
        <v>0</v>
      </c>
      <c r="K60" s="240">
        <f t="shared" si="245"/>
        <v>1.4</v>
      </c>
      <c r="L60" s="240">
        <f t="shared" si="246"/>
        <v>1.4</v>
      </c>
      <c r="M60" s="243">
        <f>'Planilha Hidráulica'!Z69</f>
        <v>400</v>
      </c>
      <c r="N60" s="240">
        <f t="shared" si="247"/>
        <v>84</v>
      </c>
      <c r="O60" s="367" t="str">
        <f>'Planilha Hidráulica'!Y69</f>
        <v>ASFALTO</v>
      </c>
      <c r="P60" s="367" t="s">
        <v>2739</v>
      </c>
      <c r="Q60" s="367">
        <v>0</v>
      </c>
      <c r="R60" s="367">
        <v>2.9</v>
      </c>
      <c r="S60" s="367">
        <v>1.4</v>
      </c>
      <c r="T60" s="240">
        <f t="shared" si="248"/>
        <v>0.1</v>
      </c>
      <c r="U60" s="245">
        <f t="shared" si="249"/>
        <v>7.5398223686155044</v>
      </c>
      <c r="V60" s="246">
        <f t="shared" si="250"/>
        <v>219.68017763138451</v>
      </c>
      <c r="W60" s="245">
        <f t="shared" si="251"/>
        <v>0</v>
      </c>
      <c r="X60" s="247">
        <f t="shared" si="252"/>
        <v>0</v>
      </c>
      <c r="Y60" s="245">
        <f t="shared" si="253"/>
        <v>2.7050000000000005</v>
      </c>
      <c r="Z60" s="245">
        <f t="shared" si="254"/>
        <v>0</v>
      </c>
      <c r="AA60" s="252">
        <f t="shared" si="255"/>
        <v>84</v>
      </c>
      <c r="AB60" s="361">
        <f t="shared" si="256"/>
        <v>0</v>
      </c>
      <c r="AC60" s="251">
        <f t="shared" si="257"/>
        <v>0</v>
      </c>
      <c r="AD60" s="251">
        <f t="shared" si="258"/>
        <v>0</v>
      </c>
      <c r="AE60" s="251">
        <f t="shared" si="259"/>
        <v>0</v>
      </c>
      <c r="AF60" s="251">
        <f t="shared" si="260"/>
        <v>0</v>
      </c>
      <c r="AG60" s="251">
        <f t="shared" si="261"/>
        <v>0</v>
      </c>
      <c r="AH60" s="251">
        <f t="shared" si="262"/>
        <v>0</v>
      </c>
      <c r="AI60" s="251">
        <f t="shared" si="263"/>
        <v>0</v>
      </c>
      <c r="AJ60" s="251">
        <f t="shared" si="264"/>
        <v>126</v>
      </c>
      <c r="AK60" s="251">
        <f t="shared" si="340"/>
        <v>93.680177631384538</v>
      </c>
      <c r="AL60" s="251">
        <f t="shared" si="265"/>
        <v>0</v>
      </c>
      <c r="AM60" s="251">
        <f t="shared" si="341"/>
        <v>0</v>
      </c>
      <c r="AN60" s="251">
        <f t="shared" si="342"/>
        <v>0</v>
      </c>
      <c r="AO60" s="251">
        <f t="shared" si="266"/>
        <v>0</v>
      </c>
      <c r="AP60" s="251">
        <f>IF(IF(K60&gt;2.5,IF(Y60&gt;=4,L60*F60*2,K60*F60*(Y60-2)),0)&lt;0,0,IF(K60&gt;2.5,IF(Y60&gt;=4,L60*F60*2,K60*F60*(Y60-2)),0))+IF(R60&lt;H60,0,IF(AND(Y60&lt;=4,Y60&gt;2,K60&gt;2.5),-U60,0))</f>
        <v>0</v>
      </c>
      <c r="AQ60" s="251">
        <f>IF(IF(K60&gt;2.5,IF(Y60&gt;=6,L60*F60*2,K60*F60*(Y60-4)),0)&lt;0,0,IF(K60&gt;2.5,IF(Y60&gt;=6,L60*F60*2,K60*F60*(Y60-4)),0))+IF(R60&lt;H60,0,IF(AND(Y60&lt;=6,Y60&gt;4,K60&gt;2.5),-U60,0))</f>
        <v>0</v>
      </c>
      <c r="AR60" s="253">
        <f t="shared" si="269"/>
        <v>0</v>
      </c>
      <c r="AS60" s="253">
        <f t="shared" si="270"/>
        <v>1.0440000000000005</v>
      </c>
      <c r="AT60" s="253">
        <f t="shared" si="271"/>
        <v>210.25539967061516</v>
      </c>
      <c r="AU60" s="241">
        <f t="shared" si="272"/>
        <v>8.4</v>
      </c>
      <c r="AV60" s="246">
        <f t="shared" si="273"/>
        <v>0</v>
      </c>
      <c r="AW60" s="253">
        <f t="shared" si="274"/>
        <v>0</v>
      </c>
      <c r="AX60" s="253">
        <f t="shared" si="275"/>
        <v>0</v>
      </c>
      <c r="AY60" s="253">
        <f t="shared" si="276"/>
        <v>0.89999999999999991</v>
      </c>
      <c r="AZ60" s="253">
        <f t="shared" si="277"/>
        <v>58.635399670615115</v>
      </c>
      <c r="BA60" s="253">
        <f t="shared" si="278"/>
        <v>0</v>
      </c>
      <c r="BB60" s="253">
        <f t="shared" si="279"/>
        <v>12.6</v>
      </c>
      <c r="BC60" s="253">
        <f t="shared" si="280"/>
        <v>12.6</v>
      </c>
      <c r="BD60" s="253">
        <f t="shared" si="281"/>
        <v>2.5199999999999996</v>
      </c>
      <c r="BE60" s="531">
        <f t="shared" si="282"/>
        <v>118.02000000000005</v>
      </c>
      <c r="BF60" s="253">
        <f t="shared" si="283"/>
        <v>148.44477796076944</v>
      </c>
      <c r="BG60" s="253">
        <f t="shared" si="284"/>
        <v>118.02000000000005</v>
      </c>
      <c r="BH60" s="253">
        <f t="shared" si="285"/>
        <v>30.42477796076939</v>
      </c>
      <c r="BI60" s="253">
        <f t="shared" si="286"/>
        <v>0</v>
      </c>
      <c r="BJ60" s="241">
        <f t="shared" si="287"/>
        <v>0</v>
      </c>
      <c r="BK60" s="253">
        <f t="shared" si="288"/>
        <v>0</v>
      </c>
      <c r="BL60" s="253"/>
      <c r="BM60" s="253">
        <f t="shared" si="289"/>
        <v>0.504</v>
      </c>
      <c r="BN60" s="252">
        <f t="shared" si="290"/>
        <v>0</v>
      </c>
      <c r="BO60" s="366">
        <f t="shared" si="291"/>
        <v>0</v>
      </c>
      <c r="BP60" s="366">
        <f t="shared" si="292"/>
        <v>0</v>
      </c>
      <c r="BQ60" s="366">
        <f t="shared" si="293"/>
        <v>0</v>
      </c>
      <c r="BR60" s="240">
        <f t="shared" si="294"/>
        <v>0</v>
      </c>
      <c r="BS60" s="240">
        <f t="shared" si="295"/>
        <v>0</v>
      </c>
      <c r="BT60" s="240">
        <f t="shared" si="296"/>
        <v>2.7050000000000005</v>
      </c>
      <c r="BU60" s="240">
        <f t="shared" si="297"/>
        <v>60</v>
      </c>
      <c r="BV60" s="240">
        <f t="shared" si="298"/>
        <v>0</v>
      </c>
      <c r="BW60" s="240">
        <f t="shared" si="299"/>
        <v>0</v>
      </c>
      <c r="BX60" s="240">
        <f t="shared" si="300"/>
        <v>0</v>
      </c>
      <c r="BY60" s="240">
        <f t="shared" si="301"/>
        <v>0</v>
      </c>
      <c r="BZ60" s="240">
        <f t="shared" si="302"/>
        <v>0</v>
      </c>
      <c r="CA60" s="240">
        <f t="shared" si="303"/>
        <v>0</v>
      </c>
      <c r="CB60" s="240">
        <f t="shared" si="304"/>
        <v>0</v>
      </c>
      <c r="CC60" s="240">
        <f t="shared" si="305"/>
        <v>0</v>
      </c>
      <c r="CD60" s="240">
        <f t="shared" si="306"/>
        <v>0</v>
      </c>
      <c r="CE60" s="240">
        <f t="shared" si="307"/>
        <v>0</v>
      </c>
      <c r="CF60" s="240">
        <f t="shared" si="308"/>
        <v>0</v>
      </c>
      <c r="CG60" s="240">
        <f t="shared" si="309"/>
        <v>0</v>
      </c>
      <c r="CH60" s="240">
        <f t="shared" si="310"/>
        <v>0</v>
      </c>
      <c r="CI60" s="240">
        <f t="shared" si="311"/>
        <v>0</v>
      </c>
      <c r="CJ60" s="365">
        <f t="shared" si="312"/>
        <v>0</v>
      </c>
      <c r="CK60" s="240">
        <f t="shared" si="313"/>
        <v>0</v>
      </c>
      <c r="CL60" s="240">
        <f t="shared" si="314"/>
        <v>0</v>
      </c>
      <c r="CM60" s="240">
        <f t="shared" si="315"/>
        <v>0</v>
      </c>
      <c r="CN60" s="245">
        <f t="shared" si="316"/>
        <v>0</v>
      </c>
      <c r="CO60" s="245">
        <f t="shared" si="317"/>
        <v>0</v>
      </c>
      <c r="CP60" s="245">
        <f t="shared" si="318"/>
        <v>0</v>
      </c>
      <c r="CQ60" s="245">
        <f t="shared" si="319"/>
        <v>0</v>
      </c>
      <c r="CR60" s="245">
        <f t="shared" si="320"/>
        <v>0</v>
      </c>
      <c r="CS60" s="245">
        <f t="shared" si="321"/>
        <v>0</v>
      </c>
      <c r="CT60" s="364">
        <f t="shared" si="322"/>
        <v>0</v>
      </c>
      <c r="CU60" s="363">
        <f t="shared" si="323"/>
        <v>1</v>
      </c>
      <c r="CV60" s="363">
        <f t="shared" si="324"/>
        <v>1</v>
      </c>
      <c r="CW60" s="363">
        <f t="shared" si="325"/>
        <v>0</v>
      </c>
      <c r="CX60" s="363">
        <f t="shared" si="326"/>
        <v>0</v>
      </c>
      <c r="CY60" s="363">
        <f t="shared" si="327"/>
        <v>0</v>
      </c>
      <c r="CZ60" s="363">
        <f t="shared" si="328"/>
        <v>0</v>
      </c>
      <c r="DA60" s="362">
        <f t="shared" si="329"/>
        <v>1.1700000000000002</v>
      </c>
      <c r="DB60" s="361">
        <v>1.3</v>
      </c>
      <c r="DC60" s="361">
        <v>1.4</v>
      </c>
      <c r="DD60" s="361">
        <v>2</v>
      </c>
      <c r="DE60" s="361">
        <v>2</v>
      </c>
      <c r="DF60" s="360">
        <v>2</v>
      </c>
      <c r="DG60" s="252">
        <f t="shared" si="330"/>
        <v>180</v>
      </c>
      <c r="DH60" s="360">
        <f t="shared" si="331"/>
        <v>144.60000000000005</v>
      </c>
      <c r="DI60" s="360">
        <f t="shared" si="332"/>
        <v>0</v>
      </c>
      <c r="DJ60" s="360">
        <f t="shared" si="333"/>
        <v>0</v>
      </c>
      <c r="DK60" s="360">
        <f t="shared" si="334"/>
        <v>0</v>
      </c>
      <c r="DL60" s="360">
        <f t="shared" si="335"/>
        <v>0</v>
      </c>
      <c r="DM60" s="360">
        <f t="shared" si="336"/>
        <v>0</v>
      </c>
      <c r="DN60" s="360">
        <f t="shared" si="337"/>
        <v>0</v>
      </c>
      <c r="DO60" s="360">
        <f t="shared" si="338"/>
        <v>0</v>
      </c>
      <c r="DP60" s="360">
        <f t="shared" si="339"/>
        <v>0</v>
      </c>
      <c r="DQ60" s="219"/>
    </row>
    <row r="61" spans="1:121" x14ac:dyDescent="0.25">
      <c r="A61" s="238" t="s">
        <v>2738</v>
      </c>
      <c r="B61" s="238"/>
      <c r="C61" s="238" t="str">
        <f>'Planilha Hidráulica'!B70</f>
        <v>PV2.4-&gt;PV3.4</v>
      </c>
      <c r="D61" s="239">
        <f>'Planilha Hidráulica'!T70</f>
        <v>2.5</v>
      </c>
      <c r="E61" s="239">
        <f>'Planilha Hidráulica'!U70</f>
        <v>2.5</v>
      </c>
      <c r="F61" s="239">
        <f>'Planilha Hidráulica'!L70</f>
        <v>60</v>
      </c>
      <c r="G61" s="238">
        <f>'Planilha Hidráulica'!N70</f>
        <v>600</v>
      </c>
      <c r="H61" s="240">
        <f t="shared" si="243"/>
        <v>2.72</v>
      </c>
      <c r="I61" s="241">
        <f t="shared" si="244"/>
        <v>8.16</v>
      </c>
      <c r="J61" s="368">
        <v>0</v>
      </c>
      <c r="K61" s="240">
        <f t="shared" si="245"/>
        <v>1.4</v>
      </c>
      <c r="L61" s="240">
        <f t="shared" si="246"/>
        <v>1.4</v>
      </c>
      <c r="M61" s="243">
        <f>'Planilha Hidráulica'!Z70</f>
        <v>500</v>
      </c>
      <c r="N61" s="240">
        <f t="shared" si="247"/>
        <v>84</v>
      </c>
      <c r="O61" s="367" t="str">
        <f>'Planilha Hidráulica'!Y70</f>
        <v>ASFALTO</v>
      </c>
      <c r="P61" s="367" t="s">
        <v>2737</v>
      </c>
      <c r="Q61" s="367">
        <v>1</v>
      </c>
      <c r="R61" s="367">
        <v>8.7100000000000009</v>
      </c>
      <c r="S61" s="367">
        <v>1.9</v>
      </c>
      <c r="T61" s="240">
        <f t="shared" si="248"/>
        <v>0.1</v>
      </c>
      <c r="U61" s="245">
        <f t="shared" si="249"/>
        <v>11.780972450961723</v>
      </c>
      <c r="V61" s="246">
        <f t="shared" si="250"/>
        <v>250.29902754903827</v>
      </c>
      <c r="W61" s="245">
        <f t="shared" si="251"/>
        <v>33.599999999999966</v>
      </c>
      <c r="X61" s="247">
        <f t="shared" si="252"/>
        <v>0.4</v>
      </c>
      <c r="Y61" s="245">
        <f t="shared" si="253"/>
        <v>2.72</v>
      </c>
      <c r="Z61" s="245">
        <f t="shared" si="254"/>
        <v>0</v>
      </c>
      <c r="AA61" s="252">
        <f t="shared" si="255"/>
        <v>84</v>
      </c>
      <c r="AB61" s="361">
        <f t="shared" si="256"/>
        <v>0</v>
      </c>
      <c r="AC61" s="251">
        <f t="shared" si="257"/>
        <v>0</v>
      </c>
      <c r="AD61" s="251">
        <f t="shared" si="258"/>
        <v>0</v>
      </c>
      <c r="AE61" s="251">
        <f t="shared" si="259"/>
        <v>33.6</v>
      </c>
      <c r="AF61" s="251">
        <f t="shared" si="260"/>
        <v>0</v>
      </c>
      <c r="AG61" s="251">
        <f t="shared" si="261"/>
        <v>0</v>
      </c>
      <c r="AH61" s="251">
        <f t="shared" si="262"/>
        <v>0</v>
      </c>
      <c r="AI61" s="251">
        <f t="shared" si="263"/>
        <v>0</v>
      </c>
      <c r="AJ61" s="251">
        <f t="shared" si="264"/>
        <v>126</v>
      </c>
      <c r="AK61" s="251">
        <f t="shared" si="340"/>
        <v>90.699027549038291</v>
      </c>
      <c r="AL61" s="251">
        <f t="shared" si="265"/>
        <v>0</v>
      </c>
      <c r="AM61" s="251">
        <f t="shared" si="341"/>
        <v>0</v>
      </c>
      <c r="AN61" s="251">
        <f t="shared" si="342"/>
        <v>0</v>
      </c>
      <c r="AO61" s="251">
        <f t="shared" si="266"/>
        <v>0</v>
      </c>
      <c r="AP61" s="251">
        <f>IF(IF(K61&gt;2.5,IF(Y61&gt;=4,L61*F61*2,K61*F61*(Y61-2)),0)&lt;0,0,IF(K61&gt;2.5,IF(Y61&gt;=4,L61*F61*2,K61*F61*(Y61-2)),0))+IF(R61&lt;H61,0,IF(AND(Y61&lt;=4,Y61&gt;2,K61&gt;2.5),-U61,0))</f>
        <v>0</v>
      </c>
      <c r="AQ61" s="251">
        <f>IF(IF(K61&gt;2.5,IF(Y61&gt;=6,L61*F61*2,K61*F61*(Y61-4)),0)&lt;0,0,IF(K61&gt;2.5,IF(Y61&gt;=6,L61*F61*2,K61*F61*(Y61-4)),0))+IF(R61&lt;H61,0,IF(AND(Y61&lt;=6,Y61&gt;4,K61&gt;2.5),-U61,0))</f>
        <v>0</v>
      </c>
      <c r="AR61" s="253">
        <f t="shared" si="269"/>
        <v>0</v>
      </c>
      <c r="AS61" s="253">
        <f t="shared" si="270"/>
        <v>0.65600000000000025</v>
      </c>
      <c r="AT61" s="253">
        <f t="shared" si="271"/>
        <v>245.11539967061512</v>
      </c>
      <c r="AU61" s="241">
        <f t="shared" si="272"/>
        <v>8.4</v>
      </c>
      <c r="AV61" s="246">
        <f t="shared" si="273"/>
        <v>0</v>
      </c>
      <c r="AW61" s="253">
        <f t="shared" si="274"/>
        <v>33.599999999999994</v>
      </c>
      <c r="AX61" s="253">
        <f t="shared" si="275"/>
        <v>0</v>
      </c>
      <c r="AY61" s="253">
        <f t="shared" si="276"/>
        <v>0.89999999999999991</v>
      </c>
      <c r="AZ61" s="253">
        <f t="shared" si="277"/>
        <v>58.635399670615115</v>
      </c>
      <c r="BA61" s="253">
        <f t="shared" si="278"/>
        <v>0</v>
      </c>
      <c r="BB61" s="253">
        <f t="shared" si="279"/>
        <v>12.6</v>
      </c>
      <c r="BC61" s="253">
        <f t="shared" si="280"/>
        <v>12.6</v>
      </c>
      <c r="BD61" s="253">
        <f t="shared" si="281"/>
        <v>2.5199999999999996</v>
      </c>
      <c r="BE61" s="531">
        <f t="shared" si="282"/>
        <v>119.28000000000002</v>
      </c>
      <c r="BF61" s="253">
        <f t="shared" si="283"/>
        <v>111.8636278784232</v>
      </c>
      <c r="BG61" s="253">
        <f t="shared" si="284"/>
        <v>111.8636278784232</v>
      </c>
      <c r="BH61" s="253">
        <f t="shared" si="285"/>
        <v>0</v>
      </c>
      <c r="BI61" s="253">
        <f t="shared" si="286"/>
        <v>7.4163721215768135</v>
      </c>
      <c r="BJ61" s="241">
        <f t="shared" si="287"/>
        <v>7.4163721215768135</v>
      </c>
      <c r="BK61" s="253">
        <f t="shared" si="288"/>
        <v>0</v>
      </c>
      <c r="BL61" s="253"/>
      <c r="BM61" s="253">
        <f t="shared" si="289"/>
        <v>1.8479999999999999</v>
      </c>
      <c r="BN61" s="252">
        <f t="shared" si="290"/>
        <v>0</v>
      </c>
      <c r="BO61" s="366">
        <f t="shared" si="291"/>
        <v>0</v>
      </c>
      <c r="BP61" s="366">
        <f t="shared" si="292"/>
        <v>0</v>
      </c>
      <c r="BQ61" s="366">
        <f t="shared" si="293"/>
        <v>0</v>
      </c>
      <c r="BR61" s="240">
        <f t="shared" si="294"/>
        <v>0</v>
      </c>
      <c r="BS61" s="240">
        <f t="shared" si="295"/>
        <v>0</v>
      </c>
      <c r="BT61" s="240">
        <f t="shared" si="296"/>
        <v>2.72</v>
      </c>
      <c r="BU61" s="240">
        <f t="shared" si="297"/>
        <v>60</v>
      </c>
      <c r="BV61" s="240">
        <f t="shared" si="298"/>
        <v>0</v>
      </c>
      <c r="BW61" s="240">
        <f t="shared" si="299"/>
        <v>0</v>
      </c>
      <c r="BX61" s="240">
        <f t="shared" si="300"/>
        <v>0</v>
      </c>
      <c r="BY61" s="240">
        <f t="shared" si="301"/>
        <v>0</v>
      </c>
      <c r="BZ61" s="240">
        <f t="shared" si="302"/>
        <v>0</v>
      </c>
      <c r="CA61" s="240">
        <f t="shared" si="303"/>
        <v>0</v>
      </c>
      <c r="CB61" s="240">
        <f t="shared" si="304"/>
        <v>0</v>
      </c>
      <c r="CC61" s="240">
        <f t="shared" si="305"/>
        <v>0</v>
      </c>
      <c r="CD61" s="240">
        <f t="shared" si="306"/>
        <v>0</v>
      </c>
      <c r="CE61" s="240">
        <f t="shared" si="307"/>
        <v>0</v>
      </c>
      <c r="CF61" s="240">
        <f t="shared" si="308"/>
        <v>0</v>
      </c>
      <c r="CG61" s="240">
        <f t="shared" si="309"/>
        <v>0</v>
      </c>
      <c r="CH61" s="240">
        <f t="shared" si="310"/>
        <v>0</v>
      </c>
      <c r="CI61" s="240">
        <f t="shared" si="311"/>
        <v>0</v>
      </c>
      <c r="CJ61" s="365">
        <f t="shared" si="312"/>
        <v>0</v>
      </c>
      <c r="CK61" s="240">
        <f t="shared" si="313"/>
        <v>0</v>
      </c>
      <c r="CL61" s="240">
        <f t="shared" si="314"/>
        <v>0</v>
      </c>
      <c r="CM61" s="240">
        <f t="shared" si="315"/>
        <v>0</v>
      </c>
      <c r="CN61" s="245">
        <f t="shared" si="316"/>
        <v>0</v>
      </c>
      <c r="CO61" s="245">
        <f t="shared" si="317"/>
        <v>0</v>
      </c>
      <c r="CP61" s="245">
        <f t="shared" si="318"/>
        <v>0</v>
      </c>
      <c r="CQ61" s="245">
        <f t="shared" si="319"/>
        <v>0</v>
      </c>
      <c r="CR61" s="245">
        <f t="shared" si="320"/>
        <v>0</v>
      </c>
      <c r="CS61" s="245">
        <f t="shared" si="321"/>
        <v>0</v>
      </c>
      <c r="CT61" s="364">
        <f t="shared" si="322"/>
        <v>0</v>
      </c>
      <c r="CU61" s="363">
        <f t="shared" si="323"/>
        <v>1</v>
      </c>
      <c r="CV61" s="363">
        <f t="shared" si="324"/>
        <v>1</v>
      </c>
      <c r="CW61" s="363">
        <f t="shared" si="325"/>
        <v>0</v>
      </c>
      <c r="CX61" s="363">
        <f t="shared" si="326"/>
        <v>0</v>
      </c>
      <c r="CY61" s="363">
        <f t="shared" si="327"/>
        <v>0</v>
      </c>
      <c r="CZ61" s="363">
        <f t="shared" si="328"/>
        <v>0</v>
      </c>
      <c r="DA61" s="362">
        <f t="shared" si="329"/>
        <v>1.2</v>
      </c>
      <c r="DB61" s="361">
        <v>1.3</v>
      </c>
      <c r="DC61" s="361">
        <v>1.4</v>
      </c>
      <c r="DD61" s="361">
        <v>2</v>
      </c>
      <c r="DE61" s="361">
        <v>2</v>
      </c>
      <c r="DF61" s="360">
        <v>2</v>
      </c>
      <c r="DG61" s="252">
        <f t="shared" si="330"/>
        <v>180</v>
      </c>
      <c r="DH61" s="360">
        <f t="shared" si="331"/>
        <v>146.40000000000003</v>
      </c>
      <c r="DI61" s="360">
        <f t="shared" si="332"/>
        <v>0</v>
      </c>
      <c r="DJ61" s="360">
        <f t="shared" si="333"/>
        <v>0</v>
      </c>
      <c r="DK61" s="360">
        <f t="shared" si="334"/>
        <v>0</v>
      </c>
      <c r="DL61" s="360">
        <f t="shared" si="335"/>
        <v>0</v>
      </c>
      <c r="DM61" s="360">
        <f t="shared" si="336"/>
        <v>0</v>
      </c>
      <c r="DN61" s="360">
        <f t="shared" si="337"/>
        <v>0</v>
      </c>
      <c r="DO61" s="360">
        <f t="shared" si="338"/>
        <v>0</v>
      </c>
      <c r="DP61" s="360">
        <f t="shared" si="339"/>
        <v>0</v>
      </c>
      <c r="DQ61" s="219"/>
    </row>
    <row r="62" spans="1:121" x14ac:dyDescent="0.25">
      <c r="A62" s="238" t="s">
        <v>2738</v>
      </c>
      <c r="B62" s="238"/>
      <c r="C62" s="238" t="str">
        <f>'Planilha Hidráulica'!B71</f>
        <v>PV3.4-&gt;PV8.1</v>
      </c>
      <c r="D62" s="239">
        <f>'Planilha Hidráulica'!T71</f>
        <v>2.72</v>
      </c>
      <c r="E62" s="239">
        <f>'Planilha Hidráulica'!U71</f>
        <v>2.72</v>
      </c>
      <c r="F62" s="239">
        <f>'Planilha Hidráulica'!L71</f>
        <v>60</v>
      </c>
      <c r="G62" s="238">
        <f>'Planilha Hidráulica'!N71</f>
        <v>800</v>
      </c>
      <c r="H62" s="240">
        <f t="shared" si="243"/>
        <v>2.9800000000000004</v>
      </c>
      <c r="I62" s="241">
        <f t="shared" si="244"/>
        <v>8.9400000000000013</v>
      </c>
      <c r="J62" s="368">
        <v>0</v>
      </c>
      <c r="K62" s="240">
        <f t="shared" si="245"/>
        <v>1.7</v>
      </c>
      <c r="L62" s="240">
        <f t="shared" si="246"/>
        <v>1.7</v>
      </c>
      <c r="M62" s="243">
        <f>'Planilha Hidráulica'!Z71</f>
        <v>500</v>
      </c>
      <c r="N62" s="240">
        <f t="shared" si="247"/>
        <v>102</v>
      </c>
      <c r="O62" s="367" t="str">
        <f>'Planilha Hidráulica'!Y71</f>
        <v>ASFALTO</v>
      </c>
      <c r="P62" s="367" t="s">
        <v>2737</v>
      </c>
      <c r="Q62" s="367">
        <v>1</v>
      </c>
      <c r="R62" s="367">
        <v>8.7100000000000009</v>
      </c>
      <c r="S62" s="367">
        <v>1.9</v>
      </c>
      <c r="T62" s="240">
        <f t="shared" si="248"/>
        <v>0.1</v>
      </c>
      <c r="U62" s="245">
        <f t="shared" si="249"/>
        <v>11.780972450961723</v>
      </c>
      <c r="V62" s="246">
        <f t="shared" si="250"/>
        <v>332.97902754903834</v>
      </c>
      <c r="W62" s="245">
        <f t="shared" si="251"/>
        <v>40.800000000000011</v>
      </c>
      <c r="X62" s="247">
        <f t="shared" si="252"/>
        <v>0.4</v>
      </c>
      <c r="Y62" s="245">
        <f t="shared" si="253"/>
        <v>2.9800000000000004</v>
      </c>
      <c r="Z62" s="245">
        <f t="shared" si="254"/>
        <v>0</v>
      </c>
      <c r="AA62" s="252">
        <f t="shared" si="255"/>
        <v>102</v>
      </c>
      <c r="AB62" s="361">
        <f t="shared" si="256"/>
        <v>0</v>
      </c>
      <c r="AC62" s="251">
        <f t="shared" si="257"/>
        <v>0</v>
      </c>
      <c r="AD62" s="251">
        <f t="shared" si="258"/>
        <v>0</v>
      </c>
      <c r="AE62" s="251">
        <f t="shared" si="259"/>
        <v>0</v>
      </c>
      <c r="AF62" s="251">
        <f t="shared" si="260"/>
        <v>0</v>
      </c>
      <c r="AG62" s="251">
        <f t="shared" si="261"/>
        <v>0</v>
      </c>
      <c r="AH62" s="251">
        <f t="shared" si="262"/>
        <v>40.800000000000004</v>
      </c>
      <c r="AI62" s="251">
        <f t="shared" si="263"/>
        <v>0</v>
      </c>
      <c r="AJ62" s="251">
        <f t="shared" si="264"/>
        <v>0</v>
      </c>
      <c r="AK62" s="251">
        <f t="shared" si="340"/>
        <v>0</v>
      </c>
      <c r="AL62" s="251">
        <f t="shared" si="265"/>
        <v>153</v>
      </c>
      <c r="AM62" s="251">
        <f t="shared" si="341"/>
        <v>139.17902754903832</v>
      </c>
      <c r="AN62" s="251">
        <f t="shared" si="342"/>
        <v>0</v>
      </c>
      <c r="AO62" s="251">
        <f t="shared" si="266"/>
        <v>0</v>
      </c>
      <c r="AP62" s="251">
        <f>IF(IF(K62&gt;2.5,IF(Y62&gt;=4,L62*F62*2,K62*F62*(Y62-2)),0)&lt;0,0,IF(K62&gt;2.5,IF(Y62&gt;=4,L62*F62*2,K62*F62*(Y62-2)),0))+IF(R62&lt;H62,0,IF(AND(Y62&lt;=4,Y62&gt;2,K62&gt;2.5),-U62,0))</f>
        <v>0</v>
      </c>
      <c r="AQ62" s="251">
        <f>IF(IF(K62&gt;2.5,IF(Y62&gt;=6,L62*F62*2,K62*F62*(Y62-4)),0)&lt;0,0,IF(K62&gt;2.5,IF(Y62&gt;=6,L62*F62*2,K62*F62*(Y62-4)),0))+IF(R62&lt;H62,0,IF(AND(Y62&lt;=6,Y62&gt;4,K62&gt;2.5),-U62,0))</f>
        <v>0</v>
      </c>
      <c r="AR62" s="253">
        <f t="shared" si="269"/>
        <v>0</v>
      </c>
      <c r="AS62" s="253">
        <f t="shared" si="270"/>
        <v>0.86400000000000032</v>
      </c>
      <c r="AT62" s="253">
        <f t="shared" si="271"/>
        <v>314.60071052553803</v>
      </c>
      <c r="AU62" s="241">
        <f t="shared" si="272"/>
        <v>0</v>
      </c>
      <c r="AV62" s="246">
        <f t="shared" si="273"/>
        <v>10.200000000000001</v>
      </c>
      <c r="AW62" s="253">
        <f t="shared" si="274"/>
        <v>40.799999999999997</v>
      </c>
      <c r="AX62" s="253">
        <f t="shared" si="275"/>
        <v>0</v>
      </c>
      <c r="AY62" s="253">
        <f t="shared" si="276"/>
        <v>1.1000000000000001</v>
      </c>
      <c r="AZ62" s="253">
        <f t="shared" si="277"/>
        <v>82.040710525537989</v>
      </c>
      <c r="BA62" s="253">
        <f t="shared" si="278"/>
        <v>0</v>
      </c>
      <c r="BB62" s="253">
        <f t="shared" si="279"/>
        <v>15.299999999999999</v>
      </c>
      <c r="BC62" s="253">
        <f t="shared" si="280"/>
        <v>15.299999999999999</v>
      </c>
      <c r="BD62" s="253">
        <f t="shared" si="281"/>
        <v>3.0599999999999996</v>
      </c>
      <c r="BE62" s="531">
        <f t="shared" si="282"/>
        <v>150.96000000000004</v>
      </c>
      <c r="BF62" s="253">
        <f t="shared" si="283"/>
        <v>154.03831702350033</v>
      </c>
      <c r="BG62" s="253">
        <f t="shared" si="284"/>
        <v>150.96000000000004</v>
      </c>
      <c r="BH62" s="253">
        <f t="shared" si="285"/>
        <v>3.0783170235002899</v>
      </c>
      <c r="BI62" s="253">
        <f t="shared" si="286"/>
        <v>0</v>
      </c>
      <c r="BJ62" s="241">
        <f t="shared" si="287"/>
        <v>0</v>
      </c>
      <c r="BK62" s="253">
        <f t="shared" si="288"/>
        <v>0</v>
      </c>
      <c r="BL62" s="253"/>
      <c r="BM62" s="253">
        <f t="shared" si="289"/>
        <v>2.2439999999999998</v>
      </c>
      <c r="BN62" s="252">
        <f t="shared" si="290"/>
        <v>0</v>
      </c>
      <c r="BO62" s="366">
        <f t="shared" si="291"/>
        <v>0</v>
      </c>
      <c r="BP62" s="366">
        <f t="shared" si="292"/>
        <v>0</v>
      </c>
      <c r="BQ62" s="366">
        <f t="shared" si="293"/>
        <v>0</v>
      </c>
      <c r="BR62" s="240">
        <f t="shared" si="294"/>
        <v>0</v>
      </c>
      <c r="BS62" s="240">
        <f t="shared" si="295"/>
        <v>0</v>
      </c>
      <c r="BT62" s="240">
        <f t="shared" si="296"/>
        <v>0</v>
      </c>
      <c r="BU62" s="240">
        <f t="shared" si="297"/>
        <v>0</v>
      </c>
      <c r="BV62" s="240">
        <f t="shared" si="298"/>
        <v>0</v>
      </c>
      <c r="BW62" s="240">
        <f t="shared" si="299"/>
        <v>0</v>
      </c>
      <c r="BX62" s="240">
        <f t="shared" si="300"/>
        <v>2.9800000000000004</v>
      </c>
      <c r="BY62" s="240">
        <f t="shared" si="301"/>
        <v>60</v>
      </c>
      <c r="BZ62" s="240">
        <f t="shared" si="302"/>
        <v>0</v>
      </c>
      <c r="CA62" s="240">
        <f t="shared" si="303"/>
        <v>0</v>
      </c>
      <c r="CB62" s="240">
        <f t="shared" si="304"/>
        <v>0</v>
      </c>
      <c r="CC62" s="240">
        <f t="shared" si="305"/>
        <v>0</v>
      </c>
      <c r="CD62" s="240">
        <f t="shared" si="306"/>
        <v>0</v>
      </c>
      <c r="CE62" s="240">
        <f t="shared" si="307"/>
        <v>0</v>
      </c>
      <c r="CF62" s="240">
        <f t="shared" si="308"/>
        <v>0</v>
      </c>
      <c r="CG62" s="240">
        <f t="shared" si="309"/>
        <v>0</v>
      </c>
      <c r="CH62" s="240">
        <f t="shared" si="310"/>
        <v>0</v>
      </c>
      <c r="CI62" s="240">
        <f t="shared" si="311"/>
        <v>0</v>
      </c>
      <c r="CJ62" s="365">
        <f t="shared" si="312"/>
        <v>0</v>
      </c>
      <c r="CK62" s="240">
        <f t="shared" si="313"/>
        <v>0</v>
      </c>
      <c r="CL62" s="240">
        <f t="shared" si="314"/>
        <v>0</v>
      </c>
      <c r="CM62" s="240">
        <f t="shared" si="315"/>
        <v>0</v>
      </c>
      <c r="CN62" s="245">
        <f t="shared" si="316"/>
        <v>0</v>
      </c>
      <c r="CO62" s="245">
        <f t="shared" si="317"/>
        <v>0</v>
      </c>
      <c r="CP62" s="245">
        <f t="shared" si="318"/>
        <v>0</v>
      </c>
      <c r="CQ62" s="245">
        <f t="shared" si="319"/>
        <v>0</v>
      </c>
      <c r="CR62" s="245">
        <f t="shared" si="320"/>
        <v>0</v>
      </c>
      <c r="CS62" s="245">
        <f t="shared" si="321"/>
        <v>0</v>
      </c>
      <c r="CT62" s="364">
        <f t="shared" si="322"/>
        <v>0</v>
      </c>
      <c r="CU62" s="363">
        <f t="shared" si="323"/>
        <v>1</v>
      </c>
      <c r="CV62" s="363">
        <f t="shared" si="324"/>
        <v>0</v>
      </c>
      <c r="CW62" s="363">
        <f t="shared" si="325"/>
        <v>1</v>
      </c>
      <c r="CX62" s="363">
        <f t="shared" si="326"/>
        <v>0</v>
      </c>
      <c r="CY62" s="363">
        <f t="shared" si="327"/>
        <v>0</v>
      </c>
      <c r="CZ62" s="363">
        <f t="shared" si="328"/>
        <v>0</v>
      </c>
      <c r="DA62" s="362">
        <f t="shared" si="329"/>
        <v>1.3200000000000003</v>
      </c>
      <c r="DB62" s="361">
        <v>1.3</v>
      </c>
      <c r="DC62" s="361">
        <v>1.4</v>
      </c>
      <c r="DD62" s="361">
        <v>2</v>
      </c>
      <c r="DE62" s="361">
        <v>2</v>
      </c>
      <c r="DF62" s="360">
        <v>2</v>
      </c>
      <c r="DG62" s="252">
        <f t="shared" si="330"/>
        <v>0</v>
      </c>
      <c r="DH62" s="360">
        <f t="shared" si="331"/>
        <v>0</v>
      </c>
      <c r="DI62" s="360">
        <f t="shared" si="332"/>
        <v>0</v>
      </c>
      <c r="DJ62" s="360">
        <f t="shared" si="333"/>
        <v>180</v>
      </c>
      <c r="DK62" s="360">
        <f t="shared" si="334"/>
        <v>177.60000000000005</v>
      </c>
      <c r="DL62" s="360">
        <f t="shared" si="335"/>
        <v>0</v>
      </c>
      <c r="DM62" s="360">
        <f t="shared" si="336"/>
        <v>0</v>
      </c>
      <c r="DN62" s="360">
        <f t="shared" si="337"/>
        <v>0</v>
      </c>
      <c r="DO62" s="360">
        <f t="shared" si="338"/>
        <v>0</v>
      </c>
      <c r="DP62" s="360">
        <f t="shared" si="339"/>
        <v>0</v>
      </c>
      <c r="DQ62" s="219"/>
    </row>
    <row r="63" spans="1:121" ht="25" x14ac:dyDescent="0.25">
      <c r="A63" s="238"/>
      <c r="B63" s="238"/>
      <c r="C63" s="238" t="str">
        <f>'Planilha Hidráulica'!B72</f>
        <v>PV8.1-&gt;PV9.1</v>
      </c>
      <c r="D63" s="239">
        <f>'Planilha Hidráulica'!T72</f>
        <v>3.8</v>
      </c>
      <c r="E63" s="239">
        <f>'Planilha Hidráulica'!U72</f>
        <v>2.76</v>
      </c>
      <c r="F63" s="239">
        <f>'Planilha Hidráulica'!L72</f>
        <v>39.020000000000003</v>
      </c>
      <c r="G63" s="238">
        <f>'Planilha Hidráulica'!N72</f>
        <v>1650</v>
      </c>
      <c r="H63" s="240">
        <f t="shared" si="243"/>
        <v>3.88</v>
      </c>
      <c r="I63" s="241">
        <f t="shared" si="244"/>
        <v>7.5698800000000004</v>
      </c>
      <c r="J63" s="368">
        <v>0</v>
      </c>
      <c r="K63" s="240">
        <f t="shared" si="245"/>
        <v>3</v>
      </c>
      <c r="L63" s="240">
        <f t="shared" si="246"/>
        <v>3</v>
      </c>
      <c r="M63" s="243">
        <f>'Planilha Hidráulica'!Z72</f>
        <v>1650</v>
      </c>
      <c r="N63" s="240">
        <f t="shared" si="247"/>
        <v>117.06</v>
      </c>
      <c r="O63" s="367" t="str">
        <f>'Planilha Hidráulica'!Y72</f>
        <v>TERRENO NATURAL</v>
      </c>
      <c r="P63" s="367" t="s">
        <v>2737</v>
      </c>
      <c r="Q63" s="367">
        <v>1</v>
      </c>
      <c r="R63" s="367">
        <v>8.7100000000000009</v>
      </c>
      <c r="S63" s="367">
        <v>1.9</v>
      </c>
      <c r="T63" s="240">
        <f t="shared" si="248"/>
        <v>0.2</v>
      </c>
      <c r="U63" s="245">
        <f t="shared" si="249"/>
        <v>83.434378424129562</v>
      </c>
      <c r="V63" s="246">
        <f t="shared" si="250"/>
        <v>417.58242157587046</v>
      </c>
      <c r="W63" s="245">
        <f t="shared" si="251"/>
        <v>0</v>
      </c>
      <c r="X63" s="247">
        <f t="shared" si="252"/>
        <v>0.4</v>
      </c>
      <c r="Y63" s="245">
        <f t="shared" si="253"/>
        <v>3.88</v>
      </c>
      <c r="Z63" s="245">
        <f t="shared" si="254"/>
        <v>0</v>
      </c>
      <c r="AA63" s="252">
        <f t="shared" si="255"/>
        <v>0</v>
      </c>
      <c r="AB63" s="361">
        <f t="shared" si="256"/>
        <v>0</v>
      </c>
      <c r="AC63" s="251">
        <f t="shared" si="257"/>
        <v>0</v>
      </c>
      <c r="AD63" s="251">
        <f t="shared" si="258"/>
        <v>0</v>
      </c>
      <c r="AE63" s="251">
        <f t="shared" si="259"/>
        <v>0</v>
      </c>
      <c r="AF63" s="251">
        <f t="shared" si="260"/>
        <v>0</v>
      </c>
      <c r="AG63" s="251">
        <f t="shared" si="261"/>
        <v>0</v>
      </c>
      <c r="AH63" s="251">
        <f t="shared" si="262"/>
        <v>0</v>
      </c>
      <c r="AI63" s="251">
        <f t="shared" si="263"/>
        <v>0</v>
      </c>
      <c r="AJ63" s="251">
        <f t="shared" si="264"/>
        <v>0</v>
      </c>
      <c r="AK63" s="251">
        <f t="shared" si="340"/>
        <v>0</v>
      </c>
      <c r="AL63" s="251">
        <f t="shared" si="265"/>
        <v>0</v>
      </c>
      <c r="AM63" s="251">
        <f t="shared" si="341"/>
        <v>0</v>
      </c>
      <c r="AN63" s="251">
        <f t="shared" si="342"/>
        <v>0</v>
      </c>
      <c r="AO63" s="251">
        <f t="shared" si="266"/>
        <v>234.12</v>
      </c>
      <c r="AP63" s="251">
        <f>IF(IF(K63&gt;2.5,IF(Y63&gt;=4,L63*F63*2,K63*F63*(Y63-2)),0)&lt;0,0,IF(K63&gt;2.5,IF(Y63&gt;=4,L63*F63*2,K63*F63*(Y63-2)),0))-U63</f>
        <v>136.63842157587044</v>
      </c>
      <c r="AQ63" s="251">
        <f>IF(IF(K63&gt;2.5,IF(Y63&gt;=6,L63*F63*2,K63*F63*(Y63-4)),0)&lt;0,0,IF(K63&gt;2.5,IF(Y63&gt;=6,L63*F63*2,K63*F63*(Y63-4)),0))</f>
        <v>0</v>
      </c>
      <c r="AR63" s="253">
        <f t="shared" si="269"/>
        <v>46.824000000000012</v>
      </c>
      <c r="AS63" s="253">
        <f t="shared" si="270"/>
        <v>1.0301280000000002</v>
      </c>
      <c r="AT63" s="253">
        <f t="shared" si="271"/>
        <v>417.58242157587046</v>
      </c>
      <c r="AU63" s="241">
        <f t="shared" si="272"/>
        <v>0</v>
      </c>
      <c r="AV63" s="246">
        <f t="shared" si="273"/>
        <v>23.412000000000003</v>
      </c>
      <c r="AW63" s="253">
        <f t="shared" si="274"/>
        <v>46.824000000000005</v>
      </c>
      <c r="AX63" s="253">
        <f t="shared" si="275"/>
        <v>0</v>
      </c>
      <c r="AY63" s="253">
        <f t="shared" si="276"/>
        <v>1.95</v>
      </c>
      <c r="AZ63" s="253">
        <f t="shared" si="277"/>
        <v>144.83262157587043</v>
      </c>
      <c r="BA63" s="253">
        <f t="shared" si="278"/>
        <v>0</v>
      </c>
      <c r="BB63" s="253">
        <f t="shared" si="279"/>
        <v>0</v>
      </c>
      <c r="BC63" s="253">
        <f t="shared" si="280"/>
        <v>0</v>
      </c>
      <c r="BD63" s="253">
        <f t="shared" si="281"/>
        <v>0</v>
      </c>
      <c r="BE63" s="531">
        <f t="shared" si="282"/>
        <v>202.51380000000003</v>
      </c>
      <c r="BF63" s="253">
        <f t="shared" si="283"/>
        <v>179.1018</v>
      </c>
      <c r="BG63" s="253">
        <f t="shared" si="284"/>
        <v>179.1018</v>
      </c>
      <c r="BH63" s="253">
        <f t="shared" si="285"/>
        <v>0</v>
      </c>
      <c r="BI63" s="253">
        <f t="shared" si="286"/>
        <v>23.412000000000035</v>
      </c>
      <c r="BJ63" s="241">
        <f t="shared" si="287"/>
        <v>23.412000000000035</v>
      </c>
      <c r="BK63" s="253">
        <f t="shared" si="288"/>
        <v>0</v>
      </c>
      <c r="BL63" s="253"/>
      <c r="BM63" s="253">
        <f t="shared" si="289"/>
        <v>1.8729600000000002</v>
      </c>
      <c r="BN63" s="252">
        <f t="shared" si="290"/>
        <v>0</v>
      </c>
      <c r="BO63" s="366">
        <f t="shared" si="291"/>
        <v>0</v>
      </c>
      <c r="BP63" s="366">
        <f t="shared" si="292"/>
        <v>0</v>
      </c>
      <c r="BQ63" s="366">
        <f t="shared" si="293"/>
        <v>0</v>
      </c>
      <c r="BR63" s="240">
        <f t="shared" si="294"/>
        <v>0</v>
      </c>
      <c r="BS63" s="240">
        <f t="shared" si="295"/>
        <v>0</v>
      </c>
      <c r="BT63" s="240">
        <f t="shared" si="296"/>
        <v>0</v>
      </c>
      <c r="BU63" s="240">
        <f t="shared" si="297"/>
        <v>0</v>
      </c>
      <c r="BV63" s="240">
        <f t="shared" si="298"/>
        <v>0</v>
      </c>
      <c r="BW63" s="240">
        <f t="shared" si="299"/>
        <v>0</v>
      </c>
      <c r="BX63" s="240">
        <f t="shared" si="300"/>
        <v>0</v>
      </c>
      <c r="BY63" s="240">
        <f t="shared" si="301"/>
        <v>0</v>
      </c>
      <c r="BZ63" s="240">
        <f t="shared" si="302"/>
        <v>0</v>
      </c>
      <c r="CA63" s="240">
        <f t="shared" si="303"/>
        <v>0</v>
      </c>
      <c r="CB63" s="240">
        <f t="shared" si="304"/>
        <v>0</v>
      </c>
      <c r="CC63" s="240">
        <f t="shared" si="305"/>
        <v>0</v>
      </c>
      <c r="CD63" s="240">
        <f t="shared" si="306"/>
        <v>0</v>
      </c>
      <c r="CE63" s="240">
        <f t="shared" si="307"/>
        <v>0</v>
      </c>
      <c r="CF63" s="240">
        <f t="shared" si="308"/>
        <v>0</v>
      </c>
      <c r="CG63" s="240">
        <f t="shared" si="309"/>
        <v>0</v>
      </c>
      <c r="CH63" s="240">
        <f t="shared" si="310"/>
        <v>0</v>
      </c>
      <c r="CI63" s="240">
        <f t="shared" si="311"/>
        <v>0</v>
      </c>
      <c r="CJ63" s="365">
        <f t="shared" si="312"/>
        <v>0</v>
      </c>
      <c r="CK63" s="240">
        <f t="shared" si="313"/>
        <v>0</v>
      </c>
      <c r="CL63" s="240">
        <f t="shared" si="314"/>
        <v>0</v>
      </c>
      <c r="CM63" s="240">
        <f t="shared" si="315"/>
        <v>0</v>
      </c>
      <c r="CN63" s="245">
        <f t="shared" si="316"/>
        <v>39.020000000000003</v>
      </c>
      <c r="CO63" s="245">
        <f t="shared" si="317"/>
        <v>0</v>
      </c>
      <c r="CP63" s="245">
        <f t="shared" si="318"/>
        <v>0</v>
      </c>
      <c r="CQ63" s="245">
        <f t="shared" si="319"/>
        <v>0</v>
      </c>
      <c r="CR63" s="245">
        <f t="shared" si="320"/>
        <v>0</v>
      </c>
      <c r="CS63" s="245">
        <f t="shared" si="321"/>
        <v>0</v>
      </c>
      <c r="CT63" s="364">
        <f t="shared" si="322"/>
        <v>0</v>
      </c>
      <c r="CU63" s="363">
        <f t="shared" si="323"/>
        <v>1</v>
      </c>
      <c r="CV63" s="363">
        <f t="shared" si="324"/>
        <v>0</v>
      </c>
      <c r="CW63" s="363">
        <f t="shared" si="325"/>
        <v>0</v>
      </c>
      <c r="CX63" s="363">
        <f t="shared" si="326"/>
        <v>0</v>
      </c>
      <c r="CY63" s="363">
        <f t="shared" si="327"/>
        <v>0</v>
      </c>
      <c r="CZ63" s="363">
        <f t="shared" si="328"/>
        <v>0</v>
      </c>
      <c r="DA63" s="362">
        <f t="shared" si="329"/>
        <v>1.7999999999999998</v>
      </c>
      <c r="DB63" s="361">
        <v>1.3</v>
      </c>
      <c r="DC63" s="361">
        <v>1.4</v>
      </c>
      <c r="DD63" s="361">
        <v>2</v>
      </c>
      <c r="DE63" s="361">
        <v>2</v>
      </c>
      <c r="DF63" s="360">
        <v>2</v>
      </c>
      <c r="DG63" s="252">
        <f t="shared" si="330"/>
        <v>0</v>
      </c>
      <c r="DH63" s="360">
        <f t="shared" si="331"/>
        <v>0</v>
      </c>
      <c r="DI63" s="360">
        <f t="shared" si="332"/>
        <v>0</v>
      </c>
      <c r="DJ63" s="360">
        <f t="shared" si="333"/>
        <v>0</v>
      </c>
      <c r="DK63" s="360">
        <f t="shared" si="334"/>
        <v>0</v>
      </c>
      <c r="DL63" s="360">
        <f t="shared" si="335"/>
        <v>0</v>
      </c>
      <c r="DM63" s="360">
        <f t="shared" si="336"/>
        <v>117.06</v>
      </c>
      <c r="DN63" s="360">
        <f t="shared" si="337"/>
        <v>117.06</v>
      </c>
      <c r="DO63" s="360">
        <f t="shared" si="338"/>
        <v>68.675200000000004</v>
      </c>
      <c r="DP63" s="360">
        <f t="shared" si="339"/>
        <v>0</v>
      </c>
      <c r="DQ63" s="219"/>
    </row>
    <row r="64" spans="1:121" ht="25" x14ac:dyDescent="0.25">
      <c r="A64" s="238"/>
      <c r="B64" s="238"/>
      <c r="C64" s="238" t="str">
        <f>'Planilha Hidráulica'!B73</f>
        <v>PV9.1-&gt;PV10.1</v>
      </c>
      <c r="D64" s="239">
        <f>'Planilha Hidráulica'!T73</f>
        <v>2.76</v>
      </c>
      <c r="E64" s="239">
        <f>'Planilha Hidráulica'!U73</f>
        <v>2.11</v>
      </c>
      <c r="F64" s="239">
        <f>'Planilha Hidráulica'!L73</f>
        <v>39.020000000000003</v>
      </c>
      <c r="G64" s="238">
        <f>'Planilha Hidráulica'!N73</f>
        <v>1650</v>
      </c>
      <c r="H64" s="240">
        <f t="shared" si="243"/>
        <v>3.0349999999999997</v>
      </c>
      <c r="I64" s="241">
        <f t="shared" si="244"/>
        <v>5.9212849999999992</v>
      </c>
      <c r="J64" s="368">
        <v>0</v>
      </c>
      <c r="K64" s="240">
        <f t="shared" si="245"/>
        <v>3</v>
      </c>
      <c r="L64" s="240">
        <f t="shared" si="246"/>
        <v>3</v>
      </c>
      <c r="M64" s="243">
        <f>'Planilha Hidráulica'!Z73</f>
        <v>1650</v>
      </c>
      <c r="N64" s="240">
        <f t="shared" si="247"/>
        <v>117.06</v>
      </c>
      <c r="O64" s="367" t="str">
        <f>'Planilha Hidráulica'!Y73</f>
        <v>TERRENO NATURAL</v>
      </c>
      <c r="P64" s="367" t="s">
        <v>2737</v>
      </c>
      <c r="Q64" s="367">
        <v>1</v>
      </c>
      <c r="R64" s="367">
        <v>8.7100000000000009</v>
      </c>
      <c r="S64" s="367">
        <v>1.9</v>
      </c>
      <c r="T64" s="240">
        <f t="shared" si="248"/>
        <v>0.2</v>
      </c>
      <c r="U64" s="245">
        <f t="shared" si="249"/>
        <v>83.434378424129562</v>
      </c>
      <c r="V64" s="246">
        <f t="shared" si="250"/>
        <v>318.66672157587044</v>
      </c>
      <c r="W64" s="245">
        <f t="shared" si="251"/>
        <v>0</v>
      </c>
      <c r="X64" s="247">
        <f t="shared" si="252"/>
        <v>0.4</v>
      </c>
      <c r="Y64" s="245">
        <f t="shared" si="253"/>
        <v>3.0349999999999997</v>
      </c>
      <c r="Z64" s="245">
        <f t="shared" si="254"/>
        <v>0</v>
      </c>
      <c r="AA64" s="252">
        <f t="shared" si="255"/>
        <v>0</v>
      </c>
      <c r="AB64" s="361">
        <f t="shared" si="256"/>
        <v>0</v>
      </c>
      <c r="AC64" s="251">
        <f t="shared" si="257"/>
        <v>0</v>
      </c>
      <c r="AD64" s="251">
        <f t="shared" si="258"/>
        <v>0</v>
      </c>
      <c r="AE64" s="251">
        <f t="shared" si="259"/>
        <v>0</v>
      </c>
      <c r="AF64" s="251">
        <f t="shared" si="260"/>
        <v>0</v>
      </c>
      <c r="AG64" s="251">
        <f t="shared" si="261"/>
        <v>0</v>
      </c>
      <c r="AH64" s="251">
        <f t="shared" si="262"/>
        <v>0</v>
      </c>
      <c r="AI64" s="251">
        <f t="shared" si="263"/>
        <v>0</v>
      </c>
      <c r="AJ64" s="251">
        <f t="shared" si="264"/>
        <v>0</v>
      </c>
      <c r="AK64" s="251">
        <f t="shared" si="340"/>
        <v>0</v>
      </c>
      <c r="AL64" s="251">
        <f t="shared" si="265"/>
        <v>0</v>
      </c>
      <c r="AM64" s="251">
        <f t="shared" si="341"/>
        <v>0</v>
      </c>
      <c r="AN64" s="251">
        <f t="shared" si="342"/>
        <v>0</v>
      </c>
      <c r="AO64" s="251">
        <f t="shared" si="266"/>
        <v>234.12</v>
      </c>
      <c r="AP64" s="251">
        <f>IF(IF(K64&gt;2.5,IF(Y64&gt;=4,L64*F64*2,K64*F64*(Y64-2)),0)&lt;0,0,IF(K64&gt;2.5,IF(Y64&gt;=4,L64*F64*2,K64*F64*(Y64-2)),0))+IF(R64&lt;H64,0,IF(AND(Y64&lt;=4,Y64&gt;2,K64&gt;2.5),-U64,0))</f>
        <v>37.722721575870409</v>
      </c>
      <c r="AQ64" s="251">
        <f>IF(IF(K64&gt;2.5,IF(Y64&gt;=6,L64*F64*2,K64*F64*(Y64-4)),0)&lt;0,0,IF(K64&gt;2.5,IF(Y64&gt;=6,L64*F64*2,K64*F64*(Y64-4)),0))+IF(R64&lt;H64,0,IF(AND(Y64&lt;=6,Y64&gt;4,K64&gt;2.5),-U64,0))</f>
        <v>0</v>
      </c>
      <c r="AR64" s="253">
        <f t="shared" si="269"/>
        <v>46.824000000000012</v>
      </c>
      <c r="AS64" s="253">
        <f t="shared" si="270"/>
        <v>0.59050266666666662</v>
      </c>
      <c r="AT64" s="253">
        <f t="shared" si="271"/>
        <v>318.66672157587044</v>
      </c>
      <c r="AU64" s="241">
        <f t="shared" si="272"/>
        <v>0</v>
      </c>
      <c r="AV64" s="246">
        <f t="shared" si="273"/>
        <v>23.412000000000003</v>
      </c>
      <c r="AW64" s="253">
        <f t="shared" si="274"/>
        <v>46.824000000000005</v>
      </c>
      <c r="AX64" s="253">
        <f t="shared" si="275"/>
        <v>0</v>
      </c>
      <c r="AY64" s="253">
        <f t="shared" si="276"/>
        <v>1.95</v>
      </c>
      <c r="AZ64" s="253">
        <f t="shared" si="277"/>
        <v>144.83262157587043</v>
      </c>
      <c r="BA64" s="253">
        <f t="shared" si="278"/>
        <v>0</v>
      </c>
      <c r="BB64" s="253">
        <f t="shared" si="279"/>
        <v>0</v>
      </c>
      <c r="BC64" s="253">
        <f t="shared" si="280"/>
        <v>0</v>
      </c>
      <c r="BD64" s="253">
        <f t="shared" si="281"/>
        <v>0</v>
      </c>
      <c r="BE64" s="531">
        <f t="shared" si="282"/>
        <v>103.59809999999999</v>
      </c>
      <c r="BF64" s="253">
        <f t="shared" si="283"/>
        <v>80.186099999999982</v>
      </c>
      <c r="BG64" s="253">
        <f t="shared" si="284"/>
        <v>80.186099999999982</v>
      </c>
      <c r="BH64" s="253">
        <f t="shared" si="285"/>
        <v>0</v>
      </c>
      <c r="BI64" s="253">
        <f t="shared" si="286"/>
        <v>23.412000000000006</v>
      </c>
      <c r="BJ64" s="241">
        <f t="shared" si="287"/>
        <v>23.412000000000006</v>
      </c>
      <c r="BK64" s="253">
        <f t="shared" si="288"/>
        <v>0</v>
      </c>
      <c r="BL64" s="253"/>
      <c r="BM64" s="253">
        <f t="shared" si="289"/>
        <v>1.8729600000000002</v>
      </c>
      <c r="BN64" s="252">
        <f t="shared" si="290"/>
        <v>0</v>
      </c>
      <c r="BO64" s="366">
        <f t="shared" si="291"/>
        <v>0</v>
      </c>
      <c r="BP64" s="366">
        <f t="shared" si="292"/>
        <v>0</v>
      </c>
      <c r="BQ64" s="366">
        <f t="shared" si="293"/>
        <v>0</v>
      </c>
      <c r="BR64" s="240">
        <f t="shared" si="294"/>
        <v>0</v>
      </c>
      <c r="BS64" s="240">
        <f t="shared" si="295"/>
        <v>0</v>
      </c>
      <c r="BT64" s="240">
        <f t="shared" si="296"/>
        <v>0</v>
      </c>
      <c r="BU64" s="240">
        <f t="shared" si="297"/>
        <v>0</v>
      </c>
      <c r="BV64" s="240">
        <f t="shared" si="298"/>
        <v>0</v>
      </c>
      <c r="BW64" s="240">
        <f t="shared" si="299"/>
        <v>0</v>
      </c>
      <c r="BX64" s="240">
        <f t="shared" si="300"/>
        <v>0</v>
      </c>
      <c r="BY64" s="240">
        <f t="shared" si="301"/>
        <v>0</v>
      </c>
      <c r="BZ64" s="240">
        <f t="shared" si="302"/>
        <v>0</v>
      </c>
      <c r="CA64" s="240">
        <f t="shared" si="303"/>
        <v>0</v>
      </c>
      <c r="CB64" s="240">
        <f t="shared" si="304"/>
        <v>0</v>
      </c>
      <c r="CC64" s="240">
        <f t="shared" si="305"/>
        <v>0</v>
      </c>
      <c r="CD64" s="240">
        <f t="shared" si="306"/>
        <v>0</v>
      </c>
      <c r="CE64" s="240">
        <f t="shared" si="307"/>
        <v>0</v>
      </c>
      <c r="CF64" s="240">
        <f t="shared" si="308"/>
        <v>0</v>
      </c>
      <c r="CG64" s="240">
        <f t="shared" si="309"/>
        <v>0</v>
      </c>
      <c r="CH64" s="240">
        <f t="shared" si="310"/>
        <v>0</v>
      </c>
      <c r="CI64" s="240">
        <f t="shared" si="311"/>
        <v>0</v>
      </c>
      <c r="CJ64" s="365">
        <f t="shared" si="312"/>
        <v>0</v>
      </c>
      <c r="CK64" s="240">
        <f t="shared" si="313"/>
        <v>0</v>
      </c>
      <c r="CL64" s="240">
        <f t="shared" si="314"/>
        <v>0</v>
      </c>
      <c r="CM64" s="240">
        <f t="shared" si="315"/>
        <v>0</v>
      </c>
      <c r="CN64" s="245">
        <f t="shared" si="316"/>
        <v>39.020000000000003</v>
      </c>
      <c r="CO64" s="245">
        <f t="shared" si="317"/>
        <v>0</v>
      </c>
      <c r="CP64" s="245">
        <f t="shared" si="318"/>
        <v>0</v>
      </c>
      <c r="CQ64" s="245">
        <f t="shared" si="319"/>
        <v>0</v>
      </c>
      <c r="CR64" s="245">
        <f t="shared" si="320"/>
        <v>0</v>
      </c>
      <c r="CS64" s="245">
        <f t="shared" si="321"/>
        <v>0</v>
      </c>
      <c r="CT64" s="364">
        <f t="shared" si="322"/>
        <v>0</v>
      </c>
      <c r="CU64" s="363">
        <f t="shared" si="323"/>
        <v>1</v>
      </c>
      <c r="CV64" s="363">
        <f t="shared" si="324"/>
        <v>0</v>
      </c>
      <c r="CW64" s="363">
        <f t="shared" si="325"/>
        <v>0</v>
      </c>
      <c r="CX64" s="363">
        <f t="shared" si="326"/>
        <v>0</v>
      </c>
      <c r="CY64" s="363">
        <f t="shared" si="327"/>
        <v>0</v>
      </c>
      <c r="CZ64" s="363">
        <f t="shared" si="328"/>
        <v>0</v>
      </c>
      <c r="DA64" s="362">
        <f t="shared" si="329"/>
        <v>0.75999999999999979</v>
      </c>
      <c r="DB64" s="361">
        <v>1.3</v>
      </c>
      <c r="DC64" s="361">
        <v>1.4</v>
      </c>
      <c r="DD64" s="361">
        <v>2</v>
      </c>
      <c r="DE64" s="361">
        <v>2</v>
      </c>
      <c r="DF64" s="360">
        <v>2</v>
      </c>
      <c r="DG64" s="252">
        <f t="shared" si="330"/>
        <v>0</v>
      </c>
      <c r="DH64" s="360">
        <f t="shared" si="331"/>
        <v>0</v>
      </c>
      <c r="DI64" s="360">
        <f t="shared" si="332"/>
        <v>0</v>
      </c>
      <c r="DJ64" s="360">
        <f t="shared" si="333"/>
        <v>0</v>
      </c>
      <c r="DK64" s="360">
        <f t="shared" si="334"/>
        <v>0</v>
      </c>
      <c r="DL64" s="360">
        <f t="shared" si="335"/>
        <v>0</v>
      </c>
      <c r="DM64" s="360">
        <f t="shared" si="336"/>
        <v>117.06</v>
      </c>
      <c r="DN64" s="360">
        <f t="shared" si="337"/>
        <v>117.06</v>
      </c>
      <c r="DO64" s="360">
        <f t="shared" si="338"/>
        <v>2.7313999999999767</v>
      </c>
      <c r="DP64" s="360">
        <f t="shared" si="339"/>
        <v>0</v>
      </c>
      <c r="DQ64" s="219"/>
    </row>
    <row r="65" spans="1:121" ht="25" x14ac:dyDescent="0.25">
      <c r="A65" s="238"/>
      <c r="B65" s="238"/>
      <c r="C65" s="238" t="str">
        <f>'Planilha Hidráulica'!B74</f>
        <v>PV10.1-&gt;PV11.1</v>
      </c>
      <c r="D65" s="239">
        <f>'Planilha Hidráulica'!T74</f>
        <v>2.11</v>
      </c>
      <c r="E65" s="239">
        <f>'Planilha Hidráulica'!U74</f>
        <v>1.66</v>
      </c>
      <c r="F65" s="239">
        <f>'Planilha Hidráulica'!L74</f>
        <v>35</v>
      </c>
      <c r="G65" s="238">
        <f>'Planilha Hidráulica'!N74</f>
        <v>1650</v>
      </c>
      <c r="H65" s="240">
        <f t="shared" si="243"/>
        <v>2.4849999999999999</v>
      </c>
      <c r="I65" s="241">
        <f t="shared" si="244"/>
        <v>4.3487499999999999</v>
      </c>
      <c r="J65" s="368">
        <v>0</v>
      </c>
      <c r="K65" s="240">
        <f t="shared" si="245"/>
        <v>3</v>
      </c>
      <c r="L65" s="240">
        <f t="shared" si="246"/>
        <v>3</v>
      </c>
      <c r="M65" s="243">
        <f>'Planilha Hidráulica'!Z74</f>
        <v>1650</v>
      </c>
      <c r="N65" s="240">
        <f t="shared" si="247"/>
        <v>105</v>
      </c>
      <c r="O65" s="367" t="str">
        <f>'Planilha Hidráulica'!Y74</f>
        <v>TERRENO NATURAL</v>
      </c>
      <c r="P65" s="367" t="s">
        <v>2737</v>
      </c>
      <c r="Q65" s="367">
        <v>1</v>
      </c>
      <c r="R65" s="367">
        <v>8.7100000000000009</v>
      </c>
      <c r="S65" s="367">
        <v>1.9</v>
      </c>
      <c r="T65" s="240">
        <f t="shared" si="248"/>
        <v>0.2</v>
      </c>
      <c r="U65" s="245">
        <f t="shared" si="249"/>
        <v>74.838627494734354</v>
      </c>
      <c r="V65" s="246">
        <f t="shared" si="250"/>
        <v>228.08637250526567</v>
      </c>
      <c r="W65" s="245">
        <f t="shared" si="251"/>
        <v>0</v>
      </c>
      <c r="X65" s="247">
        <f t="shared" si="252"/>
        <v>0.4</v>
      </c>
      <c r="Y65" s="245">
        <f t="shared" si="253"/>
        <v>2.4849999999999999</v>
      </c>
      <c r="Z65" s="245">
        <f t="shared" si="254"/>
        <v>0</v>
      </c>
      <c r="AA65" s="252">
        <f t="shared" si="255"/>
        <v>0</v>
      </c>
      <c r="AB65" s="361">
        <f t="shared" si="256"/>
        <v>0</v>
      </c>
      <c r="AC65" s="251">
        <f t="shared" si="257"/>
        <v>0</v>
      </c>
      <c r="AD65" s="251">
        <f t="shared" si="258"/>
        <v>0</v>
      </c>
      <c r="AE65" s="251">
        <f t="shared" si="259"/>
        <v>0</v>
      </c>
      <c r="AF65" s="251">
        <f t="shared" si="260"/>
        <v>0</v>
      </c>
      <c r="AG65" s="251">
        <f t="shared" si="261"/>
        <v>0</v>
      </c>
      <c r="AH65" s="251">
        <f t="shared" si="262"/>
        <v>0</v>
      </c>
      <c r="AI65" s="251">
        <f t="shared" si="263"/>
        <v>0</v>
      </c>
      <c r="AJ65" s="251">
        <f t="shared" si="264"/>
        <v>0</v>
      </c>
      <c r="AK65" s="251">
        <f t="shared" si="340"/>
        <v>0</v>
      </c>
      <c r="AL65" s="251">
        <f t="shared" si="265"/>
        <v>0</v>
      </c>
      <c r="AM65" s="251">
        <f t="shared" si="341"/>
        <v>0</v>
      </c>
      <c r="AN65" s="251">
        <f t="shared" si="342"/>
        <v>0</v>
      </c>
      <c r="AO65" s="251">
        <f t="shared" si="266"/>
        <v>210</v>
      </c>
      <c r="AP65" s="251">
        <f>IF(IF(K65&gt;2.5,IF(Y65&gt;=4,L65*F65*2,K65*F65*(Y65-2)),0)&lt;0,0,IF(K65&gt;2.5,IF(Y65&gt;=4,L65*F65*2,K65*F65*(Y65-2)),0))-32.839</f>
        <v>18.085999999999991</v>
      </c>
      <c r="AQ65" s="251">
        <f>IF(IF(K65&gt;2.5,IF(Y65&gt;=6,L65*F65*2,K65*F65*(Y65-4)),0)&lt;0,0,IF(K65&gt;2.5,IF(Y65&gt;=6,L65*F65*2,K65*F65*(Y65-4)),0))+IF(R65&lt;H65,0,IF(AND(Y65&lt;=6,Y65&gt;4,K65&gt;2.5),-U65,0))</f>
        <v>0</v>
      </c>
      <c r="AR65" s="253">
        <f t="shared" si="269"/>
        <v>3.7250526568755049E-4</v>
      </c>
      <c r="AS65" s="253">
        <f t="shared" si="270"/>
        <v>0.27299999999999996</v>
      </c>
      <c r="AT65" s="253">
        <f t="shared" si="271"/>
        <v>228.08637250526567</v>
      </c>
      <c r="AU65" s="241">
        <f t="shared" si="272"/>
        <v>0</v>
      </c>
      <c r="AV65" s="246">
        <f t="shared" si="273"/>
        <v>21</v>
      </c>
      <c r="AW65" s="253">
        <f t="shared" si="274"/>
        <v>42</v>
      </c>
      <c r="AX65" s="253">
        <f t="shared" si="275"/>
        <v>0</v>
      </c>
      <c r="AY65" s="253">
        <f t="shared" si="276"/>
        <v>1.95</v>
      </c>
      <c r="AZ65" s="253">
        <f t="shared" si="277"/>
        <v>129.91137250526566</v>
      </c>
      <c r="BA65" s="253">
        <f t="shared" si="278"/>
        <v>0</v>
      </c>
      <c r="BB65" s="253">
        <f t="shared" si="279"/>
        <v>0</v>
      </c>
      <c r="BC65" s="253">
        <f t="shared" si="280"/>
        <v>0</v>
      </c>
      <c r="BD65" s="253">
        <f t="shared" si="281"/>
        <v>0</v>
      </c>
      <c r="BE65" s="531">
        <f t="shared" si="282"/>
        <v>35.175000000000011</v>
      </c>
      <c r="BF65" s="253">
        <f t="shared" si="283"/>
        <v>56.174627494734324</v>
      </c>
      <c r="BG65" s="253">
        <f t="shared" si="284"/>
        <v>35.175000000000011</v>
      </c>
      <c r="BH65" s="253">
        <f t="shared" si="285"/>
        <v>20.999627494734312</v>
      </c>
      <c r="BI65" s="253">
        <f t="shared" si="286"/>
        <v>0</v>
      </c>
      <c r="BJ65" s="241">
        <f t="shared" si="287"/>
        <v>0</v>
      </c>
      <c r="BK65" s="253">
        <f t="shared" si="288"/>
        <v>0</v>
      </c>
      <c r="BL65" s="253"/>
      <c r="BM65" s="253">
        <f t="shared" si="289"/>
        <v>1.68</v>
      </c>
      <c r="BN65" s="252">
        <f t="shared" si="290"/>
        <v>0</v>
      </c>
      <c r="BO65" s="366">
        <f t="shared" si="291"/>
        <v>0</v>
      </c>
      <c r="BP65" s="366">
        <f t="shared" si="292"/>
        <v>0</v>
      </c>
      <c r="BQ65" s="366">
        <f t="shared" si="293"/>
        <v>0</v>
      </c>
      <c r="BR65" s="240">
        <f t="shared" si="294"/>
        <v>0</v>
      </c>
      <c r="BS65" s="240">
        <f t="shared" si="295"/>
        <v>0</v>
      </c>
      <c r="BT65" s="240">
        <f t="shared" si="296"/>
        <v>0</v>
      </c>
      <c r="BU65" s="240">
        <f t="shared" si="297"/>
        <v>0</v>
      </c>
      <c r="BV65" s="240">
        <f t="shared" si="298"/>
        <v>0</v>
      </c>
      <c r="BW65" s="240">
        <f t="shared" si="299"/>
        <v>0</v>
      </c>
      <c r="BX65" s="240">
        <f t="shared" si="300"/>
        <v>0</v>
      </c>
      <c r="BY65" s="240">
        <f t="shared" si="301"/>
        <v>0</v>
      </c>
      <c r="BZ65" s="240">
        <f t="shared" si="302"/>
        <v>0</v>
      </c>
      <c r="CA65" s="240">
        <f t="shared" si="303"/>
        <v>0</v>
      </c>
      <c r="CB65" s="240">
        <f t="shared" si="304"/>
        <v>0</v>
      </c>
      <c r="CC65" s="240">
        <f t="shared" si="305"/>
        <v>0</v>
      </c>
      <c r="CD65" s="240">
        <f t="shared" si="306"/>
        <v>0</v>
      </c>
      <c r="CE65" s="240">
        <f t="shared" si="307"/>
        <v>0</v>
      </c>
      <c r="CF65" s="240">
        <f t="shared" si="308"/>
        <v>0</v>
      </c>
      <c r="CG65" s="240">
        <f t="shared" si="309"/>
        <v>0</v>
      </c>
      <c r="CH65" s="240">
        <f t="shared" si="310"/>
        <v>0</v>
      </c>
      <c r="CI65" s="240">
        <f t="shared" si="311"/>
        <v>0</v>
      </c>
      <c r="CJ65" s="365">
        <f t="shared" si="312"/>
        <v>0</v>
      </c>
      <c r="CK65" s="240">
        <f t="shared" si="313"/>
        <v>0</v>
      </c>
      <c r="CL65" s="240">
        <f t="shared" si="314"/>
        <v>0</v>
      </c>
      <c r="CM65" s="240">
        <f t="shared" si="315"/>
        <v>0</v>
      </c>
      <c r="CN65" s="245">
        <f t="shared" si="316"/>
        <v>35</v>
      </c>
      <c r="CO65" s="245">
        <f t="shared" si="317"/>
        <v>0</v>
      </c>
      <c r="CP65" s="245">
        <f t="shared" si="318"/>
        <v>0</v>
      </c>
      <c r="CQ65" s="245">
        <f t="shared" si="319"/>
        <v>0</v>
      </c>
      <c r="CR65" s="245">
        <f t="shared" si="320"/>
        <v>0</v>
      </c>
      <c r="CS65" s="245">
        <f t="shared" si="321"/>
        <v>0</v>
      </c>
      <c r="CT65" s="364">
        <f t="shared" si="322"/>
        <v>0</v>
      </c>
      <c r="CU65" s="363">
        <f t="shared" si="323"/>
        <v>1</v>
      </c>
      <c r="CV65" s="363">
        <f t="shared" si="324"/>
        <v>0</v>
      </c>
      <c r="CW65" s="363">
        <f t="shared" si="325"/>
        <v>0</v>
      </c>
      <c r="CX65" s="363">
        <f t="shared" si="326"/>
        <v>0</v>
      </c>
      <c r="CY65" s="363">
        <f t="shared" si="327"/>
        <v>0</v>
      </c>
      <c r="CZ65" s="363">
        <f t="shared" si="328"/>
        <v>0</v>
      </c>
      <c r="DA65" s="362">
        <f t="shared" si="329"/>
        <v>0.10999999999999988</v>
      </c>
      <c r="DB65" s="361">
        <v>1.3</v>
      </c>
      <c r="DC65" s="361">
        <v>1.4</v>
      </c>
      <c r="DD65" s="361">
        <v>2</v>
      </c>
      <c r="DE65" s="361">
        <v>2</v>
      </c>
      <c r="DF65" s="360">
        <v>2</v>
      </c>
      <c r="DG65" s="252">
        <f t="shared" si="330"/>
        <v>0</v>
      </c>
      <c r="DH65" s="360">
        <f t="shared" si="331"/>
        <v>0</v>
      </c>
      <c r="DI65" s="360">
        <f t="shared" si="332"/>
        <v>0</v>
      </c>
      <c r="DJ65" s="360">
        <f t="shared" si="333"/>
        <v>0</v>
      </c>
      <c r="DK65" s="360">
        <f t="shared" si="334"/>
        <v>0</v>
      </c>
      <c r="DL65" s="360">
        <f t="shared" si="335"/>
        <v>0</v>
      </c>
      <c r="DM65" s="360">
        <f t="shared" si="336"/>
        <v>105</v>
      </c>
      <c r="DN65" s="360">
        <f t="shared" si="337"/>
        <v>68.949999999999989</v>
      </c>
      <c r="DO65" s="360">
        <f t="shared" si="338"/>
        <v>0</v>
      </c>
      <c r="DP65" s="360">
        <f t="shared" si="339"/>
        <v>0</v>
      </c>
      <c r="DQ65" s="219"/>
    </row>
    <row r="66" spans="1:121" ht="25" x14ac:dyDescent="0.25">
      <c r="A66" s="238"/>
      <c r="B66" s="238"/>
      <c r="C66" s="238" t="str">
        <f>'Planilha Hidráulica'!B75</f>
        <v>PV11.1-&gt;PV12.1</v>
      </c>
      <c r="D66" s="239">
        <f>'Planilha Hidráulica'!T75</f>
        <v>1.66</v>
      </c>
      <c r="E66" s="239">
        <f>'Planilha Hidráulica'!U75</f>
        <v>1.28</v>
      </c>
      <c r="F66" s="239">
        <f>'Planilha Hidráulica'!L75</f>
        <v>35</v>
      </c>
      <c r="G66" s="238">
        <f>'Planilha Hidráulica'!N75</f>
        <v>1650</v>
      </c>
      <c r="H66" s="240">
        <f t="shared" si="243"/>
        <v>2.0700000000000003</v>
      </c>
      <c r="I66" s="241">
        <f t="shared" si="244"/>
        <v>3.6225000000000009</v>
      </c>
      <c r="J66" s="368">
        <v>0</v>
      </c>
      <c r="K66" s="240">
        <f t="shared" si="245"/>
        <v>3</v>
      </c>
      <c r="L66" s="240">
        <f t="shared" si="246"/>
        <v>3</v>
      </c>
      <c r="M66" s="243">
        <f>'Planilha Hidráulica'!Z75</f>
        <v>1650</v>
      </c>
      <c r="N66" s="240">
        <f t="shared" si="247"/>
        <v>105</v>
      </c>
      <c r="O66" s="367" t="str">
        <f>'Planilha Hidráulica'!Y75</f>
        <v>TERRENO NATURAL</v>
      </c>
      <c r="P66" s="367" t="s">
        <v>2737</v>
      </c>
      <c r="Q66" s="367">
        <v>1</v>
      </c>
      <c r="R66" s="367">
        <v>8.7100000000000009</v>
      </c>
      <c r="S66" s="367">
        <v>1.9</v>
      </c>
      <c r="T66" s="240">
        <f t="shared" si="248"/>
        <v>0.2</v>
      </c>
      <c r="U66" s="245">
        <f t="shared" si="249"/>
        <v>74.838627494734354</v>
      </c>
      <c r="V66" s="246">
        <f t="shared" si="250"/>
        <v>184.51137250526568</v>
      </c>
      <c r="W66" s="245">
        <f t="shared" si="251"/>
        <v>0</v>
      </c>
      <c r="X66" s="247">
        <f t="shared" si="252"/>
        <v>0.4</v>
      </c>
      <c r="Y66" s="245">
        <f t="shared" si="253"/>
        <v>2.0700000000000003</v>
      </c>
      <c r="Z66" s="245">
        <f t="shared" si="254"/>
        <v>0</v>
      </c>
      <c r="AA66" s="252">
        <f t="shared" si="255"/>
        <v>0</v>
      </c>
      <c r="AB66" s="361">
        <f t="shared" si="256"/>
        <v>0</v>
      </c>
      <c r="AC66" s="251">
        <f t="shared" si="257"/>
        <v>0</v>
      </c>
      <c r="AD66" s="251">
        <f t="shared" si="258"/>
        <v>0</v>
      </c>
      <c r="AE66" s="251">
        <f t="shared" si="259"/>
        <v>0</v>
      </c>
      <c r="AF66" s="251">
        <f t="shared" si="260"/>
        <v>0</v>
      </c>
      <c r="AG66" s="251">
        <f t="shared" si="261"/>
        <v>0</v>
      </c>
      <c r="AH66" s="251">
        <f t="shared" si="262"/>
        <v>0</v>
      </c>
      <c r="AI66" s="251">
        <f t="shared" si="263"/>
        <v>0</v>
      </c>
      <c r="AJ66" s="251">
        <f t="shared" si="264"/>
        <v>0</v>
      </c>
      <c r="AK66" s="251">
        <f t="shared" si="340"/>
        <v>0</v>
      </c>
      <c r="AL66" s="251">
        <f t="shared" si="265"/>
        <v>0</v>
      </c>
      <c r="AM66" s="251">
        <f t="shared" si="341"/>
        <v>0</v>
      </c>
      <c r="AN66" s="251">
        <f t="shared" si="342"/>
        <v>0</v>
      </c>
      <c r="AO66" s="251">
        <f>IF(K66&gt;2.5,IF(Y66&gt;=2,L66*F66*2,K66*F66*Y66),0)-U66</f>
        <v>135.16137250526566</v>
      </c>
      <c r="AP66" s="251">
        <f>IF(IF(K66&gt;2.5,IF(Y66&gt;=4,L66*F66*2,K66*F66*(Y66-2)),0)&lt;0,0,IF(K66&gt;2.5,IF(Y66&gt;=4,L66*F66*2,K66*F66*(Y66-2)),0))</f>
        <v>7.3500000000000298</v>
      </c>
      <c r="AQ66" s="251">
        <f>IF(IF(K66&gt;2.5,IF(Y66&gt;=6,L66*F66*2,K66*F66*(Y66-4)),0)&lt;0,0,IF(K66&gt;2.5,IF(Y66&gt;=6,L66*F66*2,K66*F66*(Y66-4)),0))+IF(R66&lt;H66,0,IF(AND(Y66&lt;=6,Y66&gt;4,K66&gt;2.5),-U66,0))</f>
        <v>0</v>
      </c>
      <c r="AR66" s="253">
        <f t="shared" si="269"/>
        <v>42</v>
      </c>
      <c r="AS66" s="253">
        <f t="shared" si="270"/>
        <v>7.9333333333333519E-2</v>
      </c>
      <c r="AT66" s="253">
        <f t="shared" si="271"/>
        <v>184.51137250526568</v>
      </c>
      <c r="AU66" s="241">
        <f t="shared" si="272"/>
        <v>0</v>
      </c>
      <c r="AV66" s="246">
        <f t="shared" si="273"/>
        <v>21</v>
      </c>
      <c r="AW66" s="253">
        <f t="shared" si="274"/>
        <v>42</v>
      </c>
      <c r="AX66" s="253">
        <f t="shared" si="275"/>
        <v>0</v>
      </c>
      <c r="AY66" s="253">
        <f t="shared" si="276"/>
        <v>1.95</v>
      </c>
      <c r="AZ66" s="253">
        <f>AY66*K66*F66-PI()*(G66/1000*G66/1000)/4*F66-8.4</f>
        <v>121.51137250526565</v>
      </c>
      <c r="BA66" s="253">
        <f t="shared" si="278"/>
        <v>0</v>
      </c>
      <c r="BB66" s="253">
        <f t="shared" si="279"/>
        <v>0</v>
      </c>
      <c r="BC66" s="253">
        <f t="shared" si="280"/>
        <v>0</v>
      </c>
      <c r="BD66" s="253">
        <f t="shared" si="281"/>
        <v>0</v>
      </c>
      <c r="BE66" s="531">
        <f t="shared" si="282"/>
        <v>0</v>
      </c>
      <c r="BF66" s="253">
        <f t="shared" si="283"/>
        <v>-20.999999999999972</v>
      </c>
      <c r="BG66" s="253">
        <f t="shared" si="284"/>
        <v>0</v>
      </c>
      <c r="BH66" s="253">
        <f t="shared" si="285"/>
        <v>-20.999999999999972</v>
      </c>
      <c r="BI66" s="253">
        <f t="shared" si="286"/>
        <v>0</v>
      </c>
      <c r="BJ66" s="241">
        <f t="shared" si="287"/>
        <v>0</v>
      </c>
      <c r="BK66" s="253">
        <f t="shared" si="288"/>
        <v>0</v>
      </c>
      <c r="BL66" s="253"/>
      <c r="BM66" s="253">
        <f t="shared" si="289"/>
        <v>1.68</v>
      </c>
      <c r="BN66" s="252">
        <f t="shared" si="290"/>
        <v>0</v>
      </c>
      <c r="BO66" s="366">
        <f t="shared" si="291"/>
        <v>0</v>
      </c>
      <c r="BP66" s="366">
        <f t="shared" si="292"/>
        <v>0</v>
      </c>
      <c r="BQ66" s="366">
        <f t="shared" si="293"/>
        <v>0</v>
      </c>
      <c r="BR66" s="240">
        <f t="shared" si="294"/>
        <v>0</v>
      </c>
      <c r="BS66" s="240">
        <f t="shared" si="295"/>
        <v>0</v>
      </c>
      <c r="BT66" s="240">
        <f t="shared" si="296"/>
        <v>0</v>
      </c>
      <c r="BU66" s="240">
        <f t="shared" si="297"/>
        <v>0</v>
      </c>
      <c r="BV66" s="240">
        <f t="shared" si="298"/>
        <v>0</v>
      </c>
      <c r="BW66" s="240">
        <f t="shared" si="299"/>
        <v>0</v>
      </c>
      <c r="BX66" s="240">
        <f t="shared" si="300"/>
        <v>0</v>
      </c>
      <c r="BY66" s="240">
        <f t="shared" si="301"/>
        <v>0</v>
      </c>
      <c r="BZ66" s="240">
        <f t="shared" si="302"/>
        <v>0</v>
      </c>
      <c r="CA66" s="240">
        <f t="shared" si="303"/>
        <v>0</v>
      </c>
      <c r="CB66" s="240">
        <f t="shared" si="304"/>
        <v>0</v>
      </c>
      <c r="CC66" s="240">
        <f t="shared" si="305"/>
        <v>0</v>
      </c>
      <c r="CD66" s="240">
        <f t="shared" si="306"/>
        <v>0</v>
      </c>
      <c r="CE66" s="240">
        <f t="shared" si="307"/>
        <v>0</v>
      </c>
      <c r="CF66" s="240">
        <f t="shared" si="308"/>
        <v>0</v>
      </c>
      <c r="CG66" s="240">
        <f t="shared" si="309"/>
        <v>0</v>
      </c>
      <c r="CH66" s="240">
        <f t="shared" si="310"/>
        <v>0</v>
      </c>
      <c r="CI66" s="240">
        <f t="shared" si="311"/>
        <v>0</v>
      </c>
      <c r="CJ66" s="365">
        <f t="shared" si="312"/>
        <v>0</v>
      </c>
      <c r="CK66" s="240">
        <f t="shared" si="313"/>
        <v>0</v>
      </c>
      <c r="CL66" s="240">
        <f t="shared" si="314"/>
        <v>0</v>
      </c>
      <c r="CM66" s="240">
        <f t="shared" si="315"/>
        <v>0</v>
      </c>
      <c r="CN66" s="245">
        <f t="shared" si="316"/>
        <v>35</v>
      </c>
      <c r="CO66" s="245">
        <f t="shared" si="317"/>
        <v>0</v>
      </c>
      <c r="CP66" s="245">
        <f t="shared" si="318"/>
        <v>0</v>
      </c>
      <c r="CQ66" s="245">
        <f t="shared" si="319"/>
        <v>0</v>
      </c>
      <c r="CR66" s="245">
        <f t="shared" si="320"/>
        <v>0</v>
      </c>
      <c r="CS66" s="245">
        <f t="shared" si="321"/>
        <v>0</v>
      </c>
      <c r="CT66" s="364">
        <f t="shared" si="322"/>
        <v>0</v>
      </c>
      <c r="CU66" s="363">
        <f t="shared" si="323"/>
        <v>1</v>
      </c>
      <c r="CV66" s="363">
        <f t="shared" si="324"/>
        <v>0</v>
      </c>
      <c r="CW66" s="363">
        <f t="shared" si="325"/>
        <v>0</v>
      </c>
      <c r="CX66" s="363">
        <f t="shared" si="326"/>
        <v>0</v>
      </c>
      <c r="CY66" s="363">
        <f t="shared" si="327"/>
        <v>0</v>
      </c>
      <c r="CZ66" s="363">
        <f t="shared" si="328"/>
        <v>0</v>
      </c>
      <c r="DA66" s="362">
        <f t="shared" si="329"/>
        <v>0</v>
      </c>
      <c r="DB66" s="361">
        <v>1.3</v>
      </c>
      <c r="DC66" s="361">
        <v>1.4</v>
      </c>
      <c r="DD66" s="361">
        <v>2</v>
      </c>
      <c r="DE66" s="361">
        <v>2</v>
      </c>
      <c r="DF66" s="360">
        <v>2</v>
      </c>
      <c r="DG66" s="252">
        <f t="shared" si="330"/>
        <v>0</v>
      </c>
      <c r="DH66" s="360">
        <f t="shared" si="331"/>
        <v>0</v>
      </c>
      <c r="DI66" s="360">
        <f t="shared" si="332"/>
        <v>0</v>
      </c>
      <c r="DJ66" s="360">
        <f t="shared" si="333"/>
        <v>0</v>
      </c>
      <c r="DK66" s="360">
        <f t="shared" si="334"/>
        <v>0</v>
      </c>
      <c r="DL66" s="360">
        <f t="shared" si="335"/>
        <v>0</v>
      </c>
      <c r="DM66" s="360">
        <f t="shared" si="336"/>
        <v>105</v>
      </c>
      <c r="DN66" s="360">
        <f t="shared" si="337"/>
        <v>39.90000000000002</v>
      </c>
      <c r="DO66" s="360">
        <f t="shared" si="338"/>
        <v>0</v>
      </c>
      <c r="DP66" s="360">
        <f t="shared" si="339"/>
        <v>0</v>
      </c>
      <c r="DQ66" s="219"/>
    </row>
    <row r="67" spans="1:121" ht="25" x14ac:dyDescent="0.25">
      <c r="A67" s="238"/>
      <c r="B67" s="238"/>
      <c r="C67" s="238" t="str">
        <f>'Planilha Hidráulica'!B76</f>
        <v>PV12.1-&gt;PV13.1</v>
      </c>
      <c r="D67" s="239">
        <f>'Planilha Hidráulica'!T76</f>
        <v>1.1000000000000001</v>
      </c>
      <c r="E67" s="239">
        <f>'Planilha Hidráulica'!U76</f>
        <v>0.85</v>
      </c>
      <c r="F67" s="239">
        <f>'Planilha Hidráulica'!L76</f>
        <v>33</v>
      </c>
      <c r="G67" s="238">
        <f>'Planilha Hidráulica'!N76</f>
        <v>1650</v>
      </c>
      <c r="H67" s="240">
        <f t="shared" si="243"/>
        <v>1.575</v>
      </c>
      <c r="I67" s="241">
        <f t="shared" si="244"/>
        <v>2.5987499999999999</v>
      </c>
      <c r="J67" s="368">
        <v>0</v>
      </c>
      <c r="K67" s="240">
        <f t="shared" si="245"/>
        <v>3</v>
      </c>
      <c r="L67" s="240">
        <f t="shared" si="246"/>
        <v>3</v>
      </c>
      <c r="M67" s="243">
        <f>'Planilha Hidráulica'!Z76</f>
        <v>1650</v>
      </c>
      <c r="N67" s="240">
        <f t="shared" si="247"/>
        <v>99</v>
      </c>
      <c r="O67" s="367" t="str">
        <f>'Planilha Hidráulica'!Y76</f>
        <v>TERRENO NATURAL</v>
      </c>
      <c r="P67" s="367" t="s">
        <v>2737</v>
      </c>
      <c r="Q67" s="367">
        <v>1</v>
      </c>
      <c r="R67" s="367">
        <v>8.7100000000000009</v>
      </c>
      <c r="S67" s="367">
        <v>1.9</v>
      </c>
      <c r="T67" s="240">
        <f t="shared" si="248"/>
        <v>0.2</v>
      </c>
      <c r="U67" s="245">
        <f t="shared" si="249"/>
        <v>70.562134495035252</v>
      </c>
      <c r="V67" s="246">
        <f t="shared" si="250"/>
        <v>124.96286550496473</v>
      </c>
      <c r="W67" s="245">
        <f t="shared" si="251"/>
        <v>0</v>
      </c>
      <c r="X67" s="247">
        <f t="shared" si="252"/>
        <v>0.4</v>
      </c>
      <c r="Y67" s="245">
        <f t="shared" si="253"/>
        <v>1.575</v>
      </c>
      <c r="Z67" s="245">
        <f t="shared" si="254"/>
        <v>0</v>
      </c>
      <c r="AA67" s="252">
        <f t="shared" si="255"/>
        <v>0</v>
      </c>
      <c r="AB67" s="361">
        <f t="shared" si="256"/>
        <v>0</v>
      </c>
      <c r="AC67" s="251">
        <f t="shared" si="257"/>
        <v>0</v>
      </c>
      <c r="AD67" s="251">
        <f t="shared" si="258"/>
        <v>0</v>
      </c>
      <c r="AE67" s="251">
        <f t="shared" si="259"/>
        <v>0</v>
      </c>
      <c r="AF67" s="251">
        <f t="shared" si="260"/>
        <v>0</v>
      </c>
      <c r="AG67" s="251">
        <f t="shared" si="261"/>
        <v>0</v>
      </c>
      <c r="AH67" s="251">
        <f t="shared" si="262"/>
        <v>0</v>
      </c>
      <c r="AI67" s="251">
        <f t="shared" si="263"/>
        <v>0</v>
      </c>
      <c r="AJ67" s="251">
        <f t="shared" si="264"/>
        <v>0</v>
      </c>
      <c r="AK67" s="251">
        <f t="shared" si="340"/>
        <v>0</v>
      </c>
      <c r="AL67" s="251">
        <f t="shared" si="265"/>
        <v>0</v>
      </c>
      <c r="AM67" s="251">
        <f t="shared" si="341"/>
        <v>0</v>
      </c>
      <c r="AN67" s="251">
        <f t="shared" si="342"/>
        <v>0</v>
      </c>
      <c r="AO67" s="251">
        <f>IF(K67&gt;2.5,IF(Y67&gt;=2,L67*F67*2,K67*F67*Y67),0)-U67</f>
        <v>85.362865504964731</v>
      </c>
      <c r="AP67" s="251">
        <f>IF(IF(K67&gt;2.5,IF(Y67&gt;=4,L67*F67*2,K67*F67*(Y67-2)),0)&lt;0,0,IF(K67&gt;2.5,IF(Y67&gt;=4,L67*F67*2,K67*F67*(Y67-2)),0))</f>
        <v>0</v>
      </c>
      <c r="AQ67" s="251">
        <f>IF(IF(K67&gt;2.5,IF(Y67&gt;=6,L67*F67*2,K67*F67*(Y67-4)),0)&lt;0,0,IF(K67&gt;2.5,IF(Y67&gt;=6,L67*F67*2,K67*F67*(Y67-4)),0))+IF(R67&lt;H67,0,IF(AND(Y67&lt;=6,Y67&gt;4,K67&gt;2.5),-U67,0))</f>
        <v>0</v>
      </c>
      <c r="AR67" s="253">
        <f t="shared" si="269"/>
        <v>39.599999999999994</v>
      </c>
      <c r="AS67" s="253">
        <f t="shared" si="270"/>
        <v>0</v>
      </c>
      <c r="AT67" s="253">
        <f t="shared" si="271"/>
        <v>124.96286550496473</v>
      </c>
      <c r="AU67" s="241">
        <f t="shared" si="272"/>
        <v>0</v>
      </c>
      <c r="AV67" s="246">
        <f t="shared" si="273"/>
        <v>19.8</v>
      </c>
      <c r="AW67" s="253">
        <f t="shared" si="274"/>
        <v>39.6</v>
      </c>
      <c r="AX67" s="253">
        <f t="shared" si="275"/>
        <v>0</v>
      </c>
      <c r="AY67" s="253">
        <f t="shared" si="276"/>
        <v>1.95</v>
      </c>
      <c r="AZ67" s="253">
        <f>AY67*K67*F67-PI()*(G67/1000*G67/1000)/4*F67-56.925</f>
        <v>65.562865504964734</v>
      </c>
      <c r="BA67" s="253">
        <f t="shared" si="278"/>
        <v>0</v>
      </c>
      <c r="BB67" s="253">
        <f t="shared" si="279"/>
        <v>0</v>
      </c>
      <c r="BC67" s="253">
        <f t="shared" si="280"/>
        <v>0</v>
      </c>
      <c r="BD67" s="253">
        <f t="shared" si="281"/>
        <v>0</v>
      </c>
      <c r="BE67" s="531">
        <f t="shared" si="282"/>
        <v>0</v>
      </c>
      <c r="BF67" s="253">
        <f t="shared" si="283"/>
        <v>-19.800000000000004</v>
      </c>
      <c r="BG67" s="253">
        <f t="shared" si="284"/>
        <v>0</v>
      </c>
      <c r="BH67" s="253">
        <f t="shared" si="285"/>
        <v>-19.800000000000004</v>
      </c>
      <c r="BI67" s="253">
        <f t="shared" si="286"/>
        <v>0</v>
      </c>
      <c r="BJ67" s="241">
        <f t="shared" si="287"/>
        <v>0</v>
      </c>
      <c r="BK67" s="253">
        <f t="shared" si="288"/>
        <v>0</v>
      </c>
      <c r="BL67" s="253"/>
      <c r="BM67" s="253">
        <f t="shared" si="289"/>
        <v>1.5840000000000001</v>
      </c>
      <c r="BN67" s="252">
        <f t="shared" si="290"/>
        <v>0</v>
      </c>
      <c r="BO67" s="366">
        <f t="shared" si="291"/>
        <v>0</v>
      </c>
      <c r="BP67" s="366">
        <f t="shared" si="292"/>
        <v>0</v>
      </c>
      <c r="BQ67" s="366">
        <f t="shared" si="293"/>
        <v>0</v>
      </c>
      <c r="BR67" s="240">
        <f t="shared" si="294"/>
        <v>0</v>
      </c>
      <c r="BS67" s="240">
        <f t="shared" si="295"/>
        <v>0</v>
      </c>
      <c r="BT67" s="240">
        <f t="shared" si="296"/>
        <v>0</v>
      </c>
      <c r="BU67" s="240">
        <f t="shared" si="297"/>
        <v>0</v>
      </c>
      <c r="BV67" s="240">
        <f t="shared" si="298"/>
        <v>0</v>
      </c>
      <c r="BW67" s="240">
        <f t="shared" si="299"/>
        <v>0</v>
      </c>
      <c r="BX67" s="240">
        <f t="shared" si="300"/>
        <v>0</v>
      </c>
      <c r="BY67" s="240">
        <f t="shared" si="301"/>
        <v>0</v>
      </c>
      <c r="BZ67" s="240">
        <f t="shared" si="302"/>
        <v>0</v>
      </c>
      <c r="CA67" s="240">
        <f t="shared" si="303"/>
        <v>0</v>
      </c>
      <c r="CB67" s="240">
        <f t="shared" si="304"/>
        <v>0</v>
      </c>
      <c r="CC67" s="240">
        <f t="shared" si="305"/>
        <v>0</v>
      </c>
      <c r="CD67" s="240">
        <f t="shared" si="306"/>
        <v>0</v>
      </c>
      <c r="CE67" s="240">
        <f t="shared" si="307"/>
        <v>0</v>
      </c>
      <c r="CF67" s="240">
        <f t="shared" si="308"/>
        <v>0</v>
      </c>
      <c r="CG67" s="240">
        <f t="shared" si="309"/>
        <v>0</v>
      </c>
      <c r="CH67" s="240">
        <f t="shared" si="310"/>
        <v>0</v>
      </c>
      <c r="CI67" s="240">
        <f t="shared" si="311"/>
        <v>0</v>
      </c>
      <c r="CJ67" s="365">
        <f t="shared" si="312"/>
        <v>0</v>
      </c>
      <c r="CK67" s="240">
        <f t="shared" si="313"/>
        <v>0</v>
      </c>
      <c r="CL67" s="240">
        <f t="shared" si="314"/>
        <v>0</v>
      </c>
      <c r="CM67" s="240">
        <f t="shared" si="315"/>
        <v>0</v>
      </c>
      <c r="CN67" s="245">
        <f t="shared" si="316"/>
        <v>33</v>
      </c>
      <c r="CO67" s="245">
        <f t="shared" si="317"/>
        <v>0</v>
      </c>
      <c r="CP67" s="245">
        <f t="shared" si="318"/>
        <v>0</v>
      </c>
      <c r="CQ67" s="245">
        <f t="shared" si="319"/>
        <v>0</v>
      </c>
      <c r="CR67" s="245">
        <f t="shared" si="320"/>
        <v>0</v>
      </c>
      <c r="CS67" s="245">
        <f t="shared" si="321"/>
        <v>0</v>
      </c>
      <c r="CT67" s="364">
        <f t="shared" si="322"/>
        <v>0</v>
      </c>
      <c r="CU67" s="363">
        <f t="shared" si="323"/>
        <v>1</v>
      </c>
      <c r="CV67" s="363">
        <f t="shared" si="324"/>
        <v>0</v>
      </c>
      <c r="CW67" s="363">
        <f t="shared" si="325"/>
        <v>0</v>
      </c>
      <c r="CX67" s="363">
        <f t="shared" si="326"/>
        <v>0</v>
      </c>
      <c r="CY67" s="363">
        <f t="shared" si="327"/>
        <v>0</v>
      </c>
      <c r="CZ67" s="363">
        <f t="shared" si="328"/>
        <v>0</v>
      </c>
      <c r="DA67" s="362">
        <f t="shared" si="329"/>
        <v>0</v>
      </c>
      <c r="DB67" s="361">
        <v>1.3</v>
      </c>
      <c r="DC67" s="361">
        <v>1.4</v>
      </c>
      <c r="DD67" s="361">
        <v>2</v>
      </c>
      <c r="DE67" s="361">
        <v>2</v>
      </c>
      <c r="DF67" s="360">
        <v>2</v>
      </c>
      <c r="DG67" s="252">
        <f t="shared" si="330"/>
        <v>0</v>
      </c>
      <c r="DH67" s="360">
        <f t="shared" si="331"/>
        <v>0</v>
      </c>
      <c r="DI67" s="360">
        <f t="shared" si="332"/>
        <v>0</v>
      </c>
      <c r="DJ67" s="360">
        <f t="shared" si="333"/>
        <v>0</v>
      </c>
      <c r="DK67" s="360">
        <f t="shared" si="334"/>
        <v>0</v>
      </c>
      <c r="DL67" s="360">
        <f t="shared" si="335"/>
        <v>0</v>
      </c>
      <c r="DM67" s="360">
        <f t="shared" si="336"/>
        <v>99</v>
      </c>
      <c r="DN67" s="360">
        <f t="shared" si="337"/>
        <v>4.9499999999999975</v>
      </c>
      <c r="DO67" s="360">
        <f t="shared" si="338"/>
        <v>0</v>
      </c>
      <c r="DP67" s="360">
        <f t="shared" si="339"/>
        <v>0</v>
      </c>
      <c r="DQ67" s="219"/>
    </row>
    <row r="68" spans="1:121" ht="13" x14ac:dyDescent="0.25">
      <c r="A68" s="238"/>
      <c r="B68" s="238"/>
      <c r="C68" s="222" t="str">
        <f>'Planilha Hidráulica'!B77</f>
        <v>RD-2</v>
      </c>
      <c r="D68" s="239"/>
      <c r="E68" s="239"/>
      <c r="F68" s="239"/>
      <c r="G68" s="238"/>
      <c r="H68" s="240"/>
      <c r="I68" s="241">
        <f t="shared" si="244"/>
        <v>0</v>
      </c>
      <c r="J68" s="368"/>
      <c r="K68" s="240"/>
      <c r="L68" s="240"/>
      <c r="M68" s="243"/>
      <c r="N68" s="240"/>
      <c r="O68" s="367"/>
      <c r="P68" s="367"/>
      <c r="Q68" s="367"/>
      <c r="R68" s="367"/>
      <c r="S68" s="367"/>
      <c r="T68" s="240"/>
      <c r="U68" s="245"/>
      <c r="V68" s="246"/>
      <c r="W68" s="245"/>
      <c r="X68" s="247"/>
      <c r="Y68" s="245"/>
      <c r="Z68" s="245"/>
      <c r="AA68" s="252"/>
      <c r="AB68" s="361"/>
      <c r="AC68" s="251"/>
      <c r="AD68" s="251"/>
      <c r="AE68" s="251"/>
      <c r="AF68" s="251"/>
      <c r="AG68" s="251"/>
      <c r="AH68" s="251"/>
      <c r="AI68" s="251"/>
      <c r="AJ68" s="252"/>
      <c r="AK68" s="252"/>
      <c r="AL68" s="252"/>
      <c r="AM68" s="252"/>
      <c r="AN68" s="252"/>
      <c r="AO68" s="252"/>
      <c r="AP68" s="252"/>
      <c r="AQ68" s="252"/>
      <c r="AR68" s="253"/>
      <c r="AS68" s="240"/>
      <c r="AT68" s="253"/>
      <c r="AU68" s="262"/>
      <c r="AV68" s="263"/>
      <c r="AW68" s="253">
        <f t="shared" si="274"/>
        <v>0</v>
      </c>
      <c r="AX68" s="253">
        <f t="shared" si="275"/>
        <v>0</v>
      </c>
      <c r="AY68" s="262"/>
      <c r="AZ68" s="264"/>
      <c r="BA68" s="264"/>
      <c r="BB68" s="264"/>
      <c r="BC68" s="264"/>
      <c r="BD68" s="264"/>
      <c r="BE68" s="264"/>
      <c r="BF68" s="264"/>
      <c r="BG68" s="240"/>
      <c r="BH68" s="240"/>
      <c r="BI68" s="240"/>
      <c r="BJ68" s="253"/>
      <c r="BK68" s="257"/>
      <c r="BL68" s="262"/>
      <c r="BM68" s="253"/>
      <c r="BN68" s="252"/>
      <c r="BO68" s="366"/>
      <c r="BP68" s="366"/>
      <c r="BQ68" s="366"/>
      <c r="BR68" s="240"/>
      <c r="BS68" s="240"/>
      <c r="BT68" s="240"/>
      <c r="BU68" s="240"/>
      <c r="BV68" s="240"/>
      <c r="BW68" s="240"/>
      <c r="BX68" s="240"/>
      <c r="BY68" s="240"/>
      <c r="BZ68" s="240"/>
      <c r="CA68" s="240"/>
      <c r="CB68" s="240"/>
      <c r="CC68" s="240"/>
      <c r="CD68" s="240"/>
      <c r="CE68" s="240"/>
      <c r="CF68" s="240"/>
      <c r="CG68" s="240"/>
      <c r="CH68" s="240"/>
      <c r="CI68" s="240"/>
      <c r="CJ68" s="365"/>
      <c r="CK68" s="240"/>
      <c r="CL68" s="240"/>
      <c r="CM68" s="240"/>
      <c r="CN68" s="245"/>
      <c r="CO68" s="245"/>
      <c r="CP68" s="245"/>
      <c r="CQ68" s="245"/>
      <c r="CR68" s="245"/>
      <c r="CS68" s="245"/>
      <c r="CT68" s="364"/>
      <c r="CU68" s="363"/>
      <c r="CV68" s="363"/>
      <c r="CW68" s="363"/>
      <c r="CX68" s="363"/>
      <c r="CY68" s="363"/>
      <c r="CZ68" s="363"/>
      <c r="DA68" s="362"/>
      <c r="DB68" s="361"/>
      <c r="DC68" s="361"/>
      <c r="DD68" s="361"/>
      <c r="DE68" s="361"/>
      <c r="DF68" s="360"/>
      <c r="DG68" s="252"/>
      <c r="DH68" s="360"/>
      <c r="DI68" s="360"/>
      <c r="DJ68" s="360"/>
      <c r="DK68" s="360"/>
      <c r="DL68" s="360"/>
      <c r="DM68" s="360"/>
      <c r="DN68" s="360"/>
      <c r="DO68" s="360"/>
      <c r="DP68" s="360"/>
      <c r="DQ68" s="219"/>
    </row>
    <row r="69" spans="1:121" ht="25" x14ac:dyDescent="0.25">
      <c r="A69" s="238" t="s">
        <v>2735</v>
      </c>
      <c r="B69" s="238"/>
      <c r="C69" s="238" t="str">
        <f>'Planilha Hidráulica'!B78</f>
        <v>PV1.1-&gt;PV2.1</v>
      </c>
      <c r="D69" s="239">
        <f>'Planilha Hidráulica'!T78</f>
        <v>1.6</v>
      </c>
      <c r="E69" s="239">
        <f>'Planilha Hidráulica'!U78</f>
        <v>1.6</v>
      </c>
      <c r="F69" s="239">
        <f>'Planilha Hidráulica'!L78</f>
        <v>50</v>
      </c>
      <c r="G69" s="238">
        <f>'Planilha Hidráulica'!N78</f>
        <v>400</v>
      </c>
      <c r="H69" s="240">
        <f t="shared" ref="H69:H91" si="343">IF(G69=400,((D69+E69)/2)+0.08+T69,IF(G69=500,((D69+E69)/2)+0.1+T69,IF(G69=600,((D69+E69)/2)+0.12+T69,IF(G69=800,((D69+E69)/2)+0.16+T69,IF(G69=1000,((D69+E69)/2)+0.2+T69,IF(G69=1200,((D69+E69)/2)+0.24+T69,IF(G69=1500,((D69+E69)/2)+0.3+T69,IF(G69&gt;1500,((D69+E69)/2)+0.4+T69))))))))</f>
        <v>1.7300000000000002</v>
      </c>
      <c r="I69" s="241">
        <f t="shared" si="244"/>
        <v>4.3250000000000011</v>
      </c>
      <c r="J69" s="368">
        <v>0</v>
      </c>
      <c r="K69" s="240">
        <f t="shared" ref="K69:K91" si="344">IF(G69=400,1,0)+IF(G69=500,1.2,0)+IF(G69=600,1.4,0)+IF(G69=800,1.7,0)+IF(G69=1000,2,0)+IF(G69=1200,2.2,0)+IF(G69=1500,2.6,0)+IF(G69=1650,3,0)+IF(G69=1800,3.2,0)+IF(G69=2000,3.4,0)+IF(G69=2200,3.6,0)+IF(G69=2400,3.8,0)+IF(G69=2600,4,0)+IF(G69=3000,4.4,0)</f>
        <v>1</v>
      </c>
      <c r="L69" s="240">
        <f t="shared" ref="L69:L91" si="345">2*J69*H69+K69</f>
        <v>1</v>
      </c>
      <c r="M69" s="243">
        <f>'Planilha Hidráulica'!Z78</f>
        <v>400</v>
      </c>
      <c r="N69" s="240">
        <f t="shared" ref="N69:N91" si="346">L69*F69</f>
        <v>50</v>
      </c>
      <c r="O69" s="367" t="str">
        <f>'Planilha Hidráulica'!Y78</f>
        <v>TERRENO NATURAL</v>
      </c>
      <c r="P69" s="367" t="s">
        <v>2736</v>
      </c>
      <c r="Q69" s="367">
        <v>0</v>
      </c>
      <c r="R69" s="367">
        <v>2.4</v>
      </c>
      <c r="S69" s="367">
        <v>5</v>
      </c>
      <c r="T69" s="240">
        <f t="shared" ref="T69:T91" si="347">IF(G69=400,0.05,0)+IF(G69=500,0.05,0)+IF(G69=600,0.1,0)+IF(G69=800,0.1,0)+IF(G69=1000,0.15,0)+IF(G69=1200,0.15,0)+IF(G69=1500,0.2,0)+IF(G69=1650,0.2,0)+IF(G69=1800,0.2,0)+IF(G69=2000,0.25,0)+IF(G69=2200,0.25,0)+IF(G69=2400,0.25,0)+IF(G69=2600,0.25,0)+IF(G69=3000,0.25,0)</f>
        <v>0.05</v>
      </c>
      <c r="U69" s="245">
        <f t="shared" ref="U69:U91" si="348">IFERROR((PI()*(M69/1000)*(M69/1000)/4)*F69,0)</f>
        <v>6.2831853071795871</v>
      </c>
      <c r="V69" s="246">
        <f t="shared" ref="V69:V91" si="349">((((J69*H69)*H69)/2)*2+K69*H69)*F69-U69+AW69</f>
        <v>80.216814692820421</v>
      </c>
      <c r="W69" s="245">
        <f t="shared" ref="W69:W91" si="350">V69-SUM(AJ69:AR69)</f>
        <v>0</v>
      </c>
      <c r="X69" s="247">
        <f t="shared" ref="X69:X91" si="351">IF(Q69=1,IF(OR(M69=0,M69="-"),H69+0.4,0.4),0)</f>
        <v>0</v>
      </c>
      <c r="Y69" s="245">
        <f t="shared" ref="Y69:Y91" si="352">IF(R69&lt;H69,R69,H69)</f>
        <v>1.7300000000000002</v>
      </c>
      <c r="Z69" s="245">
        <f t="shared" ref="Z69:Z91" si="353">H69-Y69</f>
        <v>0</v>
      </c>
      <c r="AA69" s="252">
        <f t="shared" ref="AA69:AA91" si="354">IF(O69="ASFALTO",L69*F69,0)</f>
        <v>0</v>
      </c>
      <c r="AB69" s="361">
        <f t="shared" ref="AB69:AB91" si="355">IF(O69="CONCRETO",L69*F69,0)</f>
        <v>0</v>
      </c>
      <c r="AC69" s="251">
        <f t="shared" ref="AC69:AC91" si="356">IF(X69=0,0,IF(X69=0.4,IF(K69&lt;=1.5,IF(Y69+0.4&gt;=1.5,0,K69*F69*0.4),0),IF(K69&lt;=1.5,IF(X69&gt;=1.5,L69*F69*1.5,K69*F69*(X69)),0)+IF(R69&lt;H69+0.4,0,IF(AND(X69&lt;=1.5,K69&lt;=1.5),-U69,0))))</f>
        <v>0</v>
      </c>
      <c r="AD69" s="251">
        <f t="shared" ref="AD69:AD91" si="357">IF(X69=0,0,IF(X69=0.4,IF(K69&lt;=1.5,IF(OR(Y69+0.4&gt;=3,Y69+0.4&lt;1.5),0,K69*F69*0.4),0),IF(IF(K69&lt;=1.5,IF(X69&gt;=3,L69*F69*1.5,K69*F69*(X69-1.5)),0)&lt;0,0,IF(K69&lt;=1.5,IF(X69&gt;=3,L69*F69*1.5,K69*F69*(X69-1.5)),0))+IF(R69&lt;H69+0.4,0,IF(AND(X69&lt;=3,K69&lt;=1.5),-U69,0))))</f>
        <v>0</v>
      </c>
      <c r="AE69" s="251">
        <f t="shared" ref="AE69:AE91" si="358">IF(X69=0,0,IF(X69=0.4,IF(K69&lt;=1.5,IF(OR(Y69+0.4&gt;=4.5,Y69+0.4&lt;3),0,K69*F69*0.4),0),IF(IF(K69&lt;=1.5,IF(X69&gt;=4.5,L69*F69*1.5,K69*F69*(X69-3)),0)&lt;0,0,IF(K69&lt;=1.5,IF(X69&gt;=3,L69*F69*1.5,K69*F69*(X69-3)),0))+IF(R69&lt;H69+0.4,0,IF(AND(X69&lt;=4.5,K69&lt;=1.5),-U69,0))))</f>
        <v>0</v>
      </c>
      <c r="AF69" s="251">
        <f t="shared" ref="AF69:AF91" si="359">IF(X69=0,0,IF(X69=0.4,IF(AND(K69&gt;1.5,K69&lt;=2.6),IF(Y69+0.4&gt;=1.5,0,K69*F69*0.4),0),IF(AND(K69&gt;1.5,K69&lt;=2.6),IF(X69&gt;=1.5,L69*F69*1.5,K69*F69*(X69)),0)+IF(R69&lt;H69+0.4,0,IF(AND(X69&lt;=1.5,K69&lt;=1.5),-U69,0))))</f>
        <v>0</v>
      </c>
      <c r="AG69" s="251">
        <f t="shared" ref="AG69:AG91" si="360">IF(X69=0,0,IF(X69=0.4,IF(AND(K69&gt;1.5,K69&lt;=2.6),IF(OR(Y69+0.4&gt;=3,Y69+0.4&lt;1.5),0,K69*F69*0.4),0),IF(IF(AND(K69&gt;1.5,K69&lt;=2.6),IF(X69&gt;=3,L69*F69*1.5,K69*F69*(X69-1.5)),0)&lt;0,0,IF(AND(K69&gt;1.5,K69&lt;=2.6),IF(X69&gt;=3,L69*F69*1.5,K69*F69*(X69-1.5)),0))+IF(R69&lt;H69+0.4,0,IF(AND(X69&lt;=3,K69&lt;=1.5),-U69,0))))</f>
        <v>0</v>
      </c>
      <c r="AH69" s="251">
        <f t="shared" ref="AH69:AH91" si="361">IF(X69=0,0,IF(X69=0.4,IF(AND(K69&gt;1.5,K69&lt;=2.6),IF(OR(Y69+0.4&gt;=4.5,Y69+0.4&lt;3),0,K69*F69*0.4),0),IF(IF(AND(K69&gt;1.5,K69&lt;=2.6),IF(X69&gt;=4.5,L69*F69*1.5,K69*F69*(X69-3)),0)&lt;0,0,IF(AND(K69&gt;1.5,K69&lt;=2.6),IF(X69&gt;=4.5,L69*F69*1.5,K69*F69*(X69-3)),0))+IF(R69&lt;H69+0.4,0,IF(AND(X69&lt;=3,K69&lt;=1.5),-U69,0))))</f>
        <v>0</v>
      </c>
      <c r="AI69" s="251">
        <f t="shared" ref="AI69:AI91" si="362">IF(X69=0,0,IF(X69=0.4,IF(AND(K69&gt;1.5,K69&lt;=2.6),IF(OR(Y69+0.4&gt;=6,Y69+0.4&lt;4.5),0,K69*F69*0.4),0),IF(IF(AND(K69&gt;1.5,K69&lt;=2.6),IF(X69&gt;=6,L69*F69*1.5,K69*F69*(X69-4.5)),0)&lt;0,0,IF(AND(K69&gt;1.5,K69&lt;=2.6),IF(X69&gt;=6,L69*F69*1.5,K69*F69*(X69-4.5)),0))+IF(R69&lt;H69+0.4,0,IF(AND(X69&lt;=3,K69&lt;=1.5),-U69,0))))</f>
        <v>0</v>
      </c>
      <c r="AJ69" s="251">
        <f t="shared" ref="AJ69:AJ91" si="363">IF(K69&lt;=1.5,IF(Y69&gt;=1.5,L69*F69*1.5,K69*F69*Y69),0)+IF(R69&lt;H69,0,IF(AND(Y69&lt;=1.5,K69&lt;=1.5),-U69,0))</f>
        <v>75</v>
      </c>
      <c r="AK69" s="251">
        <f t="shared" ref="AK69:AK91" si="364">IF(IF(K69&lt;=1.5,IF(Y69&gt;=3,L69*F69*1.5,K69*F69*(Y69-1.5)),0)&lt;0,0,IF(K69&lt;=1.5,IF(Y69&gt;=3,L69*F69*1.5,K69*F69*(Y69-1.5)),0))+IF(R69&lt;H69,0,IF(AND(Y69&lt;=3,K69&lt;=1.5),-U69,0))</f>
        <v>5.2168146928204235</v>
      </c>
      <c r="AL69" s="251">
        <f t="shared" ref="AL69:AL91" si="365">IF(AND(K69&lt;=2.5,K69&gt;1.5),IF(Y69&gt;=1.5,L69*F69*1.5,K69*F69*Y69),0)+IF(R69&lt;H69,0,IF(AND(Y69&lt;=1.5,K69&gt;1.5,K69&lt;=2.5),-U69,0))</f>
        <v>0</v>
      </c>
      <c r="AM69" s="251">
        <f t="shared" ref="AM69:AM91" si="366">IF(IF(AND(K69&lt;=2.5,K69&gt;1.5),IF(Y69&gt;=3,L69*F69*1.5,K69*F69*(Y69-1.5)),0)&lt;0,0,IF(AND(K69&lt;=2.5,K69&gt;1.5),IF(Y69&gt;=3,L69*F69*1.5,K69*F69*(Y69-1.5)),0))+IF(R69&lt;H69,0,IF(AND(Y69&lt;=3,Y69&gt;1.5,K69&gt;1.5,K69&lt;=2.5),-U69,0))</f>
        <v>0</v>
      </c>
      <c r="AN69" s="251">
        <f t="shared" ref="AN69:AN91" si="367">IF(AND(K69&lt;=2.5,Y69&gt;=4.5),L69*F69*1.5,IF(AND(K69&lt;=2.5,Y69&gt;3),K69*F69*(Y69-3),0))+IF(R69&lt;H69,0,IF(AND(Y69&lt;=4.5,Y69&gt;3,K69&gt;1.5,K69&lt;=2.5),-U69,0))</f>
        <v>0</v>
      </c>
      <c r="AO69" s="251">
        <f t="shared" ref="AO69:AO91" si="368">IF(K69&gt;2.5,IF(Y69&gt;=2,L69*F69*2,K69*F69*Y69),0)+IF(R69&lt;H69,0,IF(AND(Y69&lt;=2,K69&gt;=2.5),-U69,0))</f>
        <v>0</v>
      </c>
      <c r="AP69" s="251">
        <f t="shared" ref="AP69:AP91" si="369">IF(IF(K69&gt;2.5,IF(Y69&gt;=4,L69*F69*2,K69*F69*(Y69-2)),0)&lt;0,0,IF(K69&gt;2.5,IF(Y69&gt;=4,L69*F69*2,K69*F69*(Y69-2)),0))+IF(R69&lt;H69,0,IF(AND(Y69&lt;=4,Y69&gt;2,K69&gt;2.5),-U69,0))</f>
        <v>0</v>
      </c>
      <c r="AQ69" s="251">
        <f t="shared" ref="AQ69:AQ91" si="370">IF(IF(K69&gt;2.5,IF(Y69&gt;=6,L69*F69*2,K69*F69*(Y69-4)),0)&lt;0,0,IF(K69&gt;2.5,IF(Y69&gt;=6,L69*F69*2,K69*F69*(Y69-4)),0))+IF(R69&lt;H69,0,IF(AND(Y69&lt;=6,Y69&gt;4,K69&gt;2.5),-U69,0))</f>
        <v>0</v>
      </c>
      <c r="AR69" s="253">
        <f t="shared" ref="AR69:AR91" si="371">V69-SUM(AC69:AQ69)</f>
        <v>0</v>
      </c>
      <c r="AS69" s="253">
        <f t="shared" ref="AS69:AS91" si="372">IF(H69-S69&lt;0,0,(H69-S69)*F69)/75</f>
        <v>0</v>
      </c>
      <c r="AT69" s="253">
        <f t="shared" ref="AT69:AT91" si="373">F69*K69*H69-PI()*(G69/1000)*(G69/1000)/4*F69+AW69</f>
        <v>80.216814692820421</v>
      </c>
      <c r="AU69" s="241">
        <f t="shared" ref="AU69:AU91" si="374">IF(K69&lt;1.5,K69*F69*IF(G69&lt;=500,0.05,IF(G69&lt;=800,0.1,IF(G69&lt;=1200,0.15,IF(G69&gt;=1500,0.2)))),0)</f>
        <v>2.5</v>
      </c>
      <c r="AV69" s="246">
        <f t="shared" ref="AV69:AV91" si="375">IF(K69&gt;=1.5,K69*F69*IF(G69&lt;=500,0.05,IF(G69&lt;=800,0.1,IF(G69&lt;=1200,0.15,IF(G69&gt;=1500,0.2)))),0)</f>
        <v>0</v>
      </c>
      <c r="AW69" s="253">
        <f t="shared" si="274"/>
        <v>0</v>
      </c>
      <c r="AX69" s="253">
        <f t="shared" si="275"/>
        <v>0</v>
      </c>
      <c r="AY69" s="253">
        <f t="shared" ref="AY69:AY91" si="376">G69/1000+0.3</f>
        <v>0.7</v>
      </c>
      <c r="AZ69" s="253">
        <f t="shared" ref="AZ69:AZ91" si="377">AY69*K69*F69-PI()*(G69/1000*G69/1000)/4*F69</f>
        <v>28.716814692820414</v>
      </c>
      <c r="BA69" s="253">
        <f t="shared" ref="BA69:BA91" si="378">IF(AZ69&lt;SUM(AJ69:AQ69),0,AZ69)</f>
        <v>0</v>
      </c>
      <c r="BB69" s="253">
        <f t="shared" ref="BB69:BB91" si="379">IF(O69="ASFALTO",0.15*F69*K69,0)</f>
        <v>0</v>
      </c>
      <c r="BC69" s="253">
        <f t="shared" ref="BC69:BC91" si="380">BB69</f>
        <v>0</v>
      </c>
      <c r="BD69" s="253">
        <f t="shared" ref="BD69:BD91" si="381">IF(O69="ASFALTO",0.03*F69*K69,0)</f>
        <v>0</v>
      </c>
      <c r="BE69" s="253">
        <f t="shared" ref="BE69:BE91" si="382">AT69-AW69-SUM(AU69:AV69)-BB69-BC69-AZ69</f>
        <v>49.000000000000007</v>
      </c>
      <c r="BF69" s="253">
        <f t="shared" ref="BF69:BF91" si="383">SUM(AJ69:AQ69)-AW69-BB69-AZ69</f>
        <v>51.500000000000007</v>
      </c>
      <c r="BG69" s="253">
        <f t="shared" ref="BG69:BG91" si="384">IF(SMALL(BE69:BF69,1)&lt;0,0,SMALL(BE69:BF69,1))</f>
        <v>49.000000000000007</v>
      </c>
      <c r="BH69" s="253">
        <f t="shared" ref="BH69:BH91" si="385">BF69-BG69</f>
        <v>2.5</v>
      </c>
      <c r="BI69" s="253">
        <f t="shared" ref="BI69:BI91" si="386">BE69-BG69</f>
        <v>0</v>
      </c>
      <c r="BJ69" s="241">
        <f t="shared" ref="BJ69:BJ91" si="387">IF($BI$106&gt;$BJ$108,($BJ$108/$BI$106)*BI69,BI69)</f>
        <v>0</v>
      </c>
      <c r="BK69" s="253">
        <f t="shared" ref="BK69:BK91" si="388">BI69-BJ69</f>
        <v>0</v>
      </c>
      <c r="BL69" s="253"/>
      <c r="BM69" s="253">
        <f t="shared" ref="BM69:BM91" si="389">IF(AW69&gt;0,4%*(AW69+BB69),0)</f>
        <v>0</v>
      </c>
      <c r="BN69" s="252">
        <f t="shared" ref="BN69:BN91" si="390">IF(G69=400,H69,0)</f>
        <v>1.7300000000000002</v>
      </c>
      <c r="BO69" s="366">
        <f t="shared" ref="BO69:BO91" si="391">IF(BN69&lt;=1.75,AND(BN69&gt;0)*F69,0)</f>
        <v>50</v>
      </c>
      <c r="BP69" s="366">
        <f t="shared" ref="BP69:BP91" si="392">IF(BN69&lt;=3,AND(BN69&gt;1.75)*F69,0)</f>
        <v>0</v>
      </c>
      <c r="BQ69" s="366">
        <f t="shared" ref="BQ69:BQ91" si="393">IF(G69=500,H69,0)</f>
        <v>0</v>
      </c>
      <c r="BR69" s="240">
        <f t="shared" ref="BR69:BR91" si="394">IF(BQ69&lt;=1.75,AND(BQ69&gt;0)*F69,0)</f>
        <v>0</v>
      </c>
      <c r="BS69" s="240">
        <f t="shared" ref="BS69:BS91" si="395">IF(BQ69&lt;=3,AND(BQ69&gt;1.75)*F69,0)</f>
        <v>0</v>
      </c>
      <c r="BT69" s="240">
        <f t="shared" ref="BT69:BT91" si="396">IF(G69=600,H69,0)</f>
        <v>0</v>
      </c>
      <c r="BU69" s="240">
        <f t="shared" ref="BU69:BU91" si="397">IF(BT69&lt;=3,AND(BT69&gt;0)*F69,0)</f>
        <v>0</v>
      </c>
      <c r="BV69" s="240">
        <f t="shared" ref="BV69:BV91" si="398">IF(BT69&lt;=6,AND(BT69&gt;3)*F69,0)</f>
        <v>0</v>
      </c>
      <c r="BW69" s="240">
        <f t="shared" ref="BW69:BW91" si="399">IF(BT69&lt;=9,AND(BT69&gt;6)*F69,0)</f>
        <v>0</v>
      </c>
      <c r="BX69" s="240">
        <f t="shared" ref="BX69:BX91" si="400">IF(G69=800,H69,0)</f>
        <v>0</v>
      </c>
      <c r="BY69" s="240">
        <f t="shared" ref="BY69:BY91" si="401">IF(BX69&lt;=3,AND(BX69&gt;0)*F69,0)</f>
        <v>0</v>
      </c>
      <c r="BZ69" s="240">
        <f t="shared" ref="BZ69:BZ91" si="402">IF(BX69&lt;=6,AND(BX69&gt;3)*F69,0)</f>
        <v>0</v>
      </c>
      <c r="CA69" s="240">
        <f t="shared" ref="CA69:CA91" si="403">IF(BX69&lt;=9,AND(BX69&gt;6)*F69,0)</f>
        <v>0</v>
      </c>
      <c r="CB69" s="240">
        <f t="shared" ref="CB69:CB91" si="404">IF(G69=1000,H69,0)</f>
        <v>0</v>
      </c>
      <c r="CC69" s="240">
        <f t="shared" ref="CC69:CC91" si="405">IF(CB69&lt;=3,AND(CB69&gt;0)*F69,0)</f>
        <v>0</v>
      </c>
      <c r="CD69" s="240">
        <f t="shared" ref="CD69:CD91" si="406">IF(CB69&lt;=6,AND(CB69&gt;3)*F69,0)</f>
        <v>0</v>
      </c>
      <c r="CE69" s="240">
        <f t="shared" ref="CE69:CE91" si="407">IF(CB69&lt;=9,AND(CB69&gt;6)*F69,0)</f>
        <v>0</v>
      </c>
      <c r="CF69" s="240">
        <f t="shared" ref="CF69:CF91" si="408">IF(G69=1200,H69,0)</f>
        <v>0</v>
      </c>
      <c r="CG69" s="240">
        <f t="shared" ref="CG69:CG91" si="409">IF(CF69&lt;=3,AND(CF69&gt;0)*F69,0)</f>
        <v>0</v>
      </c>
      <c r="CH69" s="240">
        <f t="shared" ref="CH69:CH91" si="410">IF(CF69&lt;=6,AND(CF69&gt;3)*F69,0)</f>
        <v>0</v>
      </c>
      <c r="CI69" s="240">
        <f t="shared" ref="CI69:CI91" si="411">IF(CF69&lt;=9,AND(CF69&gt;6)*F69,0)</f>
        <v>0</v>
      </c>
      <c r="CJ69" s="365">
        <f t="shared" ref="CJ69:CJ91" si="412">IF(G69=1500,H69,0)</f>
        <v>0</v>
      </c>
      <c r="CK69" s="240">
        <f t="shared" ref="CK69:CK91" si="413">IF(CJ69&lt;=3,AND(CJ69&gt;0)*F69,0)</f>
        <v>0</v>
      </c>
      <c r="CL69" s="240">
        <f t="shared" ref="CL69:CL91" si="414">IF(CJ69&lt;=6,AND(CJ69&gt;3)*F69,0)</f>
        <v>0</v>
      </c>
      <c r="CM69" s="240">
        <f t="shared" ref="CM69:CM91" si="415">IF(CJ69&lt;=9,AND(CJ69&gt;6)*F69,0)</f>
        <v>0</v>
      </c>
      <c r="CN69" s="245">
        <f t="shared" ref="CN69:CN91" si="416">IF(G69=1650,F69,0)</f>
        <v>0</v>
      </c>
      <c r="CO69" s="245">
        <f t="shared" ref="CO69:CO91" si="417">IF(G69=1800,F69,0)</f>
        <v>0</v>
      </c>
      <c r="CP69" s="245">
        <f t="shared" ref="CP69:CP91" si="418">IF(G69=2000,F69,0)</f>
        <v>0</v>
      </c>
      <c r="CQ69" s="245">
        <f t="shared" ref="CQ69:CQ91" si="419">IF(G69=2200,F69,0)</f>
        <v>0</v>
      </c>
      <c r="CR69" s="245">
        <f t="shared" ref="CR69:CR91" si="420">IF(G69=2400,F69,0)</f>
        <v>0</v>
      </c>
      <c r="CS69" s="245">
        <f t="shared" ref="CS69:CS91" si="421">IF(G69=2600,F69,0)</f>
        <v>0</v>
      </c>
      <c r="CT69" s="364">
        <f t="shared" ref="CT69:CT91" si="422">IF(G69=3000,F69,0)</f>
        <v>0</v>
      </c>
      <c r="CU69" s="363">
        <f t="shared" ref="CU69:CU91" si="423">IF(G69&gt;=100,1,0)</f>
        <v>1</v>
      </c>
      <c r="CV69" s="363">
        <f t="shared" ref="CV69:CV91" si="424">IF(CU69=1,IF(G69&lt;=600,1,0))</f>
        <v>1</v>
      </c>
      <c r="CW69" s="363">
        <f t="shared" ref="CW69:CW91" si="425">IF(CU69=1,IF($G69=800,1,0))</f>
        <v>0</v>
      </c>
      <c r="CX69" s="363">
        <f t="shared" ref="CX69:CX91" si="426">IF(CU69=1,IF($G69=1000,1,0))</f>
        <v>0</v>
      </c>
      <c r="CY69" s="363">
        <f t="shared" ref="CY69:CY91" si="427">IF(CU69=1,IF($G69=1200,1,0))</f>
        <v>0</v>
      </c>
      <c r="CZ69" s="363">
        <f t="shared" ref="CZ69:CZ91" si="428">IF(CU69=1,IF($G69=1500,1,0))</f>
        <v>0</v>
      </c>
      <c r="DA69" s="362">
        <f t="shared" ref="DA69:DA91" si="429">IF(IF(G69&lt;=600,(D69-DB69),0)+IF(G69=800,(D69-DC69),0)+IF(G69&gt;=1000,D69-DD69,0)&lt;0,0,IF(G69&lt;=600,(D69-DB69),0)+IF(G69=800,(D69-DC69),0)+IF(G69&gt;=1000,D69-DD69,0))</f>
        <v>0.30000000000000004</v>
      </c>
      <c r="DB69" s="361">
        <v>1.3</v>
      </c>
      <c r="DC69" s="361">
        <v>1.4</v>
      </c>
      <c r="DD69" s="361">
        <v>2</v>
      </c>
      <c r="DE69" s="361">
        <v>2</v>
      </c>
      <c r="DF69" s="360">
        <v>2</v>
      </c>
      <c r="DG69" s="252">
        <f t="shared" ref="DG69:DG91" si="430">IF(K69&lt;=1.5,IF(H69&lt;1.5,H69*F69*2,F69*2*1.5),0)</f>
        <v>150</v>
      </c>
      <c r="DH69" s="360">
        <f t="shared" ref="DH69:DH91" si="431">IF(K69&lt;=1.5,IF(AND(H69&lt;3,H69&gt;1.5),(H69-1.5)*F69*2,IF(H69&gt;=3,(F69*2*1.5),0)),0)</f>
        <v>23.000000000000021</v>
      </c>
      <c r="DI69" s="360">
        <f t="shared" ref="DI69:DI91" si="432">IF(K69&lt;=1.5,IF(AND(H69&lt;4.5,H69&gt;3),(H69-3)*F69*2,IF(H69&gt;=4.5,(F69*2*1.5),0)),0)</f>
        <v>0</v>
      </c>
      <c r="DJ69" s="360">
        <f t="shared" ref="DJ69:DJ91" si="433">IF(AND(K69&lt;=2.5,K69&gt;1.5),IF(H69&lt;1.5,H69*F69*2,F69*2*1.5),0)</f>
        <v>0</v>
      </c>
      <c r="DK69" s="360">
        <f t="shared" ref="DK69:DK91" si="434">IF(AND(K69&gt;1.5,K69&lt;=2.5),IF(AND(H69&lt;3,H69&gt;1.5),(H69-1.5)*F69*2,IF(H69&gt;=3,(F69*2*1.5),0)),0)</f>
        <v>0</v>
      </c>
      <c r="DL69" s="360">
        <f t="shared" ref="DL69:DL91" si="435">IF(AND(K69&gt;1.5,K69&lt;=2.5),IF(AND(H69&lt;4.5,H69&gt;3),(H69-3)*F69*2,IF(H69&gt;=4.5,(F69*2*1.5),0)),0)</f>
        <v>0</v>
      </c>
      <c r="DM69" s="360">
        <f t="shared" ref="DM69:DM91" si="436">IF(AND(K69&lt;=3.5,K69&gt;2.5),IF(H69&lt;1.5,H69*F69*2,F69*2*1.5),0)</f>
        <v>0</v>
      </c>
      <c r="DN69" s="360">
        <f t="shared" ref="DN69:DN91" si="437">IF(AND(K69&gt;2.5,K69&lt;=3.5),IF(AND(H69&lt;3,H69&gt;1.5),(H69-1.5)*F69*2,IF(H69&gt;=3,(F69*2*1.5),0)),0)</f>
        <v>0</v>
      </c>
      <c r="DO69" s="360">
        <f t="shared" ref="DO69:DO91" si="438">IF(AND(K69&gt;2.5,K69&lt;=3.5),IF(AND(H69&lt;4.5,H69&gt;3),(H69-3)*F69*2,IF(H69&gt;=4.5,(F69*2*1.5),0)),0)</f>
        <v>0</v>
      </c>
      <c r="DP69" s="360">
        <f t="shared" ref="DP69:DP91" si="439">IF(AND(K69&gt;2.5,K69&lt;=3.5),IF(AND(H69&lt;6,H69&gt;4.5),(H69-4.5)*F69*2,IF(H69&gt;=6,(F69*2*1.5),0)),0)</f>
        <v>0</v>
      </c>
      <c r="DQ69" s="219"/>
    </row>
    <row r="70" spans="1:121" ht="25" x14ac:dyDescent="0.25">
      <c r="A70" s="238" t="s">
        <v>2735</v>
      </c>
      <c r="B70" s="238"/>
      <c r="C70" s="238" t="str">
        <f>'Planilha Hidráulica'!B79</f>
        <v>PV2.1-&gt;PV3.1</v>
      </c>
      <c r="D70" s="239">
        <f>'Planilha Hidráulica'!T79</f>
        <v>1.6</v>
      </c>
      <c r="E70" s="239">
        <f>'Planilha Hidráulica'!U79</f>
        <v>1.6</v>
      </c>
      <c r="F70" s="239">
        <f>'Planilha Hidráulica'!L79</f>
        <v>39.46</v>
      </c>
      <c r="G70" s="238">
        <f>'Planilha Hidráulica'!N79</f>
        <v>400</v>
      </c>
      <c r="H70" s="240">
        <f t="shared" si="343"/>
        <v>1.7300000000000002</v>
      </c>
      <c r="I70" s="241">
        <f t="shared" si="244"/>
        <v>3.4132900000000008</v>
      </c>
      <c r="J70" s="368">
        <v>0</v>
      </c>
      <c r="K70" s="240">
        <f t="shared" si="344"/>
        <v>1</v>
      </c>
      <c r="L70" s="240">
        <f t="shared" si="345"/>
        <v>1</v>
      </c>
      <c r="M70" s="243">
        <f>'Planilha Hidráulica'!Z79</f>
        <v>400</v>
      </c>
      <c r="N70" s="240">
        <f t="shared" si="346"/>
        <v>39.46</v>
      </c>
      <c r="O70" s="367" t="str">
        <f>'Planilha Hidráulica'!Y79</f>
        <v>TERRENO NATURAL</v>
      </c>
      <c r="P70" s="367" t="s">
        <v>2734</v>
      </c>
      <c r="Q70" s="367">
        <v>1</v>
      </c>
      <c r="R70" s="367">
        <v>4</v>
      </c>
      <c r="S70" s="367">
        <v>4</v>
      </c>
      <c r="T70" s="240">
        <f t="shared" si="347"/>
        <v>0.05</v>
      </c>
      <c r="U70" s="245">
        <f t="shared" si="348"/>
        <v>4.9586898444261296</v>
      </c>
      <c r="V70" s="246">
        <f t="shared" si="349"/>
        <v>79.091110155573887</v>
      </c>
      <c r="W70" s="245">
        <f t="shared" si="350"/>
        <v>15.784000000000013</v>
      </c>
      <c r="X70" s="247">
        <f t="shared" si="351"/>
        <v>0.4</v>
      </c>
      <c r="Y70" s="245">
        <f t="shared" si="352"/>
        <v>1.7300000000000002</v>
      </c>
      <c r="Z70" s="245">
        <f t="shared" si="353"/>
        <v>0</v>
      </c>
      <c r="AA70" s="252">
        <f t="shared" si="354"/>
        <v>0</v>
      </c>
      <c r="AB70" s="361">
        <f t="shared" si="355"/>
        <v>0</v>
      </c>
      <c r="AC70" s="251">
        <f t="shared" si="356"/>
        <v>0</v>
      </c>
      <c r="AD70" s="251">
        <f t="shared" si="357"/>
        <v>15.784000000000001</v>
      </c>
      <c r="AE70" s="251">
        <f t="shared" si="358"/>
        <v>0</v>
      </c>
      <c r="AF70" s="251">
        <f t="shared" si="359"/>
        <v>0</v>
      </c>
      <c r="AG70" s="251">
        <f t="shared" si="360"/>
        <v>0</v>
      </c>
      <c r="AH70" s="251">
        <f t="shared" si="361"/>
        <v>0</v>
      </c>
      <c r="AI70" s="251">
        <f t="shared" si="362"/>
        <v>0</v>
      </c>
      <c r="AJ70" s="251">
        <f t="shared" si="363"/>
        <v>59.19</v>
      </c>
      <c r="AK70" s="251">
        <f t="shared" si="364"/>
        <v>4.1171101555738785</v>
      </c>
      <c r="AL70" s="251">
        <f t="shared" si="365"/>
        <v>0</v>
      </c>
      <c r="AM70" s="251">
        <f t="shared" si="366"/>
        <v>0</v>
      </c>
      <c r="AN70" s="251">
        <f t="shared" si="367"/>
        <v>0</v>
      </c>
      <c r="AO70" s="251">
        <f t="shared" si="368"/>
        <v>0</v>
      </c>
      <c r="AP70" s="251">
        <f t="shared" si="369"/>
        <v>0</v>
      </c>
      <c r="AQ70" s="251">
        <f t="shared" si="370"/>
        <v>0</v>
      </c>
      <c r="AR70" s="253">
        <f t="shared" si="371"/>
        <v>0</v>
      </c>
      <c r="AS70" s="253">
        <f t="shared" si="372"/>
        <v>0</v>
      </c>
      <c r="AT70" s="253">
        <f t="shared" si="373"/>
        <v>79.091110155573887</v>
      </c>
      <c r="AU70" s="241">
        <f t="shared" si="374"/>
        <v>1.9730000000000001</v>
      </c>
      <c r="AV70" s="246">
        <f t="shared" si="375"/>
        <v>0</v>
      </c>
      <c r="AW70" s="253">
        <f t="shared" si="274"/>
        <v>15.784000000000001</v>
      </c>
      <c r="AX70" s="253">
        <f t="shared" si="275"/>
        <v>0</v>
      </c>
      <c r="AY70" s="253">
        <f t="shared" si="376"/>
        <v>0.7</v>
      </c>
      <c r="AZ70" s="253">
        <f t="shared" si="377"/>
        <v>22.663310155573871</v>
      </c>
      <c r="BA70" s="253">
        <f t="shared" si="378"/>
        <v>0</v>
      </c>
      <c r="BB70" s="253">
        <f t="shared" si="379"/>
        <v>0</v>
      </c>
      <c r="BC70" s="253">
        <f t="shared" si="380"/>
        <v>0</v>
      </c>
      <c r="BD70" s="253">
        <f t="shared" si="381"/>
        <v>0</v>
      </c>
      <c r="BE70" s="253">
        <f t="shared" si="382"/>
        <v>38.670800000000014</v>
      </c>
      <c r="BF70" s="253">
        <f t="shared" si="383"/>
        <v>24.859800000000003</v>
      </c>
      <c r="BG70" s="253">
        <f t="shared" si="384"/>
        <v>24.859800000000003</v>
      </c>
      <c r="BH70" s="253">
        <f t="shared" si="385"/>
        <v>0</v>
      </c>
      <c r="BI70" s="253">
        <f t="shared" si="386"/>
        <v>13.811000000000011</v>
      </c>
      <c r="BJ70" s="241">
        <f t="shared" si="387"/>
        <v>13.811000000000011</v>
      </c>
      <c r="BK70" s="253">
        <f t="shared" si="388"/>
        <v>0</v>
      </c>
      <c r="BL70" s="253"/>
      <c r="BM70" s="253">
        <f t="shared" si="389"/>
        <v>0.63136000000000003</v>
      </c>
      <c r="BN70" s="252">
        <f t="shared" si="390"/>
        <v>1.7300000000000002</v>
      </c>
      <c r="BO70" s="366">
        <f t="shared" si="391"/>
        <v>39.46</v>
      </c>
      <c r="BP70" s="366">
        <f t="shared" si="392"/>
        <v>0</v>
      </c>
      <c r="BQ70" s="366">
        <f t="shared" si="393"/>
        <v>0</v>
      </c>
      <c r="BR70" s="240">
        <f t="shared" si="394"/>
        <v>0</v>
      </c>
      <c r="BS70" s="240">
        <f t="shared" si="395"/>
        <v>0</v>
      </c>
      <c r="BT70" s="240">
        <f t="shared" si="396"/>
        <v>0</v>
      </c>
      <c r="BU70" s="240">
        <f t="shared" si="397"/>
        <v>0</v>
      </c>
      <c r="BV70" s="240">
        <f t="shared" si="398"/>
        <v>0</v>
      </c>
      <c r="BW70" s="240">
        <f t="shared" si="399"/>
        <v>0</v>
      </c>
      <c r="BX70" s="240">
        <f t="shared" si="400"/>
        <v>0</v>
      </c>
      <c r="BY70" s="240">
        <f t="shared" si="401"/>
        <v>0</v>
      </c>
      <c r="BZ70" s="240">
        <f t="shared" si="402"/>
        <v>0</v>
      </c>
      <c r="CA70" s="240">
        <f t="shared" si="403"/>
        <v>0</v>
      </c>
      <c r="CB70" s="240">
        <f t="shared" si="404"/>
        <v>0</v>
      </c>
      <c r="CC70" s="240">
        <f t="shared" si="405"/>
        <v>0</v>
      </c>
      <c r="CD70" s="240">
        <f t="shared" si="406"/>
        <v>0</v>
      </c>
      <c r="CE70" s="240">
        <f t="shared" si="407"/>
        <v>0</v>
      </c>
      <c r="CF70" s="240">
        <f t="shared" si="408"/>
        <v>0</v>
      </c>
      <c r="CG70" s="240">
        <f t="shared" si="409"/>
        <v>0</v>
      </c>
      <c r="CH70" s="240">
        <f t="shared" si="410"/>
        <v>0</v>
      </c>
      <c r="CI70" s="240">
        <f t="shared" si="411"/>
        <v>0</v>
      </c>
      <c r="CJ70" s="365">
        <f t="shared" si="412"/>
        <v>0</v>
      </c>
      <c r="CK70" s="240">
        <f t="shared" si="413"/>
        <v>0</v>
      </c>
      <c r="CL70" s="240">
        <f t="shared" si="414"/>
        <v>0</v>
      </c>
      <c r="CM70" s="240">
        <f t="shared" si="415"/>
        <v>0</v>
      </c>
      <c r="CN70" s="245">
        <f t="shared" si="416"/>
        <v>0</v>
      </c>
      <c r="CO70" s="245">
        <f t="shared" si="417"/>
        <v>0</v>
      </c>
      <c r="CP70" s="245">
        <f t="shared" si="418"/>
        <v>0</v>
      </c>
      <c r="CQ70" s="245">
        <f t="shared" si="419"/>
        <v>0</v>
      </c>
      <c r="CR70" s="245">
        <f t="shared" si="420"/>
        <v>0</v>
      </c>
      <c r="CS70" s="245">
        <f t="shared" si="421"/>
        <v>0</v>
      </c>
      <c r="CT70" s="364">
        <f t="shared" si="422"/>
        <v>0</v>
      </c>
      <c r="CU70" s="363">
        <f t="shared" si="423"/>
        <v>1</v>
      </c>
      <c r="CV70" s="363">
        <f t="shared" si="424"/>
        <v>1</v>
      </c>
      <c r="CW70" s="363">
        <f t="shared" si="425"/>
        <v>0</v>
      </c>
      <c r="CX70" s="363">
        <f t="shared" si="426"/>
        <v>0</v>
      </c>
      <c r="CY70" s="363">
        <f t="shared" si="427"/>
        <v>0</v>
      </c>
      <c r="CZ70" s="363">
        <f t="shared" si="428"/>
        <v>0</v>
      </c>
      <c r="DA70" s="362">
        <f t="shared" si="429"/>
        <v>0.30000000000000004</v>
      </c>
      <c r="DB70" s="361">
        <v>1.3</v>
      </c>
      <c r="DC70" s="361">
        <v>1.4</v>
      </c>
      <c r="DD70" s="361">
        <v>2</v>
      </c>
      <c r="DE70" s="361">
        <v>2</v>
      </c>
      <c r="DF70" s="360">
        <v>2</v>
      </c>
      <c r="DG70" s="252">
        <f t="shared" si="430"/>
        <v>118.38</v>
      </c>
      <c r="DH70" s="360">
        <f t="shared" si="431"/>
        <v>18.151600000000016</v>
      </c>
      <c r="DI70" s="360">
        <f t="shared" si="432"/>
        <v>0</v>
      </c>
      <c r="DJ70" s="360">
        <f t="shared" si="433"/>
        <v>0</v>
      </c>
      <c r="DK70" s="360">
        <f t="shared" si="434"/>
        <v>0</v>
      </c>
      <c r="DL70" s="360">
        <f t="shared" si="435"/>
        <v>0</v>
      </c>
      <c r="DM70" s="360">
        <f t="shared" si="436"/>
        <v>0</v>
      </c>
      <c r="DN70" s="360">
        <f t="shared" si="437"/>
        <v>0</v>
      </c>
      <c r="DO70" s="360">
        <f t="shared" si="438"/>
        <v>0</v>
      </c>
      <c r="DP70" s="360">
        <f t="shared" si="439"/>
        <v>0</v>
      </c>
      <c r="DQ70" s="219"/>
    </row>
    <row r="71" spans="1:121" ht="25" x14ac:dyDescent="0.25">
      <c r="A71" s="238" t="s">
        <v>2735</v>
      </c>
      <c r="B71" s="238"/>
      <c r="C71" s="238" t="str">
        <f>'Planilha Hidráulica'!B80</f>
        <v>PV3.1-&gt;PV4.1</v>
      </c>
      <c r="D71" s="239">
        <f>'Planilha Hidráulica'!T80</f>
        <v>1.6</v>
      </c>
      <c r="E71" s="239">
        <f>'Planilha Hidráulica'!U80</f>
        <v>1.6</v>
      </c>
      <c r="F71" s="239">
        <f>'Planilha Hidráulica'!L80</f>
        <v>36.380000000000003</v>
      </c>
      <c r="G71" s="238">
        <f>'Planilha Hidráulica'!N80</f>
        <v>400</v>
      </c>
      <c r="H71" s="240">
        <f t="shared" si="343"/>
        <v>1.7300000000000002</v>
      </c>
      <c r="I71" s="241">
        <f t="shared" si="244"/>
        <v>3.1468700000000007</v>
      </c>
      <c r="J71" s="368">
        <v>0</v>
      </c>
      <c r="K71" s="240">
        <f t="shared" si="344"/>
        <v>1</v>
      </c>
      <c r="L71" s="240">
        <f t="shared" si="345"/>
        <v>1</v>
      </c>
      <c r="M71" s="243">
        <f>'Planilha Hidráulica'!Z80</f>
        <v>400</v>
      </c>
      <c r="N71" s="240">
        <f t="shared" si="346"/>
        <v>36.380000000000003</v>
      </c>
      <c r="O71" s="367" t="str">
        <f>'Planilha Hidráulica'!Y80</f>
        <v>TERRENO NATURAL</v>
      </c>
      <c r="P71" s="367" t="s">
        <v>2734</v>
      </c>
      <c r="Q71" s="367">
        <v>1</v>
      </c>
      <c r="R71" s="367">
        <v>4</v>
      </c>
      <c r="S71" s="367">
        <v>4</v>
      </c>
      <c r="T71" s="240">
        <f t="shared" si="347"/>
        <v>0.05</v>
      </c>
      <c r="U71" s="245">
        <f t="shared" si="348"/>
        <v>4.5716456295038679</v>
      </c>
      <c r="V71" s="246">
        <f t="shared" si="349"/>
        <v>72.917754370496141</v>
      </c>
      <c r="W71" s="245">
        <f t="shared" si="350"/>
        <v>14.551999999999992</v>
      </c>
      <c r="X71" s="247">
        <f t="shared" si="351"/>
        <v>0.4</v>
      </c>
      <c r="Y71" s="245">
        <f t="shared" si="352"/>
        <v>1.7300000000000002</v>
      </c>
      <c r="Z71" s="245">
        <f t="shared" si="353"/>
        <v>0</v>
      </c>
      <c r="AA71" s="252">
        <f t="shared" si="354"/>
        <v>0</v>
      </c>
      <c r="AB71" s="361">
        <f t="shared" si="355"/>
        <v>0</v>
      </c>
      <c r="AC71" s="251">
        <f t="shared" si="356"/>
        <v>0</v>
      </c>
      <c r="AD71" s="251">
        <f t="shared" si="357"/>
        <v>14.552000000000001</v>
      </c>
      <c r="AE71" s="251">
        <f t="shared" si="358"/>
        <v>0</v>
      </c>
      <c r="AF71" s="251">
        <f t="shared" si="359"/>
        <v>0</v>
      </c>
      <c r="AG71" s="251">
        <f t="shared" si="360"/>
        <v>0</v>
      </c>
      <c r="AH71" s="251">
        <f t="shared" si="361"/>
        <v>0</v>
      </c>
      <c r="AI71" s="251">
        <f t="shared" si="362"/>
        <v>0</v>
      </c>
      <c r="AJ71" s="251">
        <f t="shared" si="363"/>
        <v>54.570000000000007</v>
      </c>
      <c r="AK71" s="251">
        <f t="shared" si="364"/>
        <v>3.795754370496141</v>
      </c>
      <c r="AL71" s="251">
        <f t="shared" si="365"/>
        <v>0</v>
      </c>
      <c r="AM71" s="251">
        <f t="shared" si="366"/>
        <v>0</v>
      </c>
      <c r="AN71" s="251">
        <f t="shared" si="367"/>
        <v>0</v>
      </c>
      <c r="AO71" s="251">
        <f t="shared" si="368"/>
        <v>0</v>
      </c>
      <c r="AP71" s="251">
        <f t="shared" si="369"/>
        <v>0</v>
      </c>
      <c r="AQ71" s="251">
        <f t="shared" si="370"/>
        <v>0</v>
      </c>
      <c r="AR71" s="253">
        <f t="shared" si="371"/>
        <v>0</v>
      </c>
      <c r="AS71" s="253">
        <f t="shared" si="372"/>
        <v>0</v>
      </c>
      <c r="AT71" s="253">
        <f t="shared" si="373"/>
        <v>72.917754370496141</v>
      </c>
      <c r="AU71" s="241">
        <f t="shared" si="374"/>
        <v>1.8190000000000002</v>
      </c>
      <c r="AV71" s="246">
        <f t="shared" si="375"/>
        <v>0</v>
      </c>
      <c r="AW71" s="253">
        <f t="shared" si="274"/>
        <v>14.552000000000001</v>
      </c>
      <c r="AX71" s="253">
        <f t="shared" si="275"/>
        <v>0</v>
      </c>
      <c r="AY71" s="253">
        <f t="shared" si="376"/>
        <v>0.7</v>
      </c>
      <c r="AZ71" s="253">
        <f t="shared" si="377"/>
        <v>20.894354370496131</v>
      </c>
      <c r="BA71" s="253">
        <f t="shared" si="378"/>
        <v>0</v>
      </c>
      <c r="BB71" s="253">
        <f t="shared" si="379"/>
        <v>0</v>
      </c>
      <c r="BC71" s="253">
        <f t="shared" si="380"/>
        <v>0</v>
      </c>
      <c r="BD71" s="253">
        <f t="shared" si="381"/>
        <v>0</v>
      </c>
      <c r="BE71" s="253">
        <f t="shared" si="382"/>
        <v>35.652400000000007</v>
      </c>
      <c r="BF71" s="253">
        <f t="shared" si="383"/>
        <v>22.919400000000017</v>
      </c>
      <c r="BG71" s="253">
        <f t="shared" si="384"/>
        <v>22.919400000000017</v>
      </c>
      <c r="BH71" s="253">
        <f t="shared" si="385"/>
        <v>0</v>
      </c>
      <c r="BI71" s="253">
        <f t="shared" si="386"/>
        <v>12.73299999999999</v>
      </c>
      <c r="BJ71" s="241">
        <f t="shared" si="387"/>
        <v>12.73299999999999</v>
      </c>
      <c r="BK71" s="253">
        <f t="shared" si="388"/>
        <v>0</v>
      </c>
      <c r="BL71" s="253"/>
      <c r="BM71" s="253">
        <f t="shared" si="389"/>
        <v>0.58208000000000004</v>
      </c>
      <c r="BN71" s="252">
        <f t="shared" si="390"/>
        <v>1.7300000000000002</v>
      </c>
      <c r="BO71" s="366">
        <f t="shared" si="391"/>
        <v>36.380000000000003</v>
      </c>
      <c r="BP71" s="366">
        <f t="shared" si="392"/>
        <v>0</v>
      </c>
      <c r="BQ71" s="366">
        <f t="shared" si="393"/>
        <v>0</v>
      </c>
      <c r="BR71" s="240">
        <f t="shared" si="394"/>
        <v>0</v>
      </c>
      <c r="BS71" s="240">
        <f t="shared" si="395"/>
        <v>0</v>
      </c>
      <c r="BT71" s="240">
        <f t="shared" si="396"/>
        <v>0</v>
      </c>
      <c r="BU71" s="240">
        <f t="shared" si="397"/>
        <v>0</v>
      </c>
      <c r="BV71" s="240">
        <f t="shared" si="398"/>
        <v>0</v>
      </c>
      <c r="BW71" s="240">
        <f t="shared" si="399"/>
        <v>0</v>
      </c>
      <c r="BX71" s="240">
        <f t="shared" si="400"/>
        <v>0</v>
      </c>
      <c r="BY71" s="240">
        <f t="shared" si="401"/>
        <v>0</v>
      </c>
      <c r="BZ71" s="240">
        <f t="shared" si="402"/>
        <v>0</v>
      </c>
      <c r="CA71" s="240">
        <f t="shared" si="403"/>
        <v>0</v>
      </c>
      <c r="CB71" s="240">
        <f t="shared" si="404"/>
        <v>0</v>
      </c>
      <c r="CC71" s="240">
        <f t="shared" si="405"/>
        <v>0</v>
      </c>
      <c r="CD71" s="240">
        <f t="shared" si="406"/>
        <v>0</v>
      </c>
      <c r="CE71" s="240">
        <f t="shared" si="407"/>
        <v>0</v>
      </c>
      <c r="CF71" s="240">
        <f t="shared" si="408"/>
        <v>0</v>
      </c>
      <c r="CG71" s="240">
        <f t="shared" si="409"/>
        <v>0</v>
      </c>
      <c r="CH71" s="240">
        <f t="shared" si="410"/>
        <v>0</v>
      </c>
      <c r="CI71" s="240">
        <f t="shared" si="411"/>
        <v>0</v>
      </c>
      <c r="CJ71" s="365">
        <f t="shared" si="412"/>
        <v>0</v>
      </c>
      <c r="CK71" s="240">
        <f t="shared" si="413"/>
        <v>0</v>
      </c>
      <c r="CL71" s="240">
        <f t="shared" si="414"/>
        <v>0</v>
      </c>
      <c r="CM71" s="240">
        <f t="shared" si="415"/>
        <v>0</v>
      </c>
      <c r="CN71" s="245">
        <f t="shared" si="416"/>
        <v>0</v>
      </c>
      <c r="CO71" s="245">
        <f t="shared" si="417"/>
        <v>0</v>
      </c>
      <c r="CP71" s="245">
        <f t="shared" si="418"/>
        <v>0</v>
      </c>
      <c r="CQ71" s="245">
        <f t="shared" si="419"/>
        <v>0</v>
      </c>
      <c r="CR71" s="245">
        <f t="shared" si="420"/>
        <v>0</v>
      </c>
      <c r="CS71" s="245">
        <f t="shared" si="421"/>
        <v>0</v>
      </c>
      <c r="CT71" s="364">
        <f t="shared" si="422"/>
        <v>0</v>
      </c>
      <c r="CU71" s="363">
        <f t="shared" si="423"/>
        <v>1</v>
      </c>
      <c r="CV71" s="363">
        <f t="shared" si="424"/>
        <v>1</v>
      </c>
      <c r="CW71" s="363">
        <f t="shared" si="425"/>
        <v>0</v>
      </c>
      <c r="CX71" s="363">
        <f t="shared" si="426"/>
        <v>0</v>
      </c>
      <c r="CY71" s="363">
        <f t="shared" si="427"/>
        <v>0</v>
      </c>
      <c r="CZ71" s="363">
        <f t="shared" si="428"/>
        <v>0</v>
      </c>
      <c r="DA71" s="362">
        <f t="shared" si="429"/>
        <v>0.30000000000000004</v>
      </c>
      <c r="DB71" s="361">
        <v>1.3</v>
      </c>
      <c r="DC71" s="361">
        <v>1.4</v>
      </c>
      <c r="DD71" s="361">
        <v>2</v>
      </c>
      <c r="DE71" s="361">
        <v>2</v>
      </c>
      <c r="DF71" s="360">
        <v>2</v>
      </c>
      <c r="DG71" s="252">
        <f t="shared" si="430"/>
        <v>109.14000000000001</v>
      </c>
      <c r="DH71" s="360">
        <f t="shared" si="431"/>
        <v>16.734800000000018</v>
      </c>
      <c r="DI71" s="360">
        <f t="shared" si="432"/>
        <v>0</v>
      </c>
      <c r="DJ71" s="360">
        <f t="shared" si="433"/>
        <v>0</v>
      </c>
      <c r="DK71" s="360">
        <f t="shared" si="434"/>
        <v>0</v>
      </c>
      <c r="DL71" s="360">
        <f t="shared" si="435"/>
        <v>0</v>
      </c>
      <c r="DM71" s="360">
        <f t="shared" si="436"/>
        <v>0</v>
      </c>
      <c r="DN71" s="360">
        <f t="shared" si="437"/>
        <v>0</v>
      </c>
      <c r="DO71" s="360">
        <f t="shared" si="438"/>
        <v>0</v>
      </c>
      <c r="DP71" s="360">
        <f t="shared" si="439"/>
        <v>0</v>
      </c>
      <c r="DQ71" s="219"/>
    </row>
    <row r="72" spans="1:121" ht="25" x14ac:dyDescent="0.25">
      <c r="A72" s="238" t="s">
        <v>2735</v>
      </c>
      <c r="B72" s="238"/>
      <c r="C72" s="238" t="str">
        <f>'Planilha Hidráulica'!B81</f>
        <v>PV1.2-&gt;PV4.1</v>
      </c>
      <c r="D72" s="239">
        <f>'Planilha Hidráulica'!T81</f>
        <v>1.81</v>
      </c>
      <c r="E72" s="239">
        <f>'Planilha Hidráulica'!U81</f>
        <v>1.81</v>
      </c>
      <c r="F72" s="239">
        <f>'Planilha Hidráulica'!L81</f>
        <v>29.86</v>
      </c>
      <c r="G72" s="238">
        <f>'Planilha Hidráulica'!N81</f>
        <v>600</v>
      </c>
      <c r="H72" s="240">
        <f t="shared" si="343"/>
        <v>2.0300000000000002</v>
      </c>
      <c r="I72" s="241">
        <f t="shared" si="244"/>
        <v>3.0307900000000005</v>
      </c>
      <c r="J72" s="368">
        <v>0</v>
      </c>
      <c r="K72" s="240">
        <f t="shared" si="344"/>
        <v>1.4</v>
      </c>
      <c r="L72" s="240">
        <f t="shared" si="345"/>
        <v>1.4</v>
      </c>
      <c r="M72" s="243">
        <f>'Planilha Hidráulica'!Z81</f>
        <v>400</v>
      </c>
      <c r="N72" s="240">
        <f t="shared" si="346"/>
        <v>41.803999999999995</v>
      </c>
      <c r="O72" s="367" t="str">
        <f>'Planilha Hidráulica'!Y81</f>
        <v>TERRENO NATURAL</v>
      </c>
      <c r="P72" s="367" t="s">
        <v>2734</v>
      </c>
      <c r="Q72" s="367">
        <v>1</v>
      </c>
      <c r="R72" s="367">
        <v>4</v>
      </c>
      <c r="S72" s="367">
        <v>4</v>
      </c>
      <c r="T72" s="240">
        <f t="shared" si="347"/>
        <v>0.1</v>
      </c>
      <c r="U72" s="245">
        <f t="shared" si="348"/>
        <v>3.752318265447649</v>
      </c>
      <c r="V72" s="246">
        <f t="shared" si="349"/>
        <v>97.831401734552344</v>
      </c>
      <c r="W72" s="245">
        <f t="shared" si="350"/>
        <v>16.721599999999995</v>
      </c>
      <c r="X72" s="247">
        <f t="shared" si="351"/>
        <v>0.4</v>
      </c>
      <c r="Y72" s="245">
        <f t="shared" si="352"/>
        <v>2.0300000000000002</v>
      </c>
      <c r="Z72" s="245">
        <f t="shared" si="353"/>
        <v>0</v>
      </c>
      <c r="AA72" s="252">
        <f t="shared" si="354"/>
        <v>0</v>
      </c>
      <c r="AB72" s="361">
        <f t="shared" si="355"/>
        <v>0</v>
      </c>
      <c r="AC72" s="251">
        <f t="shared" si="356"/>
        <v>0</v>
      </c>
      <c r="AD72" s="251">
        <f t="shared" si="357"/>
        <v>16.721599999999999</v>
      </c>
      <c r="AE72" s="251">
        <f t="shared" si="358"/>
        <v>0</v>
      </c>
      <c r="AF72" s="251">
        <f t="shared" si="359"/>
        <v>0</v>
      </c>
      <c r="AG72" s="251">
        <f t="shared" si="360"/>
        <v>0</v>
      </c>
      <c r="AH72" s="251">
        <f t="shared" si="361"/>
        <v>0</v>
      </c>
      <c r="AI72" s="251">
        <f t="shared" si="362"/>
        <v>0</v>
      </c>
      <c r="AJ72" s="251">
        <f t="shared" si="363"/>
        <v>62.705999999999989</v>
      </c>
      <c r="AK72" s="251">
        <f t="shared" si="364"/>
        <v>18.40380173455236</v>
      </c>
      <c r="AL72" s="251">
        <f t="shared" si="365"/>
        <v>0</v>
      </c>
      <c r="AM72" s="251">
        <f t="shared" si="366"/>
        <v>0</v>
      </c>
      <c r="AN72" s="251">
        <f t="shared" si="367"/>
        <v>0</v>
      </c>
      <c r="AO72" s="251">
        <f t="shared" si="368"/>
        <v>0</v>
      </c>
      <c r="AP72" s="251">
        <f t="shared" si="369"/>
        <v>0</v>
      </c>
      <c r="AQ72" s="251">
        <f t="shared" si="370"/>
        <v>0</v>
      </c>
      <c r="AR72" s="253">
        <f t="shared" si="371"/>
        <v>0</v>
      </c>
      <c r="AS72" s="253">
        <f t="shared" si="372"/>
        <v>0</v>
      </c>
      <c r="AT72" s="253">
        <f t="shared" si="373"/>
        <v>93.141003902742796</v>
      </c>
      <c r="AU72" s="241">
        <f t="shared" si="374"/>
        <v>4.1803999999999997</v>
      </c>
      <c r="AV72" s="246">
        <f t="shared" si="375"/>
        <v>0</v>
      </c>
      <c r="AW72" s="253">
        <f t="shared" si="274"/>
        <v>16.721599999999999</v>
      </c>
      <c r="AX72" s="253">
        <f t="shared" si="275"/>
        <v>0</v>
      </c>
      <c r="AY72" s="253">
        <f t="shared" si="376"/>
        <v>0.89999999999999991</v>
      </c>
      <c r="AZ72" s="253">
        <f t="shared" si="377"/>
        <v>29.180883902742785</v>
      </c>
      <c r="BA72" s="253">
        <f t="shared" si="378"/>
        <v>0</v>
      </c>
      <c r="BB72" s="253">
        <f t="shared" si="379"/>
        <v>0</v>
      </c>
      <c r="BC72" s="253">
        <f t="shared" si="380"/>
        <v>0</v>
      </c>
      <c r="BD72" s="253">
        <f t="shared" si="381"/>
        <v>0</v>
      </c>
      <c r="BE72" s="253">
        <f t="shared" si="382"/>
        <v>43.058120000000009</v>
      </c>
      <c r="BF72" s="253">
        <f t="shared" si="383"/>
        <v>35.207317831809569</v>
      </c>
      <c r="BG72" s="253">
        <f t="shared" si="384"/>
        <v>35.207317831809569</v>
      </c>
      <c r="BH72" s="253">
        <f t="shared" si="385"/>
        <v>0</v>
      </c>
      <c r="BI72" s="253">
        <f t="shared" si="386"/>
        <v>7.850802168190441</v>
      </c>
      <c r="BJ72" s="241">
        <f t="shared" si="387"/>
        <v>7.850802168190441</v>
      </c>
      <c r="BK72" s="253">
        <f t="shared" si="388"/>
        <v>0</v>
      </c>
      <c r="BL72" s="253"/>
      <c r="BM72" s="253">
        <f t="shared" si="389"/>
        <v>0.66886400000000001</v>
      </c>
      <c r="BN72" s="252">
        <f t="shared" si="390"/>
        <v>0</v>
      </c>
      <c r="BO72" s="366">
        <f t="shared" si="391"/>
        <v>0</v>
      </c>
      <c r="BP72" s="366">
        <f t="shared" si="392"/>
        <v>0</v>
      </c>
      <c r="BQ72" s="366">
        <f t="shared" si="393"/>
        <v>0</v>
      </c>
      <c r="BR72" s="240">
        <f t="shared" si="394"/>
        <v>0</v>
      </c>
      <c r="BS72" s="240">
        <f t="shared" si="395"/>
        <v>0</v>
      </c>
      <c r="BT72" s="240">
        <f t="shared" si="396"/>
        <v>2.0300000000000002</v>
      </c>
      <c r="BU72" s="240">
        <f t="shared" si="397"/>
        <v>29.86</v>
      </c>
      <c r="BV72" s="240">
        <f t="shared" si="398"/>
        <v>0</v>
      </c>
      <c r="BW72" s="240">
        <f t="shared" si="399"/>
        <v>0</v>
      </c>
      <c r="BX72" s="240">
        <f t="shared" si="400"/>
        <v>0</v>
      </c>
      <c r="BY72" s="240">
        <f t="shared" si="401"/>
        <v>0</v>
      </c>
      <c r="BZ72" s="240">
        <f t="shared" si="402"/>
        <v>0</v>
      </c>
      <c r="CA72" s="240">
        <f t="shared" si="403"/>
        <v>0</v>
      </c>
      <c r="CB72" s="240">
        <f t="shared" si="404"/>
        <v>0</v>
      </c>
      <c r="CC72" s="240">
        <f t="shared" si="405"/>
        <v>0</v>
      </c>
      <c r="CD72" s="240">
        <f t="shared" si="406"/>
        <v>0</v>
      </c>
      <c r="CE72" s="240">
        <f t="shared" si="407"/>
        <v>0</v>
      </c>
      <c r="CF72" s="240">
        <f t="shared" si="408"/>
        <v>0</v>
      </c>
      <c r="CG72" s="240">
        <f t="shared" si="409"/>
        <v>0</v>
      </c>
      <c r="CH72" s="240">
        <f t="shared" si="410"/>
        <v>0</v>
      </c>
      <c r="CI72" s="240">
        <f t="shared" si="411"/>
        <v>0</v>
      </c>
      <c r="CJ72" s="365">
        <f t="shared" si="412"/>
        <v>0</v>
      </c>
      <c r="CK72" s="240">
        <f t="shared" si="413"/>
        <v>0</v>
      </c>
      <c r="CL72" s="240">
        <f t="shared" si="414"/>
        <v>0</v>
      </c>
      <c r="CM72" s="240">
        <f t="shared" si="415"/>
        <v>0</v>
      </c>
      <c r="CN72" s="245">
        <f t="shared" si="416"/>
        <v>0</v>
      </c>
      <c r="CO72" s="245">
        <f t="shared" si="417"/>
        <v>0</v>
      </c>
      <c r="CP72" s="245">
        <f t="shared" si="418"/>
        <v>0</v>
      </c>
      <c r="CQ72" s="245">
        <f t="shared" si="419"/>
        <v>0</v>
      </c>
      <c r="CR72" s="245">
        <f t="shared" si="420"/>
        <v>0</v>
      </c>
      <c r="CS72" s="245">
        <f t="shared" si="421"/>
        <v>0</v>
      </c>
      <c r="CT72" s="364">
        <f t="shared" si="422"/>
        <v>0</v>
      </c>
      <c r="CU72" s="363">
        <f t="shared" si="423"/>
        <v>1</v>
      </c>
      <c r="CV72" s="363">
        <f t="shared" si="424"/>
        <v>1</v>
      </c>
      <c r="CW72" s="363">
        <f t="shared" si="425"/>
        <v>0</v>
      </c>
      <c r="CX72" s="363">
        <f t="shared" si="426"/>
        <v>0</v>
      </c>
      <c r="CY72" s="363">
        <f t="shared" si="427"/>
        <v>0</v>
      </c>
      <c r="CZ72" s="363">
        <f t="shared" si="428"/>
        <v>0</v>
      </c>
      <c r="DA72" s="362">
        <f t="shared" si="429"/>
        <v>0.51</v>
      </c>
      <c r="DB72" s="361">
        <v>1.3</v>
      </c>
      <c r="DC72" s="361">
        <v>1.4</v>
      </c>
      <c r="DD72" s="361">
        <v>2</v>
      </c>
      <c r="DE72" s="361">
        <v>2</v>
      </c>
      <c r="DF72" s="360">
        <v>2</v>
      </c>
      <c r="DG72" s="252">
        <f t="shared" si="430"/>
        <v>89.58</v>
      </c>
      <c r="DH72" s="360">
        <f t="shared" si="431"/>
        <v>31.651600000000013</v>
      </c>
      <c r="DI72" s="360">
        <f t="shared" si="432"/>
        <v>0</v>
      </c>
      <c r="DJ72" s="360">
        <f t="shared" si="433"/>
        <v>0</v>
      </c>
      <c r="DK72" s="360">
        <f t="shared" si="434"/>
        <v>0</v>
      </c>
      <c r="DL72" s="360">
        <f t="shared" si="435"/>
        <v>0</v>
      </c>
      <c r="DM72" s="360">
        <f t="shared" si="436"/>
        <v>0</v>
      </c>
      <c r="DN72" s="360">
        <f t="shared" si="437"/>
        <v>0</v>
      </c>
      <c r="DO72" s="360">
        <f t="shared" si="438"/>
        <v>0</v>
      </c>
      <c r="DP72" s="360">
        <f t="shared" si="439"/>
        <v>0</v>
      </c>
      <c r="DQ72" s="219"/>
    </row>
    <row r="73" spans="1:121" ht="25" x14ac:dyDescent="0.25">
      <c r="A73" s="238" t="s">
        <v>2733</v>
      </c>
      <c r="B73" s="238"/>
      <c r="C73" s="238" t="str">
        <f>'Planilha Hidráulica'!B82</f>
        <v>PV4.1-&gt;PV5.1</v>
      </c>
      <c r="D73" s="239">
        <f>'Planilha Hidráulica'!T82</f>
        <v>1.81</v>
      </c>
      <c r="E73" s="239">
        <f>'Planilha Hidráulica'!U82</f>
        <v>1.81</v>
      </c>
      <c r="F73" s="239">
        <f>'Planilha Hidráulica'!L82</f>
        <v>38.44</v>
      </c>
      <c r="G73" s="238">
        <f>'Planilha Hidráulica'!N82</f>
        <v>600</v>
      </c>
      <c r="H73" s="240">
        <f t="shared" si="343"/>
        <v>2.0300000000000002</v>
      </c>
      <c r="I73" s="241">
        <f t="shared" si="244"/>
        <v>3.9016600000000006</v>
      </c>
      <c r="J73" s="368">
        <v>0</v>
      </c>
      <c r="K73" s="240">
        <f t="shared" si="344"/>
        <v>1.4</v>
      </c>
      <c r="L73" s="240">
        <f t="shared" si="345"/>
        <v>1.4</v>
      </c>
      <c r="M73" s="243">
        <f>'Planilha Hidráulica'!Z82</f>
        <v>400</v>
      </c>
      <c r="N73" s="240">
        <f t="shared" si="346"/>
        <v>53.815999999999995</v>
      </c>
      <c r="O73" s="367" t="str">
        <f>'Planilha Hidráulica'!Y82</f>
        <v>TERRENO NATURAL</v>
      </c>
      <c r="P73" s="367" t="s">
        <v>2734</v>
      </c>
      <c r="Q73" s="367">
        <v>1</v>
      </c>
      <c r="R73" s="367">
        <v>4</v>
      </c>
      <c r="S73" s="367">
        <v>4</v>
      </c>
      <c r="T73" s="240">
        <f t="shared" si="347"/>
        <v>0.1</v>
      </c>
      <c r="U73" s="245">
        <f t="shared" si="348"/>
        <v>4.8305128641596662</v>
      </c>
      <c r="V73" s="246">
        <f t="shared" si="349"/>
        <v>125.94236713584031</v>
      </c>
      <c r="W73" s="245">
        <f t="shared" si="350"/>
        <v>21.526399999999981</v>
      </c>
      <c r="X73" s="247">
        <f t="shared" si="351"/>
        <v>0.4</v>
      </c>
      <c r="Y73" s="245">
        <f t="shared" si="352"/>
        <v>2.0300000000000002</v>
      </c>
      <c r="Z73" s="245">
        <f t="shared" si="353"/>
        <v>0</v>
      </c>
      <c r="AA73" s="252">
        <f t="shared" si="354"/>
        <v>0</v>
      </c>
      <c r="AB73" s="361">
        <f t="shared" si="355"/>
        <v>0</v>
      </c>
      <c r="AC73" s="251">
        <f t="shared" si="356"/>
        <v>0</v>
      </c>
      <c r="AD73" s="251">
        <f t="shared" si="357"/>
        <v>21.526399999999999</v>
      </c>
      <c r="AE73" s="251">
        <f t="shared" si="358"/>
        <v>0</v>
      </c>
      <c r="AF73" s="251">
        <f t="shared" si="359"/>
        <v>0</v>
      </c>
      <c r="AG73" s="251">
        <f t="shared" si="360"/>
        <v>0</v>
      </c>
      <c r="AH73" s="251">
        <f t="shared" si="361"/>
        <v>0</v>
      </c>
      <c r="AI73" s="251">
        <f t="shared" si="362"/>
        <v>0</v>
      </c>
      <c r="AJ73" s="251">
        <f t="shared" si="363"/>
        <v>80.72399999999999</v>
      </c>
      <c r="AK73" s="251">
        <f t="shared" si="364"/>
        <v>23.691967135840347</v>
      </c>
      <c r="AL73" s="251">
        <f t="shared" si="365"/>
        <v>0</v>
      </c>
      <c r="AM73" s="251">
        <f t="shared" si="366"/>
        <v>0</v>
      </c>
      <c r="AN73" s="251">
        <f t="shared" si="367"/>
        <v>0</v>
      </c>
      <c r="AO73" s="251">
        <f t="shared" si="368"/>
        <v>0</v>
      </c>
      <c r="AP73" s="251">
        <f t="shared" si="369"/>
        <v>0</v>
      </c>
      <c r="AQ73" s="251">
        <f t="shared" si="370"/>
        <v>0</v>
      </c>
      <c r="AR73" s="253">
        <f t="shared" si="371"/>
        <v>0</v>
      </c>
      <c r="AS73" s="253">
        <f t="shared" si="372"/>
        <v>0</v>
      </c>
      <c r="AT73" s="253">
        <f t="shared" si="373"/>
        <v>119.90422605564075</v>
      </c>
      <c r="AU73" s="241">
        <f t="shared" si="374"/>
        <v>5.3815999999999997</v>
      </c>
      <c r="AV73" s="246">
        <f t="shared" si="375"/>
        <v>0</v>
      </c>
      <c r="AW73" s="253">
        <f t="shared" si="274"/>
        <v>21.526399999999999</v>
      </c>
      <c r="AX73" s="253">
        <f t="shared" si="275"/>
        <v>0</v>
      </c>
      <c r="AY73" s="253">
        <f t="shared" si="376"/>
        <v>0.89999999999999991</v>
      </c>
      <c r="AZ73" s="253">
        <f t="shared" si="377"/>
        <v>37.565746055640744</v>
      </c>
      <c r="BA73" s="253">
        <f t="shared" si="378"/>
        <v>0</v>
      </c>
      <c r="BB73" s="253">
        <f t="shared" si="379"/>
        <v>0</v>
      </c>
      <c r="BC73" s="253">
        <f t="shared" si="380"/>
        <v>0</v>
      </c>
      <c r="BD73" s="253">
        <f t="shared" si="381"/>
        <v>0</v>
      </c>
      <c r="BE73" s="253">
        <f t="shared" si="382"/>
        <v>55.430480000000003</v>
      </c>
      <c r="BF73" s="253">
        <f t="shared" si="383"/>
        <v>45.323821080199593</v>
      </c>
      <c r="BG73" s="253">
        <f t="shared" si="384"/>
        <v>45.323821080199593</v>
      </c>
      <c r="BH73" s="253">
        <f t="shared" si="385"/>
        <v>0</v>
      </c>
      <c r="BI73" s="253">
        <f t="shared" si="386"/>
        <v>10.10665891980041</v>
      </c>
      <c r="BJ73" s="241">
        <f t="shared" si="387"/>
        <v>10.10665891980041</v>
      </c>
      <c r="BK73" s="253">
        <f t="shared" si="388"/>
        <v>0</v>
      </c>
      <c r="BL73" s="253"/>
      <c r="BM73" s="253">
        <f t="shared" si="389"/>
        <v>0.86105599999999993</v>
      </c>
      <c r="BN73" s="252">
        <f t="shared" si="390"/>
        <v>0</v>
      </c>
      <c r="BO73" s="366">
        <f t="shared" si="391"/>
        <v>0</v>
      </c>
      <c r="BP73" s="366">
        <f t="shared" si="392"/>
        <v>0</v>
      </c>
      <c r="BQ73" s="366">
        <f t="shared" si="393"/>
        <v>0</v>
      </c>
      <c r="BR73" s="240">
        <f t="shared" si="394"/>
        <v>0</v>
      </c>
      <c r="BS73" s="240">
        <f t="shared" si="395"/>
        <v>0</v>
      </c>
      <c r="BT73" s="240">
        <f t="shared" si="396"/>
        <v>2.0300000000000002</v>
      </c>
      <c r="BU73" s="240">
        <f t="shared" si="397"/>
        <v>38.44</v>
      </c>
      <c r="BV73" s="240">
        <f t="shared" si="398"/>
        <v>0</v>
      </c>
      <c r="BW73" s="240">
        <f t="shared" si="399"/>
        <v>0</v>
      </c>
      <c r="BX73" s="240">
        <f t="shared" si="400"/>
        <v>0</v>
      </c>
      <c r="BY73" s="240">
        <f t="shared" si="401"/>
        <v>0</v>
      </c>
      <c r="BZ73" s="240">
        <f t="shared" si="402"/>
        <v>0</v>
      </c>
      <c r="CA73" s="240">
        <f t="shared" si="403"/>
        <v>0</v>
      </c>
      <c r="CB73" s="240">
        <f t="shared" si="404"/>
        <v>0</v>
      </c>
      <c r="CC73" s="240">
        <f t="shared" si="405"/>
        <v>0</v>
      </c>
      <c r="CD73" s="240">
        <f t="shared" si="406"/>
        <v>0</v>
      </c>
      <c r="CE73" s="240">
        <f t="shared" si="407"/>
        <v>0</v>
      </c>
      <c r="CF73" s="240">
        <f t="shared" si="408"/>
        <v>0</v>
      </c>
      <c r="CG73" s="240">
        <f t="shared" si="409"/>
        <v>0</v>
      </c>
      <c r="CH73" s="240">
        <f t="shared" si="410"/>
        <v>0</v>
      </c>
      <c r="CI73" s="240">
        <f t="shared" si="411"/>
        <v>0</v>
      </c>
      <c r="CJ73" s="365">
        <f t="shared" si="412"/>
        <v>0</v>
      </c>
      <c r="CK73" s="240">
        <f t="shared" si="413"/>
        <v>0</v>
      </c>
      <c r="CL73" s="240">
        <f t="shared" si="414"/>
        <v>0</v>
      </c>
      <c r="CM73" s="240">
        <f t="shared" si="415"/>
        <v>0</v>
      </c>
      <c r="CN73" s="245">
        <f t="shared" si="416"/>
        <v>0</v>
      </c>
      <c r="CO73" s="245">
        <f t="shared" si="417"/>
        <v>0</v>
      </c>
      <c r="CP73" s="245">
        <f t="shared" si="418"/>
        <v>0</v>
      </c>
      <c r="CQ73" s="245">
        <f t="shared" si="419"/>
        <v>0</v>
      </c>
      <c r="CR73" s="245">
        <f t="shared" si="420"/>
        <v>0</v>
      </c>
      <c r="CS73" s="245">
        <f t="shared" si="421"/>
        <v>0</v>
      </c>
      <c r="CT73" s="364">
        <f t="shared" si="422"/>
        <v>0</v>
      </c>
      <c r="CU73" s="363">
        <f t="shared" si="423"/>
        <v>1</v>
      </c>
      <c r="CV73" s="363">
        <f t="shared" si="424"/>
        <v>1</v>
      </c>
      <c r="CW73" s="363">
        <f t="shared" si="425"/>
        <v>0</v>
      </c>
      <c r="CX73" s="363">
        <f t="shared" si="426"/>
        <v>0</v>
      </c>
      <c r="CY73" s="363">
        <f t="shared" si="427"/>
        <v>0</v>
      </c>
      <c r="CZ73" s="363">
        <f t="shared" si="428"/>
        <v>0</v>
      </c>
      <c r="DA73" s="362">
        <f t="shared" si="429"/>
        <v>0.51</v>
      </c>
      <c r="DB73" s="361">
        <v>1.3</v>
      </c>
      <c r="DC73" s="361">
        <v>1.4</v>
      </c>
      <c r="DD73" s="361">
        <v>2</v>
      </c>
      <c r="DE73" s="361">
        <v>2</v>
      </c>
      <c r="DF73" s="360">
        <v>2</v>
      </c>
      <c r="DG73" s="252">
        <f t="shared" si="430"/>
        <v>115.32</v>
      </c>
      <c r="DH73" s="360">
        <f t="shared" si="431"/>
        <v>40.746400000000015</v>
      </c>
      <c r="DI73" s="360">
        <f t="shared" si="432"/>
        <v>0</v>
      </c>
      <c r="DJ73" s="360">
        <f t="shared" si="433"/>
        <v>0</v>
      </c>
      <c r="DK73" s="360">
        <f t="shared" si="434"/>
        <v>0</v>
      </c>
      <c r="DL73" s="360">
        <f t="shared" si="435"/>
        <v>0</v>
      </c>
      <c r="DM73" s="360">
        <f t="shared" si="436"/>
        <v>0</v>
      </c>
      <c r="DN73" s="360">
        <f t="shared" si="437"/>
        <v>0</v>
      </c>
      <c r="DO73" s="360">
        <f t="shared" si="438"/>
        <v>0</v>
      </c>
      <c r="DP73" s="360">
        <f t="shared" si="439"/>
        <v>0</v>
      </c>
      <c r="DQ73" s="219"/>
    </row>
    <row r="74" spans="1:121" ht="25" x14ac:dyDescent="0.25">
      <c r="A74" s="238" t="s">
        <v>2733</v>
      </c>
      <c r="B74" s="238"/>
      <c r="C74" s="238" t="str">
        <f>'Planilha Hidráulica'!B83</f>
        <v>PV5.1-&gt;PV6.1</v>
      </c>
      <c r="D74" s="239">
        <f>'Planilha Hidráulica'!T83</f>
        <v>1.81</v>
      </c>
      <c r="E74" s="239">
        <f>'Planilha Hidráulica'!U83</f>
        <v>1.81</v>
      </c>
      <c r="F74" s="239">
        <f>'Planilha Hidráulica'!L83</f>
        <v>38.44</v>
      </c>
      <c r="G74" s="238">
        <f>'Planilha Hidráulica'!N83</f>
        <v>600</v>
      </c>
      <c r="H74" s="240">
        <f t="shared" si="343"/>
        <v>2.0300000000000002</v>
      </c>
      <c r="I74" s="241">
        <f t="shared" si="244"/>
        <v>3.9016600000000006</v>
      </c>
      <c r="J74" s="368">
        <v>0</v>
      </c>
      <c r="K74" s="240">
        <f t="shared" si="344"/>
        <v>1.4</v>
      </c>
      <c r="L74" s="240">
        <f t="shared" si="345"/>
        <v>1.4</v>
      </c>
      <c r="M74" s="243">
        <f>'Planilha Hidráulica'!Z83</f>
        <v>400</v>
      </c>
      <c r="N74" s="240">
        <f t="shared" si="346"/>
        <v>53.815999999999995</v>
      </c>
      <c r="O74" s="367" t="str">
        <f>'Planilha Hidráulica'!Y83</f>
        <v>TERRENO NATURAL</v>
      </c>
      <c r="P74" s="367" t="s">
        <v>2734</v>
      </c>
      <c r="Q74" s="367">
        <v>1</v>
      </c>
      <c r="R74" s="367">
        <v>4</v>
      </c>
      <c r="S74" s="367">
        <v>4</v>
      </c>
      <c r="T74" s="240">
        <f t="shared" si="347"/>
        <v>0.1</v>
      </c>
      <c r="U74" s="245">
        <f t="shared" si="348"/>
        <v>4.8305128641596662</v>
      </c>
      <c r="V74" s="246">
        <f t="shared" si="349"/>
        <v>125.94236713584031</v>
      </c>
      <c r="W74" s="245">
        <f t="shared" si="350"/>
        <v>21.526399999999981</v>
      </c>
      <c r="X74" s="247">
        <f t="shared" si="351"/>
        <v>0.4</v>
      </c>
      <c r="Y74" s="245">
        <f t="shared" si="352"/>
        <v>2.0300000000000002</v>
      </c>
      <c r="Z74" s="245">
        <f t="shared" si="353"/>
        <v>0</v>
      </c>
      <c r="AA74" s="252">
        <f t="shared" si="354"/>
        <v>0</v>
      </c>
      <c r="AB74" s="361">
        <f t="shared" si="355"/>
        <v>0</v>
      </c>
      <c r="AC74" s="251">
        <f t="shared" si="356"/>
        <v>0</v>
      </c>
      <c r="AD74" s="251">
        <f t="shared" si="357"/>
        <v>21.526399999999999</v>
      </c>
      <c r="AE74" s="251">
        <f t="shared" si="358"/>
        <v>0</v>
      </c>
      <c r="AF74" s="251">
        <f t="shared" si="359"/>
        <v>0</v>
      </c>
      <c r="AG74" s="251">
        <f t="shared" si="360"/>
        <v>0</v>
      </c>
      <c r="AH74" s="251">
        <f t="shared" si="361"/>
        <v>0</v>
      </c>
      <c r="AI74" s="251">
        <f t="shared" si="362"/>
        <v>0</v>
      </c>
      <c r="AJ74" s="251">
        <f t="shared" si="363"/>
        <v>80.72399999999999</v>
      </c>
      <c r="AK74" s="251">
        <f t="shared" si="364"/>
        <v>23.691967135840347</v>
      </c>
      <c r="AL74" s="251">
        <f t="shared" si="365"/>
        <v>0</v>
      </c>
      <c r="AM74" s="251">
        <f t="shared" si="366"/>
        <v>0</v>
      </c>
      <c r="AN74" s="251">
        <f t="shared" si="367"/>
        <v>0</v>
      </c>
      <c r="AO74" s="251">
        <f t="shared" si="368"/>
        <v>0</v>
      </c>
      <c r="AP74" s="251">
        <f t="shared" si="369"/>
        <v>0</v>
      </c>
      <c r="AQ74" s="251">
        <f t="shared" si="370"/>
        <v>0</v>
      </c>
      <c r="AR74" s="253">
        <f t="shared" si="371"/>
        <v>0</v>
      </c>
      <c r="AS74" s="253">
        <f t="shared" si="372"/>
        <v>0</v>
      </c>
      <c r="AT74" s="253">
        <f t="shared" si="373"/>
        <v>119.90422605564075</v>
      </c>
      <c r="AU74" s="241">
        <f t="shared" si="374"/>
        <v>5.3815999999999997</v>
      </c>
      <c r="AV74" s="246">
        <f t="shared" si="375"/>
        <v>0</v>
      </c>
      <c r="AW74" s="253">
        <f t="shared" si="274"/>
        <v>21.526399999999999</v>
      </c>
      <c r="AX74" s="253">
        <f t="shared" si="275"/>
        <v>0</v>
      </c>
      <c r="AY74" s="253">
        <f t="shared" si="376"/>
        <v>0.89999999999999991</v>
      </c>
      <c r="AZ74" s="253">
        <f t="shared" si="377"/>
        <v>37.565746055640744</v>
      </c>
      <c r="BA74" s="253">
        <f t="shared" si="378"/>
        <v>0</v>
      </c>
      <c r="BB74" s="253">
        <f t="shared" si="379"/>
        <v>0</v>
      </c>
      <c r="BC74" s="253">
        <f t="shared" si="380"/>
        <v>0</v>
      </c>
      <c r="BD74" s="253">
        <f t="shared" si="381"/>
        <v>0</v>
      </c>
      <c r="BE74" s="253">
        <f t="shared" si="382"/>
        <v>55.430480000000003</v>
      </c>
      <c r="BF74" s="253">
        <f t="shared" si="383"/>
        <v>45.323821080199593</v>
      </c>
      <c r="BG74" s="253">
        <f t="shared" si="384"/>
        <v>45.323821080199593</v>
      </c>
      <c r="BH74" s="253">
        <f t="shared" si="385"/>
        <v>0</v>
      </c>
      <c r="BI74" s="253">
        <f t="shared" si="386"/>
        <v>10.10665891980041</v>
      </c>
      <c r="BJ74" s="241">
        <f t="shared" si="387"/>
        <v>10.10665891980041</v>
      </c>
      <c r="BK74" s="253">
        <f t="shared" si="388"/>
        <v>0</v>
      </c>
      <c r="BL74" s="253"/>
      <c r="BM74" s="253">
        <f t="shared" si="389"/>
        <v>0.86105599999999993</v>
      </c>
      <c r="BN74" s="252">
        <f t="shared" si="390"/>
        <v>0</v>
      </c>
      <c r="BO74" s="366">
        <f t="shared" si="391"/>
        <v>0</v>
      </c>
      <c r="BP74" s="366">
        <f t="shared" si="392"/>
        <v>0</v>
      </c>
      <c r="BQ74" s="366">
        <f t="shared" si="393"/>
        <v>0</v>
      </c>
      <c r="BR74" s="240">
        <f t="shared" si="394"/>
        <v>0</v>
      </c>
      <c r="BS74" s="240">
        <f t="shared" si="395"/>
        <v>0</v>
      </c>
      <c r="BT74" s="240">
        <f t="shared" si="396"/>
        <v>2.0300000000000002</v>
      </c>
      <c r="BU74" s="240">
        <f t="shared" si="397"/>
        <v>38.44</v>
      </c>
      <c r="BV74" s="240">
        <f t="shared" si="398"/>
        <v>0</v>
      </c>
      <c r="BW74" s="240">
        <f t="shared" si="399"/>
        <v>0</v>
      </c>
      <c r="BX74" s="240">
        <f t="shared" si="400"/>
        <v>0</v>
      </c>
      <c r="BY74" s="240">
        <f t="shared" si="401"/>
        <v>0</v>
      </c>
      <c r="BZ74" s="240">
        <f t="shared" si="402"/>
        <v>0</v>
      </c>
      <c r="CA74" s="240">
        <f t="shared" si="403"/>
        <v>0</v>
      </c>
      <c r="CB74" s="240">
        <f t="shared" si="404"/>
        <v>0</v>
      </c>
      <c r="CC74" s="240">
        <f t="shared" si="405"/>
        <v>0</v>
      </c>
      <c r="CD74" s="240">
        <f t="shared" si="406"/>
        <v>0</v>
      </c>
      <c r="CE74" s="240">
        <f t="shared" si="407"/>
        <v>0</v>
      </c>
      <c r="CF74" s="240">
        <f t="shared" si="408"/>
        <v>0</v>
      </c>
      <c r="CG74" s="240">
        <f t="shared" si="409"/>
        <v>0</v>
      </c>
      <c r="CH74" s="240">
        <f t="shared" si="410"/>
        <v>0</v>
      </c>
      <c r="CI74" s="240">
        <f t="shared" si="411"/>
        <v>0</v>
      </c>
      <c r="CJ74" s="365">
        <f t="shared" si="412"/>
        <v>0</v>
      </c>
      <c r="CK74" s="240">
        <f t="shared" si="413"/>
        <v>0</v>
      </c>
      <c r="CL74" s="240">
        <f t="shared" si="414"/>
        <v>0</v>
      </c>
      <c r="CM74" s="240">
        <f t="shared" si="415"/>
        <v>0</v>
      </c>
      <c r="CN74" s="245">
        <f t="shared" si="416"/>
        <v>0</v>
      </c>
      <c r="CO74" s="245">
        <f t="shared" si="417"/>
        <v>0</v>
      </c>
      <c r="CP74" s="245">
        <f t="shared" si="418"/>
        <v>0</v>
      </c>
      <c r="CQ74" s="245">
        <f t="shared" si="419"/>
        <v>0</v>
      </c>
      <c r="CR74" s="245">
        <f t="shared" si="420"/>
        <v>0</v>
      </c>
      <c r="CS74" s="245">
        <f t="shared" si="421"/>
        <v>0</v>
      </c>
      <c r="CT74" s="364">
        <f t="shared" si="422"/>
        <v>0</v>
      </c>
      <c r="CU74" s="363">
        <f t="shared" si="423"/>
        <v>1</v>
      </c>
      <c r="CV74" s="363">
        <f t="shared" si="424"/>
        <v>1</v>
      </c>
      <c r="CW74" s="363">
        <f t="shared" si="425"/>
        <v>0</v>
      </c>
      <c r="CX74" s="363">
        <f t="shared" si="426"/>
        <v>0</v>
      </c>
      <c r="CY74" s="363">
        <f t="shared" si="427"/>
        <v>0</v>
      </c>
      <c r="CZ74" s="363">
        <f t="shared" si="428"/>
        <v>0</v>
      </c>
      <c r="DA74" s="362">
        <f t="shared" si="429"/>
        <v>0.51</v>
      </c>
      <c r="DB74" s="361">
        <v>1.3</v>
      </c>
      <c r="DC74" s="361">
        <v>1.4</v>
      </c>
      <c r="DD74" s="361">
        <v>2</v>
      </c>
      <c r="DE74" s="361">
        <v>2</v>
      </c>
      <c r="DF74" s="360">
        <v>2</v>
      </c>
      <c r="DG74" s="252">
        <f t="shared" si="430"/>
        <v>115.32</v>
      </c>
      <c r="DH74" s="360">
        <f t="shared" si="431"/>
        <v>40.746400000000015</v>
      </c>
      <c r="DI74" s="360">
        <f t="shared" si="432"/>
        <v>0</v>
      </c>
      <c r="DJ74" s="360">
        <f t="shared" si="433"/>
        <v>0</v>
      </c>
      <c r="DK74" s="360">
        <f t="shared" si="434"/>
        <v>0</v>
      </c>
      <c r="DL74" s="360">
        <f t="shared" si="435"/>
        <v>0</v>
      </c>
      <c r="DM74" s="360">
        <f t="shared" si="436"/>
        <v>0</v>
      </c>
      <c r="DN74" s="360">
        <f t="shared" si="437"/>
        <v>0</v>
      </c>
      <c r="DO74" s="360">
        <f t="shared" si="438"/>
        <v>0</v>
      </c>
      <c r="DP74" s="360">
        <f t="shared" si="439"/>
        <v>0</v>
      </c>
      <c r="DQ74" s="219"/>
    </row>
    <row r="75" spans="1:121" ht="25" x14ac:dyDescent="0.25">
      <c r="A75" s="238" t="s">
        <v>2733</v>
      </c>
      <c r="B75" s="238"/>
      <c r="C75" s="238" t="str">
        <f>'Planilha Hidráulica'!B84</f>
        <v>PV6.1-&gt;PV7.1</v>
      </c>
      <c r="D75" s="239">
        <f>'Planilha Hidráulica'!T84</f>
        <v>1.81</v>
      </c>
      <c r="E75" s="239">
        <f>'Planilha Hidráulica'!U84</f>
        <v>1.81</v>
      </c>
      <c r="F75" s="239">
        <f>'Planilha Hidráulica'!L84</f>
        <v>55.07</v>
      </c>
      <c r="G75" s="238">
        <f>'Planilha Hidráulica'!N84</f>
        <v>600</v>
      </c>
      <c r="H75" s="240">
        <f t="shared" si="343"/>
        <v>2.0300000000000002</v>
      </c>
      <c r="I75" s="241">
        <f t="shared" si="244"/>
        <v>5.5896050000000006</v>
      </c>
      <c r="J75" s="368">
        <v>0</v>
      </c>
      <c r="K75" s="240">
        <f t="shared" si="344"/>
        <v>1.4</v>
      </c>
      <c r="L75" s="240">
        <f t="shared" si="345"/>
        <v>1.4</v>
      </c>
      <c r="M75" s="243">
        <f>'Planilha Hidráulica'!Z84</f>
        <v>400</v>
      </c>
      <c r="N75" s="240">
        <f t="shared" si="346"/>
        <v>77.097999999999999</v>
      </c>
      <c r="O75" s="367" t="str">
        <f>'Planilha Hidráulica'!Y84</f>
        <v>TERRENO NATURAL</v>
      </c>
      <c r="P75" s="367" t="s">
        <v>2734</v>
      </c>
      <c r="Q75" s="367">
        <v>1</v>
      </c>
      <c r="R75" s="367">
        <v>4</v>
      </c>
      <c r="S75" s="367">
        <v>4</v>
      </c>
      <c r="T75" s="240">
        <f t="shared" si="347"/>
        <v>0.1</v>
      </c>
      <c r="U75" s="245">
        <f t="shared" si="348"/>
        <v>6.9203002973275973</v>
      </c>
      <c r="V75" s="246">
        <f t="shared" si="349"/>
        <v>180.4278397026724</v>
      </c>
      <c r="W75" s="245">
        <f t="shared" si="350"/>
        <v>30.839199999999977</v>
      </c>
      <c r="X75" s="247">
        <f t="shared" si="351"/>
        <v>0.4</v>
      </c>
      <c r="Y75" s="245">
        <f t="shared" si="352"/>
        <v>2.0300000000000002</v>
      </c>
      <c r="Z75" s="245">
        <f t="shared" si="353"/>
        <v>0</v>
      </c>
      <c r="AA75" s="252">
        <f t="shared" si="354"/>
        <v>0</v>
      </c>
      <c r="AB75" s="361">
        <f t="shared" si="355"/>
        <v>0</v>
      </c>
      <c r="AC75" s="251">
        <f t="shared" si="356"/>
        <v>0</v>
      </c>
      <c r="AD75" s="251">
        <f t="shared" si="357"/>
        <v>30.839200000000002</v>
      </c>
      <c r="AE75" s="251">
        <f t="shared" si="358"/>
        <v>0</v>
      </c>
      <c r="AF75" s="251">
        <f t="shared" si="359"/>
        <v>0</v>
      </c>
      <c r="AG75" s="251">
        <f t="shared" si="360"/>
        <v>0</v>
      </c>
      <c r="AH75" s="251">
        <f t="shared" si="361"/>
        <v>0</v>
      </c>
      <c r="AI75" s="251">
        <f t="shared" si="362"/>
        <v>0</v>
      </c>
      <c r="AJ75" s="251">
        <f t="shared" si="363"/>
        <v>115.64699999999999</v>
      </c>
      <c r="AK75" s="251">
        <f t="shared" si="364"/>
        <v>33.941639702672418</v>
      </c>
      <c r="AL75" s="251">
        <f t="shared" si="365"/>
        <v>0</v>
      </c>
      <c r="AM75" s="251">
        <f t="shared" si="366"/>
        <v>0</v>
      </c>
      <c r="AN75" s="251">
        <f t="shared" si="367"/>
        <v>0</v>
      </c>
      <c r="AO75" s="251">
        <f t="shared" si="368"/>
        <v>0</v>
      </c>
      <c r="AP75" s="251">
        <f t="shared" si="369"/>
        <v>0</v>
      </c>
      <c r="AQ75" s="251">
        <f t="shared" si="370"/>
        <v>0</v>
      </c>
      <c r="AR75" s="253">
        <f t="shared" si="371"/>
        <v>0</v>
      </c>
      <c r="AS75" s="253">
        <f t="shared" si="372"/>
        <v>0</v>
      </c>
      <c r="AT75" s="253">
        <f t="shared" si="373"/>
        <v>171.77746433101294</v>
      </c>
      <c r="AU75" s="241">
        <f t="shared" si="374"/>
        <v>7.7098000000000004</v>
      </c>
      <c r="AV75" s="246">
        <f t="shared" si="375"/>
        <v>0</v>
      </c>
      <c r="AW75" s="253">
        <f t="shared" si="274"/>
        <v>30.839200000000002</v>
      </c>
      <c r="AX75" s="253">
        <f t="shared" si="275"/>
        <v>0</v>
      </c>
      <c r="AY75" s="253">
        <f t="shared" si="376"/>
        <v>0.89999999999999991</v>
      </c>
      <c r="AZ75" s="253">
        <f t="shared" si="377"/>
        <v>53.817524331012891</v>
      </c>
      <c r="BA75" s="253">
        <f t="shared" si="378"/>
        <v>0</v>
      </c>
      <c r="BB75" s="253">
        <f t="shared" si="379"/>
        <v>0</v>
      </c>
      <c r="BC75" s="253">
        <f t="shared" si="380"/>
        <v>0</v>
      </c>
      <c r="BD75" s="253">
        <f t="shared" si="381"/>
        <v>0</v>
      </c>
      <c r="BE75" s="253">
        <f t="shared" si="382"/>
        <v>79.410940000000039</v>
      </c>
      <c r="BF75" s="253">
        <f t="shared" si="383"/>
        <v>64.931915371659528</v>
      </c>
      <c r="BG75" s="253">
        <f t="shared" si="384"/>
        <v>64.931915371659528</v>
      </c>
      <c r="BH75" s="253">
        <f t="shared" si="385"/>
        <v>0</v>
      </c>
      <c r="BI75" s="253">
        <f t="shared" si="386"/>
        <v>14.479024628340511</v>
      </c>
      <c r="BJ75" s="241">
        <f t="shared" si="387"/>
        <v>14.479024628340511</v>
      </c>
      <c r="BK75" s="253">
        <f t="shared" si="388"/>
        <v>0</v>
      </c>
      <c r="BL75" s="253"/>
      <c r="BM75" s="253">
        <f t="shared" si="389"/>
        <v>1.233568</v>
      </c>
      <c r="BN75" s="252">
        <f t="shared" si="390"/>
        <v>0</v>
      </c>
      <c r="BO75" s="366">
        <f t="shared" si="391"/>
        <v>0</v>
      </c>
      <c r="BP75" s="366">
        <f t="shared" si="392"/>
        <v>0</v>
      </c>
      <c r="BQ75" s="366">
        <f t="shared" si="393"/>
        <v>0</v>
      </c>
      <c r="BR75" s="240">
        <f t="shared" si="394"/>
        <v>0</v>
      </c>
      <c r="BS75" s="240">
        <f t="shared" si="395"/>
        <v>0</v>
      </c>
      <c r="BT75" s="240">
        <f t="shared" si="396"/>
        <v>2.0300000000000002</v>
      </c>
      <c r="BU75" s="240">
        <f t="shared" si="397"/>
        <v>55.07</v>
      </c>
      <c r="BV75" s="240">
        <f t="shared" si="398"/>
        <v>0</v>
      </c>
      <c r="BW75" s="240">
        <f t="shared" si="399"/>
        <v>0</v>
      </c>
      <c r="BX75" s="240">
        <f t="shared" si="400"/>
        <v>0</v>
      </c>
      <c r="BY75" s="240">
        <f t="shared" si="401"/>
        <v>0</v>
      </c>
      <c r="BZ75" s="240">
        <f t="shared" si="402"/>
        <v>0</v>
      </c>
      <c r="CA75" s="240">
        <f t="shared" si="403"/>
        <v>0</v>
      </c>
      <c r="CB75" s="240">
        <f t="shared" si="404"/>
        <v>0</v>
      </c>
      <c r="CC75" s="240">
        <f t="shared" si="405"/>
        <v>0</v>
      </c>
      <c r="CD75" s="240">
        <f t="shared" si="406"/>
        <v>0</v>
      </c>
      <c r="CE75" s="240">
        <f t="shared" si="407"/>
        <v>0</v>
      </c>
      <c r="CF75" s="240">
        <f t="shared" si="408"/>
        <v>0</v>
      </c>
      <c r="CG75" s="240">
        <f t="shared" si="409"/>
        <v>0</v>
      </c>
      <c r="CH75" s="240">
        <f t="shared" si="410"/>
        <v>0</v>
      </c>
      <c r="CI75" s="240">
        <f t="shared" si="411"/>
        <v>0</v>
      </c>
      <c r="CJ75" s="365">
        <f t="shared" si="412"/>
        <v>0</v>
      </c>
      <c r="CK75" s="240">
        <f t="shared" si="413"/>
        <v>0</v>
      </c>
      <c r="CL75" s="240">
        <f t="shared" si="414"/>
        <v>0</v>
      </c>
      <c r="CM75" s="240">
        <f t="shared" si="415"/>
        <v>0</v>
      </c>
      <c r="CN75" s="245">
        <f t="shared" si="416"/>
        <v>0</v>
      </c>
      <c r="CO75" s="245">
        <f t="shared" si="417"/>
        <v>0</v>
      </c>
      <c r="CP75" s="245">
        <f t="shared" si="418"/>
        <v>0</v>
      </c>
      <c r="CQ75" s="245">
        <f t="shared" si="419"/>
        <v>0</v>
      </c>
      <c r="CR75" s="245">
        <f t="shared" si="420"/>
        <v>0</v>
      </c>
      <c r="CS75" s="245">
        <f t="shared" si="421"/>
        <v>0</v>
      </c>
      <c r="CT75" s="364">
        <f t="shared" si="422"/>
        <v>0</v>
      </c>
      <c r="CU75" s="363">
        <f t="shared" si="423"/>
        <v>1</v>
      </c>
      <c r="CV75" s="363">
        <f t="shared" si="424"/>
        <v>1</v>
      </c>
      <c r="CW75" s="363">
        <f t="shared" si="425"/>
        <v>0</v>
      </c>
      <c r="CX75" s="363">
        <f t="shared" si="426"/>
        <v>0</v>
      </c>
      <c r="CY75" s="363">
        <f t="shared" si="427"/>
        <v>0</v>
      </c>
      <c r="CZ75" s="363">
        <f t="shared" si="428"/>
        <v>0</v>
      </c>
      <c r="DA75" s="362">
        <f t="shared" si="429"/>
        <v>0.51</v>
      </c>
      <c r="DB75" s="361">
        <v>1.3</v>
      </c>
      <c r="DC75" s="361">
        <v>1.4</v>
      </c>
      <c r="DD75" s="361">
        <v>2</v>
      </c>
      <c r="DE75" s="361">
        <v>2</v>
      </c>
      <c r="DF75" s="360">
        <v>2</v>
      </c>
      <c r="DG75" s="252">
        <f t="shared" si="430"/>
        <v>165.21</v>
      </c>
      <c r="DH75" s="360">
        <f t="shared" si="431"/>
        <v>58.37420000000003</v>
      </c>
      <c r="DI75" s="360">
        <f t="shared" si="432"/>
        <v>0</v>
      </c>
      <c r="DJ75" s="360">
        <f t="shared" si="433"/>
        <v>0</v>
      </c>
      <c r="DK75" s="360">
        <f t="shared" si="434"/>
        <v>0</v>
      </c>
      <c r="DL75" s="360">
        <f t="shared" si="435"/>
        <v>0</v>
      </c>
      <c r="DM75" s="360">
        <f t="shared" si="436"/>
        <v>0</v>
      </c>
      <c r="DN75" s="360">
        <f t="shared" si="437"/>
        <v>0</v>
      </c>
      <c r="DO75" s="360">
        <f t="shared" si="438"/>
        <v>0</v>
      </c>
      <c r="DP75" s="360">
        <f t="shared" si="439"/>
        <v>0</v>
      </c>
      <c r="DQ75" s="219"/>
    </row>
    <row r="76" spans="1:121" ht="25" x14ac:dyDescent="0.25">
      <c r="A76" s="238" t="s">
        <v>2733</v>
      </c>
      <c r="B76" s="238"/>
      <c r="C76" s="238" t="str">
        <f>'Planilha Hidráulica'!B85</f>
        <v>PV7.1-&gt;PV8.1</v>
      </c>
      <c r="D76" s="239">
        <f>'Planilha Hidráulica'!T85</f>
        <v>1.81</v>
      </c>
      <c r="E76" s="239">
        <f>'Planilha Hidráulica'!U85</f>
        <v>1.81</v>
      </c>
      <c r="F76" s="239">
        <f>'Planilha Hidráulica'!L85</f>
        <v>55.07</v>
      </c>
      <c r="G76" s="238">
        <f>'Planilha Hidráulica'!N85</f>
        <v>600</v>
      </c>
      <c r="H76" s="240">
        <f t="shared" si="343"/>
        <v>2.0300000000000002</v>
      </c>
      <c r="I76" s="241">
        <f t="shared" si="244"/>
        <v>5.5896050000000006</v>
      </c>
      <c r="J76" s="368">
        <v>0</v>
      </c>
      <c r="K76" s="240">
        <f t="shared" si="344"/>
        <v>1.4</v>
      </c>
      <c r="L76" s="240">
        <f t="shared" si="345"/>
        <v>1.4</v>
      </c>
      <c r="M76" s="243">
        <f>'Planilha Hidráulica'!Z85</f>
        <v>400</v>
      </c>
      <c r="N76" s="240">
        <f t="shared" si="346"/>
        <v>77.097999999999999</v>
      </c>
      <c r="O76" s="367" t="str">
        <f>'Planilha Hidráulica'!Y85</f>
        <v>TERRENO NATURAL</v>
      </c>
      <c r="P76" s="367" t="s">
        <v>2729</v>
      </c>
      <c r="Q76" s="367">
        <v>0</v>
      </c>
      <c r="R76" s="367">
        <v>4.2</v>
      </c>
      <c r="S76" s="367">
        <v>5</v>
      </c>
      <c r="T76" s="240">
        <f t="shared" si="347"/>
        <v>0.1</v>
      </c>
      <c r="U76" s="245">
        <f t="shared" si="348"/>
        <v>6.9203002973275973</v>
      </c>
      <c r="V76" s="246">
        <f t="shared" si="349"/>
        <v>149.5886397026724</v>
      </c>
      <c r="W76" s="245">
        <f t="shared" si="350"/>
        <v>0</v>
      </c>
      <c r="X76" s="247">
        <f t="shared" si="351"/>
        <v>0</v>
      </c>
      <c r="Y76" s="245">
        <f t="shared" si="352"/>
        <v>2.0300000000000002</v>
      </c>
      <c r="Z76" s="245">
        <f t="shared" si="353"/>
        <v>0</v>
      </c>
      <c r="AA76" s="252">
        <f t="shared" si="354"/>
        <v>0</v>
      </c>
      <c r="AB76" s="361">
        <f t="shared" si="355"/>
        <v>0</v>
      </c>
      <c r="AC76" s="251">
        <f t="shared" si="356"/>
        <v>0</v>
      </c>
      <c r="AD76" s="251">
        <f t="shared" si="357"/>
        <v>0</v>
      </c>
      <c r="AE76" s="251">
        <f t="shared" si="358"/>
        <v>0</v>
      </c>
      <c r="AF76" s="251">
        <f t="shared" si="359"/>
        <v>0</v>
      </c>
      <c r="AG76" s="251">
        <f t="shared" si="360"/>
        <v>0</v>
      </c>
      <c r="AH76" s="251">
        <f t="shared" si="361"/>
        <v>0</v>
      </c>
      <c r="AI76" s="251">
        <f t="shared" si="362"/>
        <v>0</v>
      </c>
      <c r="AJ76" s="251">
        <f t="shared" si="363"/>
        <v>115.64699999999999</v>
      </c>
      <c r="AK76" s="251">
        <f t="shared" si="364"/>
        <v>33.941639702672418</v>
      </c>
      <c r="AL76" s="251">
        <f t="shared" si="365"/>
        <v>0</v>
      </c>
      <c r="AM76" s="251">
        <f t="shared" si="366"/>
        <v>0</v>
      </c>
      <c r="AN76" s="251">
        <f t="shared" si="367"/>
        <v>0</v>
      </c>
      <c r="AO76" s="251">
        <f t="shared" si="368"/>
        <v>0</v>
      </c>
      <c r="AP76" s="251">
        <f t="shared" si="369"/>
        <v>0</v>
      </c>
      <c r="AQ76" s="251">
        <f t="shared" si="370"/>
        <v>0</v>
      </c>
      <c r="AR76" s="253">
        <f t="shared" si="371"/>
        <v>0</v>
      </c>
      <c r="AS76" s="253">
        <f t="shared" si="372"/>
        <v>0</v>
      </c>
      <c r="AT76" s="253">
        <f t="shared" si="373"/>
        <v>140.93826433101293</v>
      </c>
      <c r="AU76" s="241">
        <f t="shared" si="374"/>
        <v>7.7098000000000004</v>
      </c>
      <c r="AV76" s="246">
        <f t="shared" si="375"/>
        <v>0</v>
      </c>
      <c r="AW76" s="253">
        <f t="shared" si="274"/>
        <v>0</v>
      </c>
      <c r="AX76" s="253">
        <f t="shared" si="275"/>
        <v>0</v>
      </c>
      <c r="AY76" s="253">
        <f t="shared" si="376"/>
        <v>0.89999999999999991</v>
      </c>
      <c r="AZ76" s="253">
        <f t="shared" si="377"/>
        <v>53.817524331012891</v>
      </c>
      <c r="BA76" s="253">
        <f t="shared" si="378"/>
        <v>0</v>
      </c>
      <c r="BB76" s="253">
        <f t="shared" si="379"/>
        <v>0</v>
      </c>
      <c r="BC76" s="253">
        <f t="shared" si="380"/>
        <v>0</v>
      </c>
      <c r="BD76" s="253">
        <f t="shared" si="381"/>
        <v>0</v>
      </c>
      <c r="BE76" s="253">
        <f t="shared" si="382"/>
        <v>79.410940000000039</v>
      </c>
      <c r="BF76" s="253">
        <f t="shared" si="383"/>
        <v>95.771115371659533</v>
      </c>
      <c r="BG76" s="253">
        <f t="shared" si="384"/>
        <v>79.410940000000039</v>
      </c>
      <c r="BH76" s="253">
        <f t="shared" si="385"/>
        <v>16.360175371659494</v>
      </c>
      <c r="BI76" s="253">
        <f t="shared" si="386"/>
        <v>0</v>
      </c>
      <c r="BJ76" s="241">
        <f t="shared" si="387"/>
        <v>0</v>
      </c>
      <c r="BK76" s="253">
        <f t="shared" si="388"/>
        <v>0</v>
      </c>
      <c r="BL76" s="253"/>
      <c r="BM76" s="253">
        <f t="shared" si="389"/>
        <v>0</v>
      </c>
      <c r="BN76" s="252">
        <f t="shared" si="390"/>
        <v>0</v>
      </c>
      <c r="BO76" s="366">
        <f t="shared" si="391"/>
        <v>0</v>
      </c>
      <c r="BP76" s="366">
        <f t="shared" si="392"/>
        <v>0</v>
      </c>
      <c r="BQ76" s="366">
        <f t="shared" si="393"/>
        <v>0</v>
      </c>
      <c r="BR76" s="240">
        <f t="shared" si="394"/>
        <v>0</v>
      </c>
      <c r="BS76" s="240">
        <f t="shared" si="395"/>
        <v>0</v>
      </c>
      <c r="BT76" s="240">
        <f t="shared" si="396"/>
        <v>2.0300000000000002</v>
      </c>
      <c r="BU76" s="240">
        <f t="shared" si="397"/>
        <v>55.07</v>
      </c>
      <c r="BV76" s="240">
        <f t="shared" si="398"/>
        <v>0</v>
      </c>
      <c r="BW76" s="240">
        <f t="shared" si="399"/>
        <v>0</v>
      </c>
      <c r="BX76" s="240">
        <f t="shared" si="400"/>
        <v>0</v>
      </c>
      <c r="BY76" s="240">
        <f t="shared" si="401"/>
        <v>0</v>
      </c>
      <c r="BZ76" s="240">
        <f t="shared" si="402"/>
        <v>0</v>
      </c>
      <c r="CA76" s="240">
        <f t="shared" si="403"/>
        <v>0</v>
      </c>
      <c r="CB76" s="240">
        <f t="shared" si="404"/>
        <v>0</v>
      </c>
      <c r="CC76" s="240">
        <f t="shared" si="405"/>
        <v>0</v>
      </c>
      <c r="CD76" s="240">
        <f t="shared" si="406"/>
        <v>0</v>
      </c>
      <c r="CE76" s="240">
        <f t="shared" si="407"/>
        <v>0</v>
      </c>
      <c r="CF76" s="240">
        <f t="shared" si="408"/>
        <v>0</v>
      </c>
      <c r="CG76" s="240">
        <f t="shared" si="409"/>
        <v>0</v>
      </c>
      <c r="CH76" s="240">
        <f t="shared" si="410"/>
        <v>0</v>
      </c>
      <c r="CI76" s="240">
        <f t="shared" si="411"/>
        <v>0</v>
      </c>
      <c r="CJ76" s="365">
        <f t="shared" si="412"/>
        <v>0</v>
      </c>
      <c r="CK76" s="240">
        <f t="shared" si="413"/>
        <v>0</v>
      </c>
      <c r="CL76" s="240">
        <f t="shared" si="414"/>
        <v>0</v>
      </c>
      <c r="CM76" s="240">
        <f t="shared" si="415"/>
        <v>0</v>
      </c>
      <c r="CN76" s="245">
        <f t="shared" si="416"/>
        <v>0</v>
      </c>
      <c r="CO76" s="245">
        <f t="shared" si="417"/>
        <v>0</v>
      </c>
      <c r="CP76" s="245">
        <f t="shared" si="418"/>
        <v>0</v>
      </c>
      <c r="CQ76" s="245">
        <f t="shared" si="419"/>
        <v>0</v>
      </c>
      <c r="CR76" s="245">
        <f t="shared" si="420"/>
        <v>0</v>
      </c>
      <c r="CS76" s="245">
        <f t="shared" si="421"/>
        <v>0</v>
      </c>
      <c r="CT76" s="364">
        <f t="shared" si="422"/>
        <v>0</v>
      </c>
      <c r="CU76" s="363">
        <f t="shared" si="423"/>
        <v>1</v>
      </c>
      <c r="CV76" s="363">
        <f t="shared" si="424"/>
        <v>1</v>
      </c>
      <c r="CW76" s="363">
        <f t="shared" si="425"/>
        <v>0</v>
      </c>
      <c r="CX76" s="363">
        <f t="shared" si="426"/>
        <v>0</v>
      </c>
      <c r="CY76" s="363">
        <f t="shared" si="427"/>
        <v>0</v>
      </c>
      <c r="CZ76" s="363">
        <f t="shared" si="428"/>
        <v>0</v>
      </c>
      <c r="DA76" s="362">
        <f t="shared" si="429"/>
        <v>0.51</v>
      </c>
      <c r="DB76" s="361">
        <v>1.3</v>
      </c>
      <c r="DC76" s="361">
        <v>1.4</v>
      </c>
      <c r="DD76" s="361">
        <v>2</v>
      </c>
      <c r="DE76" s="361">
        <v>2</v>
      </c>
      <c r="DF76" s="360">
        <v>2</v>
      </c>
      <c r="DG76" s="252">
        <f t="shared" si="430"/>
        <v>165.21</v>
      </c>
      <c r="DH76" s="360">
        <f t="shared" si="431"/>
        <v>58.37420000000003</v>
      </c>
      <c r="DI76" s="360">
        <f t="shared" si="432"/>
        <v>0</v>
      </c>
      <c r="DJ76" s="360">
        <f t="shared" si="433"/>
        <v>0</v>
      </c>
      <c r="DK76" s="360">
        <f t="shared" si="434"/>
        <v>0</v>
      </c>
      <c r="DL76" s="360">
        <f t="shared" si="435"/>
        <v>0</v>
      </c>
      <c r="DM76" s="360">
        <f t="shared" si="436"/>
        <v>0</v>
      </c>
      <c r="DN76" s="360">
        <f t="shared" si="437"/>
        <v>0</v>
      </c>
      <c r="DO76" s="360">
        <f t="shared" si="438"/>
        <v>0</v>
      </c>
      <c r="DP76" s="360">
        <f t="shared" si="439"/>
        <v>0</v>
      </c>
      <c r="DQ76" s="219"/>
    </row>
    <row r="77" spans="1:121" ht="25" x14ac:dyDescent="0.25">
      <c r="A77" s="238" t="s">
        <v>2732</v>
      </c>
      <c r="B77" s="238"/>
      <c r="C77" s="238" t="str">
        <f>'Planilha Hidráulica'!B86</f>
        <v>PV8.1-&gt;PV9.1</v>
      </c>
      <c r="D77" s="239">
        <f>'Planilha Hidráulica'!T86</f>
        <v>1.81</v>
      </c>
      <c r="E77" s="239">
        <f>'Planilha Hidráulica'!U86</f>
        <v>1.81</v>
      </c>
      <c r="F77" s="239">
        <f>'Planilha Hidráulica'!L86</f>
        <v>54.79</v>
      </c>
      <c r="G77" s="238">
        <f>'Planilha Hidráulica'!N86</f>
        <v>600</v>
      </c>
      <c r="H77" s="240">
        <f t="shared" si="343"/>
        <v>2.0300000000000002</v>
      </c>
      <c r="I77" s="241">
        <f t="shared" si="244"/>
        <v>5.561185</v>
      </c>
      <c r="J77" s="368">
        <v>0</v>
      </c>
      <c r="K77" s="240">
        <f t="shared" si="344"/>
        <v>1.4</v>
      </c>
      <c r="L77" s="240">
        <f t="shared" si="345"/>
        <v>1.4</v>
      </c>
      <c r="M77" s="243">
        <f>'Planilha Hidráulica'!Z86</f>
        <v>500</v>
      </c>
      <c r="N77" s="240">
        <f t="shared" si="346"/>
        <v>76.705999999999989</v>
      </c>
      <c r="O77" s="367" t="str">
        <f>'Planilha Hidráulica'!Y86</f>
        <v>TERRENO NATURAL</v>
      </c>
      <c r="P77" s="367" t="s">
        <v>2729</v>
      </c>
      <c r="Q77" s="367">
        <v>0</v>
      </c>
      <c r="R77" s="367">
        <v>4.2</v>
      </c>
      <c r="S77" s="367">
        <v>5</v>
      </c>
      <c r="T77" s="240">
        <f t="shared" si="347"/>
        <v>0.1</v>
      </c>
      <c r="U77" s="245">
        <f t="shared" si="348"/>
        <v>10.757991343136547</v>
      </c>
      <c r="V77" s="246">
        <f t="shared" si="349"/>
        <v>144.95518865686344</v>
      </c>
      <c r="W77" s="245">
        <f t="shared" si="350"/>
        <v>0</v>
      </c>
      <c r="X77" s="247">
        <f t="shared" si="351"/>
        <v>0</v>
      </c>
      <c r="Y77" s="245">
        <f t="shared" si="352"/>
        <v>2.0300000000000002</v>
      </c>
      <c r="Z77" s="245">
        <f t="shared" si="353"/>
        <v>0</v>
      </c>
      <c r="AA77" s="252">
        <f t="shared" si="354"/>
        <v>0</v>
      </c>
      <c r="AB77" s="361">
        <f t="shared" si="355"/>
        <v>0</v>
      </c>
      <c r="AC77" s="251">
        <f t="shared" si="356"/>
        <v>0</v>
      </c>
      <c r="AD77" s="251">
        <f t="shared" si="357"/>
        <v>0</v>
      </c>
      <c r="AE77" s="251">
        <f t="shared" si="358"/>
        <v>0</v>
      </c>
      <c r="AF77" s="251">
        <f t="shared" si="359"/>
        <v>0</v>
      </c>
      <c r="AG77" s="251">
        <f t="shared" si="360"/>
        <v>0</v>
      </c>
      <c r="AH77" s="251">
        <f t="shared" si="361"/>
        <v>0</v>
      </c>
      <c r="AI77" s="251">
        <f t="shared" si="362"/>
        <v>0</v>
      </c>
      <c r="AJ77" s="251">
        <f t="shared" si="363"/>
        <v>115.05899999999998</v>
      </c>
      <c r="AK77" s="251">
        <f t="shared" si="364"/>
        <v>29.896188656863465</v>
      </c>
      <c r="AL77" s="251">
        <f t="shared" si="365"/>
        <v>0</v>
      </c>
      <c r="AM77" s="251">
        <f t="shared" si="366"/>
        <v>0</v>
      </c>
      <c r="AN77" s="251">
        <f t="shared" si="367"/>
        <v>0</v>
      </c>
      <c r="AO77" s="251">
        <f t="shared" si="368"/>
        <v>0</v>
      </c>
      <c r="AP77" s="251">
        <f t="shared" si="369"/>
        <v>0</v>
      </c>
      <c r="AQ77" s="251">
        <f t="shared" si="370"/>
        <v>0</v>
      </c>
      <c r="AR77" s="253">
        <f t="shared" si="371"/>
        <v>0</v>
      </c>
      <c r="AS77" s="253">
        <f t="shared" si="372"/>
        <v>0</v>
      </c>
      <c r="AT77" s="253">
        <f t="shared" si="373"/>
        <v>140.22167246588336</v>
      </c>
      <c r="AU77" s="241">
        <f t="shared" si="374"/>
        <v>7.6705999999999994</v>
      </c>
      <c r="AV77" s="246">
        <f t="shared" si="375"/>
        <v>0</v>
      </c>
      <c r="AW77" s="253">
        <f t="shared" si="274"/>
        <v>0</v>
      </c>
      <c r="AX77" s="253">
        <f t="shared" si="275"/>
        <v>0</v>
      </c>
      <c r="AY77" s="253">
        <f t="shared" si="376"/>
        <v>0.89999999999999991</v>
      </c>
      <c r="AZ77" s="253">
        <f t="shared" si="377"/>
        <v>53.543892465883353</v>
      </c>
      <c r="BA77" s="253">
        <f t="shared" si="378"/>
        <v>0</v>
      </c>
      <c r="BB77" s="253">
        <f t="shared" si="379"/>
        <v>0</v>
      </c>
      <c r="BC77" s="253">
        <f t="shared" si="380"/>
        <v>0</v>
      </c>
      <c r="BD77" s="253">
        <f t="shared" si="381"/>
        <v>0</v>
      </c>
      <c r="BE77" s="253">
        <f t="shared" si="382"/>
        <v>79.007180000000005</v>
      </c>
      <c r="BF77" s="253">
        <f t="shared" si="383"/>
        <v>91.411296190980096</v>
      </c>
      <c r="BG77" s="253">
        <f t="shared" si="384"/>
        <v>79.007180000000005</v>
      </c>
      <c r="BH77" s="253">
        <f t="shared" si="385"/>
        <v>12.404116190980091</v>
      </c>
      <c r="BI77" s="253">
        <f t="shared" si="386"/>
        <v>0</v>
      </c>
      <c r="BJ77" s="241">
        <f t="shared" si="387"/>
        <v>0</v>
      </c>
      <c r="BK77" s="253">
        <f t="shared" si="388"/>
        <v>0</v>
      </c>
      <c r="BL77" s="253"/>
      <c r="BM77" s="253">
        <f t="shared" si="389"/>
        <v>0</v>
      </c>
      <c r="BN77" s="252">
        <f t="shared" si="390"/>
        <v>0</v>
      </c>
      <c r="BO77" s="366">
        <f t="shared" si="391"/>
        <v>0</v>
      </c>
      <c r="BP77" s="366">
        <f t="shared" si="392"/>
        <v>0</v>
      </c>
      <c r="BQ77" s="366">
        <f t="shared" si="393"/>
        <v>0</v>
      </c>
      <c r="BR77" s="240">
        <f t="shared" si="394"/>
        <v>0</v>
      </c>
      <c r="BS77" s="240">
        <f t="shared" si="395"/>
        <v>0</v>
      </c>
      <c r="BT77" s="240">
        <f t="shared" si="396"/>
        <v>2.0300000000000002</v>
      </c>
      <c r="BU77" s="240">
        <f t="shared" si="397"/>
        <v>54.79</v>
      </c>
      <c r="BV77" s="240">
        <f t="shared" si="398"/>
        <v>0</v>
      </c>
      <c r="BW77" s="240">
        <f t="shared" si="399"/>
        <v>0</v>
      </c>
      <c r="BX77" s="240">
        <f t="shared" si="400"/>
        <v>0</v>
      </c>
      <c r="BY77" s="240">
        <f t="shared" si="401"/>
        <v>0</v>
      </c>
      <c r="BZ77" s="240">
        <f t="shared" si="402"/>
        <v>0</v>
      </c>
      <c r="CA77" s="240">
        <f t="shared" si="403"/>
        <v>0</v>
      </c>
      <c r="CB77" s="240">
        <f t="shared" si="404"/>
        <v>0</v>
      </c>
      <c r="CC77" s="240">
        <f t="shared" si="405"/>
        <v>0</v>
      </c>
      <c r="CD77" s="240">
        <f t="shared" si="406"/>
        <v>0</v>
      </c>
      <c r="CE77" s="240">
        <f t="shared" si="407"/>
        <v>0</v>
      </c>
      <c r="CF77" s="240">
        <f t="shared" si="408"/>
        <v>0</v>
      </c>
      <c r="CG77" s="240">
        <f t="shared" si="409"/>
        <v>0</v>
      </c>
      <c r="CH77" s="240">
        <f t="shared" si="410"/>
        <v>0</v>
      </c>
      <c r="CI77" s="240">
        <f t="shared" si="411"/>
        <v>0</v>
      </c>
      <c r="CJ77" s="365">
        <f t="shared" si="412"/>
        <v>0</v>
      </c>
      <c r="CK77" s="240">
        <f t="shared" si="413"/>
        <v>0</v>
      </c>
      <c r="CL77" s="240">
        <f t="shared" si="414"/>
        <v>0</v>
      </c>
      <c r="CM77" s="240">
        <f t="shared" si="415"/>
        <v>0</v>
      </c>
      <c r="CN77" s="245">
        <f t="shared" si="416"/>
        <v>0</v>
      </c>
      <c r="CO77" s="245">
        <f t="shared" si="417"/>
        <v>0</v>
      </c>
      <c r="CP77" s="245">
        <f t="shared" si="418"/>
        <v>0</v>
      </c>
      <c r="CQ77" s="245">
        <f t="shared" si="419"/>
        <v>0</v>
      </c>
      <c r="CR77" s="245">
        <f t="shared" si="420"/>
        <v>0</v>
      </c>
      <c r="CS77" s="245">
        <f t="shared" si="421"/>
        <v>0</v>
      </c>
      <c r="CT77" s="364">
        <f t="shared" si="422"/>
        <v>0</v>
      </c>
      <c r="CU77" s="363">
        <f t="shared" si="423"/>
        <v>1</v>
      </c>
      <c r="CV77" s="363">
        <f t="shared" si="424"/>
        <v>1</v>
      </c>
      <c r="CW77" s="363">
        <f t="shared" si="425"/>
        <v>0</v>
      </c>
      <c r="CX77" s="363">
        <f t="shared" si="426"/>
        <v>0</v>
      </c>
      <c r="CY77" s="363">
        <f t="shared" si="427"/>
        <v>0</v>
      </c>
      <c r="CZ77" s="363">
        <f t="shared" si="428"/>
        <v>0</v>
      </c>
      <c r="DA77" s="362">
        <f t="shared" si="429"/>
        <v>0.51</v>
      </c>
      <c r="DB77" s="361">
        <v>1.3</v>
      </c>
      <c r="DC77" s="361">
        <v>1.4</v>
      </c>
      <c r="DD77" s="361">
        <v>2</v>
      </c>
      <c r="DE77" s="361">
        <v>2</v>
      </c>
      <c r="DF77" s="360">
        <v>2</v>
      </c>
      <c r="DG77" s="252">
        <f t="shared" si="430"/>
        <v>164.37</v>
      </c>
      <c r="DH77" s="360">
        <f t="shared" si="431"/>
        <v>58.077400000000026</v>
      </c>
      <c r="DI77" s="360">
        <f t="shared" si="432"/>
        <v>0</v>
      </c>
      <c r="DJ77" s="360">
        <f t="shared" si="433"/>
        <v>0</v>
      </c>
      <c r="DK77" s="360">
        <f t="shared" si="434"/>
        <v>0</v>
      </c>
      <c r="DL77" s="360">
        <f t="shared" si="435"/>
        <v>0</v>
      </c>
      <c r="DM77" s="360">
        <f t="shared" si="436"/>
        <v>0</v>
      </c>
      <c r="DN77" s="360">
        <f t="shared" si="437"/>
        <v>0</v>
      </c>
      <c r="DO77" s="360">
        <f t="shared" si="438"/>
        <v>0</v>
      </c>
      <c r="DP77" s="360">
        <f t="shared" si="439"/>
        <v>0</v>
      </c>
      <c r="DQ77" s="219"/>
    </row>
    <row r="78" spans="1:121" ht="25" x14ac:dyDescent="0.25">
      <c r="A78" s="238" t="s">
        <v>2732</v>
      </c>
      <c r="B78" s="238"/>
      <c r="C78" s="238" t="str">
        <f>'Planilha Hidráulica'!B87</f>
        <v>PV9.1-&gt;PV10.1</v>
      </c>
      <c r="D78" s="239">
        <f>'Planilha Hidráulica'!T87</f>
        <v>1.81</v>
      </c>
      <c r="E78" s="239">
        <f>'Planilha Hidráulica'!U87</f>
        <v>1.81</v>
      </c>
      <c r="F78" s="239">
        <f>'Planilha Hidráulica'!L87</f>
        <v>54.79</v>
      </c>
      <c r="G78" s="238">
        <f>'Planilha Hidráulica'!N87</f>
        <v>600</v>
      </c>
      <c r="H78" s="240">
        <f t="shared" si="343"/>
        <v>2.0300000000000002</v>
      </c>
      <c r="I78" s="241">
        <f t="shared" si="244"/>
        <v>5.561185</v>
      </c>
      <c r="J78" s="368">
        <v>0</v>
      </c>
      <c r="K78" s="240">
        <f t="shared" si="344"/>
        <v>1.4</v>
      </c>
      <c r="L78" s="240">
        <f t="shared" si="345"/>
        <v>1.4</v>
      </c>
      <c r="M78" s="243">
        <f>'Planilha Hidráulica'!Z87</f>
        <v>500</v>
      </c>
      <c r="N78" s="240">
        <f t="shared" si="346"/>
        <v>76.705999999999989</v>
      </c>
      <c r="O78" s="367" t="str">
        <f>'Planilha Hidráulica'!Y87</f>
        <v>TERRENO NATURAL</v>
      </c>
      <c r="P78" s="367" t="s">
        <v>2729</v>
      </c>
      <c r="Q78" s="367">
        <v>0</v>
      </c>
      <c r="R78" s="367">
        <v>4.2</v>
      </c>
      <c r="S78" s="367">
        <v>5</v>
      </c>
      <c r="T78" s="240">
        <f t="shared" si="347"/>
        <v>0.1</v>
      </c>
      <c r="U78" s="245">
        <f t="shared" si="348"/>
        <v>10.757991343136547</v>
      </c>
      <c r="V78" s="246">
        <f t="shared" si="349"/>
        <v>144.95518865686344</v>
      </c>
      <c r="W78" s="245">
        <f t="shared" si="350"/>
        <v>0</v>
      </c>
      <c r="X78" s="247">
        <f t="shared" si="351"/>
        <v>0</v>
      </c>
      <c r="Y78" s="245">
        <f t="shared" si="352"/>
        <v>2.0300000000000002</v>
      </c>
      <c r="Z78" s="245">
        <f t="shared" si="353"/>
        <v>0</v>
      </c>
      <c r="AA78" s="252">
        <f t="shared" si="354"/>
        <v>0</v>
      </c>
      <c r="AB78" s="361">
        <f t="shared" si="355"/>
        <v>0</v>
      </c>
      <c r="AC78" s="251">
        <f t="shared" si="356"/>
        <v>0</v>
      </c>
      <c r="AD78" s="251">
        <f t="shared" si="357"/>
        <v>0</v>
      </c>
      <c r="AE78" s="251">
        <f t="shared" si="358"/>
        <v>0</v>
      </c>
      <c r="AF78" s="251">
        <f t="shared" si="359"/>
        <v>0</v>
      </c>
      <c r="AG78" s="251">
        <f t="shared" si="360"/>
        <v>0</v>
      </c>
      <c r="AH78" s="251">
        <f t="shared" si="361"/>
        <v>0</v>
      </c>
      <c r="AI78" s="251">
        <f t="shared" si="362"/>
        <v>0</v>
      </c>
      <c r="AJ78" s="251">
        <f t="shared" si="363"/>
        <v>115.05899999999998</v>
      </c>
      <c r="AK78" s="251">
        <f t="shared" si="364"/>
        <v>29.896188656863465</v>
      </c>
      <c r="AL78" s="251">
        <f t="shared" si="365"/>
        <v>0</v>
      </c>
      <c r="AM78" s="251">
        <f t="shared" si="366"/>
        <v>0</v>
      </c>
      <c r="AN78" s="251">
        <f t="shared" si="367"/>
        <v>0</v>
      </c>
      <c r="AO78" s="251">
        <f t="shared" si="368"/>
        <v>0</v>
      </c>
      <c r="AP78" s="251">
        <f t="shared" si="369"/>
        <v>0</v>
      </c>
      <c r="AQ78" s="251">
        <f t="shared" si="370"/>
        <v>0</v>
      </c>
      <c r="AR78" s="253">
        <f t="shared" si="371"/>
        <v>0</v>
      </c>
      <c r="AS78" s="253">
        <f t="shared" si="372"/>
        <v>0</v>
      </c>
      <c r="AT78" s="253">
        <f t="shared" si="373"/>
        <v>140.22167246588336</v>
      </c>
      <c r="AU78" s="241">
        <f t="shared" si="374"/>
        <v>7.6705999999999994</v>
      </c>
      <c r="AV78" s="246">
        <f t="shared" si="375"/>
        <v>0</v>
      </c>
      <c r="AW78" s="253">
        <f t="shared" si="274"/>
        <v>0</v>
      </c>
      <c r="AX78" s="253">
        <f t="shared" si="275"/>
        <v>0</v>
      </c>
      <c r="AY78" s="253">
        <f t="shared" si="376"/>
        <v>0.89999999999999991</v>
      </c>
      <c r="AZ78" s="253">
        <f t="shared" si="377"/>
        <v>53.543892465883353</v>
      </c>
      <c r="BA78" s="253">
        <f t="shared" si="378"/>
        <v>0</v>
      </c>
      <c r="BB78" s="253">
        <f t="shared" si="379"/>
        <v>0</v>
      </c>
      <c r="BC78" s="253">
        <f t="shared" si="380"/>
        <v>0</v>
      </c>
      <c r="BD78" s="253">
        <f t="shared" si="381"/>
        <v>0</v>
      </c>
      <c r="BE78" s="253">
        <f t="shared" si="382"/>
        <v>79.007180000000005</v>
      </c>
      <c r="BF78" s="253">
        <f t="shared" si="383"/>
        <v>91.411296190980096</v>
      </c>
      <c r="BG78" s="253">
        <f t="shared" si="384"/>
        <v>79.007180000000005</v>
      </c>
      <c r="BH78" s="253">
        <f t="shared" si="385"/>
        <v>12.404116190980091</v>
      </c>
      <c r="BI78" s="253">
        <f t="shared" si="386"/>
        <v>0</v>
      </c>
      <c r="BJ78" s="241">
        <f t="shared" si="387"/>
        <v>0</v>
      </c>
      <c r="BK78" s="253">
        <f t="shared" si="388"/>
        <v>0</v>
      </c>
      <c r="BL78" s="253"/>
      <c r="BM78" s="253">
        <f t="shared" si="389"/>
        <v>0</v>
      </c>
      <c r="BN78" s="252">
        <f t="shared" si="390"/>
        <v>0</v>
      </c>
      <c r="BO78" s="366">
        <f t="shared" si="391"/>
        <v>0</v>
      </c>
      <c r="BP78" s="366">
        <f t="shared" si="392"/>
        <v>0</v>
      </c>
      <c r="BQ78" s="366">
        <f t="shared" si="393"/>
        <v>0</v>
      </c>
      <c r="BR78" s="240">
        <f t="shared" si="394"/>
        <v>0</v>
      </c>
      <c r="BS78" s="240">
        <f t="shared" si="395"/>
        <v>0</v>
      </c>
      <c r="BT78" s="240">
        <f t="shared" si="396"/>
        <v>2.0300000000000002</v>
      </c>
      <c r="BU78" s="240">
        <f t="shared" si="397"/>
        <v>54.79</v>
      </c>
      <c r="BV78" s="240">
        <f t="shared" si="398"/>
        <v>0</v>
      </c>
      <c r="BW78" s="240">
        <f t="shared" si="399"/>
        <v>0</v>
      </c>
      <c r="BX78" s="240">
        <f t="shared" si="400"/>
        <v>0</v>
      </c>
      <c r="BY78" s="240">
        <f t="shared" si="401"/>
        <v>0</v>
      </c>
      <c r="BZ78" s="240">
        <f t="shared" si="402"/>
        <v>0</v>
      </c>
      <c r="CA78" s="240">
        <f t="shared" si="403"/>
        <v>0</v>
      </c>
      <c r="CB78" s="240">
        <f t="shared" si="404"/>
        <v>0</v>
      </c>
      <c r="CC78" s="240">
        <f t="shared" si="405"/>
        <v>0</v>
      </c>
      <c r="CD78" s="240">
        <f t="shared" si="406"/>
        <v>0</v>
      </c>
      <c r="CE78" s="240">
        <f t="shared" si="407"/>
        <v>0</v>
      </c>
      <c r="CF78" s="240">
        <f t="shared" si="408"/>
        <v>0</v>
      </c>
      <c r="CG78" s="240">
        <f t="shared" si="409"/>
        <v>0</v>
      </c>
      <c r="CH78" s="240">
        <f t="shared" si="410"/>
        <v>0</v>
      </c>
      <c r="CI78" s="240">
        <f t="shared" si="411"/>
        <v>0</v>
      </c>
      <c r="CJ78" s="365">
        <f t="shared" si="412"/>
        <v>0</v>
      </c>
      <c r="CK78" s="240">
        <f t="shared" si="413"/>
        <v>0</v>
      </c>
      <c r="CL78" s="240">
        <f t="shared" si="414"/>
        <v>0</v>
      </c>
      <c r="CM78" s="240">
        <f t="shared" si="415"/>
        <v>0</v>
      </c>
      <c r="CN78" s="245">
        <f t="shared" si="416"/>
        <v>0</v>
      </c>
      <c r="CO78" s="245">
        <f t="shared" si="417"/>
        <v>0</v>
      </c>
      <c r="CP78" s="245">
        <f t="shared" si="418"/>
        <v>0</v>
      </c>
      <c r="CQ78" s="245">
        <f t="shared" si="419"/>
        <v>0</v>
      </c>
      <c r="CR78" s="245">
        <f t="shared" si="420"/>
        <v>0</v>
      </c>
      <c r="CS78" s="245">
        <f t="shared" si="421"/>
        <v>0</v>
      </c>
      <c r="CT78" s="364">
        <f t="shared" si="422"/>
        <v>0</v>
      </c>
      <c r="CU78" s="363">
        <f t="shared" si="423"/>
        <v>1</v>
      </c>
      <c r="CV78" s="363">
        <f t="shared" si="424"/>
        <v>1</v>
      </c>
      <c r="CW78" s="363">
        <f t="shared" si="425"/>
        <v>0</v>
      </c>
      <c r="CX78" s="363">
        <f t="shared" si="426"/>
        <v>0</v>
      </c>
      <c r="CY78" s="363">
        <f t="shared" si="427"/>
        <v>0</v>
      </c>
      <c r="CZ78" s="363">
        <f t="shared" si="428"/>
        <v>0</v>
      </c>
      <c r="DA78" s="362">
        <f t="shared" si="429"/>
        <v>0.51</v>
      </c>
      <c r="DB78" s="361">
        <v>1.3</v>
      </c>
      <c r="DC78" s="361">
        <v>1.4</v>
      </c>
      <c r="DD78" s="361">
        <v>2</v>
      </c>
      <c r="DE78" s="361">
        <v>2</v>
      </c>
      <c r="DF78" s="360">
        <v>2</v>
      </c>
      <c r="DG78" s="252">
        <f t="shared" si="430"/>
        <v>164.37</v>
      </c>
      <c r="DH78" s="360">
        <f t="shared" si="431"/>
        <v>58.077400000000026</v>
      </c>
      <c r="DI78" s="360">
        <f t="shared" si="432"/>
        <v>0</v>
      </c>
      <c r="DJ78" s="360">
        <f t="shared" si="433"/>
        <v>0</v>
      </c>
      <c r="DK78" s="360">
        <f t="shared" si="434"/>
        <v>0</v>
      </c>
      <c r="DL78" s="360">
        <f t="shared" si="435"/>
        <v>0</v>
      </c>
      <c r="DM78" s="360">
        <f t="shared" si="436"/>
        <v>0</v>
      </c>
      <c r="DN78" s="360">
        <f t="shared" si="437"/>
        <v>0</v>
      </c>
      <c r="DO78" s="360">
        <f t="shared" si="438"/>
        <v>0</v>
      </c>
      <c r="DP78" s="360">
        <f t="shared" si="439"/>
        <v>0</v>
      </c>
      <c r="DQ78" s="219"/>
    </row>
    <row r="79" spans="1:121" x14ac:dyDescent="0.25">
      <c r="A79" s="238" t="s">
        <v>2731</v>
      </c>
      <c r="B79" s="238"/>
      <c r="C79" s="238" t="str">
        <f>'Planilha Hidráulica'!B88</f>
        <v>PV1.3-&gt;PV2.3</v>
      </c>
      <c r="D79" s="239">
        <f>'Planilha Hidráulica'!T88</f>
        <v>1.6</v>
      </c>
      <c r="E79" s="239">
        <f>'Planilha Hidráulica'!U88</f>
        <v>1.7</v>
      </c>
      <c r="F79" s="239">
        <f>'Planilha Hidráulica'!L88</f>
        <v>42.5</v>
      </c>
      <c r="G79" s="238">
        <f>'Planilha Hidráulica'!N88</f>
        <v>400</v>
      </c>
      <c r="H79" s="240">
        <f t="shared" si="343"/>
        <v>1.78</v>
      </c>
      <c r="I79" s="241">
        <f t="shared" si="244"/>
        <v>3.7825000000000002</v>
      </c>
      <c r="J79" s="368">
        <v>0</v>
      </c>
      <c r="K79" s="240">
        <f t="shared" si="344"/>
        <v>1</v>
      </c>
      <c r="L79" s="240">
        <f t="shared" si="345"/>
        <v>1</v>
      </c>
      <c r="M79" s="243">
        <f>'Planilha Hidráulica'!Z88</f>
        <v>500</v>
      </c>
      <c r="N79" s="240">
        <f t="shared" si="346"/>
        <v>42.5</v>
      </c>
      <c r="O79" s="367" t="str">
        <f>'Planilha Hidráulica'!Y88</f>
        <v>ASFALTO</v>
      </c>
      <c r="P79" s="367" t="s">
        <v>2729</v>
      </c>
      <c r="Q79" s="367">
        <v>0</v>
      </c>
      <c r="R79" s="367">
        <v>4.2</v>
      </c>
      <c r="S79" s="367">
        <v>5</v>
      </c>
      <c r="T79" s="240">
        <f t="shared" si="347"/>
        <v>0.05</v>
      </c>
      <c r="U79" s="245">
        <f t="shared" si="348"/>
        <v>8.3448554860978881</v>
      </c>
      <c r="V79" s="246">
        <f t="shared" si="349"/>
        <v>67.305144513902121</v>
      </c>
      <c r="W79" s="245">
        <f t="shared" si="350"/>
        <v>0</v>
      </c>
      <c r="X79" s="247">
        <f t="shared" si="351"/>
        <v>0</v>
      </c>
      <c r="Y79" s="245">
        <f t="shared" si="352"/>
        <v>1.78</v>
      </c>
      <c r="Z79" s="245">
        <f t="shared" si="353"/>
        <v>0</v>
      </c>
      <c r="AA79" s="252">
        <f t="shared" si="354"/>
        <v>42.5</v>
      </c>
      <c r="AB79" s="361">
        <f t="shared" si="355"/>
        <v>0</v>
      </c>
      <c r="AC79" s="251">
        <f t="shared" si="356"/>
        <v>0</v>
      </c>
      <c r="AD79" s="251">
        <f t="shared" si="357"/>
        <v>0</v>
      </c>
      <c r="AE79" s="251">
        <f t="shared" si="358"/>
        <v>0</v>
      </c>
      <c r="AF79" s="251">
        <f t="shared" si="359"/>
        <v>0</v>
      </c>
      <c r="AG79" s="251">
        <f t="shared" si="360"/>
        <v>0</v>
      </c>
      <c r="AH79" s="251">
        <f t="shared" si="361"/>
        <v>0</v>
      </c>
      <c r="AI79" s="251">
        <f t="shared" si="362"/>
        <v>0</v>
      </c>
      <c r="AJ79" s="251">
        <f t="shared" si="363"/>
        <v>63.75</v>
      </c>
      <c r="AK79" s="251">
        <f t="shared" si="364"/>
        <v>3.5551445139021123</v>
      </c>
      <c r="AL79" s="251">
        <f t="shared" si="365"/>
        <v>0</v>
      </c>
      <c r="AM79" s="251">
        <f t="shared" si="366"/>
        <v>0</v>
      </c>
      <c r="AN79" s="251">
        <f t="shared" si="367"/>
        <v>0</v>
      </c>
      <c r="AO79" s="251">
        <f t="shared" si="368"/>
        <v>0</v>
      </c>
      <c r="AP79" s="251">
        <f t="shared" si="369"/>
        <v>0</v>
      </c>
      <c r="AQ79" s="251">
        <f t="shared" si="370"/>
        <v>0</v>
      </c>
      <c r="AR79" s="253">
        <f t="shared" si="371"/>
        <v>0</v>
      </c>
      <c r="AS79" s="253">
        <f t="shared" si="372"/>
        <v>0</v>
      </c>
      <c r="AT79" s="253">
        <f t="shared" si="373"/>
        <v>70.309292488897356</v>
      </c>
      <c r="AU79" s="241">
        <f t="shared" si="374"/>
        <v>2.125</v>
      </c>
      <c r="AV79" s="246">
        <f t="shared" si="375"/>
        <v>0</v>
      </c>
      <c r="AW79" s="253">
        <f t="shared" si="274"/>
        <v>0</v>
      </c>
      <c r="AX79" s="253">
        <f t="shared" si="275"/>
        <v>0</v>
      </c>
      <c r="AY79" s="253">
        <f t="shared" si="376"/>
        <v>0.7</v>
      </c>
      <c r="AZ79" s="253">
        <f t="shared" si="377"/>
        <v>24.409292488897346</v>
      </c>
      <c r="BA79" s="253">
        <f t="shared" si="378"/>
        <v>0</v>
      </c>
      <c r="BB79" s="253">
        <f t="shared" si="379"/>
        <v>6.375</v>
      </c>
      <c r="BC79" s="253">
        <f t="shared" si="380"/>
        <v>6.375</v>
      </c>
      <c r="BD79" s="253">
        <f t="shared" si="381"/>
        <v>1.2749999999999999</v>
      </c>
      <c r="BE79" s="253">
        <f t="shared" si="382"/>
        <v>31.025000000000009</v>
      </c>
      <c r="BF79" s="253">
        <f t="shared" si="383"/>
        <v>36.520852025004757</v>
      </c>
      <c r="BG79" s="253">
        <f t="shared" si="384"/>
        <v>31.025000000000009</v>
      </c>
      <c r="BH79" s="253">
        <f t="shared" si="385"/>
        <v>5.4958520250047478</v>
      </c>
      <c r="BI79" s="253">
        <f t="shared" si="386"/>
        <v>0</v>
      </c>
      <c r="BJ79" s="241">
        <f t="shared" si="387"/>
        <v>0</v>
      </c>
      <c r="BK79" s="253">
        <f t="shared" si="388"/>
        <v>0</v>
      </c>
      <c r="BL79" s="253"/>
      <c r="BM79" s="253">
        <f t="shared" si="389"/>
        <v>0</v>
      </c>
      <c r="BN79" s="252">
        <f t="shared" si="390"/>
        <v>1.78</v>
      </c>
      <c r="BO79" s="366">
        <f t="shared" si="391"/>
        <v>0</v>
      </c>
      <c r="BP79" s="366">
        <f t="shared" si="392"/>
        <v>42.5</v>
      </c>
      <c r="BQ79" s="366">
        <f t="shared" si="393"/>
        <v>0</v>
      </c>
      <c r="BR79" s="240">
        <f t="shared" si="394"/>
        <v>0</v>
      </c>
      <c r="BS79" s="240">
        <f t="shared" si="395"/>
        <v>0</v>
      </c>
      <c r="BT79" s="240">
        <f t="shared" si="396"/>
        <v>0</v>
      </c>
      <c r="BU79" s="240">
        <f t="shared" si="397"/>
        <v>0</v>
      </c>
      <c r="BV79" s="240">
        <f t="shared" si="398"/>
        <v>0</v>
      </c>
      <c r="BW79" s="240">
        <f t="shared" si="399"/>
        <v>0</v>
      </c>
      <c r="BX79" s="240">
        <f t="shared" si="400"/>
        <v>0</v>
      </c>
      <c r="BY79" s="240">
        <f t="shared" si="401"/>
        <v>0</v>
      </c>
      <c r="BZ79" s="240">
        <f t="shared" si="402"/>
        <v>0</v>
      </c>
      <c r="CA79" s="240">
        <f t="shared" si="403"/>
        <v>0</v>
      </c>
      <c r="CB79" s="240">
        <f t="shared" si="404"/>
        <v>0</v>
      </c>
      <c r="CC79" s="240">
        <f t="shared" si="405"/>
        <v>0</v>
      </c>
      <c r="CD79" s="240">
        <f t="shared" si="406"/>
        <v>0</v>
      </c>
      <c r="CE79" s="240">
        <f t="shared" si="407"/>
        <v>0</v>
      </c>
      <c r="CF79" s="240">
        <f t="shared" si="408"/>
        <v>0</v>
      </c>
      <c r="CG79" s="240">
        <f t="shared" si="409"/>
        <v>0</v>
      </c>
      <c r="CH79" s="240">
        <f t="shared" si="410"/>
        <v>0</v>
      </c>
      <c r="CI79" s="240">
        <f t="shared" si="411"/>
        <v>0</v>
      </c>
      <c r="CJ79" s="365">
        <f t="shared" si="412"/>
        <v>0</v>
      </c>
      <c r="CK79" s="240">
        <f t="shared" si="413"/>
        <v>0</v>
      </c>
      <c r="CL79" s="240">
        <f t="shared" si="414"/>
        <v>0</v>
      </c>
      <c r="CM79" s="240">
        <f t="shared" si="415"/>
        <v>0</v>
      </c>
      <c r="CN79" s="245">
        <f t="shared" si="416"/>
        <v>0</v>
      </c>
      <c r="CO79" s="245">
        <f t="shared" si="417"/>
        <v>0</v>
      </c>
      <c r="CP79" s="245">
        <f t="shared" si="418"/>
        <v>0</v>
      </c>
      <c r="CQ79" s="245">
        <f t="shared" si="419"/>
        <v>0</v>
      </c>
      <c r="CR79" s="245">
        <f t="shared" si="420"/>
        <v>0</v>
      </c>
      <c r="CS79" s="245">
        <f t="shared" si="421"/>
        <v>0</v>
      </c>
      <c r="CT79" s="364">
        <f t="shared" si="422"/>
        <v>0</v>
      </c>
      <c r="CU79" s="363">
        <f t="shared" si="423"/>
        <v>1</v>
      </c>
      <c r="CV79" s="363">
        <f t="shared" si="424"/>
        <v>1</v>
      </c>
      <c r="CW79" s="363">
        <f t="shared" si="425"/>
        <v>0</v>
      </c>
      <c r="CX79" s="363">
        <f t="shared" si="426"/>
        <v>0</v>
      </c>
      <c r="CY79" s="363">
        <f t="shared" si="427"/>
        <v>0</v>
      </c>
      <c r="CZ79" s="363">
        <f t="shared" si="428"/>
        <v>0</v>
      </c>
      <c r="DA79" s="362">
        <f t="shared" si="429"/>
        <v>0.30000000000000004</v>
      </c>
      <c r="DB79" s="361">
        <v>1.3</v>
      </c>
      <c r="DC79" s="361">
        <v>1.4</v>
      </c>
      <c r="DD79" s="361">
        <v>2</v>
      </c>
      <c r="DE79" s="361">
        <v>2</v>
      </c>
      <c r="DF79" s="360">
        <v>2</v>
      </c>
      <c r="DG79" s="252">
        <f t="shared" si="430"/>
        <v>127.5</v>
      </c>
      <c r="DH79" s="360">
        <f t="shared" si="431"/>
        <v>23.8</v>
      </c>
      <c r="DI79" s="360">
        <f t="shared" si="432"/>
        <v>0</v>
      </c>
      <c r="DJ79" s="360">
        <f t="shared" si="433"/>
        <v>0</v>
      </c>
      <c r="DK79" s="360">
        <f t="shared" si="434"/>
        <v>0</v>
      </c>
      <c r="DL79" s="360">
        <f t="shared" si="435"/>
        <v>0</v>
      </c>
      <c r="DM79" s="360">
        <f t="shared" si="436"/>
        <v>0</v>
      </c>
      <c r="DN79" s="360">
        <f t="shared" si="437"/>
        <v>0</v>
      </c>
      <c r="DO79" s="360">
        <f t="shared" si="438"/>
        <v>0</v>
      </c>
      <c r="DP79" s="360">
        <f t="shared" si="439"/>
        <v>0</v>
      </c>
      <c r="DQ79" s="219"/>
    </row>
    <row r="80" spans="1:121" x14ac:dyDescent="0.25">
      <c r="A80" s="238" t="s">
        <v>2731</v>
      </c>
      <c r="B80" s="238"/>
      <c r="C80" s="238" t="str">
        <f>'Planilha Hidráulica'!B89</f>
        <v>PV2.3-&gt;PV10.1</v>
      </c>
      <c r="D80" s="239">
        <f>'Planilha Hidráulica'!T89</f>
        <v>1.7</v>
      </c>
      <c r="E80" s="239">
        <f>'Planilha Hidráulica'!U89</f>
        <v>1.6</v>
      </c>
      <c r="F80" s="239">
        <f>'Planilha Hidráulica'!L89</f>
        <v>42.5</v>
      </c>
      <c r="G80" s="238">
        <f>'Planilha Hidráulica'!N89</f>
        <v>400</v>
      </c>
      <c r="H80" s="240">
        <f t="shared" si="343"/>
        <v>1.78</v>
      </c>
      <c r="I80" s="241">
        <f t="shared" si="244"/>
        <v>3.7825000000000002</v>
      </c>
      <c r="J80" s="368">
        <v>0</v>
      </c>
      <c r="K80" s="240">
        <f t="shared" si="344"/>
        <v>1</v>
      </c>
      <c r="L80" s="240">
        <f t="shared" si="345"/>
        <v>1</v>
      </c>
      <c r="M80" s="243">
        <f>'Planilha Hidráulica'!Z89</f>
        <v>500</v>
      </c>
      <c r="N80" s="240">
        <f t="shared" si="346"/>
        <v>42.5</v>
      </c>
      <c r="O80" s="367" t="str">
        <f>'Planilha Hidráulica'!Y89</f>
        <v>ASFALTO</v>
      </c>
      <c r="P80" s="367" t="s">
        <v>2729</v>
      </c>
      <c r="Q80" s="367">
        <v>0</v>
      </c>
      <c r="R80" s="367">
        <v>4.2</v>
      </c>
      <c r="S80" s="367">
        <v>5</v>
      </c>
      <c r="T80" s="240">
        <f t="shared" si="347"/>
        <v>0.05</v>
      </c>
      <c r="U80" s="245">
        <f t="shared" si="348"/>
        <v>8.3448554860978881</v>
      </c>
      <c r="V80" s="246">
        <f t="shared" si="349"/>
        <v>67.305144513902121</v>
      </c>
      <c r="W80" s="245">
        <f t="shared" si="350"/>
        <v>0</v>
      </c>
      <c r="X80" s="247">
        <f t="shared" si="351"/>
        <v>0</v>
      </c>
      <c r="Y80" s="245">
        <f t="shared" si="352"/>
        <v>1.78</v>
      </c>
      <c r="Z80" s="245">
        <f t="shared" si="353"/>
        <v>0</v>
      </c>
      <c r="AA80" s="252">
        <f t="shared" si="354"/>
        <v>42.5</v>
      </c>
      <c r="AB80" s="361">
        <f t="shared" si="355"/>
        <v>0</v>
      </c>
      <c r="AC80" s="251">
        <f t="shared" si="356"/>
        <v>0</v>
      </c>
      <c r="AD80" s="251">
        <f t="shared" si="357"/>
        <v>0</v>
      </c>
      <c r="AE80" s="251">
        <f t="shared" si="358"/>
        <v>0</v>
      </c>
      <c r="AF80" s="251">
        <f t="shared" si="359"/>
        <v>0</v>
      </c>
      <c r="AG80" s="251">
        <f t="shared" si="360"/>
        <v>0</v>
      </c>
      <c r="AH80" s="251">
        <f t="shared" si="361"/>
        <v>0</v>
      </c>
      <c r="AI80" s="251">
        <f t="shared" si="362"/>
        <v>0</v>
      </c>
      <c r="AJ80" s="251">
        <f t="shared" si="363"/>
        <v>63.75</v>
      </c>
      <c r="AK80" s="251">
        <f t="shared" si="364"/>
        <v>3.5551445139021123</v>
      </c>
      <c r="AL80" s="251">
        <f t="shared" si="365"/>
        <v>0</v>
      </c>
      <c r="AM80" s="251">
        <f t="shared" si="366"/>
        <v>0</v>
      </c>
      <c r="AN80" s="251">
        <f t="shared" si="367"/>
        <v>0</v>
      </c>
      <c r="AO80" s="251">
        <f t="shared" si="368"/>
        <v>0</v>
      </c>
      <c r="AP80" s="251">
        <f t="shared" si="369"/>
        <v>0</v>
      </c>
      <c r="AQ80" s="251">
        <f t="shared" si="370"/>
        <v>0</v>
      </c>
      <c r="AR80" s="253">
        <f t="shared" si="371"/>
        <v>0</v>
      </c>
      <c r="AS80" s="253">
        <f t="shared" si="372"/>
        <v>0</v>
      </c>
      <c r="AT80" s="253">
        <f t="shared" si="373"/>
        <v>70.309292488897356</v>
      </c>
      <c r="AU80" s="241">
        <f t="shared" si="374"/>
        <v>2.125</v>
      </c>
      <c r="AV80" s="246">
        <f t="shared" si="375"/>
        <v>0</v>
      </c>
      <c r="AW80" s="253">
        <f t="shared" si="274"/>
        <v>0</v>
      </c>
      <c r="AX80" s="253">
        <f t="shared" si="275"/>
        <v>0</v>
      </c>
      <c r="AY80" s="253">
        <f t="shared" si="376"/>
        <v>0.7</v>
      </c>
      <c r="AZ80" s="253">
        <f t="shared" si="377"/>
        <v>24.409292488897346</v>
      </c>
      <c r="BA80" s="253">
        <f t="shared" si="378"/>
        <v>0</v>
      </c>
      <c r="BB80" s="253">
        <f t="shared" si="379"/>
        <v>6.375</v>
      </c>
      <c r="BC80" s="253">
        <f t="shared" si="380"/>
        <v>6.375</v>
      </c>
      <c r="BD80" s="253">
        <f t="shared" si="381"/>
        <v>1.2749999999999999</v>
      </c>
      <c r="BE80" s="253">
        <f t="shared" si="382"/>
        <v>31.025000000000009</v>
      </c>
      <c r="BF80" s="253">
        <f t="shared" si="383"/>
        <v>36.520852025004757</v>
      </c>
      <c r="BG80" s="253">
        <f t="shared" si="384"/>
        <v>31.025000000000009</v>
      </c>
      <c r="BH80" s="253">
        <f t="shared" si="385"/>
        <v>5.4958520250047478</v>
      </c>
      <c r="BI80" s="253">
        <f t="shared" si="386"/>
        <v>0</v>
      </c>
      <c r="BJ80" s="241">
        <f t="shared" si="387"/>
        <v>0</v>
      </c>
      <c r="BK80" s="253">
        <f t="shared" si="388"/>
        <v>0</v>
      </c>
      <c r="BL80" s="253"/>
      <c r="BM80" s="253">
        <f t="shared" si="389"/>
        <v>0</v>
      </c>
      <c r="BN80" s="252">
        <f t="shared" si="390"/>
        <v>1.78</v>
      </c>
      <c r="BO80" s="366">
        <f t="shared" si="391"/>
        <v>0</v>
      </c>
      <c r="BP80" s="366">
        <f t="shared" si="392"/>
        <v>42.5</v>
      </c>
      <c r="BQ80" s="366">
        <f t="shared" si="393"/>
        <v>0</v>
      </c>
      <c r="BR80" s="240">
        <f t="shared" si="394"/>
        <v>0</v>
      </c>
      <c r="BS80" s="240">
        <f t="shared" si="395"/>
        <v>0</v>
      </c>
      <c r="BT80" s="240">
        <f t="shared" si="396"/>
        <v>0</v>
      </c>
      <c r="BU80" s="240">
        <f t="shared" si="397"/>
        <v>0</v>
      </c>
      <c r="BV80" s="240">
        <f t="shared" si="398"/>
        <v>0</v>
      </c>
      <c r="BW80" s="240">
        <f t="shared" si="399"/>
        <v>0</v>
      </c>
      <c r="BX80" s="240">
        <f t="shared" si="400"/>
        <v>0</v>
      </c>
      <c r="BY80" s="240">
        <f t="shared" si="401"/>
        <v>0</v>
      </c>
      <c r="BZ80" s="240">
        <f t="shared" si="402"/>
        <v>0</v>
      </c>
      <c r="CA80" s="240">
        <f t="shared" si="403"/>
        <v>0</v>
      </c>
      <c r="CB80" s="240">
        <f t="shared" si="404"/>
        <v>0</v>
      </c>
      <c r="CC80" s="240">
        <f t="shared" si="405"/>
        <v>0</v>
      </c>
      <c r="CD80" s="240">
        <f t="shared" si="406"/>
        <v>0</v>
      </c>
      <c r="CE80" s="240">
        <f t="shared" si="407"/>
        <v>0</v>
      </c>
      <c r="CF80" s="240">
        <f t="shared" si="408"/>
        <v>0</v>
      </c>
      <c r="CG80" s="240">
        <f t="shared" si="409"/>
        <v>0</v>
      </c>
      <c r="CH80" s="240">
        <f t="shared" si="410"/>
        <v>0</v>
      </c>
      <c r="CI80" s="240">
        <f t="shared" si="411"/>
        <v>0</v>
      </c>
      <c r="CJ80" s="365">
        <f t="shared" si="412"/>
        <v>0</v>
      </c>
      <c r="CK80" s="240">
        <f t="shared" si="413"/>
        <v>0</v>
      </c>
      <c r="CL80" s="240">
        <f t="shared" si="414"/>
        <v>0</v>
      </c>
      <c r="CM80" s="240">
        <f t="shared" si="415"/>
        <v>0</v>
      </c>
      <c r="CN80" s="245">
        <f t="shared" si="416"/>
        <v>0</v>
      </c>
      <c r="CO80" s="245">
        <f t="shared" si="417"/>
        <v>0</v>
      </c>
      <c r="CP80" s="245">
        <f t="shared" si="418"/>
        <v>0</v>
      </c>
      <c r="CQ80" s="245">
        <f t="shared" si="419"/>
        <v>0</v>
      </c>
      <c r="CR80" s="245">
        <f t="shared" si="420"/>
        <v>0</v>
      </c>
      <c r="CS80" s="245">
        <f t="shared" si="421"/>
        <v>0</v>
      </c>
      <c r="CT80" s="364">
        <f t="shared" si="422"/>
        <v>0</v>
      </c>
      <c r="CU80" s="363">
        <f t="shared" si="423"/>
        <v>1</v>
      </c>
      <c r="CV80" s="363">
        <f t="shared" si="424"/>
        <v>1</v>
      </c>
      <c r="CW80" s="363">
        <f t="shared" si="425"/>
        <v>0</v>
      </c>
      <c r="CX80" s="363">
        <f t="shared" si="426"/>
        <v>0</v>
      </c>
      <c r="CY80" s="363">
        <f t="shared" si="427"/>
        <v>0</v>
      </c>
      <c r="CZ80" s="363">
        <f t="shared" si="428"/>
        <v>0</v>
      </c>
      <c r="DA80" s="362">
        <f t="shared" si="429"/>
        <v>0.39999999999999991</v>
      </c>
      <c r="DB80" s="361">
        <v>1.3</v>
      </c>
      <c r="DC80" s="361">
        <v>1.4</v>
      </c>
      <c r="DD80" s="361">
        <v>2</v>
      </c>
      <c r="DE80" s="361">
        <v>2</v>
      </c>
      <c r="DF80" s="360">
        <v>2</v>
      </c>
      <c r="DG80" s="252">
        <f t="shared" si="430"/>
        <v>127.5</v>
      </c>
      <c r="DH80" s="360">
        <f t="shared" si="431"/>
        <v>23.8</v>
      </c>
      <c r="DI80" s="360">
        <f t="shared" si="432"/>
        <v>0</v>
      </c>
      <c r="DJ80" s="360">
        <f t="shared" si="433"/>
        <v>0</v>
      </c>
      <c r="DK80" s="360">
        <f t="shared" si="434"/>
        <v>0</v>
      </c>
      <c r="DL80" s="360">
        <f t="shared" si="435"/>
        <v>0</v>
      </c>
      <c r="DM80" s="360">
        <f t="shared" si="436"/>
        <v>0</v>
      </c>
      <c r="DN80" s="360">
        <f t="shared" si="437"/>
        <v>0</v>
      </c>
      <c r="DO80" s="360">
        <f t="shared" si="438"/>
        <v>0</v>
      </c>
      <c r="DP80" s="360">
        <f t="shared" si="439"/>
        <v>0</v>
      </c>
      <c r="DQ80" s="219"/>
    </row>
    <row r="81" spans="1:121" ht="25" x14ac:dyDescent="0.25">
      <c r="A81" s="238" t="s">
        <v>2730</v>
      </c>
      <c r="B81" s="238"/>
      <c r="C81" s="238" t="str">
        <f>'Planilha Hidráulica'!B90</f>
        <v>PV10.1-&gt;PV11.1</v>
      </c>
      <c r="D81" s="239">
        <f>'Planilha Hidráulica'!T90</f>
        <v>1.81</v>
      </c>
      <c r="E81" s="239">
        <f>'Planilha Hidráulica'!U90</f>
        <v>2.2000000000000002</v>
      </c>
      <c r="F81" s="239">
        <f>'Planilha Hidráulica'!L90</f>
        <v>59.59</v>
      </c>
      <c r="G81" s="238">
        <f>'Planilha Hidráulica'!N90</f>
        <v>600</v>
      </c>
      <c r="H81" s="240">
        <f t="shared" si="343"/>
        <v>2.2250000000000001</v>
      </c>
      <c r="I81" s="241">
        <f t="shared" si="244"/>
        <v>6.6293875</v>
      </c>
      <c r="J81" s="368">
        <v>0</v>
      </c>
      <c r="K81" s="240">
        <f t="shared" si="344"/>
        <v>1.4</v>
      </c>
      <c r="L81" s="240">
        <f t="shared" si="345"/>
        <v>1.4</v>
      </c>
      <c r="M81" s="243">
        <f>'Planilha Hidráulica'!Z90</f>
        <v>600</v>
      </c>
      <c r="N81" s="240">
        <f t="shared" si="346"/>
        <v>83.426000000000002</v>
      </c>
      <c r="O81" s="367" t="str">
        <f>'Planilha Hidráulica'!Y90</f>
        <v>TERRENO NATURAL</v>
      </c>
      <c r="P81" s="367" t="s">
        <v>2729</v>
      </c>
      <c r="Q81" s="367">
        <v>0</v>
      </c>
      <c r="R81" s="367">
        <v>4.2</v>
      </c>
      <c r="S81" s="367">
        <v>5</v>
      </c>
      <c r="T81" s="240">
        <f t="shared" si="347"/>
        <v>0.1</v>
      </c>
      <c r="U81" s="245">
        <f t="shared" si="348"/>
        <v>16.84867556046742</v>
      </c>
      <c r="V81" s="246">
        <f t="shared" si="349"/>
        <v>168.77417443953257</v>
      </c>
      <c r="W81" s="245">
        <f t="shared" si="350"/>
        <v>0</v>
      </c>
      <c r="X81" s="247">
        <f t="shared" si="351"/>
        <v>0</v>
      </c>
      <c r="Y81" s="245">
        <f t="shared" si="352"/>
        <v>2.2250000000000001</v>
      </c>
      <c r="Z81" s="245">
        <f t="shared" si="353"/>
        <v>0</v>
      </c>
      <c r="AA81" s="252">
        <f t="shared" si="354"/>
        <v>0</v>
      </c>
      <c r="AB81" s="361">
        <f t="shared" si="355"/>
        <v>0</v>
      </c>
      <c r="AC81" s="251">
        <f t="shared" si="356"/>
        <v>0</v>
      </c>
      <c r="AD81" s="251">
        <f t="shared" si="357"/>
        <v>0</v>
      </c>
      <c r="AE81" s="251">
        <f t="shared" si="358"/>
        <v>0</v>
      </c>
      <c r="AF81" s="251">
        <f t="shared" si="359"/>
        <v>0</v>
      </c>
      <c r="AG81" s="251">
        <f t="shared" si="360"/>
        <v>0</v>
      </c>
      <c r="AH81" s="251">
        <f t="shared" si="361"/>
        <v>0</v>
      </c>
      <c r="AI81" s="251">
        <f t="shared" si="362"/>
        <v>0</v>
      </c>
      <c r="AJ81" s="251">
        <f t="shared" si="363"/>
        <v>125.13900000000001</v>
      </c>
      <c r="AK81" s="251">
        <f t="shared" si="364"/>
        <v>43.635174439532591</v>
      </c>
      <c r="AL81" s="251">
        <f t="shared" si="365"/>
        <v>0</v>
      </c>
      <c r="AM81" s="251">
        <f t="shared" si="366"/>
        <v>0</v>
      </c>
      <c r="AN81" s="251">
        <f t="shared" si="367"/>
        <v>0</v>
      </c>
      <c r="AO81" s="251">
        <f t="shared" si="368"/>
        <v>0</v>
      </c>
      <c r="AP81" s="251">
        <f t="shared" si="369"/>
        <v>0</v>
      </c>
      <c r="AQ81" s="251">
        <f t="shared" si="370"/>
        <v>0</v>
      </c>
      <c r="AR81" s="253">
        <f t="shared" si="371"/>
        <v>0</v>
      </c>
      <c r="AS81" s="253">
        <f t="shared" si="372"/>
        <v>0</v>
      </c>
      <c r="AT81" s="253">
        <f t="shared" si="373"/>
        <v>168.77417443953257</v>
      </c>
      <c r="AU81" s="241">
        <f t="shared" si="374"/>
        <v>8.3426000000000009</v>
      </c>
      <c r="AV81" s="246">
        <f t="shared" si="375"/>
        <v>0</v>
      </c>
      <c r="AW81" s="253">
        <f t="shared" si="274"/>
        <v>0</v>
      </c>
      <c r="AX81" s="253">
        <f t="shared" si="275"/>
        <v>0</v>
      </c>
      <c r="AY81" s="253">
        <f t="shared" si="376"/>
        <v>0.89999999999999991</v>
      </c>
      <c r="AZ81" s="253">
        <f t="shared" si="377"/>
        <v>58.234724439532577</v>
      </c>
      <c r="BA81" s="253">
        <f t="shared" si="378"/>
        <v>0</v>
      </c>
      <c r="BB81" s="253">
        <f t="shared" si="379"/>
        <v>0</v>
      </c>
      <c r="BC81" s="253">
        <f t="shared" si="380"/>
        <v>0</v>
      </c>
      <c r="BD81" s="253">
        <f t="shared" si="381"/>
        <v>0</v>
      </c>
      <c r="BE81" s="253">
        <f t="shared" si="382"/>
        <v>102.19684999999998</v>
      </c>
      <c r="BF81" s="253">
        <f t="shared" si="383"/>
        <v>110.53945000000002</v>
      </c>
      <c r="BG81" s="253">
        <f t="shared" si="384"/>
        <v>102.19684999999998</v>
      </c>
      <c r="BH81" s="253">
        <f t="shared" si="385"/>
        <v>8.3426000000000329</v>
      </c>
      <c r="BI81" s="253">
        <f t="shared" si="386"/>
        <v>0</v>
      </c>
      <c r="BJ81" s="241">
        <f t="shared" si="387"/>
        <v>0</v>
      </c>
      <c r="BK81" s="253">
        <f t="shared" si="388"/>
        <v>0</v>
      </c>
      <c r="BL81" s="253"/>
      <c r="BM81" s="253">
        <f t="shared" si="389"/>
        <v>0</v>
      </c>
      <c r="BN81" s="252">
        <f t="shared" si="390"/>
        <v>0</v>
      </c>
      <c r="BO81" s="366">
        <f t="shared" si="391"/>
        <v>0</v>
      </c>
      <c r="BP81" s="366">
        <f t="shared" si="392"/>
        <v>0</v>
      </c>
      <c r="BQ81" s="366">
        <f t="shared" si="393"/>
        <v>0</v>
      </c>
      <c r="BR81" s="240">
        <f t="shared" si="394"/>
        <v>0</v>
      </c>
      <c r="BS81" s="240">
        <f t="shared" si="395"/>
        <v>0</v>
      </c>
      <c r="BT81" s="240">
        <f t="shared" si="396"/>
        <v>2.2250000000000001</v>
      </c>
      <c r="BU81" s="240">
        <f t="shared" si="397"/>
        <v>59.59</v>
      </c>
      <c r="BV81" s="240">
        <f t="shared" si="398"/>
        <v>0</v>
      </c>
      <c r="BW81" s="240">
        <f t="shared" si="399"/>
        <v>0</v>
      </c>
      <c r="BX81" s="240">
        <f t="shared" si="400"/>
        <v>0</v>
      </c>
      <c r="BY81" s="240">
        <f t="shared" si="401"/>
        <v>0</v>
      </c>
      <c r="BZ81" s="240">
        <f t="shared" si="402"/>
        <v>0</v>
      </c>
      <c r="CA81" s="240">
        <f t="shared" si="403"/>
        <v>0</v>
      </c>
      <c r="CB81" s="240">
        <f t="shared" si="404"/>
        <v>0</v>
      </c>
      <c r="CC81" s="240">
        <f t="shared" si="405"/>
        <v>0</v>
      </c>
      <c r="CD81" s="240">
        <f t="shared" si="406"/>
        <v>0</v>
      </c>
      <c r="CE81" s="240">
        <f t="shared" si="407"/>
        <v>0</v>
      </c>
      <c r="CF81" s="240">
        <f t="shared" si="408"/>
        <v>0</v>
      </c>
      <c r="CG81" s="240">
        <f t="shared" si="409"/>
        <v>0</v>
      </c>
      <c r="CH81" s="240">
        <f t="shared" si="410"/>
        <v>0</v>
      </c>
      <c r="CI81" s="240">
        <f t="shared" si="411"/>
        <v>0</v>
      </c>
      <c r="CJ81" s="365">
        <f t="shared" si="412"/>
        <v>0</v>
      </c>
      <c r="CK81" s="240">
        <f t="shared" si="413"/>
        <v>0</v>
      </c>
      <c r="CL81" s="240">
        <f t="shared" si="414"/>
        <v>0</v>
      </c>
      <c r="CM81" s="240">
        <f t="shared" si="415"/>
        <v>0</v>
      </c>
      <c r="CN81" s="245">
        <f t="shared" si="416"/>
        <v>0</v>
      </c>
      <c r="CO81" s="245">
        <f t="shared" si="417"/>
        <v>0</v>
      </c>
      <c r="CP81" s="245">
        <f t="shared" si="418"/>
        <v>0</v>
      </c>
      <c r="CQ81" s="245">
        <f t="shared" si="419"/>
        <v>0</v>
      </c>
      <c r="CR81" s="245">
        <f t="shared" si="420"/>
        <v>0</v>
      </c>
      <c r="CS81" s="245">
        <f t="shared" si="421"/>
        <v>0</v>
      </c>
      <c r="CT81" s="364">
        <f t="shared" si="422"/>
        <v>0</v>
      </c>
      <c r="CU81" s="363">
        <f t="shared" si="423"/>
        <v>1</v>
      </c>
      <c r="CV81" s="363">
        <f t="shared" si="424"/>
        <v>1</v>
      </c>
      <c r="CW81" s="363">
        <f t="shared" si="425"/>
        <v>0</v>
      </c>
      <c r="CX81" s="363">
        <f t="shared" si="426"/>
        <v>0</v>
      </c>
      <c r="CY81" s="363">
        <f t="shared" si="427"/>
        <v>0</v>
      </c>
      <c r="CZ81" s="363">
        <f t="shared" si="428"/>
        <v>0</v>
      </c>
      <c r="DA81" s="362">
        <f t="shared" si="429"/>
        <v>0.51</v>
      </c>
      <c r="DB81" s="361">
        <v>1.3</v>
      </c>
      <c r="DC81" s="361">
        <v>1.4</v>
      </c>
      <c r="DD81" s="361">
        <v>2</v>
      </c>
      <c r="DE81" s="361">
        <v>2</v>
      </c>
      <c r="DF81" s="360">
        <v>2</v>
      </c>
      <c r="DG81" s="252">
        <f t="shared" si="430"/>
        <v>178.77</v>
      </c>
      <c r="DH81" s="360">
        <f t="shared" si="431"/>
        <v>86.405500000000018</v>
      </c>
      <c r="DI81" s="360">
        <f t="shared" si="432"/>
        <v>0</v>
      </c>
      <c r="DJ81" s="360">
        <f t="shared" si="433"/>
        <v>0</v>
      </c>
      <c r="DK81" s="360">
        <f t="shared" si="434"/>
        <v>0</v>
      </c>
      <c r="DL81" s="360">
        <f t="shared" si="435"/>
        <v>0</v>
      </c>
      <c r="DM81" s="360">
        <f t="shared" si="436"/>
        <v>0</v>
      </c>
      <c r="DN81" s="360">
        <f t="shared" si="437"/>
        <v>0</v>
      </c>
      <c r="DO81" s="360">
        <f t="shared" si="438"/>
        <v>0</v>
      </c>
      <c r="DP81" s="360">
        <f t="shared" si="439"/>
        <v>0</v>
      </c>
      <c r="DQ81" s="219"/>
    </row>
    <row r="82" spans="1:121" ht="25" x14ac:dyDescent="0.25">
      <c r="A82" s="238" t="s">
        <v>2728</v>
      </c>
      <c r="B82" s="238"/>
      <c r="C82" s="238" t="str">
        <f>'Planilha Hidráulica'!B91</f>
        <v>PV11.1-&gt;PV12.1</v>
      </c>
      <c r="D82" s="239">
        <f>'Planilha Hidráulica'!T91</f>
        <v>2.42</v>
      </c>
      <c r="E82" s="239">
        <f>'Planilha Hidráulica'!U91</f>
        <v>2</v>
      </c>
      <c r="F82" s="239">
        <f>'Planilha Hidráulica'!L91</f>
        <v>34.61</v>
      </c>
      <c r="G82" s="238">
        <f>'Planilha Hidráulica'!N91</f>
        <v>800</v>
      </c>
      <c r="H82" s="240">
        <f t="shared" si="343"/>
        <v>2.4700000000000002</v>
      </c>
      <c r="I82" s="241">
        <f t="shared" si="244"/>
        <v>4.2743349999999998</v>
      </c>
      <c r="J82" s="368">
        <v>0</v>
      </c>
      <c r="K82" s="240">
        <f t="shared" si="344"/>
        <v>1.7</v>
      </c>
      <c r="L82" s="240">
        <f t="shared" si="345"/>
        <v>1.7</v>
      </c>
      <c r="M82" s="243">
        <f>'Planilha Hidráulica'!Z91</f>
        <v>600</v>
      </c>
      <c r="N82" s="240">
        <f t="shared" si="346"/>
        <v>58.836999999999996</v>
      </c>
      <c r="O82" s="367" t="str">
        <f>'Planilha Hidráulica'!Y91</f>
        <v>TERRENO NATURAL</v>
      </c>
      <c r="P82" s="367" t="s">
        <v>2720</v>
      </c>
      <c r="Q82" s="367">
        <v>0</v>
      </c>
      <c r="R82" s="367">
        <v>5</v>
      </c>
      <c r="S82" s="367">
        <v>5</v>
      </c>
      <c r="T82" s="240">
        <f t="shared" si="347"/>
        <v>0.1</v>
      </c>
      <c r="U82" s="245">
        <f t="shared" si="348"/>
        <v>9.7857469566668467</v>
      </c>
      <c r="V82" s="246">
        <f t="shared" si="349"/>
        <v>135.54164304333312</v>
      </c>
      <c r="W82" s="245">
        <f t="shared" si="350"/>
        <v>0</v>
      </c>
      <c r="X82" s="247">
        <f t="shared" si="351"/>
        <v>0</v>
      </c>
      <c r="Y82" s="245">
        <f t="shared" si="352"/>
        <v>2.4700000000000002</v>
      </c>
      <c r="Z82" s="245">
        <f t="shared" si="353"/>
        <v>0</v>
      </c>
      <c r="AA82" s="252">
        <f t="shared" si="354"/>
        <v>0</v>
      </c>
      <c r="AB82" s="361">
        <f t="shared" si="355"/>
        <v>0</v>
      </c>
      <c r="AC82" s="251">
        <f t="shared" si="356"/>
        <v>0</v>
      </c>
      <c r="AD82" s="251">
        <f t="shared" si="357"/>
        <v>0</v>
      </c>
      <c r="AE82" s="251">
        <f t="shared" si="358"/>
        <v>0</v>
      </c>
      <c r="AF82" s="251">
        <f t="shared" si="359"/>
        <v>0</v>
      </c>
      <c r="AG82" s="251">
        <f t="shared" si="360"/>
        <v>0</v>
      </c>
      <c r="AH82" s="251">
        <f t="shared" si="361"/>
        <v>0</v>
      </c>
      <c r="AI82" s="251">
        <f t="shared" si="362"/>
        <v>0</v>
      </c>
      <c r="AJ82" s="251">
        <f t="shared" si="363"/>
        <v>0</v>
      </c>
      <c r="AK82" s="251">
        <f t="shared" si="364"/>
        <v>0</v>
      </c>
      <c r="AL82" s="251">
        <f t="shared" si="365"/>
        <v>88.255499999999998</v>
      </c>
      <c r="AM82" s="251">
        <f t="shared" si="366"/>
        <v>47.286143043333162</v>
      </c>
      <c r="AN82" s="251">
        <f t="shared" si="367"/>
        <v>0</v>
      </c>
      <c r="AO82" s="251">
        <f t="shared" si="368"/>
        <v>0</v>
      </c>
      <c r="AP82" s="251">
        <f t="shared" si="369"/>
        <v>0</v>
      </c>
      <c r="AQ82" s="251">
        <f t="shared" si="370"/>
        <v>0</v>
      </c>
      <c r="AR82" s="253">
        <f t="shared" si="371"/>
        <v>0</v>
      </c>
      <c r="AS82" s="253">
        <f t="shared" si="372"/>
        <v>0</v>
      </c>
      <c r="AT82" s="253">
        <f t="shared" si="373"/>
        <v>127.93050652148116</v>
      </c>
      <c r="AU82" s="241">
        <f t="shared" si="374"/>
        <v>0</v>
      </c>
      <c r="AV82" s="246">
        <f t="shared" si="375"/>
        <v>5.8837000000000002</v>
      </c>
      <c r="AW82" s="253">
        <f t="shared" si="274"/>
        <v>0</v>
      </c>
      <c r="AX82" s="253">
        <f t="shared" si="275"/>
        <v>0</v>
      </c>
      <c r="AY82" s="253">
        <f t="shared" si="376"/>
        <v>1.1000000000000001</v>
      </c>
      <c r="AZ82" s="253">
        <f t="shared" si="377"/>
        <v>47.323816521481163</v>
      </c>
      <c r="BA82" s="253">
        <f t="shared" si="378"/>
        <v>0</v>
      </c>
      <c r="BB82" s="253">
        <f t="shared" si="379"/>
        <v>0</v>
      </c>
      <c r="BC82" s="253">
        <f t="shared" si="380"/>
        <v>0</v>
      </c>
      <c r="BD82" s="253">
        <f t="shared" si="381"/>
        <v>0</v>
      </c>
      <c r="BE82" s="253">
        <f t="shared" si="382"/>
        <v>74.722989999999996</v>
      </c>
      <c r="BF82" s="253">
        <f t="shared" si="383"/>
        <v>88.21782652185199</v>
      </c>
      <c r="BG82" s="253">
        <f t="shared" si="384"/>
        <v>74.722989999999996</v>
      </c>
      <c r="BH82" s="253">
        <f t="shared" si="385"/>
        <v>13.494836521851994</v>
      </c>
      <c r="BI82" s="253">
        <f t="shared" si="386"/>
        <v>0</v>
      </c>
      <c r="BJ82" s="241">
        <f t="shared" si="387"/>
        <v>0</v>
      </c>
      <c r="BK82" s="253">
        <f t="shared" si="388"/>
        <v>0</v>
      </c>
      <c r="BL82" s="253"/>
      <c r="BM82" s="253">
        <f t="shared" si="389"/>
        <v>0</v>
      </c>
      <c r="BN82" s="252">
        <f t="shared" si="390"/>
        <v>0</v>
      </c>
      <c r="BO82" s="366">
        <f t="shared" si="391"/>
        <v>0</v>
      </c>
      <c r="BP82" s="366">
        <f t="shared" si="392"/>
        <v>0</v>
      </c>
      <c r="BQ82" s="366">
        <f t="shared" si="393"/>
        <v>0</v>
      </c>
      <c r="BR82" s="240">
        <f t="shared" si="394"/>
        <v>0</v>
      </c>
      <c r="BS82" s="240">
        <f t="shared" si="395"/>
        <v>0</v>
      </c>
      <c r="BT82" s="240">
        <f t="shared" si="396"/>
        <v>0</v>
      </c>
      <c r="BU82" s="240">
        <f t="shared" si="397"/>
        <v>0</v>
      </c>
      <c r="BV82" s="240">
        <f t="shared" si="398"/>
        <v>0</v>
      </c>
      <c r="BW82" s="240">
        <f t="shared" si="399"/>
        <v>0</v>
      </c>
      <c r="BX82" s="240">
        <f t="shared" si="400"/>
        <v>2.4700000000000002</v>
      </c>
      <c r="BY82" s="240">
        <f t="shared" si="401"/>
        <v>34.61</v>
      </c>
      <c r="BZ82" s="240">
        <f t="shared" si="402"/>
        <v>0</v>
      </c>
      <c r="CA82" s="240">
        <f t="shared" si="403"/>
        <v>0</v>
      </c>
      <c r="CB82" s="240">
        <f t="shared" si="404"/>
        <v>0</v>
      </c>
      <c r="CC82" s="240">
        <f t="shared" si="405"/>
        <v>0</v>
      </c>
      <c r="CD82" s="240">
        <f t="shared" si="406"/>
        <v>0</v>
      </c>
      <c r="CE82" s="240">
        <f t="shared" si="407"/>
        <v>0</v>
      </c>
      <c r="CF82" s="240">
        <f t="shared" si="408"/>
        <v>0</v>
      </c>
      <c r="CG82" s="240">
        <f t="shared" si="409"/>
        <v>0</v>
      </c>
      <c r="CH82" s="240">
        <f t="shared" si="410"/>
        <v>0</v>
      </c>
      <c r="CI82" s="240">
        <f t="shared" si="411"/>
        <v>0</v>
      </c>
      <c r="CJ82" s="365">
        <f t="shared" si="412"/>
        <v>0</v>
      </c>
      <c r="CK82" s="240">
        <f t="shared" si="413"/>
        <v>0</v>
      </c>
      <c r="CL82" s="240">
        <f t="shared" si="414"/>
        <v>0</v>
      </c>
      <c r="CM82" s="240">
        <f t="shared" si="415"/>
        <v>0</v>
      </c>
      <c r="CN82" s="245">
        <f t="shared" si="416"/>
        <v>0</v>
      </c>
      <c r="CO82" s="245">
        <f t="shared" si="417"/>
        <v>0</v>
      </c>
      <c r="CP82" s="245">
        <f t="shared" si="418"/>
        <v>0</v>
      </c>
      <c r="CQ82" s="245">
        <f t="shared" si="419"/>
        <v>0</v>
      </c>
      <c r="CR82" s="245">
        <f t="shared" si="420"/>
        <v>0</v>
      </c>
      <c r="CS82" s="245">
        <f t="shared" si="421"/>
        <v>0</v>
      </c>
      <c r="CT82" s="364">
        <f t="shared" si="422"/>
        <v>0</v>
      </c>
      <c r="CU82" s="363">
        <f t="shared" si="423"/>
        <v>1</v>
      </c>
      <c r="CV82" s="363">
        <f t="shared" si="424"/>
        <v>0</v>
      </c>
      <c r="CW82" s="363">
        <f t="shared" si="425"/>
        <v>1</v>
      </c>
      <c r="CX82" s="363">
        <f t="shared" si="426"/>
        <v>0</v>
      </c>
      <c r="CY82" s="363">
        <f t="shared" si="427"/>
        <v>0</v>
      </c>
      <c r="CZ82" s="363">
        <f t="shared" si="428"/>
        <v>0</v>
      </c>
      <c r="DA82" s="362">
        <f t="shared" si="429"/>
        <v>1.02</v>
      </c>
      <c r="DB82" s="361">
        <v>1.3</v>
      </c>
      <c r="DC82" s="361">
        <v>1.4</v>
      </c>
      <c r="DD82" s="361">
        <v>2</v>
      </c>
      <c r="DE82" s="361">
        <v>2</v>
      </c>
      <c r="DF82" s="360">
        <v>2</v>
      </c>
      <c r="DG82" s="252">
        <f t="shared" si="430"/>
        <v>0</v>
      </c>
      <c r="DH82" s="360">
        <f t="shared" si="431"/>
        <v>0</v>
      </c>
      <c r="DI82" s="360">
        <f t="shared" si="432"/>
        <v>0</v>
      </c>
      <c r="DJ82" s="360">
        <f t="shared" si="433"/>
        <v>103.83</v>
      </c>
      <c r="DK82" s="360">
        <f t="shared" si="434"/>
        <v>67.143400000000014</v>
      </c>
      <c r="DL82" s="360">
        <f t="shared" si="435"/>
        <v>0</v>
      </c>
      <c r="DM82" s="360">
        <f t="shared" si="436"/>
        <v>0</v>
      </c>
      <c r="DN82" s="360">
        <f t="shared" si="437"/>
        <v>0</v>
      </c>
      <c r="DO82" s="360">
        <f t="shared" si="438"/>
        <v>0</v>
      </c>
      <c r="DP82" s="360">
        <f t="shared" si="439"/>
        <v>0</v>
      </c>
      <c r="DQ82" s="219"/>
    </row>
    <row r="83" spans="1:121" x14ac:dyDescent="0.25">
      <c r="A83" s="238" t="s">
        <v>2727</v>
      </c>
      <c r="B83" s="238"/>
      <c r="C83" s="238" t="str">
        <f>'Planilha Hidráulica'!B92</f>
        <v>PV1.4-&gt;PV2.4</v>
      </c>
      <c r="D83" s="239">
        <f>'Planilha Hidráulica'!T92</f>
        <v>1.6</v>
      </c>
      <c r="E83" s="239">
        <f>'Planilha Hidráulica'!U92</f>
        <v>1.6</v>
      </c>
      <c r="F83" s="239">
        <f>'Planilha Hidráulica'!L92</f>
        <v>49.85</v>
      </c>
      <c r="G83" s="238">
        <f>'Planilha Hidráulica'!N92</f>
        <v>400</v>
      </c>
      <c r="H83" s="240">
        <f t="shared" si="343"/>
        <v>1.7300000000000002</v>
      </c>
      <c r="I83" s="241">
        <f t="shared" si="244"/>
        <v>4.3120250000000002</v>
      </c>
      <c r="J83" s="368">
        <v>0</v>
      </c>
      <c r="K83" s="240">
        <f t="shared" si="344"/>
        <v>1</v>
      </c>
      <c r="L83" s="240">
        <f t="shared" si="345"/>
        <v>1</v>
      </c>
      <c r="M83" s="243">
        <f>'Planilha Hidráulica'!Z92</f>
        <v>400</v>
      </c>
      <c r="N83" s="240">
        <f t="shared" si="346"/>
        <v>49.85</v>
      </c>
      <c r="O83" s="367" t="str">
        <f>'Planilha Hidráulica'!Y92</f>
        <v>ASFALTO</v>
      </c>
      <c r="P83" s="367" t="s">
        <v>2419</v>
      </c>
      <c r="Q83" s="367">
        <v>0</v>
      </c>
      <c r="R83" s="367">
        <v>5</v>
      </c>
      <c r="S83" s="367">
        <v>5</v>
      </c>
      <c r="T83" s="240">
        <f t="shared" si="347"/>
        <v>0.05</v>
      </c>
      <c r="U83" s="245">
        <f t="shared" si="348"/>
        <v>6.2643357512580486</v>
      </c>
      <c r="V83" s="246">
        <f t="shared" si="349"/>
        <v>79.976164248741966</v>
      </c>
      <c r="W83" s="245">
        <f t="shared" si="350"/>
        <v>0</v>
      </c>
      <c r="X83" s="247">
        <f t="shared" si="351"/>
        <v>0</v>
      </c>
      <c r="Y83" s="245">
        <f t="shared" si="352"/>
        <v>1.7300000000000002</v>
      </c>
      <c r="Z83" s="245">
        <f t="shared" si="353"/>
        <v>0</v>
      </c>
      <c r="AA83" s="252">
        <f t="shared" si="354"/>
        <v>49.85</v>
      </c>
      <c r="AB83" s="361">
        <f t="shared" si="355"/>
        <v>0</v>
      </c>
      <c r="AC83" s="251">
        <f t="shared" si="356"/>
        <v>0</v>
      </c>
      <c r="AD83" s="251">
        <f t="shared" si="357"/>
        <v>0</v>
      </c>
      <c r="AE83" s="251">
        <f t="shared" si="358"/>
        <v>0</v>
      </c>
      <c r="AF83" s="251">
        <f t="shared" si="359"/>
        <v>0</v>
      </c>
      <c r="AG83" s="251">
        <f t="shared" si="360"/>
        <v>0</v>
      </c>
      <c r="AH83" s="251">
        <f t="shared" si="361"/>
        <v>0</v>
      </c>
      <c r="AI83" s="251">
        <f t="shared" si="362"/>
        <v>0</v>
      </c>
      <c r="AJ83" s="251">
        <f t="shared" si="363"/>
        <v>74.775000000000006</v>
      </c>
      <c r="AK83" s="251">
        <f t="shared" si="364"/>
        <v>5.2011642487419625</v>
      </c>
      <c r="AL83" s="251">
        <f t="shared" si="365"/>
        <v>0</v>
      </c>
      <c r="AM83" s="251">
        <f t="shared" si="366"/>
        <v>0</v>
      </c>
      <c r="AN83" s="251">
        <f t="shared" si="367"/>
        <v>0</v>
      </c>
      <c r="AO83" s="251">
        <f t="shared" si="368"/>
        <v>0</v>
      </c>
      <c r="AP83" s="251">
        <f t="shared" si="369"/>
        <v>0</v>
      </c>
      <c r="AQ83" s="251">
        <f t="shared" si="370"/>
        <v>0</v>
      </c>
      <c r="AR83" s="253">
        <f t="shared" si="371"/>
        <v>0</v>
      </c>
      <c r="AS83" s="253">
        <f t="shared" si="372"/>
        <v>0</v>
      </c>
      <c r="AT83" s="253">
        <f t="shared" si="373"/>
        <v>79.976164248741966</v>
      </c>
      <c r="AU83" s="241">
        <f t="shared" si="374"/>
        <v>2.4925000000000002</v>
      </c>
      <c r="AV83" s="246">
        <f t="shared" si="375"/>
        <v>0</v>
      </c>
      <c r="AW83" s="253">
        <f t="shared" si="274"/>
        <v>0</v>
      </c>
      <c r="AX83" s="253">
        <f t="shared" si="275"/>
        <v>0</v>
      </c>
      <c r="AY83" s="253">
        <f t="shared" si="376"/>
        <v>0.7</v>
      </c>
      <c r="AZ83" s="253">
        <f t="shared" si="377"/>
        <v>28.630664248741947</v>
      </c>
      <c r="BA83" s="253">
        <f t="shared" si="378"/>
        <v>0</v>
      </c>
      <c r="BB83" s="253">
        <f t="shared" si="379"/>
        <v>7.4775</v>
      </c>
      <c r="BC83" s="253">
        <f t="shared" si="380"/>
        <v>7.4775</v>
      </c>
      <c r="BD83" s="253">
        <f t="shared" si="381"/>
        <v>1.4955000000000001</v>
      </c>
      <c r="BE83" s="253">
        <f t="shared" si="382"/>
        <v>33.89800000000001</v>
      </c>
      <c r="BF83" s="253">
        <f t="shared" si="383"/>
        <v>43.868000000000009</v>
      </c>
      <c r="BG83" s="253">
        <f t="shared" si="384"/>
        <v>33.89800000000001</v>
      </c>
      <c r="BH83" s="253">
        <f t="shared" si="385"/>
        <v>9.9699999999999989</v>
      </c>
      <c r="BI83" s="253">
        <f t="shared" si="386"/>
        <v>0</v>
      </c>
      <c r="BJ83" s="241">
        <f t="shared" si="387"/>
        <v>0</v>
      </c>
      <c r="BK83" s="253">
        <f t="shared" si="388"/>
        <v>0</v>
      </c>
      <c r="BL83" s="253"/>
      <c r="BM83" s="253">
        <f t="shared" si="389"/>
        <v>0</v>
      </c>
      <c r="BN83" s="252">
        <f t="shared" si="390"/>
        <v>1.7300000000000002</v>
      </c>
      <c r="BO83" s="366">
        <f t="shared" si="391"/>
        <v>49.85</v>
      </c>
      <c r="BP83" s="366">
        <f t="shared" si="392"/>
        <v>0</v>
      </c>
      <c r="BQ83" s="366">
        <f t="shared" si="393"/>
        <v>0</v>
      </c>
      <c r="BR83" s="240">
        <f t="shared" si="394"/>
        <v>0</v>
      </c>
      <c r="BS83" s="240">
        <f t="shared" si="395"/>
        <v>0</v>
      </c>
      <c r="BT83" s="240">
        <f t="shared" si="396"/>
        <v>0</v>
      </c>
      <c r="BU83" s="240">
        <f t="shared" si="397"/>
        <v>0</v>
      </c>
      <c r="BV83" s="240">
        <f t="shared" si="398"/>
        <v>0</v>
      </c>
      <c r="BW83" s="240">
        <f t="shared" si="399"/>
        <v>0</v>
      </c>
      <c r="BX83" s="240">
        <f t="shared" si="400"/>
        <v>0</v>
      </c>
      <c r="BY83" s="240">
        <f t="shared" si="401"/>
        <v>0</v>
      </c>
      <c r="BZ83" s="240">
        <f t="shared" si="402"/>
        <v>0</v>
      </c>
      <c r="CA83" s="240">
        <f t="shared" si="403"/>
        <v>0</v>
      </c>
      <c r="CB83" s="240">
        <f t="shared" si="404"/>
        <v>0</v>
      </c>
      <c r="CC83" s="240">
        <f t="shared" si="405"/>
        <v>0</v>
      </c>
      <c r="CD83" s="240">
        <f t="shared" si="406"/>
        <v>0</v>
      </c>
      <c r="CE83" s="240">
        <f t="shared" si="407"/>
        <v>0</v>
      </c>
      <c r="CF83" s="240">
        <f t="shared" si="408"/>
        <v>0</v>
      </c>
      <c r="CG83" s="240">
        <f t="shared" si="409"/>
        <v>0</v>
      </c>
      <c r="CH83" s="240">
        <f t="shared" si="410"/>
        <v>0</v>
      </c>
      <c r="CI83" s="240">
        <f t="shared" si="411"/>
        <v>0</v>
      </c>
      <c r="CJ83" s="365">
        <f t="shared" si="412"/>
        <v>0</v>
      </c>
      <c r="CK83" s="240">
        <f t="shared" si="413"/>
        <v>0</v>
      </c>
      <c r="CL83" s="240">
        <f t="shared" si="414"/>
        <v>0</v>
      </c>
      <c r="CM83" s="240">
        <f t="shared" si="415"/>
        <v>0</v>
      </c>
      <c r="CN83" s="245">
        <f t="shared" si="416"/>
        <v>0</v>
      </c>
      <c r="CO83" s="245">
        <f t="shared" si="417"/>
        <v>0</v>
      </c>
      <c r="CP83" s="245">
        <f t="shared" si="418"/>
        <v>0</v>
      </c>
      <c r="CQ83" s="245">
        <f t="shared" si="419"/>
        <v>0</v>
      </c>
      <c r="CR83" s="245">
        <f t="shared" si="420"/>
        <v>0</v>
      </c>
      <c r="CS83" s="245">
        <f t="shared" si="421"/>
        <v>0</v>
      </c>
      <c r="CT83" s="364">
        <f t="shared" si="422"/>
        <v>0</v>
      </c>
      <c r="CU83" s="363">
        <f t="shared" si="423"/>
        <v>1</v>
      </c>
      <c r="CV83" s="363">
        <f t="shared" si="424"/>
        <v>1</v>
      </c>
      <c r="CW83" s="363">
        <f t="shared" si="425"/>
        <v>0</v>
      </c>
      <c r="CX83" s="363">
        <f t="shared" si="426"/>
        <v>0</v>
      </c>
      <c r="CY83" s="363">
        <f t="shared" si="427"/>
        <v>0</v>
      </c>
      <c r="CZ83" s="363">
        <f t="shared" si="428"/>
        <v>0</v>
      </c>
      <c r="DA83" s="362">
        <f t="shared" si="429"/>
        <v>0.30000000000000004</v>
      </c>
      <c r="DB83" s="361">
        <v>1.3</v>
      </c>
      <c r="DC83" s="361">
        <v>1.4</v>
      </c>
      <c r="DD83" s="361">
        <v>2</v>
      </c>
      <c r="DE83" s="361">
        <v>2</v>
      </c>
      <c r="DF83" s="360">
        <v>2</v>
      </c>
      <c r="DG83" s="252">
        <f t="shared" si="430"/>
        <v>149.55000000000001</v>
      </c>
      <c r="DH83" s="360">
        <f t="shared" si="431"/>
        <v>22.931000000000022</v>
      </c>
      <c r="DI83" s="360">
        <f t="shared" si="432"/>
        <v>0</v>
      </c>
      <c r="DJ83" s="360">
        <f t="shared" si="433"/>
        <v>0</v>
      </c>
      <c r="DK83" s="360">
        <f t="shared" si="434"/>
        <v>0</v>
      </c>
      <c r="DL83" s="360">
        <f t="shared" si="435"/>
        <v>0</v>
      </c>
      <c r="DM83" s="360">
        <f t="shared" si="436"/>
        <v>0</v>
      </c>
      <c r="DN83" s="360">
        <f t="shared" si="437"/>
        <v>0</v>
      </c>
      <c r="DO83" s="360">
        <f t="shared" si="438"/>
        <v>0</v>
      </c>
      <c r="DP83" s="360">
        <f t="shared" si="439"/>
        <v>0</v>
      </c>
      <c r="DQ83" s="219"/>
    </row>
    <row r="84" spans="1:121" x14ac:dyDescent="0.25">
      <c r="A84" s="238" t="s">
        <v>2726</v>
      </c>
      <c r="B84" s="238"/>
      <c r="C84" s="238" t="str">
        <f>'Planilha Hidráulica'!B93</f>
        <v>PV2.4-&gt;PV3.4</v>
      </c>
      <c r="D84" s="239">
        <f>'Planilha Hidráulica'!T93</f>
        <v>1.6</v>
      </c>
      <c r="E84" s="239">
        <f>'Planilha Hidráulica'!U93</f>
        <v>1.6</v>
      </c>
      <c r="F84" s="239">
        <f>'Planilha Hidráulica'!L93</f>
        <v>49.76</v>
      </c>
      <c r="G84" s="238">
        <f>'Planilha Hidráulica'!N93</f>
        <v>400</v>
      </c>
      <c r="H84" s="240">
        <f t="shared" si="343"/>
        <v>1.7300000000000002</v>
      </c>
      <c r="I84" s="241">
        <f t="shared" si="244"/>
        <v>4.3042400000000001</v>
      </c>
      <c r="J84" s="368">
        <v>0</v>
      </c>
      <c r="K84" s="240">
        <f t="shared" si="344"/>
        <v>1</v>
      </c>
      <c r="L84" s="240">
        <f t="shared" si="345"/>
        <v>1</v>
      </c>
      <c r="M84" s="243">
        <f>'Planilha Hidráulica'!Z93</f>
        <v>400</v>
      </c>
      <c r="N84" s="240">
        <f t="shared" si="346"/>
        <v>49.76</v>
      </c>
      <c r="O84" s="367" t="str">
        <f>'Planilha Hidráulica'!Y93</f>
        <v>ASFALTO</v>
      </c>
      <c r="P84" s="367" t="s">
        <v>2419</v>
      </c>
      <c r="Q84" s="367">
        <v>0</v>
      </c>
      <c r="R84" s="367">
        <v>5</v>
      </c>
      <c r="S84" s="367">
        <v>5</v>
      </c>
      <c r="T84" s="240">
        <f t="shared" si="347"/>
        <v>0.05</v>
      </c>
      <c r="U84" s="245">
        <f t="shared" si="348"/>
        <v>6.2530260177051247</v>
      </c>
      <c r="V84" s="246">
        <f t="shared" si="349"/>
        <v>79.831773982294877</v>
      </c>
      <c r="W84" s="245">
        <f t="shared" si="350"/>
        <v>0</v>
      </c>
      <c r="X84" s="247">
        <f t="shared" si="351"/>
        <v>0</v>
      </c>
      <c r="Y84" s="245">
        <f t="shared" si="352"/>
        <v>1.7300000000000002</v>
      </c>
      <c r="Z84" s="245">
        <f t="shared" si="353"/>
        <v>0</v>
      </c>
      <c r="AA84" s="252">
        <f t="shared" si="354"/>
        <v>49.76</v>
      </c>
      <c r="AB84" s="361">
        <f t="shared" si="355"/>
        <v>0</v>
      </c>
      <c r="AC84" s="251">
        <f t="shared" si="356"/>
        <v>0</v>
      </c>
      <c r="AD84" s="251">
        <f t="shared" si="357"/>
        <v>0</v>
      </c>
      <c r="AE84" s="251">
        <f t="shared" si="358"/>
        <v>0</v>
      </c>
      <c r="AF84" s="251">
        <f t="shared" si="359"/>
        <v>0</v>
      </c>
      <c r="AG84" s="251">
        <f t="shared" si="360"/>
        <v>0</v>
      </c>
      <c r="AH84" s="251">
        <f t="shared" si="361"/>
        <v>0</v>
      </c>
      <c r="AI84" s="251">
        <f t="shared" si="362"/>
        <v>0</v>
      </c>
      <c r="AJ84" s="251">
        <f t="shared" si="363"/>
        <v>74.64</v>
      </c>
      <c r="AK84" s="251">
        <f t="shared" si="364"/>
        <v>5.191773982294885</v>
      </c>
      <c r="AL84" s="251">
        <f t="shared" si="365"/>
        <v>0</v>
      </c>
      <c r="AM84" s="251">
        <f t="shared" si="366"/>
        <v>0</v>
      </c>
      <c r="AN84" s="251">
        <f t="shared" si="367"/>
        <v>0</v>
      </c>
      <c r="AO84" s="251">
        <f t="shared" si="368"/>
        <v>0</v>
      </c>
      <c r="AP84" s="251">
        <f t="shared" si="369"/>
        <v>0</v>
      </c>
      <c r="AQ84" s="251">
        <f t="shared" si="370"/>
        <v>0</v>
      </c>
      <c r="AR84" s="253">
        <f t="shared" si="371"/>
        <v>0</v>
      </c>
      <c r="AS84" s="253">
        <f t="shared" si="372"/>
        <v>0</v>
      </c>
      <c r="AT84" s="253">
        <f t="shared" si="373"/>
        <v>79.831773982294877</v>
      </c>
      <c r="AU84" s="241">
        <f t="shared" si="374"/>
        <v>2.488</v>
      </c>
      <c r="AV84" s="246">
        <f t="shared" si="375"/>
        <v>0</v>
      </c>
      <c r="AW84" s="253">
        <f t="shared" si="274"/>
        <v>0</v>
      </c>
      <c r="AX84" s="253">
        <f t="shared" si="275"/>
        <v>0</v>
      </c>
      <c r="AY84" s="253">
        <f t="shared" si="376"/>
        <v>0.7</v>
      </c>
      <c r="AZ84" s="253">
        <f t="shared" si="377"/>
        <v>28.578973982294869</v>
      </c>
      <c r="BA84" s="253">
        <f t="shared" si="378"/>
        <v>0</v>
      </c>
      <c r="BB84" s="253">
        <f t="shared" si="379"/>
        <v>7.4639999999999995</v>
      </c>
      <c r="BC84" s="253">
        <f t="shared" si="380"/>
        <v>7.4639999999999995</v>
      </c>
      <c r="BD84" s="253">
        <f t="shared" si="381"/>
        <v>1.4927999999999999</v>
      </c>
      <c r="BE84" s="253">
        <f t="shared" si="382"/>
        <v>33.836800000000011</v>
      </c>
      <c r="BF84" s="253">
        <f t="shared" si="383"/>
        <v>43.788800000000023</v>
      </c>
      <c r="BG84" s="253">
        <f t="shared" si="384"/>
        <v>33.836800000000011</v>
      </c>
      <c r="BH84" s="253">
        <f t="shared" si="385"/>
        <v>9.9520000000000124</v>
      </c>
      <c r="BI84" s="253">
        <f t="shared" si="386"/>
        <v>0</v>
      </c>
      <c r="BJ84" s="241">
        <f t="shared" si="387"/>
        <v>0</v>
      </c>
      <c r="BK84" s="253">
        <f t="shared" si="388"/>
        <v>0</v>
      </c>
      <c r="BL84" s="253"/>
      <c r="BM84" s="253">
        <f t="shared" si="389"/>
        <v>0</v>
      </c>
      <c r="BN84" s="252">
        <f t="shared" si="390"/>
        <v>1.7300000000000002</v>
      </c>
      <c r="BO84" s="366">
        <f t="shared" si="391"/>
        <v>49.76</v>
      </c>
      <c r="BP84" s="366">
        <f t="shared" si="392"/>
        <v>0</v>
      </c>
      <c r="BQ84" s="366">
        <f t="shared" si="393"/>
        <v>0</v>
      </c>
      <c r="BR84" s="240">
        <f t="shared" si="394"/>
        <v>0</v>
      </c>
      <c r="BS84" s="240">
        <f t="shared" si="395"/>
        <v>0</v>
      </c>
      <c r="BT84" s="240">
        <f t="shared" si="396"/>
        <v>0</v>
      </c>
      <c r="BU84" s="240">
        <f t="shared" si="397"/>
        <v>0</v>
      </c>
      <c r="BV84" s="240">
        <f t="shared" si="398"/>
        <v>0</v>
      </c>
      <c r="BW84" s="240">
        <f t="shared" si="399"/>
        <v>0</v>
      </c>
      <c r="BX84" s="240">
        <f t="shared" si="400"/>
        <v>0</v>
      </c>
      <c r="BY84" s="240">
        <f t="shared" si="401"/>
        <v>0</v>
      </c>
      <c r="BZ84" s="240">
        <f t="shared" si="402"/>
        <v>0</v>
      </c>
      <c r="CA84" s="240">
        <f t="shared" si="403"/>
        <v>0</v>
      </c>
      <c r="CB84" s="240">
        <f t="shared" si="404"/>
        <v>0</v>
      </c>
      <c r="CC84" s="240">
        <f t="shared" si="405"/>
        <v>0</v>
      </c>
      <c r="CD84" s="240">
        <f t="shared" si="406"/>
        <v>0</v>
      </c>
      <c r="CE84" s="240">
        <f t="shared" si="407"/>
        <v>0</v>
      </c>
      <c r="CF84" s="240">
        <f t="shared" si="408"/>
        <v>0</v>
      </c>
      <c r="CG84" s="240">
        <f t="shared" si="409"/>
        <v>0</v>
      </c>
      <c r="CH84" s="240">
        <f t="shared" si="410"/>
        <v>0</v>
      </c>
      <c r="CI84" s="240">
        <f t="shared" si="411"/>
        <v>0</v>
      </c>
      <c r="CJ84" s="365">
        <f t="shared" si="412"/>
        <v>0</v>
      </c>
      <c r="CK84" s="240">
        <f t="shared" si="413"/>
        <v>0</v>
      </c>
      <c r="CL84" s="240">
        <f t="shared" si="414"/>
        <v>0</v>
      </c>
      <c r="CM84" s="240">
        <f t="shared" si="415"/>
        <v>0</v>
      </c>
      <c r="CN84" s="245">
        <f t="shared" si="416"/>
        <v>0</v>
      </c>
      <c r="CO84" s="245">
        <f t="shared" si="417"/>
        <v>0</v>
      </c>
      <c r="CP84" s="245">
        <f t="shared" si="418"/>
        <v>0</v>
      </c>
      <c r="CQ84" s="245">
        <f t="shared" si="419"/>
        <v>0</v>
      </c>
      <c r="CR84" s="245">
        <f t="shared" si="420"/>
        <v>0</v>
      </c>
      <c r="CS84" s="245">
        <f t="shared" si="421"/>
        <v>0</v>
      </c>
      <c r="CT84" s="364">
        <f t="shared" si="422"/>
        <v>0</v>
      </c>
      <c r="CU84" s="363">
        <f t="shared" si="423"/>
        <v>1</v>
      </c>
      <c r="CV84" s="363">
        <f t="shared" si="424"/>
        <v>1</v>
      </c>
      <c r="CW84" s="363">
        <f t="shared" si="425"/>
        <v>0</v>
      </c>
      <c r="CX84" s="363">
        <f t="shared" si="426"/>
        <v>0</v>
      </c>
      <c r="CY84" s="363">
        <f t="shared" si="427"/>
        <v>0</v>
      </c>
      <c r="CZ84" s="363">
        <f t="shared" si="428"/>
        <v>0</v>
      </c>
      <c r="DA84" s="362">
        <f t="shared" si="429"/>
        <v>0.30000000000000004</v>
      </c>
      <c r="DB84" s="361">
        <v>1.3</v>
      </c>
      <c r="DC84" s="361">
        <v>1.4</v>
      </c>
      <c r="DD84" s="361">
        <v>2</v>
      </c>
      <c r="DE84" s="361">
        <v>2</v>
      </c>
      <c r="DF84" s="360">
        <v>2</v>
      </c>
      <c r="DG84" s="252">
        <f t="shared" si="430"/>
        <v>149.28</v>
      </c>
      <c r="DH84" s="360">
        <f t="shared" si="431"/>
        <v>22.889600000000019</v>
      </c>
      <c r="DI84" s="360">
        <f t="shared" si="432"/>
        <v>0</v>
      </c>
      <c r="DJ84" s="360">
        <f t="shared" si="433"/>
        <v>0</v>
      </c>
      <c r="DK84" s="360">
        <f t="shared" si="434"/>
        <v>0</v>
      </c>
      <c r="DL84" s="360">
        <f t="shared" si="435"/>
        <v>0</v>
      </c>
      <c r="DM84" s="360">
        <f t="shared" si="436"/>
        <v>0</v>
      </c>
      <c r="DN84" s="360">
        <f t="shared" si="437"/>
        <v>0</v>
      </c>
      <c r="DO84" s="360">
        <f t="shared" si="438"/>
        <v>0</v>
      </c>
      <c r="DP84" s="360">
        <f t="shared" si="439"/>
        <v>0</v>
      </c>
      <c r="DQ84" s="219"/>
    </row>
    <row r="85" spans="1:121" x14ac:dyDescent="0.25">
      <c r="A85" s="238" t="s">
        <v>2725</v>
      </c>
      <c r="B85" s="238"/>
      <c r="C85" s="238" t="str">
        <f>'Planilha Hidráulica'!B94</f>
        <v>PV3.4-&gt;PV4.4</v>
      </c>
      <c r="D85" s="239">
        <f>'Planilha Hidráulica'!T94</f>
        <v>1.6</v>
      </c>
      <c r="E85" s="239">
        <f>'Planilha Hidráulica'!U94</f>
        <v>1.6</v>
      </c>
      <c r="F85" s="239">
        <f>'Planilha Hidráulica'!L94</f>
        <v>50.29</v>
      </c>
      <c r="G85" s="238">
        <f>'Planilha Hidráulica'!N94</f>
        <v>400</v>
      </c>
      <c r="H85" s="240">
        <f t="shared" si="343"/>
        <v>1.7300000000000002</v>
      </c>
      <c r="I85" s="241">
        <f t="shared" si="244"/>
        <v>4.3500850000000009</v>
      </c>
      <c r="J85" s="368">
        <v>0</v>
      </c>
      <c r="K85" s="240">
        <f t="shared" si="344"/>
        <v>1</v>
      </c>
      <c r="L85" s="240">
        <f t="shared" si="345"/>
        <v>1</v>
      </c>
      <c r="M85" s="243">
        <f>'Planilha Hidráulica'!Z94</f>
        <v>400</v>
      </c>
      <c r="N85" s="240">
        <f t="shared" si="346"/>
        <v>50.29</v>
      </c>
      <c r="O85" s="367" t="str">
        <f>'Planilha Hidráulica'!Y94</f>
        <v>ASFALTO</v>
      </c>
      <c r="P85" s="367" t="s">
        <v>2720</v>
      </c>
      <c r="Q85" s="367">
        <v>0</v>
      </c>
      <c r="R85" s="367">
        <v>5</v>
      </c>
      <c r="S85" s="367">
        <v>5</v>
      </c>
      <c r="T85" s="240">
        <f t="shared" si="347"/>
        <v>0.05</v>
      </c>
      <c r="U85" s="245">
        <f t="shared" si="348"/>
        <v>6.3196277819612279</v>
      </c>
      <c r="V85" s="246">
        <f t="shared" si="349"/>
        <v>80.682072218038783</v>
      </c>
      <c r="W85" s="245">
        <f t="shared" si="350"/>
        <v>0</v>
      </c>
      <c r="X85" s="247">
        <f t="shared" si="351"/>
        <v>0</v>
      </c>
      <c r="Y85" s="245">
        <f t="shared" si="352"/>
        <v>1.7300000000000002</v>
      </c>
      <c r="Z85" s="245">
        <f t="shared" si="353"/>
        <v>0</v>
      </c>
      <c r="AA85" s="252">
        <f t="shared" si="354"/>
        <v>50.29</v>
      </c>
      <c r="AB85" s="361">
        <f t="shared" si="355"/>
        <v>0</v>
      </c>
      <c r="AC85" s="251">
        <f t="shared" si="356"/>
        <v>0</v>
      </c>
      <c r="AD85" s="251">
        <f t="shared" si="357"/>
        <v>0</v>
      </c>
      <c r="AE85" s="251">
        <f t="shared" si="358"/>
        <v>0</v>
      </c>
      <c r="AF85" s="251">
        <f t="shared" si="359"/>
        <v>0</v>
      </c>
      <c r="AG85" s="251">
        <f t="shared" si="360"/>
        <v>0</v>
      </c>
      <c r="AH85" s="251">
        <f t="shared" si="361"/>
        <v>0</v>
      </c>
      <c r="AI85" s="251">
        <f t="shared" si="362"/>
        <v>0</v>
      </c>
      <c r="AJ85" s="251">
        <f t="shared" si="363"/>
        <v>75.435000000000002</v>
      </c>
      <c r="AK85" s="251">
        <f t="shared" si="364"/>
        <v>5.2470722180387819</v>
      </c>
      <c r="AL85" s="251">
        <f t="shared" si="365"/>
        <v>0</v>
      </c>
      <c r="AM85" s="251">
        <f t="shared" si="366"/>
        <v>0</v>
      </c>
      <c r="AN85" s="251">
        <f t="shared" si="367"/>
        <v>0</v>
      </c>
      <c r="AO85" s="251">
        <f t="shared" si="368"/>
        <v>0</v>
      </c>
      <c r="AP85" s="251">
        <f t="shared" si="369"/>
        <v>0</v>
      </c>
      <c r="AQ85" s="251">
        <f t="shared" si="370"/>
        <v>0</v>
      </c>
      <c r="AR85" s="253">
        <f t="shared" si="371"/>
        <v>0</v>
      </c>
      <c r="AS85" s="253">
        <f t="shared" si="372"/>
        <v>0</v>
      </c>
      <c r="AT85" s="253">
        <f t="shared" si="373"/>
        <v>80.682072218038783</v>
      </c>
      <c r="AU85" s="241">
        <f t="shared" si="374"/>
        <v>2.5145</v>
      </c>
      <c r="AV85" s="246">
        <f t="shared" si="375"/>
        <v>0</v>
      </c>
      <c r="AW85" s="253">
        <f t="shared" si="274"/>
        <v>0</v>
      </c>
      <c r="AX85" s="253">
        <f t="shared" si="275"/>
        <v>0</v>
      </c>
      <c r="AY85" s="253">
        <f t="shared" si="376"/>
        <v>0.7</v>
      </c>
      <c r="AZ85" s="253">
        <f t="shared" si="377"/>
        <v>28.883372218038769</v>
      </c>
      <c r="BA85" s="253">
        <f t="shared" si="378"/>
        <v>0</v>
      </c>
      <c r="BB85" s="253">
        <f t="shared" si="379"/>
        <v>7.5434999999999999</v>
      </c>
      <c r="BC85" s="253">
        <f t="shared" si="380"/>
        <v>7.5434999999999999</v>
      </c>
      <c r="BD85" s="253">
        <f t="shared" si="381"/>
        <v>1.5086999999999999</v>
      </c>
      <c r="BE85" s="253">
        <f t="shared" si="382"/>
        <v>34.197200000000024</v>
      </c>
      <c r="BF85" s="253">
        <f t="shared" si="383"/>
        <v>44.255200000000016</v>
      </c>
      <c r="BG85" s="253">
        <f t="shared" si="384"/>
        <v>34.197200000000024</v>
      </c>
      <c r="BH85" s="253">
        <f t="shared" si="385"/>
        <v>10.057999999999993</v>
      </c>
      <c r="BI85" s="253">
        <f t="shared" si="386"/>
        <v>0</v>
      </c>
      <c r="BJ85" s="241">
        <f t="shared" si="387"/>
        <v>0</v>
      </c>
      <c r="BK85" s="253">
        <f t="shared" si="388"/>
        <v>0</v>
      </c>
      <c r="BL85" s="253"/>
      <c r="BM85" s="253">
        <f t="shared" si="389"/>
        <v>0</v>
      </c>
      <c r="BN85" s="252">
        <f t="shared" si="390"/>
        <v>1.7300000000000002</v>
      </c>
      <c r="BO85" s="366">
        <f t="shared" si="391"/>
        <v>50.29</v>
      </c>
      <c r="BP85" s="366">
        <f t="shared" si="392"/>
        <v>0</v>
      </c>
      <c r="BQ85" s="366">
        <f t="shared" si="393"/>
        <v>0</v>
      </c>
      <c r="BR85" s="240">
        <f t="shared" si="394"/>
        <v>0</v>
      </c>
      <c r="BS85" s="240">
        <f t="shared" si="395"/>
        <v>0</v>
      </c>
      <c r="BT85" s="240">
        <f t="shared" si="396"/>
        <v>0</v>
      </c>
      <c r="BU85" s="240">
        <f t="shared" si="397"/>
        <v>0</v>
      </c>
      <c r="BV85" s="240">
        <f t="shared" si="398"/>
        <v>0</v>
      </c>
      <c r="BW85" s="240">
        <f t="shared" si="399"/>
        <v>0</v>
      </c>
      <c r="BX85" s="240">
        <f t="shared" si="400"/>
        <v>0</v>
      </c>
      <c r="BY85" s="240">
        <f t="shared" si="401"/>
        <v>0</v>
      </c>
      <c r="BZ85" s="240">
        <f t="shared" si="402"/>
        <v>0</v>
      </c>
      <c r="CA85" s="240">
        <f t="shared" si="403"/>
        <v>0</v>
      </c>
      <c r="CB85" s="240">
        <f t="shared" si="404"/>
        <v>0</v>
      </c>
      <c r="CC85" s="240">
        <f t="shared" si="405"/>
        <v>0</v>
      </c>
      <c r="CD85" s="240">
        <f t="shared" si="406"/>
        <v>0</v>
      </c>
      <c r="CE85" s="240">
        <f t="shared" si="407"/>
        <v>0</v>
      </c>
      <c r="CF85" s="240">
        <f t="shared" si="408"/>
        <v>0</v>
      </c>
      <c r="CG85" s="240">
        <f t="shared" si="409"/>
        <v>0</v>
      </c>
      <c r="CH85" s="240">
        <f t="shared" si="410"/>
        <v>0</v>
      </c>
      <c r="CI85" s="240">
        <f t="shared" si="411"/>
        <v>0</v>
      </c>
      <c r="CJ85" s="365">
        <f t="shared" si="412"/>
        <v>0</v>
      </c>
      <c r="CK85" s="240">
        <f t="shared" si="413"/>
        <v>0</v>
      </c>
      <c r="CL85" s="240">
        <f t="shared" si="414"/>
        <v>0</v>
      </c>
      <c r="CM85" s="240">
        <f t="shared" si="415"/>
        <v>0</v>
      </c>
      <c r="CN85" s="245">
        <f t="shared" si="416"/>
        <v>0</v>
      </c>
      <c r="CO85" s="245">
        <f t="shared" si="417"/>
        <v>0</v>
      </c>
      <c r="CP85" s="245">
        <f t="shared" si="418"/>
        <v>0</v>
      </c>
      <c r="CQ85" s="245">
        <f t="shared" si="419"/>
        <v>0</v>
      </c>
      <c r="CR85" s="245">
        <f t="shared" si="420"/>
        <v>0</v>
      </c>
      <c r="CS85" s="245">
        <f t="shared" si="421"/>
        <v>0</v>
      </c>
      <c r="CT85" s="364">
        <f t="shared" si="422"/>
        <v>0</v>
      </c>
      <c r="CU85" s="363">
        <f t="shared" si="423"/>
        <v>1</v>
      </c>
      <c r="CV85" s="363">
        <f t="shared" si="424"/>
        <v>1</v>
      </c>
      <c r="CW85" s="363">
        <f t="shared" si="425"/>
        <v>0</v>
      </c>
      <c r="CX85" s="363">
        <f t="shared" si="426"/>
        <v>0</v>
      </c>
      <c r="CY85" s="363">
        <f t="shared" si="427"/>
        <v>0</v>
      </c>
      <c r="CZ85" s="363">
        <f t="shared" si="428"/>
        <v>0</v>
      </c>
      <c r="DA85" s="362">
        <f t="shared" si="429"/>
        <v>0.30000000000000004</v>
      </c>
      <c r="DB85" s="361">
        <v>1.3</v>
      </c>
      <c r="DC85" s="361">
        <v>1.4</v>
      </c>
      <c r="DD85" s="361">
        <v>2</v>
      </c>
      <c r="DE85" s="361">
        <v>2</v>
      </c>
      <c r="DF85" s="360">
        <v>2</v>
      </c>
      <c r="DG85" s="252">
        <f t="shared" si="430"/>
        <v>150.87</v>
      </c>
      <c r="DH85" s="360">
        <f t="shared" si="431"/>
        <v>23.13340000000002</v>
      </c>
      <c r="DI85" s="360">
        <f t="shared" si="432"/>
        <v>0</v>
      </c>
      <c r="DJ85" s="360">
        <f t="shared" si="433"/>
        <v>0</v>
      </c>
      <c r="DK85" s="360">
        <f t="shared" si="434"/>
        <v>0</v>
      </c>
      <c r="DL85" s="360">
        <f t="shared" si="435"/>
        <v>0</v>
      </c>
      <c r="DM85" s="360">
        <f t="shared" si="436"/>
        <v>0</v>
      </c>
      <c r="DN85" s="360">
        <f t="shared" si="437"/>
        <v>0</v>
      </c>
      <c r="DO85" s="360">
        <f t="shared" si="438"/>
        <v>0</v>
      </c>
      <c r="DP85" s="360">
        <f t="shared" si="439"/>
        <v>0</v>
      </c>
      <c r="DQ85" s="219"/>
    </row>
    <row r="86" spans="1:121" x14ac:dyDescent="0.25">
      <c r="A86" s="238" t="s">
        <v>2724</v>
      </c>
      <c r="B86" s="238"/>
      <c r="C86" s="238" t="str">
        <f>'Planilha Hidráulica'!B95</f>
        <v>PV4.4-&gt;PV12.1</v>
      </c>
      <c r="D86" s="239">
        <f>'Planilha Hidráulica'!T95</f>
        <v>1.6</v>
      </c>
      <c r="E86" s="239">
        <f>'Planilha Hidráulica'!U95</f>
        <v>1.8</v>
      </c>
      <c r="F86" s="239">
        <f>'Planilha Hidráulica'!L95</f>
        <v>50.03</v>
      </c>
      <c r="G86" s="238">
        <f>'Planilha Hidráulica'!N95</f>
        <v>400</v>
      </c>
      <c r="H86" s="240">
        <f t="shared" si="343"/>
        <v>1.8300000000000003</v>
      </c>
      <c r="I86" s="241">
        <f t="shared" si="244"/>
        <v>4.5777450000000011</v>
      </c>
      <c r="J86" s="368">
        <v>0</v>
      </c>
      <c r="K86" s="240">
        <f t="shared" si="344"/>
        <v>1</v>
      </c>
      <c r="L86" s="240">
        <f t="shared" si="345"/>
        <v>1</v>
      </c>
      <c r="M86" s="243">
        <f>'Planilha Hidráulica'!Z95</f>
        <v>500</v>
      </c>
      <c r="N86" s="240">
        <f t="shared" si="346"/>
        <v>50.03</v>
      </c>
      <c r="O86" s="367" t="str">
        <f>'Planilha Hidráulica'!Y95</f>
        <v>ASFALTO</v>
      </c>
      <c r="P86" s="367" t="s">
        <v>2720</v>
      </c>
      <c r="Q86" s="367">
        <v>0</v>
      </c>
      <c r="R86" s="367">
        <v>5</v>
      </c>
      <c r="S86" s="367">
        <v>5</v>
      </c>
      <c r="T86" s="240">
        <f t="shared" si="347"/>
        <v>0.05</v>
      </c>
      <c r="U86" s="245">
        <f t="shared" si="348"/>
        <v>9.8233675286935842</v>
      </c>
      <c r="V86" s="246">
        <f t="shared" si="349"/>
        <v>81.731532471306437</v>
      </c>
      <c r="W86" s="245">
        <f t="shared" si="350"/>
        <v>0</v>
      </c>
      <c r="X86" s="247">
        <f t="shared" si="351"/>
        <v>0</v>
      </c>
      <c r="Y86" s="245">
        <f t="shared" si="352"/>
        <v>1.8300000000000003</v>
      </c>
      <c r="Z86" s="245">
        <f t="shared" si="353"/>
        <v>0</v>
      </c>
      <c r="AA86" s="252">
        <f t="shared" si="354"/>
        <v>50.03</v>
      </c>
      <c r="AB86" s="361">
        <f t="shared" si="355"/>
        <v>0</v>
      </c>
      <c r="AC86" s="251">
        <f t="shared" si="356"/>
        <v>0</v>
      </c>
      <c r="AD86" s="251">
        <f t="shared" si="357"/>
        <v>0</v>
      </c>
      <c r="AE86" s="251">
        <f t="shared" si="358"/>
        <v>0</v>
      </c>
      <c r="AF86" s="251">
        <f t="shared" si="359"/>
        <v>0</v>
      </c>
      <c r="AG86" s="251">
        <f t="shared" si="360"/>
        <v>0</v>
      </c>
      <c r="AH86" s="251">
        <f t="shared" si="361"/>
        <v>0</v>
      </c>
      <c r="AI86" s="251">
        <f t="shared" si="362"/>
        <v>0</v>
      </c>
      <c r="AJ86" s="251">
        <f t="shared" si="363"/>
        <v>75.045000000000002</v>
      </c>
      <c r="AK86" s="251">
        <f t="shared" si="364"/>
        <v>6.6865324713064318</v>
      </c>
      <c r="AL86" s="251">
        <f t="shared" si="365"/>
        <v>0</v>
      </c>
      <c r="AM86" s="251">
        <f t="shared" si="366"/>
        <v>0</v>
      </c>
      <c r="AN86" s="251">
        <f t="shared" si="367"/>
        <v>0</v>
      </c>
      <c r="AO86" s="251">
        <f t="shared" si="368"/>
        <v>0</v>
      </c>
      <c r="AP86" s="251">
        <f t="shared" si="369"/>
        <v>0</v>
      </c>
      <c r="AQ86" s="251">
        <f t="shared" si="370"/>
        <v>0</v>
      </c>
      <c r="AR86" s="253">
        <f t="shared" si="371"/>
        <v>0</v>
      </c>
      <c r="AS86" s="253">
        <f t="shared" si="372"/>
        <v>0</v>
      </c>
      <c r="AT86" s="253">
        <f t="shared" si="373"/>
        <v>85.267944781636118</v>
      </c>
      <c r="AU86" s="241">
        <f t="shared" si="374"/>
        <v>2.5015000000000001</v>
      </c>
      <c r="AV86" s="246">
        <f t="shared" si="375"/>
        <v>0</v>
      </c>
      <c r="AW86" s="253">
        <f t="shared" si="274"/>
        <v>0</v>
      </c>
      <c r="AX86" s="253">
        <f t="shared" si="275"/>
        <v>0</v>
      </c>
      <c r="AY86" s="253">
        <f t="shared" si="376"/>
        <v>0.7</v>
      </c>
      <c r="AZ86" s="253">
        <f t="shared" si="377"/>
        <v>28.734044781636108</v>
      </c>
      <c r="BA86" s="253">
        <f t="shared" si="378"/>
        <v>0</v>
      </c>
      <c r="BB86" s="253">
        <f t="shared" si="379"/>
        <v>7.5045000000000002</v>
      </c>
      <c r="BC86" s="253">
        <f t="shared" si="380"/>
        <v>7.5045000000000002</v>
      </c>
      <c r="BD86" s="253">
        <f t="shared" si="381"/>
        <v>1.5008999999999999</v>
      </c>
      <c r="BE86" s="253">
        <f t="shared" si="382"/>
        <v>39.023400000000002</v>
      </c>
      <c r="BF86" s="253">
        <f t="shared" si="383"/>
        <v>45.492987689670336</v>
      </c>
      <c r="BG86" s="253">
        <f t="shared" si="384"/>
        <v>39.023400000000002</v>
      </c>
      <c r="BH86" s="253">
        <f t="shared" si="385"/>
        <v>6.4695876896703339</v>
      </c>
      <c r="BI86" s="253">
        <f t="shared" si="386"/>
        <v>0</v>
      </c>
      <c r="BJ86" s="241">
        <f t="shared" si="387"/>
        <v>0</v>
      </c>
      <c r="BK86" s="253">
        <f t="shared" si="388"/>
        <v>0</v>
      </c>
      <c r="BL86" s="253"/>
      <c r="BM86" s="253">
        <f t="shared" si="389"/>
        <v>0</v>
      </c>
      <c r="BN86" s="252">
        <f t="shared" si="390"/>
        <v>1.8300000000000003</v>
      </c>
      <c r="BO86" s="366">
        <f t="shared" si="391"/>
        <v>0</v>
      </c>
      <c r="BP86" s="366">
        <f t="shared" si="392"/>
        <v>50.03</v>
      </c>
      <c r="BQ86" s="366">
        <f t="shared" si="393"/>
        <v>0</v>
      </c>
      <c r="BR86" s="240">
        <f t="shared" si="394"/>
        <v>0</v>
      </c>
      <c r="BS86" s="240">
        <f t="shared" si="395"/>
        <v>0</v>
      </c>
      <c r="BT86" s="240">
        <f t="shared" si="396"/>
        <v>0</v>
      </c>
      <c r="BU86" s="240">
        <f t="shared" si="397"/>
        <v>0</v>
      </c>
      <c r="BV86" s="240">
        <f t="shared" si="398"/>
        <v>0</v>
      </c>
      <c r="BW86" s="240">
        <f t="shared" si="399"/>
        <v>0</v>
      </c>
      <c r="BX86" s="240">
        <f t="shared" si="400"/>
        <v>0</v>
      </c>
      <c r="BY86" s="240">
        <f t="shared" si="401"/>
        <v>0</v>
      </c>
      <c r="BZ86" s="240">
        <f t="shared" si="402"/>
        <v>0</v>
      </c>
      <c r="CA86" s="240">
        <f t="shared" si="403"/>
        <v>0</v>
      </c>
      <c r="CB86" s="240">
        <f t="shared" si="404"/>
        <v>0</v>
      </c>
      <c r="CC86" s="240">
        <f t="shared" si="405"/>
        <v>0</v>
      </c>
      <c r="CD86" s="240">
        <f t="shared" si="406"/>
        <v>0</v>
      </c>
      <c r="CE86" s="240">
        <f t="shared" si="407"/>
        <v>0</v>
      </c>
      <c r="CF86" s="240">
        <f t="shared" si="408"/>
        <v>0</v>
      </c>
      <c r="CG86" s="240">
        <f t="shared" si="409"/>
        <v>0</v>
      </c>
      <c r="CH86" s="240">
        <f t="shared" si="410"/>
        <v>0</v>
      </c>
      <c r="CI86" s="240">
        <f t="shared" si="411"/>
        <v>0</v>
      </c>
      <c r="CJ86" s="365">
        <f t="shared" si="412"/>
        <v>0</v>
      </c>
      <c r="CK86" s="240">
        <f t="shared" si="413"/>
        <v>0</v>
      </c>
      <c r="CL86" s="240">
        <f t="shared" si="414"/>
        <v>0</v>
      </c>
      <c r="CM86" s="240">
        <f t="shared" si="415"/>
        <v>0</v>
      </c>
      <c r="CN86" s="245">
        <f t="shared" si="416"/>
        <v>0</v>
      </c>
      <c r="CO86" s="245">
        <f t="shared" si="417"/>
        <v>0</v>
      </c>
      <c r="CP86" s="245">
        <f t="shared" si="418"/>
        <v>0</v>
      </c>
      <c r="CQ86" s="245">
        <f t="shared" si="419"/>
        <v>0</v>
      </c>
      <c r="CR86" s="245">
        <f t="shared" si="420"/>
        <v>0</v>
      </c>
      <c r="CS86" s="245">
        <f t="shared" si="421"/>
        <v>0</v>
      </c>
      <c r="CT86" s="364">
        <f t="shared" si="422"/>
        <v>0</v>
      </c>
      <c r="CU86" s="363">
        <f t="shared" si="423"/>
        <v>1</v>
      </c>
      <c r="CV86" s="363">
        <f t="shared" si="424"/>
        <v>1</v>
      </c>
      <c r="CW86" s="363">
        <f t="shared" si="425"/>
        <v>0</v>
      </c>
      <c r="CX86" s="363">
        <f t="shared" si="426"/>
        <v>0</v>
      </c>
      <c r="CY86" s="363">
        <f t="shared" si="427"/>
        <v>0</v>
      </c>
      <c r="CZ86" s="363">
        <f t="shared" si="428"/>
        <v>0</v>
      </c>
      <c r="DA86" s="362">
        <f t="shared" si="429"/>
        <v>0.30000000000000004</v>
      </c>
      <c r="DB86" s="361">
        <v>1.3</v>
      </c>
      <c r="DC86" s="361">
        <v>1.4</v>
      </c>
      <c r="DD86" s="361">
        <v>2</v>
      </c>
      <c r="DE86" s="361">
        <v>2</v>
      </c>
      <c r="DF86" s="360">
        <v>2</v>
      </c>
      <c r="DG86" s="252">
        <f t="shared" si="430"/>
        <v>150.09</v>
      </c>
      <c r="DH86" s="360">
        <f t="shared" si="431"/>
        <v>33.019800000000032</v>
      </c>
      <c r="DI86" s="360">
        <f t="shared" si="432"/>
        <v>0</v>
      </c>
      <c r="DJ86" s="360">
        <f t="shared" si="433"/>
        <v>0</v>
      </c>
      <c r="DK86" s="360">
        <f t="shared" si="434"/>
        <v>0</v>
      </c>
      <c r="DL86" s="360">
        <f t="shared" si="435"/>
        <v>0</v>
      </c>
      <c r="DM86" s="360">
        <f t="shared" si="436"/>
        <v>0</v>
      </c>
      <c r="DN86" s="360">
        <f t="shared" si="437"/>
        <v>0</v>
      </c>
      <c r="DO86" s="360">
        <f t="shared" si="438"/>
        <v>0</v>
      </c>
      <c r="DP86" s="360">
        <f t="shared" si="439"/>
        <v>0</v>
      </c>
      <c r="DQ86" s="219"/>
    </row>
    <row r="87" spans="1:121" x14ac:dyDescent="0.25">
      <c r="A87" s="238" t="s">
        <v>2723</v>
      </c>
      <c r="B87" s="238"/>
      <c r="C87" s="238" t="str">
        <f>'Planilha Hidráulica'!B96</f>
        <v>PV12.1-&gt;PV13.1</v>
      </c>
      <c r="D87" s="239">
        <f>'Planilha Hidráulica'!T96</f>
        <v>2.42</v>
      </c>
      <c r="E87" s="239">
        <f>'Planilha Hidráulica'!U96</f>
        <v>2.25</v>
      </c>
      <c r="F87" s="239">
        <f>'Planilha Hidráulica'!L96</f>
        <v>50.64</v>
      </c>
      <c r="G87" s="238">
        <f>'Planilha Hidráulica'!N96</f>
        <v>800</v>
      </c>
      <c r="H87" s="240">
        <f t="shared" si="343"/>
        <v>2.5950000000000002</v>
      </c>
      <c r="I87" s="241">
        <f t="shared" si="244"/>
        <v>6.5705400000000012</v>
      </c>
      <c r="J87" s="368">
        <v>0</v>
      </c>
      <c r="K87" s="240">
        <f t="shared" si="344"/>
        <v>1.7</v>
      </c>
      <c r="L87" s="240">
        <f t="shared" si="345"/>
        <v>1.7</v>
      </c>
      <c r="M87" s="243">
        <f>'Planilha Hidráulica'!Z96</f>
        <v>800</v>
      </c>
      <c r="N87" s="240">
        <f t="shared" si="346"/>
        <v>86.087999999999994</v>
      </c>
      <c r="O87" s="367" t="str">
        <f>'Planilha Hidráulica'!Y96</f>
        <v>ASFALTO</v>
      </c>
      <c r="P87" s="367" t="s">
        <v>2720</v>
      </c>
      <c r="Q87" s="367">
        <v>0</v>
      </c>
      <c r="R87" s="367">
        <v>5</v>
      </c>
      <c r="S87" s="367">
        <v>5</v>
      </c>
      <c r="T87" s="240">
        <f t="shared" si="347"/>
        <v>0.1</v>
      </c>
      <c r="U87" s="245">
        <f t="shared" si="348"/>
        <v>25.454440316445943</v>
      </c>
      <c r="V87" s="246">
        <f t="shared" si="349"/>
        <v>197.94391968355407</v>
      </c>
      <c r="W87" s="245">
        <f t="shared" si="350"/>
        <v>0</v>
      </c>
      <c r="X87" s="247">
        <f t="shared" si="351"/>
        <v>0</v>
      </c>
      <c r="Y87" s="245">
        <f t="shared" si="352"/>
        <v>2.5950000000000002</v>
      </c>
      <c r="Z87" s="245">
        <f t="shared" si="353"/>
        <v>0</v>
      </c>
      <c r="AA87" s="252">
        <f t="shared" si="354"/>
        <v>86.087999999999994</v>
      </c>
      <c r="AB87" s="361">
        <f t="shared" si="355"/>
        <v>0</v>
      </c>
      <c r="AC87" s="251">
        <f t="shared" si="356"/>
        <v>0</v>
      </c>
      <c r="AD87" s="251">
        <f t="shared" si="357"/>
        <v>0</v>
      </c>
      <c r="AE87" s="251">
        <f t="shared" si="358"/>
        <v>0</v>
      </c>
      <c r="AF87" s="251">
        <f t="shared" si="359"/>
        <v>0</v>
      </c>
      <c r="AG87" s="251">
        <f t="shared" si="360"/>
        <v>0</v>
      </c>
      <c r="AH87" s="251">
        <f t="shared" si="361"/>
        <v>0</v>
      </c>
      <c r="AI87" s="251">
        <f t="shared" si="362"/>
        <v>0</v>
      </c>
      <c r="AJ87" s="251">
        <f t="shared" si="363"/>
        <v>0</v>
      </c>
      <c r="AK87" s="251">
        <f t="shared" si="364"/>
        <v>0</v>
      </c>
      <c r="AL87" s="251">
        <f t="shared" si="365"/>
        <v>129.13200000000001</v>
      </c>
      <c r="AM87" s="251">
        <f t="shared" si="366"/>
        <v>68.811919683554066</v>
      </c>
      <c r="AN87" s="251">
        <f t="shared" si="367"/>
        <v>0</v>
      </c>
      <c r="AO87" s="251">
        <f t="shared" si="368"/>
        <v>0</v>
      </c>
      <c r="AP87" s="251">
        <f t="shared" si="369"/>
        <v>0</v>
      </c>
      <c r="AQ87" s="251">
        <f t="shared" si="370"/>
        <v>0</v>
      </c>
      <c r="AR87" s="253">
        <f t="shared" si="371"/>
        <v>0</v>
      </c>
      <c r="AS87" s="253">
        <f t="shared" si="372"/>
        <v>0</v>
      </c>
      <c r="AT87" s="253">
        <f t="shared" si="373"/>
        <v>197.94391968355404</v>
      </c>
      <c r="AU87" s="241">
        <f t="shared" si="374"/>
        <v>0</v>
      </c>
      <c r="AV87" s="246">
        <f t="shared" si="375"/>
        <v>8.6088000000000005</v>
      </c>
      <c r="AW87" s="253">
        <f t="shared" si="274"/>
        <v>0</v>
      </c>
      <c r="AX87" s="253">
        <f t="shared" si="275"/>
        <v>0</v>
      </c>
      <c r="AY87" s="253">
        <f t="shared" si="376"/>
        <v>1.1000000000000001</v>
      </c>
      <c r="AZ87" s="253">
        <f t="shared" si="377"/>
        <v>69.242359683554071</v>
      </c>
      <c r="BA87" s="253">
        <f t="shared" si="378"/>
        <v>0</v>
      </c>
      <c r="BB87" s="253">
        <f t="shared" si="379"/>
        <v>12.9132</v>
      </c>
      <c r="BC87" s="253">
        <f t="shared" si="380"/>
        <v>12.9132</v>
      </c>
      <c r="BD87" s="253">
        <f t="shared" si="381"/>
        <v>2.5826399999999996</v>
      </c>
      <c r="BE87" s="253">
        <f t="shared" si="382"/>
        <v>94.266359999999992</v>
      </c>
      <c r="BF87" s="253">
        <f t="shared" si="383"/>
        <v>115.78836000000001</v>
      </c>
      <c r="BG87" s="253">
        <f t="shared" si="384"/>
        <v>94.266359999999992</v>
      </c>
      <c r="BH87" s="253">
        <f t="shared" si="385"/>
        <v>21.52200000000002</v>
      </c>
      <c r="BI87" s="253">
        <f t="shared" si="386"/>
        <v>0</v>
      </c>
      <c r="BJ87" s="241">
        <f t="shared" si="387"/>
        <v>0</v>
      </c>
      <c r="BK87" s="253">
        <f t="shared" si="388"/>
        <v>0</v>
      </c>
      <c r="BL87" s="253"/>
      <c r="BM87" s="253">
        <f t="shared" si="389"/>
        <v>0</v>
      </c>
      <c r="BN87" s="252">
        <f t="shared" si="390"/>
        <v>0</v>
      </c>
      <c r="BO87" s="366">
        <f t="shared" si="391"/>
        <v>0</v>
      </c>
      <c r="BP87" s="366">
        <f t="shared" si="392"/>
        <v>0</v>
      </c>
      <c r="BQ87" s="366">
        <f t="shared" si="393"/>
        <v>0</v>
      </c>
      <c r="BR87" s="240">
        <f t="shared" si="394"/>
        <v>0</v>
      </c>
      <c r="BS87" s="240">
        <f t="shared" si="395"/>
        <v>0</v>
      </c>
      <c r="BT87" s="240">
        <f t="shared" si="396"/>
        <v>0</v>
      </c>
      <c r="BU87" s="240">
        <f t="shared" si="397"/>
        <v>0</v>
      </c>
      <c r="BV87" s="240">
        <f t="shared" si="398"/>
        <v>0</v>
      </c>
      <c r="BW87" s="240">
        <f t="shared" si="399"/>
        <v>0</v>
      </c>
      <c r="BX87" s="240">
        <f t="shared" si="400"/>
        <v>2.5950000000000002</v>
      </c>
      <c r="BY87" s="240">
        <f t="shared" si="401"/>
        <v>50.64</v>
      </c>
      <c r="BZ87" s="240">
        <f t="shared" si="402"/>
        <v>0</v>
      </c>
      <c r="CA87" s="240">
        <f t="shared" si="403"/>
        <v>0</v>
      </c>
      <c r="CB87" s="240">
        <f t="shared" si="404"/>
        <v>0</v>
      </c>
      <c r="CC87" s="240">
        <f t="shared" si="405"/>
        <v>0</v>
      </c>
      <c r="CD87" s="240">
        <f t="shared" si="406"/>
        <v>0</v>
      </c>
      <c r="CE87" s="240">
        <f t="shared" si="407"/>
        <v>0</v>
      </c>
      <c r="CF87" s="240">
        <f t="shared" si="408"/>
        <v>0</v>
      </c>
      <c r="CG87" s="240">
        <f t="shared" si="409"/>
        <v>0</v>
      </c>
      <c r="CH87" s="240">
        <f t="shared" si="410"/>
        <v>0</v>
      </c>
      <c r="CI87" s="240">
        <f t="shared" si="411"/>
        <v>0</v>
      </c>
      <c r="CJ87" s="365">
        <f t="shared" si="412"/>
        <v>0</v>
      </c>
      <c r="CK87" s="240">
        <f t="shared" si="413"/>
        <v>0</v>
      </c>
      <c r="CL87" s="240">
        <f t="shared" si="414"/>
        <v>0</v>
      </c>
      <c r="CM87" s="240">
        <f t="shared" si="415"/>
        <v>0</v>
      </c>
      <c r="CN87" s="245">
        <f t="shared" si="416"/>
        <v>0</v>
      </c>
      <c r="CO87" s="245">
        <f t="shared" si="417"/>
        <v>0</v>
      </c>
      <c r="CP87" s="245">
        <f t="shared" si="418"/>
        <v>0</v>
      </c>
      <c r="CQ87" s="245">
        <f t="shared" si="419"/>
        <v>0</v>
      </c>
      <c r="CR87" s="245">
        <f t="shared" si="420"/>
        <v>0</v>
      </c>
      <c r="CS87" s="245">
        <f t="shared" si="421"/>
        <v>0</v>
      </c>
      <c r="CT87" s="364">
        <f t="shared" si="422"/>
        <v>0</v>
      </c>
      <c r="CU87" s="363">
        <f t="shared" si="423"/>
        <v>1</v>
      </c>
      <c r="CV87" s="363">
        <f t="shared" si="424"/>
        <v>0</v>
      </c>
      <c r="CW87" s="363">
        <f t="shared" si="425"/>
        <v>1</v>
      </c>
      <c r="CX87" s="363">
        <f t="shared" si="426"/>
        <v>0</v>
      </c>
      <c r="CY87" s="363">
        <f t="shared" si="427"/>
        <v>0</v>
      </c>
      <c r="CZ87" s="363">
        <f t="shared" si="428"/>
        <v>0</v>
      </c>
      <c r="DA87" s="362">
        <f t="shared" si="429"/>
        <v>1.02</v>
      </c>
      <c r="DB87" s="361">
        <v>1.3</v>
      </c>
      <c r="DC87" s="361">
        <v>1.4</v>
      </c>
      <c r="DD87" s="361">
        <v>2</v>
      </c>
      <c r="DE87" s="361">
        <v>2</v>
      </c>
      <c r="DF87" s="360">
        <v>2</v>
      </c>
      <c r="DG87" s="252">
        <f t="shared" si="430"/>
        <v>0</v>
      </c>
      <c r="DH87" s="360">
        <f t="shared" si="431"/>
        <v>0</v>
      </c>
      <c r="DI87" s="360">
        <f t="shared" si="432"/>
        <v>0</v>
      </c>
      <c r="DJ87" s="360">
        <f t="shared" si="433"/>
        <v>151.92000000000002</v>
      </c>
      <c r="DK87" s="360">
        <f t="shared" si="434"/>
        <v>110.90160000000002</v>
      </c>
      <c r="DL87" s="360">
        <f t="shared" si="435"/>
        <v>0</v>
      </c>
      <c r="DM87" s="360">
        <f t="shared" si="436"/>
        <v>0</v>
      </c>
      <c r="DN87" s="360">
        <f t="shared" si="437"/>
        <v>0</v>
      </c>
      <c r="DO87" s="360">
        <f t="shared" si="438"/>
        <v>0</v>
      </c>
      <c r="DP87" s="360">
        <f t="shared" si="439"/>
        <v>0</v>
      </c>
      <c r="DQ87" s="219"/>
    </row>
    <row r="88" spans="1:121" x14ac:dyDescent="0.25">
      <c r="A88" s="238" t="s">
        <v>2722</v>
      </c>
      <c r="B88" s="238"/>
      <c r="C88" s="238" t="str">
        <f>'Planilha Hidráulica'!B97</f>
        <v>PV13.1-&gt;PV14.1</v>
      </c>
      <c r="D88" s="239">
        <f>'Planilha Hidráulica'!T97</f>
        <v>2.25</v>
      </c>
      <c r="E88" s="239">
        <f>'Planilha Hidráulica'!U97</f>
        <v>2.2000000000000002</v>
      </c>
      <c r="F88" s="239">
        <f>'Planilha Hidráulica'!L97</f>
        <v>50.38</v>
      </c>
      <c r="G88" s="238">
        <f>'Planilha Hidráulica'!N97</f>
        <v>800</v>
      </c>
      <c r="H88" s="240">
        <f t="shared" si="343"/>
        <v>2.4850000000000003</v>
      </c>
      <c r="I88" s="241">
        <f t="shared" si="244"/>
        <v>6.2597150000000017</v>
      </c>
      <c r="J88" s="368">
        <v>0</v>
      </c>
      <c r="K88" s="240">
        <f t="shared" si="344"/>
        <v>1.7</v>
      </c>
      <c r="L88" s="240">
        <f t="shared" si="345"/>
        <v>1.7</v>
      </c>
      <c r="M88" s="243">
        <f>'Planilha Hidráulica'!Z97</f>
        <v>800</v>
      </c>
      <c r="N88" s="240">
        <f t="shared" si="346"/>
        <v>85.646000000000001</v>
      </c>
      <c r="O88" s="367" t="str">
        <f>'Planilha Hidráulica'!Y97</f>
        <v>ASFALTO</v>
      </c>
      <c r="P88" s="367" t="s">
        <v>2720</v>
      </c>
      <c r="Q88" s="367">
        <v>0</v>
      </c>
      <c r="R88" s="367">
        <v>5</v>
      </c>
      <c r="S88" s="367">
        <v>5</v>
      </c>
      <c r="T88" s="240">
        <f t="shared" si="347"/>
        <v>0.1</v>
      </c>
      <c r="U88" s="245">
        <f t="shared" si="348"/>
        <v>25.323750062056607</v>
      </c>
      <c r="V88" s="246">
        <f t="shared" si="349"/>
        <v>187.50655993794345</v>
      </c>
      <c r="W88" s="245">
        <f t="shared" si="350"/>
        <v>0</v>
      </c>
      <c r="X88" s="247">
        <f t="shared" si="351"/>
        <v>0</v>
      </c>
      <c r="Y88" s="245">
        <f t="shared" si="352"/>
        <v>2.4850000000000003</v>
      </c>
      <c r="Z88" s="245">
        <f t="shared" si="353"/>
        <v>0</v>
      </c>
      <c r="AA88" s="252">
        <f t="shared" si="354"/>
        <v>85.646000000000001</v>
      </c>
      <c r="AB88" s="361">
        <f t="shared" si="355"/>
        <v>0</v>
      </c>
      <c r="AC88" s="251">
        <f t="shared" si="356"/>
        <v>0</v>
      </c>
      <c r="AD88" s="251">
        <f t="shared" si="357"/>
        <v>0</v>
      </c>
      <c r="AE88" s="251">
        <f t="shared" si="358"/>
        <v>0</v>
      </c>
      <c r="AF88" s="251">
        <f t="shared" si="359"/>
        <v>0</v>
      </c>
      <c r="AG88" s="251">
        <f t="shared" si="360"/>
        <v>0</v>
      </c>
      <c r="AH88" s="251">
        <f t="shared" si="361"/>
        <v>0</v>
      </c>
      <c r="AI88" s="251">
        <f t="shared" si="362"/>
        <v>0</v>
      </c>
      <c r="AJ88" s="251">
        <f t="shared" si="363"/>
        <v>0</v>
      </c>
      <c r="AK88" s="251">
        <f t="shared" si="364"/>
        <v>0</v>
      </c>
      <c r="AL88" s="251">
        <f t="shared" si="365"/>
        <v>128.46899999999999</v>
      </c>
      <c r="AM88" s="251">
        <f t="shared" si="366"/>
        <v>59.037559937943428</v>
      </c>
      <c r="AN88" s="251">
        <f t="shared" si="367"/>
        <v>0</v>
      </c>
      <c r="AO88" s="251">
        <f t="shared" si="368"/>
        <v>0</v>
      </c>
      <c r="AP88" s="251">
        <f t="shared" si="369"/>
        <v>0</v>
      </c>
      <c r="AQ88" s="251">
        <f t="shared" si="370"/>
        <v>0</v>
      </c>
      <c r="AR88" s="253">
        <f t="shared" si="371"/>
        <v>0</v>
      </c>
      <c r="AS88" s="253">
        <f t="shared" si="372"/>
        <v>0</v>
      </c>
      <c r="AT88" s="253">
        <f t="shared" si="373"/>
        <v>187.50655993794342</v>
      </c>
      <c r="AU88" s="241">
        <f t="shared" si="374"/>
        <v>0</v>
      </c>
      <c r="AV88" s="246">
        <f t="shared" si="375"/>
        <v>8.5646000000000004</v>
      </c>
      <c r="AW88" s="253">
        <f t="shared" si="274"/>
        <v>0</v>
      </c>
      <c r="AX88" s="253">
        <f t="shared" si="275"/>
        <v>0</v>
      </c>
      <c r="AY88" s="253">
        <f t="shared" si="376"/>
        <v>1.1000000000000001</v>
      </c>
      <c r="AZ88" s="253">
        <f t="shared" si="377"/>
        <v>68.88684993794341</v>
      </c>
      <c r="BA88" s="253">
        <f t="shared" si="378"/>
        <v>0</v>
      </c>
      <c r="BB88" s="253">
        <f t="shared" si="379"/>
        <v>12.8469</v>
      </c>
      <c r="BC88" s="253">
        <f t="shared" si="380"/>
        <v>12.8469</v>
      </c>
      <c r="BD88" s="253">
        <f t="shared" si="381"/>
        <v>2.5693800000000002</v>
      </c>
      <c r="BE88" s="253">
        <f t="shared" si="382"/>
        <v>84.361309999999989</v>
      </c>
      <c r="BF88" s="253">
        <f t="shared" si="383"/>
        <v>105.77281000000001</v>
      </c>
      <c r="BG88" s="253">
        <f t="shared" si="384"/>
        <v>84.361309999999989</v>
      </c>
      <c r="BH88" s="253">
        <f t="shared" si="385"/>
        <v>21.411500000000018</v>
      </c>
      <c r="BI88" s="253">
        <f t="shared" si="386"/>
        <v>0</v>
      </c>
      <c r="BJ88" s="241">
        <f t="shared" si="387"/>
        <v>0</v>
      </c>
      <c r="BK88" s="253">
        <f t="shared" si="388"/>
        <v>0</v>
      </c>
      <c r="BL88" s="253"/>
      <c r="BM88" s="253">
        <f t="shared" si="389"/>
        <v>0</v>
      </c>
      <c r="BN88" s="252">
        <f t="shared" si="390"/>
        <v>0</v>
      </c>
      <c r="BO88" s="366">
        <f t="shared" si="391"/>
        <v>0</v>
      </c>
      <c r="BP88" s="366">
        <f t="shared" si="392"/>
        <v>0</v>
      </c>
      <c r="BQ88" s="366">
        <f t="shared" si="393"/>
        <v>0</v>
      </c>
      <c r="BR88" s="240">
        <f t="shared" si="394"/>
        <v>0</v>
      </c>
      <c r="BS88" s="240">
        <f t="shared" si="395"/>
        <v>0</v>
      </c>
      <c r="BT88" s="240">
        <f t="shared" si="396"/>
        <v>0</v>
      </c>
      <c r="BU88" s="240">
        <f t="shared" si="397"/>
        <v>0</v>
      </c>
      <c r="BV88" s="240">
        <f t="shared" si="398"/>
        <v>0</v>
      </c>
      <c r="BW88" s="240">
        <f t="shared" si="399"/>
        <v>0</v>
      </c>
      <c r="BX88" s="240">
        <f t="shared" si="400"/>
        <v>2.4850000000000003</v>
      </c>
      <c r="BY88" s="240">
        <f t="shared" si="401"/>
        <v>50.38</v>
      </c>
      <c r="BZ88" s="240">
        <f t="shared" si="402"/>
        <v>0</v>
      </c>
      <c r="CA88" s="240">
        <f t="shared" si="403"/>
        <v>0</v>
      </c>
      <c r="CB88" s="240">
        <f t="shared" si="404"/>
        <v>0</v>
      </c>
      <c r="CC88" s="240">
        <f t="shared" si="405"/>
        <v>0</v>
      </c>
      <c r="CD88" s="240">
        <f t="shared" si="406"/>
        <v>0</v>
      </c>
      <c r="CE88" s="240">
        <f t="shared" si="407"/>
        <v>0</v>
      </c>
      <c r="CF88" s="240">
        <f t="shared" si="408"/>
        <v>0</v>
      </c>
      <c r="CG88" s="240">
        <f t="shared" si="409"/>
        <v>0</v>
      </c>
      <c r="CH88" s="240">
        <f t="shared" si="410"/>
        <v>0</v>
      </c>
      <c r="CI88" s="240">
        <f t="shared" si="411"/>
        <v>0</v>
      </c>
      <c r="CJ88" s="365">
        <f t="shared" si="412"/>
        <v>0</v>
      </c>
      <c r="CK88" s="240">
        <f t="shared" si="413"/>
        <v>0</v>
      </c>
      <c r="CL88" s="240">
        <f t="shared" si="414"/>
        <v>0</v>
      </c>
      <c r="CM88" s="240">
        <f t="shared" si="415"/>
        <v>0</v>
      </c>
      <c r="CN88" s="245">
        <f t="shared" si="416"/>
        <v>0</v>
      </c>
      <c r="CO88" s="245">
        <f t="shared" si="417"/>
        <v>0</v>
      </c>
      <c r="CP88" s="245">
        <f t="shared" si="418"/>
        <v>0</v>
      </c>
      <c r="CQ88" s="245">
        <f t="shared" si="419"/>
        <v>0</v>
      </c>
      <c r="CR88" s="245">
        <f t="shared" si="420"/>
        <v>0</v>
      </c>
      <c r="CS88" s="245">
        <f t="shared" si="421"/>
        <v>0</v>
      </c>
      <c r="CT88" s="364">
        <f t="shared" si="422"/>
        <v>0</v>
      </c>
      <c r="CU88" s="363">
        <f t="shared" si="423"/>
        <v>1</v>
      </c>
      <c r="CV88" s="363">
        <f t="shared" si="424"/>
        <v>0</v>
      </c>
      <c r="CW88" s="363">
        <f t="shared" si="425"/>
        <v>1</v>
      </c>
      <c r="CX88" s="363">
        <f t="shared" si="426"/>
        <v>0</v>
      </c>
      <c r="CY88" s="363">
        <f t="shared" si="427"/>
        <v>0</v>
      </c>
      <c r="CZ88" s="363">
        <f t="shared" si="428"/>
        <v>0</v>
      </c>
      <c r="DA88" s="362">
        <f t="shared" si="429"/>
        <v>0.85000000000000009</v>
      </c>
      <c r="DB88" s="361">
        <v>1.3</v>
      </c>
      <c r="DC88" s="361">
        <v>1.4</v>
      </c>
      <c r="DD88" s="361">
        <v>2</v>
      </c>
      <c r="DE88" s="361">
        <v>2</v>
      </c>
      <c r="DF88" s="360">
        <v>2</v>
      </c>
      <c r="DG88" s="252">
        <f t="shared" si="430"/>
        <v>0</v>
      </c>
      <c r="DH88" s="360">
        <f t="shared" si="431"/>
        <v>0</v>
      </c>
      <c r="DI88" s="360">
        <f t="shared" si="432"/>
        <v>0</v>
      </c>
      <c r="DJ88" s="360">
        <f t="shared" si="433"/>
        <v>151.14000000000001</v>
      </c>
      <c r="DK88" s="360">
        <f t="shared" si="434"/>
        <v>99.248600000000039</v>
      </c>
      <c r="DL88" s="360">
        <f t="shared" si="435"/>
        <v>0</v>
      </c>
      <c r="DM88" s="360">
        <f t="shared" si="436"/>
        <v>0</v>
      </c>
      <c r="DN88" s="360">
        <f t="shared" si="437"/>
        <v>0</v>
      </c>
      <c r="DO88" s="360">
        <f t="shared" si="438"/>
        <v>0</v>
      </c>
      <c r="DP88" s="360">
        <f t="shared" si="439"/>
        <v>0</v>
      </c>
      <c r="DQ88" s="219"/>
    </row>
    <row r="89" spans="1:121" x14ac:dyDescent="0.25">
      <c r="A89" s="238" t="s">
        <v>2721</v>
      </c>
      <c r="B89" s="238"/>
      <c r="C89" s="238" t="str">
        <f>'Planilha Hidráulica'!B98</f>
        <v>PV14.1-&gt;PV15.1</v>
      </c>
      <c r="D89" s="239">
        <f>'Planilha Hidráulica'!T98</f>
        <v>2.2000000000000002</v>
      </c>
      <c r="E89" s="239">
        <f>'Planilha Hidráulica'!U98</f>
        <v>2.2000000000000002</v>
      </c>
      <c r="F89" s="239">
        <f>'Planilha Hidráulica'!L98</f>
        <v>50.41</v>
      </c>
      <c r="G89" s="238">
        <f>'Planilha Hidráulica'!N98</f>
        <v>800</v>
      </c>
      <c r="H89" s="240">
        <f t="shared" si="343"/>
        <v>2.4600000000000004</v>
      </c>
      <c r="I89" s="241">
        <f t="shared" si="244"/>
        <v>6.2004300000000008</v>
      </c>
      <c r="J89" s="368">
        <v>0</v>
      </c>
      <c r="K89" s="240">
        <f t="shared" si="344"/>
        <v>1.7</v>
      </c>
      <c r="L89" s="240">
        <f t="shared" si="345"/>
        <v>1.7</v>
      </c>
      <c r="M89" s="243">
        <f>'Planilha Hidráulica'!Z98</f>
        <v>800</v>
      </c>
      <c r="N89" s="240">
        <f t="shared" si="346"/>
        <v>85.696999999999989</v>
      </c>
      <c r="O89" s="367" t="str">
        <f>'Planilha Hidráulica'!Y98</f>
        <v>ASFALTO</v>
      </c>
      <c r="P89" s="367" t="s">
        <v>2720</v>
      </c>
      <c r="Q89" s="367">
        <v>0</v>
      </c>
      <c r="R89" s="367">
        <v>5</v>
      </c>
      <c r="S89" s="367">
        <v>5</v>
      </c>
      <c r="T89" s="240">
        <f t="shared" si="347"/>
        <v>0.1</v>
      </c>
      <c r="U89" s="245">
        <f t="shared" si="348"/>
        <v>25.338829706793835</v>
      </c>
      <c r="V89" s="246">
        <f t="shared" si="349"/>
        <v>185.47579029320619</v>
      </c>
      <c r="W89" s="245">
        <f t="shared" si="350"/>
        <v>0</v>
      </c>
      <c r="X89" s="247">
        <f t="shared" si="351"/>
        <v>0</v>
      </c>
      <c r="Y89" s="245">
        <f t="shared" si="352"/>
        <v>2.4600000000000004</v>
      </c>
      <c r="Z89" s="245">
        <f t="shared" si="353"/>
        <v>0</v>
      </c>
      <c r="AA89" s="252">
        <f t="shared" si="354"/>
        <v>85.696999999999989</v>
      </c>
      <c r="AB89" s="361">
        <f t="shared" si="355"/>
        <v>0</v>
      </c>
      <c r="AC89" s="251">
        <f t="shared" si="356"/>
        <v>0</v>
      </c>
      <c r="AD89" s="251">
        <f t="shared" si="357"/>
        <v>0</v>
      </c>
      <c r="AE89" s="251">
        <f t="shared" si="358"/>
        <v>0</v>
      </c>
      <c r="AF89" s="251">
        <f t="shared" si="359"/>
        <v>0</v>
      </c>
      <c r="AG89" s="251">
        <f t="shared" si="360"/>
        <v>0</v>
      </c>
      <c r="AH89" s="251">
        <f t="shared" si="361"/>
        <v>0</v>
      </c>
      <c r="AI89" s="251">
        <f t="shared" si="362"/>
        <v>0</v>
      </c>
      <c r="AJ89" s="251">
        <f t="shared" si="363"/>
        <v>0</v>
      </c>
      <c r="AK89" s="251">
        <f t="shared" si="364"/>
        <v>0</v>
      </c>
      <c r="AL89" s="251">
        <f t="shared" si="365"/>
        <v>128.54549999999998</v>
      </c>
      <c r="AM89" s="251">
        <f t="shared" si="366"/>
        <v>56.930290293206198</v>
      </c>
      <c r="AN89" s="251">
        <f t="shared" si="367"/>
        <v>0</v>
      </c>
      <c r="AO89" s="251">
        <f t="shared" si="368"/>
        <v>0</v>
      </c>
      <c r="AP89" s="251">
        <f t="shared" si="369"/>
        <v>0</v>
      </c>
      <c r="AQ89" s="251">
        <f t="shared" si="370"/>
        <v>0</v>
      </c>
      <c r="AR89" s="253">
        <f t="shared" si="371"/>
        <v>0</v>
      </c>
      <c r="AS89" s="253">
        <f t="shared" si="372"/>
        <v>0</v>
      </c>
      <c r="AT89" s="253">
        <f t="shared" si="373"/>
        <v>185.47579029320619</v>
      </c>
      <c r="AU89" s="241">
        <f t="shared" si="374"/>
        <v>0</v>
      </c>
      <c r="AV89" s="246">
        <f t="shared" si="375"/>
        <v>8.5696999999999992</v>
      </c>
      <c r="AW89" s="253">
        <f t="shared" si="274"/>
        <v>0</v>
      </c>
      <c r="AX89" s="253">
        <f t="shared" si="275"/>
        <v>0</v>
      </c>
      <c r="AY89" s="253">
        <f t="shared" si="376"/>
        <v>1.1000000000000001</v>
      </c>
      <c r="AZ89" s="253">
        <f t="shared" si="377"/>
        <v>68.927870293206169</v>
      </c>
      <c r="BA89" s="253">
        <f t="shared" si="378"/>
        <v>0</v>
      </c>
      <c r="BB89" s="253">
        <f t="shared" si="379"/>
        <v>12.854549999999998</v>
      </c>
      <c r="BC89" s="253">
        <f t="shared" si="380"/>
        <v>12.854549999999998</v>
      </c>
      <c r="BD89" s="253">
        <f t="shared" si="381"/>
        <v>2.5709099999999996</v>
      </c>
      <c r="BE89" s="253">
        <f t="shared" si="382"/>
        <v>82.269120000000029</v>
      </c>
      <c r="BF89" s="253">
        <f t="shared" si="383"/>
        <v>103.69337</v>
      </c>
      <c r="BG89" s="253">
        <f t="shared" si="384"/>
        <v>82.269120000000029</v>
      </c>
      <c r="BH89" s="253">
        <f t="shared" si="385"/>
        <v>21.424249999999972</v>
      </c>
      <c r="BI89" s="253">
        <f t="shared" si="386"/>
        <v>0</v>
      </c>
      <c r="BJ89" s="241">
        <f t="shared" si="387"/>
        <v>0</v>
      </c>
      <c r="BK89" s="253">
        <f t="shared" si="388"/>
        <v>0</v>
      </c>
      <c r="BL89" s="253"/>
      <c r="BM89" s="253">
        <f t="shared" si="389"/>
        <v>0</v>
      </c>
      <c r="BN89" s="252">
        <f t="shared" si="390"/>
        <v>0</v>
      </c>
      <c r="BO89" s="366">
        <f t="shared" si="391"/>
        <v>0</v>
      </c>
      <c r="BP89" s="366">
        <f t="shared" si="392"/>
        <v>0</v>
      </c>
      <c r="BQ89" s="366">
        <f t="shared" si="393"/>
        <v>0</v>
      </c>
      <c r="BR89" s="240">
        <f t="shared" si="394"/>
        <v>0</v>
      </c>
      <c r="BS89" s="240">
        <f t="shared" si="395"/>
        <v>0</v>
      </c>
      <c r="BT89" s="240">
        <f t="shared" si="396"/>
        <v>0</v>
      </c>
      <c r="BU89" s="240">
        <f t="shared" si="397"/>
        <v>0</v>
      </c>
      <c r="BV89" s="240">
        <f t="shared" si="398"/>
        <v>0</v>
      </c>
      <c r="BW89" s="240">
        <f t="shared" si="399"/>
        <v>0</v>
      </c>
      <c r="BX89" s="240">
        <f t="shared" si="400"/>
        <v>2.4600000000000004</v>
      </c>
      <c r="BY89" s="240">
        <f t="shared" si="401"/>
        <v>50.41</v>
      </c>
      <c r="BZ89" s="240">
        <f t="shared" si="402"/>
        <v>0</v>
      </c>
      <c r="CA89" s="240">
        <f t="shared" si="403"/>
        <v>0</v>
      </c>
      <c r="CB89" s="240">
        <f t="shared" si="404"/>
        <v>0</v>
      </c>
      <c r="CC89" s="240">
        <f t="shared" si="405"/>
        <v>0</v>
      </c>
      <c r="CD89" s="240">
        <f t="shared" si="406"/>
        <v>0</v>
      </c>
      <c r="CE89" s="240">
        <f t="shared" si="407"/>
        <v>0</v>
      </c>
      <c r="CF89" s="240">
        <f t="shared" si="408"/>
        <v>0</v>
      </c>
      <c r="CG89" s="240">
        <f t="shared" si="409"/>
        <v>0</v>
      </c>
      <c r="CH89" s="240">
        <f t="shared" si="410"/>
        <v>0</v>
      </c>
      <c r="CI89" s="240">
        <f t="shared" si="411"/>
        <v>0</v>
      </c>
      <c r="CJ89" s="365">
        <f t="shared" si="412"/>
        <v>0</v>
      </c>
      <c r="CK89" s="240">
        <f t="shared" si="413"/>
        <v>0</v>
      </c>
      <c r="CL89" s="240">
        <f t="shared" si="414"/>
        <v>0</v>
      </c>
      <c r="CM89" s="240">
        <f t="shared" si="415"/>
        <v>0</v>
      </c>
      <c r="CN89" s="245">
        <f t="shared" si="416"/>
        <v>0</v>
      </c>
      <c r="CO89" s="245">
        <f t="shared" si="417"/>
        <v>0</v>
      </c>
      <c r="CP89" s="245">
        <f t="shared" si="418"/>
        <v>0</v>
      </c>
      <c r="CQ89" s="245">
        <f t="shared" si="419"/>
        <v>0</v>
      </c>
      <c r="CR89" s="245">
        <f t="shared" si="420"/>
        <v>0</v>
      </c>
      <c r="CS89" s="245">
        <f t="shared" si="421"/>
        <v>0</v>
      </c>
      <c r="CT89" s="364">
        <f t="shared" si="422"/>
        <v>0</v>
      </c>
      <c r="CU89" s="363">
        <f t="shared" si="423"/>
        <v>1</v>
      </c>
      <c r="CV89" s="363">
        <f t="shared" si="424"/>
        <v>0</v>
      </c>
      <c r="CW89" s="363">
        <f t="shared" si="425"/>
        <v>1</v>
      </c>
      <c r="CX89" s="363">
        <f t="shared" si="426"/>
        <v>0</v>
      </c>
      <c r="CY89" s="363">
        <f t="shared" si="427"/>
        <v>0</v>
      </c>
      <c r="CZ89" s="363">
        <f t="shared" si="428"/>
        <v>0</v>
      </c>
      <c r="DA89" s="362">
        <f t="shared" si="429"/>
        <v>0.80000000000000027</v>
      </c>
      <c r="DB89" s="361">
        <v>1.3</v>
      </c>
      <c r="DC89" s="361">
        <v>1.4</v>
      </c>
      <c r="DD89" s="361">
        <v>2</v>
      </c>
      <c r="DE89" s="361">
        <v>2</v>
      </c>
      <c r="DF89" s="360">
        <v>2</v>
      </c>
      <c r="DG89" s="252">
        <f t="shared" si="430"/>
        <v>0</v>
      </c>
      <c r="DH89" s="360">
        <f t="shared" si="431"/>
        <v>0</v>
      </c>
      <c r="DI89" s="360">
        <f t="shared" si="432"/>
        <v>0</v>
      </c>
      <c r="DJ89" s="360">
        <f t="shared" si="433"/>
        <v>151.22999999999999</v>
      </c>
      <c r="DK89" s="360">
        <f t="shared" si="434"/>
        <v>96.787200000000041</v>
      </c>
      <c r="DL89" s="360">
        <f t="shared" si="435"/>
        <v>0</v>
      </c>
      <c r="DM89" s="360">
        <f t="shared" si="436"/>
        <v>0</v>
      </c>
      <c r="DN89" s="360">
        <f t="shared" si="437"/>
        <v>0</v>
      </c>
      <c r="DO89" s="360">
        <f t="shared" si="438"/>
        <v>0</v>
      </c>
      <c r="DP89" s="360">
        <f t="shared" si="439"/>
        <v>0</v>
      </c>
      <c r="DQ89" s="219"/>
    </row>
    <row r="90" spans="1:121" x14ac:dyDescent="0.25">
      <c r="A90" s="238" t="s">
        <v>2719</v>
      </c>
      <c r="B90" s="238"/>
      <c r="C90" s="238" t="str">
        <f>'Planilha Hidráulica'!B99</f>
        <v>PV15.1-&gt;PV16.1</v>
      </c>
      <c r="D90" s="239">
        <f>'Planilha Hidráulica'!T99</f>
        <v>2.2000000000000002</v>
      </c>
      <c r="E90" s="239">
        <f>'Planilha Hidráulica'!U99</f>
        <v>2.25</v>
      </c>
      <c r="F90" s="239">
        <f>'Planilha Hidráulica'!L99</f>
        <v>49.55</v>
      </c>
      <c r="G90" s="238">
        <f>'Planilha Hidráulica'!N99</f>
        <v>800</v>
      </c>
      <c r="H90" s="240">
        <f t="shared" si="343"/>
        <v>2.4850000000000003</v>
      </c>
      <c r="I90" s="241">
        <f t="shared" si="244"/>
        <v>6.1565875000000005</v>
      </c>
      <c r="J90" s="368">
        <v>0</v>
      </c>
      <c r="K90" s="240">
        <f t="shared" si="344"/>
        <v>1.7</v>
      </c>
      <c r="L90" s="240">
        <f t="shared" si="345"/>
        <v>1.7</v>
      </c>
      <c r="M90" s="243">
        <f>'Planilha Hidráulica'!Z99</f>
        <v>800</v>
      </c>
      <c r="N90" s="240">
        <f t="shared" si="346"/>
        <v>84.234999999999999</v>
      </c>
      <c r="O90" s="367" t="str">
        <f>'Planilha Hidráulica'!Y99</f>
        <v>ASFALTO</v>
      </c>
      <c r="P90" s="367" t="s">
        <v>2718</v>
      </c>
      <c r="Q90" s="367">
        <v>0</v>
      </c>
      <c r="R90" s="367">
        <v>5</v>
      </c>
      <c r="S90" s="367">
        <v>5</v>
      </c>
      <c r="T90" s="240">
        <f t="shared" si="347"/>
        <v>0.1</v>
      </c>
      <c r="U90" s="245">
        <f t="shared" si="348"/>
        <v>24.90654655765988</v>
      </c>
      <c r="V90" s="246">
        <f t="shared" si="349"/>
        <v>184.41742844234014</v>
      </c>
      <c r="W90" s="245">
        <f t="shared" si="350"/>
        <v>0</v>
      </c>
      <c r="X90" s="247">
        <f t="shared" si="351"/>
        <v>0</v>
      </c>
      <c r="Y90" s="245">
        <f t="shared" si="352"/>
        <v>2.4850000000000003</v>
      </c>
      <c r="Z90" s="245">
        <f t="shared" si="353"/>
        <v>0</v>
      </c>
      <c r="AA90" s="252">
        <f t="shared" si="354"/>
        <v>84.234999999999999</v>
      </c>
      <c r="AB90" s="361">
        <f t="shared" si="355"/>
        <v>0</v>
      </c>
      <c r="AC90" s="251">
        <f t="shared" si="356"/>
        <v>0</v>
      </c>
      <c r="AD90" s="251">
        <f t="shared" si="357"/>
        <v>0</v>
      </c>
      <c r="AE90" s="251">
        <f t="shared" si="358"/>
        <v>0</v>
      </c>
      <c r="AF90" s="251">
        <f t="shared" si="359"/>
        <v>0</v>
      </c>
      <c r="AG90" s="251">
        <f t="shared" si="360"/>
        <v>0</v>
      </c>
      <c r="AH90" s="251">
        <f t="shared" si="361"/>
        <v>0</v>
      </c>
      <c r="AI90" s="251">
        <f t="shared" si="362"/>
        <v>0</v>
      </c>
      <c r="AJ90" s="251">
        <f t="shared" si="363"/>
        <v>0</v>
      </c>
      <c r="AK90" s="251">
        <f t="shared" si="364"/>
        <v>0</v>
      </c>
      <c r="AL90" s="251">
        <f t="shared" si="365"/>
        <v>126.35249999999999</v>
      </c>
      <c r="AM90" s="251">
        <f t="shared" si="366"/>
        <v>58.064928442340147</v>
      </c>
      <c r="AN90" s="251">
        <f t="shared" si="367"/>
        <v>0</v>
      </c>
      <c r="AO90" s="251">
        <f t="shared" si="368"/>
        <v>0</v>
      </c>
      <c r="AP90" s="251">
        <f t="shared" si="369"/>
        <v>0</v>
      </c>
      <c r="AQ90" s="251">
        <f t="shared" si="370"/>
        <v>0</v>
      </c>
      <c r="AR90" s="253">
        <f t="shared" si="371"/>
        <v>0</v>
      </c>
      <c r="AS90" s="253">
        <f t="shared" si="372"/>
        <v>0</v>
      </c>
      <c r="AT90" s="253">
        <f t="shared" si="373"/>
        <v>184.41742844234014</v>
      </c>
      <c r="AU90" s="241">
        <f t="shared" si="374"/>
        <v>0</v>
      </c>
      <c r="AV90" s="246">
        <f t="shared" si="375"/>
        <v>8.4235000000000007</v>
      </c>
      <c r="AW90" s="253">
        <f t="shared" si="274"/>
        <v>0</v>
      </c>
      <c r="AX90" s="253">
        <f t="shared" si="275"/>
        <v>0</v>
      </c>
      <c r="AY90" s="253">
        <f t="shared" si="376"/>
        <v>1.1000000000000001</v>
      </c>
      <c r="AZ90" s="253">
        <f t="shared" si="377"/>
        <v>67.751953442340124</v>
      </c>
      <c r="BA90" s="253">
        <f t="shared" si="378"/>
        <v>0</v>
      </c>
      <c r="BB90" s="253">
        <f t="shared" si="379"/>
        <v>12.635249999999999</v>
      </c>
      <c r="BC90" s="253">
        <f t="shared" si="380"/>
        <v>12.635249999999999</v>
      </c>
      <c r="BD90" s="253">
        <f t="shared" si="381"/>
        <v>2.52705</v>
      </c>
      <c r="BE90" s="253">
        <f t="shared" si="382"/>
        <v>82.971475000000027</v>
      </c>
      <c r="BF90" s="253">
        <f t="shared" si="383"/>
        <v>104.030225</v>
      </c>
      <c r="BG90" s="253">
        <f t="shared" si="384"/>
        <v>82.971475000000027</v>
      </c>
      <c r="BH90" s="253">
        <f t="shared" si="385"/>
        <v>21.058749999999975</v>
      </c>
      <c r="BI90" s="253">
        <f t="shared" si="386"/>
        <v>0</v>
      </c>
      <c r="BJ90" s="241">
        <f t="shared" si="387"/>
        <v>0</v>
      </c>
      <c r="BK90" s="253">
        <f t="shared" si="388"/>
        <v>0</v>
      </c>
      <c r="BL90" s="253"/>
      <c r="BM90" s="253">
        <f t="shared" si="389"/>
        <v>0</v>
      </c>
      <c r="BN90" s="252">
        <f t="shared" si="390"/>
        <v>0</v>
      </c>
      <c r="BO90" s="366">
        <f t="shared" si="391"/>
        <v>0</v>
      </c>
      <c r="BP90" s="366">
        <f t="shared" si="392"/>
        <v>0</v>
      </c>
      <c r="BQ90" s="366">
        <f t="shared" si="393"/>
        <v>0</v>
      </c>
      <c r="BR90" s="240">
        <f t="shared" si="394"/>
        <v>0</v>
      </c>
      <c r="BS90" s="240">
        <f t="shared" si="395"/>
        <v>0</v>
      </c>
      <c r="BT90" s="240">
        <f t="shared" si="396"/>
        <v>0</v>
      </c>
      <c r="BU90" s="240">
        <f t="shared" si="397"/>
        <v>0</v>
      </c>
      <c r="BV90" s="240">
        <f t="shared" si="398"/>
        <v>0</v>
      </c>
      <c r="BW90" s="240">
        <f t="shared" si="399"/>
        <v>0</v>
      </c>
      <c r="BX90" s="240">
        <f t="shared" si="400"/>
        <v>2.4850000000000003</v>
      </c>
      <c r="BY90" s="240">
        <f t="shared" si="401"/>
        <v>49.55</v>
      </c>
      <c r="BZ90" s="240">
        <f t="shared" si="402"/>
        <v>0</v>
      </c>
      <c r="CA90" s="240">
        <f t="shared" si="403"/>
        <v>0</v>
      </c>
      <c r="CB90" s="240">
        <f t="shared" si="404"/>
        <v>0</v>
      </c>
      <c r="CC90" s="240">
        <f t="shared" si="405"/>
        <v>0</v>
      </c>
      <c r="CD90" s="240">
        <f t="shared" si="406"/>
        <v>0</v>
      </c>
      <c r="CE90" s="240">
        <f t="shared" si="407"/>
        <v>0</v>
      </c>
      <c r="CF90" s="240">
        <f t="shared" si="408"/>
        <v>0</v>
      </c>
      <c r="CG90" s="240">
        <f t="shared" si="409"/>
        <v>0</v>
      </c>
      <c r="CH90" s="240">
        <f t="shared" si="410"/>
        <v>0</v>
      </c>
      <c r="CI90" s="240">
        <f t="shared" si="411"/>
        <v>0</v>
      </c>
      <c r="CJ90" s="365">
        <f t="shared" si="412"/>
        <v>0</v>
      </c>
      <c r="CK90" s="240">
        <f t="shared" si="413"/>
        <v>0</v>
      </c>
      <c r="CL90" s="240">
        <f t="shared" si="414"/>
        <v>0</v>
      </c>
      <c r="CM90" s="240">
        <f t="shared" si="415"/>
        <v>0</v>
      </c>
      <c r="CN90" s="245">
        <f t="shared" si="416"/>
        <v>0</v>
      </c>
      <c r="CO90" s="245">
        <f t="shared" si="417"/>
        <v>0</v>
      </c>
      <c r="CP90" s="245">
        <f t="shared" si="418"/>
        <v>0</v>
      </c>
      <c r="CQ90" s="245">
        <f t="shared" si="419"/>
        <v>0</v>
      </c>
      <c r="CR90" s="245">
        <f t="shared" si="420"/>
        <v>0</v>
      </c>
      <c r="CS90" s="245">
        <f t="shared" si="421"/>
        <v>0</v>
      </c>
      <c r="CT90" s="364">
        <f t="shared" si="422"/>
        <v>0</v>
      </c>
      <c r="CU90" s="363">
        <f t="shared" si="423"/>
        <v>1</v>
      </c>
      <c r="CV90" s="363">
        <f t="shared" si="424"/>
        <v>0</v>
      </c>
      <c r="CW90" s="363">
        <f t="shared" si="425"/>
        <v>1</v>
      </c>
      <c r="CX90" s="363">
        <f t="shared" si="426"/>
        <v>0</v>
      </c>
      <c r="CY90" s="363">
        <f t="shared" si="427"/>
        <v>0</v>
      </c>
      <c r="CZ90" s="363">
        <f t="shared" si="428"/>
        <v>0</v>
      </c>
      <c r="DA90" s="362">
        <f t="shared" si="429"/>
        <v>0.80000000000000027</v>
      </c>
      <c r="DB90" s="361">
        <v>1.3</v>
      </c>
      <c r="DC90" s="361">
        <v>1.4</v>
      </c>
      <c r="DD90" s="361">
        <v>2</v>
      </c>
      <c r="DE90" s="361">
        <v>2</v>
      </c>
      <c r="DF90" s="360">
        <v>2</v>
      </c>
      <c r="DG90" s="252">
        <f t="shared" si="430"/>
        <v>0</v>
      </c>
      <c r="DH90" s="360">
        <f t="shared" si="431"/>
        <v>0</v>
      </c>
      <c r="DI90" s="360">
        <f t="shared" si="432"/>
        <v>0</v>
      </c>
      <c r="DJ90" s="360">
        <f t="shared" si="433"/>
        <v>148.64999999999998</v>
      </c>
      <c r="DK90" s="360">
        <f t="shared" si="434"/>
        <v>97.61350000000003</v>
      </c>
      <c r="DL90" s="360">
        <f t="shared" si="435"/>
        <v>0</v>
      </c>
      <c r="DM90" s="360">
        <f t="shared" si="436"/>
        <v>0</v>
      </c>
      <c r="DN90" s="360">
        <f t="shared" si="437"/>
        <v>0</v>
      </c>
      <c r="DO90" s="360">
        <f t="shared" si="438"/>
        <v>0</v>
      </c>
      <c r="DP90" s="360">
        <f t="shared" si="439"/>
        <v>0</v>
      </c>
      <c r="DQ90" s="219"/>
    </row>
    <row r="91" spans="1:121" x14ac:dyDescent="0.25">
      <c r="A91" s="238" t="s">
        <v>2719</v>
      </c>
      <c r="B91" s="238"/>
      <c r="C91" s="238" t="str">
        <f>'Planilha Hidráulica'!B100</f>
        <v>PV16.1-&gt;PV17.1</v>
      </c>
      <c r="D91" s="239">
        <f>'Planilha Hidráulica'!T100</f>
        <v>2.25</v>
      </c>
      <c r="E91" s="239">
        <f>'Planilha Hidráulica'!U100</f>
        <v>2.2999999999999998</v>
      </c>
      <c r="F91" s="239">
        <f>'Planilha Hidráulica'!L100</f>
        <v>50.76</v>
      </c>
      <c r="G91" s="238">
        <f>'Planilha Hidráulica'!N100</f>
        <v>800</v>
      </c>
      <c r="H91" s="240">
        <f t="shared" si="343"/>
        <v>2.5350000000000001</v>
      </c>
      <c r="I91" s="241">
        <f t="shared" si="244"/>
        <v>6.4338300000000004</v>
      </c>
      <c r="J91" s="368">
        <v>0</v>
      </c>
      <c r="K91" s="240">
        <f t="shared" si="344"/>
        <v>1.7</v>
      </c>
      <c r="L91" s="240">
        <f t="shared" si="345"/>
        <v>1.7</v>
      </c>
      <c r="M91" s="243">
        <f>'Planilha Hidráulica'!Z100</f>
        <v>800</v>
      </c>
      <c r="N91" s="240">
        <f t="shared" si="346"/>
        <v>86.291999999999987</v>
      </c>
      <c r="O91" s="367" t="str">
        <f>'Planilha Hidráulica'!Y100</f>
        <v>ASFALTO</v>
      </c>
      <c r="P91" s="367" t="s">
        <v>2718</v>
      </c>
      <c r="Q91" s="367">
        <v>0</v>
      </c>
      <c r="R91" s="367">
        <v>5</v>
      </c>
      <c r="S91" s="367">
        <v>5</v>
      </c>
      <c r="T91" s="240">
        <f t="shared" si="347"/>
        <v>0.1</v>
      </c>
      <c r="U91" s="245">
        <f t="shared" si="348"/>
        <v>25.514758895394866</v>
      </c>
      <c r="V91" s="246">
        <f t="shared" si="349"/>
        <v>193.23546110460512</v>
      </c>
      <c r="W91" s="245">
        <f t="shared" si="350"/>
        <v>0</v>
      </c>
      <c r="X91" s="247">
        <f t="shared" si="351"/>
        <v>0</v>
      </c>
      <c r="Y91" s="245">
        <f t="shared" si="352"/>
        <v>2.5350000000000001</v>
      </c>
      <c r="Z91" s="245">
        <f t="shared" si="353"/>
        <v>0</v>
      </c>
      <c r="AA91" s="252">
        <f t="shared" si="354"/>
        <v>86.291999999999987</v>
      </c>
      <c r="AB91" s="361">
        <f t="shared" si="355"/>
        <v>0</v>
      </c>
      <c r="AC91" s="251">
        <f t="shared" si="356"/>
        <v>0</v>
      </c>
      <c r="AD91" s="251">
        <f t="shared" si="357"/>
        <v>0</v>
      </c>
      <c r="AE91" s="251">
        <f t="shared" si="358"/>
        <v>0</v>
      </c>
      <c r="AF91" s="251">
        <f t="shared" si="359"/>
        <v>0</v>
      </c>
      <c r="AG91" s="251">
        <f t="shared" si="360"/>
        <v>0</v>
      </c>
      <c r="AH91" s="251">
        <f t="shared" si="361"/>
        <v>0</v>
      </c>
      <c r="AI91" s="251">
        <f t="shared" si="362"/>
        <v>0</v>
      </c>
      <c r="AJ91" s="251">
        <f t="shared" si="363"/>
        <v>0</v>
      </c>
      <c r="AK91" s="251">
        <f t="shared" si="364"/>
        <v>0</v>
      </c>
      <c r="AL91" s="251">
        <f t="shared" si="365"/>
        <v>129.43799999999999</v>
      </c>
      <c r="AM91" s="251">
        <f t="shared" si="366"/>
        <v>63.797461104605134</v>
      </c>
      <c r="AN91" s="251">
        <f t="shared" si="367"/>
        <v>0</v>
      </c>
      <c r="AO91" s="251">
        <f t="shared" si="368"/>
        <v>0</v>
      </c>
      <c r="AP91" s="251">
        <f t="shared" si="369"/>
        <v>0</v>
      </c>
      <c r="AQ91" s="251">
        <f t="shared" si="370"/>
        <v>0</v>
      </c>
      <c r="AR91" s="253">
        <f t="shared" si="371"/>
        <v>0</v>
      </c>
      <c r="AS91" s="253">
        <f t="shared" si="372"/>
        <v>0</v>
      </c>
      <c r="AT91" s="253">
        <f t="shared" si="373"/>
        <v>193.23546110460512</v>
      </c>
      <c r="AU91" s="241">
        <f t="shared" si="374"/>
        <v>0</v>
      </c>
      <c r="AV91" s="246">
        <f t="shared" si="375"/>
        <v>8.6291999999999991</v>
      </c>
      <c r="AW91" s="253">
        <f t="shared" si="274"/>
        <v>0</v>
      </c>
      <c r="AX91" s="253">
        <f t="shared" si="275"/>
        <v>0</v>
      </c>
      <c r="AY91" s="253">
        <f t="shared" si="376"/>
        <v>1.1000000000000001</v>
      </c>
      <c r="AZ91" s="253">
        <f t="shared" si="377"/>
        <v>69.406441104605136</v>
      </c>
      <c r="BA91" s="253">
        <f t="shared" si="378"/>
        <v>0</v>
      </c>
      <c r="BB91" s="253">
        <f t="shared" si="379"/>
        <v>12.943799999999998</v>
      </c>
      <c r="BC91" s="253">
        <f t="shared" si="380"/>
        <v>12.943799999999998</v>
      </c>
      <c r="BD91" s="253">
        <f t="shared" si="381"/>
        <v>2.5887599999999997</v>
      </c>
      <c r="BE91" s="253">
        <f t="shared" si="382"/>
        <v>89.312219999999968</v>
      </c>
      <c r="BF91" s="253">
        <f t="shared" si="383"/>
        <v>110.88521999999998</v>
      </c>
      <c r="BG91" s="253">
        <f t="shared" si="384"/>
        <v>89.312219999999968</v>
      </c>
      <c r="BH91" s="253">
        <f t="shared" si="385"/>
        <v>21.573000000000008</v>
      </c>
      <c r="BI91" s="253">
        <f t="shared" si="386"/>
        <v>0</v>
      </c>
      <c r="BJ91" s="241">
        <f t="shared" si="387"/>
        <v>0</v>
      </c>
      <c r="BK91" s="253">
        <f t="shared" si="388"/>
        <v>0</v>
      </c>
      <c r="BL91" s="253"/>
      <c r="BM91" s="253">
        <f t="shared" si="389"/>
        <v>0</v>
      </c>
      <c r="BN91" s="252">
        <f t="shared" si="390"/>
        <v>0</v>
      </c>
      <c r="BO91" s="366">
        <f t="shared" si="391"/>
        <v>0</v>
      </c>
      <c r="BP91" s="366">
        <f t="shared" si="392"/>
        <v>0</v>
      </c>
      <c r="BQ91" s="366">
        <f t="shared" si="393"/>
        <v>0</v>
      </c>
      <c r="BR91" s="240">
        <f t="shared" si="394"/>
        <v>0</v>
      </c>
      <c r="BS91" s="240">
        <f t="shared" si="395"/>
        <v>0</v>
      </c>
      <c r="BT91" s="240">
        <f t="shared" si="396"/>
        <v>0</v>
      </c>
      <c r="BU91" s="240">
        <f t="shared" si="397"/>
        <v>0</v>
      </c>
      <c r="BV91" s="240">
        <f t="shared" si="398"/>
        <v>0</v>
      </c>
      <c r="BW91" s="240">
        <f t="shared" si="399"/>
        <v>0</v>
      </c>
      <c r="BX91" s="240">
        <f t="shared" si="400"/>
        <v>2.5350000000000001</v>
      </c>
      <c r="BY91" s="240">
        <f t="shared" si="401"/>
        <v>50.76</v>
      </c>
      <c r="BZ91" s="240">
        <f t="shared" si="402"/>
        <v>0</v>
      </c>
      <c r="CA91" s="240">
        <f t="shared" si="403"/>
        <v>0</v>
      </c>
      <c r="CB91" s="240">
        <f t="shared" si="404"/>
        <v>0</v>
      </c>
      <c r="CC91" s="240">
        <f t="shared" si="405"/>
        <v>0</v>
      </c>
      <c r="CD91" s="240">
        <f t="shared" si="406"/>
        <v>0</v>
      </c>
      <c r="CE91" s="240">
        <f t="shared" si="407"/>
        <v>0</v>
      </c>
      <c r="CF91" s="240">
        <f t="shared" si="408"/>
        <v>0</v>
      </c>
      <c r="CG91" s="240">
        <f t="shared" si="409"/>
        <v>0</v>
      </c>
      <c r="CH91" s="240">
        <f t="shared" si="410"/>
        <v>0</v>
      </c>
      <c r="CI91" s="240">
        <f t="shared" si="411"/>
        <v>0</v>
      </c>
      <c r="CJ91" s="365">
        <f t="shared" si="412"/>
        <v>0</v>
      </c>
      <c r="CK91" s="240">
        <f t="shared" si="413"/>
        <v>0</v>
      </c>
      <c r="CL91" s="240">
        <f t="shared" si="414"/>
        <v>0</v>
      </c>
      <c r="CM91" s="240">
        <f t="shared" si="415"/>
        <v>0</v>
      </c>
      <c r="CN91" s="245">
        <f t="shared" si="416"/>
        <v>0</v>
      </c>
      <c r="CO91" s="245">
        <f t="shared" si="417"/>
        <v>0</v>
      </c>
      <c r="CP91" s="245">
        <f t="shared" si="418"/>
        <v>0</v>
      </c>
      <c r="CQ91" s="245">
        <f t="shared" si="419"/>
        <v>0</v>
      </c>
      <c r="CR91" s="245">
        <f t="shared" si="420"/>
        <v>0</v>
      </c>
      <c r="CS91" s="245">
        <f t="shared" si="421"/>
        <v>0</v>
      </c>
      <c r="CT91" s="364">
        <f t="shared" si="422"/>
        <v>0</v>
      </c>
      <c r="CU91" s="363">
        <f t="shared" si="423"/>
        <v>1</v>
      </c>
      <c r="CV91" s="363">
        <f t="shared" si="424"/>
        <v>0</v>
      </c>
      <c r="CW91" s="363">
        <f t="shared" si="425"/>
        <v>1</v>
      </c>
      <c r="CX91" s="363">
        <f t="shared" si="426"/>
        <v>0</v>
      </c>
      <c r="CY91" s="363">
        <f t="shared" si="427"/>
        <v>0</v>
      </c>
      <c r="CZ91" s="363">
        <f t="shared" si="428"/>
        <v>0</v>
      </c>
      <c r="DA91" s="362">
        <f t="shared" si="429"/>
        <v>0.85000000000000009</v>
      </c>
      <c r="DB91" s="361">
        <v>1.3</v>
      </c>
      <c r="DC91" s="361">
        <v>1.4</v>
      </c>
      <c r="DD91" s="361">
        <v>2</v>
      </c>
      <c r="DE91" s="361">
        <v>2</v>
      </c>
      <c r="DF91" s="360">
        <v>2</v>
      </c>
      <c r="DG91" s="252">
        <f t="shared" si="430"/>
        <v>0</v>
      </c>
      <c r="DH91" s="360">
        <f t="shared" si="431"/>
        <v>0</v>
      </c>
      <c r="DI91" s="360">
        <f t="shared" si="432"/>
        <v>0</v>
      </c>
      <c r="DJ91" s="360">
        <f t="shared" si="433"/>
        <v>152.28</v>
      </c>
      <c r="DK91" s="360">
        <f t="shared" si="434"/>
        <v>105.07320000000001</v>
      </c>
      <c r="DL91" s="360">
        <f t="shared" si="435"/>
        <v>0</v>
      </c>
      <c r="DM91" s="360">
        <f t="shared" si="436"/>
        <v>0</v>
      </c>
      <c r="DN91" s="360">
        <f t="shared" si="437"/>
        <v>0</v>
      </c>
      <c r="DO91" s="360">
        <f t="shared" si="438"/>
        <v>0</v>
      </c>
      <c r="DP91" s="360">
        <f t="shared" si="439"/>
        <v>0</v>
      </c>
      <c r="DQ91" s="219"/>
    </row>
    <row r="92" spans="1:121" ht="13" x14ac:dyDescent="0.25">
      <c r="A92" s="238"/>
      <c r="B92" s="238"/>
      <c r="C92" s="222" t="str">
        <f>'Planilha Hidráulica'!B101</f>
        <v>RD-3</v>
      </c>
      <c r="D92" s="239"/>
      <c r="E92" s="239"/>
      <c r="F92" s="239"/>
      <c r="G92" s="238"/>
      <c r="H92" s="240"/>
      <c r="I92" s="241"/>
      <c r="J92" s="368"/>
      <c r="K92" s="240"/>
      <c r="L92" s="240"/>
      <c r="M92" s="243"/>
      <c r="N92" s="240"/>
      <c r="O92" s="367"/>
      <c r="P92" s="367"/>
      <c r="Q92" s="367"/>
      <c r="R92" s="367"/>
      <c r="S92" s="367"/>
      <c r="T92" s="240"/>
      <c r="U92" s="245"/>
      <c r="V92" s="246"/>
      <c r="W92" s="245"/>
      <c r="X92" s="247"/>
      <c r="Y92" s="245"/>
      <c r="Z92" s="245"/>
      <c r="AA92" s="252"/>
      <c r="AB92" s="361"/>
      <c r="AC92" s="251"/>
      <c r="AD92" s="251"/>
      <c r="AE92" s="251"/>
      <c r="AF92" s="251"/>
      <c r="AG92" s="251"/>
      <c r="AH92" s="251"/>
      <c r="AI92" s="251"/>
      <c r="AJ92" s="252"/>
      <c r="AK92" s="252"/>
      <c r="AL92" s="252"/>
      <c r="AM92" s="252"/>
      <c r="AN92" s="252"/>
      <c r="AO92" s="252"/>
      <c r="AP92" s="252"/>
      <c r="AQ92" s="252"/>
      <c r="AR92" s="253"/>
      <c r="AS92" s="240"/>
      <c r="AT92" s="253"/>
      <c r="AU92" s="262"/>
      <c r="AV92" s="263"/>
      <c r="AW92" s="253"/>
      <c r="AX92" s="253"/>
      <c r="AY92" s="262"/>
      <c r="AZ92" s="264"/>
      <c r="BA92" s="264"/>
      <c r="BB92" s="264"/>
      <c r="BC92" s="264"/>
      <c r="BD92" s="264"/>
      <c r="BE92" s="264"/>
      <c r="BF92" s="264"/>
      <c r="BG92" s="240"/>
      <c r="BH92" s="240"/>
      <c r="BI92" s="240"/>
      <c r="BJ92" s="253"/>
      <c r="BK92" s="257"/>
      <c r="BL92" s="262"/>
      <c r="BM92" s="253"/>
      <c r="BN92" s="252"/>
      <c r="BO92" s="366"/>
      <c r="BP92" s="366"/>
      <c r="BQ92" s="366"/>
      <c r="BR92" s="240"/>
      <c r="BS92" s="240"/>
      <c r="BT92" s="240"/>
      <c r="BU92" s="240"/>
      <c r="BV92" s="240"/>
      <c r="BW92" s="240"/>
      <c r="BX92" s="240"/>
      <c r="BY92" s="240"/>
      <c r="BZ92" s="240"/>
      <c r="CA92" s="240"/>
      <c r="CB92" s="240"/>
      <c r="CC92" s="240"/>
      <c r="CD92" s="240"/>
      <c r="CE92" s="240"/>
      <c r="CF92" s="240"/>
      <c r="CG92" s="240"/>
      <c r="CH92" s="240"/>
      <c r="CI92" s="240"/>
      <c r="CJ92" s="365"/>
      <c r="CK92" s="240"/>
      <c r="CL92" s="240"/>
      <c r="CM92" s="240"/>
      <c r="CN92" s="245"/>
      <c r="CO92" s="245"/>
      <c r="CP92" s="245"/>
      <c r="CQ92" s="245"/>
      <c r="CR92" s="245"/>
      <c r="CS92" s="245"/>
      <c r="CT92" s="364"/>
      <c r="CU92" s="363"/>
      <c r="CV92" s="363"/>
      <c r="CW92" s="363"/>
      <c r="CX92" s="363"/>
      <c r="CY92" s="363"/>
      <c r="CZ92" s="363"/>
      <c r="DA92" s="362"/>
      <c r="DB92" s="361"/>
      <c r="DC92" s="361"/>
      <c r="DD92" s="361"/>
      <c r="DE92" s="361"/>
      <c r="DF92" s="360"/>
      <c r="DG92" s="252"/>
      <c r="DH92" s="360"/>
      <c r="DI92" s="360"/>
      <c r="DJ92" s="360"/>
      <c r="DK92" s="360"/>
      <c r="DL92" s="360"/>
      <c r="DM92" s="360"/>
      <c r="DN92" s="360"/>
      <c r="DO92" s="360"/>
      <c r="DP92" s="360"/>
      <c r="DQ92" s="219"/>
    </row>
    <row r="93" spans="1:121" ht="25" x14ac:dyDescent="0.25">
      <c r="A93" s="238"/>
      <c r="B93" s="238"/>
      <c r="C93" s="238" t="str">
        <f>'Planilha Hidráulica'!B102</f>
        <v>PV1.1-&gt;PV2.1</v>
      </c>
      <c r="D93" s="239">
        <f>'Planilha Hidráulica'!T102</f>
        <v>2</v>
      </c>
      <c r="E93" s="239">
        <f>'Planilha Hidráulica'!U102</f>
        <v>2.4500000000000002</v>
      </c>
      <c r="F93" s="239">
        <f>'Planilha Hidráulica'!L102</f>
        <v>40.17</v>
      </c>
      <c r="G93" s="238">
        <f>'Planilha Hidráulica'!N102</f>
        <v>1000</v>
      </c>
      <c r="H93" s="240">
        <f t="shared" ref="H93:H105" si="440">IF(G93=400,((D93+E93)/2)+0.08+T93,IF(G93=500,((D93+E93)/2)+0.1+T93,IF(G93=600,((D93+E93)/2)+0.12+T93,IF(G93=800,((D93+E93)/2)+0.16+T93,IF(G93=1000,((D93+E93)/2)+0.2+T93,IF(G93=1200,((D93+E93)/2)+0.24+T93,IF(G93=1500,((D93+E93)/2)+0.3+T93,IF(G93&gt;1500,((D93+E93)/2)+0.4+T93))))))))</f>
        <v>2.5750000000000002</v>
      </c>
      <c r="I93" s="241">
        <f t="shared" ref="I93:I105" si="441">IF(K93=0,0,IF(H93&gt;=1.25,F93*H93/20,0))</f>
        <v>5.1718875000000004</v>
      </c>
      <c r="J93" s="368">
        <v>0</v>
      </c>
      <c r="K93" s="240">
        <f t="shared" ref="K93:K105" si="442">IF(G93=400,1,0)+IF(G93=500,1.2,0)+IF(G93=600,1.4,0)+IF(G93=800,1.7,0)+IF(G93=1000,2,0)+IF(G93=1200,2.2,0)+IF(G93=1500,2.6,0)+IF(G93=1650,3,0)+IF(G93=1800,3.2,0)+IF(G93=2000,3.4,0)+IF(G93=2200,3.6,0)+IF(G93=2400,3.8,0)+IF(G93=2600,4,0)+IF(G93=3000,4.4,0)</f>
        <v>2</v>
      </c>
      <c r="L93" s="240">
        <f t="shared" ref="L93:L105" si="443">2*J93*H93+K93</f>
        <v>2</v>
      </c>
      <c r="M93" s="243">
        <f>'Planilha Hidráulica'!Z102</f>
        <v>800</v>
      </c>
      <c r="N93" s="240">
        <f t="shared" ref="N93:N105" si="444">L93*F93</f>
        <v>80.34</v>
      </c>
      <c r="O93" s="367" t="str">
        <f>'Planilha Hidráulica'!Y102</f>
        <v>TERRENO NATURAL</v>
      </c>
      <c r="P93" s="367" t="s">
        <v>2717</v>
      </c>
      <c r="Q93" s="367">
        <v>0</v>
      </c>
      <c r="R93" s="367">
        <v>5</v>
      </c>
      <c r="S93" s="367">
        <v>5</v>
      </c>
      <c r="T93" s="240">
        <f t="shared" ref="T93:T105" si="445">IF(G93=400,0.05,0)+IF(G93=500,0.05,0)+IF(G93=600,0.1,0)+IF(G93=800,0.1,0)+IF(G93=1000,0.15,0)+IF(G93=1200,0.15,0)+IF(G93=1500,0.2,0)+IF(G93=1650,0.2,0)+IF(G93=1800,0.2,0)+IF(G93=2000,0.25,0)+IF(G93=2200,0.25,0)+IF(G93=2400,0.25,0)+IF(G93=2600,0.25,0)+IF(G93=3000,0.25,0)</f>
        <v>0.15</v>
      </c>
      <c r="U93" s="245">
        <f t="shared" ref="U93:U105" si="446">IFERROR((PI()*(M93/1000)*(M93/1000)/4)*F93,0)</f>
        <v>20.191644303152319</v>
      </c>
      <c r="V93" s="246">
        <f t="shared" ref="V93:V105" si="447">((((J93*H93)*H93)/2)*2+K93*H93)*F93-U93+AW93</f>
        <v>186.6838556968477</v>
      </c>
      <c r="W93" s="245">
        <f t="shared" ref="W93:W105" si="448">V93-SUM(AJ93:AR93)</f>
        <v>0</v>
      </c>
      <c r="X93" s="247">
        <f t="shared" ref="X93:X105" si="449">IF(Q93=1,IF(OR(M93=0,M93="-"),H93+0.4,0.4),0)</f>
        <v>0</v>
      </c>
      <c r="Y93" s="245">
        <f t="shared" ref="Y93:Y105" si="450">IF(R93&lt;H93,R93,H93)</f>
        <v>2.5750000000000002</v>
      </c>
      <c r="Z93" s="245">
        <f t="shared" ref="Z93:Z105" si="451">H93-Y93</f>
        <v>0</v>
      </c>
      <c r="AA93" s="252">
        <f t="shared" ref="AA93:AA105" si="452">IF(O93="ASFALTO",L93*F93,0)</f>
        <v>0</v>
      </c>
      <c r="AB93" s="361">
        <f t="shared" ref="AB93:AB105" si="453">IF(O93="CONCRETO",L93*F93,0)</f>
        <v>0</v>
      </c>
      <c r="AC93" s="251">
        <f t="shared" ref="AC93:AC105" si="454">IF(X93=0,0,IF(X93=0.4,IF(K93&lt;=1.5,IF(Y93+0.4&gt;=1.5,0,K93*F93*0.4),0),IF(K93&lt;=1.5,IF(X93&gt;=1.5,L93*F93*1.5,K93*F93*(X93)),0)+IF(R93&lt;H93+0.4,0,IF(AND(X93&lt;=1.5,K93&lt;=1.5),-U93,0))))</f>
        <v>0</v>
      </c>
      <c r="AD93" s="251">
        <f t="shared" ref="AD93:AD105" si="455">IF(X93=0,0,IF(X93=0.4,IF(K93&lt;=1.5,IF(OR(Y93+0.4&gt;=3,Y93+0.4&lt;1.5),0,K93*F93*0.4),0),IF(IF(K93&lt;=1.5,IF(X93&gt;=3,L93*F93*1.5,K93*F93*(X93-1.5)),0)&lt;0,0,IF(K93&lt;=1.5,IF(X93&gt;=3,L93*F93*1.5,K93*F93*(X93-1.5)),0))+IF(R93&lt;H93+0.4,0,IF(AND(X93&lt;=3,K93&lt;=1.5),-U93,0))))</f>
        <v>0</v>
      </c>
      <c r="AE93" s="251">
        <f t="shared" ref="AE93:AE105" si="456">IF(X93=0,0,IF(X93=0.4,IF(K93&lt;=1.5,IF(OR(Y93+0.4&gt;=4.5,Y93+0.4&lt;3),0,K93*F93*0.4),0),IF(IF(K93&lt;=1.5,IF(X93&gt;=4.5,L93*F93*1.5,K93*F93*(X93-3)),0)&lt;0,0,IF(K93&lt;=1.5,IF(X93&gt;=3,L93*F93*1.5,K93*F93*(X93-3)),0))+IF(R93&lt;H93+0.4,0,IF(AND(X93&lt;=4.5,K93&lt;=1.5),-U93,0))))</f>
        <v>0</v>
      </c>
      <c r="AF93" s="251">
        <f t="shared" ref="AF93:AF105" si="457">IF(X93=0,0,IF(X93=0.4,IF(AND(K93&gt;1.5,K93&lt;=2.6),IF(Y93+0.4&gt;=1.5,0,K93*F93*0.4),0),IF(AND(K93&gt;1.5,K93&lt;=2.6),IF(X93&gt;=1.5,L93*F93*1.5,K93*F93*(X93)),0)+IF(R93&lt;H93+0.4,0,IF(AND(X93&lt;=1.5,K93&lt;=1.5),-U93,0))))</f>
        <v>0</v>
      </c>
      <c r="AG93" s="251">
        <f t="shared" ref="AG93:AG105" si="458">IF(X93=0,0,IF(X93=0.4,IF(AND(K93&gt;1.5,K93&lt;=2.6),IF(OR(Y93+0.4&gt;=3,Y93+0.4&lt;1.5),0,K93*F93*0.4),0),IF(IF(AND(K93&gt;1.5,K93&lt;=2.6),IF(X93&gt;=3,L93*F93*1.5,K93*F93*(X93-1.5)),0)&lt;0,0,IF(AND(K93&gt;1.5,K93&lt;=2.6),IF(X93&gt;=3,L93*F93*1.5,K93*F93*(X93-1.5)),0))+IF(R93&lt;H93+0.4,0,IF(AND(X93&lt;=3,K93&lt;=1.5),-U93,0))))</f>
        <v>0</v>
      </c>
      <c r="AH93" s="251">
        <f t="shared" ref="AH93:AH105" si="459">IF(X93=0,0,IF(X93=0.4,IF(AND(K93&gt;1.5,K93&lt;=2.6),IF(OR(Y93+0.4&gt;=4.5,Y93+0.4&lt;3),0,K93*F93*0.4),0),IF(IF(AND(K93&gt;1.5,K93&lt;=2.6),IF(X93&gt;=4.5,L93*F93*1.5,K93*F93*(X93-3)),0)&lt;0,0,IF(AND(K93&gt;1.5,K93&lt;=2.6),IF(X93&gt;=4.5,L93*F93*1.5,K93*F93*(X93-3)),0))+IF(R93&lt;H93+0.4,0,IF(AND(X93&lt;=3,K93&lt;=1.5),-U93,0))))</f>
        <v>0</v>
      </c>
      <c r="AI93" s="251">
        <f t="shared" ref="AI93:AI105" si="460">IF(X93=0,0,IF(X93=0.4,IF(AND(K93&gt;1.5,K93&lt;=2.6),IF(OR(Y93+0.4&gt;=6,Y93+0.4&lt;4.5),0,K93*F93*0.4),0),IF(IF(AND(K93&gt;1.5,K93&lt;=2.6),IF(X93&gt;=6,L93*F93*1.5,K93*F93*(X93-4.5)),0)&lt;0,0,IF(AND(K93&gt;1.5,K93&lt;=2.6),IF(X93&gt;=6,L93*F93*1.5,K93*F93*(X93-4.5)),0))+IF(R93&lt;H93+0.4,0,IF(AND(X93&lt;=3,K93&lt;=1.5),-U93,0))))</f>
        <v>0</v>
      </c>
      <c r="AJ93" s="251">
        <f t="shared" ref="AJ93:AJ105" si="461">IF(K93&lt;=1.5,IF(Y93&gt;=1.5,L93*F93*1.5,K93*F93*Y93),0)+IF(R93&lt;H93,0,IF(AND(Y93&lt;=1.5,K93&lt;=1.5),-U93,0))</f>
        <v>0</v>
      </c>
      <c r="AK93" s="251">
        <f t="shared" ref="AK93:AK105" si="462">IF(IF(K93&lt;=1.5,IF(Y93&gt;=3,L93*F93*1.5,K93*F93*(Y93-1.5)),0)&lt;0,0,IF(K93&lt;=1.5,IF(Y93&gt;=3,L93*F93*1.5,K93*F93*(Y93-1.5)),0))+IF(R93&lt;H93,0,IF(AND(Y93&lt;=3,K93&lt;=1.5),-U93,0))</f>
        <v>0</v>
      </c>
      <c r="AL93" s="251">
        <f t="shared" ref="AL93:AL105" si="463">IF(AND(K93&lt;=2.5,K93&gt;1.5),IF(Y93&gt;=1.5,L93*F93*1.5,K93*F93*Y93),0)+IF(R93&lt;H93,0,IF(AND(Y93&lt;=1.5,K93&gt;1.5,K93&lt;=2.5),-U93,0))</f>
        <v>120.51</v>
      </c>
      <c r="AM93" s="251">
        <f>IF(IF(AND(K93&lt;=2.5,K93&gt;1.5),IF(Y93&gt;=3,L93*F93*1.5,K93*F93*(Y93-1.5)),0)&lt;0,0,IF(AND(K93&lt;=2.5,K93&gt;1.5),IF(Y93&gt;=3,L93*F93*1.5,K93*F93*(Y93-1.5)),0))+IF(R93&lt;H93,0,IF(AND(Y93&lt;=3,Y93&gt;1.5,K93&gt;1.5,K93&lt;=2.5),-U93,0))</f>
        <v>66.173855696847696</v>
      </c>
      <c r="AN93" s="251">
        <f>IF(AND(K93&lt;=2.5,Y93&gt;=4.5),L93*F93*1.5,IF(AND(K93&lt;=2.5,Y93&gt;3),K93*F93*(Y93-3),0))+IF(R93&lt;H93,0,IF(AND(Y93&lt;=4.5,Y93&gt;3,K93&gt;1.5,K93&lt;=2.5),-U93,0))</f>
        <v>0</v>
      </c>
      <c r="AO93" s="251">
        <f t="shared" ref="AO93:AO105" si="464">IF(K93&gt;2.5,IF(Y93&gt;=2,L93*F93*2,K93*F93*Y93),0)+IF(R93&lt;H93,0,IF(AND(Y93&lt;=2,K93&gt;=2.5),-U93,0))</f>
        <v>0</v>
      </c>
      <c r="AP93" s="251">
        <f t="shared" ref="AP93:AP105" si="465">IF(IF(K93&gt;2.5,IF(Y93&gt;=4,L93*F93*2,K93*F93*(Y93-2)),0)&lt;0,0,IF(K93&gt;2.5,IF(Y93&gt;=4,L93*F93*2,K93*F93*(Y93-2)),0))+IF(R93&lt;H93,0,IF(AND(Y93&lt;=4,Y93&gt;2,K93&gt;2.5),-U93,0))</f>
        <v>0</v>
      </c>
      <c r="AQ93" s="251">
        <f t="shared" ref="AQ93:AQ105" si="466">IF(IF(K93&gt;2.5,IF(Y93&gt;=6,L93*F93*2,K93*F93*(Y93-4)),0)&lt;0,0,IF(K93&gt;2.5,IF(Y93&gt;=6,L93*F93*2,K93*F93*(Y93-4)),0))+IF(R93&lt;H93,0,IF(AND(Y93&lt;=6,Y93&gt;4,K93&gt;2.5),-U93,0))</f>
        <v>0</v>
      </c>
      <c r="AR93" s="253">
        <f t="shared" ref="AR93:AR105" si="467">V93-SUM(AC93:AQ93)</f>
        <v>0</v>
      </c>
      <c r="AS93" s="253">
        <f t="shared" ref="AS93:AS105" si="468">IF(H93-S93&lt;0,0,(H93-S93)*F93)/75</f>
        <v>0</v>
      </c>
      <c r="AT93" s="253">
        <f t="shared" ref="AT93:AT105" si="469">F93*K93*H93-PI()*(G93/1000)*(G93/1000)/4*F93+AW93</f>
        <v>175.32605577632452</v>
      </c>
      <c r="AU93" s="241">
        <f t="shared" ref="AU93:AU105" si="470">IF(K93&lt;1.5,K93*F93*IF(G93&lt;=500,0.05,IF(G93&lt;=800,0.1,IF(G93&lt;=1200,0.15,IF(G93&gt;=1500,0.2)))),0)</f>
        <v>0</v>
      </c>
      <c r="AV93" s="246">
        <f t="shared" ref="AV93:AV105" si="471">IF(K93&gt;=1.5,K93*F93*IF(G93&lt;=500,0.05,IF(G93&lt;=800,0.1,IF(G93&lt;=1200,0.15,IF(G93&gt;=1500,0.2)))),0)</f>
        <v>12.051</v>
      </c>
      <c r="AW93" s="253">
        <f t="shared" ref="AW93:AW105" si="472">IF(Q93=1,0.4*F93*K93,0)</f>
        <v>0</v>
      </c>
      <c r="AX93" s="253">
        <f t="shared" ref="AX93:AX105" si="473">IF(AW93&lt;SUM(AJ93:AQ93),0,AW93)</f>
        <v>0</v>
      </c>
      <c r="AY93" s="253">
        <f t="shared" ref="AY93:AY105" si="474">G93/1000+0.3</f>
        <v>1.3</v>
      </c>
      <c r="AZ93" s="253">
        <f t="shared" ref="AZ93:AZ105" si="475">AY93*K93*F93-PI()*(G93/1000*G93/1000)/4*F93</f>
        <v>72.892555776324514</v>
      </c>
      <c r="BA93" s="253">
        <f t="shared" ref="BA93:BA105" si="476">IF(AZ93&lt;SUM(AJ93:AQ93),0,AZ93)</f>
        <v>0</v>
      </c>
      <c r="BB93" s="253">
        <f t="shared" ref="BB93:BB105" si="477">IF(O93="ASFALTO",0.15*F93*K93,0)</f>
        <v>0</v>
      </c>
      <c r="BC93" s="253">
        <f t="shared" ref="BC93:BC105" si="478">BB93</f>
        <v>0</v>
      </c>
      <c r="BD93" s="253">
        <f t="shared" ref="BD93:BD105" si="479">IF(O93="ASFALTO",0.03*F93*K93,0)</f>
        <v>0</v>
      </c>
      <c r="BE93" s="253">
        <f t="shared" ref="BE93:BE105" si="480">AT93-AW93-SUM(AU93:AV93)-BB93-BC93-AZ93</f>
        <v>90.382500000000022</v>
      </c>
      <c r="BF93" s="253">
        <f t="shared" ref="BF93:BF105" si="481">SUM(AJ93:AQ93)-AW93-BB93-AZ93</f>
        <v>113.79129992052319</v>
      </c>
      <c r="BG93" s="253">
        <f t="shared" ref="BG93:BG105" si="482">IF(SMALL(BE93:BF93,1)&lt;0,0,SMALL(BE93:BF93,1))</f>
        <v>90.382500000000022</v>
      </c>
      <c r="BH93" s="253">
        <f t="shared" ref="BH93:BH105" si="483">BF93-BG93</f>
        <v>23.408799920523165</v>
      </c>
      <c r="BI93" s="253">
        <f t="shared" ref="BI93:BI105" si="484">BE93-BG93</f>
        <v>0</v>
      </c>
      <c r="BJ93" s="241">
        <f t="shared" ref="BJ93:BJ105" si="485">IF($BI$106&gt;$BJ$108,($BJ$108/$BI$106)*BI93,BI93)</f>
        <v>0</v>
      </c>
      <c r="BK93" s="253">
        <f t="shared" ref="BK93:BK105" si="486">BI93-BJ93</f>
        <v>0</v>
      </c>
      <c r="BL93" s="253"/>
      <c r="BM93" s="253">
        <f t="shared" ref="BM93:BM105" si="487">IF(AW93+BB93&gt;0,4%*(AW93+BB93),0)</f>
        <v>0</v>
      </c>
      <c r="BN93" s="252">
        <f t="shared" ref="BN93:BN105" si="488">IF(G93=400,H93,0)</f>
        <v>0</v>
      </c>
      <c r="BO93" s="366">
        <f t="shared" ref="BO93:BO105" si="489">IF(BN93&lt;=1.75,AND(BN93&gt;0)*F93,0)</f>
        <v>0</v>
      </c>
      <c r="BP93" s="366">
        <f t="shared" ref="BP93:BP105" si="490">IF(BN93&lt;=3,AND(BN93&gt;1.75)*F93,0)</f>
        <v>0</v>
      </c>
      <c r="BQ93" s="366">
        <f t="shared" ref="BQ93:BQ105" si="491">IF(G93=500,H93,0)</f>
        <v>0</v>
      </c>
      <c r="BR93" s="240">
        <f t="shared" ref="BR93:BR105" si="492">IF(BQ93&lt;=1.75,AND(BQ93&gt;0)*F93,0)</f>
        <v>0</v>
      </c>
      <c r="BS93" s="240">
        <f t="shared" ref="BS93:BS105" si="493">IF(BQ93&lt;=3,AND(BQ93&gt;1.75)*F93,0)</f>
        <v>0</v>
      </c>
      <c r="BT93" s="240">
        <f t="shared" ref="BT93:BT105" si="494">IF(G93=600,H93,0)</f>
        <v>0</v>
      </c>
      <c r="BU93" s="240">
        <f t="shared" ref="BU93:BU105" si="495">IF(BT93&lt;=3,AND(BT93&gt;0)*F93,0)</f>
        <v>0</v>
      </c>
      <c r="BV93" s="240">
        <f t="shared" ref="BV93:BV105" si="496">IF(BT93&lt;=6,AND(BT93&gt;3)*F93,0)</f>
        <v>0</v>
      </c>
      <c r="BW93" s="240">
        <f t="shared" ref="BW93:BW105" si="497">IF(BT93&lt;=9,AND(BT93&gt;6)*F93,0)</f>
        <v>0</v>
      </c>
      <c r="BX93" s="240">
        <f t="shared" ref="BX93:BX105" si="498">IF(G93=800,H93,0)</f>
        <v>0</v>
      </c>
      <c r="BY93" s="240">
        <f t="shared" ref="BY93:BY105" si="499">IF(BX93&lt;=3,AND(BX93&gt;0)*F93,0)</f>
        <v>0</v>
      </c>
      <c r="BZ93" s="240">
        <f t="shared" ref="BZ93:BZ105" si="500">IF(BX93&lt;=6,AND(BX93&gt;3)*F93,0)</f>
        <v>0</v>
      </c>
      <c r="CA93" s="240">
        <f t="shared" ref="CA93:CA105" si="501">IF(BX93&lt;=9,AND(BX93&gt;6)*F93,0)</f>
        <v>0</v>
      </c>
      <c r="CB93" s="240">
        <f t="shared" ref="CB93:CB105" si="502">IF(G93=1000,H93,0)</f>
        <v>2.5750000000000002</v>
      </c>
      <c r="CC93" s="240">
        <f t="shared" ref="CC93:CC105" si="503">IF(CB93&lt;=3,AND(CB93&gt;0)*F93,0)</f>
        <v>40.17</v>
      </c>
      <c r="CD93" s="240">
        <f t="shared" ref="CD93:CD105" si="504">IF(CB93&lt;=6,AND(CB93&gt;3)*F93,0)</f>
        <v>0</v>
      </c>
      <c r="CE93" s="240">
        <f t="shared" ref="CE93:CE105" si="505">IF(CB93&lt;=9,AND(CB93&gt;6)*F93,0)</f>
        <v>0</v>
      </c>
      <c r="CF93" s="240">
        <f t="shared" ref="CF93:CF105" si="506">IF(G93=1200,H93,0)</f>
        <v>0</v>
      </c>
      <c r="CG93" s="240">
        <f t="shared" ref="CG93:CG105" si="507">IF(CF93&lt;=3,AND(CF93&gt;0)*F93,0)</f>
        <v>0</v>
      </c>
      <c r="CH93" s="240">
        <f t="shared" ref="CH93:CH105" si="508">IF(CF93&lt;=6,AND(CF93&gt;3)*F93,0)</f>
        <v>0</v>
      </c>
      <c r="CI93" s="240">
        <f t="shared" ref="CI93:CI105" si="509">IF(CF93&lt;=9,AND(CF93&gt;6)*F93,0)</f>
        <v>0</v>
      </c>
      <c r="CJ93" s="365">
        <f t="shared" ref="CJ93:CJ105" si="510">IF(G93=1500,H93,0)</f>
        <v>0</v>
      </c>
      <c r="CK93" s="240">
        <f t="shared" ref="CK93:CK105" si="511">IF(CJ93&lt;=3,AND(CJ93&gt;0)*F93,0)</f>
        <v>0</v>
      </c>
      <c r="CL93" s="240">
        <f t="shared" ref="CL93:CL105" si="512">IF(CJ93&lt;=6,AND(CJ93&gt;3)*F93,0)</f>
        <v>0</v>
      </c>
      <c r="CM93" s="240">
        <f t="shared" ref="CM93:CM105" si="513">IF(CJ93&lt;=9,AND(CJ93&gt;6)*F93,0)</f>
        <v>0</v>
      </c>
      <c r="CN93" s="245">
        <f t="shared" ref="CN93:CN105" si="514">IF(G93=1650,F93,0)</f>
        <v>0</v>
      </c>
      <c r="CO93" s="245">
        <f t="shared" ref="CO93:CO105" si="515">IF(G93=1800,F93,0)</f>
        <v>0</v>
      </c>
      <c r="CP93" s="245">
        <f t="shared" ref="CP93:CP105" si="516">IF(G93=2000,F93,0)</f>
        <v>0</v>
      </c>
      <c r="CQ93" s="245">
        <f t="shared" ref="CQ93:CQ105" si="517">IF(G93=2200,F93,0)</f>
        <v>0</v>
      </c>
      <c r="CR93" s="245">
        <f t="shared" ref="CR93:CR105" si="518">IF(G93=2400,F93,0)</f>
        <v>0</v>
      </c>
      <c r="CS93" s="245">
        <f t="shared" ref="CS93:CS105" si="519">IF(G93=2600,F93,0)</f>
        <v>0</v>
      </c>
      <c r="CT93" s="364">
        <f t="shared" ref="CT93:CT105" si="520">IF(G93=3000,F93,0)</f>
        <v>0</v>
      </c>
      <c r="CU93" s="363">
        <f t="shared" ref="CU93:CU105" si="521">IF(G93&gt;=100,1,0)</f>
        <v>1</v>
      </c>
      <c r="CV93" s="363">
        <f t="shared" ref="CV93:CV105" si="522">IF(CU93=1,IF(G93&lt;=600,1,0))</f>
        <v>0</v>
      </c>
      <c r="CW93" s="363">
        <f t="shared" ref="CW93:CW105" si="523">IF(CU93=1,IF($G93=800,1,0))</f>
        <v>0</v>
      </c>
      <c r="CX93" s="363">
        <f t="shared" ref="CX93:CX105" si="524">IF(CU93=1,IF($G93=1000,1,0))</f>
        <v>1</v>
      </c>
      <c r="CY93" s="363">
        <f t="shared" ref="CY93:CY105" si="525">IF(CU93=1,IF($G93=1200,1,0))</f>
        <v>0</v>
      </c>
      <c r="CZ93" s="363">
        <f t="shared" ref="CZ93:CZ105" si="526">IF(CU93=1,IF($G93=1500,1,0))</f>
        <v>0</v>
      </c>
      <c r="DA93" s="362">
        <f t="shared" ref="DA93:DA105" si="527">IF(IF(G93&lt;=600,(D93-DB93),0)+IF(G93=800,(D93-DC93),0)+IF(G93&gt;=1000,D93-DD93,0)&lt;0,0,IF(G93&lt;=600,(D93-DB93),0)+IF(G93=800,(D93-DC93),0)+IF(G93&gt;=1000,D93-DD93,0))</f>
        <v>0</v>
      </c>
      <c r="DB93" s="361">
        <v>1.3</v>
      </c>
      <c r="DC93" s="361">
        <v>1.4</v>
      </c>
      <c r="DD93" s="361">
        <v>2</v>
      </c>
      <c r="DE93" s="361">
        <v>2</v>
      </c>
      <c r="DF93" s="360">
        <v>2</v>
      </c>
      <c r="DG93" s="252">
        <f t="shared" ref="DG93:DG105" si="528">IF(K93&lt;=1.5,IF(H93&lt;1.5,H93*F93*2,F93*2*1.5),0)</f>
        <v>0</v>
      </c>
      <c r="DH93" s="360">
        <f t="shared" ref="DH93:DH105" si="529">IF(K93&lt;=1.5,IF(AND(H93&lt;3,H93&gt;1.5),(H93-1.5)*F93*2,IF(H93&gt;=3,(F93*2*1.5),0)),0)</f>
        <v>0</v>
      </c>
      <c r="DI93" s="360">
        <f t="shared" ref="DI93:DI105" si="530">IF(K93&lt;=1.5,IF(AND(H93&lt;4.5,H93&gt;3),(H93-3)*F93*2,IF(H93&gt;=4.5,(F93*2*1.5),0)),0)</f>
        <v>0</v>
      </c>
      <c r="DJ93" s="360">
        <f t="shared" ref="DJ93:DJ105" si="531">IF(AND(K93&lt;=2.5,K93&gt;1.5),IF(H93&lt;1.5,H93*F93*2,F93*2*1.5),0)</f>
        <v>120.51</v>
      </c>
      <c r="DK93" s="360">
        <f t="shared" ref="DK93:DK105" si="532">IF(AND(K93&gt;1.5,K93&lt;=2.5),IF(AND(H93&lt;3,H93&gt;1.5),(H93-1.5)*F93*2,IF(H93&gt;=3,(F93*2*1.5),0)),0)</f>
        <v>86.365500000000011</v>
      </c>
      <c r="DL93" s="360">
        <f t="shared" ref="DL93:DL105" si="533">IF(AND(K93&gt;1.5,K93&lt;=2.5),IF(AND(H93&lt;4.5,H93&gt;3),(H93-3)*F93*2,IF(H93&gt;=4.5,(F93*2*1.5),0)),0)</f>
        <v>0</v>
      </c>
      <c r="DM93" s="360">
        <f t="shared" ref="DM93:DM105" si="534">IF(AND(K93&lt;=3.5,K93&gt;2.5),IF(H93&lt;1.5,H93*F93*2,F93*2*1.5),0)</f>
        <v>0</v>
      </c>
      <c r="DN93" s="360">
        <f t="shared" ref="DN93:DN105" si="535">IF(AND(K93&gt;2.5,K93&lt;=3.5),IF(AND(H93&lt;3,H93&gt;1.5),(H93-1.5)*F93*2,IF(H93&gt;=3,(F93*2*1.5),0)),0)</f>
        <v>0</v>
      </c>
      <c r="DO93" s="360">
        <f t="shared" ref="DO93:DO105" si="536">IF(AND(K93&gt;2.5,K93&lt;=3.5),IF(AND(H93&lt;4.5,H93&gt;3),(H93-3)*F93*2,IF(H93&gt;=4.5,(F93*2*1.5),0)),0)</f>
        <v>0</v>
      </c>
      <c r="DP93" s="360">
        <f t="shared" ref="DP93:DP105" si="537">IF(AND(K93&gt;2.5,K93&lt;=3.5),IF(AND(H93&lt;6,H93&gt;4.5),(H93-4.5)*F93*2,IF(H93&gt;=6,(F93*2*1.5),0)),0)</f>
        <v>0</v>
      </c>
      <c r="DQ93" s="219"/>
    </row>
    <row r="94" spans="1:121" ht="25" x14ac:dyDescent="0.25">
      <c r="A94" s="238"/>
      <c r="B94" s="238"/>
      <c r="C94" s="238" t="str">
        <f>'Planilha Hidráulica'!B103</f>
        <v>PV2.1-&gt;PV3.1</v>
      </c>
      <c r="D94" s="239">
        <f>'Planilha Hidráulica'!T103</f>
        <v>2.4500000000000002</v>
      </c>
      <c r="E94" s="239">
        <f>'Planilha Hidráulica'!U103</f>
        <v>2</v>
      </c>
      <c r="F94" s="239">
        <f>'Planilha Hidráulica'!L103</f>
        <v>40.17</v>
      </c>
      <c r="G94" s="238">
        <f>'Planilha Hidráulica'!N103</f>
        <v>1000</v>
      </c>
      <c r="H94" s="240">
        <f t="shared" si="440"/>
        <v>2.5750000000000002</v>
      </c>
      <c r="I94" s="241">
        <f t="shared" si="441"/>
        <v>5.1718875000000004</v>
      </c>
      <c r="J94" s="368">
        <v>0</v>
      </c>
      <c r="K94" s="240">
        <f t="shared" si="442"/>
        <v>2</v>
      </c>
      <c r="L94" s="240">
        <f t="shared" si="443"/>
        <v>2</v>
      </c>
      <c r="M94" s="243">
        <f>'Planilha Hidráulica'!Z103</f>
        <v>800</v>
      </c>
      <c r="N94" s="240">
        <f t="shared" si="444"/>
        <v>80.34</v>
      </c>
      <c r="O94" s="367" t="str">
        <f>'Planilha Hidráulica'!Y103</f>
        <v>TERRENO NATURAL</v>
      </c>
      <c r="P94" s="367" t="s">
        <v>2717</v>
      </c>
      <c r="Q94" s="367">
        <v>0</v>
      </c>
      <c r="R94" s="367">
        <v>5</v>
      </c>
      <c r="S94" s="367">
        <v>5</v>
      </c>
      <c r="T94" s="240">
        <f t="shared" si="445"/>
        <v>0.15</v>
      </c>
      <c r="U94" s="245">
        <f t="shared" si="446"/>
        <v>20.191644303152319</v>
      </c>
      <c r="V94" s="246">
        <f t="shared" si="447"/>
        <v>186.6838556968477</v>
      </c>
      <c r="W94" s="245">
        <f t="shared" si="448"/>
        <v>0</v>
      </c>
      <c r="X94" s="247">
        <f t="shared" si="449"/>
        <v>0</v>
      </c>
      <c r="Y94" s="245">
        <f t="shared" si="450"/>
        <v>2.5750000000000002</v>
      </c>
      <c r="Z94" s="245">
        <f t="shared" si="451"/>
        <v>0</v>
      </c>
      <c r="AA94" s="252">
        <f t="shared" si="452"/>
        <v>0</v>
      </c>
      <c r="AB94" s="361">
        <f t="shared" si="453"/>
        <v>0</v>
      </c>
      <c r="AC94" s="251">
        <f t="shared" si="454"/>
        <v>0</v>
      </c>
      <c r="AD94" s="251">
        <f t="shared" si="455"/>
        <v>0</v>
      </c>
      <c r="AE94" s="251">
        <f t="shared" si="456"/>
        <v>0</v>
      </c>
      <c r="AF94" s="251">
        <f t="shared" si="457"/>
        <v>0</v>
      </c>
      <c r="AG94" s="251">
        <f t="shared" si="458"/>
        <v>0</v>
      </c>
      <c r="AH94" s="251">
        <f t="shared" si="459"/>
        <v>0</v>
      </c>
      <c r="AI94" s="251">
        <f t="shared" si="460"/>
        <v>0</v>
      </c>
      <c r="AJ94" s="251">
        <f t="shared" si="461"/>
        <v>0</v>
      </c>
      <c r="AK94" s="251">
        <f t="shared" si="462"/>
        <v>0</v>
      </c>
      <c r="AL94" s="251">
        <f t="shared" si="463"/>
        <v>120.51</v>
      </c>
      <c r="AM94" s="251">
        <f>IF(IF(AND(K94&lt;=2.5,K94&gt;1.5),IF(Y94&gt;=3,L94*F94*1.5,K94*F94*(Y94-1.5)),0)&lt;0,0,IF(AND(K94&lt;=2.5,K94&gt;1.5),IF(Y94&gt;=3,L94*F94*1.5,K94*F94*(Y94-1.5)),0))+IF(R94&lt;H94,0,IF(AND(Y94&lt;=3,Y94&gt;1.5,K94&gt;1.5,K94&lt;=2.5),-U94,0))</f>
        <v>66.173855696847696</v>
      </c>
      <c r="AN94" s="251">
        <f>IF(AND(K94&lt;=2.5,Y94&gt;=4.5),L94*F94*1.5,IF(AND(K94&lt;=2.5,Y94&gt;3),K94*F94*(Y94-3),0))+IF(R94&lt;H94,0,IF(AND(Y94&lt;=4.5,Y94&gt;3,K94&gt;1.5,K94&lt;=2.5),-U94,0))</f>
        <v>0</v>
      </c>
      <c r="AO94" s="251">
        <f t="shared" si="464"/>
        <v>0</v>
      </c>
      <c r="AP94" s="251">
        <f t="shared" si="465"/>
        <v>0</v>
      </c>
      <c r="AQ94" s="251">
        <f t="shared" si="466"/>
        <v>0</v>
      </c>
      <c r="AR94" s="253">
        <f t="shared" si="467"/>
        <v>0</v>
      </c>
      <c r="AS94" s="253">
        <f t="shared" si="468"/>
        <v>0</v>
      </c>
      <c r="AT94" s="253">
        <f t="shared" si="469"/>
        <v>175.32605577632452</v>
      </c>
      <c r="AU94" s="241">
        <f t="shared" si="470"/>
        <v>0</v>
      </c>
      <c r="AV94" s="246">
        <f t="shared" si="471"/>
        <v>12.051</v>
      </c>
      <c r="AW94" s="253">
        <f t="shared" si="472"/>
        <v>0</v>
      </c>
      <c r="AX94" s="253">
        <f t="shared" si="473"/>
        <v>0</v>
      </c>
      <c r="AY94" s="253">
        <f t="shared" si="474"/>
        <v>1.3</v>
      </c>
      <c r="AZ94" s="253">
        <f t="shared" si="475"/>
        <v>72.892555776324514</v>
      </c>
      <c r="BA94" s="253">
        <f t="shared" si="476"/>
        <v>0</v>
      </c>
      <c r="BB94" s="253">
        <f t="shared" si="477"/>
        <v>0</v>
      </c>
      <c r="BC94" s="253">
        <f t="shared" si="478"/>
        <v>0</v>
      </c>
      <c r="BD94" s="253">
        <f t="shared" si="479"/>
        <v>0</v>
      </c>
      <c r="BE94" s="253">
        <f t="shared" si="480"/>
        <v>90.382500000000022</v>
      </c>
      <c r="BF94" s="253">
        <f t="shared" si="481"/>
        <v>113.79129992052319</v>
      </c>
      <c r="BG94" s="253">
        <f t="shared" si="482"/>
        <v>90.382500000000022</v>
      </c>
      <c r="BH94" s="253">
        <f t="shared" si="483"/>
        <v>23.408799920523165</v>
      </c>
      <c r="BI94" s="253">
        <f t="shared" si="484"/>
        <v>0</v>
      </c>
      <c r="BJ94" s="241">
        <f t="shared" si="485"/>
        <v>0</v>
      </c>
      <c r="BK94" s="253">
        <f t="shared" si="486"/>
        <v>0</v>
      </c>
      <c r="BL94" s="253"/>
      <c r="BM94" s="253">
        <f t="shared" si="487"/>
        <v>0</v>
      </c>
      <c r="BN94" s="252">
        <f t="shared" si="488"/>
        <v>0</v>
      </c>
      <c r="BO94" s="366">
        <f t="shared" si="489"/>
        <v>0</v>
      </c>
      <c r="BP94" s="366">
        <f t="shared" si="490"/>
        <v>0</v>
      </c>
      <c r="BQ94" s="366">
        <f t="shared" si="491"/>
        <v>0</v>
      </c>
      <c r="BR94" s="240">
        <f t="shared" si="492"/>
        <v>0</v>
      </c>
      <c r="BS94" s="240">
        <f t="shared" si="493"/>
        <v>0</v>
      </c>
      <c r="BT94" s="240">
        <f t="shared" si="494"/>
        <v>0</v>
      </c>
      <c r="BU94" s="240">
        <f t="shared" si="495"/>
        <v>0</v>
      </c>
      <c r="BV94" s="240">
        <f t="shared" si="496"/>
        <v>0</v>
      </c>
      <c r="BW94" s="240">
        <f t="shared" si="497"/>
        <v>0</v>
      </c>
      <c r="BX94" s="240">
        <f t="shared" si="498"/>
        <v>0</v>
      </c>
      <c r="BY94" s="240">
        <f t="shared" si="499"/>
        <v>0</v>
      </c>
      <c r="BZ94" s="240">
        <f t="shared" si="500"/>
        <v>0</v>
      </c>
      <c r="CA94" s="240">
        <f t="shared" si="501"/>
        <v>0</v>
      </c>
      <c r="CB94" s="240">
        <f t="shared" si="502"/>
        <v>2.5750000000000002</v>
      </c>
      <c r="CC94" s="240">
        <f t="shared" si="503"/>
        <v>40.17</v>
      </c>
      <c r="CD94" s="240">
        <f t="shared" si="504"/>
        <v>0</v>
      </c>
      <c r="CE94" s="240">
        <f t="shared" si="505"/>
        <v>0</v>
      </c>
      <c r="CF94" s="240">
        <f t="shared" si="506"/>
        <v>0</v>
      </c>
      <c r="CG94" s="240">
        <f t="shared" si="507"/>
        <v>0</v>
      </c>
      <c r="CH94" s="240">
        <f t="shared" si="508"/>
        <v>0</v>
      </c>
      <c r="CI94" s="240">
        <f t="shared" si="509"/>
        <v>0</v>
      </c>
      <c r="CJ94" s="365">
        <f t="shared" si="510"/>
        <v>0</v>
      </c>
      <c r="CK94" s="240">
        <f t="shared" si="511"/>
        <v>0</v>
      </c>
      <c r="CL94" s="240">
        <f t="shared" si="512"/>
        <v>0</v>
      </c>
      <c r="CM94" s="240">
        <f t="shared" si="513"/>
        <v>0</v>
      </c>
      <c r="CN94" s="245">
        <f t="shared" si="514"/>
        <v>0</v>
      </c>
      <c r="CO94" s="245">
        <f t="shared" si="515"/>
        <v>0</v>
      </c>
      <c r="CP94" s="245">
        <f t="shared" si="516"/>
        <v>0</v>
      </c>
      <c r="CQ94" s="245">
        <f t="shared" si="517"/>
        <v>0</v>
      </c>
      <c r="CR94" s="245">
        <f t="shared" si="518"/>
        <v>0</v>
      </c>
      <c r="CS94" s="245">
        <f t="shared" si="519"/>
        <v>0</v>
      </c>
      <c r="CT94" s="364">
        <f t="shared" si="520"/>
        <v>0</v>
      </c>
      <c r="CU94" s="363">
        <f t="shared" si="521"/>
        <v>1</v>
      </c>
      <c r="CV94" s="363">
        <f t="shared" si="522"/>
        <v>0</v>
      </c>
      <c r="CW94" s="363">
        <f t="shared" si="523"/>
        <v>0</v>
      </c>
      <c r="CX94" s="363">
        <f t="shared" si="524"/>
        <v>1</v>
      </c>
      <c r="CY94" s="363">
        <f t="shared" si="525"/>
        <v>0</v>
      </c>
      <c r="CZ94" s="363">
        <f t="shared" si="526"/>
        <v>0</v>
      </c>
      <c r="DA94" s="362">
        <f t="shared" si="527"/>
        <v>0.45000000000000018</v>
      </c>
      <c r="DB94" s="361">
        <v>1.3</v>
      </c>
      <c r="DC94" s="361">
        <v>1.4</v>
      </c>
      <c r="DD94" s="361">
        <v>2</v>
      </c>
      <c r="DE94" s="361">
        <v>2</v>
      </c>
      <c r="DF94" s="360">
        <v>2</v>
      </c>
      <c r="DG94" s="252">
        <f t="shared" si="528"/>
        <v>0</v>
      </c>
      <c r="DH94" s="360">
        <f t="shared" si="529"/>
        <v>0</v>
      </c>
      <c r="DI94" s="360">
        <f t="shared" si="530"/>
        <v>0</v>
      </c>
      <c r="DJ94" s="360">
        <f t="shared" si="531"/>
        <v>120.51</v>
      </c>
      <c r="DK94" s="360">
        <f t="shared" si="532"/>
        <v>86.365500000000011</v>
      </c>
      <c r="DL94" s="360">
        <f t="shared" si="533"/>
        <v>0</v>
      </c>
      <c r="DM94" s="360">
        <f t="shared" si="534"/>
        <v>0</v>
      </c>
      <c r="DN94" s="360">
        <f t="shared" si="535"/>
        <v>0</v>
      </c>
      <c r="DO94" s="360">
        <f t="shared" si="536"/>
        <v>0</v>
      </c>
      <c r="DP94" s="360">
        <f t="shared" si="537"/>
        <v>0</v>
      </c>
      <c r="DQ94" s="219"/>
    </row>
    <row r="95" spans="1:121" ht="25" x14ac:dyDescent="0.25">
      <c r="A95" s="238"/>
      <c r="B95" s="238"/>
      <c r="C95" s="238" t="str">
        <f>'Planilha Hidráulica'!B104</f>
        <v>PV3.1-&gt;PV4.1</v>
      </c>
      <c r="D95" s="239">
        <f>'Planilha Hidráulica'!T104</f>
        <v>2</v>
      </c>
      <c r="E95" s="239">
        <f>'Planilha Hidráulica'!U104</f>
        <v>2.4</v>
      </c>
      <c r="F95" s="239">
        <f>'Planilha Hidráulica'!L104</f>
        <v>56.93</v>
      </c>
      <c r="G95" s="238">
        <f>'Planilha Hidráulica'!N104</f>
        <v>1000</v>
      </c>
      <c r="H95" s="240">
        <f t="shared" si="440"/>
        <v>2.5500000000000003</v>
      </c>
      <c r="I95" s="241">
        <f t="shared" si="441"/>
        <v>7.2585750000000004</v>
      </c>
      <c r="J95" s="368">
        <v>0</v>
      </c>
      <c r="K95" s="240">
        <f t="shared" si="442"/>
        <v>2</v>
      </c>
      <c r="L95" s="240">
        <f t="shared" si="443"/>
        <v>2</v>
      </c>
      <c r="M95" s="243">
        <f>'Planilha Hidráulica'!Z104</f>
        <v>1000</v>
      </c>
      <c r="N95" s="240">
        <f t="shared" si="444"/>
        <v>113.86</v>
      </c>
      <c r="O95" s="367" t="str">
        <f>'Planilha Hidráulica'!Y104</f>
        <v>TERRENO NATURAL</v>
      </c>
      <c r="P95" s="367" t="s">
        <v>2717</v>
      </c>
      <c r="Q95" s="367">
        <v>0</v>
      </c>
      <c r="R95" s="367">
        <v>5</v>
      </c>
      <c r="S95" s="367">
        <v>5</v>
      </c>
      <c r="T95" s="240">
        <f t="shared" si="445"/>
        <v>0.15</v>
      </c>
      <c r="U95" s="245">
        <f t="shared" si="446"/>
        <v>44.712717442216729</v>
      </c>
      <c r="V95" s="246">
        <f t="shared" si="447"/>
        <v>245.63028255778329</v>
      </c>
      <c r="W95" s="245">
        <f t="shared" si="448"/>
        <v>0</v>
      </c>
      <c r="X95" s="247">
        <f t="shared" si="449"/>
        <v>0</v>
      </c>
      <c r="Y95" s="245">
        <f t="shared" si="450"/>
        <v>2.5500000000000003</v>
      </c>
      <c r="Z95" s="245">
        <f t="shared" si="451"/>
        <v>0</v>
      </c>
      <c r="AA95" s="252">
        <f t="shared" si="452"/>
        <v>0</v>
      </c>
      <c r="AB95" s="361">
        <f t="shared" si="453"/>
        <v>0</v>
      </c>
      <c r="AC95" s="251">
        <f t="shared" si="454"/>
        <v>0</v>
      </c>
      <c r="AD95" s="251">
        <f t="shared" si="455"/>
        <v>0</v>
      </c>
      <c r="AE95" s="251">
        <f t="shared" si="456"/>
        <v>0</v>
      </c>
      <c r="AF95" s="251">
        <f t="shared" si="457"/>
        <v>0</v>
      </c>
      <c r="AG95" s="251">
        <f t="shared" si="458"/>
        <v>0</v>
      </c>
      <c r="AH95" s="251">
        <f t="shared" si="459"/>
        <v>0</v>
      </c>
      <c r="AI95" s="251">
        <f t="shared" si="460"/>
        <v>0</v>
      </c>
      <c r="AJ95" s="251">
        <f t="shared" si="461"/>
        <v>0</v>
      </c>
      <c r="AK95" s="251">
        <f t="shared" si="462"/>
        <v>0</v>
      </c>
      <c r="AL95" s="251">
        <f t="shared" si="463"/>
        <v>170.79</v>
      </c>
      <c r="AM95" s="251">
        <f>IF(IF(AND(K95&lt;=2.5,K95&gt;1.5),IF(Y95&gt;=3,L95*F95*1.5,K95*F95*(Y95-1.5)),0)&lt;0,0,IF(AND(K95&lt;=2.5,K95&gt;1.5),IF(Y95&gt;=3,L95*F95*1.5,K95*F95*(Y95-1.5)),0))+IF(R95&lt;H95,0,IF(AND(Y95&lt;=3,Y95&gt;1.5,K95&gt;1.5,K95&lt;=2.5),-U95,0))</f>
        <v>74.840282557783297</v>
      </c>
      <c r="AN95" s="251">
        <f>IF(AND(K95&lt;=2.5,Y95&gt;=4.5),L95*F95*1.5,IF(AND(K95&lt;=2.5,Y95&gt;3),K95*F95*(Y95-3),0))+IF(R95&lt;H95,0,IF(AND(Y95&lt;=4.5,Y95&gt;3,K95&gt;1.5,K95&lt;=2.5),-U95,0))</f>
        <v>0</v>
      </c>
      <c r="AO95" s="251">
        <f t="shared" si="464"/>
        <v>0</v>
      </c>
      <c r="AP95" s="251">
        <f t="shared" si="465"/>
        <v>0</v>
      </c>
      <c r="AQ95" s="251">
        <f t="shared" si="466"/>
        <v>0</v>
      </c>
      <c r="AR95" s="253">
        <f t="shared" si="467"/>
        <v>0</v>
      </c>
      <c r="AS95" s="253">
        <f t="shared" si="468"/>
        <v>0</v>
      </c>
      <c r="AT95" s="253">
        <f t="shared" si="469"/>
        <v>245.63028255778329</v>
      </c>
      <c r="AU95" s="241">
        <f t="shared" si="470"/>
        <v>0</v>
      </c>
      <c r="AV95" s="246">
        <f t="shared" si="471"/>
        <v>17.079000000000001</v>
      </c>
      <c r="AW95" s="253">
        <f t="shared" si="472"/>
        <v>0</v>
      </c>
      <c r="AX95" s="253">
        <f t="shared" si="473"/>
        <v>0</v>
      </c>
      <c r="AY95" s="253">
        <f t="shared" si="474"/>
        <v>1.3</v>
      </c>
      <c r="AZ95" s="253">
        <f t="shared" si="475"/>
        <v>103.30528255778327</v>
      </c>
      <c r="BA95" s="253">
        <f t="shared" si="476"/>
        <v>0</v>
      </c>
      <c r="BB95" s="253">
        <f t="shared" si="477"/>
        <v>0</v>
      </c>
      <c r="BC95" s="253">
        <f t="shared" si="478"/>
        <v>0</v>
      </c>
      <c r="BD95" s="253">
        <f t="shared" si="479"/>
        <v>0</v>
      </c>
      <c r="BE95" s="253">
        <f t="shared" si="480"/>
        <v>125.24600000000001</v>
      </c>
      <c r="BF95" s="253">
        <f t="shared" si="481"/>
        <v>142.32500000000002</v>
      </c>
      <c r="BG95" s="253">
        <f t="shared" si="482"/>
        <v>125.24600000000001</v>
      </c>
      <c r="BH95" s="253">
        <f t="shared" si="483"/>
        <v>17.079000000000008</v>
      </c>
      <c r="BI95" s="253">
        <f t="shared" si="484"/>
        <v>0</v>
      </c>
      <c r="BJ95" s="241">
        <f t="shared" si="485"/>
        <v>0</v>
      </c>
      <c r="BK95" s="253">
        <f t="shared" si="486"/>
        <v>0</v>
      </c>
      <c r="BL95" s="253"/>
      <c r="BM95" s="253">
        <f t="shared" si="487"/>
        <v>0</v>
      </c>
      <c r="BN95" s="252">
        <f t="shared" si="488"/>
        <v>0</v>
      </c>
      <c r="BO95" s="366">
        <f t="shared" si="489"/>
        <v>0</v>
      </c>
      <c r="BP95" s="366">
        <f t="shared" si="490"/>
        <v>0</v>
      </c>
      <c r="BQ95" s="366">
        <f t="shared" si="491"/>
        <v>0</v>
      </c>
      <c r="BR95" s="240">
        <f t="shared" si="492"/>
        <v>0</v>
      </c>
      <c r="BS95" s="240">
        <f t="shared" si="493"/>
        <v>0</v>
      </c>
      <c r="BT95" s="240">
        <f t="shared" si="494"/>
        <v>0</v>
      </c>
      <c r="BU95" s="240">
        <f t="shared" si="495"/>
        <v>0</v>
      </c>
      <c r="BV95" s="240">
        <f t="shared" si="496"/>
        <v>0</v>
      </c>
      <c r="BW95" s="240">
        <f t="shared" si="497"/>
        <v>0</v>
      </c>
      <c r="BX95" s="240">
        <f t="shared" si="498"/>
        <v>0</v>
      </c>
      <c r="BY95" s="240">
        <f t="shared" si="499"/>
        <v>0</v>
      </c>
      <c r="BZ95" s="240">
        <f t="shared" si="500"/>
        <v>0</v>
      </c>
      <c r="CA95" s="240">
        <f t="shared" si="501"/>
        <v>0</v>
      </c>
      <c r="CB95" s="240">
        <f t="shared" si="502"/>
        <v>2.5500000000000003</v>
      </c>
      <c r="CC95" s="240">
        <f t="shared" si="503"/>
        <v>56.93</v>
      </c>
      <c r="CD95" s="240">
        <f t="shared" si="504"/>
        <v>0</v>
      </c>
      <c r="CE95" s="240">
        <f t="shared" si="505"/>
        <v>0</v>
      </c>
      <c r="CF95" s="240">
        <f t="shared" si="506"/>
        <v>0</v>
      </c>
      <c r="CG95" s="240">
        <f t="shared" si="507"/>
        <v>0</v>
      </c>
      <c r="CH95" s="240">
        <f t="shared" si="508"/>
        <v>0</v>
      </c>
      <c r="CI95" s="240">
        <f t="shared" si="509"/>
        <v>0</v>
      </c>
      <c r="CJ95" s="365">
        <f t="shared" si="510"/>
        <v>0</v>
      </c>
      <c r="CK95" s="240">
        <f t="shared" si="511"/>
        <v>0</v>
      </c>
      <c r="CL95" s="240">
        <f t="shared" si="512"/>
        <v>0</v>
      </c>
      <c r="CM95" s="240">
        <f t="shared" si="513"/>
        <v>0</v>
      </c>
      <c r="CN95" s="245">
        <f t="shared" si="514"/>
        <v>0</v>
      </c>
      <c r="CO95" s="245">
        <f t="shared" si="515"/>
        <v>0</v>
      </c>
      <c r="CP95" s="245">
        <f t="shared" si="516"/>
        <v>0</v>
      </c>
      <c r="CQ95" s="245">
        <f t="shared" si="517"/>
        <v>0</v>
      </c>
      <c r="CR95" s="245">
        <f t="shared" si="518"/>
        <v>0</v>
      </c>
      <c r="CS95" s="245">
        <f t="shared" si="519"/>
        <v>0</v>
      </c>
      <c r="CT95" s="364">
        <f t="shared" si="520"/>
        <v>0</v>
      </c>
      <c r="CU95" s="363">
        <f t="shared" si="521"/>
        <v>1</v>
      </c>
      <c r="CV95" s="363">
        <f t="shared" si="522"/>
        <v>0</v>
      </c>
      <c r="CW95" s="363">
        <f t="shared" si="523"/>
        <v>0</v>
      </c>
      <c r="CX95" s="363">
        <f t="shared" si="524"/>
        <v>1</v>
      </c>
      <c r="CY95" s="363">
        <f t="shared" si="525"/>
        <v>0</v>
      </c>
      <c r="CZ95" s="363">
        <f t="shared" si="526"/>
        <v>0</v>
      </c>
      <c r="DA95" s="362">
        <f t="shared" si="527"/>
        <v>0</v>
      </c>
      <c r="DB95" s="361">
        <v>1.3</v>
      </c>
      <c r="DC95" s="361">
        <v>1.4</v>
      </c>
      <c r="DD95" s="361">
        <v>2</v>
      </c>
      <c r="DE95" s="361">
        <v>2</v>
      </c>
      <c r="DF95" s="360">
        <v>2</v>
      </c>
      <c r="DG95" s="252">
        <f t="shared" si="528"/>
        <v>0</v>
      </c>
      <c r="DH95" s="360">
        <f t="shared" si="529"/>
        <v>0</v>
      </c>
      <c r="DI95" s="360">
        <f t="shared" si="530"/>
        <v>0</v>
      </c>
      <c r="DJ95" s="360">
        <f t="shared" si="531"/>
        <v>170.79</v>
      </c>
      <c r="DK95" s="360">
        <f t="shared" si="532"/>
        <v>119.55300000000003</v>
      </c>
      <c r="DL95" s="360">
        <f t="shared" si="533"/>
        <v>0</v>
      </c>
      <c r="DM95" s="360">
        <f t="shared" si="534"/>
        <v>0</v>
      </c>
      <c r="DN95" s="360">
        <f t="shared" si="535"/>
        <v>0</v>
      </c>
      <c r="DO95" s="360">
        <f t="shared" si="536"/>
        <v>0</v>
      </c>
      <c r="DP95" s="360">
        <f t="shared" si="537"/>
        <v>0</v>
      </c>
      <c r="DQ95" s="219"/>
    </row>
    <row r="96" spans="1:121" ht="25" x14ac:dyDescent="0.25">
      <c r="A96" s="238"/>
      <c r="B96" s="238"/>
      <c r="C96" s="238" t="str">
        <f>'Planilha Hidráulica'!B105</f>
        <v>PV4.1-&gt;PV5.1</v>
      </c>
      <c r="D96" s="239">
        <f>'Planilha Hidráulica'!T105</f>
        <v>2.6</v>
      </c>
      <c r="E96" s="239">
        <f>'Planilha Hidráulica'!U105</f>
        <v>3.1</v>
      </c>
      <c r="F96" s="239">
        <f>'Planilha Hidráulica'!L105</f>
        <v>56.93</v>
      </c>
      <c r="G96" s="238">
        <f>'Planilha Hidráulica'!N105</f>
        <v>1200</v>
      </c>
      <c r="H96" s="240">
        <f t="shared" si="440"/>
        <v>3.2399999999999998</v>
      </c>
      <c r="I96" s="241">
        <f t="shared" si="441"/>
        <v>9.2226599999999994</v>
      </c>
      <c r="J96" s="368">
        <v>0</v>
      </c>
      <c r="K96" s="240">
        <f t="shared" si="442"/>
        <v>2.2000000000000002</v>
      </c>
      <c r="L96" s="240">
        <f t="shared" si="443"/>
        <v>2.2000000000000002</v>
      </c>
      <c r="M96" s="243">
        <f>'Planilha Hidráulica'!Z105</f>
        <v>1000</v>
      </c>
      <c r="N96" s="240">
        <f t="shared" si="444"/>
        <v>125.24600000000001</v>
      </c>
      <c r="O96" s="367" t="str">
        <f>'Planilha Hidráulica'!Y105</f>
        <v>TERRENO NATURAL</v>
      </c>
      <c r="P96" s="367" t="s">
        <v>2715</v>
      </c>
      <c r="Q96" s="367">
        <v>0</v>
      </c>
      <c r="R96" s="367">
        <v>3.8</v>
      </c>
      <c r="S96" s="367">
        <v>5</v>
      </c>
      <c r="T96" s="240">
        <f t="shared" si="445"/>
        <v>0.15</v>
      </c>
      <c r="U96" s="245">
        <f t="shared" si="446"/>
        <v>44.712717442216729</v>
      </c>
      <c r="V96" s="246">
        <f t="shared" si="447"/>
        <v>361.08432255778325</v>
      </c>
      <c r="W96" s="245">
        <f t="shared" si="448"/>
        <v>0</v>
      </c>
      <c r="X96" s="247">
        <f t="shared" si="449"/>
        <v>0</v>
      </c>
      <c r="Y96" s="245">
        <f t="shared" si="450"/>
        <v>3.2399999999999998</v>
      </c>
      <c r="Z96" s="245">
        <f t="shared" si="451"/>
        <v>0</v>
      </c>
      <c r="AA96" s="252">
        <f t="shared" si="452"/>
        <v>0</v>
      </c>
      <c r="AB96" s="361">
        <f t="shared" si="453"/>
        <v>0</v>
      </c>
      <c r="AC96" s="251">
        <f t="shared" si="454"/>
        <v>0</v>
      </c>
      <c r="AD96" s="251">
        <f t="shared" si="455"/>
        <v>0</v>
      </c>
      <c r="AE96" s="251">
        <f t="shared" si="456"/>
        <v>0</v>
      </c>
      <c r="AF96" s="251">
        <f t="shared" si="457"/>
        <v>0</v>
      </c>
      <c r="AG96" s="251">
        <f t="shared" si="458"/>
        <v>0</v>
      </c>
      <c r="AH96" s="251">
        <f t="shared" si="459"/>
        <v>0</v>
      </c>
      <c r="AI96" s="251">
        <f t="shared" si="460"/>
        <v>0</v>
      </c>
      <c r="AJ96" s="251">
        <f t="shared" si="461"/>
        <v>0</v>
      </c>
      <c r="AK96" s="251">
        <f t="shared" si="462"/>
        <v>0</v>
      </c>
      <c r="AL96" s="251">
        <f t="shared" si="463"/>
        <v>187.86900000000003</v>
      </c>
      <c r="AM96" s="251">
        <f>IF(IF(AND(K96&lt;=2.5,K96&gt;1.5),IF(Y96&gt;=3,L96*F96*1.5,K96*F96*(Y96-1.5)),0)&lt;0,0,IF(AND(K96&lt;=2.5,K96&gt;1.5),IF(Y96&gt;=3,L96*F96*1.5,K96*F96*(Y96-1.5)),0))-U96</f>
        <v>143.1562825577833</v>
      </c>
      <c r="AN96" s="251">
        <f>IF(AND(K96&lt;=2.5,Y96&gt;=4.5),L96*F96*1.5,IF(AND(K96&lt;=2.5,Y96&gt;3),K96*F96*(Y96-3),0))</f>
        <v>30.059039999999975</v>
      </c>
      <c r="AO96" s="251">
        <f t="shared" si="464"/>
        <v>0</v>
      </c>
      <c r="AP96" s="251">
        <f t="shared" si="465"/>
        <v>0</v>
      </c>
      <c r="AQ96" s="251">
        <f t="shared" si="466"/>
        <v>0</v>
      </c>
      <c r="AR96" s="253">
        <f t="shared" si="467"/>
        <v>0</v>
      </c>
      <c r="AS96" s="253">
        <f t="shared" si="468"/>
        <v>0</v>
      </c>
      <c r="AT96" s="253">
        <f t="shared" si="469"/>
        <v>341.41072688320787</v>
      </c>
      <c r="AU96" s="241">
        <f t="shared" si="470"/>
        <v>0</v>
      </c>
      <c r="AV96" s="246">
        <f t="shared" si="471"/>
        <v>18.786899999999999</v>
      </c>
      <c r="AW96" s="253">
        <f t="shared" si="472"/>
        <v>0</v>
      </c>
      <c r="AX96" s="253">
        <f t="shared" si="473"/>
        <v>0</v>
      </c>
      <c r="AY96" s="253">
        <f t="shared" si="474"/>
        <v>1.5</v>
      </c>
      <c r="AZ96" s="253">
        <f t="shared" si="475"/>
        <v>123.48268688320793</v>
      </c>
      <c r="BA96" s="253">
        <f t="shared" si="476"/>
        <v>0</v>
      </c>
      <c r="BB96" s="253">
        <f t="shared" si="477"/>
        <v>0</v>
      </c>
      <c r="BC96" s="253">
        <f t="shared" si="478"/>
        <v>0</v>
      </c>
      <c r="BD96" s="253">
        <f t="shared" si="479"/>
        <v>0</v>
      </c>
      <c r="BE96" s="253">
        <f t="shared" si="480"/>
        <v>199.14113999999995</v>
      </c>
      <c r="BF96" s="253">
        <f t="shared" si="481"/>
        <v>237.60163567457539</v>
      </c>
      <c r="BG96" s="253">
        <f t="shared" si="482"/>
        <v>199.14113999999995</v>
      </c>
      <c r="BH96" s="253">
        <f t="shared" si="483"/>
        <v>38.460495674575441</v>
      </c>
      <c r="BI96" s="253">
        <f t="shared" si="484"/>
        <v>0</v>
      </c>
      <c r="BJ96" s="241">
        <f t="shared" si="485"/>
        <v>0</v>
      </c>
      <c r="BK96" s="253">
        <f t="shared" si="486"/>
        <v>0</v>
      </c>
      <c r="BL96" s="253"/>
      <c r="BM96" s="253">
        <f t="shared" si="487"/>
        <v>0</v>
      </c>
      <c r="BN96" s="252">
        <f t="shared" si="488"/>
        <v>0</v>
      </c>
      <c r="BO96" s="366">
        <f t="shared" si="489"/>
        <v>0</v>
      </c>
      <c r="BP96" s="366">
        <f t="shared" si="490"/>
        <v>0</v>
      </c>
      <c r="BQ96" s="366">
        <f t="shared" si="491"/>
        <v>0</v>
      </c>
      <c r="BR96" s="240">
        <f t="shared" si="492"/>
        <v>0</v>
      </c>
      <c r="BS96" s="240">
        <f t="shared" si="493"/>
        <v>0</v>
      </c>
      <c r="BT96" s="240">
        <f t="shared" si="494"/>
        <v>0</v>
      </c>
      <c r="BU96" s="240">
        <f t="shared" si="495"/>
        <v>0</v>
      </c>
      <c r="BV96" s="240">
        <f t="shared" si="496"/>
        <v>0</v>
      </c>
      <c r="BW96" s="240">
        <f t="shared" si="497"/>
        <v>0</v>
      </c>
      <c r="BX96" s="240">
        <f t="shared" si="498"/>
        <v>0</v>
      </c>
      <c r="BY96" s="240">
        <f t="shared" si="499"/>
        <v>0</v>
      </c>
      <c r="BZ96" s="240">
        <f t="shared" si="500"/>
        <v>0</v>
      </c>
      <c r="CA96" s="240">
        <f t="shared" si="501"/>
        <v>0</v>
      </c>
      <c r="CB96" s="240">
        <f t="shared" si="502"/>
        <v>0</v>
      </c>
      <c r="CC96" s="240">
        <f t="shared" si="503"/>
        <v>0</v>
      </c>
      <c r="CD96" s="240">
        <f t="shared" si="504"/>
        <v>0</v>
      </c>
      <c r="CE96" s="240">
        <f t="shared" si="505"/>
        <v>0</v>
      </c>
      <c r="CF96" s="240">
        <f t="shared" si="506"/>
        <v>3.2399999999999998</v>
      </c>
      <c r="CG96" s="240">
        <f t="shared" si="507"/>
        <v>0</v>
      </c>
      <c r="CH96" s="240">
        <f t="shared" si="508"/>
        <v>56.93</v>
      </c>
      <c r="CI96" s="240">
        <f t="shared" si="509"/>
        <v>0</v>
      </c>
      <c r="CJ96" s="365">
        <f t="shared" si="510"/>
        <v>0</v>
      </c>
      <c r="CK96" s="240">
        <f t="shared" si="511"/>
        <v>0</v>
      </c>
      <c r="CL96" s="240">
        <f t="shared" si="512"/>
        <v>0</v>
      </c>
      <c r="CM96" s="240">
        <f t="shared" si="513"/>
        <v>0</v>
      </c>
      <c r="CN96" s="245">
        <f t="shared" si="514"/>
        <v>0</v>
      </c>
      <c r="CO96" s="245">
        <f t="shared" si="515"/>
        <v>0</v>
      </c>
      <c r="CP96" s="245">
        <f t="shared" si="516"/>
        <v>0</v>
      </c>
      <c r="CQ96" s="245">
        <f t="shared" si="517"/>
        <v>0</v>
      </c>
      <c r="CR96" s="245">
        <f t="shared" si="518"/>
        <v>0</v>
      </c>
      <c r="CS96" s="245">
        <f t="shared" si="519"/>
        <v>0</v>
      </c>
      <c r="CT96" s="364">
        <f t="shared" si="520"/>
        <v>0</v>
      </c>
      <c r="CU96" s="363">
        <f t="shared" si="521"/>
        <v>1</v>
      </c>
      <c r="CV96" s="363">
        <f t="shared" si="522"/>
        <v>0</v>
      </c>
      <c r="CW96" s="363">
        <f t="shared" si="523"/>
        <v>0</v>
      </c>
      <c r="CX96" s="363">
        <f t="shared" si="524"/>
        <v>0</v>
      </c>
      <c r="CY96" s="363">
        <f t="shared" si="525"/>
        <v>1</v>
      </c>
      <c r="CZ96" s="363">
        <f t="shared" si="526"/>
        <v>0</v>
      </c>
      <c r="DA96" s="362">
        <f t="shared" si="527"/>
        <v>0.60000000000000009</v>
      </c>
      <c r="DB96" s="361">
        <v>1.3</v>
      </c>
      <c r="DC96" s="361">
        <v>1.4</v>
      </c>
      <c r="DD96" s="361">
        <v>2</v>
      </c>
      <c r="DE96" s="361">
        <v>2</v>
      </c>
      <c r="DF96" s="360">
        <v>2</v>
      </c>
      <c r="DG96" s="252">
        <f t="shared" si="528"/>
        <v>0</v>
      </c>
      <c r="DH96" s="360">
        <f t="shared" si="529"/>
        <v>0</v>
      </c>
      <c r="DI96" s="360">
        <f t="shared" si="530"/>
        <v>0</v>
      </c>
      <c r="DJ96" s="360">
        <f t="shared" si="531"/>
        <v>170.79</v>
      </c>
      <c r="DK96" s="360">
        <f t="shared" si="532"/>
        <v>170.79</v>
      </c>
      <c r="DL96" s="360">
        <f t="shared" si="533"/>
        <v>27.326399999999975</v>
      </c>
      <c r="DM96" s="360">
        <f t="shared" si="534"/>
        <v>0</v>
      </c>
      <c r="DN96" s="360">
        <f t="shared" si="535"/>
        <v>0</v>
      </c>
      <c r="DO96" s="360">
        <f t="shared" si="536"/>
        <v>0</v>
      </c>
      <c r="DP96" s="360">
        <f t="shared" si="537"/>
        <v>0</v>
      </c>
      <c r="DQ96" s="219"/>
    </row>
    <row r="97" spans="1:121" x14ac:dyDescent="0.25">
      <c r="A97" s="238" t="s">
        <v>2716</v>
      </c>
      <c r="B97" s="238"/>
      <c r="C97" s="238" t="str">
        <f>'Planilha Hidráulica'!B106</f>
        <v>PV1.2-&gt;PV5.1</v>
      </c>
      <c r="D97" s="239">
        <f>'Planilha Hidráulica'!T106</f>
        <v>1.9</v>
      </c>
      <c r="E97" s="239">
        <f>'Planilha Hidráulica'!U106</f>
        <v>1.9</v>
      </c>
      <c r="F97" s="239">
        <f>'Planilha Hidráulica'!L106</f>
        <v>50.46</v>
      </c>
      <c r="G97" s="238">
        <f>'Planilha Hidráulica'!N106</f>
        <v>800</v>
      </c>
      <c r="H97" s="240">
        <f t="shared" si="440"/>
        <v>2.16</v>
      </c>
      <c r="I97" s="241">
        <f t="shared" si="441"/>
        <v>5.4496800000000007</v>
      </c>
      <c r="J97" s="368">
        <v>0</v>
      </c>
      <c r="K97" s="240">
        <f t="shared" si="442"/>
        <v>1.7</v>
      </c>
      <c r="L97" s="240">
        <f t="shared" si="443"/>
        <v>1.7</v>
      </c>
      <c r="M97" s="243">
        <f>'Planilha Hidráulica'!Z106</f>
        <v>500</v>
      </c>
      <c r="N97" s="240">
        <f t="shared" si="444"/>
        <v>85.781999999999996</v>
      </c>
      <c r="O97" s="367" t="str">
        <f>'Planilha Hidráulica'!Y106</f>
        <v>ASFALTO</v>
      </c>
      <c r="P97" s="367" t="s">
        <v>2715</v>
      </c>
      <c r="Q97" s="367">
        <v>0</v>
      </c>
      <c r="R97" s="367">
        <v>3.8</v>
      </c>
      <c r="S97" s="367">
        <v>5</v>
      </c>
      <c r="T97" s="240">
        <f t="shared" si="445"/>
        <v>0.1</v>
      </c>
      <c r="U97" s="245">
        <f t="shared" si="446"/>
        <v>9.9077978312588098</v>
      </c>
      <c r="V97" s="246">
        <f t="shared" si="447"/>
        <v>175.38132216874118</v>
      </c>
      <c r="W97" s="245">
        <f t="shared" si="448"/>
        <v>0</v>
      </c>
      <c r="X97" s="247">
        <f t="shared" si="449"/>
        <v>0</v>
      </c>
      <c r="Y97" s="245">
        <f t="shared" si="450"/>
        <v>2.16</v>
      </c>
      <c r="Z97" s="245">
        <f t="shared" si="451"/>
        <v>0</v>
      </c>
      <c r="AA97" s="252">
        <f t="shared" si="452"/>
        <v>85.781999999999996</v>
      </c>
      <c r="AB97" s="361">
        <f t="shared" si="453"/>
        <v>0</v>
      </c>
      <c r="AC97" s="251">
        <f t="shared" si="454"/>
        <v>0</v>
      </c>
      <c r="AD97" s="251">
        <f t="shared" si="455"/>
        <v>0</v>
      </c>
      <c r="AE97" s="251">
        <f t="shared" si="456"/>
        <v>0</v>
      </c>
      <c r="AF97" s="251">
        <f t="shared" si="457"/>
        <v>0</v>
      </c>
      <c r="AG97" s="251">
        <f t="shared" si="458"/>
        <v>0</v>
      </c>
      <c r="AH97" s="251">
        <f t="shared" si="459"/>
        <v>0</v>
      </c>
      <c r="AI97" s="251">
        <f t="shared" si="460"/>
        <v>0</v>
      </c>
      <c r="AJ97" s="251">
        <f t="shared" si="461"/>
        <v>0</v>
      </c>
      <c r="AK97" s="251">
        <f t="shared" si="462"/>
        <v>0</v>
      </c>
      <c r="AL97" s="251">
        <f t="shared" si="463"/>
        <v>128.673</v>
      </c>
      <c r="AM97" s="251">
        <f t="shared" ref="AM97:AM105" si="538">IF(IF(AND(K97&lt;=2.5,K97&gt;1.5),IF(Y97&gt;=3,L97*F97*1.5,K97*F97*(Y97-1.5)),0)&lt;0,0,IF(AND(K97&lt;=2.5,K97&gt;1.5),IF(Y97&gt;=3,L97*F97*1.5,K97*F97*(Y97-1.5)),0))+IF(R97&lt;H97,0,IF(AND(Y97&lt;=3,Y97&gt;1.5,K97&gt;1.5,K97&lt;=2.5),-U97,0))</f>
        <v>46.708322168741198</v>
      </c>
      <c r="AN97" s="251">
        <f>IF(AND(K97&lt;=2.5,Y97&gt;=4.5),L97*F97*1.5,IF(AND(K97&lt;=2.5,Y97&gt;3),K97*F97*(Y97-3),0))+IF(R97&lt;H97,0,IF(AND(Y97&lt;=4.5,Y97&gt;3,K97&gt;1.5,K97&lt;=2.5),-U97,0))</f>
        <v>0</v>
      </c>
      <c r="AO97" s="251">
        <f t="shared" si="464"/>
        <v>0</v>
      </c>
      <c r="AP97" s="251">
        <f t="shared" si="465"/>
        <v>0</v>
      </c>
      <c r="AQ97" s="251">
        <f t="shared" si="466"/>
        <v>0</v>
      </c>
      <c r="AR97" s="253">
        <f t="shared" si="467"/>
        <v>0</v>
      </c>
      <c r="AS97" s="253">
        <f t="shared" si="468"/>
        <v>0</v>
      </c>
      <c r="AT97" s="253">
        <f t="shared" si="469"/>
        <v>159.92515755197743</v>
      </c>
      <c r="AU97" s="241">
        <f t="shared" si="470"/>
        <v>0</v>
      </c>
      <c r="AV97" s="246">
        <f t="shared" si="471"/>
        <v>8.5782000000000007</v>
      </c>
      <c r="AW97" s="253">
        <f t="shared" si="472"/>
        <v>0</v>
      </c>
      <c r="AX97" s="253">
        <f t="shared" si="473"/>
        <v>0</v>
      </c>
      <c r="AY97" s="253">
        <f t="shared" si="474"/>
        <v>1.1000000000000001</v>
      </c>
      <c r="AZ97" s="253">
        <f t="shared" si="475"/>
        <v>68.996237551977458</v>
      </c>
      <c r="BA97" s="253">
        <f t="shared" si="476"/>
        <v>0</v>
      </c>
      <c r="BB97" s="253">
        <f t="shared" si="477"/>
        <v>12.8673</v>
      </c>
      <c r="BC97" s="253">
        <f t="shared" si="478"/>
        <v>12.8673</v>
      </c>
      <c r="BD97" s="253">
        <f t="shared" si="479"/>
        <v>2.5734599999999999</v>
      </c>
      <c r="BE97" s="253">
        <f t="shared" si="480"/>
        <v>56.616119999999967</v>
      </c>
      <c r="BF97" s="253">
        <f t="shared" si="481"/>
        <v>93.517784616763748</v>
      </c>
      <c r="BG97" s="253">
        <f t="shared" si="482"/>
        <v>56.616119999999967</v>
      </c>
      <c r="BH97" s="253">
        <f t="shared" si="483"/>
        <v>36.901664616763782</v>
      </c>
      <c r="BI97" s="253">
        <f t="shared" si="484"/>
        <v>0</v>
      </c>
      <c r="BJ97" s="241">
        <f t="shared" si="485"/>
        <v>0</v>
      </c>
      <c r="BK97" s="253">
        <f t="shared" si="486"/>
        <v>0</v>
      </c>
      <c r="BL97" s="253"/>
      <c r="BM97" s="253">
        <f t="shared" si="487"/>
        <v>0.51469200000000004</v>
      </c>
      <c r="BN97" s="252">
        <f t="shared" si="488"/>
        <v>0</v>
      </c>
      <c r="BO97" s="366">
        <f t="shared" si="489"/>
        <v>0</v>
      </c>
      <c r="BP97" s="366">
        <f t="shared" si="490"/>
        <v>0</v>
      </c>
      <c r="BQ97" s="366">
        <f t="shared" si="491"/>
        <v>0</v>
      </c>
      <c r="BR97" s="240">
        <f t="shared" si="492"/>
        <v>0</v>
      </c>
      <c r="BS97" s="240">
        <f t="shared" si="493"/>
        <v>0</v>
      </c>
      <c r="BT97" s="240">
        <f t="shared" si="494"/>
        <v>0</v>
      </c>
      <c r="BU97" s="240">
        <f t="shared" si="495"/>
        <v>0</v>
      </c>
      <c r="BV97" s="240">
        <f t="shared" si="496"/>
        <v>0</v>
      </c>
      <c r="BW97" s="240">
        <f t="shared" si="497"/>
        <v>0</v>
      </c>
      <c r="BX97" s="240">
        <f t="shared" si="498"/>
        <v>2.16</v>
      </c>
      <c r="BY97" s="240">
        <f t="shared" si="499"/>
        <v>50.46</v>
      </c>
      <c r="BZ97" s="240">
        <f t="shared" si="500"/>
        <v>0</v>
      </c>
      <c r="CA97" s="240">
        <f t="shared" si="501"/>
        <v>0</v>
      </c>
      <c r="CB97" s="240">
        <f t="shared" si="502"/>
        <v>0</v>
      </c>
      <c r="CC97" s="240">
        <f t="shared" si="503"/>
        <v>0</v>
      </c>
      <c r="CD97" s="240">
        <f t="shared" si="504"/>
        <v>0</v>
      </c>
      <c r="CE97" s="240">
        <f t="shared" si="505"/>
        <v>0</v>
      </c>
      <c r="CF97" s="240">
        <f t="shared" si="506"/>
        <v>0</v>
      </c>
      <c r="CG97" s="240">
        <f t="shared" si="507"/>
        <v>0</v>
      </c>
      <c r="CH97" s="240">
        <f t="shared" si="508"/>
        <v>0</v>
      </c>
      <c r="CI97" s="240">
        <f t="shared" si="509"/>
        <v>0</v>
      </c>
      <c r="CJ97" s="365">
        <f t="shared" si="510"/>
        <v>0</v>
      </c>
      <c r="CK97" s="240">
        <f t="shared" si="511"/>
        <v>0</v>
      </c>
      <c r="CL97" s="240">
        <f t="shared" si="512"/>
        <v>0</v>
      </c>
      <c r="CM97" s="240">
        <f t="shared" si="513"/>
        <v>0</v>
      </c>
      <c r="CN97" s="245">
        <f t="shared" si="514"/>
        <v>0</v>
      </c>
      <c r="CO97" s="245">
        <f t="shared" si="515"/>
        <v>0</v>
      </c>
      <c r="CP97" s="245">
        <f t="shared" si="516"/>
        <v>0</v>
      </c>
      <c r="CQ97" s="245">
        <f t="shared" si="517"/>
        <v>0</v>
      </c>
      <c r="CR97" s="245">
        <f t="shared" si="518"/>
        <v>0</v>
      </c>
      <c r="CS97" s="245">
        <f t="shared" si="519"/>
        <v>0</v>
      </c>
      <c r="CT97" s="364">
        <f t="shared" si="520"/>
        <v>0</v>
      </c>
      <c r="CU97" s="363">
        <f t="shared" si="521"/>
        <v>1</v>
      </c>
      <c r="CV97" s="363">
        <f t="shared" si="522"/>
        <v>0</v>
      </c>
      <c r="CW97" s="363">
        <f t="shared" si="523"/>
        <v>1</v>
      </c>
      <c r="CX97" s="363">
        <f t="shared" si="524"/>
        <v>0</v>
      </c>
      <c r="CY97" s="363">
        <f t="shared" si="525"/>
        <v>0</v>
      </c>
      <c r="CZ97" s="363">
        <f t="shared" si="526"/>
        <v>0</v>
      </c>
      <c r="DA97" s="362">
        <f t="shared" si="527"/>
        <v>0.5</v>
      </c>
      <c r="DB97" s="361">
        <v>1.3</v>
      </c>
      <c r="DC97" s="361">
        <v>1.4</v>
      </c>
      <c r="DD97" s="361">
        <v>2</v>
      </c>
      <c r="DE97" s="361">
        <v>2</v>
      </c>
      <c r="DF97" s="360">
        <v>2</v>
      </c>
      <c r="DG97" s="252">
        <f t="shared" si="528"/>
        <v>0</v>
      </c>
      <c r="DH97" s="360">
        <f t="shared" si="529"/>
        <v>0</v>
      </c>
      <c r="DI97" s="360">
        <f t="shared" si="530"/>
        <v>0</v>
      </c>
      <c r="DJ97" s="360">
        <f t="shared" si="531"/>
        <v>151.38</v>
      </c>
      <c r="DK97" s="360">
        <f t="shared" si="532"/>
        <v>66.60720000000002</v>
      </c>
      <c r="DL97" s="360">
        <f t="shared" si="533"/>
        <v>0</v>
      </c>
      <c r="DM97" s="360">
        <f t="shared" si="534"/>
        <v>0</v>
      </c>
      <c r="DN97" s="360">
        <f t="shared" si="535"/>
        <v>0</v>
      </c>
      <c r="DO97" s="360">
        <f t="shared" si="536"/>
        <v>0</v>
      </c>
      <c r="DP97" s="360">
        <f t="shared" si="537"/>
        <v>0</v>
      </c>
      <c r="DQ97" s="219"/>
    </row>
    <row r="98" spans="1:121" ht="25" x14ac:dyDescent="0.25">
      <c r="A98" s="238"/>
      <c r="B98" s="238"/>
      <c r="C98" s="238" t="str">
        <f>'Planilha Hidráulica'!B107</f>
        <v>PV5.1-&gt;PV6.1</v>
      </c>
      <c r="D98" s="239">
        <f>'Planilha Hidráulica'!T107</f>
        <v>3.1</v>
      </c>
      <c r="E98" s="239">
        <f>'Planilha Hidráulica'!U107</f>
        <v>3.2</v>
      </c>
      <c r="F98" s="239">
        <f>'Planilha Hidráulica'!L107</f>
        <v>35</v>
      </c>
      <c r="G98" s="238">
        <f>'Planilha Hidráulica'!N107</f>
        <v>1200</v>
      </c>
      <c r="H98" s="240">
        <f t="shared" si="440"/>
        <v>3.5400000000000005</v>
      </c>
      <c r="I98" s="241">
        <f t="shared" si="441"/>
        <v>6.1950000000000012</v>
      </c>
      <c r="J98" s="368">
        <v>0</v>
      </c>
      <c r="K98" s="240">
        <f t="shared" si="442"/>
        <v>2.2000000000000002</v>
      </c>
      <c r="L98" s="240">
        <f t="shared" si="443"/>
        <v>2.2000000000000002</v>
      </c>
      <c r="M98" s="243">
        <f>'Planilha Hidráulica'!Z107</f>
        <v>1200</v>
      </c>
      <c r="N98" s="240">
        <f t="shared" si="444"/>
        <v>77</v>
      </c>
      <c r="O98" s="367" t="str">
        <f>'Planilha Hidráulica'!Y107</f>
        <v>TERRENO NATURAL</v>
      </c>
      <c r="P98" s="367" t="s">
        <v>2715</v>
      </c>
      <c r="Q98" s="367">
        <v>0</v>
      </c>
      <c r="R98" s="367">
        <v>3.8</v>
      </c>
      <c r="S98" s="367">
        <v>5</v>
      </c>
      <c r="T98" s="240">
        <f t="shared" si="445"/>
        <v>0.15</v>
      </c>
      <c r="U98" s="245">
        <f t="shared" si="446"/>
        <v>39.584067435231397</v>
      </c>
      <c r="V98" s="246">
        <f t="shared" si="447"/>
        <v>232.99593256476871</v>
      </c>
      <c r="W98" s="245">
        <f t="shared" si="448"/>
        <v>0</v>
      </c>
      <c r="X98" s="247">
        <f t="shared" si="449"/>
        <v>0</v>
      </c>
      <c r="Y98" s="245">
        <f t="shared" si="450"/>
        <v>3.5400000000000005</v>
      </c>
      <c r="Z98" s="245">
        <f t="shared" si="451"/>
        <v>0</v>
      </c>
      <c r="AA98" s="252">
        <f t="shared" si="452"/>
        <v>0</v>
      </c>
      <c r="AB98" s="361">
        <f t="shared" si="453"/>
        <v>0</v>
      </c>
      <c r="AC98" s="251">
        <f t="shared" si="454"/>
        <v>0</v>
      </c>
      <c r="AD98" s="251">
        <f t="shared" si="455"/>
        <v>0</v>
      </c>
      <c r="AE98" s="251">
        <f t="shared" si="456"/>
        <v>0</v>
      </c>
      <c r="AF98" s="251">
        <f t="shared" si="457"/>
        <v>0</v>
      </c>
      <c r="AG98" s="251">
        <f t="shared" si="458"/>
        <v>0</v>
      </c>
      <c r="AH98" s="251">
        <f t="shared" si="459"/>
        <v>0</v>
      </c>
      <c r="AI98" s="251">
        <f t="shared" si="460"/>
        <v>0</v>
      </c>
      <c r="AJ98" s="251">
        <f t="shared" si="461"/>
        <v>0</v>
      </c>
      <c r="AK98" s="251">
        <f t="shared" si="462"/>
        <v>0</v>
      </c>
      <c r="AL98" s="251">
        <f t="shared" si="463"/>
        <v>115.5</v>
      </c>
      <c r="AM98" s="251">
        <f t="shared" si="538"/>
        <v>115.5</v>
      </c>
      <c r="AN98" s="251">
        <f>IF(AND(K98&lt;=2.5,Y98&gt;=4.5),L98*F98*1.5,IF(AND(K98&lt;=2.5,Y98&gt;3),K98*F98*(Y98-3),0))+IF(R98&lt;H98,0,IF(AND(Y98&lt;=4.5,Y98&gt;3,K98&gt;1.5,K98&lt;=2.5),-U98,0))</f>
        <v>1.995932564768637</v>
      </c>
      <c r="AO98" s="251">
        <f t="shared" si="464"/>
        <v>0</v>
      </c>
      <c r="AP98" s="251">
        <f t="shared" si="465"/>
        <v>0</v>
      </c>
      <c r="AQ98" s="251">
        <f t="shared" si="466"/>
        <v>0</v>
      </c>
      <c r="AR98" s="253">
        <f t="shared" si="467"/>
        <v>0</v>
      </c>
      <c r="AS98" s="253">
        <f t="shared" si="468"/>
        <v>0</v>
      </c>
      <c r="AT98" s="253">
        <f t="shared" si="469"/>
        <v>232.99593256476865</v>
      </c>
      <c r="AU98" s="241">
        <f t="shared" si="470"/>
        <v>0</v>
      </c>
      <c r="AV98" s="246">
        <f t="shared" si="471"/>
        <v>11.549999999999999</v>
      </c>
      <c r="AW98" s="253">
        <f t="shared" si="472"/>
        <v>0</v>
      </c>
      <c r="AX98" s="253">
        <f t="shared" si="473"/>
        <v>0</v>
      </c>
      <c r="AY98" s="253">
        <f t="shared" si="474"/>
        <v>1.5</v>
      </c>
      <c r="AZ98" s="253">
        <f t="shared" si="475"/>
        <v>75.91593256476861</v>
      </c>
      <c r="BA98" s="253">
        <f t="shared" si="476"/>
        <v>0</v>
      </c>
      <c r="BB98" s="253">
        <f t="shared" si="477"/>
        <v>0</v>
      </c>
      <c r="BC98" s="253">
        <f t="shared" si="478"/>
        <v>0</v>
      </c>
      <c r="BD98" s="253">
        <f t="shared" si="479"/>
        <v>0</v>
      </c>
      <c r="BE98" s="253">
        <f t="shared" si="480"/>
        <v>145.53000000000003</v>
      </c>
      <c r="BF98" s="253">
        <f t="shared" si="481"/>
        <v>157.08000000000001</v>
      </c>
      <c r="BG98" s="253">
        <f t="shared" si="482"/>
        <v>145.53000000000003</v>
      </c>
      <c r="BH98" s="253">
        <f t="shared" si="483"/>
        <v>11.549999999999983</v>
      </c>
      <c r="BI98" s="253">
        <f t="shared" si="484"/>
        <v>0</v>
      </c>
      <c r="BJ98" s="241">
        <f t="shared" si="485"/>
        <v>0</v>
      </c>
      <c r="BK98" s="253">
        <f t="shared" si="486"/>
        <v>0</v>
      </c>
      <c r="BL98" s="253"/>
      <c r="BM98" s="253">
        <f t="shared" si="487"/>
        <v>0</v>
      </c>
      <c r="BN98" s="252">
        <f t="shared" si="488"/>
        <v>0</v>
      </c>
      <c r="BO98" s="366">
        <f t="shared" si="489"/>
        <v>0</v>
      </c>
      <c r="BP98" s="366">
        <f t="shared" si="490"/>
        <v>0</v>
      </c>
      <c r="BQ98" s="366">
        <f t="shared" si="491"/>
        <v>0</v>
      </c>
      <c r="BR98" s="240">
        <f t="shared" si="492"/>
        <v>0</v>
      </c>
      <c r="BS98" s="240">
        <f t="shared" si="493"/>
        <v>0</v>
      </c>
      <c r="BT98" s="240">
        <f t="shared" si="494"/>
        <v>0</v>
      </c>
      <c r="BU98" s="240">
        <f t="shared" si="495"/>
        <v>0</v>
      </c>
      <c r="BV98" s="240">
        <f t="shared" si="496"/>
        <v>0</v>
      </c>
      <c r="BW98" s="240">
        <f t="shared" si="497"/>
        <v>0</v>
      </c>
      <c r="BX98" s="240">
        <f t="shared" si="498"/>
        <v>0</v>
      </c>
      <c r="BY98" s="240">
        <f t="shared" si="499"/>
        <v>0</v>
      </c>
      <c r="BZ98" s="240">
        <f t="shared" si="500"/>
        <v>0</v>
      </c>
      <c r="CA98" s="240">
        <f t="shared" si="501"/>
        <v>0</v>
      </c>
      <c r="CB98" s="240">
        <f t="shared" si="502"/>
        <v>0</v>
      </c>
      <c r="CC98" s="240">
        <f t="shared" si="503"/>
        <v>0</v>
      </c>
      <c r="CD98" s="240">
        <f t="shared" si="504"/>
        <v>0</v>
      </c>
      <c r="CE98" s="240">
        <f t="shared" si="505"/>
        <v>0</v>
      </c>
      <c r="CF98" s="240">
        <f t="shared" si="506"/>
        <v>3.5400000000000005</v>
      </c>
      <c r="CG98" s="240">
        <f t="shared" si="507"/>
        <v>0</v>
      </c>
      <c r="CH98" s="240">
        <f t="shared" si="508"/>
        <v>35</v>
      </c>
      <c r="CI98" s="240">
        <f t="shared" si="509"/>
        <v>0</v>
      </c>
      <c r="CJ98" s="365">
        <f t="shared" si="510"/>
        <v>0</v>
      </c>
      <c r="CK98" s="240">
        <f t="shared" si="511"/>
        <v>0</v>
      </c>
      <c r="CL98" s="240">
        <f t="shared" si="512"/>
        <v>0</v>
      </c>
      <c r="CM98" s="240">
        <f t="shared" si="513"/>
        <v>0</v>
      </c>
      <c r="CN98" s="245">
        <f t="shared" si="514"/>
        <v>0</v>
      </c>
      <c r="CO98" s="245">
        <f t="shared" si="515"/>
        <v>0</v>
      </c>
      <c r="CP98" s="245">
        <f t="shared" si="516"/>
        <v>0</v>
      </c>
      <c r="CQ98" s="245">
        <f t="shared" si="517"/>
        <v>0</v>
      </c>
      <c r="CR98" s="245">
        <f t="shared" si="518"/>
        <v>0</v>
      </c>
      <c r="CS98" s="245">
        <f t="shared" si="519"/>
        <v>0</v>
      </c>
      <c r="CT98" s="364">
        <f t="shared" si="520"/>
        <v>0</v>
      </c>
      <c r="CU98" s="363">
        <f t="shared" si="521"/>
        <v>1</v>
      </c>
      <c r="CV98" s="363">
        <f t="shared" si="522"/>
        <v>0</v>
      </c>
      <c r="CW98" s="363">
        <f t="shared" si="523"/>
        <v>0</v>
      </c>
      <c r="CX98" s="363">
        <f t="shared" si="524"/>
        <v>0</v>
      </c>
      <c r="CY98" s="363">
        <f t="shared" si="525"/>
        <v>1</v>
      </c>
      <c r="CZ98" s="363">
        <f t="shared" si="526"/>
        <v>0</v>
      </c>
      <c r="DA98" s="362">
        <f t="shared" si="527"/>
        <v>1.1000000000000001</v>
      </c>
      <c r="DB98" s="361">
        <v>1.3</v>
      </c>
      <c r="DC98" s="361">
        <v>1.4</v>
      </c>
      <c r="DD98" s="361">
        <v>2</v>
      </c>
      <c r="DE98" s="361">
        <v>2</v>
      </c>
      <c r="DF98" s="360">
        <v>2</v>
      </c>
      <c r="DG98" s="252">
        <f t="shared" si="528"/>
        <v>0</v>
      </c>
      <c r="DH98" s="360">
        <f t="shared" si="529"/>
        <v>0</v>
      </c>
      <c r="DI98" s="360">
        <f t="shared" si="530"/>
        <v>0</v>
      </c>
      <c r="DJ98" s="360">
        <f t="shared" si="531"/>
        <v>105</v>
      </c>
      <c r="DK98" s="360">
        <f t="shared" si="532"/>
        <v>105</v>
      </c>
      <c r="DL98" s="360">
        <f t="shared" si="533"/>
        <v>37.800000000000033</v>
      </c>
      <c r="DM98" s="360">
        <f t="shared" si="534"/>
        <v>0</v>
      </c>
      <c r="DN98" s="360">
        <f t="shared" si="535"/>
        <v>0</v>
      </c>
      <c r="DO98" s="360">
        <f t="shared" si="536"/>
        <v>0</v>
      </c>
      <c r="DP98" s="360">
        <f t="shared" si="537"/>
        <v>0</v>
      </c>
      <c r="DQ98" s="219"/>
    </row>
    <row r="99" spans="1:121" ht="25" x14ac:dyDescent="0.25">
      <c r="A99" s="238"/>
      <c r="B99" s="238"/>
      <c r="C99" s="238" t="str">
        <f>'Planilha Hidráulica'!B108</f>
        <v>PV6.1-&gt;PV7.1</v>
      </c>
      <c r="D99" s="239">
        <f>'Planilha Hidráulica'!T108</f>
        <v>3.2</v>
      </c>
      <c r="E99" s="239">
        <f>'Planilha Hidráulica'!U108</f>
        <v>3.8</v>
      </c>
      <c r="F99" s="239">
        <f>'Planilha Hidráulica'!L108</f>
        <v>60</v>
      </c>
      <c r="G99" s="238">
        <f>'Planilha Hidráulica'!N108</f>
        <v>1200</v>
      </c>
      <c r="H99" s="240">
        <f t="shared" si="440"/>
        <v>3.89</v>
      </c>
      <c r="I99" s="241">
        <f t="shared" si="441"/>
        <v>11.67</v>
      </c>
      <c r="J99" s="368">
        <v>0</v>
      </c>
      <c r="K99" s="240">
        <f t="shared" si="442"/>
        <v>2.2000000000000002</v>
      </c>
      <c r="L99" s="240">
        <f t="shared" si="443"/>
        <v>2.2000000000000002</v>
      </c>
      <c r="M99" s="243">
        <f>'Planilha Hidráulica'!Z108</f>
        <v>1200</v>
      </c>
      <c r="N99" s="240">
        <f t="shared" si="444"/>
        <v>132</v>
      </c>
      <c r="O99" s="367" t="str">
        <f>'Planilha Hidráulica'!Y108</f>
        <v>TERRENO NATURAL</v>
      </c>
      <c r="P99" s="367" t="s">
        <v>2715</v>
      </c>
      <c r="Q99" s="367">
        <v>0</v>
      </c>
      <c r="R99" s="367">
        <v>3.8</v>
      </c>
      <c r="S99" s="367">
        <v>5</v>
      </c>
      <c r="T99" s="240">
        <f t="shared" si="445"/>
        <v>0.15</v>
      </c>
      <c r="U99" s="245">
        <f t="shared" si="446"/>
        <v>67.858401317539531</v>
      </c>
      <c r="V99" s="246">
        <f t="shared" si="447"/>
        <v>445.62159868246061</v>
      </c>
      <c r="W99" s="245">
        <f t="shared" si="448"/>
        <v>0</v>
      </c>
      <c r="X99" s="247">
        <f t="shared" si="449"/>
        <v>0</v>
      </c>
      <c r="Y99" s="245">
        <f t="shared" si="450"/>
        <v>3.8</v>
      </c>
      <c r="Z99" s="245">
        <f t="shared" si="451"/>
        <v>9.0000000000000302E-2</v>
      </c>
      <c r="AA99" s="252">
        <f t="shared" si="452"/>
        <v>0</v>
      </c>
      <c r="AB99" s="361">
        <f t="shared" si="453"/>
        <v>0</v>
      </c>
      <c r="AC99" s="251">
        <f t="shared" si="454"/>
        <v>0</v>
      </c>
      <c r="AD99" s="251">
        <f t="shared" si="455"/>
        <v>0</v>
      </c>
      <c r="AE99" s="251">
        <f t="shared" si="456"/>
        <v>0</v>
      </c>
      <c r="AF99" s="251">
        <f t="shared" si="457"/>
        <v>0</v>
      </c>
      <c r="AG99" s="251">
        <f t="shared" si="458"/>
        <v>0</v>
      </c>
      <c r="AH99" s="251">
        <f t="shared" si="459"/>
        <v>0</v>
      </c>
      <c r="AI99" s="251">
        <f t="shared" si="460"/>
        <v>0</v>
      </c>
      <c r="AJ99" s="251">
        <f t="shared" si="461"/>
        <v>0</v>
      </c>
      <c r="AK99" s="251">
        <f t="shared" si="462"/>
        <v>0</v>
      </c>
      <c r="AL99" s="251">
        <f t="shared" si="463"/>
        <v>198</v>
      </c>
      <c r="AM99" s="251">
        <f t="shared" si="538"/>
        <v>198</v>
      </c>
      <c r="AN99" s="251">
        <f>IF(AND(K99&lt;=2.5,Y99&gt;=4.5),L99*F99*1.5,IF(AND(K99&lt;=2.5,Y99&gt;3),K99*F99*(Y99-3),0))-U99</f>
        <v>37.741598682460449</v>
      </c>
      <c r="AO99" s="251">
        <f t="shared" si="464"/>
        <v>0</v>
      </c>
      <c r="AP99" s="251">
        <f t="shared" si="465"/>
        <v>0</v>
      </c>
      <c r="AQ99" s="251">
        <f t="shared" si="466"/>
        <v>0</v>
      </c>
      <c r="AR99" s="253">
        <f t="shared" si="467"/>
        <v>11.880000000000166</v>
      </c>
      <c r="AS99" s="253">
        <f t="shared" si="468"/>
        <v>0</v>
      </c>
      <c r="AT99" s="253">
        <f t="shared" si="469"/>
        <v>445.6215986824605</v>
      </c>
      <c r="AU99" s="241">
        <f t="shared" si="470"/>
        <v>0</v>
      </c>
      <c r="AV99" s="246">
        <f t="shared" si="471"/>
        <v>19.8</v>
      </c>
      <c r="AW99" s="253">
        <f t="shared" si="472"/>
        <v>0</v>
      </c>
      <c r="AX99" s="253">
        <f t="shared" si="473"/>
        <v>0</v>
      </c>
      <c r="AY99" s="253">
        <f t="shared" si="474"/>
        <v>1.5</v>
      </c>
      <c r="AZ99" s="253">
        <f t="shared" si="475"/>
        <v>130.14159868246048</v>
      </c>
      <c r="BA99" s="253">
        <f t="shared" si="476"/>
        <v>0</v>
      </c>
      <c r="BB99" s="253">
        <f t="shared" si="477"/>
        <v>0</v>
      </c>
      <c r="BC99" s="253">
        <f t="shared" si="478"/>
        <v>0</v>
      </c>
      <c r="BD99" s="253">
        <f t="shared" si="479"/>
        <v>0</v>
      </c>
      <c r="BE99" s="253">
        <f t="shared" si="480"/>
        <v>295.68</v>
      </c>
      <c r="BF99" s="253">
        <f t="shared" si="481"/>
        <v>303.59999999999997</v>
      </c>
      <c r="BG99" s="253">
        <f t="shared" si="482"/>
        <v>295.68</v>
      </c>
      <c r="BH99" s="253">
        <f t="shared" si="483"/>
        <v>7.9199999999999591</v>
      </c>
      <c r="BI99" s="253">
        <f t="shared" si="484"/>
        <v>0</v>
      </c>
      <c r="BJ99" s="241">
        <f t="shared" si="485"/>
        <v>0</v>
      </c>
      <c r="BK99" s="253">
        <f t="shared" si="486"/>
        <v>0</v>
      </c>
      <c r="BL99" s="253"/>
      <c r="BM99" s="253">
        <f t="shared" si="487"/>
        <v>0</v>
      </c>
      <c r="BN99" s="252">
        <f t="shared" si="488"/>
        <v>0</v>
      </c>
      <c r="BO99" s="366">
        <f t="shared" si="489"/>
        <v>0</v>
      </c>
      <c r="BP99" s="366">
        <f t="shared" si="490"/>
        <v>0</v>
      </c>
      <c r="BQ99" s="366">
        <f t="shared" si="491"/>
        <v>0</v>
      </c>
      <c r="BR99" s="240">
        <f t="shared" si="492"/>
        <v>0</v>
      </c>
      <c r="BS99" s="240">
        <f t="shared" si="493"/>
        <v>0</v>
      </c>
      <c r="BT99" s="240">
        <f t="shared" si="494"/>
        <v>0</v>
      </c>
      <c r="BU99" s="240">
        <f t="shared" si="495"/>
        <v>0</v>
      </c>
      <c r="BV99" s="240">
        <f t="shared" si="496"/>
        <v>0</v>
      </c>
      <c r="BW99" s="240">
        <f t="shared" si="497"/>
        <v>0</v>
      </c>
      <c r="BX99" s="240">
        <f t="shared" si="498"/>
        <v>0</v>
      </c>
      <c r="BY99" s="240">
        <f t="shared" si="499"/>
        <v>0</v>
      </c>
      <c r="BZ99" s="240">
        <f t="shared" si="500"/>
        <v>0</v>
      </c>
      <c r="CA99" s="240">
        <f t="shared" si="501"/>
        <v>0</v>
      </c>
      <c r="CB99" s="240">
        <f t="shared" si="502"/>
        <v>0</v>
      </c>
      <c r="CC99" s="240">
        <f t="shared" si="503"/>
        <v>0</v>
      </c>
      <c r="CD99" s="240">
        <f t="shared" si="504"/>
        <v>0</v>
      </c>
      <c r="CE99" s="240">
        <f t="shared" si="505"/>
        <v>0</v>
      </c>
      <c r="CF99" s="240">
        <f t="shared" si="506"/>
        <v>3.89</v>
      </c>
      <c r="CG99" s="240">
        <f t="shared" si="507"/>
        <v>0</v>
      </c>
      <c r="CH99" s="240">
        <f t="shared" si="508"/>
        <v>60</v>
      </c>
      <c r="CI99" s="240">
        <f t="shared" si="509"/>
        <v>0</v>
      </c>
      <c r="CJ99" s="365">
        <f t="shared" si="510"/>
        <v>0</v>
      </c>
      <c r="CK99" s="240">
        <f t="shared" si="511"/>
        <v>0</v>
      </c>
      <c r="CL99" s="240">
        <f t="shared" si="512"/>
        <v>0</v>
      </c>
      <c r="CM99" s="240">
        <f t="shared" si="513"/>
        <v>0</v>
      </c>
      <c r="CN99" s="245">
        <f t="shared" si="514"/>
        <v>0</v>
      </c>
      <c r="CO99" s="245">
        <f t="shared" si="515"/>
        <v>0</v>
      </c>
      <c r="CP99" s="245">
        <f t="shared" si="516"/>
        <v>0</v>
      </c>
      <c r="CQ99" s="245">
        <f t="shared" si="517"/>
        <v>0</v>
      </c>
      <c r="CR99" s="245">
        <f t="shared" si="518"/>
        <v>0</v>
      </c>
      <c r="CS99" s="245">
        <f t="shared" si="519"/>
        <v>0</v>
      </c>
      <c r="CT99" s="364">
        <f t="shared" si="520"/>
        <v>0</v>
      </c>
      <c r="CU99" s="363">
        <f t="shared" si="521"/>
        <v>1</v>
      </c>
      <c r="CV99" s="363">
        <f t="shared" si="522"/>
        <v>0</v>
      </c>
      <c r="CW99" s="363">
        <f t="shared" si="523"/>
        <v>0</v>
      </c>
      <c r="CX99" s="363">
        <f t="shared" si="524"/>
        <v>0</v>
      </c>
      <c r="CY99" s="363">
        <f t="shared" si="525"/>
        <v>1</v>
      </c>
      <c r="CZ99" s="363">
        <f t="shared" si="526"/>
        <v>0</v>
      </c>
      <c r="DA99" s="362">
        <f t="shared" si="527"/>
        <v>1.2000000000000002</v>
      </c>
      <c r="DB99" s="361">
        <v>1.3</v>
      </c>
      <c r="DC99" s="361">
        <v>1.4</v>
      </c>
      <c r="DD99" s="361">
        <v>2</v>
      </c>
      <c r="DE99" s="361">
        <v>2</v>
      </c>
      <c r="DF99" s="360">
        <v>2</v>
      </c>
      <c r="DG99" s="252">
        <f t="shared" si="528"/>
        <v>0</v>
      </c>
      <c r="DH99" s="360">
        <f t="shared" si="529"/>
        <v>0</v>
      </c>
      <c r="DI99" s="360">
        <f t="shared" si="530"/>
        <v>0</v>
      </c>
      <c r="DJ99" s="360">
        <f t="shared" si="531"/>
        <v>180</v>
      </c>
      <c r="DK99" s="360">
        <f t="shared" si="532"/>
        <v>180</v>
      </c>
      <c r="DL99" s="360">
        <f t="shared" si="533"/>
        <v>106.80000000000001</v>
      </c>
      <c r="DM99" s="360">
        <f t="shared" si="534"/>
        <v>0</v>
      </c>
      <c r="DN99" s="360">
        <f t="shared" si="535"/>
        <v>0</v>
      </c>
      <c r="DO99" s="360">
        <f t="shared" si="536"/>
        <v>0</v>
      </c>
      <c r="DP99" s="360">
        <f t="shared" si="537"/>
        <v>0</v>
      </c>
      <c r="DQ99" s="219"/>
    </row>
    <row r="100" spans="1:121" ht="25" x14ac:dyDescent="0.25">
      <c r="A100" s="238"/>
      <c r="B100" s="238"/>
      <c r="C100" s="238" t="str">
        <f>'Planilha Hidráulica'!B109</f>
        <v>PV7.1-&gt;PV8.1</v>
      </c>
      <c r="D100" s="239">
        <f>'Planilha Hidráulica'!T109</f>
        <v>3.8</v>
      </c>
      <c r="E100" s="239">
        <f>'Planilha Hidráulica'!U109</f>
        <v>3.9</v>
      </c>
      <c r="F100" s="239">
        <f>'Planilha Hidráulica'!L109</f>
        <v>60</v>
      </c>
      <c r="G100" s="238">
        <f>'Planilha Hidráulica'!N109</f>
        <v>1200</v>
      </c>
      <c r="H100" s="240">
        <f t="shared" si="440"/>
        <v>4.24</v>
      </c>
      <c r="I100" s="241">
        <f t="shared" si="441"/>
        <v>12.72</v>
      </c>
      <c r="J100" s="368">
        <v>0</v>
      </c>
      <c r="K100" s="240">
        <f t="shared" si="442"/>
        <v>2.2000000000000002</v>
      </c>
      <c r="L100" s="240">
        <f t="shared" si="443"/>
        <v>2.2000000000000002</v>
      </c>
      <c r="M100" s="243">
        <f>'Planilha Hidráulica'!Z109</f>
        <v>1200</v>
      </c>
      <c r="N100" s="240">
        <f t="shared" si="444"/>
        <v>132</v>
      </c>
      <c r="O100" s="367" t="str">
        <f>'Planilha Hidráulica'!Y109</f>
        <v>TERRENO NATURAL</v>
      </c>
      <c r="P100" s="367" t="s">
        <v>2715</v>
      </c>
      <c r="Q100" s="367">
        <v>0</v>
      </c>
      <c r="R100" s="367">
        <v>3.8</v>
      </c>
      <c r="S100" s="367">
        <v>5</v>
      </c>
      <c r="T100" s="240">
        <f t="shared" si="445"/>
        <v>0.15</v>
      </c>
      <c r="U100" s="245">
        <f t="shared" si="446"/>
        <v>67.858401317539531</v>
      </c>
      <c r="V100" s="246">
        <f t="shared" si="447"/>
        <v>491.82159868246055</v>
      </c>
      <c r="W100" s="245">
        <f t="shared" si="448"/>
        <v>0</v>
      </c>
      <c r="X100" s="247">
        <f t="shared" si="449"/>
        <v>0</v>
      </c>
      <c r="Y100" s="245">
        <f t="shared" si="450"/>
        <v>3.8</v>
      </c>
      <c r="Z100" s="245">
        <f t="shared" si="451"/>
        <v>0.44000000000000039</v>
      </c>
      <c r="AA100" s="252">
        <f t="shared" si="452"/>
        <v>0</v>
      </c>
      <c r="AB100" s="361">
        <f t="shared" si="453"/>
        <v>0</v>
      </c>
      <c r="AC100" s="251">
        <f t="shared" si="454"/>
        <v>0</v>
      </c>
      <c r="AD100" s="251">
        <f t="shared" si="455"/>
        <v>0</v>
      </c>
      <c r="AE100" s="251">
        <f t="shared" si="456"/>
        <v>0</v>
      </c>
      <c r="AF100" s="251">
        <f t="shared" si="457"/>
        <v>0</v>
      </c>
      <c r="AG100" s="251">
        <f t="shared" si="458"/>
        <v>0</v>
      </c>
      <c r="AH100" s="251">
        <f t="shared" si="459"/>
        <v>0</v>
      </c>
      <c r="AI100" s="251">
        <f t="shared" si="460"/>
        <v>0</v>
      </c>
      <c r="AJ100" s="251">
        <f t="shared" si="461"/>
        <v>0</v>
      </c>
      <c r="AK100" s="251">
        <f t="shared" si="462"/>
        <v>0</v>
      </c>
      <c r="AL100" s="251">
        <f t="shared" si="463"/>
        <v>198</v>
      </c>
      <c r="AM100" s="251">
        <f t="shared" si="538"/>
        <v>198</v>
      </c>
      <c r="AN100" s="251">
        <f t="shared" ref="AN100:AN105" si="539">IF(AND(K100&lt;=2.5,Y100&gt;=4.5),L100*F100*1.5,IF(AND(K100&lt;=2.5,Y100&gt;3),K100*F100*(Y100-3),0))+IF(R100&lt;H100,0,IF(AND(Y100&lt;=4.5,Y100&gt;3,K100&gt;1.5,K100&lt;=2.5),-U100,0))</f>
        <v>105.59999999999998</v>
      </c>
      <c r="AO100" s="251">
        <f t="shared" si="464"/>
        <v>0</v>
      </c>
      <c r="AP100" s="251">
        <f t="shared" si="465"/>
        <v>0</v>
      </c>
      <c r="AQ100" s="251">
        <f t="shared" si="466"/>
        <v>0</v>
      </c>
      <c r="AR100" s="253">
        <f t="shared" si="467"/>
        <v>-9.7784013175394193</v>
      </c>
      <c r="AS100" s="253">
        <f t="shared" si="468"/>
        <v>0</v>
      </c>
      <c r="AT100" s="253">
        <f t="shared" si="469"/>
        <v>491.82159868246055</v>
      </c>
      <c r="AU100" s="241">
        <f t="shared" si="470"/>
        <v>0</v>
      </c>
      <c r="AV100" s="246">
        <f t="shared" si="471"/>
        <v>19.8</v>
      </c>
      <c r="AW100" s="253">
        <f t="shared" si="472"/>
        <v>0</v>
      </c>
      <c r="AX100" s="253">
        <f t="shared" si="473"/>
        <v>0</v>
      </c>
      <c r="AY100" s="253">
        <f t="shared" si="474"/>
        <v>1.5</v>
      </c>
      <c r="AZ100" s="253">
        <f t="shared" si="475"/>
        <v>130.14159868246048</v>
      </c>
      <c r="BA100" s="253">
        <f t="shared" si="476"/>
        <v>0</v>
      </c>
      <c r="BB100" s="253">
        <f t="shared" si="477"/>
        <v>0</v>
      </c>
      <c r="BC100" s="253">
        <f t="shared" si="478"/>
        <v>0</v>
      </c>
      <c r="BD100" s="253">
        <f t="shared" si="479"/>
        <v>0</v>
      </c>
      <c r="BE100" s="253">
        <f t="shared" si="480"/>
        <v>341.88000000000005</v>
      </c>
      <c r="BF100" s="253">
        <f t="shared" si="481"/>
        <v>371.45840131753948</v>
      </c>
      <c r="BG100" s="253">
        <f t="shared" si="482"/>
        <v>341.88000000000005</v>
      </c>
      <c r="BH100" s="253">
        <f t="shared" si="483"/>
        <v>29.578401317539431</v>
      </c>
      <c r="BI100" s="253">
        <f t="shared" si="484"/>
        <v>0</v>
      </c>
      <c r="BJ100" s="241">
        <f t="shared" si="485"/>
        <v>0</v>
      </c>
      <c r="BK100" s="253">
        <f t="shared" si="486"/>
        <v>0</v>
      </c>
      <c r="BL100" s="253"/>
      <c r="BM100" s="253">
        <f t="shared" si="487"/>
        <v>0</v>
      </c>
      <c r="BN100" s="252">
        <f t="shared" si="488"/>
        <v>0</v>
      </c>
      <c r="BO100" s="366">
        <f t="shared" si="489"/>
        <v>0</v>
      </c>
      <c r="BP100" s="366">
        <f t="shared" si="490"/>
        <v>0</v>
      </c>
      <c r="BQ100" s="366">
        <f t="shared" si="491"/>
        <v>0</v>
      </c>
      <c r="BR100" s="240">
        <f t="shared" si="492"/>
        <v>0</v>
      </c>
      <c r="BS100" s="240">
        <f t="shared" si="493"/>
        <v>0</v>
      </c>
      <c r="BT100" s="240">
        <f t="shared" si="494"/>
        <v>0</v>
      </c>
      <c r="BU100" s="240">
        <f t="shared" si="495"/>
        <v>0</v>
      </c>
      <c r="BV100" s="240">
        <f t="shared" si="496"/>
        <v>0</v>
      </c>
      <c r="BW100" s="240">
        <f t="shared" si="497"/>
        <v>0</v>
      </c>
      <c r="BX100" s="240">
        <f t="shared" si="498"/>
        <v>0</v>
      </c>
      <c r="BY100" s="240">
        <f t="shared" si="499"/>
        <v>0</v>
      </c>
      <c r="BZ100" s="240">
        <f t="shared" si="500"/>
        <v>0</v>
      </c>
      <c r="CA100" s="240">
        <f t="shared" si="501"/>
        <v>0</v>
      </c>
      <c r="CB100" s="240">
        <f t="shared" si="502"/>
        <v>0</v>
      </c>
      <c r="CC100" s="240">
        <f t="shared" si="503"/>
        <v>0</v>
      </c>
      <c r="CD100" s="240">
        <f t="shared" si="504"/>
        <v>0</v>
      </c>
      <c r="CE100" s="240">
        <f t="shared" si="505"/>
        <v>0</v>
      </c>
      <c r="CF100" s="240">
        <f t="shared" si="506"/>
        <v>4.24</v>
      </c>
      <c r="CG100" s="240">
        <f t="shared" si="507"/>
        <v>0</v>
      </c>
      <c r="CH100" s="240">
        <f t="shared" si="508"/>
        <v>60</v>
      </c>
      <c r="CI100" s="240">
        <f t="shared" si="509"/>
        <v>0</v>
      </c>
      <c r="CJ100" s="365">
        <f t="shared" si="510"/>
        <v>0</v>
      </c>
      <c r="CK100" s="240">
        <f t="shared" si="511"/>
        <v>0</v>
      </c>
      <c r="CL100" s="240">
        <f t="shared" si="512"/>
        <v>0</v>
      </c>
      <c r="CM100" s="240">
        <f t="shared" si="513"/>
        <v>0</v>
      </c>
      <c r="CN100" s="245">
        <f t="shared" si="514"/>
        <v>0</v>
      </c>
      <c r="CO100" s="245">
        <f t="shared" si="515"/>
        <v>0</v>
      </c>
      <c r="CP100" s="245">
        <f t="shared" si="516"/>
        <v>0</v>
      </c>
      <c r="CQ100" s="245">
        <f t="shared" si="517"/>
        <v>0</v>
      </c>
      <c r="CR100" s="245">
        <f t="shared" si="518"/>
        <v>0</v>
      </c>
      <c r="CS100" s="245">
        <f t="shared" si="519"/>
        <v>0</v>
      </c>
      <c r="CT100" s="364">
        <f t="shared" si="520"/>
        <v>0</v>
      </c>
      <c r="CU100" s="363">
        <f t="shared" si="521"/>
        <v>1</v>
      </c>
      <c r="CV100" s="363">
        <f t="shared" si="522"/>
        <v>0</v>
      </c>
      <c r="CW100" s="363">
        <f t="shared" si="523"/>
        <v>0</v>
      </c>
      <c r="CX100" s="363">
        <f t="shared" si="524"/>
        <v>0</v>
      </c>
      <c r="CY100" s="363">
        <f t="shared" si="525"/>
        <v>1</v>
      </c>
      <c r="CZ100" s="363">
        <f t="shared" si="526"/>
        <v>0</v>
      </c>
      <c r="DA100" s="362">
        <f t="shared" si="527"/>
        <v>1.7999999999999998</v>
      </c>
      <c r="DB100" s="361">
        <v>1.3</v>
      </c>
      <c r="DC100" s="361">
        <v>1.4</v>
      </c>
      <c r="DD100" s="361">
        <v>2</v>
      </c>
      <c r="DE100" s="361">
        <v>2</v>
      </c>
      <c r="DF100" s="360">
        <v>2</v>
      </c>
      <c r="DG100" s="252">
        <f t="shared" si="528"/>
        <v>0</v>
      </c>
      <c r="DH100" s="360">
        <f t="shared" si="529"/>
        <v>0</v>
      </c>
      <c r="DI100" s="360">
        <f t="shared" si="530"/>
        <v>0</v>
      </c>
      <c r="DJ100" s="360">
        <f t="shared" si="531"/>
        <v>180</v>
      </c>
      <c r="DK100" s="360">
        <f t="shared" si="532"/>
        <v>180</v>
      </c>
      <c r="DL100" s="360">
        <f t="shared" si="533"/>
        <v>148.80000000000001</v>
      </c>
      <c r="DM100" s="360">
        <f t="shared" si="534"/>
        <v>0</v>
      </c>
      <c r="DN100" s="360">
        <f t="shared" si="535"/>
        <v>0</v>
      </c>
      <c r="DO100" s="360">
        <f t="shared" si="536"/>
        <v>0</v>
      </c>
      <c r="DP100" s="360">
        <f t="shared" si="537"/>
        <v>0</v>
      </c>
      <c r="DQ100" s="219"/>
    </row>
    <row r="101" spans="1:121" ht="25" x14ac:dyDescent="0.25">
      <c r="A101" s="238"/>
      <c r="B101" s="238"/>
      <c r="C101" s="238" t="str">
        <f>'Planilha Hidráulica'!B110</f>
        <v>PV8.1-&gt;PV9.1</v>
      </c>
      <c r="D101" s="239">
        <f>'Planilha Hidráulica'!T110</f>
        <v>4.2</v>
      </c>
      <c r="E101" s="239">
        <f>'Planilha Hidráulica'!U110</f>
        <v>3.4</v>
      </c>
      <c r="F101" s="239">
        <f>'Planilha Hidráulica'!L110</f>
        <v>40</v>
      </c>
      <c r="G101" s="238">
        <f>'Planilha Hidráulica'!N110</f>
        <v>1500</v>
      </c>
      <c r="H101" s="240">
        <f t="shared" si="440"/>
        <v>4.3</v>
      </c>
      <c r="I101" s="241">
        <f t="shared" si="441"/>
        <v>8.6</v>
      </c>
      <c r="J101" s="368">
        <v>0</v>
      </c>
      <c r="K101" s="240">
        <f t="shared" si="442"/>
        <v>2.6</v>
      </c>
      <c r="L101" s="240">
        <f t="shared" si="443"/>
        <v>2.6</v>
      </c>
      <c r="M101" s="243">
        <f>'Planilha Hidráulica'!Z110</f>
        <v>1200</v>
      </c>
      <c r="N101" s="240">
        <f t="shared" si="444"/>
        <v>104</v>
      </c>
      <c r="O101" s="367" t="str">
        <f>'Planilha Hidráulica'!Y110</f>
        <v>TERRENO NATURAL</v>
      </c>
      <c r="P101" s="367" t="s">
        <v>2714</v>
      </c>
      <c r="Q101" s="367">
        <v>0</v>
      </c>
      <c r="R101" s="367">
        <v>2</v>
      </c>
      <c r="S101" s="367">
        <v>5</v>
      </c>
      <c r="T101" s="240">
        <f t="shared" si="445"/>
        <v>0.2</v>
      </c>
      <c r="U101" s="245">
        <f t="shared" si="446"/>
        <v>45.238934211693021</v>
      </c>
      <c r="V101" s="246">
        <f t="shared" si="447"/>
        <v>401.961065788307</v>
      </c>
      <c r="W101" s="245">
        <f t="shared" si="448"/>
        <v>0</v>
      </c>
      <c r="X101" s="247">
        <f t="shared" si="449"/>
        <v>0</v>
      </c>
      <c r="Y101" s="245">
        <f t="shared" si="450"/>
        <v>2</v>
      </c>
      <c r="Z101" s="245">
        <f t="shared" si="451"/>
        <v>2.2999999999999998</v>
      </c>
      <c r="AA101" s="252">
        <f t="shared" si="452"/>
        <v>0</v>
      </c>
      <c r="AB101" s="361">
        <f t="shared" si="453"/>
        <v>0</v>
      </c>
      <c r="AC101" s="251">
        <f t="shared" si="454"/>
        <v>0</v>
      </c>
      <c r="AD101" s="251">
        <f t="shared" si="455"/>
        <v>0</v>
      </c>
      <c r="AE101" s="251">
        <f t="shared" si="456"/>
        <v>0</v>
      </c>
      <c r="AF101" s="251">
        <f t="shared" si="457"/>
        <v>0</v>
      </c>
      <c r="AG101" s="251">
        <f t="shared" si="458"/>
        <v>0</v>
      </c>
      <c r="AH101" s="251">
        <f t="shared" si="459"/>
        <v>0</v>
      </c>
      <c r="AI101" s="251">
        <f t="shared" si="460"/>
        <v>0</v>
      </c>
      <c r="AJ101" s="251">
        <f t="shared" si="461"/>
        <v>0</v>
      </c>
      <c r="AK101" s="251">
        <f t="shared" si="462"/>
        <v>0</v>
      </c>
      <c r="AL101" s="251">
        <f t="shared" si="463"/>
        <v>0</v>
      </c>
      <c r="AM101" s="251">
        <f t="shared" si="538"/>
        <v>0</v>
      </c>
      <c r="AN101" s="251">
        <f t="shared" si="539"/>
        <v>0</v>
      </c>
      <c r="AO101" s="251">
        <f t="shared" si="464"/>
        <v>208</v>
      </c>
      <c r="AP101" s="251">
        <f t="shared" si="465"/>
        <v>0</v>
      </c>
      <c r="AQ101" s="251">
        <f t="shared" si="466"/>
        <v>0</v>
      </c>
      <c r="AR101" s="253">
        <f t="shared" si="467"/>
        <v>193.961065788307</v>
      </c>
      <c r="AS101" s="253">
        <f t="shared" si="468"/>
        <v>0</v>
      </c>
      <c r="AT101" s="253">
        <f t="shared" si="469"/>
        <v>376.51416529422966</v>
      </c>
      <c r="AU101" s="241">
        <f t="shared" si="470"/>
        <v>0</v>
      </c>
      <c r="AV101" s="246">
        <f t="shared" si="471"/>
        <v>20.8</v>
      </c>
      <c r="AW101" s="253">
        <f t="shared" si="472"/>
        <v>0</v>
      </c>
      <c r="AX101" s="253">
        <f t="shared" si="473"/>
        <v>0</v>
      </c>
      <c r="AY101" s="253">
        <f t="shared" si="474"/>
        <v>1.8</v>
      </c>
      <c r="AZ101" s="253">
        <f t="shared" si="475"/>
        <v>116.51416529422967</v>
      </c>
      <c r="BA101" s="253">
        <f t="shared" si="476"/>
        <v>0</v>
      </c>
      <c r="BB101" s="253">
        <f t="shared" si="477"/>
        <v>0</v>
      </c>
      <c r="BC101" s="253">
        <f t="shared" si="478"/>
        <v>0</v>
      </c>
      <c r="BD101" s="253">
        <f t="shared" si="479"/>
        <v>0</v>
      </c>
      <c r="BE101" s="253">
        <f t="shared" si="480"/>
        <v>239.2</v>
      </c>
      <c r="BF101" s="253">
        <f t="shared" si="481"/>
        <v>91.48583470577033</v>
      </c>
      <c r="BG101" s="253">
        <f t="shared" si="482"/>
        <v>91.48583470577033</v>
      </c>
      <c r="BH101" s="253">
        <f t="shared" si="483"/>
        <v>0</v>
      </c>
      <c r="BI101" s="253">
        <f t="shared" si="484"/>
        <v>147.71416529422964</v>
      </c>
      <c r="BJ101" s="241">
        <f t="shared" si="485"/>
        <v>147.71416529422964</v>
      </c>
      <c r="BK101" s="253">
        <f t="shared" si="486"/>
        <v>0</v>
      </c>
      <c r="BL101" s="253"/>
      <c r="BM101" s="253">
        <f t="shared" si="487"/>
        <v>0</v>
      </c>
      <c r="BN101" s="252">
        <f t="shared" si="488"/>
        <v>0</v>
      </c>
      <c r="BO101" s="366">
        <f t="shared" si="489"/>
        <v>0</v>
      </c>
      <c r="BP101" s="366">
        <f t="shared" si="490"/>
        <v>0</v>
      </c>
      <c r="BQ101" s="366">
        <f t="shared" si="491"/>
        <v>0</v>
      </c>
      <c r="BR101" s="240">
        <f t="shared" si="492"/>
        <v>0</v>
      </c>
      <c r="BS101" s="240">
        <f t="shared" si="493"/>
        <v>0</v>
      </c>
      <c r="BT101" s="240">
        <f t="shared" si="494"/>
        <v>0</v>
      </c>
      <c r="BU101" s="240">
        <f t="shared" si="495"/>
        <v>0</v>
      </c>
      <c r="BV101" s="240">
        <f t="shared" si="496"/>
        <v>0</v>
      </c>
      <c r="BW101" s="240">
        <f t="shared" si="497"/>
        <v>0</v>
      </c>
      <c r="BX101" s="240">
        <f t="shared" si="498"/>
        <v>0</v>
      </c>
      <c r="BY101" s="240">
        <f t="shared" si="499"/>
        <v>0</v>
      </c>
      <c r="BZ101" s="240">
        <f t="shared" si="500"/>
        <v>0</v>
      </c>
      <c r="CA101" s="240">
        <f t="shared" si="501"/>
        <v>0</v>
      </c>
      <c r="CB101" s="240">
        <f t="shared" si="502"/>
        <v>0</v>
      </c>
      <c r="CC101" s="240">
        <f t="shared" si="503"/>
        <v>0</v>
      </c>
      <c r="CD101" s="240">
        <f t="shared" si="504"/>
        <v>0</v>
      </c>
      <c r="CE101" s="240">
        <f t="shared" si="505"/>
        <v>0</v>
      </c>
      <c r="CF101" s="240">
        <f t="shared" si="506"/>
        <v>0</v>
      </c>
      <c r="CG101" s="240">
        <f t="shared" si="507"/>
        <v>0</v>
      </c>
      <c r="CH101" s="240">
        <f t="shared" si="508"/>
        <v>0</v>
      </c>
      <c r="CI101" s="240">
        <f t="shared" si="509"/>
        <v>0</v>
      </c>
      <c r="CJ101" s="365">
        <f t="shared" si="510"/>
        <v>4.3</v>
      </c>
      <c r="CK101" s="240">
        <f t="shared" si="511"/>
        <v>0</v>
      </c>
      <c r="CL101" s="240">
        <f t="shared" si="512"/>
        <v>40</v>
      </c>
      <c r="CM101" s="240">
        <f t="shared" si="513"/>
        <v>0</v>
      </c>
      <c r="CN101" s="245">
        <f t="shared" si="514"/>
        <v>0</v>
      </c>
      <c r="CO101" s="245">
        <f t="shared" si="515"/>
        <v>0</v>
      </c>
      <c r="CP101" s="245">
        <f t="shared" si="516"/>
        <v>0</v>
      </c>
      <c r="CQ101" s="245">
        <f t="shared" si="517"/>
        <v>0</v>
      </c>
      <c r="CR101" s="245">
        <f t="shared" si="518"/>
        <v>0</v>
      </c>
      <c r="CS101" s="245">
        <f t="shared" si="519"/>
        <v>0</v>
      </c>
      <c r="CT101" s="364">
        <f t="shared" si="520"/>
        <v>0</v>
      </c>
      <c r="CU101" s="363">
        <f t="shared" si="521"/>
        <v>1</v>
      </c>
      <c r="CV101" s="363">
        <f t="shared" si="522"/>
        <v>0</v>
      </c>
      <c r="CW101" s="363">
        <f t="shared" si="523"/>
        <v>0</v>
      </c>
      <c r="CX101" s="363">
        <f t="shared" si="524"/>
        <v>0</v>
      </c>
      <c r="CY101" s="363">
        <f t="shared" si="525"/>
        <v>0</v>
      </c>
      <c r="CZ101" s="363">
        <f t="shared" si="526"/>
        <v>1</v>
      </c>
      <c r="DA101" s="362">
        <f t="shared" si="527"/>
        <v>2.2000000000000002</v>
      </c>
      <c r="DB101" s="361">
        <v>1.3</v>
      </c>
      <c r="DC101" s="361">
        <v>1.4</v>
      </c>
      <c r="DD101" s="361">
        <v>2</v>
      </c>
      <c r="DE101" s="361">
        <v>2</v>
      </c>
      <c r="DF101" s="360">
        <v>2</v>
      </c>
      <c r="DG101" s="252">
        <f t="shared" si="528"/>
        <v>0</v>
      </c>
      <c r="DH101" s="360">
        <f t="shared" si="529"/>
        <v>0</v>
      </c>
      <c r="DI101" s="360">
        <f t="shared" si="530"/>
        <v>0</v>
      </c>
      <c r="DJ101" s="360">
        <f t="shared" si="531"/>
        <v>0</v>
      </c>
      <c r="DK101" s="360">
        <f t="shared" si="532"/>
        <v>0</v>
      </c>
      <c r="DL101" s="360">
        <f t="shared" si="533"/>
        <v>0</v>
      </c>
      <c r="DM101" s="360">
        <f t="shared" si="534"/>
        <v>120</v>
      </c>
      <c r="DN101" s="360">
        <f t="shared" si="535"/>
        <v>120</v>
      </c>
      <c r="DO101" s="360">
        <f t="shared" si="536"/>
        <v>103.99999999999999</v>
      </c>
      <c r="DP101" s="360">
        <f t="shared" si="537"/>
        <v>0</v>
      </c>
      <c r="DQ101" s="219"/>
    </row>
    <row r="102" spans="1:121" ht="25" x14ac:dyDescent="0.25">
      <c r="A102" s="238"/>
      <c r="B102" s="238"/>
      <c r="C102" s="238" t="str">
        <f>'Planilha Hidráulica'!B111</f>
        <v>PV9.1-&gt;PV10.1</v>
      </c>
      <c r="D102" s="239">
        <f>'Planilha Hidráulica'!T111</f>
        <v>3.4</v>
      </c>
      <c r="E102" s="239">
        <f>'Planilha Hidráulica'!U111</f>
        <v>2.5</v>
      </c>
      <c r="F102" s="239">
        <f>'Planilha Hidráulica'!L111</f>
        <v>40</v>
      </c>
      <c r="G102" s="238">
        <f>'Planilha Hidráulica'!N111</f>
        <v>1500</v>
      </c>
      <c r="H102" s="240">
        <f t="shared" si="440"/>
        <v>3.45</v>
      </c>
      <c r="I102" s="241">
        <f t="shared" si="441"/>
        <v>6.9</v>
      </c>
      <c r="J102" s="368">
        <v>0</v>
      </c>
      <c r="K102" s="240">
        <f t="shared" si="442"/>
        <v>2.6</v>
      </c>
      <c r="L102" s="240">
        <f t="shared" si="443"/>
        <v>2.6</v>
      </c>
      <c r="M102" s="243">
        <f>'Planilha Hidráulica'!Z111</f>
        <v>1200</v>
      </c>
      <c r="N102" s="240">
        <f t="shared" si="444"/>
        <v>104</v>
      </c>
      <c r="O102" s="367" t="str">
        <f>'Planilha Hidráulica'!Y111</f>
        <v>TERRENO NATURAL</v>
      </c>
      <c r="P102" s="367" t="s">
        <v>2714</v>
      </c>
      <c r="Q102" s="367">
        <v>0</v>
      </c>
      <c r="R102" s="367">
        <v>2</v>
      </c>
      <c r="S102" s="367">
        <v>5</v>
      </c>
      <c r="T102" s="240">
        <f t="shared" si="445"/>
        <v>0.2</v>
      </c>
      <c r="U102" s="245">
        <f t="shared" si="446"/>
        <v>45.238934211693021</v>
      </c>
      <c r="V102" s="246">
        <f t="shared" si="447"/>
        <v>313.56106578830702</v>
      </c>
      <c r="W102" s="245">
        <f t="shared" si="448"/>
        <v>0</v>
      </c>
      <c r="X102" s="247">
        <f t="shared" si="449"/>
        <v>0</v>
      </c>
      <c r="Y102" s="245">
        <f t="shared" si="450"/>
        <v>2</v>
      </c>
      <c r="Z102" s="245">
        <f t="shared" si="451"/>
        <v>1.4500000000000002</v>
      </c>
      <c r="AA102" s="252">
        <f t="shared" si="452"/>
        <v>0</v>
      </c>
      <c r="AB102" s="361">
        <f t="shared" si="453"/>
        <v>0</v>
      </c>
      <c r="AC102" s="251">
        <f t="shared" si="454"/>
        <v>0</v>
      </c>
      <c r="AD102" s="251">
        <f t="shared" si="455"/>
        <v>0</v>
      </c>
      <c r="AE102" s="251">
        <f t="shared" si="456"/>
        <v>0</v>
      </c>
      <c r="AF102" s="251">
        <f t="shared" si="457"/>
        <v>0</v>
      </c>
      <c r="AG102" s="251">
        <f t="shared" si="458"/>
        <v>0</v>
      </c>
      <c r="AH102" s="251">
        <f t="shared" si="459"/>
        <v>0</v>
      </c>
      <c r="AI102" s="251">
        <f t="shared" si="460"/>
        <v>0</v>
      </c>
      <c r="AJ102" s="251">
        <f t="shared" si="461"/>
        <v>0</v>
      </c>
      <c r="AK102" s="251">
        <f t="shared" si="462"/>
        <v>0</v>
      </c>
      <c r="AL102" s="251">
        <f t="shared" si="463"/>
        <v>0</v>
      </c>
      <c r="AM102" s="251">
        <f t="shared" si="538"/>
        <v>0</v>
      </c>
      <c r="AN102" s="251">
        <f t="shared" si="539"/>
        <v>0</v>
      </c>
      <c r="AO102" s="251">
        <f t="shared" si="464"/>
        <v>208</v>
      </c>
      <c r="AP102" s="251">
        <f t="shared" si="465"/>
        <v>0</v>
      </c>
      <c r="AQ102" s="251">
        <f t="shared" si="466"/>
        <v>0</v>
      </c>
      <c r="AR102" s="253">
        <f t="shared" si="467"/>
        <v>105.56106578830702</v>
      </c>
      <c r="AS102" s="253">
        <f t="shared" si="468"/>
        <v>0</v>
      </c>
      <c r="AT102" s="253">
        <f t="shared" si="469"/>
        <v>288.11416529422968</v>
      </c>
      <c r="AU102" s="241">
        <f t="shared" si="470"/>
        <v>0</v>
      </c>
      <c r="AV102" s="246">
        <f t="shared" si="471"/>
        <v>20.8</v>
      </c>
      <c r="AW102" s="253">
        <f t="shared" si="472"/>
        <v>0</v>
      </c>
      <c r="AX102" s="253">
        <f t="shared" si="473"/>
        <v>0</v>
      </c>
      <c r="AY102" s="253">
        <f t="shared" si="474"/>
        <v>1.8</v>
      </c>
      <c r="AZ102" s="253">
        <f t="shared" si="475"/>
        <v>116.51416529422967</v>
      </c>
      <c r="BA102" s="253">
        <f t="shared" si="476"/>
        <v>0</v>
      </c>
      <c r="BB102" s="253">
        <f t="shared" si="477"/>
        <v>0</v>
      </c>
      <c r="BC102" s="253">
        <f t="shared" si="478"/>
        <v>0</v>
      </c>
      <c r="BD102" s="253">
        <f t="shared" si="479"/>
        <v>0</v>
      </c>
      <c r="BE102" s="253">
        <f t="shared" si="480"/>
        <v>150.80000000000001</v>
      </c>
      <c r="BF102" s="253">
        <f t="shared" si="481"/>
        <v>91.48583470577033</v>
      </c>
      <c r="BG102" s="253">
        <f t="shared" si="482"/>
        <v>91.48583470577033</v>
      </c>
      <c r="BH102" s="253">
        <f t="shared" si="483"/>
        <v>0</v>
      </c>
      <c r="BI102" s="253">
        <f t="shared" si="484"/>
        <v>59.314165294229682</v>
      </c>
      <c r="BJ102" s="241">
        <f t="shared" si="485"/>
        <v>59.314165294229682</v>
      </c>
      <c r="BK102" s="253">
        <f t="shared" si="486"/>
        <v>0</v>
      </c>
      <c r="BL102" s="253"/>
      <c r="BM102" s="253">
        <f t="shared" si="487"/>
        <v>0</v>
      </c>
      <c r="BN102" s="252">
        <f t="shared" si="488"/>
        <v>0</v>
      </c>
      <c r="BO102" s="366">
        <f t="shared" si="489"/>
        <v>0</v>
      </c>
      <c r="BP102" s="366">
        <f t="shared" si="490"/>
        <v>0</v>
      </c>
      <c r="BQ102" s="366">
        <f t="shared" si="491"/>
        <v>0</v>
      </c>
      <c r="BR102" s="240">
        <f t="shared" si="492"/>
        <v>0</v>
      </c>
      <c r="BS102" s="240">
        <f t="shared" si="493"/>
        <v>0</v>
      </c>
      <c r="BT102" s="240">
        <f t="shared" si="494"/>
        <v>0</v>
      </c>
      <c r="BU102" s="240">
        <f t="shared" si="495"/>
        <v>0</v>
      </c>
      <c r="BV102" s="240">
        <f t="shared" si="496"/>
        <v>0</v>
      </c>
      <c r="BW102" s="240">
        <f t="shared" si="497"/>
        <v>0</v>
      </c>
      <c r="BX102" s="240">
        <f t="shared" si="498"/>
        <v>0</v>
      </c>
      <c r="BY102" s="240">
        <f t="shared" si="499"/>
        <v>0</v>
      </c>
      <c r="BZ102" s="240">
        <f t="shared" si="500"/>
        <v>0</v>
      </c>
      <c r="CA102" s="240">
        <f t="shared" si="501"/>
        <v>0</v>
      </c>
      <c r="CB102" s="240">
        <f t="shared" si="502"/>
        <v>0</v>
      </c>
      <c r="CC102" s="240">
        <f t="shared" si="503"/>
        <v>0</v>
      </c>
      <c r="CD102" s="240">
        <f t="shared" si="504"/>
        <v>0</v>
      </c>
      <c r="CE102" s="240">
        <f t="shared" si="505"/>
        <v>0</v>
      </c>
      <c r="CF102" s="240">
        <f t="shared" si="506"/>
        <v>0</v>
      </c>
      <c r="CG102" s="240">
        <f t="shared" si="507"/>
        <v>0</v>
      </c>
      <c r="CH102" s="240">
        <f t="shared" si="508"/>
        <v>0</v>
      </c>
      <c r="CI102" s="240">
        <f t="shared" si="509"/>
        <v>0</v>
      </c>
      <c r="CJ102" s="365">
        <f t="shared" si="510"/>
        <v>3.45</v>
      </c>
      <c r="CK102" s="240">
        <f t="shared" si="511"/>
        <v>0</v>
      </c>
      <c r="CL102" s="240">
        <f t="shared" si="512"/>
        <v>40</v>
      </c>
      <c r="CM102" s="240">
        <f t="shared" si="513"/>
        <v>0</v>
      </c>
      <c r="CN102" s="245">
        <f t="shared" si="514"/>
        <v>0</v>
      </c>
      <c r="CO102" s="245">
        <f t="shared" si="515"/>
        <v>0</v>
      </c>
      <c r="CP102" s="245">
        <f t="shared" si="516"/>
        <v>0</v>
      </c>
      <c r="CQ102" s="245">
        <f t="shared" si="517"/>
        <v>0</v>
      </c>
      <c r="CR102" s="245">
        <f t="shared" si="518"/>
        <v>0</v>
      </c>
      <c r="CS102" s="245">
        <f t="shared" si="519"/>
        <v>0</v>
      </c>
      <c r="CT102" s="364">
        <f t="shared" si="520"/>
        <v>0</v>
      </c>
      <c r="CU102" s="363">
        <f t="shared" si="521"/>
        <v>1</v>
      </c>
      <c r="CV102" s="363">
        <f t="shared" si="522"/>
        <v>0</v>
      </c>
      <c r="CW102" s="363">
        <f t="shared" si="523"/>
        <v>0</v>
      </c>
      <c r="CX102" s="363">
        <f t="shared" si="524"/>
        <v>0</v>
      </c>
      <c r="CY102" s="363">
        <f t="shared" si="525"/>
        <v>0</v>
      </c>
      <c r="CZ102" s="363">
        <f t="shared" si="526"/>
        <v>1</v>
      </c>
      <c r="DA102" s="362">
        <f t="shared" si="527"/>
        <v>1.4</v>
      </c>
      <c r="DB102" s="361">
        <v>1.3</v>
      </c>
      <c r="DC102" s="361">
        <v>1.4</v>
      </c>
      <c r="DD102" s="361">
        <v>2</v>
      </c>
      <c r="DE102" s="361">
        <v>2</v>
      </c>
      <c r="DF102" s="360">
        <v>2</v>
      </c>
      <c r="DG102" s="252">
        <f t="shared" si="528"/>
        <v>0</v>
      </c>
      <c r="DH102" s="360">
        <f t="shared" si="529"/>
        <v>0</v>
      </c>
      <c r="DI102" s="360">
        <f t="shared" si="530"/>
        <v>0</v>
      </c>
      <c r="DJ102" s="360">
        <f t="shared" si="531"/>
        <v>0</v>
      </c>
      <c r="DK102" s="360">
        <f t="shared" si="532"/>
        <v>0</v>
      </c>
      <c r="DL102" s="360">
        <f t="shared" si="533"/>
        <v>0</v>
      </c>
      <c r="DM102" s="360">
        <f t="shared" si="534"/>
        <v>120</v>
      </c>
      <c r="DN102" s="360">
        <f t="shared" si="535"/>
        <v>120</v>
      </c>
      <c r="DO102" s="360">
        <f t="shared" si="536"/>
        <v>36.000000000000014</v>
      </c>
      <c r="DP102" s="360">
        <f t="shared" si="537"/>
        <v>0</v>
      </c>
      <c r="DQ102" s="219"/>
    </row>
    <row r="103" spans="1:121" ht="25" x14ac:dyDescent="0.25">
      <c r="A103" s="238"/>
      <c r="B103" s="238"/>
      <c r="C103" s="238" t="str">
        <f>'Planilha Hidráulica'!B112</f>
        <v>PV10.1-&gt;PV11.1</v>
      </c>
      <c r="D103" s="239">
        <f>'Planilha Hidráulica'!T112</f>
        <v>2.5</v>
      </c>
      <c r="E103" s="239">
        <f>'Planilha Hidráulica'!U112</f>
        <v>1.8</v>
      </c>
      <c r="F103" s="239">
        <f>'Planilha Hidráulica'!L112</f>
        <v>27.82</v>
      </c>
      <c r="G103" s="238">
        <f>'Planilha Hidráulica'!N112</f>
        <v>1500</v>
      </c>
      <c r="H103" s="240">
        <f t="shared" si="440"/>
        <v>2.65</v>
      </c>
      <c r="I103" s="241">
        <f t="shared" si="441"/>
        <v>3.68615</v>
      </c>
      <c r="J103" s="368">
        <v>0</v>
      </c>
      <c r="K103" s="240">
        <f t="shared" si="442"/>
        <v>2.6</v>
      </c>
      <c r="L103" s="240">
        <f t="shared" si="443"/>
        <v>2.6</v>
      </c>
      <c r="M103" s="243">
        <f>'Planilha Hidráulica'!Z112</f>
        <v>1200</v>
      </c>
      <c r="N103" s="240">
        <f t="shared" si="444"/>
        <v>72.332000000000008</v>
      </c>
      <c r="O103" s="367" t="str">
        <f>'Planilha Hidráulica'!Y112</f>
        <v>TERRENO NATURAL</v>
      </c>
      <c r="P103" s="367" t="s">
        <v>2713</v>
      </c>
      <c r="Q103" s="367">
        <v>0</v>
      </c>
      <c r="R103" s="367">
        <v>2.7</v>
      </c>
      <c r="S103" s="367">
        <v>0.8</v>
      </c>
      <c r="T103" s="240">
        <f t="shared" si="445"/>
        <v>0.2</v>
      </c>
      <c r="U103" s="245">
        <f t="shared" si="446"/>
        <v>31.463678744232496</v>
      </c>
      <c r="V103" s="246">
        <f t="shared" si="447"/>
        <v>160.21612125576752</v>
      </c>
      <c r="W103" s="245">
        <f t="shared" si="448"/>
        <v>0</v>
      </c>
      <c r="X103" s="247">
        <f t="shared" si="449"/>
        <v>0</v>
      </c>
      <c r="Y103" s="245">
        <f t="shared" si="450"/>
        <v>2.65</v>
      </c>
      <c r="Z103" s="245">
        <f t="shared" si="451"/>
        <v>0</v>
      </c>
      <c r="AA103" s="252">
        <f t="shared" si="452"/>
        <v>0</v>
      </c>
      <c r="AB103" s="361">
        <f t="shared" si="453"/>
        <v>0</v>
      </c>
      <c r="AC103" s="251">
        <f t="shared" si="454"/>
        <v>0</v>
      </c>
      <c r="AD103" s="251">
        <f t="shared" si="455"/>
        <v>0</v>
      </c>
      <c r="AE103" s="251">
        <f t="shared" si="456"/>
        <v>0</v>
      </c>
      <c r="AF103" s="251">
        <f t="shared" si="457"/>
        <v>0</v>
      </c>
      <c r="AG103" s="251">
        <f t="shared" si="458"/>
        <v>0</v>
      </c>
      <c r="AH103" s="251">
        <f t="shared" si="459"/>
        <v>0</v>
      </c>
      <c r="AI103" s="251">
        <f t="shared" si="460"/>
        <v>0</v>
      </c>
      <c r="AJ103" s="251">
        <f t="shared" si="461"/>
        <v>0</v>
      </c>
      <c r="AK103" s="251">
        <f t="shared" si="462"/>
        <v>0</v>
      </c>
      <c r="AL103" s="251">
        <f t="shared" si="463"/>
        <v>0</v>
      </c>
      <c r="AM103" s="251">
        <f t="shared" si="538"/>
        <v>0</v>
      </c>
      <c r="AN103" s="251">
        <f t="shared" si="539"/>
        <v>0</v>
      </c>
      <c r="AO103" s="251">
        <f t="shared" si="464"/>
        <v>144.66400000000002</v>
      </c>
      <c r="AP103" s="251">
        <f t="shared" si="465"/>
        <v>15.552121255767503</v>
      </c>
      <c r="AQ103" s="251">
        <f t="shared" si="466"/>
        <v>0</v>
      </c>
      <c r="AR103" s="253">
        <f t="shared" si="467"/>
        <v>0</v>
      </c>
      <c r="AS103" s="253">
        <f t="shared" si="468"/>
        <v>0.68622666666666665</v>
      </c>
      <c r="AT103" s="253">
        <f t="shared" si="469"/>
        <v>142.51780196213673</v>
      </c>
      <c r="AU103" s="241">
        <f t="shared" si="470"/>
        <v>0</v>
      </c>
      <c r="AV103" s="246">
        <f t="shared" si="471"/>
        <v>14.466400000000002</v>
      </c>
      <c r="AW103" s="253">
        <f t="shared" si="472"/>
        <v>0</v>
      </c>
      <c r="AX103" s="253">
        <f t="shared" si="473"/>
        <v>0</v>
      </c>
      <c r="AY103" s="253">
        <f t="shared" si="474"/>
        <v>1.8</v>
      </c>
      <c r="AZ103" s="253">
        <f t="shared" si="475"/>
        <v>81.035601962136752</v>
      </c>
      <c r="BA103" s="253">
        <f t="shared" si="476"/>
        <v>0</v>
      </c>
      <c r="BB103" s="253">
        <f t="shared" si="477"/>
        <v>0</v>
      </c>
      <c r="BC103" s="253">
        <f t="shared" si="478"/>
        <v>0</v>
      </c>
      <c r="BD103" s="253">
        <f t="shared" si="479"/>
        <v>0</v>
      </c>
      <c r="BE103" s="253">
        <f t="shared" si="480"/>
        <v>47.015799999999984</v>
      </c>
      <c r="BF103" s="253">
        <f t="shared" si="481"/>
        <v>79.180519293630766</v>
      </c>
      <c r="BG103" s="253">
        <f t="shared" si="482"/>
        <v>47.015799999999984</v>
      </c>
      <c r="BH103" s="253">
        <f t="shared" si="483"/>
        <v>32.164719293630782</v>
      </c>
      <c r="BI103" s="253">
        <f t="shared" si="484"/>
        <v>0</v>
      </c>
      <c r="BJ103" s="241">
        <f t="shared" si="485"/>
        <v>0</v>
      </c>
      <c r="BK103" s="253">
        <f t="shared" si="486"/>
        <v>0</v>
      </c>
      <c r="BL103" s="253"/>
      <c r="BM103" s="253">
        <f t="shared" si="487"/>
        <v>0</v>
      </c>
      <c r="BN103" s="252">
        <f t="shared" si="488"/>
        <v>0</v>
      </c>
      <c r="BO103" s="366">
        <f t="shared" si="489"/>
        <v>0</v>
      </c>
      <c r="BP103" s="366">
        <f t="shared" si="490"/>
        <v>0</v>
      </c>
      <c r="BQ103" s="366">
        <f t="shared" si="491"/>
        <v>0</v>
      </c>
      <c r="BR103" s="240">
        <f t="shared" si="492"/>
        <v>0</v>
      </c>
      <c r="BS103" s="240">
        <f t="shared" si="493"/>
        <v>0</v>
      </c>
      <c r="BT103" s="240">
        <f t="shared" si="494"/>
        <v>0</v>
      </c>
      <c r="BU103" s="240">
        <f t="shared" si="495"/>
        <v>0</v>
      </c>
      <c r="BV103" s="240">
        <f t="shared" si="496"/>
        <v>0</v>
      </c>
      <c r="BW103" s="240">
        <f t="shared" si="497"/>
        <v>0</v>
      </c>
      <c r="BX103" s="240">
        <f t="shared" si="498"/>
        <v>0</v>
      </c>
      <c r="BY103" s="240">
        <f t="shared" si="499"/>
        <v>0</v>
      </c>
      <c r="BZ103" s="240">
        <f t="shared" si="500"/>
        <v>0</v>
      </c>
      <c r="CA103" s="240">
        <f t="shared" si="501"/>
        <v>0</v>
      </c>
      <c r="CB103" s="240">
        <f t="shared" si="502"/>
        <v>0</v>
      </c>
      <c r="CC103" s="240">
        <f t="shared" si="503"/>
        <v>0</v>
      </c>
      <c r="CD103" s="240">
        <f t="shared" si="504"/>
        <v>0</v>
      </c>
      <c r="CE103" s="240">
        <f t="shared" si="505"/>
        <v>0</v>
      </c>
      <c r="CF103" s="240">
        <f t="shared" si="506"/>
        <v>0</v>
      </c>
      <c r="CG103" s="240">
        <f t="shared" si="507"/>
        <v>0</v>
      </c>
      <c r="CH103" s="240">
        <f t="shared" si="508"/>
        <v>0</v>
      </c>
      <c r="CI103" s="240">
        <f t="shared" si="509"/>
        <v>0</v>
      </c>
      <c r="CJ103" s="365">
        <f t="shared" si="510"/>
        <v>2.65</v>
      </c>
      <c r="CK103" s="240">
        <f t="shared" si="511"/>
        <v>27.82</v>
      </c>
      <c r="CL103" s="240">
        <f t="shared" si="512"/>
        <v>0</v>
      </c>
      <c r="CM103" s="240">
        <f t="shared" si="513"/>
        <v>0</v>
      </c>
      <c r="CN103" s="245">
        <f t="shared" si="514"/>
        <v>0</v>
      </c>
      <c r="CO103" s="245">
        <f t="shared" si="515"/>
        <v>0</v>
      </c>
      <c r="CP103" s="245">
        <f t="shared" si="516"/>
        <v>0</v>
      </c>
      <c r="CQ103" s="245">
        <f t="shared" si="517"/>
        <v>0</v>
      </c>
      <c r="CR103" s="245">
        <f t="shared" si="518"/>
        <v>0</v>
      </c>
      <c r="CS103" s="245">
        <f t="shared" si="519"/>
        <v>0</v>
      </c>
      <c r="CT103" s="364">
        <f t="shared" si="520"/>
        <v>0</v>
      </c>
      <c r="CU103" s="363">
        <f t="shared" si="521"/>
        <v>1</v>
      </c>
      <c r="CV103" s="363">
        <f t="shared" si="522"/>
        <v>0</v>
      </c>
      <c r="CW103" s="363">
        <f t="shared" si="523"/>
        <v>0</v>
      </c>
      <c r="CX103" s="363">
        <f t="shared" si="524"/>
        <v>0</v>
      </c>
      <c r="CY103" s="363">
        <f t="shared" si="525"/>
        <v>0</v>
      </c>
      <c r="CZ103" s="363">
        <f t="shared" si="526"/>
        <v>1</v>
      </c>
      <c r="DA103" s="362">
        <f t="shared" si="527"/>
        <v>0.5</v>
      </c>
      <c r="DB103" s="361">
        <v>1.3</v>
      </c>
      <c r="DC103" s="361">
        <v>1.4</v>
      </c>
      <c r="DD103" s="361">
        <v>2</v>
      </c>
      <c r="DE103" s="361">
        <v>2</v>
      </c>
      <c r="DF103" s="360">
        <v>2</v>
      </c>
      <c r="DG103" s="252">
        <f t="shared" si="528"/>
        <v>0</v>
      </c>
      <c r="DH103" s="360">
        <f t="shared" si="529"/>
        <v>0</v>
      </c>
      <c r="DI103" s="360">
        <f t="shared" si="530"/>
        <v>0</v>
      </c>
      <c r="DJ103" s="360">
        <f t="shared" si="531"/>
        <v>0</v>
      </c>
      <c r="DK103" s="360">
        <f t="shared" si="532"/>
        <v>0</v>
      </c>
      <c r="DL103" s="360">
        <f t="shared" si="533"/>
        <v>0</v>
      </c>
      <c r="DM103" s="360">
        <f t="shared" si="534"/>
        <v>83.460000000000008</v>
      </c>
      <c r="DN103" s="360">
        <f t="shared" si="535"/>
        <v>63.985999999999997</v>
      </c>
      <c r="DO103" s="360">
        <f t="shared" si="536"/>
        <v>0</v>
      </c>
      <c r="DP103" s="360">
        <f t="shared" si="537"/>
        <v>0</v>
      </c>
      <c r="DQ103" s="219"/>
    </row>
    <row r="104" spans="1:121" ht="25" x14ac:dyDescent="0.25">
      <c r="A104" s="238"/>
      <c r="B104" s="238"/>
      <c r="C104" s="238" t="str">
        <f>'Planilha Hidráulica'!B113</f>
        <v>PV11.1-&gt;PV12.1</v>
      </c>
      <c r="D104" s="239">
        <f>'Planilha Hidráulica'!T113</f>
        <v>1.9</v>
      </c>
      <c r="E104" s="239">
        <f>'Planilha Hidráulica'!U113</f>
        <v>1.8</v>
      </c>
      <c r="F104" s="239">
        <f>'Planilha Hidráulica'!L113</f>
        <v>20.79</v>
      </c>
      <c r="G104" s="238">
        <f>'Planilha Hidráulica'!N113</f>
        <v>1800</v>
      </c>
      <c r="H104" s="240">
        <f t="shared" si="440"/>
        <v>2.4500000000000002</v>
      </c>
      <c r="I104" s="241">
        <f t="shared" si="441"/>
        <v>2.5467750000000002</v>
      </c>
      <c r="J104" s="368">
        <v>0</v>
      </c>
      <c r="K104" s="240">
        <f t="shared" si="442"/>
        <v>3.2</v>
      </c>
      <c r="L104" s="240">
        <f t="shared" si="443"/>
        <v>3.2</v>
      </c>
      <c r="M104" s="243">
        <f>'Planilha Hidráulica'!Z113</f>
        <v>0</v>
      </c>
      <c r="N104" s="240">
        <f t="shared" si="444"/>
        <v>66.528000000000006</v>
      </c>
      <c r="O104" s="367" t="str">
        <f>'Planilha Hidráulica'!Y113</f>
        <v>TERRENO NATURAL</v>
      </c>
      <c r="P104" s="367" t="s">
        <v>2713</v>
      </c>
      <c r="Q104" s="367">
        <v>0</v>
      </c>
      <c r="R104" s="367">
        <v>2.7</v>
      </c>
      <c r="S104" s="367">
        <v>0.8</v>
      </c>
      <c r="T104" s="240">
        <f t="shared" si="445"/>
        <v>0.2</v>
      </c>
      <c r="U104" s="245">
        <f t="shared" si="446"/>
        <v>0</v>
      </c>
      <c r="V104" s="246">
        <f t="shared" si="447"/>
        <v>162.99360000000001</v>
      </c>
      <c r="W104" s="245">
        <f t="shared" si="448"/>
        <v>0</v>
      </c>
      <c r="X104" s="247">
        <f t="shared" si="449"/>
        <v>0</v>
      </c>
      <c r="Y104" s="245">
        <f t="shared" si="450"/>
        <v>2.4500000000000002</v>
      </c>
      <c r="Z104" s="245">
        <f t="shared" si="451"/>
        <v>0</v>
      </c>
      <c r="AA104" s="252">
        <f t="shared" si="452"/>
        <v>0</v>
      </c>
      <c r="AB104" s="361">
        <f t="shared" si="453"/>
        <v>0</v>
      </c>
      <c r="AC104" s="251">
        <f t="shared" si="454"/>
        <v>0</v>
      </c>
      <c r="AD104" s="251">
        <f t="shared" si="455"/>
        <v>0</v>
      </c>
      <c r="AE104" s="251">
        <f t="shared" si="456"/>
        <v>0</v>
      </c>
      <c r="AF104" s="251">
        <f t="shared" si="457"/>
        <v>0</v>
      </c>
      <c r="AG104" s="251">
        <f t="shared" si="458"/>
        <v>0</v>
      </c>
      <c r="AH104" s="251">
        <f t="shared" si="459"/>
        <v>0</v>
      </c>
      <c r="AI104" s="251">
        <f t="shared" si="460"/>
        <v>0</v>
      </c>
      <c r="AJ104" s="251">
        <f t="shared" si="461"/>
        <v>0</v>
      </c>
      <c r="AK104" s="251">
        <f t="shared" si="462"/>
        <v>0</v>
      </c>
      <c r="AL104" s="251">
        <f t="shared" si="463"/>
        <v>0</v>
      </c>
      <c r="AM104" s="251">
        <f t="shared" si="538"/>
        <v>0</v>
      </c>
      <c r="AN104" s="251">
        <f t="shared" si="539"/>
        <v>0</v>
      </c>
      <c r="AO104" s="251">
        <f t="shared" si="464"/>
        <v>133.05600000000001</v>
      </c>
      <c r="AP104" s="251">
        <f t="shared" si="465"/>
        <v>29.937600000000014</v>
      </c>
      <c r="AQ104" s="251">
        <f t="shared" si="466"/>
        <v>0</v>
      </c>
      <c r="AR104" s="253">
        <f t="shared" si="467"/>
        <v>0</v>
      </c>
      <c r="AS104" s="253">
        <f t="shared" si="468"/>
        <v>0.45738000000000001</v>
      </c>
      <c r="AT104" s="253">
        <f t="shared" si="469"/>
        <v>110.08949387281325</v>
      </c>
      <c r="AU104" s="241">
        <f t="shared" si="470"/>
        <v>0</v>
      </c>
      <c r="AV104" s="246">
        <f t="shared" si="471"/>
        <v>13.305600000000002</v>
      </c>
      <c r="AW104" s="253">
        <f t="shared" si="472"/>
        <v>0</v>
      </c>
      <c r="AX104" s="253">
        <f t="shared" si="473"/>
        <v>0</v>
      </c>
      <c r="AY104" s="253">
        <f t="shared" si="474"/>
        <v>2.1</v>
      </c>
      <c r="AZ104" s="253">
        <f t="shared" si="475"/>
        <v>86.804693872813232</v>
      </c>
      <c r="BA104" s="253">
        <f t="shared" si="476"/>
        <v>0</v>
      </c>
      <c r="BB104" s="253">
        <f t="shared" si="477"/>
        <v>0</v>
      </c>
      <c r="BC104" s="253">
        <f t="shared" si="478"/>
        <v>0</v>
      </c>
      <c r="BD104" s="253">
        <f t="shared" si="479"/>
        <v>0</v>
      </c>
      <c r="BE104" s="253">
        <f t="shared" si="480"/>
        <v>9.9792000000000201</v>
      </c>
      <c r="BF104" s="253">
        <f t="shared" si="481"/>
        <v>76.188906127186783</v>
      </c>
      <c r="BG104" s="253">
        <f t="shared" si="482"/>
        <v>9.9792000000000201</v>
      </c>
      <c r="BH104" s="253">
        <f t="shared" si="483"/>
        <v>66.209706127186763</v>
      </c>
      <c r="BI104" s="253">
        <f t="shared" si="484"/>
        <v>0</v>
      </c>
      <c r="BJ104" s="241">
        <f t="shared" si="485"/>
        <v>0</v>
      </c>
      <c r="BK104" s="253">
        <f t="shared" si="486"/>
        <v>0</v>
      </c>
      <c r="BL104" s="253"/>
      <c r="BM104" s="253">
        <f t="shared" si="487"/>
        <v>0</v>
      </c>
      <c r="BN104" s="252">
        <f t="shared" si="488"/>
        <v>0</v>
      </c>
      <c r="BO104" s="366">
        <f t="shared" si="489"/>
        <v>0</v>
      </c>
      <c r="BP104" s="366">
        <f t="shared" si="490"/>
        <v>0</v>
      </c>
      <c r="BQ104" s="366">
        <f t="shared" si="491"/>
        <v>0</v>
      </c>
      <c r="BR104" s="240">
        <f t="shared" si="492"/>
        <v>0</v>
      </c>
      <c r="BS104" s="240">
        <f t="shared" si="493"/>
        <v>0</v>
      </c>
      <c r="BT104" s="240">
        <f t="shared" si="494"/>
        <v>0</v>
      </c>
      <c r="BU104" s="240">
        <f t="shared" si="495"/>
        <v>0</v>
      </c>
      <c r="BV104" s="240">
        <f t="shared" si="496"/>
        <v>0</v>
      </c>
      <c r="BW104" s="240">
        <f t="shared" si="497"/>
        <v>0</v>
      </c>
      <c r="BX104" s="240">
        <f t="shared" si="498"/>
        <v>0</v>
      </c>
      <c r="BY104" s="240">
        <f t="shared" si="499"/>
        <v>0</v>
      </c>
      <c r="BZ104" s="240">
        <f t="shared" si="500"/>
        <v>0</v>
      </c>
      <c r="CA104" s="240">
        <f t="shared" si="501"/>
        <v>0</v>
      </c>
      <c r="CB104" s="240">
        <f t="shared" si="502"/>
        <v>0</v>
      </c>
      <c r="CC104" s="240">
        <f t="shared" si="503"/>
        <v>0</v>
      </c>
      <c r="CD104" s="240">
        <f t="shared" si="504"/>
        <v>0</v>
      </c>
      <c r="CE104" s="240">
        <f t="shared" si="505"/>
        <v>0</v>
      </c>
      <c r="CF104" s="240">
        <f t="shared" si="506"/>
        <v>0</v>
      </c>
      <c r="CG104" s="240">
        <f t="shared" si="507"/>
        <v>0</v>
      </c>
      <c r="CH104" s="240">
        <f t="shared" si="508"/>
        <v>0</v>
      </c>
      <c r="CI104" s="240">
        <f t="shared" si="509"/>
        <v>0</v>
      </c>
      <c r="CJ104" s="365">
        <f t="shared" si="510"/>
        <v>0</v>
      </c>
      <c r="CK104" s="240">
        <f t="shared" si="511"/>
        <v>0</v>
      </c>
      <c r="CL104" s="240">
        <f t="shared" si="512"/>
        <v>0</v>
      </c>
      <c r="CM104" s="240">
        <f t="shared" si="513"/>
        <v>0</v>
      </c>
      <c r="CN104" s="245">
        <f t="shared" si="514"/>
        <v>0</v>
      </c>
      <c r="CO104" s="245">
        <f t="shared" si="515"/>
        <v>20.79</v>
      </c>
      <c r="CP104" s="245">
        <f t="shared" si="516"/>
        <v>0</v>
      </c>
      <c r="CQ104" s="245">
        <f t="shared" si="517"/>
        <v>0</v>
      </c>
      <c r="CR104" s="245">
        <f t="shared" si="518"/>
        <v>0</v>
      </c>
      <c r="CS104" s="245">
        <f t="shared" si="519"/>
        <v>0</v>
      </c>
      <c r="CT104" s="364">
        <f t="shared" si="520"/>
        <v>0</v>
      </c>
      <c r="CU104" s="363">
        <f t="shared" si="521"/>
        <v>1</v>
      </c>
      <c r="CV104" s="363">
        <f t="shared" si="522"/>
        <v>0</v>
      </c>
      <c r="CW104" s="363">
        <f t="shared" si="523"/>
        <v>0</v>
      </c>
      <c r="CX104" s="363">
        <f t="shared" si="524"/>
        <v>0</v>
      </c>
      <c r="CY104" s="363">
        <f t="shared" si="525"/>
        <v>0</v>
      </c>
      <c r="CZ104" s="363">
        <f t="shared" si="526"/>
        <v>0</v>
      </c>
      <c r="DA104" s="362">
        <f t="shared" si="527"/>
        <v>0</v>
      </c>
      <c r="DB104" s="361">
        <v>1.3</v>
      </c>
      <c r="DC104" s="361">
        <v>1.4</v>
      </c>
      <c r="DD104" s="361">
        <v>2</v>
      </c>
      <c r="DE104" s="361">
        <v>2</v>
      </c>
      <c r="DF104" s="360">
        <v>2</v>
      </c>
      <c r="DG104" s="252">
        <f t="shared" si="528"/>
        <v>0</v>
      </c>
      <c r="DH104" s="360">
        <f t="shared" si="529"/>
        <v>0</v>
      </c>
      <c r="DI104" s="360">
        <f t="shared" si="530"/>
        <v>0</v>
      </c>
      <c r="DJ104" s="360">
        <f t="shared" si="531"/>
        <v>0</v>
      </c>
      <c r="DK104" s="360">
        <f t="shared" si="532"/>
        <v>0</v>
      </c>
      <c r="DL104" s="360">
        <f t="shared" si="533"/>
        <v>0</v>
      </c>
      <c r="DM104" s="360">
        <f t="shared" si="534"/>
        <v>62.37</v>
      </c>
      <c r="DN104" s="360">
        <f t="shared" si="535"/>
        <v>39.501000000000005</v>
      </c>
      <c r="DO104" s="360">
        <f t="shared" si="536"/>
        <v>0</v>
      </c>
      <c r="DP104" s="360">
        <f t="shared" si="537"/>
        <v>0</v>
      </c>
      <c r="DQ104" s="219"/>
    </row>
    <row r="105" spans="1:121" ht="25" x14ac:dyDescent="0.25">
      <c r="A105" s="238"/>
      <c r="B105" s="238"/>
      <c r="C105" s="238" t="str">
        <f>'Planilha Hidráulica'!B114</f>
        <v>PV12.1-&gt;PV13.1</v>
      </c>
      <c r="D105" s="239">
        <f>'Planilha Hidráulica'!T114</f>
        <v>1.8</v>
      </c>
      <c r="E105" s="239">
        <f>'Planilha Hidráulica'!U114</f>
        <v>0.4</v>
      </c>
      <c r="F105" s="239">
        <f>'Planilha Hidráulica'!L114</f>
        <v>11.27</v>
      </c>
      <c r="G105" s="238">
        <f>'Planilha Hidráulica'!N114</f>
        <v>1500</v>
      </c>
      <c r="H105" s="240">
        <f t="shared" si="440"/>
        <v>1.6</v>
      </c>
      <c r="I105" s="241">
        <f t="shared" si="441"/>
        <v>0.90159999999999996</v>
      </c>
      <c r="J105" s="368">
        <v>0</v>
      </c>
      <c r="K105" s="240">
        <f t="shared" si="442"/>
        <v>2.6</v>
      </c>
      <c r="L105" s="240">
        <f t="shared" si="443"/>
        <v>2.6</v>
      </c>
      <c r="M105" s="243">
        <f>'Planilha Hidráulica'!Z114</f>
        <v>0</v>
      </c>
      <c r="N105" s="240">
        <f t="shared" si="444"/>
        <v>29.302</v>
      </c>
      <c r="O105" s="367" t="str">
        <f>'Planilha Hidráulica'!Y114</f>
        <v>TERRENO NATURAL</v>
      </c>
      <c r="P105" s="367" t="s">
        <v>2713</v>
      </c>
      <c r="Q105" s="367">
        <v>0</v>
      </c>
      <c r="R105" s="367">
        <v>2.7</v>
      </c>
      <c r="S105" s="367">
        <v>0.8</v>
      </c>
      <c r="T105" s="240">
        <f t="shared" si="445"/>
        <v>0.2</v>
      </c>
      <c r="U105" s="245">
        <f t="shared" si="446"/>
        <v>0</v>
      </c>
      <c r="V105" s="246">
        <f t="shared" si="447"/>
        <v>46.883200000000002</v>
      </c>
      <c r="W105" s="245">
        <f t="shared" si="448"/>
        <v>0</v>
      </c>
      <c r="X105" s="247">
        <f t="shared" si="449"/>
        <v>0</v>
      </c>
      <c r="Y105" s="245">
        <f t="shared" si="450"/>
        <v>1.6</v>
      </c>
      <c r="Z105" s="245">
        <f t="shared" si="451"/>
        <v>0</v>
      </c>
      <c r="AA105" s="252">
        <f t="shared" si="452"/>
        <v>0</v>
      </c>
      <c r="AB105" s="361">
        <f t="shared" si="453"/>
        <v>0</v>
      </c>
      <c r="AC105" s="251">
        <f t="shared" si="454"/>
        <v>0</v>
      </c>
      <c r="AD105" s="251">
        <f t="shared" si="455"/>
        <v>0</v>
      </c>
      <c r="AE105" s="251">
        <f t="shared" si="456"/>
        <v>0</v>
      </c>
      <c r="AF105" s="251">
        <f t="shared" si="457"/>
        <v>0</v>
      </c>
      <c r="AG105" s="251">
        <f t="shared" si="458"/>
        <v>0</v>
      </c>
      <c r="AH105" s="251">
        <f t="shared" si="459"/>
        <v>0</v>
      </c>
      <c r="AI105" s="251">
        <f t="shared" si="460"/>
        <v>0</v>
      </c>
      <c r="AJ105" s="251">
        <f t="shared" si="461"/>
        <v>0</v>
      </c>
      <c r="AK105" s="251">
        <f t="shared" si="462"/>
        <v>0</v>
      </c>
      <c r="AL105" s="251">
        <f t="shared" si="463"/>
        <v>0</v>
      </c>
      <c r="AM105" s="251">
        <f t="shared" si="538"/>
        <v>0</v>
      </c>
      <c r="AN105" s="251">
        <f t="shared" si="539"/>
        <v>0</v>
      </c>
      <c r="AO105" s="251">
        <f t="shared" si="464"/>
        <v>46.883200000000002</v>
      </c>
      <c r="AP105" s="251">
        <f t="shared" si="465"/>
        <v>0</v>
      </c>
      <c r="AQ105" s="251">
        <f t="shared" si="466"/>
        <v>0</v>
      </c>
      <c r="AR105" s="253">
        <f t="shared" si="467"/>
        <v>0</v>
      </c>
      <c r="AS105" s="253">
        <f t="shared" si="468"/>
        <v>0.12021333333333334</v>
      </c>
      <c r="AT105" s="253">
        <f t="shared" si="469"/>
        <v>26.967466071649209</v>
      </c>
      <c r="AU105" s="241">
        <f t="shared" si="470"/>
        <v>0</v>
      </c>
      <c r="AV105" s="246">
        <f t="shared" si="471"/>
        <v>5.8604000000000003</v>
      </c>
      <c r="AW105" s="253">
        <f t="shared" si="472"/>
        <v>0</v>
      </c>
      <c r="AX105" s="253">
        <f t="shared" si="473"/>
        <v>0</v>
      </c>
      <c r="AY105" s="253">
        <f t="shared" si="474"/>
        <v>1.8</v>
      </c>
      <c r="AZ105" s="253">
        <f t="shared" si="475"/>
        <v>32.827866071649211</v>
      </c>
      <c r="BA105" s="253">
        <f t="shared" si="476"/>
        <v>0</v>
      </c>
      <c r="BB105" s="253">
        <f t="shared" si="477"/>
        <v>0</v>
      </c>
      <c r="BC105" s="253">
        <f t="shared" si="478"/>
        <v>0</v>
      </c>
      <c r="BD105" s="253">
        <f t="shared" si="479"/>
        <v>0</v>
      </c>
      <c r="BE105" s="253">
        <f t="shared" si="480"/>
        <v>-11.720800000000004</v>
      </c>
      <c r="BF105" s="253">
        <f t="shared" si="481"/>
        <v>14.055333928350791</v>
      </c>
      <c r="BG105" s="253">
        <f t="shared" si="482"/>
        <v>0</v>
      </c>
      <c r="BH105" s="253">
        <f t="shared" si="483"/>
        <v>14.055333928350791</v>
      </c>
      <c r="BI105" s="253">
        <f t="shared" si="484"/>
        <v>-11.720800000000004</v>
      </c>
      <c r="BJ105" s="241">
        <f t="shared" si="485"/>
        <v>-11.720800000000004</v>
      </c>
      <c r="BK105" s="253">
        <f t="shared" si="486"/>
        <v>0</v>
      </c>
      <c r="BL105" s="253"/>
      <c r="BM105" s="253">
        <f t="shared" si="487"/>
        <v>0</v>
      </c>
      <c r="BN105" s="252">
        <f t="shared" si="488"/>
        <v>0</v>
      </c>
      <c r="BO105" s="366">
        <f t="shared" si="489"/>
        <v>0</v>
      </c>
      <c r="BP105" s="366">
        <f t="shared" si="490"/>
        <v>0</v>
      </c>
      <c r="BQ105" s="366">
        <f t="shared" si="491"/>
        <v>0</v>
      </c>
      <c r="BR105" s="240">
        <f t="shared" si="492"/>
        <v>0</v>
      </c>
      <c r="BS105" s="240">
        <f t="shared" si="493"/>
        <v>0</v>
      </c>
      <c r="BT105" s="240">
        <f t="shared" si="494"/>
        <v>0</v>
      </c>
      <c r="BU105" s="240">
        <f t="shared" si="495"/>
        <v>0</v>
      </c>
      <c r="BV105" s="240">
        <f t="shared" si="496"/>
        <v>0</v>
      </c>
      <c r="BW105" s="240">
        <f t="shared" si="497"/>
        <v>0</v>
      </c>
      <c r="BX105" s="240">
        <f t="shared" si="498"/>
        <v>0</v>
      </c>
      <c r="BY105" s="240">
        <f t="shared" si="499"/>
        <v>0</v>
      </c>
      <c r="BZ105" s="240">
        <f t="shared" si="500"/>
        <v>0</v>
      </c>
      <c r="CA105" s="240">
        <f t="shared" si="501"/>
        <v>0</v>
      </c>
      <c r="CB105" s="240">
        <f t="shared" si="502"/>
        <v>0</v>
      </c>
      <c r="CC105" s="240">
        <f t="shared" si="503"/>
        <v>0</v>
      </c>
      <c r="CD105" s="240">
        <f t="shared" si="504"/>
        <v>0</v>
      </c>
      <c r="CE105" s="240">
        <f t="shared" si="505"/>
        <v>0</v>
      </c>
      <c r="CF105" s="240">
        <f t="shared" si="506"/>
        <v>0</v>
      </c>
      <c r="CG105" s="240">
        <f t="shared" si="507"/>
        <v>0</v>
      </c>
      <c r="CH105" s="240">
        <f t="shared" si="508"/>
        <v>0</v>
      </c>
      <c r="CI105" s="240">
        <f t="shared" si="509"/>
        <v>0</v>
      </c>
      <c r="CJ105" s="365">
        <f t="shared" si="510"/>
        <v>1.6</v>
      </c>
      <c r="CK105" s="240">
        <f t="shared" si="511"/>
        <v>11.27</v>
      </c>
      <c r="CL105" s="240">
        <f t="shared" si="512"/>
        <v>0</v>
      </c>
      <c r="CM105" s="240">
        <f t="shared" si="513"/>
        <v>0</v>
      </c>
      <c r="CN105" s="245">
        <f t="shared" si="514"/>
        <v>0</v>
      </c>
      <c r="CO105" s="245">
        <f t="shared" si="515"/>
        <v>0</v>
      </c>
      <c r="CP105" s="245">
        <f t="shared" si="516"/>
        <v>0</v>
      </c>
      <c r="CQ105" s="245">
        <f t="shared" si="517"/>
        <v>0</v>
      </c>
      <c r="CR105" s="245">
        <f t="shared" si="518"/>
        <v>0</v>
      </c>
      <c r="CS105" s="245">
        <f t="shared" si="519"/>
        <v>0</v>
      </c>
      <c r="CT105" s="364">
        <f t="shared" si="520"/>
        <v>0</v>
      </c>
      <c r="CU105" s="363">
        <f t="shared" si="521"/>
        <v>1</v>
      </c>
      <c r="CV105" s="363">
        <f t="shared" si="522"/>
        <v>0</v>
      </c>
      <c r="CW105" s="363">
        <f t="shared" si="523"/>
        <v>0</v>
      </c>
      <c r="CX105" s="363">
        <f t="shared" si="524"/>
        <v>0</v>
      </c>
      <c r="CY105" s="363">
        <f t="shared" si="525"/>
        <v>0</v>
      </c>
      <c r="CZ105" s="363">
        <f t="shared" si="526"/>
        <v>1</v>
      </c>
      <c r="DA105" s="362">
        <f t="shared" si="527"/>
        <v>0</v>
      </c>
      <c r="DB105" s="361">
        <v>1.3</v>
      </c>
      <c r="DC105" s="361">
        <v>1.4</v>
      </c>
      <c r="DD105" s="361">
        <v>2</v>
      </c>
      <c r="DE105" s="361">
        <v>2</v>
      </c>
      <c r="DF105" s="360">
        <v>2</v>
      </c>
      <c r="DG105" s="252">
        <f t="shared" si="528"/>
        <v>0</v>
      </c>
      <c r="DH105" s="360">
        <f t="shared" si="529"/>
        <v>0</v>
      </c>
      <c r="DI105" s="360">
        <f t="shared" si="530"/>
        <v>0</v>
      </c>
      <c r="DJ105" s="360">
        <f t="shared" si="531"/>
        <v>0</v>
      </c>
      <c r="DK105" s="360">
        <f t="shared" si="532"/>
        <v>0</v>
      </c>
      <c r="DL105" s="360">
        <f t="shared" si="533"/>
        <v>0</v>
      </c>
      <c r="DM105" s="360">
        <f t="shared" si="534"/>
        <v>33.81</v>
      </c>
      <c r="DN105" s="360">
        <f t="shared" si="535"/>
        <v>2.2540000000000018</v>
      </c>
      <c r="DO105" s="360">
        <f t="shared" si="536"/>
        <v>0</v>
      </c>
      <c r="DP105" s="360">
        <f t="shared" si="537"/>
        <v>0</v>
      </c>
      <c r="DQ105" s="219"/>
    </row>
    <row r="106" spans="1:121" ht="13" x14ac:dyDescent="0.3">
      <c r="A106" s="265"/>
      <c r="B106" s="265"/>
      <c r="C106" s="265"/>
      <c r="D106" s="265"/>
      <c r="E106" s="265"/>
      <c r="F106" s="266">
        <f>SUM(F45:F105)</f>
        <v>2656.2599999999998</v>
      </c>
      <c r="G106" s="265"/>
      <c r="H106" s="265"/>
      <c r="I106" s="266">
        <f>SUM(I45:I105)</f>
        <v>373.91897250000017</v>
      </c>
      <c r="J106" s="265"/>
      <c r="K106" s="265"/>
      <c r="L106" s="265"/>
      <c r="M106" s="265"/>
      <c r="N106" s="265"/>
      <c r="O106" s="265"/>
      <c r="P106" s="267"/>
      <c r="Q106" s="267"/>
      <c r="R106" s="267"/>
      <c r="S106" s="267"/>
      <c r="T106" s="265"/>
      <c r="U106" s="265"/>
      <c r="V106" s="265"/>
      <c r="W106" s="265"/>
      <c r="X106" s="265"/>
      <c r="Y106" s="265"/>
      <c r="Z106" s="265"/>
      <c r="AA106" s="266">
        <f t="shared" ref="AA106:AX106" si="540">SUM(AA45:AA105)</f>
        <v>2510.1280000000002</v>
      </c>
      <c r="AB106" s="266">
        <f t="shared" si="540"/>
        <v>0</v>
      </c>
      <c r="AC106" s="266">
        <f t="shared" si="540"/>
        <v>0</v>
      </c>
      <c r="AD106" s="266">
        <f t="shared" si="540"/>
        <v>120.9496</v>
      </c>
      <c r="AE106" s="266">
        <f t="shared" si="540"/>
        <v>33.6</v>
      </c>
      <c r="AF106" s="266">
        <f t="shared" si="540"/>
        <v>0</v>
      </c>
      <c r="AG106" s="266">
        <f t="shared" si="540"/>
        <v>0</v>
      </c>
      <c r="AH106" s="266">
        <f t="shared" si="540"/>
        <v>97.819200000000023</v>
      </c>
      <c r="AI106" s="266">
        <f t="shared" si="540"/>
        <v>135.2088</v>
      </c>
      <c r="AJ106" s="269">
        <f t="shared" si="540"/>
        <v>1786.5060000000001</v>
      </c>
      <c r="AK106" s="269">
        <f t="shared" si="540"/>
        <v>541.53148604839862</v>
      </c>
      <c r="AL106" s="269">
        <f t="shared" si="540"/>
        <v>3442.8075000000008</v>
      </c>
      <c r="AM106" s="269">
        <f t="shared" si="540"/>
        <v>2531.1519210409251</v>
      </c>
      <c r="AN106" s="269">
        <f t="shared" si="540"/>
        <v>400.85382371324113</v>
      </c>
      <c r="AO106" s="269">
        <f t="shared" si="540"/>
        <v>2619.0714380102308</v>
      </c>
      <c r="AP106" s="269">
        <f t="shared" si="540"/>
        <v>1127.8564247435831</v>
      </c>
      <c r="AQ106" s="269">
        <f t="shared" si="540"/>
        <v>199.37329589352612</v>
      </c>
      <c r="AR106" s="269">
        <f t="shared" si="540"/>
        <v>663.17471063731489</v>
      </c>
      <c r="AS106" s="269">
        <f t="shared" si="540"/>
        <v>18.366678000000004</v>
      </c>
      <c r="AT106" s="269">
        <f t="shared" si="540"/>
        <v>13371.195041052222</v>
      </c>
      <c r="AU106" s="269">
        <f t="shared" si="540"/>
        <v>98.561900000000009</v>
      </c>
      <c r="AV106" s="269">
        <f t="shared" si="540"/>
        <v>583.98749999999995</v>
      </c>
      <c r="AW106" s="269">
        <f t="shared" si="540"/>
        <v>697.05759999999998</v>
      </c>
      <c r="AX106" s="269">
        <f t="shared" si="540"/>
        <v>0</v>
      </c>
      <c r="AY106" s="265"/>
      <c r="AZ106" s="268">
        <f t="shared" ref="AZ106:BK106" si="541">SUM(AZ45:AZ105)</f>
        <v>4446.4034260522194</v>
      </c>
      <c r="BA106" s="268">
        <f t="shared" si="541"/>
        <v>0</v>
      </c>
      <c r="BB106" s="268">
        <f t="shared" si="541"/>
        <v>376.51920000000001</v>
      </c>
      <c r="BC106" s="268">
        <f t="shared" si="541"/>
        <v>376.51920000000001</v>
      </c>
      <c r="BD106" s="268">
        <f t="shared" si="541"/>
        <v>75.30383999999998</v>
      </c>
      <c r="BE106" s="268">
        <f t="shared" si="541"/>
        <v>6792.1462149999988</v>
      </c>
      <c r="BF106" s="268">
        <f t="shared" si="541"/>
        <v>7129.1716633976857</v>
      </c>
      <c r="BG106" s="269">
        <f t="shared" si="541"/>
        <v>6386.6410510141286</v>
      </c>
      <c r="BH106" s="269">
        <f t="shared" si="541"/>
        <v>742.53061238355724</v>
      </c>
      <c r="BI106" s="269">
        <f t="shared" si="541"/>
        <v>405.50516398587285</v>
      </c>
      <c r="BJ106" s="269">
        <f t="shared" si="541"/>
        <v>405.50516398587285</v>
      </c>
      <c r="BK106" s="269">
        <f t="shared" si="541"/>
        <v>0</v>
      </c>
      <c r="BL106" s="269">
        <f>SUM(AC106:AI106)+BJ110+AR106</f>
        <v>1387.7777590350001</v>
      </c>
      <c r="BM106" s="269">
        <f>SUM(BM45:BM105)</f>
        <v>38.665743999999989</v>
      </c>
      <c r="BN106" s="742">
        <v>400</v>
      </c>
      <c r="BO106" s="743"/>
      <c r="BP106" s="744"/>
      <c r="BQ106" s="231"/>
      <c r="BR106" s="745">
        <v>500</v>
      </c>
      <c r="BS106" s="746"/>
      <c r="BT106" s="747">
        <v>600</v>
      </c>
      <c r="BU106" s="748"/>
      <c r="BV106" s="748"/>
      <c r="BW106" s="749"/>
      <c r="BX106" s="747">
        <v>800</v>
      </c>
      <c r="BY106" s="748"/>
      <c r="BZ106" s="748"/>
      <c r="CA106" s="749"/>
      <c r="CB106" s="747">
        <v>1000</v>
      </c>
      <c r="CC106" s="748"/>
      <c r="CD106" s="748"/>
      <c r="CE106" s="749"/>
      <c r="CF106" s="747">
        <v>1200</v>
      </c>
      <c r="CG106" s="748"/>
      <c r="CH106" s="748"/>
      <c r="CI106" s="750"/>
      <c r="CJ106" s="745">
        <v>1500</v>
      </c>
      <c r="CK106" s="751"/>
      <c r="CL106" s="751"/>
      <c r="CM106" s="752"/>
      <c r="CN106" s="266"/>
      <c r="CO106" s="265"/>
      <c r="CP106" s="265"/>
      <c r="CQ106" s="265"/>
      <c r="CR106" s="265"/>
      <c r="CS106" s="265"/>
      <c r="CT106" s="265"/>
      <c r="CU106" s="265">
        <f t="shared" ref="CU106:DA106" si="542">SUM(CU45:CU105)</f>
        <v>59</v>
      </c>
      <c r="CV106" s="265">
        <f t="shared" si="542"/>
        <v>20</v>
      </c>
      <c r="CW106" s="265">
        <f t="shared" si="542"/>
        <v>10</v>
      </c>
      <c r="CX106" s="265">
        <f t="shared" si="542"/>
        <v>8</v>
      </c>
      <c r="CY106" s="265">
        <f t="shared" si="542"/>
        <v>6</v>
      </c>
      <c r="CZ106" s="265">
        <f t="shared" si="542"/>
        <v>7</v>
      </c>
      <c r="DA106" s="288">
        <f t="shared" si="542"/>
        <v>52.569999999999986</v>
      </c>
      <c r="DB106" s="265"/>
      <c r="DC106" s="265"/>
      <c r="DD106" s="265"/>
      <c r="DE106" s="265"/>
      <c r="DF106" s="265"/>
      <c r="DG106" s="266">
        <f t="shared" ref="DG106:DP106" si="543">SUM(DG45:DG105)</f>
        <v>2904.2400000000002</v>
      </c>
      <c r="DH106" s="266">
        <f t="shared" si="543"/>
        <v>1055.9877000000001</v>
      </c>
      <c r="DI106" s="266">
        <f t="shared" si="543"/>
        <v>0</v>
      </c>
      <c r="DJ106" s="266">
        <f t="shared" si="543"/>
        <v>3572.0400000000009</v>
      </c>
      <c r="DK106" s="266">
        <f t="shared" si="543"/>
        <v>3081.1026999999995</v>
      </c>
      <c r="DL106" s="266">
        <f t="shared" si="543"/>
        <v>748.99900000000025</v>
      </c>
      <c r="DM106" s="266">
        <f t="shared" si="543"/>
        <v>1492.4999999999998</v>
      </c>
      <c r="DN106" s="266">
        <f t="shared" si="543"/>
        <v>1223.4009999999998</v>
      </c>
      <c r="DO106" s="266">
        <f t="shared" si="543"/>
        <v>728.01109999999994</v>
      </c>
      <c r="DP106" s="266">
        <f t="shared" si="543"/>
        <v>150.47740000000013</v>
      </c>
      <c r="DQ106" s="265"/>
    </row>
    <row r="107" spans="1:121" ht="39" x14ac:dyDescent="0.3">
      <c r="A107" s="265"/>
      <c r="B107" s="265"/>
      <c r="C107" s="265"/>
      <c r="D107" s="265"/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7"/>
      <c r="Q107" s="267"/>
      <c r="R107" s="267"/>
      <c r="S107" s="267"/>
      <c r="T107" s="265"/>
      <c r="U107" s="265"/>
      <c r="V107" s="265"/>
      <c r="W107" s="265"/>
      <c r="X107" s="265"/>
      <c r="Y107" s="265"/>
      <c r="Z107" s="265"/>
      <c r="AA107" s="250">
        <f>IF(O107="ASFALTO",L107*F106,0)</f>
        <v>0</v>
      </c>
      <c r="AB107" s="259"/>
      <c r="AC107" s="259"/>
      <c r="AD107" s="259"/>
      <c r="AE107" s="259"/>
      <c r="AF107" s="259"/>
      <c r="AG107" s="259"/>
      <c r="AH107" s="259"/>
      <c r="AI107" s="259"/>
      <c r="AJ107" s="259"/>
      <c r="AK107" s="259"/>
      <c r="AL107" s="755"/>
      <c r="AM107" s="755"/>
      <c r="AN107" s="755"/>
      <c r="AO107" s="270"/>
      <c r="AP107" s="270"/>
      <c r="AQ107" s="270"/>
      <c r="AR107" s="265"/>
      <c r="AS107" s="265"/>
      <c r="AT107" s="265"/>
      <c r="AU107" s="265"/>
      <c r="AV107" s="265"/>
      <c r="AW107" s="265"/>
      <c r="AX107" s="265"/>
      <c r="AY107" s="265"/>
      <c r="AZ107" s="265"/>
      <c r="BA107" s="264"/>
      <c r="BB107" s="271"/>
      <c r="BC107" s="271"/>
      <c r="BD107" s="271"/>
      <c r="BE107" s="271"/>
      <c r="BF107" s="271"/>
      <c r="BG107" s="265"/>
      <c r="BH107" s="265"/>
      <c r="BI107" s="279" t="s">
        <v>2424</v>
      </c>
      <c r="BJ107" s="272">
        <f>SUM(AJ106:AQ106)</f>
        <v>12649.151889449906</v>
      </c>
      <c r="BK107" s="359" t="s">
        <v>2425</v>
      </c>
      <c r="BL107" s="273">
        <f>SUM(AR106)</f>
        <v>663.17471063731489</v>
      </c>
      <c r="BM107" s="265"/>
      <c r="BN107" s="217" t="s">
        <v>2426</v>
      </c>
      <c r="BO107" s="274" t="s">
        <v>2427</v>
      </c>
      <c r="BP107" s="274" t="s">
        <v>2428</v>
      </c>
      <c r="BQ107" s="274" t="s">
        <v>2426</v>
      </c>
      <c r="BR107" s="275" t="s">
        <v>2427</v>
      </c>
      <c r="BS107" s="275" t="s">
        <v>2428</v>
      </c>
      <c r="BT107" s="198" t="s">
        <v>2426</v>
      </c>
      <c r="BU107" s="276" t="s">
        <v>2429</v>
      </c>
      <c r="BV107" s="276" t="s">
        <v>2430</v>
      </c>
      <c r="BW107" s="276" t="s">
        <v>2431</v>
      </c>
      <c r="BX107" s="276" t="s">
        <v>2426</v>
      </c>
      <c r="BY107" s="276" t="s">
        <v>2429</v>
      </c>
      <c r="BZ107" s="276" t="s">
        <v>2430</v>
      </c>
      <c r="CA107" s="276" t="s">
        <v>2431</v>
      </c>
      <c r="CB107" s="276" t="s">
        <v>2426</v>
      </c>
      <c r="CC107" s="276" t="s">
        <v>2429</v>
      </c>
      <c r="CD107" s="276" t="s">
        <v>2430</v>
      </c>
      <c r="CE107" s="276" t="s">
        <v>2431</v>
      </c>
      <c r="CF107" s="276" t="s">
        <v>2426</v>
      </c>
      <c r="CG107" s="276" t="s">
        <v>2429</v>
      </c>
      <c r="CH107" s="276" t="s">
        <v>2430</v>
      </c>
      <c r="CI107" s="276" t="s">
        <v>2431</v>
      </c>
      <c r="CJ107" s="277" t="s">
        <v>2426</v>
      </c>
      <c r="CK107" s="277" t="s">
        <v>2429</v>
      </c>
      <c r="CL107" s="277" t="s">
        <v>2430</v>
      </c>
      <c r="CM107" s="277" t="s">
        <v>2431</v>
      </c>
      <c r="CN107" s="265"/>
      <c r="CO107" s="265"/>
      <c r="CP107" s="265"/>
      <c r="CQ107" s="265"/>
      <c r="CR107" s="265"/>
      <c r="CS107" s="265"/>
      <c r="CT107" s="265"/>
      <c r="CU107" s="268"/>
      <c r="CV107" s="265"/>
      <c r="CW107" s="265"/>
      <c r="CX107" s="265"/>
      <c r="CY107" s="265"/>
      <c r="CZ107" s="265"/>
      <c r="DA107" s="265"/>
      <c r="DB107" s="265"/>
      <c r="DC107" s="265"/>
      <c r="DD107" s="265"/>
      <c r="DE107" s="265"/>
      <c r="DF107" s="265"/>
      <c r="DG107" s="265"/>
      <c r="DH107" s="265"/>
      <c r="DI107" s="265"/>
      <c r="DJ107" s="265"/>
      <c r="DK107" s="265"/>
      <c r="DL107" s="265"/>
      <c r="DM107" s="265"/>
      <c r="DN107" s="265"/>
      <c r="DO107" s="265"/>
      <c r="DP107" s="265"/>
      <c r="DQ107" s="265"/>
    </row>
    <row r="108" spans="1:121" ht="65" x14ac:dyDescent="0.3">
      <c r="A108" s="278"/>
      <c r="B108" s="278"/>
      <c r="C108" s="265"/>
      <c r="D108" s="265"/>
      <c r="E108" s="265"/>
      <c r="F108" s="265"/>
      <c r="G108" s="265"/>
      <c r="H108" s="265"/>
      <c r="I108" s="265"/>
      <c r="J108" s="265"/>
      <c r="K108" s="265"/>
      <c r="L108" s="265"/>
      <c r="M108" s="265"/>
      <c r="N108" s="265"/>
      <c r="O108" s="265"/>
      <c r="P108" s="267"/>
      <c r="Q108" s="267"/>
      <c r="R108" s="267"/>
      <c r="S108" s="267"/>
      <c r="T108" s="265"/>
      <c r="U108" s="265"/>
      <c r="V108" s="265"/>
      <c r="W108" s="265"/>
      <c r="X108" s="265"/>
      <c r="Y108" s="265"/>
      <c r="Z108" s="265"/>
      <c r="AA108" s="250">
        <f>IF(O108="ASFALTO",L108*F108,0)</f>
        <v>0</v>
      </c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65"/>
      <c r="AM108" s="265"/>
      <c r="AN108" s="265"/>
      <c r="AO108" s="265"/>
      <c r="AP108" s="265"/>
      <c r="AQ108" s="265"/>
      <c r="AR108" s="265"/>
      <c r="AS108" s="265"/>
      <c r="AT108" s="265"/>
      <c r="AU108" s="265"/>
      <c r="AV108" s="265"/>
      <c r="AW108" s="265"/>
      <c r="AX108" s="265"/>
      <c r="AY108" s="265"/>
      <c r="AZ108" s="265"/>
      <c r="BA108" s="264"/>
      <c r="BB108" s="271"/>
      <c r="BC108" s="271"/>
      <c r="BD108" s="271"/>
      <c r="BE108" s="271"/>
      <c r="BF108" s="271"/>
      <c r="BG108" s="265"/>
      <c r="BH108" s="265"/>
      <c r="BI108" s="279" t="s">
        <v>2432</v>
      </c>
      <c r="BJ108" s="264">
        <f>BJ107-BG106-AW106-BB106-AZ106</f>
        <v>742.53061238355804</v>
      </c>
      <c r="BK108" s="359" t="s">
        <v>2433</v>
      </c>
      <c r="BL108" s="271">
        <f>BJ110+SUM(AC106:AI106)</f>
        <v>724.60304839768514</v>
      </c>
      <c r="BM108" s="265"/>
      <c r="BN108" s="281"/>
      <c r="BO108" s="281">
        <f>SUM(BO45:BO105)</f>
        <v>275.74</v>
      </c>
      <c r="BP108" s="281">
        <f>SUM(BP45:BP105)</f>
        <v>135.03</v>
      </c>
      <c r="BQ108" s="281"/>
      <c r="BR108" s="281">
        <f>SUM(BR45:BR105)</f>
        <v>0</v>
      </c>
      <c r="BS108" s="281">
        <f>SUM(BS45:BS105)</f>
        <v>0</v>
      </c>
      <c r="BT108" s="281"/>
      <c r="BU108" s="281">
        <f>SUM(BU45:BU105)</f>
        <v>557.31000000000006</v>
      </c>
      <c r="BV108" s="281">
        <f>SUM(BV45:BV105)</f>
        <v>0</v>
      </c>
      <c r="BW108" s="281">
        <f>SUM(BW45:BW105)</f>
        <v>0</v>
      </c>
      <c r="BX108" s="281"/>
      <c r="BY108" s="281">
        <f>SUM(BY45:BY105)</f>
        <v>445.70999999999992</v>
      </c>
      <c r="BZ108" s="281">
        <f>SUM(BZ45:BZ105)</f>
        <v>49.82</v>
      </c>
      <c r="CA108" s="281">
        <f>SUM(CA45:CA105)</f>
        <v>0</v>
      </c>
      <c r="CB108" s="281"/>
      <c r="CC108" s="281">
        <f>SUM(CC45:CC105)</f>
        <v>137.27000000000001</v>
      </c>
      <c r="CD108" s="281">
        <f>SUM(CD45:CD105)</f>
        <v>245.36</v>
      </c>
      <c r="CE108" s="281">
        <f>SUM(CE45:CE105)</f>
        <v>0</v>
      </c>
      <c r="CF108" s="281"/>
      <c r="CG108" s="281">
        <f>SUM(CG45:CG105)</f>
        <v>0</v>
      </c>
      <c r="CH108" s="281">
        <f>SUM(CH45:CH105)</f>
        <v>312.52</v>
      </c>
      <c r="CI108" s="281">
        <f>SUM(CI45:CI105)</f>
        <v>0</v>
      </c>
      <c r="CJ108" s="281"/>
      <c r="CK108" s="281">
        <f>SUM(CK45:CK105)</f>
        <v>39.090000000000003</v>
      </c>
      <c r="CL108" s="281">
        <f>SUM(CL45:CL105)</f>
        <v>179.72</v>
      </c>
      <c r="CM108" s="281">
        <f>SUM(CM45:CM105)</f>
        <v>0</v>
      </c>
      <c r="CN108" s="265"/>
      <c r="CO108" s="265"/>
      <c r="CP108" s="265"/>
      <c r="CQ108" s="265"/>
      <c r="CR108" s="265"/>
      <c r="CS108" s="265"/>
      <c r="CT108" s="265"/>
      <c r="CU108" s="268"/>
      <c r="CV108" s="265"/>
      <c r="CW108" s="265"/>
      <c r="CX108" s="265"/>
      <c r="CY108" s="265"/>
      <c r="CZ108" s="265"/>
      <c r="DA108" s="265"/>
      <c r="DB108" s="265"/>
      <c r="DC108" s="265"/>
      <c r="DD108" s="265"/>
      <c r="DE108" s="265"/>
      <c r="DF108" s="265"/>
      <c r="DG108" s="265"/>
      <c r="DH108" s="265"/>
      <c r="DI108" s="265"/>
      <c r="DJ108" s="265"/>
      <c r="DK108" s="265"/>
      <c r="DL108" s="265"/>
      <c r="DM108" s="265"/>
      <c r="DN108" s="265"/>
      <c r="DO108" s="265"/>
      <c r="DP108" s="265"/>
      <c r="DQ108" s="265"/>
    </row>
    <row r="109" spans="1:121" ht="39" x14ac:dyDescent="0.3">
      <c r="A109" s="278"/>
      <c r="B109" s="278"/>
      <c r="C109" s="265"/>
      <c r="D109" s="265"/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79"/>
      <c r="P109" s="279"/>
      <c r="Q109" s="279"/>
      <c r="R109" s="279"/>
      <c r="S109" s="279"/>
      <c r="T109" s="265"/>
      <c r="U109" s="266"/>
      <c r="V109" s="358">
        <f>SUM(V45:V105)</f>
        <v>13699.904200087221</v>
      </c>
      <c r="W109" s="265"/>
      <c r="X109" s="265"/>
      <c r="Y109" s="265"/>
      <c r="Z109" s="265"/>
      <c r="AA109" s="265"/>
      <c r="AB109" s="265"/>
      <c r="AC109" s="265"/>
      <c r="AD109" s="265"/>
      <c r="AE109" s="265"/>
      <c r="AF109" s="265"/>
      <c r="AG109" s="265"/>
      <c r="AH109" s="265"/>
      <c r="AI109" s="265"/>
      <c r="AJ109" s="265"/>
      <c r="AK109" s="265"/>
      <c r="AL109" s="265"/>
      <c r="AM109" s="265"/>
      <c r="AN109" s="265"/>
      <c r="AO109" s="265"/>
      <c r="AP109" s="265"/>
      <c r="AQ109" s="265"/>
      <c r="AR109" s="265"/>
      <c r="AS109" s="265"/>
      <c r="AT109" s="265"/>
      <c r="AU109" s="265"/>
      <c r="AV109" s="265"/>
      <c r="AW109" s="265"/>
      <c r="AX109" s="265"/>
      <c r="AY109" s="265"/>
      <c r="AZ109" s="265"/>
      <c r="BA109" s="265"/>
      <c r="BB109" s="265"/>
      <c r="BC109" s="265"/>
      <c r="BD109" s="265"/>
      <c r="BE109" s="265"/>
      <c r="BF109" s="265"/>
      <c r="BG109" s="265"/>
      <c r="BH109" s="265"/>
      <c r="BI109" s="279" t="s">
        <v>2434</v>
      </c>
      <c r="BJ109" s="292">
        <f>BK106</f>
        <v>0</v>
      </c>
      <c r="BK109" s="265"/>
      <c r="BL109" s="265"/>
      <c r="BM109" s="265"/>
      <c r="BN109" s="280"/>
      <c r="BO109" s="756">
        <f>SUM(BN108:BP108)</f>
        <v>410.77</v>
      </c>
      <c r="BP109" s="757"/>
      <c r="BQ109" s="280"/>
      <c r="BR109" s="756">
        <f>SUM(BR108:BS108)</f>
        <v>0</v>
      </c>
      <c r="BS109" s="757"/>
      <c r="BT109" s="280" t="s">
        <v>2436</v>
      </c>
      <c r="BU109" s="756">
        <f>SUM(BU108:BW108)</f>
        <v>557.31000000000006</v>
      </c>
      <c r="BV109" s="758"/>
      <c r="BW109" s="757"/>
      <c r="BX109" s="280" t="s">
        <v>2436</v>
      </c>
      <c r="BY109" s="756">
        <f>SUM(BY108:CA108)</f>
        <v>495.52999999999992</v>
      </c>
      <c r="BZ109" s="758"/>
      <c r="CA109" s="757"/>
      <c r="CB109" s="280" t="s">
        <v>2436</v>
      </c>
      <c r="CC109" s="756">
        <f>SUM(CC108:CE108)</f>
        <v>382.63</v>
      </c>
      <c r="CD109" s="758"/>
      <c r="CE109" s="757"/>
      <c r="CF109" s="280" t="s">
        <v>2436</v>
      </c>
      <c r="CG109" s="756">
        <f>SUM(CG108:CI108)</f>
        <v>312.52</v>
      </c>
      <c r="CH109" s="758"/>
      <c r="CI109" s="757"/>
      <c r="CJ109" s="280" t="s">
        <v>2436</v>
      </c>
      <c r="CK109" s="756">
        <f>SUM(CK108:CM108)</f>
        <v>218.81</v>
      </c>
      <c r="CL109" s="758"/>
      <c r="CM109" s="757"/>
      <c r="CN109" s="266">
        <f>SUM(CN45:CN105)</f>
        <v>257.89999999999998</v>
      </c>
      <c r="CO109" s="266">
        <f>SUM(CO45:CO105)</f>
        <v>20.79</v>
      </c>
      <c r="CP109" s="265"/>
      <c r="CQ109" s="265"/>
      <c r="CR109" s="265"/>
      <c r="CS109" s="265"/>
      <c r="CT109" s="265"/>
      <c r="CU109" s="268"/>
      <c r="CV109" s="265"/>
      <c r="CW109" s="265">
        <f>92-15</f>
        <v>77</v>
      </c>
      <c r="CX109" s="265"/>
      <c r="CY109" s="265"/>
      <c r="CZ109" s="265"/>
      <c r="DA109" s="265"/>
      <c r="DB109" s="265"/>
      <c r="DC109" s="265"/>
      <c r="DD109" s="265"/>
      <c r="DE109" s="265"/>
      <c r="DF109" s="265"/>
      <c r="DG109" s="265"/>
      <c r="DH109" s="265"/>
      <c r="DI109" s="265"/>
      <c r="DJ109" s="265"/>
      <c r="DK109" s="265"/>
      <c r="DL109" s="265"/>
      <c r="DM109" s="265"/>
      <c r="DN109" s="265"/>
      <c r="DO109" s="265"/>
      <c r="DP109" s="265"/>
      <c r="DQ109" s="265"/>
    </row>
    <row r="110" spans="1:121" ht="13" x14ac:dyDescent="0.3">
      <c r="A110" s="278"/>
      <c r="B110" s="278"/>
      <c r="C110" s="265"/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79"/>
      <c r="P110" s="279"/>
      <c r="Q110" s="279"/>
      <c r="R110" s="279"/>
      <c r="S110" s="279"/>
      <c r="T110" s="265"/>
      <c r="U110" s="265"/>
      <c r="V110" s="265"/>
      <c r="W110" s="265"/>
      <c r="X110" s="265"/>
      <c r="Y110" s="265"/>
      <c r="Z110" s="265"/>
      <c r="AA110" s="265"/>
      <c r="AB110" s="265"/>
      <c r="AC110" s="265"/>
      <c r="AD110" s="265"/>
      <c r="AE110" s="265"/>
      <c r="AF110" s="265"/>
      <c r="AG110" s="265"/>
      <c r="AH110" s="265"/>
      <c r="AI110" s="265"/>
      <c r="AJ110" s="265"/>
      <c r="AK110" s="265"/>
      <c r="AL110" s="265"/>
      <c r="AM110" s="265"/>
      <c r="AN110" s="265"/>
      <c r="AO110" s="265"/>
      <c r="AP110" s="265"/>
      <c r="AQ110" s="265"/>
      <c r="AR110" s="265"/>
      <c r="AS110" s="265" t="s">
        <v>2712</v>
      </c>
      <c r="AT110" s="265"/>
      <c r="AU110" s="265"/>
      <c r="AV110" s="265"/>
      <c r="AW110" s="265"/>
      <c r="AX110" s="265"/>
      <c r="AY110" s="265"/>
      <c r="AZ110" s="265"/>
      <c r="BA110" s="265"/>
      <c r="BB110" s="265"/>
      <c r="BC110" s="265"/>
      <c r="BD110" s="265"/>
      <c r="BE110" s="265"/>
      <c r="BF110" s="265"/>
      <c r="BG110" s="265"/>
      <c r="BH110" s="265"/>
      <c r="BI110" s="265" t="s">
        <v>2435</v>
      </c>
      <c r="BJ110" s="268">
        <f>BJ108-BJ106</f>
        <v>337.02544839768518</v>
      </c>
      <c r="BK110" s="265"/>
      <c r="BL110" s="265"/>
      <c r="BM110" s="265"/>
      <c r="BN110" s="265"/>
      <c r="BO110" s="265"/>
      <c r="BP110" s="265"/>
      <c r="BQ110" s="265"/>
      <c r="BR110" s="265"/>
      <c r="BS110" s="265"/>
      <c r="BT110" s="265"/>
      <c r="BU110" s="265"/>
      <c r="BV110" s="265"/>
      <c r="BW110" s="265"/>
      <c r="BX110" s="265"/>
      <c r="BY110" s="265"/>
      <c r="BZ110" s="265"/>
      <c r="CA110" s="265"/>
      <c r="CB110" s="265"/>
      <c r="CC110" s="265"/>
      <c r="CD110" s="265"/>
      <c r="CE110" s="265"/>
      <c r="CF110" s="265"/>
      <c r="CG110" s="265"/>
      <c r="CH110" s="265"/>
      <c r="CI110" s="265"/>
      <c r="CJ110" s="265"/>
      <c r="CK110" s="265"/>
      <c r="CL110" s="265"/>
      <c r="CM110" s="265"/>
      <c r="CN110" s="265"/>
      <c r="CO110" s="265"/>
      <c r="CP110" s="265"/>
      <c r="CQ110" s="265"/>
      <c r="CR110" s="265"/>
      <c r="CS110" s="265"/>
      <c r="CT110" s="265"/>
      <c r="CU110" s="265"/>
      <c r="CV110" s="265"/>
      <c r="CW110" s="265">
        <f>CW109*0.9</f>
        <v>69.3</v>
      </c>
      <c r="CX110" s="265">
        <f>5.8*48</f>
        <v>278.39999999999998</v>
      </c>
      <c r="CY110" s="265">
        <f>6.14*24</f>
        <v>147.35999999999999</v>
      </c>
      <c r="CZ110" s="287"/>
      <c r="DA110" s="265"/>
      <c r="DB110" s="265"/>
      <c r="DC110" s="265"/>
      <c r="DD110" s="265"/>
      <c r="DE110" s="265"/>
      <c r="DF110" s="265"/>
      <c r="DG110" s="265"/>
      <c r="DH110" s="265"/>
      <c r="DI110" s="265"/>
      <c r="DJ110" s="265"/>
      <c r="DK110" s="265"/>
      <c r="DL110" s="265"/>
      <c r="DM110" s="265"/>
      <c r="DN110" s="265"/>
      <c r="DO110" s="265"/>
      <c r="DP110" s="265"/>
      <c r="DQ110" s="265"/>
    </row>
    <row r="111" spans="1:121" ht="13" x14ac:dyDescent="0.3">
      <c r="A111" s="278"/>
      <c r="B111" s="278"/>
      <c r="C111" s="265"/>
      <c r="D111" s="265"/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79"/>
      <c r="P111" s="279"/>
      <c r="Q111" s="279"/>
      <c r="R111" s="279"/>
      <c r="S111" s="279"/>
      <c r="T111" s="265"/>
      <c r="U111" s="265"/>
      <c r="V111" s="265"/>
      <c r="W111" s="265"/>
      <c r="X111" s="265"/>
      <c r="Y111" s="265"/>
      <c r="Z111" s="265"/>
      <c r="AA111" s="265"/>
      <c r="AB111" s="265"/>
      <c r="AC111" s="265"/>
      <c r="AD111" s="265"/>
      <c r="AE111" s="265"/>
      <c r="AF111" s="265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65"/>
      <c r="AS111" s="265"/>
      <c r="AT111" s="265"/>
      <c r="AU111" s="265"/>
      <c r="AV111" s="265"/>
      <c r="AW111" s="265"/>
      <c r="AX111" s="265"/>
      <c r="AY111" s="265"/>
      <c r="AZ111" s="265"/>
      <c r="BA111" s="265"/>
      <c r="BB111" s="265"/>
      <c r="BC111" s="265"/>
      <c r="BD111" s="265"/>
      <c r="BE111" s="265"/>
      <c r="BF111" s="265"/>
      <c r="BG111" s="265"/>
      <c r="BH111" s="265"/>
      <c r="BI111" s="265"/>
      <c r="BJ111" s="265"/>
      <c r="BK111" s="265"/>
      <c r="BL111" s="265"/>
      <c r="BM111" s="265"/>
      <c r="BN111" s="265"/>
      <c r="BO111" s="265"/>
      <c r="BP111" s="265"/>
      <c r="BQ111" s="265"/>
      <c r="BR111" s="265"/>
      <c r="BS111" s="265"/>
      <c r="BT111" s="265"/>
      <c r="BU111" s="265"/>
      <c r="BV111" s="265"/>
      <c r="BW111" s="265"/>
      <c r="BX111" s="265"/>
      <c r="BY111" s="265"/>
      <c r="BZ111" s="265"/>
      <c r="CA111" s="265"/>
      <c r="CB111" s="265"/>
      <c r="CC111" s="265"/>
      <c r="CD111" s="265"/>
      <c r="CE111" s="265"/>
      <c r="CF111" s="265"/>
      <c r="CG111" s="265"/>
      <c r="CH111" s="265"/>
      <c r="CI111" s="265"/>
      <c r="CJ111" s="265"/>
      <c r="CK111" s="265"/>
      <c r="CL111" s="265"/>
      <c r="CM111" s="265"/>
      <c r="CN111" s="265"/>
      <c r="CO111" s="265"/>
      <c r="CP111" s="265"/>
      <c r="CQ111" s="265"/>
      <c r="CR111" s="265"/>
      <c r="CS111" s="265"/>
      <c r="CT111" s="265"/>
      <c r="CU111" s="265"/>
      <c r="CV111" s="265"/>
      <c r="CW111" s="265">
        <f>CW110/2</f>
        <v>34.65</v>
      </c>
      <c r="CX111" s="265">
        <f>CX110-20</f>
        <v>258.39999999999998</v>
      </c>
      <c r="CY111" s="265"/>
      <c r="CZ111" s="288"/>
      <c r="DA111" s="265"/>
      <c r="DB111" s="265"/>
      <c r="DC111" s="265"/>
      <c r="DD111" s="265"/>
      <c r="DE111" s="265"/>
      <c r="DF111" s="265"/>
      <c r="DG111" s="265"/>
      <c r="DH111" s="265"/>
      <c r="DI111" s="265"/>
      <c r="DJ111" s="265"/>
      <c r="DK111" s="265"/>
      <c r="DL111" s="265"/>
      <c r="DM111" s="265"/>
      <c r="DN111" s="265"/>
      <c r="DO111" s="265"/>
      <c r="DP111" s="265"/>
      <c r="DQ111" s="265"/>
    </row>
    <row r="112" spans="1:121" ht="13" x14ac:dyDescent="0.3">
      <c r="A112" s="278"/>
      <c r="B112" s="278"/>
      <c r="C112" s="265"/>
      <c r="D112" s="265"/>
      <c r="E112" s="265"/>
      <c r="F112" s="265"/>
      <c r="G112" s="265"/>
      <c r="H112" s="265"/>
      <c r="I112" s="265"/>
      <c r="J112" s="265"/>
      <c r="K112" s="265"/>
      <c r="L112" s="265"/>
      <c r="M112" s="265"/>
      <c r="N112" s="265"/>
      <c r="O112" s="279"/>
      <c r="P112" s="279"/>
      <c r="Q112" s="279"/>
      <c r="R112" s="279"/>
      <c r="S112" s="279"/>
      <c r="T112" s="265"/>
      <c r="U112" s="265"/>
      <c r="V112" s="265"/>
      <c r="W112" s="265"/>
      <c r="X112" s="265"/>
      <c r="Y112" s="265"/>
      <c r="Z112" s="265"/>
      <c r="AA112" s="265"/>
      <c r="AB112" s="265"/>
      <c r="AC112" s="265"/>
      <c r="AD112" s="265"/>
      <c r="AE112" s="265"/>
      <c r="AF112" s="265"/>
      <c r="AG112" s="265"/>
      <c r="AH112" s="265"/>
      <c r="AI112" s="265"/>
      <c r="AJ112" s="265"/>
      <c r="AK112" s="265"/>
      <c r="AL112" s="265"/>
      <c r="AM112" s="265"/>
      <c r="AN112" s="265"/>
      <c r="AO112" s="265"/>
      <c r="AP112" s="265"/>
      <c r="AQ112" s="265"/>
      <c r="AR112" s="265"/>
      <c r="AS112" s="265"/>
      <c r="AT112" s="265"/>
      <c r="AU112" s="265"/>
      <c r="AV112" s="265"/>
      <c r="AW112" s="265"/>
      <c r="AX112" s="265"/>
      <c r="AY112" s="265"/>
      <c r="AZ112" s="265"/>
      <c r="BA112" s="265"/>
      <c r="BB112" s="265"/>
      <c r="BC112" s="265"/>
      <c r="BD112" s="265"/>
      <c r="BE112" s="265"/>
      <c r="BF112" s="265"/>
      <c r="BG112" s="265"/>
      <c r="BH112" s="265"/>
      <c r="BI112" s="265"/>
      <c r="BJ112" s="265"/>
      <c r="BK112" s="265"/>
      <c r="BL112" s="265"/>
      <c r="BM112" s="265"/>
      <c r="BN112" s="265"/>
      <c r="BO112" s="265"/>
      <c r="BP112" s="265"/>
      <c r="BQ112" s="265"/>
      <c r="BR112" s="265"/>
      <c r="BS112" s="265"/>
      <c r="BT112" s="265"/>
      <c r="BU112" s="265"/>
      <c r="BV112" s="265"/>
      <c r="BW112" s="265"/>
      <c r="BX112" s="265"/>
      <c r="BY112" s="265"/>
      <c r="BZ112" s="265"/>
      <c r="CA112" s="265"/>
      <c r="CB112" s="265"/>
      <c r="CC112" s="265"/>
      <c r="CD112" s="265"/>
      <c r="CE112" s="265"/>
      <c r="CF112" s="265"/>
      <c r="CG112" s="265"/>
      <c r="CH112" s="265"/>
      <c r="CI112" s="265"/>
      <c r="CJ112" s="265"/>
      <c r="CK112" s="265"/>
      <c r="CL112" s="265"/>
      <c r="CM112" s="265"/>
      <c r="CN112" s="265"/>
      <c r="CO112" s="265"/>
      <c r="CP112" s="265"/>
      <c r="CQ112" s="265"/>
      <c r="CR112" s="265"/>
      <c r="CS112" s="265"/>
      <c r="CT112" s="265"/>
      <c r="CU112" s="265">
        <f>629.1*0.8</f>
        <v>503.28000000000003</v>
      </c>
      <c r="CV112" s="265"/>
      <c r="CW112" s="265"/>
      <c r="CX112" s="265">
        <f>CX111/48</f>
        <v>5.3833333333333329</v>
      </c>
      <c r="CY112" s="265">
        <f>CX112*0.9</f>
        <v>4.8449999999999998</v>
      </c>
      <c r="CZ112" s="265"/>
      <c r="DA112" s="265"/>
      <c r="DB112" s="265"/>
      <c r="DC112" s="265"/>
      <c r="DD112" s="265"/>
      <c r="DE112" s="265"/>
      <c r="DF112" s="265"/>
      <c r="DG112" s="265"/>
      <c r="DH112" s="265"/>
      <c r="DI112" s="265"/>
      <c r="DJ112" s="265"/>
      <c r="DK112" s="265"/>
      <c r="DL112" s="265"/>
      <c r="DM112" s="265"/>
      <c r="DN112" s="265"/>
      <c r="DO112" s="265"/>
      <c r="DP112" s="265"/>
      <c r="DQ112" s="265"/>
    </row>
    <row r="113" spans="1:121" ht="13" x14ac:dyDescent="0.3">
      <c r="A113" s="357"/>
      <c r="B113" s="357"/>
      <c r="C113" s="293"/>
      <c r="D113" s="293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356"/>
      <c r="P113" s="356"/>
      <c r="Q113" s="356"/>
      <c r="R113" s="356"/>
      <c r="S113" s="356"/>
      <c r="T113" s="293"/>
      <c r="U113" s="355"/>
      <c r="V113" s="355"/>
      <c r="W113" s="355"/>
      <c r="X113" s="355"/>
      <c r="Y113" s="293"/>
      <c r="Z113" s="293"/>
      <c r="AA113" s="293"/>
      <c r="AB113" s="293"/>
      <c r="AC113" s="355"/>
      <c r="AD113" s="355"/>
      <c r="AE113" s="355"/>
      <c r="AF113" s="355"/>
      <c r="AG113" s="355"/>
      <c r="AH113" s="355"/>
      <c r="AI113" s="355"/>
      <c r="AJ113" s="355"/>
      <c r="AK113" s="355"/>
      <c r="AL113" s="355"/>
      <c r="AM113" s="355"/>
      <c r="AN113" s="355"/>
      <c r="AO113" s="355"/>
      <c r="AP113" s="355"/>
      <c r="AQ113" s="355"/>
      <c r="AR113" s="355"/>
      <c r="AS113" s="293"/>
      <c r="AT113" s="355"/>
      <c r="AU113" s="293"/>
      <c r="AV113" s="293"/>
      <c r="AW113" s="355"/>
      <c r="AX113" s="355"/>
      <c r="AY113" s="293"/>
      <c r="AZ113" s="293"/>
      <c r="BA113" s="293"/>
      <c r="BB113" s="293"/>
      <c r="BC113" s="293"/>
      <c r="BD113" s="293"/>
      <c r="BE113" s="293"/>
      <c r="BF113" s="293"/>
      <c r="BG113" s="355"/>
      <c r="BH113" s="355"/>
      <c r="BI113" s="293"/>
      <c r="BJ113" s="355"/>
      <c r="BK113" s="355"/>
      <c r="BL113" s="355"/>
      <c r="BM113" s="355"/>
      <c r="BN113" s="293"/>
      <c r="BO113" s="293"/>
      <c r="BP113" s="293"/>
      <c r="BQ113" s="293"/>
      <c r="BR113" s="293"/>
      <c r="BS113" s="293"/>
      <c r="BT113" s="293"/>
      <c r="BU113" s="293"/>
      <c r="BV113" s="293"/>
      <c r="BW113" s="293"/>
      <c r="BX113" s="293"/>
      <c r="BY113" s="293"/>
      <c r="BZ113" s="293"/>
      <c r="CA113" s="293"/>
      <c r="CB113" s="293"/>
      <c r="CC113" s="293"/>
      <c r="CD113" s="293"/>
      <c r="CE113" s="293"/>
      <c r="CF113" s="293"/>
      <c r="CG113" s="293"/>
      <c r="CH113" s="293"/>
      <c r="CI113" s="293"/>
      <c r="CJ113" s="293"/>
      <c r="CK113" s="293"/>
      <c r="CL113" s="293"/>
      <c r="CM113" s="293"/>
      <c r="CN113" s="293"/>
      <c r="CO113" s="293"/>
      <c r="CP113" s="293"/>
      <c r="CQ113" s="293"/>
      <c r="CR113" s="293"/>
      <c r="CS113" s="293"/>
      <c r="CT113" s="293"/>
      <c r="CU113" s="293"/>
      <c r="CV113" s="293"/>
      <c r="CW113" s="293"/>
      <c r="CX113" s="293"/>
      <c r="CY113" s="293"/>
      <c r="CZ113" s="293"/>
      <c r="DA113" s="293"/>
      <c r="DB113" s="293"/>
      <c r="DC113" s="293"/>
      <c r="DD113" s="293"/>
      <c r="DE113" s="293"/>
      <c r="DF113" s="293"/>
      <c r="DG113" s="293"/>
      <c r="DH113" s="293"/>
      <c r="DI113" s="293"/>
      <c r="DJ113" s="293"/>
      <c r="DK113" s="293"/>
      <c r="DL113" s="293"/>
      <c r="DM113" s="293"/>
      <c r="DN113" s="293"/>
      <c r="DO113" s="293"/>
      <c r="DP113" s="293"/>
      <c r="DQ113" s="293"/>
    </row>
    <row r="114" spans="1:121" ht="13" x14ac:dyDescent="0.3">
      <c r="A114" s="357"/>
      <c r="B114" s="357"/>
      <c r="C114" s="293"/>
      <c r="D114" s="293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356"/>
      <c r="P114" s="356"/>
      <c r="Q114" s="356"/>
      <c r="R114" s="356"/>
      <c r="S114" s="356"/>
      <c r="T114" s="293"/>
      <c r="U114" s="355"/>
      <c r="V114" s="355"/>
      <c r="W114" s="355"/>
      <c r="X114" s="355"/>
      <c r="Y114" s="293"/>
      <c r="Z114" s="293"/>
      <c r="AA114" s="293"/>
      <c r="AB114" s="293"/>
      <c r="AC114" s="355"/>
      <c r="AD114" s="355"/>
      <c r="AE114" s="355"/>
      <c r="AF114" s="355"/>
      <c r="AG114" s="355"/>
      <c r="AH114" s="355"/>
      <c r="AI114" s="355"/>
      <c r="AJ114" s="355"/>
      <c r="AK114" s="355"/>
      <c r="AL114" s="355"/>
      <c r="AM114" s="355"/>
      <c r="AN114" s="355"/>
      <c r="AO114" s="355"/>
      <c r="AP114" s="355"/>
      <c r="AQ114" s="355"/>
      <c r="AR114" s="355"/>
      <c r="AS114" s="293"/>
      <c r="AT114" s="355"/>
      <c r="AU114" s="293"/>
      <c r="AV114" s="293"/>
      <c r="AW114" s="355"/>
      <c r="AX114" s="355"/>
      <c r="AY114" s="293"/>
      <c r="AZ114" s="293"/>
      <c r="BA114" s="293"/>
      <c r="BB114" s="293"/>
      <c r="BC114" s="293"/>
      <c r="BD114" s="293"/>
      <c r="BE114" s="293"/>
      <c r="BF114" s="293"/>
      <c r="BG114" s="355"/>
      <c r="BH114" s="355"/>
      <c r="BI114" s="293"/>
      <c r="BJ114" s="355"/>
      <c r="BK114" s="355"/>
      <c r="BL114" s="355"/>
      <c r="BM114" s="355"/>
      <c r="BN114" s="293"/>
      <c r="BO114" s="293"/>
      <c r="BP114" s="293"/>
      <c r="BQ114" s="293"/>
      <c r="BR114" s="293"/>
      <c r="BS114" s="293"/>
      <c r="BT114" s="293"/>
      <c r="BU114" s="293"/>
      <c r="BV114" s="293"/>
      <c r="BW114" s="293"/>
      <c r="BX114" s="293"/>
      <c r="BY114" s="293"/>
      <c r="BZ114" s="293"/>
      <c r="CA114" s="293"/>
      <c r="CB114" s="293"/>
      <c r="CC114" s="293"/>
      <c r="CD114" s="293"/>
      <c r="CE114" s="293"/>
      <c r="CF114" s="293"/>
      <c r="CG114" s="293"/>
      <c r="CH114" s="293"/>
      <c r="CI114" s="293"/>
      <c r="CJ114" s="293"/>
      <c r="CK114" s="293"/>
      <c r="CL114" s="293"/>
      <c r="CM114" s="293"/>
      <c r="CN114" s="293"/>
      <c r="CO114" s="293"/>
      <c r="CP114" s="293"/>
      <c r="CQ114" s="293"/>
      <c r="CR114" s="293"/>
      <c r="CS114" s="293"/>
      <c r="CT114" s="293"/>
      <c r="CU114" s="293"/>
      <c r="CV114" s="293"/>
      <c r="CW114" s="293"/>
      <c r="CX114" s="293"/>
      <c r="CY114" s="293"/>
      <c r="CZ114" s="293"/>
      <c r="DA114" s="293"/>
      <c r="DB114" s="293"/>
      <c r="DC114" s="293"/>
      <c r="DD114" s="293"/>
      <c r="DE114" s="293"/>
      <c r="DF114" s="293"/>
      <c r="DG114" s="293"/>
      <c r="DH114" s="293"/>
      <c r="DI114" s="293"/>
      <c r="DJ114" s="293"/>
      <c r="DK114" s="293"/>
      <c r="DL114" s="293"/>
      <c r="DM114" s="293"/>
      <c r="DN114" s="293"/>
      <c r="DO114" s="293"/>
      <c r="DP114" s="293"/>
      <c r="DQ114" s="293"/>
    </row>
    <row r="115" spans="1:121" x14ac:dyDescent="0.25">
      <c r="A115" s="354"/>
      <c r="B115" s="354"/>
      <c r="C115" s="294"/>
      <c r="D115" s="294"/>
      <c r="E115" s="294"/>
      <c r="F115" s="294"/>
      <c r="G115" s="294"/>
      <c r="H115" s="294"/>
      <c r="I115" s="294"/>
      <c r="J115" s="294"/>
      <c r="K115" s="294"/>
      <c r="L115" s="294"/>
      <c r="M115" s="294"/>
      <c r="N115" s="294"/>
      <c r="O115" s="353"/>
      <c r="P115" s="353"/>
      <c r="Q115" s="353"/>
      <c r="R115" s="353"/>
      <c r="S115" s="353"/>
      <c r="T115" s="294"/>
      <c r="U115" s="352"/>
      <c r="V115" s="352"/>
      <c r="W115" s="352"/>
      <c r="X115" s="352"/>
      <c r="Y115" s="294"/>
      <c r="Z115" s="294"/>
      <c r="AA115" s="294"/>
      <c r="AB115" s="294"/>
      <c r="AC115" s="352"/>
      <c r="AD115" s="352"/>
      <c r="AE115" s="352"/>
      <c r="AF115" s="352"/>
      <c r="AG115" s="352"/>
      <c r="AH115" s="352"/>
      <c r="AI115" s="352"/>
      <c r="AJ115" s="352"/>
      <c r="AK115" s="352"/>
      <c r="AL115" s="352"/>
      <c r="AM115" s="352"/>
      <c r="AN115" s="352"/>
      <c r="AO115" s="352"/>
      <c r="AP115" s="352"/>
      <c r="AQ115" s="352"/>
      <c r="AR115" s="352"/>
      <c r="AS115" s="294"/>
      <c r="AT115" s="352"/>
      <c r="AU115" s="294"/>
      <c r="AV115" s="294"/>
      <c r="AW115" s="352"/>
      <c r="AX115" s="352"/>
      <c r="AY115" s="294"/>
      <c r="AZ115" s="294"/>
      <c r="BA115" s="294"/>
      <c r="BB115" s="294"/>
      <c r="BC115" s="294"/>
      <c r="BD115" s="294"/>
      <c r="BE115" s="294"/>
      <c r="BF115" s="294"/>
      <c r="BG115" s="352"/>
      <c r="BH115" s="352"/>
      <c r="BI115" s="294"/>
      <c r="BJ115" s="352"/>
      <c r="BK115" s="352"/>
      <c r="BL115" s="352"/>
      <c r="BM115" s="352"/>
      <c r="BN115" s="294"/>
      <c r="BO115" s="294"/>
      <c r="BP115" s="294"/>
      <c r="BQ115" s="294"/>
      <c r="BR115" s="294"/>
      <c r="BS115" s="294"/>
      <c r="BT115" s="294"/>
      <c r="BU115" s="294"/>
      <c r="BV115" s="294"/>
      <c r="BW115" s="294"/>
      <c r="BX115" s="294"/>
      <c r="BY115" s="294"/>
      <c r="BZ115" s="294"/>
      <c r="CA115" s="294"/>
      <c r="CB115" s="294"/>
      <c r="CC115" s="294"/>
      <c r="CD115" s="294"/>
      <c r="CE115" s="294"/>
      <c r="CF115" s="294"/>
      <c r="CG115" s="294"/>
      <c r="CH115" s="294"/>
      <c r="CI115" s="294"/>
      <c r="CJ115" s="294"/>
      <c r="CK115" s="294"/>
      <c r="CL115" s="294"/>
      <c r="CM115" s="294"/>
      <c r="CN115" s="294"/>
      <c r="CO115" s="294"/>
      <c r="CP115" s="294"/>
      <c r="CQ115" s="294"/>
      <c r="CR115" s="294"/>
      <c r="CS115" s="294"/>
      <c r="CT115" s="294"/>
      <c r="CU115" s="294"/>
      <c r="CV115" s="294"/>
      <c r="CW115" s="294"/>
      <c r="CX115" s="294"/>
      <c r="CY115" s="294"/>
      <c r="CZ115" s="294"/>
      <c r="DA115" s="294"/>
      <c r="DB115" s="294"/>
      <c r="DC115" s="294"/>
      <c r="DD115" s="294"/>
      <c r="DE115" s="294"/>
      <c r="DF115" s="294"/>
      <c r="DG115" s="294"/>
      <c r="DH115" s="294"/>
      <c r="DI115" s="294"/>
      <c r="DJ115" s="294"/>
      <c r="DK115" s="294"/>
      <c r="DL115" s="294"/>
      <c r="DM115" s="294"/>
      <c r="DN115" s="294"/>
      <c r="DO115" s="294"/>
      <c r="DP115" s="294"/>
      <c r="DQ115" s="294"/>
    </row>
    <row r="116" spans="1:121" x14ac:dyDescent="0.25">
      <c r="A116" s="354"/>
      <c r="B116" s="354"/>
      <c r="C116" s="294"/>
      <c r="D116" s="294"/>
      <c r="E116" s="294"/>
      <c r="F116" s="294"/>
      <c r="G116" s="294"/>
      <c r="H116" s="294"/>
      <c r="I116" s="294"/>
      <c r="J116" s="294"/>
      <c r="K116" s="294"/>
      <c r="L116" s="294"/>
      <c r="M116" s="294"/>
      <c r="N116" s="294"/>
      <c r="O116" s="353"/>
      <c r="P116" s="353"/>
      <c r="Q116" s="353"/>
      <c r="R116" s="353"/>
      <c r="S116" s="353"/>
      <c r="T116" s="294"/>
      <c r="U116" s="352"/>
      <c r="V116" s="352"/>
      <c r="W116" s="352"/>
      <c r="X116" s="352"/>
      <c r="Y116" s="294"/>
      <c r="Z116" s="294"/>
      <c r="AA116" s="294"/>
      <c r="AB116" s="294"/>
      <c r="AC116" s="352"/>
      <c r="AD116" s="352"/>
      <c r="AE116" s="352"/>
      <c r="AF116" s="352"/>
      <c r="AG116" s="352"/>
      <c r="AH116" s="352"/>
      <c r="AI116" s="352"/>
      <c r="AJ116" s="352"/>
      <c r="AK116" s="352"/>
      <c r="AL116" s="352"/>
      <c r="AM116" s="352"/>
      <c r="AN116" s="352"/>
      <c r="AO116" s="352"/>
      <c r="AP116" s="352"/>
      <c r="AQ116" s="352"/>
      <c r="AR116" s="352"/>
      <c r="AS116" s="294"/>
      <c r="AT116" s="352"/>
      <c r="AU116" s="294"/>
      <c r="AV116" s="294"/>
      <c r="AW116" s="352"/>
      <c r="AX116" s="352"/>
      <c r="AY116" s="294"/>
      <c r="AZ116" s="294"/>
      <c r="BA116" s="294"/>
      <c r="BB116" s="294"/>
      <c r="BC116" s="294"/>
      <c r="BD116" s="294"/>
      <c r="BE116" s="294"/>
      <c r="BF116" s="294"/>
      <c r="BG116" s="352"/>
      <c r="BH116" s="352"/>
      <c r="BI116" s="294"/>
      <c r="BJ116" s="352"/>
      <c r="BK116" s="352"/>
      <c r="BL116" s="352"/>
      <c r="BM116" s="352"/>
      <c r="BN116" s="294"/>
      <c r="BO116" s="294"/>
      <c r="BP116" s="294"/>
      <c r="BQ116" s="294"/>
      <c r="BR116" s="294"/>
      <c r="BS116" s="294"/>
      <c r="BT116" s="294"/>
      <c r="BU116" s="294"/>
      <c r="BV116" s="294"/>
      <c r="BW116" s="294"/>
      <c r="BX116" s="294"/>
      <c r="BY116" s="294"/>
      <c r="BZ116" s="294"/>
      <c r="CA116" s="294"/>
      <c r="CB116" s="294"/>
      <c r="CC116" s="294"/>
      <c r="CD116" s="294"/>
      <c r="CE116" s="294"/>
      <c r="CF116" s="294"/>
      <c r="CG116" s="294"/>
      <c r="CH116" s="294"/>
      <c r="CI116" s="294"/>
      <c r="CJ116" s="294"/>
      <c r="CK116" s="294"/>
      <c r="CL116" s="294"/>
      <c r="CM116" s="294"/>
      <c r="CN116" s="294"/>
      <c r="CO116" s="294"/>
      <c r="CP116" s="294"/>
      <c r="CQ116" s="294"/>
      <c r="CR116" s="294"/>
      <c r="CS116" s="294"/>
      <c r="CT116" s="294"/>
      <c r="CU116" s="294"/>
      <c r="CV116" s="294"/>
      <c r="CW116" s="294"/>
      <c r="CX116" s="294"/>
      <c r="CY116" s="294"/>
      <c r="CZ116" s="294"/>
      <c r="DA116" s="294"/>
      <c r="DB116" s="294"/>
      <c r="DC116" s="294"/>
      <c r="DD116" s="294"/>
      <c r="DE116" s="294"/>
      <c r="DF116" s="294"/>
      <c r="DG116" s="294"/>
      <c r="DH116" s="294"/>
      <c r="DI116" s="294"/>
      <c r="DJ116" s="294"/>
      <c r="DK116" s="294"/>
      <c r="DL116" s="294"/>
      <c r="DM116" s="294"/>
      <c r="DN116" s="294"/>
      <c r="DO116" s="294"/>
      <c r="DP116" s="294"/>
      <c r="DQ116" s="294"/>
    </row>
    <row r="117" spans="1:121" x14ac:dyDescent="0.25">
      <c r="A117" s="354"/>
      <c r="B117" s="354"/>
      <c r="C117" s="294"/>
      <c r="D117" s="294"/>
      <c r="E117" s="294"/>
      <c r="F117" s="294"/>
      <c r="G117" s="294"/>
      <c r="H117" s="294"/>
      <c r="I117" s="294"/>
      <c r="J117" s="294"/>
      <c r="K117" s="294"/>
      <c r="L117" s="294"/>
      <c r="M117" s="294"/>
      <c r="N117" s="294"/>
      <c r="O117" s="353"/>
      <c r="P117" s="353"/>
      <c r="Q117" s="353"/>
      <c r="R117" s="353"/>
      <c r="S117" s="353"/>
      <c r="T117" s="294"/>
      <c r="U117" s="352"/>
      <c r="V117" s="352"/>
      <c r="W117" s="352"/>
      <c r="X117" s="352"/>
      <c r="Y117" s="294"/>
      <c r="Z117" s="294"/>
      <c r="AA117" s="294"/>
      <c r="AB117" s="294"/>
      <c r="AC117" s="352"/>
      <c r="AD117" s="352"/>
      <c r="AE117" s="352"/>
      <c r="AF117" s="352"/>
      <c r="AG117" s="352"/>
      <c r="AH117" s="352"/>
      <c r="AI117" s="352"/>
      <c r="AJ117" s="352"/>
      <c r="AK117" s="352"/>
      <c r="AL117" s="352"/>
      <c r="AM117" s="352"/>
      <c r="AN117" s="352"/>
      <c r="AO117" s="352"/>
      <c r="AP117" s="352"/>
      <c r="AQ117" s="352"/>
      <c r="AR117" s="352"/>
      <c r="AS117" s="294"/>
      <c r="AT117" s="352"/>
      <c r="AU117" s="294"/>
      <c r="AV117" s="294"/>
      <c r="AW117" s="352"/>
      <c r="AX117" s="352"/>
      <c r="AY117" s="294"/>
      <c r="AZ117" s="294"/>
      <c r="BA117" s="294"/>
      <c r="BB117" s="294"/>
      <c r="BC117" s="294"/>
      <c r="BD117" s="294"/>
      <c r="BE117" s="294"/>
      <c r="BF117" s="294"/>
      <c r="BG117" s="352"/>
      <c r="BH117" s="352"/>
      <c r="BI117" s="294"/>
      <c r="BJ117" s="352"/>
      <c r="BK117" s="352"/>
      <c r="BL117" s="352"/>
      <c r="BM117" s="352"/>
      <c r="BN117" s="294"/>
      <c r="BO117" s="294"/>
      <c r="BP117" s="294"/>
      <c r="BQ117" s="294"/>
      <c r="BR117" s="294"/>
      <c r="BS117" s="294"/>
      <c r="BT117" s="294"/>
      <c r="BU117" s="294"/>
      <c r="BV117" s="294"/>
      <c r="BW117" s="294"/>
      <c r="BX117" s="294"/>
      <c r="BY117" s="294"/>
      <c r="BZ117" s="294"/>
      <c r="CA117" s="294"/>
      <c r="CB117" s="294"/>
      <c r="CC117" s="294"/>
      <c r="CD117" s="294"/>
      <c r="CE117" s="294"/>
      <c r="CF117" s="294"/>
      <c r="CG117" s="294"/>
      <c r="CH117" s="294"/>
      <c r="CI117" s="294"/>
      <c r="CJ117" s="294"/>
      <c r="CK117" s="294"/>
      <c r="CL117" s="294"/>
      <c r="CM117" s="294"/>
      <c r="CN117" s="294"/>
      <c r="CO117" s="294"/>
      <c r="CP117" s="294"/>
      <c r="CQ117" s="294"/>
      <c r="CR117" s="294"/>
      <c r="CS117" s="294"/>
      <c r="CT117" s="294"/>
      <c r="CU117" s="294"/>
      <c r="CV117" s="294"/>
      <c r="CW117" s="294"/>
      <c r="CX117" s="294"/>
      <c r="CY117" s="294"/>
      <c r="CZ117" s="294"/>
      <c r="DA117" s="294"/>
      <c r="DB117" s="294"/>
      <c r="DC117" s="294"/>
      <c r="DD117" s="294"/>
      <c r="DE117" s="294"/>
      <c r="DF117" s="294"/>
      <c r="DG117" s="294"/>
      <c r="DH117" s="294"/>
      <c r="DI117" s="294"/>
      <c r="DJ117" s="294"/>
      <c r="DK117" s="294"/>
      <c r="DL117" s="294"/>
      <c r="DM117" s="294"/>
      <c r="DN117" s="294"/>
      <c r="DO117" s="294"/>
      <c r="DP117" s="294"/>
      <c r="DQ117" s="294"/>
    </row>
    <row r="118" spans="1:121" x14ac:dyDescent="0.25">
      <c r="A118" s="354"/>
      <c r="B118" s="354"/>
      <c r="C118" s="294"/>
      <c r="D118" s="294"/>
      <c r="E118" s="294"/>
      <c r="F118" s="294"/>
      <c r="G118" s="294"/>
      <c r="H118" s="294"/>
      <c r="I118" s="294"/>
      <c r="J118" s="294"/>
      <c r="K118" s="294"/>
      <c r="L118" s="294"/>
      <c r="M118" s="294"/>
      <c r="N118" s="294"/>
      <c r="O118" s="353"/>
      <c r="P118" s="353"/>
      <c r="Q118" s="353"/>
      <c r="R118" s="353"/>
      <c r="S118" s="353"/>
      <c r="T118" s="294"/>
      <c r="U118" s="352"/>
      <c r="V118" s="352"/>
      <c r="W118" s="352"/>
      <c r="X118" s="352"/>
      <c r="Y118" s="294"/>
      <c r="Z118" s="294"/>
      <c r="AA118" s="294"/>
      <c r="AB118" s="294"/>
      <c r="AC118" s="352"/>
      <c r="AD118" s="352"/>
      <c r="AE118" s="352"/>
      <c r="AF118" s="352"/>
      <c r="AG118" s="352"/>
      <c r="AH118" s="352"/>
      <c r="AI118" s="352"/>
      <c r="AJ118" s="352"/>
      <c r="AK118" s="352"/>
      <c r="AL118" s="352"/>
      <c r="AM118" s="352"/>
      <c r="AN118" s="352"/>
      <c r="AO118" s="352"/>
      <c r="AP118" s="352"/>
      <c r="AQ118" s="352"/>
      <c r="AR118" s="352"/>
      <c r="AS118" s="294"/>
      <c r="AT118" s="352"/>
      <c r="AU118" s="294"/>
      <c r="AV118" s="294"/>
      <c r="AW118" s="352"/>
      <c r="AX118" s="352"/>
      <c r="AY118" s="294"/>
      <c r="AZ118" s="294"/>
      <c r="BA118" s="294"/>
      <c r="BB118" s="294"/>
      <c r="BC118" s="294"/>
      <c r="BD118" s="294"/>
      <c r="BE118" s="294"/>
      <c r="BF118" s="294"/>
      <c r="BG118" s="352"/>
      <c r="BH118" s="352"/>
      <c r="BI118" s="294"/>
      <c r="BJ118" s="352"/>
      <c r="BK118" s="352"/>
      <c r="BL118" s="352"/>
      <c r="BM118" s="352"/>
      <c r="BN118" s="294"/>
      <c r="BO118" s="294"/>
      <c r="BP118" s="294"/>
      <c r="BQ118" s="294"/>
      <c r="BR118" s="294"/>
      <c r="BS118" s="294"/>
      <c r="BT118" s="294"/>
      <c r="BU118" s="294"/>
      <c r="BV118" s="294"/>
      <c r="BW118" s="294"/>
      <c r="BX118" s="294"/>
      <c r="BY118" s="294"/>
      <c r="BZ118" s="294"/>
      <c r="CA118" s="294"/>
      <c r="CB118" s="294"/>
      <c r="CC118" s="294"/>
      <c r="CD118" s="294"/>
      <c r="CE118" s="294"/>
      <c r="CF118" s="294"/>
      <c r="CG118" s="294"/>
      <c r="CH118" s="294"/>
      <c r="CI118" s="294"/>
      <c r="CJ118" s="294"/>
      <c r="CK118" s="294"/>
      <c r="CL118" s="294"/>
      <c r="CM118" s="294"/>
      <c r="CN118" s="294"/>
      <c r="CO118" s="294"/>
      <c r="CP118" s="294"/>
      <c r="CQ118" s="294"/>
      <c r="CR118" s="294"/>
      <c r="CS118" s="294"/>
      <c r="CT118" s="294"/>
      <c r="CU118" s="294"/>
      <c r="CV118" s="294"/>
      <c r="CW118" s="294"/>
      <c r="CX118" s="294"/>
      <c r="CY118" s="294"/>
      <c r="CZ118" s="294"/>
      <c r="DA118" s="294"/>
      <c r="DB118" s="294"/>
      <c r="DC118" s="294"/>
      <c r="DD118" s="294"/>
      <c r="DE118" s="294"/>
      <c r="DF118" s="294"/>
      <c r="DG118" s="294"/>
      <c r="DH118" s="294"/>
      <c r="DI118" s="294"/>
      <c r="DJ118" s="294"/>
      <c r="DK118" s="294"/>
      <c r="DL118" s="294"/>
      <c r="DM118" s="294"/>
      <c r="DN118" s="294"/>
      <c r="DO118" s="294"/>
      <c r="DP118" s="294"/>
      <c r="DQ118" s="294"/>
    </row>
    <row r="119" spans="1:121" x14ac:dyDescent="0.25">
      <c r="A119" s="354"/>
      <c r="B119" s="354"/>
      <c r="C119" s="294"/>
      <c r="D119" s="294"/>
      <c r="E119" s="294"/>
      <c r="F119" s="294"/>
      <c r="G119" s="294"/>
      <c r="H119" s="294"/>
      <c r="I119" s="294"/>
      <c r="J119" s="294"/>
      <c r="K119" s="294"/>
      <c r="L119" s="294"/>
      <c r="M119" s="294"/>
      <c r="N119" s="294"/>
      <c r="O119" s="353"/>
      <c r="P119" s="353"/>
      <c r="Q119" s="353"/>
      <c r="R119" s="353"/>
      <c r="S119" s="353"/>
      <c r="T119" s="294"/>
      <c r="U119" s="352"/>
      <c r="V119" s="352"/>
      <c r="W119" s="352"/>
      <c r="X119" s="352"/>
      <c r="Y119" s="294"/>
      <c r="Z119" s="294"/>
      <c r="AA119" s="294"/>
      <c r="AB119" s="294"/>
      <c r="AC119" s="352"/>
      <c r="AD119" s="352"/>
      <c r="AE119" s="352"/>
      <c r="AF119" s="352"/>
      <c r="AG119" s="352"/>
      <c r="AH119" s="352"/>
      <c r="AI119" s="352"/>
      <c r="AJ119" s="352"/>
      <c r="AK119" s="352"/>
      <c r="AL119" s="352"/>
      <c r="AM119" s="352"/>
      <c r="AN119" s="352"/>
      <c r="AO119" s="352"/>
      <c r="AP119" s="352"/>
      <c r="AQ119" s="352"/>
      <c r="AR119" s="352"/>
      <c r="AS119" s="294"/>
      <c r="AT119" s="352"/>
      <c r="AU119" s="294"/>
      <c r="AV119" s="294"/>
      <c r="AW119" s="352"/>
      <c r="AX119" s="352"/>
      <c r="AY119" s="294"/>
      <c r="AZ119" s="294"/>
      <c r="BA119" s="294"/>
      <c r="BB119" s="294"/>
      <c r="BC119" s="294"/>
      <c r="BD119" s="294"/>
      <c r="BE119" s="294"/>
      <c r="BF119" s="294"/>
      <c r="BG119" s="352"/>
      <c r="BH119" s="352"/>
      <c r="BI119" s="294"/>
      <c r="BJ119" s="352"/>
      <c r="BK119" s="352"/>
      <c r="BL119" s="352"/>
      <c r="BM119" s="352"/>
      <c r="BN119" s="294"/>
      <c r="BO119" s="294"/>
      <c r="BP119" s="294"/>
      <c r="BQ119" s="294"/>
      <c r="BR119" s="294"/>
      <c r="BS119" s="294"/>
      <c r="BT119" s="294"/>
      <c r="BU119" s="294"/>
      <c r="BV119" s="294"/>
      <c r="BW119" s="294"/>
      <c r="BX119" s="294"/>
      <c r="BY119" s="294"/>
      <c r="BZ119" s="294"/>
      <c r="CA119" s="294"/>
      <c r="CB119" s="294"/>
      <c r="CC119" s="294"/>
      <c r="CD119" s="294"/>
      <c r="CE119" s="294"/>
      <c r="CF119" s="294"/>
      <c r="CG119" s="294"/>
      <c r="CH119" s="294"/>
      <c r="CI119" s="294"/>
      <c r="CJ119" s="294"/>
      <c r="CK119" s="294"/>
      <c r="CL119" s="294"/>
      <c r="CM119" s="294"/>
      <c r="CN119" s="294"/>
      <c r="CO119" s="294"/>
      <c r="CP119" s="294"/>
      <c r="CQ119" s="294"/>
      <c r="CR119" s="294"/>
      <c r="CS119" s="294"/>
      <c r="CT119" s="294"/>
      <c r="CU119" s="294"/>
      <c r="CV119" s="294"/>
      <c r="CW119" s="294"/>
      <c r="CX119" s="294"/>
      <c r="CY119" s="294"/>
      <c r="CZ119" s="294"/>
      <c r="DA119" s="294"/>
      <c r="DB119" s="294"/>
      <c r="DC119" s="294"/>
      <c r="DD119" s="294"/>
      <c r="DE119" s="294"/>
      <c r="DF119" s="294"/>
      <c r="DG119" s="294"/>
      <c r="DH119" s="294"/>
      <c r="DI119" s="294"/>
      <c r="DJ119" s="294"/>
      <c r="DK119" s="294"/>
      <c r="DL119" s="294"/>
      <c r="DM119" s="294"/>
      <c r="DN119" s="294"/>
      <c r="DO119" s="294"/>
      <c r="DP119" s="294"/>
      <c r="DQ119" s="294"/>
    </row>
    <row r="120" spans="1:121" x14ac:dyDescent="0.25">
      <c r="A120" s="354"/>
      <c r="B120" s="354"/>
      <c r="C120" s="354"/>
      <c r="D120" s="354"/>
      <c r="E120" s="354"/>
      <c r="F120" s="354"/>
      <c r="G120" s="354"/>
      <c r="H120" s="354"/>
      <c r="I120" s="354"/>
      <c r="J120" s="354"/>
      <c r="K120" s="354"/>
      <c r="L120" s="354"/>
      <c r="M120" s="354"/>
      <c r="N120" s="354"/>
      <c r="O120" s="354"/>
      <c r="P120" s="354"/>
      <c r="Q120" s="354"/>
      <c r="R120" s="354"/>
      <c r="S120" s="354"/>
      <c r="T120" s="354"/>
      <c r="U120" s="354"/>
      <c r="V120" s="354"/>
      <c r="W120" s="354"/>
      <c r="X120" s="354"/>
      <c r="Y120" s="354"/>
      <c r="Z120" s="354"/>
      <c r="AA120" s="354"/>
      <c r="AB120" s="354"/>
      <c r="AC120" s="354"/>
      <c r="AD120" s="354"/>
      <c r="AE120" s="354"/>
      <c r="AF120" s="354"/>
      <c r="AG120" s="354"/>
      <c r="AH120" s="354"/>
      <c r="AI120" s="354"/>
      <c r="AJ120" s="354"/>
      <c r="AK120" s="354"/>
      <c r="AL120" s="354"/>
      <c r="AM120" s="354"/>
      <c r="AN120" s="354"/>
      <c r="AO120" s="354"/>
      <c r="AP120" s="354"/>
      <c r="AQ120" s="354"/>
      <c r="AR120" s="354"/>
      <c r="AS120" s="354"/>
      <c r="AT120" s="354"/>
      <c r="AU120" s="354"/>
      <c r="AV120" s="354"/>
      <c r="AW120" s="354"/>
      <c r="AX120" s="354"/>
      <c r="AY120" s="354"/>
      <c r="AZ120" s="294"/>
      <c r="BA120" s="354"/>
      <c r="BB120" s="354"/>
      <c r="BC120" s="354"/>
      <c r="BD120" s="354"/>
      <c r="BE120" s="354"/>
      <c r="BF120" s="354"/>
      <c r="BG120" s="354"/>
      <c r="BH120" s="354"/>
      <c r="BI120" s="354"/>
      <c r="BJ120" s="354"/>
      <c r="BK120" s="354"/>
      <c r="BL120" s="354"/>
      <c r="BM120" s="354"/>
      <c r="BN120" s="354"/>
      <c r="BO120" s="354"/>
      <c r="BP120" s="354"/>
      <c r="BQ120" s="354"/>
      <c r="BR120" s="354"/>
      <c r="BS120" s="354"/>
      <c r="BT120" s="354"/>
      <c r="BU120" s="354"/>
      <c r="BV120" s="354"/>
      <c r="BW120" s="354"/>
      <c r="BX120" s="354"/>
      <c r="BY120" s="354"/>
      <c r="BZ120" s="354"/>
      <c r="CA120" s="354"/>
      <c r="CB120" s="354"/>
      <c r="CC120" s="354"/>
      <c r="CD120" s="354"/>
      <c r="CE120" s="354"/>
      <c r="CF120" s="354"/>
      <c r="CG120" s="354"/>
      <c r="CH120" s="354"/>
      <c r="CI120" s="354"/>
      <c r="CJ120" s="354"/>
      <c r="CK120" s="354"/>
      <c r="CL120" s="354"/>
      <c r="CM120" s="354"/>
      <c r="CN120" s="354"/>
      <c r="CO120" s="354"/>
      <c r="CP120" s="354"/>
      <c r="CQ120" s="354"/>
      <c r="CR120" s="354"/>
      <c r="CS120" s="354"/>
      <c r="CT120" s="354"/>
      <c r="CU120" s="354"/>
      <c r="CV120" s="354"/>
      <c r="CW120" s="354"/>
      <c r="CX120" s="354"/>
      <c r="CY120" s="354"/>
      <c r="CZ120" s="354"/>
      <c r="DA120" s="354"/>
      <c r="DB120" s="354"/>
      <c r="DC120" s="354"/>
      <c r="DD120" s="354"/>
      <c r="DE120" s="354"/>
      <c r="DF120" s="354"/>
      <c r="DG120" s="354"/>
      <c r="DH120" s="354"/>
      <c r="DI120" s="354"/>
      <c r="DJ120" s="354"/>
      <c r="DK120" s="354"/>
      <c r="DL120" s="354"/>
      <c r="DM120" s="354"/>
      <c r="DN120" s="354"/>
      <c r="DO120" s="354"/>
      <c r="DP120" s="354"/>
      <c r="DQ120" s="354"/>
    </row>
    <row r="121" spans="1:121" x14ac:dyDescent="0.25">
      <c r="A121" s="354"/>
      <c r="B121" s="354"/>
      <c r="C121" s="294"/>
      <c r="D121" s="294"/>
      <c r="E121" s="294"/>
      <c r="F121" s="294"/>
      <c r="G121" s="294"/>
      <c r="H121" s="294"/>
      <c r="I121" s="294"/>
      <c r="J121" s="294"/>
      <c r="K121" s="294"/>
      <c r="L121" s="294"/>
      <c r="M121" s="294"/>
      <c r="N121" s="294"/>
      <c r="O121" s="353"/>
      <c r="P121" s="353"/>
      <c r="Q121" s="353"/>
      <c r="R121" s="353"/>
      <c r="S121" s="353"/>
      <c r="T121" s="294"/>
      <c r="U121" s="352"/>
      <c r="V121" s="352"/>
      <c r="W121" s="352"/>
      <c r="X121" s="352"/>
      <c r="Y121" s="294"/>
      <c r="Z121" s="294"/>
      <c r="AA121" s="294"/>
      <c r="AB121" s="294"/>
      <c r="AC121" s="352"/>
      <c r="AD121" s="352"/>
      <c r="AE121" s="352"/>
      <c r="AF121" s="352"/>
      <c r="AG121" s="352"/>
      <c r="AH121" s="352"/>
      <c r="AI121" s="352"/>
      <c r="AJ121" s="352"/>
      <c r="AK121" s="352"/>
      <c r="AL121" s="352"/>
      <c r="AM121" s="352"/>
      <c r="AN121" s="352"/>
      <c r="AO121" s="352"/>
      <c r="AP121" s="352"/>
      <c r="AQ121" s="352"/>
      <c r="AR121" s="352"/>
      <c r="AS121" s="294"/>
      <c r="AT121" s="352"/>
      <c r="AU121" s="294"/>
      <c r="AV121" s="294"/>
      <c r="AW121" s="352"/>
      <c r="AX121" s="352"/>
      <c r="AY121" s="294"/>
      <c r="AZ121" s="294"/>
      <c r="BA121" s="294"/>
      <c r="BB121" s="294"/>
      <c r="BC121" s="294"/>
      <c r="BD121" s="294"/>
      <c r="BE121" s="294"/>
      <c r="BF121" s="294"/>
      <c r="BG121" s="352"/>
      <c r="BH121" s="352"/>
      <c r="BI121" s="294"/>
      <c r="BJ121" s="352"/>
      <c r="BK121" s="352"/>
      <c r="BL121" s="352"/>
      <c r="BM121" s="352"/>
      <c r="BN121" s="294"/>
      <c r="BO121" s="294"/>
      <c r="BP121" s="294"/>
      <c r="BQ121" s="294"/>
      <c r="BR121" s="294"/>
      <c r="BS121" s="294"/>
      <c r="BT121" s="294"/>
      <c r="BU121" s="294"/>
      <c r="BV121" s="294"/>
      <c r="BW121" s="294"/>
      <c r="BX121" s="294"/>
      <c r="BY121" s="294"/>
      <c r="BZ121" s="294"/>
      <c r="CA121" s="294"/>
      <c r="CB121" s="294"/>
      <c r="CC121" s="294"/>
      <c r="CD121" s="294"/>
      <c r="CE121" s="294"/>
      <c r="CF121" s="294"/>
      <c r="CG121" s="294"/>
      <c r="CH121" s="294"/>
      <c r="CI121" s="294"/>
      <c r="CJ121" s="294"/>
      <c r="CK121" s="294"/>
      <c r="CL121" s="294"/>
      <c r="CM121" s="294"/>
      <c r="CN121" s="294"/>
      <c r="CO121" s="294"/>
      <c r="CP121" s="294"/>
      <c r="CQ121" s="294"/>
      <c r="CR121" s="294"/>
      <c r="CS121" s="294"/>
      <c r="CT121" s="294"/>
      <c r="CU121" s="294"/>
      <c r="CV121" s="294"/>
      <c r="CW121" s="294"/>
      <c r="CX121" s="294"/>
      <c r="CY121" s="294"/>
      <c r="CZ121" s="294"/>
      <c r="DA121" s="294"/>
      <c r="DB121" s="294"/>
      <c r="DC121" s="294"/>
      <c r="DD121" s="294"/>
      <c r="DE121" s="294"/>
      <c r="DF121" s="294"/>
      <c r="DG121" s="294"/>
      <c r="DH121" s="294"/>
      <c r="DI121" s="294"/>
      <c r="DJ121" s="294"/>
      <c r="DK121" s="294"/>
      <c r="DL121" s="294"/>
      <c r="DM121" s="294"/>
      <c r="DN121" s="294"/>
      <c r="DO121" s="294"/>
      <c r="DP121" s="294"/>
      <c r="DQ121" s="294"/>
    </row>
    <row r="122" spans="1:121" x14ac:dyDescent="0.25">
      <c r="A122" s="354"/>
      <c r="B122" s="354"/>
      <c r="C122" s="294"/>
      <c r="D122" s="294"/>
      <c r="E122" s="294"/>
      <c r="F122" s="294"/>
      <c r="G122" s="294"/>
      <c r="H122" s="294"/>
      <c r="I122" s="294"/>
      <c r="J122" s="294"/>
      <c r="K122" s="294"/>
      <c r="L122" s="294"/>
      <c r="M122" s="294"/>
      <c r="N122" s="294"/>
      <c r="O122" s="353"/>
      <c r="P122" s="353"/>
      <c r="Q122" s="353"/>
      <c r="R122" s="353"/>
      <c r="S122" s="353"/>
      <c r="T122" s="294"/>
      <c r="U122" s="352"/>
      <c r="V122" s="352"/>
      <c r="W122" s="352"/>
      <c r="X122" s="352"/>
      <c r="Y122" s="294"/>
      <c r="Z122" s="294"/>
      <c r="AA122" s="294"/>
      <c r="AB122" s="294"/>
      <c r="AC122" s="352"/>
      <c r="AD122" s="352"/>
      <c r="AE122" s="352"/>
      <c r="AF122" s="352"/>
      <c r="AG122" s="352"/>
      <c r="AH122" s="352"/>
      <c r="AI122" s="352"/>
      <c r="AJ122" s="352"/>
      <c r="AK122" s="352"/>
      <c r="AL122" s="352"/>
      <c r="AM122" s="352"/>
      <c r="AN122" s="352"/>
      <c r="AO122" s="352"/>
      <c r="AP122" s="352"/>
      <c r="AQ122" s="352"/>
      <c r="AR122" s="352"/>
      <c r="AS122" s="294"/>
      <c r="AT122" s="352"/>
      <c r="AU122" s="294"/>
      <c r="AV122" s="294"/>
      <c r="AW122" s="352"/>
      <c r="AX122" s="352"/>
      <c r="AY122" s="294"/>
      <c r="AZ122" s="294"/>
      <c r="BA122" s="294"/>
      <c r="BB122" s="294"/>
      <c r="BC122" s="294"/>
      <c r="BD122" s="294"/>
      <c r="BE122" s="294"/>
      <c r="BF122" s="294"/>
      <c r="BG122" s="352"/>
      <c r="BH122" s="352"/>
      <c r="BI122" s="294"/>
      <c r="BJ122" s="352"/>
      <c r="BK122" s="352"/>
      <c r="BL122" s="352"/>
      <c r="BM122" s="352"/>
      <c r="BN122" s="294"/>
      <c r="BO122" s="294"/>
      <c r="BP122" s="294"/>
      <c r="BQ122" s="294"/>
      <c r="BR122" s="294"/>
      <c r="BS122" s="294"/>
      <c r="BT122" s="294"/>
      <c r="BU122" s="294"/>
      <c r="BV122" s="294"/>
      <c r="BW122" s="294"/>
      <c r="BX122" s="294"/>
      <c r="BY122" s="294"/>
      <c r="BZ122" s="294"/>
      <c r="CA122" s="294"/>
      <c r="CB122" s="294"/>
      <c r="CC122" s="294"/>
      <c r="CD122" s="294"/>
      <c r="CE122" s="294"/>
      <c r="CF122" s="294"/>
      <c r="CG122" s="294"/>
      <c r="CH122" s="294"/>
      <c r="CI122" s="294"/>
      <c r="CJ122" s="294"/>
      <c r="CK122" s="294"/>
      <c r="CL122" s="294"/>
      <c r="CM122" s="294"/>
      <c r="CN122" s="294"/>
      <c r="CO122" s="294"/>
      <c r="CP122" s="294"/>
      <c r="CQ122" s="294"/>
      <c r="CR122" s="294"/>
      <c r="CS122" s="294"/>
      <c r="CT122" s="294"/>
      <c r="CU122" s="294"/>
      <c r="CV122" s="294"/>
      <c r="CW122" s="294"/>
      <c r="CX122" s="294"/>
      <c r="CY122" s="294"/>
      <c r="CZ122" s="294"/>
      <c r="DA122" s="294"/>
      <c r="DB122" s="294"/>
      <c r="DC122" s="294"/>
      <c r="DD122" s="294"/>
      <c r="DE122" s="294"/>
      <c r="DF122" s="294"/>
      <c r="DG122" s="294"/>
      <c r="DH122" s="294"/>
      <c r="DI122" s="294"/>
      <c r="DJ122" s="294"/>
      <c r="DK122" s="294"/>
      <c r="DL122" s="294"/>
      <c r="DM122" s="294"/>
      <c r="DN122" s="294"/>
      <c r="DO122" s="294"/>
      <c r="DP122" s="294"/>
      <c r="DQ122" s="294"/>
    </row>
    <row r="123" spans="1:121" x14ac:dyDescent="0.25">
      <c r="A123" s="354"/>
      <c r="B123" s="354"/>
      <c r="C123" s="294"/>
      <c r="D123" s="294"/>
      <c r="E123" s="294"/>
      <c r="F123" s="294"/>
      <c r="G123" s="294"/>
      <c r="H123" s="294"/>
      <c r="I123" s="294"/>
      <c r="J123" s="294"/>
      <c r="K123" s="294"/>
      <c r="L123" s="294"/>
      <c r="M123" s="294"/>
      <c r="N123" s="294"/>
      <c r="O123" s="353"/>
      <c r="P123" s="353"/>
      <c r="Q123" s="353"/>
      <c r="R123" s="353"/>
      <c r="S123" s="353"/>
      <c r="T123" s="294"/>
      <c r="U123" s="352"/>
      <c r="V123" s="352"/>
      <c r="W123" s="352"/>
      <c r="X123" s="352"/>
      <c r="Y123" s="294"/>
      <c r="Z123" s="294"/>
      <c r="AA123" s="294"/>
      <c r="AB123" s="294"/>
      <c r="AC123" s="352"/>
      <c r="AD123" s="352"/>
      <c r="AE123" s="352"/>
      <c r="AF123" s="352"/>
      <c r="AG123" s="352"/>
      <c r="AH123" s="352"/>
      <c r="AI123" s="352"/>
      <c r="AJ123" s="352"/>
      <c r="AK123" s="352"/>
      <c r="AL123" s="352"/>
      <c r="AM123" s="352"/>
      <c r="AN123" s="352"/>
      <c r="AO123" s="352"/>
      <c r="AP123" s="352"/>
      <c r="AQ123" s="352"/>
      <c r="AR123" s="352"/>
      <c r="AS123" s="294"/>
      <c r="AT123" s="352"/>
      <c r="AU123" s="294"/>
      <c r="AV123" s="294"/>
      <c r="AW123" s="352"/>
      <c r="AX123" s="352"/>
      <c r="AY123" s="294"/>
      <c r="AZ123" s="294"/>
      <c r="BA123" s="294"/>
      <c r="BB123" s="294"/>
      <c r="BC123" s="294"/>
      <c r="BD123" s="294"/>
      <c r="BE123" s="294"/>
      <c r="BF123" s="294"/>
      <c r="BG123" s="352"/>
      <c r="BH123" s="352"/>
      <c r="BI123" s="294"/>
      <c r="BJ123" s="352"/>
      <c r="BK123" s="352"/>
      <c r="BL123" s="352"/>
      <c r="BM123" s="352"/>
      <c r="BN123" s="294"/>
      <c r="BO123" s="294"/>
      <c r="BP123" s="294"/>
      <c r="BQ123" s="294"/>
      <c r="BR123" s="294"/>
      <c r="BS123" s="294"/>
      <c r="BT123" s="294"/>
      <c r="BU123" s="294"/>
      <c r="BV123" s="294"/>
      <c r="BW123" s="294"/>
      <c r="BX123" s="294"/>
      <c r="BY123" s="294"/>
      <c r="BZ123" s="294"/>
      <c r="CA123" s="294"/>
      <c r="CB123" s="294"/>
      <c r="CC123" s="294"/>
      <c r="CD123" s="294"/>
      <c r="CE123" s="294"/>
      <c r="CF123" s="294"/>
      <c r="CG123" s="294"/>
      <c r="CH123" s="294"/>
      <c r="CI123" s="294"/>
      <c r="CJ123" s="294"/>
      <c r="CK123" s="294"/>
      <c r="CL123" s="294"/>
      <c r="CM123" s="294"/>
      <c r="CN123" s="294"/>
      <c r="CO123" s="294"/>
      <c r="CP123" s="294"/>
      <c r="CQ123" s="294"/>
      <c r="CR123" s="294"/>
      <c r="CS123" s="294"/>
      <c r="CT123" s="294"/>
      <c r="CU123" s="294"/>
      <c r="CV123" s="294"/>
      <c r="CW123" s="294"/>
      <c r="CX123" s="294"/>
      <c r="CY123" s="294"/>
      <c r="CZ123" s="294"/>
      <c r="DA123" s="294"/>
      <c r="DB123" s="294"/>
      <c r="DC123" s="294"/>
      <c r="DD123" s="294"/>
      <c r="DE123" s="294"/>
      <c r="DF123" s="294"/>
      <c r="DG123" s="294"/>
      <c r="DH123" s="294"/>
      <c r="DI123" s="294"/>
      <c r="DJ123" s="294"/>
      <c r="DK123" s="294"/>
      <c r="DL123" s="294"/>
      <c r="DM123" s="294"/>
      <c r="DN123" s="294"/>
      <c r="DO123" s="294"/>
      <c r="DP123" s="294"/>
      <c r="DQ123" s="294"/>
    </row>
    <row r="124" spans="1:121" x14ac:dyDescent="0.25">
      <c r="A124" s="354"/>
      <c r="B124" s="354"/>
      <c r="C124" s="294"/>
      <c r="D124" s="294"/>
      <c r="E124" s="294"/>
      <c r="F124" s="294"/>
      <c r="G124" s="294"/>
      <c r="H124" s="294"/>
      <c r="I124" s="294"/>
      <c r="J124" s="294"/>
      <c r="K124" s="294"/>
      <c r="L124" s="294"/>
      <c r="M124" s="294"/>
      <c r="N124" s="294"/>
      <c r="O124" s="353"/>
      <c r="P124" s="353"/>
      <c r="Q124" s="353"/>
      <c r="R124" s="353"/>
      <c r="S124" s="353"/>
      <c r="T124" s="294"/>
      <c r="U124" s="352"/>
      <c r="V124" s="352"/>
      <c r="W124" s="352"/>
      <c r="X124" s="352"/>
      <c r="Y124" s="294"/>
      <c r="Z124" s="294"/>
      <c r="AA124" s="294"/>
      <c r="AB124" s="294"/>
      <c r="AC124" s="352"/>
      <c r="AD124" s="352"/>
      <c r="AE124" s="352"/>
      <c r="AF124" s="352"/>
      <c r="AG124" s="352"/>
      <c r="AH124" s="352"/>
      <c r="AI124" s="352"/>
      <c r="AJ124" s="352"/>
      <c r="AK124" s="352"/>
      <c r="AL124" s="352"/>
      <c r="AM124" s="352"/>
      <c r="AN124" s="352"/>
      <c r="AO124" s="352"/>
      <c r="AP124" s="352"/>
      <c r="AQ124" s="352"/>
      <c r="AR124" s="352"/>
      <c r="AS124" s="294"/>
      <c r="AT124" s="352"/>
      <c r="AU124" s="294"/>
      <c r="AV124" s="294"/>
      <c r="AW124" s="352"/>
      <c r="AX124" s="352"/>
      <c r="AY124" s="294"/>
      <c r="AZ124" s="294"/>
      <c r="BA124" s="294"/>
      <c r="BB124" s="294"/>
      <c r="BC124" s="294"/>
      <c r="BD124" s="294"/>
      <c r="BE124" s="294"/>
      <c r="BF124" s="294"/>
      <c r="BG124" s="352"/>
      <c r="BH124" s="352"/>
      <c r="BI124" s="294"/>
      <c r="BJ124" s="352"/>
      <c r="BK124" s="352"/>
      <c r="BL124" s="352"/>
      <c r="BM124" s="352"/>
      <c r="BN124" s="294"/>
      <c r="BO124" s="294"/>
      <c r="BP124" s="294"/>
      <c r="BQ124" s="294"/>
      <c r="BR124" s="294"/>
      <c r="BS124" s="294"/>
      <c r="BT124" s="294"/>
      <c r="BU124" s="294"/>
      <c r="BV124" s="294"/>
      <c r="BW124" s="294"/>
      <c r="BX124" s="294"/>
      <c r="BY124" s="294"/>
      <c r="BZ124" s="294"/>
      <c r="CA124" s="294"/>
      <c r="CB124" s="294"/>
      <c r="CC124" s="294"/>
      <c r="CD124" s="294"/>
      <c r="CE124" s="294"/>
      <c r="CF124" s="294"/>
      <c r="CG124" s="294"/>
      <c r="CH124" s="294"/>
      <c r="CI124" s="294"/>
      <c r="CJ124" s="294"/>
      <c r="CK124" s="294"/>
      <c r="CL124" s="294"/>
      <c r="CM124" s="294"/>
      <c r="CN124" s="294"/>
      <c r="CO124" s="294"/>
      <c r="CP124" s="294"/>
      <c r="CQ124" s="294"/>
      <c r="CR124" s="294"/>
      <c r="CS124" s="294"/>
      <c r="CT124" s="294"/>
      <c r="CU124" s="294"/>
      <c r="CV124" s="294"/>
      <c r="CW124" s="294"/>
      <c r="CX124" s="294"/>
      <c r="CY124" s="294"/>
      <c r="CZ124" s="294"/>
      <c r="DA124" s="294"/>
      <c r="DB124" s="294"/>
      <c r="DC124" s="294"/>
      <c r="DD124" s="294"/>
      <c r="DE124" s="294"/>
      <c r="DF124" s="294"/>
      <c r="DG124" s="294"/>
      <c r="DH124" s="294"/>
      <c r="DI124" s="294"/>
      <c r="DJ124" s="294"/>
      <c r="DK124" s="294"/>
      <c r="DL124" s="294"/>
      <c r="DM124" s="294"/>
      <c r="DN124" s="294"/>
      <c r="DO124" s="294"/>
      <c r="DP124" s="294"/>
      <c r="DQ124" s="294"/>
    </row>
    <row r="125" spans="1:121" x14ac:dyDescent="0.25">
      <c r="A125" s="354"/>
      <c r="B125" s="354"/>
      <c r="C125" s="294"/>
      <c r="D125" s="294"/>
      <c r="E125" s="294"/>
      <c r="F125" s="294"/>
      <c r="G125" s="294"/>
      <c r="H125" s="294"/>
      <c r="I125" s="294"/>
      <c r="J125" s="294"/>
      <c r="K125" s="294"/>
      <c r="L125" s="294"/>
      <c r="M125" s="294"/>
      <c r="N125" s="294"/>
      <c r="O125" s="353"/>
      <c r="P125" s="353"/>
      <c r="Q125" s="353"/>
      <c r="R125" s="353"/>
      <c r="S125" s="353"/>
      <c r="T125" s="294"/>
      <c r="U125" s="352"/>
      <c r="V125" s="352"/>
      <c r="W125" s="352"/>
      <c r="X125" s="352"/>
      <c r="Y125" s="294"/>
      <c r="Z125" s="294"/>
      <c r="AA125" s="294"/>
      <c r="AB125" s="294"/>
      <c r="AC125" s="352"/>
      <c r="AD125" s="352"/>
      <c r="AE125" s="352"/>
      <c r="AF125" s="352"/>
      <c r="AG125" s="352"/>
      <c r="AH125" s="352"/>
      <c r="AI125" s="352"/>
      <c r="AJ125" s="352"/>
      <c r="AK125" s="352"/>
      <c r="AL125" s="352"/>
      <c r="AM125" s="352"/>
      <c r="AN125" s="352"/>
      <c r="AO125" s="352"/>
      <c r="AP125" s="352"/>
      <c r="AQ125" s="352"/>
      <c r="AR125" s="352"/>
      <c r="AS125" s="294"/>
      <c r="AT125" s="352"/>
      <c r="AU125" s="294"/>
      <c r="AV125" s="294"/>
      <c r="AW125" s="352"/>
      <c r="AX125" s="352"/>
      <c r="AY125" s="294"/>
      <c r="AZ125" s="294"/>
      <c r="BA125" s="294"/>
      <c r="BB125" s="294"/>
      <c r="BC125" s="294"/>
      <c r="BD125" s="294"/>
      <c r="BE125" s="294"/>
      <c r="BF125" s="294"/>
      <c r="BG125" s="352"/>
      <c r="BH125" s="352"/>
      <c r="BI125" s="294"/>
      <c r="BJ125" s="352"/>
      <c r="BK125" s="352"/>
      <c r="BL125" s="352"/>
      <c r="BM125" s="352"/>
      <c r="BN125" s="294"/>
      <c r="BO125" s="294"/>
      <c r="BP125" s="294"/>
      <c r="BQ125" s="294"/>
      <c r="BR125" s="294"/>
      <c r="BS125" s="294"/>
      <c r="BT125" s="294"/>
      <c r="BU125" s="294"/>
      <c r="BV125" s="294"/>
      <c r="BW125" s="294"/>
      <c r="BX125" s="294"/>
      <c r="BY125" s="294"/>
      <c r="BZ125" s="294"/>
      <c r="CA125" s="294"/>
      <c r="CB125" s="294"/>
      <c r="CC125" s="294"/>
      <c r="CD125" s="294"/>
      <c r="CE125" s="294"/>
      <c r="CF125" s="294"/>
      <c r="CG125" s="294"/>
      <c r="CH125" s="294"/>
      <c r="CI125" s="294"/>
      <c r="CJ125" s="294"/>
      <c r="CK125" s="294"/>
      <c r="CL125" s="294"/>
      <c r="CM125" s="294"/>
      <c r="CN125" s="294"/>
      <c r="CO125" s="294"/>
      <c r="CP125" s="294"/>
      <c r="CQ125" s="294"/>
      <c r="CR125" s="294"/>
      <c r="CS125" s="294"/>
      <c r="CT125" s="294"/>
      <c r="CU125" s="294"/>
      <c r="CV125" s="294"/>
      <c r="CW125" s="294"/>
      <c r="CX125" s="294"/>
      <c r="CY125" s="294"/>
      <c r="CZ125" s="294"/>
      <c r="DA125" s="294"/>
      <c r="DB125" s="294"/>
      <c r="DC125" s="294"/>
      <c r="DD125" s="294"/>
      <c r="DE125" s="294"/>
      <c r="DF125" s="294"/>
      <c r="DG125" s="294"/>
      <c r="DH125" s="294"/>
      <c r="DI125" s="294"/>
      <c r="DJ125" s="294"/>
      <c r="DK125" s="294"/>
      <c r="DL125" s="294"/>
      <c r="DM125" s="294"/>
      <c r="DN125" s="294"/>
      <c r="DO125" s="294"/>
      <c r="DP125" s="294"/>
      <c r="DQ125" s="294"/>
    </row>
    <row r="126" spans="1:121" x14ac:dyDescent="0.25">
      <c r="AZ126" s="294"/>
    </row>
    <row r="127" spans="1:121" x14ac:dyDescent="0.25">
      <c r="AZ127" s="294"/>
    </row>
    <row r="128" spans="1:121" x14ac:dyDescent="0.25">
      <c r="AZ128" s="294"/>
    </row>
    <row r="129" spans="52:52" x14ac:dyDescent="0.25">
      <c r="AZ129" s="294"/>
    </row>
    <row r="130" spans="52:52" x14ac:dyDescent="0.25">
      <c r="AZ130" s="294"/>
    </row>
    <row r="131" spans="52:52" x14ac:dyDescent="0.25">
      <c r="AZ131" s="294"/>
    </row>
    <row r="132" spans="52:52" x14ac:dyDescent="0.25">
      <c r="AZ132" s="294"/>
    </row>
    <row r="133" spans="52:52" x14ac:dyDescent="0.25">
      <c r="AZ133" s="294"/>
    </row>
    <row r="134" spans="52:52" x14ac:dyDescent="0.25">
      <c r="AZ134" s="294"/>
    </row>
    <row r="135" spans="52:52" x14ac:dyDescent="0.25">
      <c r="AZ135" s="294"/>
    </row>
    <row r="136" spans="52:52" x14ac:dyDescent="0.25">
      <c r="AZ136" s="294"/>
    </row>
    <row r="137" spans="52:52" x14ac:dyDescent="0.25">
      <c r="AZ137" s="294"/>
    </row>
    <row r="138" spans="52:52" x14ac:dyDescent="0.25">
      <c r="AZ138" s="294"/>
    </row>
    <row r="139" spans="52:52" x14ac:dyDescent="0.25">
      <c r="AZ139" s="294"/>
    </row>
    <row r="140" spans="52:52" x14ac:dyDescent="0.25">
      <c r="AZ140" s="294"/>
    </row>
    <row r="141" spans="52:52" x14ac:dyDescent="0.25">
      <c r="AZ141" s="294"/>
    </row>
    <row r="142" spans="52:52" x14ac:dyDescent="0.25">
      <c r="AZ142" s="294"/>
    </row>
    <row r="143" spans="52:52" x14ac:dyDescent="0.25">
      <c r="AZ143" s="294"/>
    </row>
    <row r="144" spans="52:52" x14ac:dyDescent="0.25">
      <c r="AZ144" s="294"/>
    </row>
    <row r="145" spans="52:52" x14ac:dyDescent="0.25">
      <c r="AZ145" s="294"/>
    </row>
    <row r="146" spans="52:52" x14ac:dyDescent="0.25">
      <c r="AZ146" s="294"/>
    </row>
    <row r="147" spans="52:52" x14ac:dyDescent="0.25">
      <c r="AZ147" s="294"/>
    </row>
    <row r="148" spans="52:52" x14ac:dyDescent="0.25">
      <c r="AZ148" s="294"/>
    </row>
    <row r="149" spans="52:52" x14ac:dyDescent="0.25">
      <c r="AZ149" s="294"/>
    </row>
    <row r="150" spans="52:52" x14ac:dyDescent="0.25">
      <c r="AZ150" s="294"/>
    </row>
    <row r="151" spans="52:52" x14ac:dyDescent="0.25">
      <c r="AZ151" s="294"/>
    </row>
    <row r="152" spans="52:52" x14ac:dyDescent="0.25">
      <c r="AZ152" s="294"/>
    </row>
    <row r="153" spans="52:52" x14ac:dyDescent="0.25">
      <c r="AZ153" s="294"/>
    </row>
    <row r="154" spans="52:52" x14ac:dyDescent="0.25">
      <c r="AZ154" s="294"/>
    </row>
    <row r="155" spans="52:52" x14ac:dyDescent="0.25">
      <c r="AZ155" s="294"/>
    </row>
    <row r="156" spans="52:52" x14ac:dyDescent="0.25">
      <c r="AZ156" s="294"/>
    </row>
    <row r="157" spans="52:52" x14ac:dyDescent="0.25">
      <c r="AZ157" s="294"/>
    </row>
    <row r="158" spans="52:52" x14ac:dyDescent="0.25">
      <c r="AZ158" s="294"/>
    </row>
    <row r="159" spans="52:52" x14ac:dyDescent="0.25">
      <c r="AZ159" s="294"/>
    </row>
    <row r="160" spans="52:52" x14ac:dyDescent="0.25">
      <c r="AZ160" s="294"/>
    </row>
    <row r="161" spans="52:52" x14ac:dyDescent="0.25">
      <c r="AZ161" s="294"/>
    </row>
    <row r="162" spans="52:52" x14ac:dyDescent="0.25">
      <c r="AZ162" s="294"/>
    </row>
    <row r="163" spans="52:52" x14ac:dyDescent="0.25">
      <c r="AZ163" s="294"/>
    </row>
    <row r="164" spans="52:52" x14ac:dyDescent="0.25">
      <c r="AZ164" s="294"/>
    </row>
    <row r="165" spans="52:52" x14ac:dyDescent="0.25">
      <c r="AZ165" s="294"/>
    </row>
    <row r="166" spans="52:52" x14ac:dyDescent="0.25">
      <c r="AZ166" s="294"/>
    </row>
    <row r="167" spans="52:52" x14ac:dyDescent="0.25">
      <c r="AZ167" s="294"/>
    </row>
    <row r="168" spans="52:52" x14ac:dyDescent="0.25">
      <c r="AZ168" s="294"/>
    </row>
    <row r="169" spans="52:52" x14ac:dyDescent="0.25">
      <c r="AZ169" s="294"/>
    </row>
    <row r="170" spans="52:52" x14ac:dyDescent="0.25">
      <c r="AZ170" s="294"/>
    </row>
    <row r="171" spans="52:52" x14ac:dyDescent="0.25">
      <c r="AZ171" s="294"/>
    </row>
    <row r="172" spans="52:52" x14ac:dyDescent="0.25">
      <c r="AZ172" s="294"/>
    </row>
    <row r="173" spans="52:52" x14ac:dyDescent="0.25">
      <c r="AZ173" s="294"/>
    </row>
    <row r="174" spans="52:52" x14ac:dyDescent="0.25">
      <c r="AZ174" s="294"/>
    </row>
    <row r="175" spans="52:52" x14ac:dyDescent="0.25">
      <c r="AZ175" s="294"/>
    </row>
    <row r="176" spans="52:52" x14ac:dyDescent="0.25">
      <c r="AZ176" s="294"/>
    </row>
  </sheetData>
  <autoFilter ref="B4:DP33" xr:uid="{BB8AC636-8128-4820-821A-8CBBC74DAC91}">
    <filterColumn colId="64" showButton="0"/>
    <filterColumn colId="65" showButton="0"/>
    <filterColumn colId="68" showButton="0"/>
    <filterColumn colId="70" showButton="0"/>
    <filterColumn colId="71" showButton="0"/>
    <filterColumn colId="72" showButton="0"/>
    <filterColumn colId="74" showButton="0"/>
    <filterColumn colId="75" showButton="0"/>
    <filterColumn colId="76" showButton="0"/>
    <filterColumn colId="78" showButton="0"/>
    <filterColumn colId="79" showButton="0"/>
    <filterColumn colId="80" showButton="0"/>
    <filterColumn colId="82" showButton="0"/>
    <filterColumn colId="83" showButton="0"/>
    <filterColumn colId="84" showButton="0"/>
    <filterColumn colId="86" showButton="0"/>
    <filterColumn colId="87" showButton="0"/>
    <filterColumn colId="88" showButton="0"/>
  </autoFilter>
  <mergeCells count="54">
    <mergeCell ref="CK109:CM109"/>
    <mergeCell ref="CG109:CI109"/>
    <mergeCell ref="BO109:BP109"/>
    <mergeCell ref="BR109:BS109"/>
    <mergeCell ref="BU109:BW109"/>
    <mergeCell ref="BY109:CA109"/>
    <mergeCell ref="CC109:CE109"/>
    <mergeCell ref="V42:AN42"/>
    <mergeCell ref="BO42:CT42"/>
    <mergeCell ref="AL107:AN107"/>
    <mergeCell ref="BN43:BP43"/>
    <mergeCell ref="BR43:BS43"/>
    <mergeCell ref="CJ106:CM106"/>
    <mergeCell ref="CF106:CI106"/>
    <mergeCell ref="CB106:CE106"/>
    <mergeCell ref="BX106:CA106"/>
    <mergeCell ref="CB43:CE43"/>
    <mergeCell ref="CF43:CI43"/>
    <mergeCell ref="CJ43:CM43"/>
    <mergeCell ref="CG33:CI33"/>
    <mergeCell ref="CK33:CM33"/>
    <mergeCell ref="DG42:DP42"/>
    <mergeCell ref="BN106:BP106"/>
    <mergeCell ref="BT106:BW106"/>
    <mergeCell ref="BR106:BS106"/>
    <mergeCell ref="CV42:CZ42"/>
    <mergeCell ref="DB42:DF42"/>
    <mergeCell ref="BT43:BW43"/>
    <mergeCell ref="BX43:CA43"/>
    <mergeCell ref="CC33:CE33"/>
    <mergeCell ref="AL30:AN30"/>
    <mergeCell ref="BO33:BP33"/>
    <mergeCell ref="BR33:BS33"/>
    <mergeCell ref="BU33:BW33"/>
    <mergeCell ref="BY33:CA33"/>
    <mergeCell ref="CF4:CI4"/>
    <mergeCell ref="CJ4:CM4"/>
    <mergeCell ref="BN29:BP29"/>
    <mergeCell ref="BR29:BS29"/>
    <mergeCell ref="BT29:BW29"/>
    <mergeCell ref="BX29:CA29"/>
    <mergeCell ref="CB29:CE29"/>
    <mergeCell ref="CF29:CI29"/>
    <mergeCell ref="CJ29:CM29"/>
    <mergeCell ref="BN4:BP4"/>
    <mergeCell ref="BR4:BS4"/>
    <mergeCell ref="BT4:BW4"/>
    <mergeCell ref="BX4:CA4"/>
    <mergeCell ref="CB4:CE4"/>
    <mergeCell ref="V3:AN3"/>
    <mergeCell ref="BO3:CT3"/>
    <mergeCell ref="CV3:CZ3"/>
    <mergeCell ref="DB3:DF3"/>
    <mergeCell ref="DG3:DP3"/>
  </mergeCells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987F-8A4A-468B-B8CF-2572D1652F20}">
  <sheetPr codeName="Planilha10"/>
  <dimension ref="A1:Q228"/>
  <sheetViews>
    <sheetView topLeftCell="A207" workbookViewId="0">
      <selection activeCell="Z5" sqref="Z5"/>
    </sheetView>
  </sheetViews>
  <sheetFormatPr defaultColWidth="9" defaultRowHeight="14.5" x14ac:dyDescent="0.35"/>
  <cols>
    <col min="1" max="1" width="11" style="123" bestFit="1" customWidth="1"/>
    <col min="2" max="2" width="8.33203125" style="123" bestFit="1" customWidth="1"/>
    <col min="3" max="3" width="16.75" style="123" customWidth="1"/>
    <col min="4" max="4" width="14.33203125" style="123" bestFit="1" customWidth="1"/>
    <col min="5" max="5" width="20.33203125" style="123" customWidth="1"/>
    <col min="6" max="6" width="26.83203125" style="123" bestFit="1" customWidth="1"/>
    <col min="7" max="7" width="21" style="123" bestFit="1" customWidth="1"/>
    <col min="8" max="8" width="22" style="123" bestFit="1" customWidth="1"/>
    <col min="9" max="9" width="30.5" style="123" customWidth="1"/>
    <col min="10" max="12" width="17.5" style="123" customWidth="1"/>
    <col min="13" max="13" width="9" style="123"/>
    <col min="14" max="14" width="31.5" style="462" customWidth="1"/>
    <col min="15" max="16" width="9" style="123"/>
    <col min="17" max="17" width="39.33203125" style="463" customWidth="1"/>
    <col min="18" max="16384" width="9" style="123"/>
  </cols>
  <sheetData>
    <row r="1" spans="1:17" ht="43.5" x14ac:dyDescent="0.35">
      <c r="A1" s="439" t="s">
        <v>2437</v>
      </c>
      <c r="B1" s="439" t="s">
        <v>2438</v>
      </c>
      <c r="C1" s="439" t="s">
        <v>2340</v>
      </c>
      <c r="D1" s="439" t="s">
        <v>2439</v>
      </c>
      <c r="E1" s="439" t="s">
        <v>2440</v>
      </c>
      <c r="F1" s="440" t="s">
        <v>2441</v>
      </c>
      <c r="G1" s="440" t="s">
        <v>2442</v>
      </c>
      <c r="H1" s="439" t="s">
        <v>2443</v>
      </c>
      <c r="I1" s="439" t="s">
        <v>2444</v>
      </c>
      <c r="J1" s="440" t="s">
        <v>2445</v>
      </c>
      <c r="K1" s="440" t="s">
        <v>2446</v>
      </c>
      <c r="L1" s="440" t="s">
        <v>2447</v>
      </c>
      <c r="M1" s="441"/>
      <c r="N1" s="440" t="s">
        <v>2448</v>
      </c>
      <c r="O1" s="439" t="s">
        <v>377</v>
      </c>
      <c r="P1" s="441"/>
      <c r="Q1" s="125" t="s">
        <v>2094</v>
      </c>
    </row>
    <row r="2" spans="1:17" s="140" customFormat="1" ht="43.5" x14ac:dyDescent="0.35">
      <c r="A2" s="442" t="s">
        <v>2449</v>
      </c>
      <c r="B2" s="442"/>
      <c r="C2" s="442"/>
      <c r="D2" s="442"/>
      <c r="E2" s="442"/>
      <c r="F2" s="443"/>
      <c r="G2" s="443"/>
      <c r="H2" s="442"/>
      <c r="I2" s="442"/>
      <c r="J2" s="443"/>
      <c r="K2" s="443"/>
      <c r="L2" s="443"/>
      <c r="M2" s="444"/>
      <c r="N2" s="445" t="s">
        <v>2184</v>
      </c>
      <c r="O2" s="446">
        <f t="shared" ref="O2:O14" si="0">COUNTIF($I$3:$I$76,N2)</f>
        <v>0</v>
      </c>
      <c r="P2" s="444"/>
      <c r="Q2" s="447"/>
    </row>
    <row r="3" spans="1:17" s="140" customFormat="1" ht="43.5" x14ac:dyDescent="0.35">
      <c r="A3" s="446" t="s">
        <v>2450</v>
      </c>
      <c r="B3" s="446" t="s">
        <v>2451</v>
      </c>
      <c r="C3" s="446" t="str">
        <f t="shared" ref="C3:C8" si="1">CONCATENATE(B3,"-&gt;",A3)</f>
        <v>BL1-&gt;PV1.1</v>
      </c>
      <c r="D3" s="446">
        <v>2.19</v>
      </c>
      <c r="E3" s="446" t="s">
        <v>2452</v>
      </c>
      <c r="F3" s="446">
        <v>6.99</v>
      </c>
      <c r="G3" s="446"/>
      <c r="H3" s="446" t="s">
        <v>2462</v>
      </c>
      <c r="I3" s="448" t="str">
        <f t="shared" ref="I3" si="2">IF(G3="","BOCA DE LOBO PROJETADA "&amp;H3,IF(H3="","BOCA DE LOBO EXISTENTE "&amp;G3,"BOCA DE LOBO "&amp;G3&amp;" EXISTENTE COM BOCA DE LOBO "&amp;H3&amp;" PROJETADA"))</f>
        <v>BOCA DE LOBO PROJETADA DUPLA</v>
      </c>
      <c r="J3" s="448">
        <f>IF(E3="EXISTENTE",1,0)</f>
        <v>0</v>
      </c>
      <c r="K3" s="448"/>
      <c r="L3" s="449" t="str">
        <f t="shared" ref="L3:L30" si="3">IF(G3&lt;&gt;"",IF(H3&lt;&gt;"","AMPLIADA","EXISTENTE"),"PROJETADA")</f>
        <v>PROJETADA</v>
      </c>
      <c r="N3" s="450" t="s">
        <v>2185</v>
      </c>
      <c r="O3" s="446">
        <f t="shared" si="0"/>
        <v>0</v>
      </c>
      <c r="Q3" s="447" t="s">
        <v>2454</v>
      </c>
    </row>
    <row r="4" spans="1:17" s="140" customFormat="1" ht="43.5" x14ac:dyDescent="0.35">
      <c r="A4" s="446"/>
      <c r="B4" s="446"/>
      <c r="C4" s="446"/>
      <c r="D4" s="446"/>
      <c r="E4" s="446"/>
      <c r="F4" s="446"/>
      <c r="G4" s="446"/>
      <c r="H4" s="446"/>
      <c r="I4" s="448"/>
      <c r="J4" s="448"/>
      <c r="K4" s="448"/>
      <c r="L4" s="449"/>
      <c r="N4" s="450" t="s">
        <v>2186</v>
      </c>
      <c r="O4" s="446">
        <f t="shared" si="0"/>
        <v>0</v>
      </c>
      <c r="Q4" s="447"/>
    </row>
    <row r="5" spans="1:17" s="140" customFormat="1" ht="29" x14ac:dyDescent="0.35">
      <c r="A5" s="446" t="s">
        <v>2457</v>
      </c>
      <c r="B5" s="446" t="s">
        <v>2458</v>
      </c>
      <c r="C5" s="446" t="str">
        <f t="shared" si="1"/>
        <v>BL3-&gt;PV3.1</v>
      </c>
      <c r="D5" s="446">
        <v>2.5499999999999998</v>
      </c>
      <c r="E5" s="446" t="s">
        <v>2452</v>
      </c>
      <c r="F5" s="446">
        <v>10.58</v>
      </c>
      <c r="G5" s="446"/>
      <c r="H5" s="446" t="s">
        <v>2462</v>
      </c>
      <c r="I5" s="448" t="str">
        <f t="shared" ref="I5" si="4">IF(G5="","BOCA DE LOBO PROJETADA "&amp;H5,IF(H5="","BOCA DE LOBO EXISTENTE "&amp;G5,"BOCA DE LOBO "&amp;G5&amp;" EXISTENTE COM BOCA DE LOBO "&amp;H5&amp;" PROJETADA"))</f>
        <v>BOCA DE LOBO PROJETADA DUPLA</v>
      </c>
      <c r="J5" s="448">
        <f t="shared" ref="J5:J13" si="5">IF(E5="EXISTENTE",1,0)</f>
        <v>0</v>
      </c>
      <c r="K5" s="448"/>
      <c r="L5" s="449" t="str">
        <f t="shared" si="3"/>
        <v>PROJETADA</v>
      </c>
      <c r="N5" s="450" t="s">
        <v>2187</v>
      </c>
      <c r="O5" s="446">
        <f t="shared" si="0"/>
        <v>0</v>
      </c>
      <c r="Q5" s="447"/>
    </row>
    <row r="6" spans="1:17" s="140" customFormat="1" ht="29" x14ac:dyDescent="0.35">
      <c r="A6" s="446"/>
      <c r="B6" s="446"/>
      <c r="C6" s="446"/>
      <c r="D6" s="446"/>
      <c r="E6" s="446"/>
      <c r="F6" s="446"/>
      <c r="G6" s="446"/>
      <c r="H6" s="446"/>
      <c r="I6" s="448"/>
      <c r="J6" s="448"/>
      <c r="K6" s="448"/>
      <c r="L6" s="449"/>
      <c r="N6" s="450" t="s">
        <v>2188</v>
      </c>
      <c r="O6" s="446">
        <f t="shared" si="0"/>
        <v>0</v>
      </c>
      <c r="Q6" s="447"/>
    </row>
    <row r="7" spans="1:17" s="140" customFormat="1" ht="29" x14ac:dyDescent="0.35">
      <c r="A7" s="446" t="s">
        <v>2460</v>
      </c>
      <c r="B7" s="446" t="s">
        <v>2459</v>
      </c>
      <c r="C7" s="446" t="str">
        <f t="shared" si="1"/>
        <v>BL4-&gt;PV4.1</v>
      </c>
      <c r="D7" s="446">
        <v>2.5499999999999998</v>
      </c>
      <c r="E7" s="446" t="s">
        <v>2452</v>
      </c>
      <c r="F7" s="446">
        <v>12.86</v>
      </c>
      <c r="G7" s="446"/>
      <c r="H7" s="446" t="s">
        <v>2462</v>
      </c>
      <c r="I7" s="448" t="str">
        <f>IF(G7="","BOCA DE LOBO PROJETADA "&amp;H7,IF(H7="","BOCA DE LOBO EXISTENTE "&amp;G7,"BOCA DE LOBO "&amp;G7&amp;" EXISTENTE COM BOCA DE LOBO "&amp;H7&amp;" PROJETADA"))</f>
        <v>BOCA DE LOBO PROJETADA DUPLA</v>
      </c>
      <c r="J7" s="448">
        <f>IF(E7="EXISTENTE",1,0)</f>
        <v>0</v>
      </c>
      <c r="K7" s="448"/>
      <c r="L7" s="449" t="str">
        <f t="shared" si="3"/>
        <v>PROJETADA</v>
      </c>
      <c r="N7" s="450" t="s">
        <v>2189</v>
      </c>
      <c r="O7" s="446">
        <f t="shared" si="0"/>
        <v>0</v>
      </c>
      <c r="Q7" s="447"/>
    </row>
    <row r="8" spans="1:17" s="140" customFormat="1" ht="29" x14ac:dyDescent="0.35">
      <c r="A8" s="446" t="s">
        <v>2460</v>
      </c>
      <c r="B8" s="446" t="s">
        <v>2461</v>
      </c>
      <c r="C8" s="446" t="str">
        <f t="shared" si="1"/>
        <v>BL5-&gt;PV4.1</v>
      </c>
      <c r="D8" s="446">
        <v>2.5499999999999998</v>
      </c>
      <c r="E8" s="446" t="s">
        <v>2452</v>
      </c>
      <c r="F8" s="446">
        <v>8.69</v>
      </c>
      <c r="G8" s="446"/>
      <c r="H8" s="446" t="s">
        <v>2462</v>
      </c>
      <c r="I8" s="448" t="str">
        <f>IF(G8="","BOCA DE LOBO PROJETADA "&amp;H8,IF(H8="","BOCA DE LOBO EXISTENTE "&amp;G8,"BOCA DE LOBO "&amp;G8&amp;" EXISTENTE COM BOCA DE LOBO "&amp;H8&amp;" PROJETADA"))</f>
        <v>BOCA DE LOBO PROJETADA DUPLA</v>
      </c>
      <c r="J8" s="448">
        <f>IF(E8="EXISTENTE",1,0)</f>
        <v>0</v>
      </c>
      <c r="K8" s="448"/>
      <c r="L8" s="449" t="str">
        <f t="shared" si="3"/>
        <v>PROJETADA</v>
      </c>
      <c r="N8" s="450" t="s">
        <v>2190</v>
      </c>
      <c r="O8" s="446">
        <f t="shared" si="0"/>
        <v>0</v>
      </c>
      <c r="Q8" s="447"/>
    </row>
    <row r="9" spans="1:17" s="140" customFormat="1" ht="29" x14ac:dyDescent="0.35">
      <c r="A9" s="446" t="s">
        <v>2481</v>
      </c>
      <c r="B9" s="446" t="s">
        <v>2463</v>
      </c>
      <c r="C9" s="446" t="str">
        <f t="shared" ref="C9" si="6">CONCATENATE(B9,"-&gt;",A9)</f>
        <v>BL6-&gt;PV6.1</v>
      </c>
      <c r="D9" s="446">
        <v>3</v>
      </c>
      <c r="E9" s="446" t="s">
        <v>2452</v>
      </c>
      <c r="F9" s="446">
        <v>10.5</v>
      </c>
      <c r="G9" s="446"/>
      <c r="H9" s="446" t="s">
        <v>2462</v>
      </c>
      <c r="I9" s="448" t="str">
        <f>IF(G9="","BOCA DE LOBO PROJETADA "&amp;H9,IF(H9="","BOCA DE LOBO EXISTENTE "&amp;G9,"BOCA DE LOBO "&amp;G9&amp;" EXISTENTE COM BOCA DE LOBO "&amp;H9&amp;" PROJETADA"))</f>
        <v>BOCA DE LOBO PROJETADA DUPLA</v>
      </c>
      <c r="J9" s="448">
        <f>IF(E9="EXISTENTE",1,0)</f>
        <v>0</v>
      </c>
      <c r="K9" s="448"/>
      <c r="L9" s="449" t="str">
        <f t="shared" ref="L9" si="7">IF(G9&lt;&gt;"",IF(H9&lt;&gt;"","AMPLIADA","EXISTENTE"),"PROJETADA")</f>
        <v>PROJETADA</v>
      </c>
      <c r="N9" s="450" t="s">
        <v>2191</v>
      </c>
      <c r="O9" s="446">
        <f t="shared" si="0"/>
        <v>0</v>
      </c>
      <c r="Q9" s="447"/>
    </row>
    <row r="10" spans="1:17" s="140" customFormat="1" ht="29" x14ac:dyDescent="0.35">
      <c r="A10" s="446" t="s">
        <v>2481</v>
      </c>
      <c r="B10" s="446" t="s">
        <v>2465</v>
      </c>
      <c r="C10" s="446" t="str">
        <f t="shared" ref="C10" si="8">CONCATENATE(B10,"-&gt;",A10)</f>
        <v>BL7-&gt;PV6.1</v>
      </c>
      <c r="D10" s="446">
        <v>3</v>
      </c>
      <c r="E10" s="446" t="s">
        <v>2452</v>
      </c>
      <c r="F10" s="446">
        <v>12.29</v>
      </c>
      <c r="G10" s="446"/>
      <c r="H10" s="446" t="s">
        <v>2462</v>
      </c>
      <c r="I10" s="448" t="str">
        <f>IF(G10="","BOCA DE LOBO PROJETADA "&amp;H10,IF(H10="","BOCA DE LOBO EXISTENTE "&amp;G10,"BOCA DE LOBO "&amp;G10&amp;" EXISTENTE COM BOCA DE LOBO "&amp;H10&amp;" PROJETADA"))</f>
        <v>BOCA DE LOBO PROJETADA DUPLA</v>
      </c>
      <c r="J10" s="448">
        <f>IF(E10="EXISTENTE",1,0)</f>
        <v>0</v>
      </c>
      <c r="K10" s="448"/>
      <c r="L10" s="449" t="str">
        <f t="shared" ref="L10" si="9">IF(G10&lt;&gt;"",IF(H10&lt;&gt;"","AMPLIADA","EXISTENTE"),"PROJETADA")</f>
        <v>PROJETADA</v>
      </c>
      <c r="N10" s="450" t="s">
        <v>2192</v>
      </c>
      <c r="O10" s="446">
        <f t="shared" si="0"/>
        <v>0</v>
      </c>
      <c r="Q10" s="447"/>
    </row>
    <row r="11" spans="1:17" s="140" customFormat="1" x14ac:dyDescent="0.35">
      <c r="A11" s="442" t="s">
        <v>2464</v>
      </c>
      <c r="B11" s="446"/>
      <c r="C11" s="446"/>
      <c r="D11" s="446"/>
      <c r="E11" s="446"/>
      <c r="F11" s="446"/>
      <c r="G11" s="446"/>
      <c r="H11" s="446"/>
      <c r="I11" s="448"/>
      <c r="J11" s="448"/>
      <c r="K11" s="448"/>
      <c r="L11" s="449"/>
      <c r="N11" s="450" t="s">
        <v>2193</v>
      </c>
      <c r="O11" s="446">
        <f t="shared" si="0"/>
        <v>0</v>
      </c>
      <c r="Q11" s="447"/>
    </row>
    <row r="12" spans="1:17" s="140" customFormat="1" x14ac:dyDescent="0.35">
      <c r="A12" s="446" t="s">
        <v>2450</v>
      </c>
      <c r="B12" s="446" t="s">
        <v>2466</v>
      </c>
      <c r="C12" s="446" t="str">
        <f>CONCATENATE(B12,"-&gt;",A12)</f>
        <v>BL8-&gt;PV1.1</v>
      </c>
      <c r="D12" s="446">
        <v>4.4000000000000004</v>
      </c>
      <c r="E12" s="446" t="s">
        <v>2452</v>
      </c>
      <c r="F12" s="446">
        <v>9.9600000000000009</v>
      </c>
      <c r="G12" s="446" t="s">
        <v>2462</v>
      </c>
      <c r="H12" s="446"/>
      <c r="I12" s="448" t="str">
        <f t="shared" ref="I12:I13" si="10">IF(G12="","BOCA DE LOBO PROJETADA "&amp;H12,IF(H12="","BOCA DE LOBO EXISTENTE "&amp;G12,"BOCA DE LOBO "&amp;G12&amp;" EXISTENTE COM BOCA DE LOBO "&amp;H12&amp;" PROJETADA"))</f>
        <v>BOCA DE LOBO EXISTENTE DUPLA</v>
      </c>
      <c r="J12" s="448">
        <f t="shared" si="5"/>
        <v>0</v>
      </c>
      <c r="K12" s="448"/>
      <c r="L12" s="449" t="str">
        <f t="shared" si="3"/>
        <v>EXISTENTE</v>
      </c>
      <c r="N12" s="450" t="s">
        <v>2194</v>
      </c>
      <c r="O12" s="446">
        <f t="shared" si="0"/>
        <v>49</v>
      </c>
      <c r="Q12" s="447"/>
    </row>
    <row r="13" spans="1:17" s="140" customFormat="1" x14ac:dyDescent="0.35">
      <c r="A13" s="446" t="s">
        <v>2450</v>
      </c>
      <c r="B13" s="446" t="s">
        <v>2468</v>
      </c>
      <c r="C13" s="446" t="str">
        <f>CONCATENATE(B13,"-&gt;",A13)</f>
        <v>BL9-&gt;PV1.1</v>
      </c>
      <c r="D13" s="446">
        <v>4.4000000000000004</v>
      </c>
      <c r="E13" s="446" t="s">
        <v>2452</v>
      </c>
      <c r="F13" s="446">
        <v>7.12</v>
      </c>
      <c r="G13" s="446"/>
      <c r="H13" s="446" t="s">
        <v>2462</v>
      </c>
      <c r="I13" s="448" t="str">
        <f t="shared" si="10"/>
        <v>BOCA DE LOBO PROJETADA DUPLA</v>
      </c>
      <c r="J13" s="448">
        <f t="shared" si="5"/>
        <v>0</v>
      </c>
      <c r="K13" s="448"/>
      <c r="L13" s="449" t="str">
        <f t="shared" si="3"/>
        <v>PROJETADA</v>
      </c>
      <c r="N13" s="450" t="s">
        <v>2195</v>
      </c>
      <c r="O13" s="446">
        <f t="shared" si="0"/>
        <v>4</v>
      </c>
      <c r="Q13" s="447"/>
    </row>
    <row r="14" spans="1:17" s="140" customFormat="1" ht="29" x14ac:dyDescent="0.35">
      <c r="A14" s="446" t="s">
        <v>2457</v>
      </c>
      <c r="B14" s="446" t="s">
        <v>2469</v>
      </c>
      <c r="C14" s="446" t="str">
        <f>CONCATENATE(B14,"-&gt;",A14)</f>
        <v>BL10-&gt;PV3.1</v>
      </c>
      <c r="D14" s="446">
        <v>3.2</v>
      </c>
      <c r="E14" s="446" t="s">
        <v>2452</v>
      </c>
      <c r="F14" s="446">
        <v>12.78</v>
      </c>
      <c r="G14" s="446"/>
      <c r="H14" s="446" t="s">
        <v>2462</v>
      </c>
      <c r="I14" s="448" t="str">
        <f t="shared" ref="I14:I15" si="11">IF(G14="","BOCA DE LOBO PROJETADA "&amp;H14,IF(H14="","BOCA DE LOBO EXISTENTE "&amp;G14,"BOCA DE LOBO "&amp;G14&amp;" EXISTENTE COM BOCA DE LOBO "&amp;H14&amp;" PROJETADA"))</f>
        <v>BOCA DE LOBO PROJETADA DUPLA</v>
      </c>
      <c r="J14" s="448">
        <f t="shared" ref="J14:J15" si="12">IF(E14="EXISTENTE",1,0)</f>
        <v>0</v>
      </c>
      <c r="K14" s="448"/>
      <c r="L14" s="449" t="str">
        <f t="shared" ref="L14:L15" si="13">IF(G14&lt;&gt;"",IF(H14&lt;&gt;"","AMPLIADA","EXISTENTE"),"PROJETADA")</f>
        <v>PROJETADA</v>
      </c>
      <c r="N14" s="450" t="s">
        <v>2991</v>
      </c>
      <c r="O14" s="446">
        <f t="shared" si="0"/>
        <v>0</v>
      </c>
      <c r="Q14" s="447"/>
    </row>
    <row r="15" spans="1:17" s="140" customFormat="1" x14ac:dyDescent="0.35">
      <c r="A15" s="446" t="s">
        <v>2457</v>
      </c>
      <c r="B15" s="446" t="s">
        <v>2470</v>
      </c>
      <c r="C15" s="446" t="str">
        <f>CONCATENATE(B15,"-&gt;",A15)</f>
        <v>BL11-&gt;PV3.1</v>
      </c>
      <c r="D15" s="446">
        <v>3.2</v>
      </c>
      <c r="E15" s="446" t="s">
        <v>2452</v>
      </c>
      <c r="F15" s="446">
        <v>8.49</v>
      </c>
      <c r="G15" s="446"/>
      <c r="H15" s="446" t="s">
        <v>2462</v>
      </c>
      <c r="I15" s="448" t="str">
        <f t="shared" si="11"/>
        <v>BOCA DE LOBO PROJETADA DUPLA</v>
      </c>
      <c r="J15" s="448">
        <f t="shared" si="12"/>
        <v>0</v>
      </c>
      <c r="K15" s="448"/>
      <c r="L15" s="449" t="str">
        <f t="shared" si="13"/>
        <v>PROJETADA</v>
      </c>
      <c r="N15" s="451" t="s">
        <v>377</v>
      </c>
      <c r="O15" s="452">
        <f>SUM(O2:O14)</f>
        <v>53</v>
      </c>
      <c r="Q15" s="447"/>
    </row>
    <row r="16" spans="1:17" s="140" customFormat="1" ht="29" x14ac:dyDescent="0.35">
      <c r="A16" s="442" t="s">
        <v>2467</v>
      </c>
      <c r="B16" s="446"/>
      <c r="C16" s="446"/>
      <c r="D16" s="446"/>
      <c r="E16" s="446"/>
      <c r="F16" s="446"/>
      <c r="G16" s="446"/>
      <c r="H16" s="446"/>
      <c r="I16" s="448"/>
      <c r="J16" s="448"/>
      <c r="K16" s="448"/>
      <c r="L16" s="449"/>
      <c r="N16" s="451" t="s">
        <v>2471</v>
      </c>
      <c r="O16" s="452">
        <f>SUM(O2:O11)</f>
        <v>0</v>
      </c>
      <c r="Q16" s="447"/>
    </row>
    <row r="17" spans="1:17" s="140" customFormat="1" x14ac:dyDescent="0.35">
      <c r="A17" s="446" t="s">
        <v>2450</v>
      </c>
      <c r="B17" s="446" t="s">
        <v>2472</v>
      </c>
      <c r="C17" s="446" t="str">
        <f t="shared" ref="C17:C30" si="14">CONCATENATE(B17,"-&gt;",A17)</f>
        <v>BL12-&gt;PV1.1</v>
      </c>
      <c r="D17" s="446">
        <v>3.53</v>
      </c>
      <c r="E17" s="446" t="s">
        <v>2452</v>
      </c>
      <c r="F17" s="446">
        <v>10.09</v>
      </c>
      <c r="G17" s="446" t="s">
        <v>2462</v>
      </c>
      <c r="H17" s="446"/>
      <c r="I17" s="448" t="str">
        <f t="shared" ref="I17:I30" si="15">IF(G17="","BOCA DE LOBO PROJETADA "&amp;H17,IF(H17="","BOCA DE LOBO EXISTENTE "&amp;G17,"BOCA DE LOBO "&amp;G17&amp;" EXISTENTE COM BOCA DE LOBO "&amp;H17&amp;" PROJETADA"))</f>
        <v>BOCA DE LOBO EXISTENTE DUPLA</v>
      </c>
      <c r="J17" s="448">
        <f t="shared" ref="J17:J30" si="16">IF(E17="EXISTENTE",1,0)</f>
        <v>0</v>
      </c>
      <c r="K17" s="448"/>
      <c r="L17" s="449" t="str">
        <f t="shared" si="3"/>
        <v>EXISTENTE</v>
      </c>
      <c r="N17" s="453"/>
      <c r="O17" s="453"/>
      <c r="Q17" s="447"/>
    </row>
    <row r="18" spans="1:17" s="140" customFormat="1" x14ac:dyDescent="0.35">
      <c r="A18" s="446" t="s">
        <v>2450</v>
      </c>
      <c r="B18" s="446" t="s">
        <v>2473</v>
      </c>
      <c r="C18" s="446" t="str">
        <f t="shared" si="14"/>
        <v>BL13-&gt;PV1.1</v>
      </c>
      <c r="D18" s="446">
        <v>3.53</v>
      </c>
      <c r="E18" s="446" t="s">
        <v>2452</v>
      </c>
      <c r="F18" s="446">
        <v>5.04</v>
      </c>
      <c r="G18" s="446"/>
      <c r="H18" s="446" t="s">
        <v>2462</v>
      </c>
      <c r="I18" s="448" t="str">
        <f t="shared" si="15"/>
        <v>BOCA DE LOBO PROJETADA DUPLA</v>
      </c>
      <c r="J18" s="448">
        <f t="shared" si="16"/>
        <v>0</v>
      </c>
      <c r="K18" s="448"/>
      <c r="L18" s="449" t="str">
        <f t="shared" si="3"/>
        <v>PROJETADA</v>
      </c>
      <c r="N18" s="453"/>
      <c r="O18" s="453"/>
      <c r="Q18" s="447"/>
    </row>
    <row r="19" spans="1:17" s="140" customFormat="1" x14ac:dyDescent="0.35">
      <c r="A19" s="446" t="s">
        <v>2455</v>
      </c>
      <c r="B19" s="446" t="s">
        <v>2474</v>
      </c>
      <c r="C19" s="446" t="str">
        <f t="shared" si="14"/>
        <v>BL14-&gt;PV2.1</v>
      </c>
      <c r="D19" s="446">
        <v>3</v>
      </c>
      <c r="E19" s="446" t="s">
        <v>2452</v>
      </c>
      <c r="F19" s="446">
        <v>10.38</v>
      </c>
      <c r="G19" s="446"/>
      <c r="H19" s="446" t="s">
        <v>2462</v>
      </c>
      <c r="I19" s="448" t="str">
        <f>IF(G19="","BOCA DE LOBO PROJETADA "&amp;H19,IF(H19="","BOCA DE LOBO EXISTENTE "&amp;G19,"BOCA DE LOBO "&amp;G19&amp;" EXISTENTE COM BOCA DE LOBO "&amp;H19&amp;" PROJETADA"))</f>
        <v>BOCA DE LOBO PROJETADA DUPLA</v>
      </c>
      <c r="J19" s="448">
        <f t="shared" si="16"/>
        <v>0</v>
      </c>
      <c r="K19" s="448"/>
      <c r="L19" s="449" t="str">
        <f>IF(G19&lt;&gt;"",IF(H19&lt;&gt;"","AMPLIADA","EXISTENTE"),"PROJETADA")</f>
        <v>PROJETADA</v>
      </c>
      <c r="N19" s="453"/>
      <c r="O19" s="453"/>
      <c r="Q19" s="447"/>
    </row>
    <row r="20" spans="1:17" s="140" customFormat="1" x14ac:dyDescent="0.35">
      <c r="A20" s="446" t="s">
        <v>2455</v>
      </c>
      <c r="B20" s="446" t="s">
        <v>2475</v>
      </c>
      <c r="C20" s="446" t="str">
        <f t="shared" si="14"/>
        <v>BL15-&gt;PV2.1</v>
      </c>
      <c r="D20" s="446">
        <v>3</v>
      </c>
      <c r="E20" s="446" t="s">
        <v>2452</v>
      </c>
      <c r="F20" s="446">
        <v>10.32</v>
      </c>
      <c r="G20" s="446"/>
      <c r="H20" s="446" t="s">
        <v>2462</v>
      </c>
      <c r="I20" s="448" t="str">
        <f t="shared" si="15"/>
        <v>BOCA DE LOBO PROJETADA DUPLA</v>
      </c>
      <c r="J20" s="448">
        <f t="shared" si="16"/>
        <v>0</v>
      </c>
      <c r="K20" s="448"/>
      <c r="L20" s="449" t="str">
        <f t="shared" si="3"/>
        <v>PROJETADA</v>
      </c>
      <c r="N20" s="453"/>
      <c r="Q20" s="447"/>
    </row>
    <row r="21" spans="1:17" s="140" customFormat="1" x14ac:dyDescent="0.35">
      <c r="A21" s="446" t="s">
        <v>2457</v>
      </c>
      <c r="B21" s="446" t="s">
        <v>2477</v>
      </c>
      <c r="C21" s="446" t="str">
        <f t="shared" si="14"/>
        <v>BL16-&gt;PV3.1</v>
      </c>
      <c r="D21" s="446">
        <v>3</v>
      </c>
      <c r="E21" s="446" t="s">
        <v>2452</v>
      </c>
      <c r="F21" s="446">
        <v>3.96</v>
      </c>
      <c r="G21" s="446" t="s">
        <v>2453</v>
      </c>
      <c r="H21" s="446"/>
      <c r="I21" s="448" t="str">
        <f t="shared" si="15"/>
        <v>BOCA DE LOBO EXISTENTE SIMPLES</v>
      </c>
      <c r="J21" s="448">
        <f t="shared" si="16"/>
        <v>0</v>
      </c>
      <c r="K21" s="448"/>
      <c r="L21" s="449" t="str">
        <f t="shared" si="3"/>
        <v>EXISTENTE</v>
      </c>
      <c r="N21" s="453"/>
      <c r="Q21" s="447"/>
    </row>
    <row r="22" spans="1:17" s="140" customFormat="1" x14ac:dyDescent="0.35">
      <c r="A22" s="446" t="s">
        <v>2457</v>
      </c>
      <c r="B22" s="446" t="s">
        <v>2479</v>
      </c>
      <c r="C22" s="446" t="str">
        <f t="shared" si="14"/>
        <v>BL17-&gt;PV3.1</v>
      </c>
      <c r="D22" s="446">
        <v>3</v>
      </c>
      <c r="E22" s="446" t="s">
        <v>2452</v>
      </c>
      <c r="F22" s="446">
        <v>11.5</v>
      </c>
      <c r="G22" s="446"/>
      <c r="H22" s="446" t="s">
        <v>2462</v>
      </c>
      <c r="I22" s="448" t="str">
        <f t="shared" si="15"/>
        <v>BOCA DE LOBO PROJETADA DUPLA</v>
      </c>
      <c r="J22" s="448">
        <f t="shared" si="16"/>
        <v>0</v>
      </c>
      <c r="K22" s="448"/>
      <c r="L22" s="449" t="str">
        <f t="shared" si="3"/>
        <v>PROJETADA</v>
      </c>
      <c r="N22" s="453"/>
      <c r="Q22" s="447"/>
    </row>
    <row r="23" spans="1:17" s="140" customFormat="1" x14ac:dyDescent="0.35">
      <c r="A23" s="446" t="s">
        <v>2460</v>
      </c>
      <c r="B23" s="446" t="s">
        <v>2480</v>
      </c>
      <c r="C23" s="446" t="str">
        <f t="shared" si="14"/>
        <v>BL18-&gt;PV4.1</v>
      </c>
      <c r="D23" s="446">
        <v>3.01</v>
      </c>
      <c r="E23" s="446" t="s">
        <v>2452</v>
      </c>
      <c r="F23" s="446">
        <v>10.45</v>
      </c>
      <c r="G23" s="446"/>
      <c r="H23" s="446"/>
      <c r="I23" s="448"/>
      <c r="J23" s="448"/>
      <c r="K23" s="448"/>
      <c r="L23" s="449"/>
      <c r="N23" s="453"/>
      <c r="Q23" s="447"/>
    </row>
    <row r="24" spans="1:17" s="140" customFormat="1" x14ac:dyDescent="0.35">
      <c r="A24" s="446" t="s">
        <v>2460</v>
      </c>
      <c r="B24" s="446" t="s">
        <v>2482</v>
      </c>
      <c r="C24" s="446" t="str">
        <f t="shared" si="14"/>
        <v>BL19-&gt;PV4.1</v>
      </c>
      <c r="D24" s="446">
        <v>3.01</v>
      </c>
      <c r="E24" s="446" t="s">
        <v>2452</v>
      </c>
      <c r="F24" s="446">
        <v>6.76</v>
      </c>
      <c r="G24" s="446"/>
      <c r="H24" s="446"/>
      <c r="I24" s="448"/>
      <c r="J24" s="448"/>
      <c r="K24" s="448"/>
      <c r="L24" s="449"/>
      <c r="N24" s="453"/>
      <c r="Q24" s="447"/>
    </row>
    <row r="25" spans="1:17" s="140" customFormat="1" x14ac:dyDescent="0.35">
      <c r="A25" s="446" t="s">
        <v>2478</v>
      </c>
      <c r="B25" s="446" t="s">
        <v>2483</v>
      </c>
      <c r="C25" s="446" t="str">
        <f t="shared" si="14"/>
        <v>BL20-&gt;PV5.1</v>
      </c>
      <c r="D25" s="446">
        <v>3.3</v>
      </c>
      <c r="E25" s="446" t="s">
        <v>2452</v>
      </c>
      <c r="F25" s="446">
        <v>7.68</v>
      </c>
      <c r="G25" s="446" t="s">
        <v>2476</v>
      </c>
      <c r="H25" s="446"/>
      <c r="I25" s="448" t="str">
        <f t="shared" si="15"/>
        <v>BOCA DE LOBO EXISTENTE TRIPLA</v>
      </c>
      <c r="J25" s="448">
        <f t="shared" si="16"/>
        <v>0</v>
      </c>
      <c r="K25" s="448"/>
      <c r="L25" s="449" t="str">
        <f t="shared" si="3"/>
        <v>EXISTENTE</v>
      </c>
      <c r="N25" s="453"/>
      <c r="Q25" s="447"/>
    </row>
    <row r="26" spans="1:17" s="140" customFormat="1" x14ac:dyDescent="0.35">
      <c r="A26" s="446" t="s">
        <v>2478</v>
      </c>
      <c r="B26" s="446" t="s">
        <v>2485</v>
      </c>
      <c r="C26" s="446" t="str">
        <f t="shared" si="14"/>
        <v>BL21-&gt;PV5.1</v>
      </c>
      <c r="D26" s="446">
        <v>3.3</v>
      </c>
      <c r="E26" s="446" t="s">
        <v>2452</v>
      </c>
      <c r="F26" s="446">
        <v>9.4700000000000006</v>
      </c>
      <c r="G26" s="446"/>
      <c r="H26" s="446" t="s">
        <v>2462</v>
      </c>
      <c r="I26" s="448" t="str">
        <f t="shared" si="15"/>
        <v>BOCA DE LOBO PROJETADA DUPLA</v>
      </c>
      <c r="J26" s="448">
        <f t="shared" si="16"/>
        <v>0</v>
      </c>
      <c r="K26" s="448"/>
      <c r="L26" s="449" t="str">
        <f t="shared" si="3"/>
        <v>PROJETADA</v>
      </c>
      <c r="N26" s="453"/>
      <c r="Q26" s="447"/>
    </row>
    <row r="27" spans="1:17" s="191" customFormat="1" x14ac:dyDescent="0.35">
      <c r="A27" s="446"/>
      <c r="B27" s="446"/>
      <c r="C27" s="446"/>
      <c r="D27" s="446"/>
      <c r="E27" s="446"/>
      <c r="F27" s="446"/>
      <c r="G27" s="446"/>
      <c r="H27" s="446"/>
      <c r="I27" s="448"/>
      <c r="J27" s="448"/>
      <c r="K27" s="448"/>
      <c r="L27" s="449"/>
      <c r="N27" s="454"/>
      <c r="Q27" s="455"/>
    </row>
    <row r="28" spans="1:17" s="191" customFormat="1" x14ac:dyDescent="0.35">
      <c r="A28" s="446"/>
      <c r="B28" s="446"/>
      <c r="C28" s="446"/>
      <c r="D28" s="446"/>
      <c r="E28" s="446"/>
      <c r="F28" s="446"/>
      <c r="G28" s="446"/>
      <c r="H28" s="446"/>
      <c r="I28" s="448"/>
      <c r="J28" s="448"/>
      <c r="K28" s="448"/>
      <c r="L28" s="449"/>
      <c r="N28" s="454"/>
      <c r="Q28" s="455"/>
    </row>
    <row r="29" spans="1:17" s="140" customFormat="1" x14ac:dyDescent="0.35">
      <c r="A29" s="446" t="s">
        <v>2484</v>
      </c>
      <c r="B29" s="446" t="s">
        <v>2489</v>
      </c>
      <c r="C29" s="446" t="str">
        <f t="shared" si="14"/>
        <v>BL24-&gt;PV7.1</v>
      </c>
      <c r="D29" s="446">
        <v>3.3</v>
      </c>
      <c r="E29" s="446" t="s">
        <v>2452</v>
      </c>
      <c r="F29" s="446">
        <v>3.39</v>
      </c>
      <c r="G29" s="446" t="s">
        <v>2476</v>
      </c>
      <c r="H29" s="446"/>
      <c r="I29" s="448" t="str">
        <f t="shared" si="15"/>
        <v>BOCA DE LOBO EXISTENTE TRIPLA</v>
      </c>
      <c r="J29" s="448">
        <f t="shared" si="16"/>
        <v>0</v>
      </c>
      <c r="K29" s="448"/>
      <c r="L29" s="449" t="str">
        <f t="shared" si="3"/>
        <v>EXISTENTE</v>
      </c>
      <c r="N29" s="453"/>
      <c r="Q29" s="447"/>
    </row>
    <row r="30" spans="1:17" s="140" customFormat="1" x14ac:dyDescent="0.35">
      <c r="A30" s="446" t="s">
        <v>2484</v>
      </c>
      <c r="B30" s="446" t="s">
        <v>2491</v>
      </c>
      <c r="C30" s="446" t="str">
        <f t="shared" si="14"/>
        <v>BL25-&gt;PV7.1</v>
      </c>
      <c r="D30" s="446">
        <v>3.3</v>
      </c>
      <c r="E30" s="446" t="s">
        <v>2452</v>
      </c>
      <c r="F30" s="446">
        <v>10.63</v>
      </c>
      <c r="G30" s="446"/>
      <c r="H30" s="446" t="s">
        <v>2462</v>
      </c>
      <c r="I30" s="448" t="str">
        <f t="shared" si="15"/>
        <v>BOCA DE LOBO PROJETADA DUPLA</v>
      </c>
      <c r="J30" s="448">
        <f t="shared" si="16"/>
        <v>0</v>
      </c>
      <c r="K30" s="448"/>
      <c r="L30" s="449" t="str">
        <f t="shared" si="3"/>
        <v>PROJETADA</v>
      </c>
      <c r="N30" s="453"/>
      <c r="Q30" s="447"/>
    </row>
    <row r="31" spans="1:17" s="140" customFormat="1" x14ac:dyDescent="0.35">
      <c r="A31" s="446" t="s">
        <v>2938</v>
      </c>
      <c r="B31" s="446" t="s">
        <v>2492</v>
      </c>
      <c r="C31" s="446" t="str">
        <f t="shared" ref="C31:C32" si="17">CONCATENATE(B31,"-&gt;",A31)</f>
        <v>BL26-&gt;PV9.1</v>
      </c>
      <c r="D31" s="446">
        <v>3.3</v>
      </c>
      <c r="E31" s="446" t="s">
        <v>2452</v>
      </c>
      <c r="F31" s="446">
        <v>3.61</v>
      </c>
      <c r="G31" s="446" t="s">
        <v>2476</v>
      </c>
      <c r="H31" s="446"/>
      <c r="I31" s="448" t="str">
        <f t="shared" ref="I31:I32" si="18">IF(G31="","BOCA DE LOBO PROJETADA "&amp;H31,IF(H31="","BOCA DE LOBO EXISTENTE "&amp;G31,"BOCA DE LOBO "&amp;G31&amp;" EXISTENTE COM BOCA DE LOBO "&amp;H31&amp;" PROJETADA"))</f>
        <v>BOCA DE LOBO EXISTENTE TRIPLA</v>
      </c>
      <c r="J31" s="448">
        <f t="shared" ref="J31:J32" si="19">IF(E31="EXISTENTE",1,0)</f>
        <v>0</v>
      </c>
      <c r="K31" s="448"/>
      <c r="L31" s="449" t="str">
        <f t="shared" ref="L31:L32" si="20">IF(G31&lt;&gt;"",IF(H31&lt;&gt;"","AMPLIADA","EXISTENTE"),"PROJETADA")</f>
        <v>EXISTENTE</v>
      </c>
      <c r="N31" s="453"/>
      <c r="Q31" s="447"/>
    </row>
    <row r="32" spans="1:17" s="140" customFormat="1" x14ac:dyDescent="0.35">
      <c r="A32" s="446" t="s">
        <v>2938</v>
      </c>
      <c r="B32" s="446" t="s">
        <v>2956</v>
      </c>
      <c r="C32" s="446" t="str">
        <f t="shared" si="17"/>
        <v>BL27-&gt;PV9.1</v>
      </c>
      <c r="D32" s="446">
        <v>3.3</v>
      </c>
      <c r="E32" s="446" t="s">
        <v>2452</v>
      </c>
      <c r="F32" s="446">
        <v>10.74</v>
      </c>
      <c r="G32" s="446"/>
      <c r="H32" s="446" t="s">
        <v>2462</v>
      </c>
      <c r="I32" s="448" t="str">
        <f t="shared" si="18"/>
        <v>BOCA DE LOBO PROJETADA DUPLA</v>
      </c>
      <c r="J32" s="448">
        <f t="shared" si="19"/>
        <v>0</v>
      </c>
      <c r="K32" s="448"/>
      <c r="L32" s="449" t="str">
        <f t="shared" si="20"/>
        <v>PROJETADA</v>
      </c>
      <c r="N32" s="453"/>
      <c r="Q32" s="447"/>
    </row>
    <row r="33" spans="1:17" s="140" customFormat="1" x14ac:dyDescent="0.35">
      <c r="A33" s="446" t="s">
        <v>2934</v>
      </c>
      <c r="B33" s="446" t="s">
        <v>2954</v>
      </c>
      <c r="C33" s="446" t="str">
        <f t="shared" ref="C33:C34" si="21">CONCATENATE(B33,"-&gt;",A33)</f>
        <v>BL28-&gt;PV11.1</v>
      </c>
      <c r="D33" s="446">
        <v>3.3</v>
      </c>
      <c r="E33" s="446" t="s">
        <v>2452</v>
      </c>
      <c r="F33" s="446">
        <v>5.16</v>
      </c>
      <c r="G33" s="446" t="s">
        <v>2476</v>
      </c>
      <c r="H33" s="446"/>
      <c r="I33" s="448" t="str">
        <f t="shared" ref="I33:I34" si="22">IF(G33="","BOCA DE LOBO PROJETADA "&amp;H33,IF(H33="","BOCA DE LOBO EXISTENTE "&amp;G33,"BOCA DE LOBO "&amp;G33&amp;" EXISTENTE COM BOCA DE LOBO "&amp;H33&amp;" PROJETADA"))</f>
        <v>BOCA DE LOBO EXISTENTE TRIPLA</v>
      </c>
      <c r="J33" s="448">
        <f t="shared" ref="J33:J34" si="23">IF(E33="EXISTENTE",1,0)</f>
        <v>0</v>
      </c>
      <c r="K33" s="448"/>
      <c r="L33" s="449" t="str">
        <f t="shared" ref="L33:L34" si="24">IF(G33&lt;&gt;"",IF(H33&lt;&gt;"","AMPLIADA","EXISTENTE"),"PROJETADA")</f>
        <v>EXISTENTE</v>
      </c>
      <c r="N33" s="453"/>
      <c r="Q33" s="447"/>
    </row>
    <row r="34" spans="1:17" s="140" customFormat="1" x14ac:dyDescent="0.35">
      <c r="A34" s="446" t="s">
        <v>2934</v>
      </c>
      <c r="B34" s="446" t="s">
        <v>2952</v>
      </c>
      <c r="C34" s="446" t="str">
        <f t="shared" si="21"/>
        <v>BL29-&gt;PV11.1</v>
      </c>
      <c r="D34" s="446">
        <v>3.3</v>
      </c>
      <c r="E34" s="446" t="s">
        <v>2452</v>
      </c>
      <c r="F34" s="446">
        <v>9.75</v>
      </c>
      <c r="G34" s="446"/>
      <c r="H34" s="446" t="s">
        <v>2462</v>
      </c>
      <c r="I34" s="448" t="str">
        <f t="shared" si="22"/>
        <v>BOCA DE LOBO PROJETADA DUPLA</v>
      </c>
      <c r="J34" s="448">
        <f t="shared" si="23"/>
        <v>0</v>
      </c>
      <c r="K34" s="448"/>
      <c r="L34" s="449" t="str">
        <f t="shared" si="24"/>
        <v>PROJETADA</v>
      </c>
      <c r="N34" s="453"/>
      <c r="Q34" s="447"/>
    </row>
    <row r="35" spans="1:17" s="140" customFormat="1" x14ac:dyDescent="0.35">
      <c r="A35" s="446" t="s">
        <v>2930</v>
      </c>
      <c r="B35" s="446" t="s">
        <v>2950</v>
      </c>
      <c r="C35" s="446" t="str">
        <f t="shared" ref="C35:C36" si="25">CONCATENATE(B35,"-&gt;",A35)</f>
        <v>BL30-&gt;PV13.1</v>
      </c>
      <c r="D35" s="446">
        <v>2.9</v>
      </c>
      <c r="E35" s="446" t="s">
        <v>2452</v>
      </c>
      <c r="F35" s="446">
        <v>2.71</v>
      </c>
      <c r="G35" s="446"/>
      <c r="H35" s="446" t="s">
        <v>2462</v>
      </c>
      <c r="I35" s="448" t="str">
        <f t="shared" ref="I35:I36" si="26">IF(G35="","BOCA DE LOBO PROJETADA "&amp;H35,IF(H35="","BOCA DE LOBO EXISTENTE "&amp;G35,"BOCA DE LOBO "&amp;G35&amp;" EXISTENTE COM BOCA DE LOBO "&amp;H35&amp;" PROJETADA"))</f>
        <v>BOCA DE LOBO PROJETADA DUPLA</v>
      </c>
      <c r="J35" s="448">
        <f t="shared" ref="J35:J36" si="27">IF(E35="EXISTENTE",1,0)</f>
        <v>0</v>
      </c>
      <c r="K35" s="448"/>
      <c r="L35" s="449" t="str">
        <f t="shared" ref="L35:L36" si="28">IF(G35&lt;&gt;"",IF(H35&lt;&gt;"","AMPLIADA","EXISTENTE"),"PROJETADA")</f>
        <v>PROJETADA</v>
      </c>
      <c r="N35" s="453"/>
      <c r="Q35" s="447"/>
    </row>
    <row r="36" spans="1:17" s="140" customFormat="1" x14ac:dyDescent="0.35">
      <c r="A36" s="446" t="s">
        <v>2930</v>
      </c>
      <c r="B36" s="446" t="s">
        <v>2948</v>
      </c>
      <c r="C36" s="446" t="str">
        <f t="shared" si="25"/>
        <v>BL31-&gt;PV13.1</v>
      </c>
      <c r="D36" s="446">
        <v>2.9</v>
      </c>
      <c r="E36" s="446" t="s">
        <v>2452</v>
      </c>
      <c r="F36" s="446">
        <v>11.1</v>
      </c>
      <c r="G36" s="446"/>
      <c r="H36" s="446" t="s">
        <v>2462</v>
      </c>
      <c r="I36" s="448" t="str">
        <f t="shared" si="26"/>
        <v>BOCA DE LOBO PROJETADA DUPLA</v>
      </c>
      <c r="J36" s="448">
        <f t="shared" si="27"/>
        <v>0</v>
      </c>
      <c r="K36" s="448"/>
      <c r="L36" s="449" t="str">
        <f t="shared" si="28"/>
        <v>PROJETADA</v>
      </c>
      <c r="N36" s="453"/>
      <c r="Q36" s="447"/>
    </row>
    <row r="37" spans="1:17" x14ac:dyDescent="0.35">
      <c r="A37" s="439" t="s">
        <v>2487</v>
      </c>
      <c r="B37" s="459"/>
      <c r="C37" s="459"/>
      <c r="D37" s="459"/>
      <c r="E37" s="459"/>
      <c r="F37" s="459"/>
      <c r="G37" s="459"/>
      <c r="H37" s="459"/>
      <c r="I37" s="460"/>
      <c r="J37" s="460"/>
      <c r="K37" s="460"/>
      <c r="L37" s="461"/>
    </row>
    <row r="38" spans="1:17" x14ac:dyDescent="0.35">
      <c r="A38" s="464" t="s">
        <v>2281</v>
      </c>
      <c r="B38" s="464" t="s">
        <v>2947</v>
      </c>
      <c r="C38" s="459" t="str">
        <f t="shared" ref="C38:C43" si="29">CONCATENATE(B38,"-&gt;",A38)</f>
        <v>BL32-&gt;PV1-87</v>
      </c>
      <c r="D38" s="459">
        <f>985.38-983.63</f>
        <v>1.75</v>
      </c>
      <c r="E38" s="459" t="s">
        <v>2487</v>
      </c>
      <c r="F38" s="459">
        <v>5.6</v>
      </c>
      <c r="G38" s="459"/>
      <c r="H38" s="459" t="s">
        <v>2462</v>
      </c>
      <c r="I38" s="460" t="str">
        <f t="shared" ref="I38" si="30">IF(G38="","BOCA DE LOBO PROJETADA "&amp;H38,IF(H38="","BOCA DE LOBO EXISTENTE "&amp;G38,"BOCA DE LOBO "&amp;G38&amp;" EXISTENTE COM BOCA DE LOBO "&amp;H38&amp;" PROJETADA"))</f>
        <v>BOCA DE LOBO PROJETADA DUPLA</v>
      </c>
      <c r="J38" s="460">
        <f t="shared" ref="J38" si="31">IF(E38="EXISTENTE",1,0)</f>
        <v>1</v>
      </c>
      <c r="K38" s="460">
        <v>400</v>
      </c>
      <c r="L38" s="461" t="str">
        <f t="shared" ref="L38" si="32">IF(G38&lt;&gt;"",IF(H38&lt;&gt;"","AMPLIADA","EXISTENTE"),"PROJETADA")</f>
        <v>PROJETADA</v>
      </c>
    </row>
    <row r="39" spans="1:17" x14ac:dyDescent="0.35">
      <c r="A39" s="464" t="s">
        <v>2282</v>
      </c>
      <c r="B39" s="464" t="s">
        <v>2946</v>
      </c>
      <c r="C39" s="459" t="str">
        <f t="shared" si="29"/>
        <v>BL33-&gt;PV2-87</v>
      </c>
      <c r="D39" s="459">
        <f>983.2-981.46</f>
        <v>1.7400000000000091</v>
      </c>
      <c r="E39" s="459" t="s">
        <v>2487</v>
      </c>
      <c r="F39" s="459">
        <v>9</v>
      </c>
      <c r="G39" s="459"/>
      <c r="H39" s="459" t="s">
        <v>2462</v>
      </c>
      <c r="I39" s="460" t="str">
        <f t="shared" ref="I39" si="33">IF(G39="","BOCA DE LOBO PROJETADA "&amp;H39,IF(H39="","BOCA DE LOBO EXISTENTE "&amp;G39,"BOCA DE LOBO "&amp;G39&amp;" EXISTENTE COM BOCA DE LOBO "&amp;H39&amp;" PROJETADA"))</f>
        <v>BOCA DE LOBO PROJETADA DUPLA</v>
      </c>
      <c r="J39" s="460">
        <f t="shared" ref="J39" si="34">IF(E39="EXISTENTE",1,0)</f>
        <v>1</v>
      </c>
      <c r="K39" s="460">
        <v>400</v>
      </c>
      <c r="L39" s="461" t="str">
        <f t="shared" ref="L39" si="35">IF(G39&lt;&gt;"",IF(H39&lt;&gt;"","AMPLIADA","EXISTENTE"),"PROJETADA")</f>
        <v>PROJETADA</v>
      </c>
    </row>
    <row r="40" spans="1:17" x14ac:dyDescent="0.35">
      <c r="A40" s="464" t="s">
        <v>2283</v>
      </c>
      <c r="B40" s="464" t="s">
        <v>2945</v>
      </c>
      <c r="C40" s="459" t="str">
        <f t="shared" si="29"/>
        <v>BL34-&gt;PV3-87</v>
      </c>
      <c r="D40" s="459">
        <f>982.18-980.428</f>
        <v>1.7519999999999527</v>
      </c>
      <c r="E40" s="459" t="s">
        <v>2487</v>
      </c>
      <c r="F40" s="459">
        <v>8</v>
      </c>
      <c r="G40" s="459"/>
      <c r="H40" s="459" t="s">
        <v>2462</v>
      </c>
      <c r="I40" s="460" t="str">
        <f t="shared" ref="I40" si="36">IF(G40="","BOCA DE LOBO PROJETADA "&amp;H40,IF(H40="","BOCA DE LOBO EXISTENTE "&amp;G40,"BOCA DE LOBO "&amp;G40&amp;" EXISTENTE COM BOCA DE LOBO "&amp;H40&amp;" PROJETADA"))</f>
        <v>BOCA DE LOBO PROJETADA DUPLA</v>
      </c>
      <c r="J40" s="460">
        <f t="shared" ref="J40" si="37">IF(E40="EXISTENTE",1,0)</f>
        <v>1</v>
      </c>
      <c r="K40" s="460">
        <v>400</v>
      </c>
      <c r="L40" s="461" t="str">
        <f t="shared" ref="L40" si="38">IF(G40&lt;&gt;"",IF(H40&lt;&gt;"","AMPLIADA","EXISTENTE"),"PROJETADA")</f>
        <v>PROJETADA</v>
      </c>
    </row>
    <row r="41" spans="1:17" x14ac:dyDescent="0.35">
      <c r="A41" s="464" t="s">
        <v>2284</v>
      </c>
      <c r="B41" s="464" t="s">
        <v>2944</v>
      </c>
      <c r="C41" s="459" t="str">
        <f t="shared" si="29"/>
        <v>BL35-&gt;PV4-87</v>
      </c>
      <c r="D41" s="459">
        <f>980.49-978.745</f>
        <v>1.7450000000000045</v>
      </c>
      <c r="E41" s="459" t="s">
        <v>2487</v>
      </c>
      <c r="F41" s="459">
        <v>8.91</v>
      </c>
      <c r="G41" s="459"/>
      <c r="H41" s="459" t="s">
        <v>2462</v>
      </c>
      <c r="I41" s="460" t="str">
        <f t="shared" ref="I41" si="39">IF(G41="","BOCA DE LOBO PROJETADA "&amp;H41,IF(H41="","BOCA DE LOBO EXISTENTE "&amp;G41,"BOCA DE LOBO "&amp;G41&amp;" EXISTENTE COM BOCA DE LOBO "&amp;H41&amp;" PROJETADA"))</f>
        <v>BOCA DE LOBO PROJETADA DUPLA</v>
      </c>
      <c r="J41" s="460">
        <f t="shared" ref="J41" si="40">IF(E41="EXISTENTE",1,0)</f>
        <v>1</v>
      </c>
      <c r="K41" s="460">
        <v>400</v>
      </c>
      <c r="L41" s="461" t="str">
        <f t="shared" ref="L41" si="41">IF(G41&lt;&gt;"",IF(H41&lt;&gt;"","AMPLIADA","EXISTENTE"),"PROJETADA")</f>
        <v>PROJETADA</v>
      </c>
    </row>
    <row r="42" spans="1:17" x14ac:dyDescent="0.35">
      <c r="A42" s="464" t="s">
        <v>2285</v>
      </c>
      <c r="B42" s="464" t="s">
        <v>2943</v>
      </c>
      <c r="C42" s="459" t="str">
        <f t="shared" si="29"/>
        <v>BL36-&gt;PV5-87</v>
      </c>
      <c r="D42" s="459">
        <f>978.83-976.962</f>
        <v>1.8680000000000518</v>
      </c>
      <c r="E42" s="459" t="s">
        <v>2487</v>
      </c>
      <c r="F42" s="459">
        <v>8.7100000000000009</v>
      </c>
      <c r="G42" s="459"/>
      <c r="H42" s="459" t="s">
        <v>2462</v>
      </c>
      <c r="I42" s="460" t="str">
        <f t="shared" ref="I42" si="42">IF(G42="","BOCA DE LOBO PROJETADA "&amp;H42,IF(H42="","BOCA DE LOBO EXISTENTE "&amp;G42,"BOCA DE LOBO "&amp;G42&amp;" EXISTENTE COM BOCA DE LOBO "&amp;H42&amp;" PROJETADA"))</f>
        <v>BOCA DE LOBO PROJETADA DUPLA</v>
      </c>
      <c r="J42" s="460">
        <f t="shared" ref="J42" si="43">IF(E42="EXISTENTE",1,0)</f>
        <v>1</v>
      </c>
      <c r="K42" s="460">
        <v>400</v>
      </c>
      <c r="L42" s="461" t="str">
        <f t="shared" ref="L42" si="44">IF(G42&lt;&gt;"",IF(H42&lt;&gt;"","AMPLIADA","EXISTENTE"),"PROJETADA")</f>
        <v>PROJETADA</v>
      </c>
    </row>
    <row r="43" spans="1:17" x14ac:dyDescent="0.35">
      <c r="A43" s="464" t="s">
        <v>2985</v>
      </c>
      <c r="B43" s="464" t="s">
        <v>2942</v>
      </c>
      <c r="C43" s="459" t="str">
        <f t="shared" si="29"/>
        <v>BL37-&gt;PV11-87</v>
      </c>
      <c r="D43" s="459">
        <f>966.572-962.88</f>
        <v>3.6920000000000073</v>
      </c>
      <c r="E43" s="459" t="s">
        <v>2487</v>
      </c>
      <c r="F43" s="459">
        <v>8.8800000000000008</v>
      </c>
      <c r="G43" s="459"/>
      <c r="H43" s="459" t="s">
        <v>2462</v>
      </c>
      <c r="I43" s="460" t="str">
        <f t="shared" ref="I43" si="45">IF(G43="","BOCA DE LOBO PROJETADA "&amp;H43,IF(H43="","BOCA DE LOBO EXISTENTE "&amp;G43,"BOCA DE LOBO "&amp;G43&amp;" EXISTENTE COM BOCA DE LOBO "&amp;H43&amp;" PROJETADA"))</f>
        <v>BOCA DE LOBO PROJETADA DUPLA</v>
      </c>
      <c r="J43" s="460">
        <f t="shared" ref="J43" si="46">IF(E43="EXISTENTE",1,0)</f>
        <v>1</v>
      </c>
      <c r="K43" s="460">
        <v>800</v>
      </c>
      <c r="L43" s="461" t="str">
        <f t="shared" ref="L43" si="47">IF(G43&lt;&gt;"",IF(H43&lt;&gt;"","AMPLIADA","EXISTENTE"),"PROJETADA")</f>
        <v>PROJETADA</v>
      </c>
    </row>
    <row r="44" spans="1:17" x14ac:dyDescent="0.35">
      <c r="A44" s="456"/>
      <c r="B44" s="456"/>
      <c r="C44" s="456"/>
      <c r="D44" s="456"/>
      <c r="E44" s="456"/>
      <c r="F44" s="456"/>
      <c r="G44" s="456"/>
      <c r="H44" s="456"/>
      <c r="I44" s="457"/>
      <c r="J44" s="457"/>
      <c r="K44" s="457"/>
      <c r="L44" s="458"/>
    </row>
    <row r="45" spans="1:17" x14ac:dyDescent="0.35">
      <c r="A45" s="456"/>
      <c r="B45" s="456"/>
      <c r="C45" s="456"/>
      <c r="D45" s="456"/>
      <c r="E45" s="456"/>
      <c r="F45" s="456"/>
      <c r="G45" s="456"/>
      <c r="H45" s="456"/>
      <c r="I45" s="457"/>
      <c r="J45" s="457"/>
      <c r="K45" s="457"/>
      <c r="L45" s="458"/>
    </row>
    <row r="46" spans="1:17" x14ac:dyDescent="0.35">
      <c r="A46" s="464" t="s">
        <v>2287</v>
      </c>
      <c r="B46" s="464" t="s">
        <v>2941</v>
      </c>
      <c r="C46" s="459" t="str">
        <f>CONCATENATE(B46,"-&gt;",A46)</f>
        <v>BL38-&gt;PV15-87</v>
      </c>
      <c r="D46" s="459">
        <f>957.71-954.413</f>
        <v>3.2970000000000255</v>
      </c>
      <c r="E46" s="459" t="s">
        <v>2487</v>
      </c>
      <c r="F46" s="459">
        <v>8.35</v>
      </c>
      <c r="G46" s="459"/>
      <c r="H46" s="459" t="s">
        <v>2462</v>
      </c>
      <c r="I46" s="460" t="str">
        <f t="shared" ref="I46" si="48">IF(G46="","BOCA DE LOBO PROJETADA "&amp;H46,IF(H46="","BOCA DE LOBO EXISTENTE "&amp;G46,"BOCA DE LOBO "&amp;G46&amp;" EXISTENTE COM BOCA DE LOBO "&amp;H46&amp;" PROJETADA"))</f>
        <v>BOCA DE LOBO PROJETADA DUPLA</v>
      </c>
      <c r="J46" s="460">
        <f t="shared" ref="J46" si="49">IF(E46="EXISTENTE",1,0)</f>
        <v>1</v>
      </c>
      <c r="K46" s="460">
        <v>800</v>
      </c>
      <c r="L46" s="461" t="str">
        <f t="shared" ref="L46" si="50">IF(G46&lt;&gt;"",IF(H46&lt;&gt;"","AMPLIADA","EXISTENTE"),"PROJETADA")</f>
        <v>PROJETADA</v>
      </c>
    </row>
    <row r="47" spans="1:17" x14ac:dyDescent="0.35">
      <c r="A47" s="464" t="s">
        <v>2287</v>
      </c>
      <c r="B47" s="464" t="s">
        <v>2939</v>
      </c>
      <c r="C47" s="459" t="str">
        <f>CONCATENATE(B47,"-&gt;",A47)</f>
        <v>BL39-&gt;PV15-87</v>
      </c>
      <c r="D47" s="459">
        <f>957.71-954.413</f>
        <v>3.2970000000000255</v>
      </c>
      <c r="E47" s="459" t="s">
        <v>2487</v>
      </c>
      <c r="F47" s="459">
        <v>9.73</v>
      </c>
      <c r="G47" s="459"/>
      <c r="H47" s="459" t="s">
        <v>2462</v>
      </c>
      <c r="I47" s="460" t="str">
        <f t="shared" ref="I47" si="51">IF(G47="","BOCA DE LOBO PROJETADA "&amp;H47,IF(H47="","BOCA DE LOBO EXISTENTE "&amp;G47,"BOCA DE LOBO "&amp;G47&amp;" EXISTENTE COM BOCA DE LOBO "&amp;H47&amp;" PROJETADA"))</f>
        <v>BOCA DE LOBO PROJETADA DUPLA</v>
      </c>
      <c r="J47" s="460">
        <f t="shared" ref="J47" si="52">IF(E47="EXISTENTE",1,0)</f>
        <v>1</v>
      </c>
      <c r="K47" s="460">
        <v>800</v>
      </c>
      <c r="L47" s="461" t="str">
        <f t="shared" ref="L47" si="53">IF(G47&lt;&gt;"",IF(H47&lt;&gt;"","AMPLIADA","EXISTENTE"),"PROJETADA")</f>
        <v>PROJETADA</v>
      </c>
    </row>
    <row r="48" spans="1:17" x14ac:dyDescent="0.35">
      <c r="A48" s="456"/>
      <c r="B48" s="456"/>
      <c r="C48" s="456"/>
      <c r="D48" s="456"/>
      <c r="E48" s="456"/>
      <c r="F48" s="456"/>
      <c r="G48" s="456"/>
      <c r="H48" s="456"/>
      <c r="I48" s="457"/>
      <c r="J48" s="457"/>
      <c r="K48" s="457"/>
      <c r="L48" s="458"/>
    </row>
    <row r="49" spans="1:12" x14ac:dyDescent="0.35">
      <c r="A49" s="456"/>
      <c r="B49" s="456"/>
      <c r="C49" s="456"/>
      <c r="D49" s="456"/>
      <c r="E49" s="456"/>
      <c r="F49" s="456"/>
      <c r="G49" s="456"/>
      <c r="H49" s="456"/>
      <c r="I49" s="457"/>
      <c r="J49" s="457"/>
      <c r="K49" s="457"/>
      <c r="L49" s="458"/>
    </row>
    <row r="50" spans="1:12" x14ac:dyDescent="0.35">
      <c r="A50" s="446" t="s">
        <v>2987</v>
      </c>
      <c r="B50" s="446" t="s">
        <v>2937</v>
      </c>
      <c r="C50" s="446" t="str">
        <f t="shared" ref="C50:C75" si="54">CONCATENATE(B50,"-&gt;",A50)</f>
        <v>BL40-&gt;PV24-87</v>
      </c>
      <c r="D50" s="446">
        <f>942.795-939.65</f>
        <v>3.1449999999999818</v>
      </c>
      <c r="E50" s="446" t="s">
        <v>2487</v>
      </c>
      <c r="F50" s="446">
        <v>9.33</v>
      </c>
      <c r="G50" s="446"/>
      <c r="H50" s="446" t="s">
        <v>2462</v>
      </c>
      <c r="I50" s="448" t="str">
        <f t="shared" ref="I50" si="55">IF(G50="","BOCA DE LOBO PROJETADA "&amp;H50,IF(H50="","BOCA DE LOBO EXISTENTE "&amp;G50,"BOCA DE LOBO "&amp;G50&amp;" EXISTENTE COM BOCA DE LOBO "&amp;H50&amp;" PROJETADA"))</f>
        <v>BOCA DE LOBO PROJETADA DUPLA</v>
      </c>
      <c r="J50" s="448">
        <f t="shared" ref="J50" si="56">IF(E50="EXISTENTE",1,0)</f>
        <v>1</v>
      </c>
      <c r="K50" s="448">
        <v>1500</v>
      </c>
      <c r="L50" s="449" t="str">
        <f t="shared" ref="L50" si="57">IF(G50&lt;&gt;"",IF(H50&lt;&gt;"","AMPLIADA","EXISTENTE"),"PROJETADA")</f>
        <v>PROJETADA</v>
      </c>
    </row>
    <row r="51" spans="1:12" x14ac:dyDescent="0.35">
      <c r="A51" s="464" t="s">
        <v>2288</v>
      </c>
      <c r="B51" s="446" t="s">
        <v>2935</v>
      </c>
      <c r="C51" s="459" t="str">
        <f t="shared" si="54"/>
        <v>BL41-&gt;PV1-88</v>
      </c>
      <c r="D51" s="459">
        <f>977.57-975.82</f>
        <v>1.75</v>
      </c>
      <c r="E51" s="459" t="s">
        <v>2487</v>
      </c>
      <c r="F51" s="459">
        <v>5.61</v>
      </c>
      <c r="G51" s="459"/>
      <c r="H51" s="459" t="s">
        <v>2462</v>
      </c>
      <c r="I51" s="460" t="str">
        <f>IF(G51="","BOCA DE LOBO PROJETADA "&amp;H51,IF(H51="","BOCA DE LOBO EXISTENTE "&amp;G51,"BOCA DE LOBO "&amp;G51&amp;" EXISTENTE COM BOCA DE LOBO "&amp;H51&amp;" PROJETADA"))</f>
        <v>BOCA DE LOBO PROJETADA DUPLA</v>
      </c>
      <c r="J51" s="460">
        <f>IF(E51="EXISTENTE",1,0)</f>
        <v>1</v>
      </c>
      <c r="K51" s="460">
        <v>400</v>
      </c>
      <c r="L51" s="461" t="str">
        <f>IF(G51&lt;&gt;"",IF(H51&lt;&gt;"","AMPLIADA","EXISTENTE"),"PROJETADA")</f>
        <v>PROJETADA</v>
      </c>
    </row>
    <row r="52" spans="1:12" x14ac:dyDescent="0.35">
      <c r="A52" s="464" t="s">
        <v>2289</v>
      </c>
      <c r="B52" s="446" t="s">
        <v>2933</v>
      </c>
      <c r="C52" s="459" t="str">
        <f t="shared" si="54"/>
        <v>BL42-&gt;PV2-88</v>
      </c>
      <c r="D52" s="459">
        <f>974.27-972.46</f>
        <v>1.8099999999999454</v>
      </c>
      <c r="E52" s="459" t="s">
        <v>2487</v>
      </c>
      <c r="F52" s="459">
        <v>5.42</v>
      </c>
      <c r="G52" s="459"/>
      <c r="H52" s="459" t="s">
        <v>2462</v>
      </c>
      <c r="I52" s="460" t="str">
        <f t="shared" ref="I52" si="58">IF(G52="","BOCA DE LOBO PROJETADA "&amp;H52,IF(H52="","BOCA DE LOBO EXISTENTE "&amp;G52,"BOCA DE LOBO "&amp;G52&amp;" EXISTENTE COM BOCA DE LOBO "&amp;H52&amp;" PROJETADA"))</f>
        <v>BOCA DE LOBO PROJETADA DUPLA</v>
      </c>
      <c r="J52" s="460">
        <f t="shared" ref="J52" si="59">IF(E52="EXISTENTE",1,0)</f>
        <v>1</v>
      </c>
      <c r="K52" s="460">
        <v>400</v>
      </c>
      <c r="L52" s="461" t="str">
        <f t="shared" ref="L52" si="60">IF(G52&lt;&gt;"",IF(H52&lt;&gt;"","AMPLIADA","EXISTENTE"),"PROJETADA")</f>
        <v>PROJETADA</v>
      </c>
    </row>
    <row r="53" spans="1:12" x14ac:dyDescent="0.35">
      <c r="A53" s="464" t="s">
        <v>2291</v>
      </c>
      <c r="B53" s="446" t="s">
        <v>2931</v>
      </c>
      <c r="C53" s="459" t="str">
        <f t="shared" si="54"/>
        <v>BL43-&gt;PV4-88</v>
      </c>
      <c r="D53" s="459">
        <f>970.48-968.5</f>
        <v>1.9800000000000182</v>
      </c>
      <c r="E53" s="459" t="s">
        <v>2487</v>
      </c>
      <c r="F53" s="459">
        <v>7.32</v>
      </c>
      <c r="G53" s="459"/>
      <c r="H53" s="459" t="s">
        <v>2462</v>
      </c>
      <c r="I53" s="460" t="str">
        <f t="shared" ref="I53" si="61">IF(G53="","BOCA DE LOBO PROJETADA "&amp;H53,IF(H53="","BOCA DE LOBO EXISTENTE "&amp;G53,"BOCA DE LOBO "&amp;G53&amp;" EXISTENTE COM BOCA DE LOBO "&amp;H53&amp;" PROJETADA"))</f>
        <v>BOCA DE LOBO PROJETADA DUPLA</v>
      </c>
      <c r="J53" s="460">
        <f t="shared" ref="J53" si="62">IF(E53="EXISTENTE",1,0)</f>
        <v>1</v>
      </c>
      <c r="K53" s="460">
        <v>400</v>
      </c>
      <c r="L53" s="461" t="str">
        <f t="shared" ref="L53" si="63">IF(G53&lt;&gt;"",IF(H53&lt;&gt;"","AMPLIADA","EXISTENTE"),"PROJETADA")</f>
        <v>PROJETADA</v>
      </c>
    </row>
    <row r="54" spans="1:12" x14ac:dyDescent="0.35">
      <c r="A54" s="464" t="s">
        <v>2292</v>
      </c>
      <c r="B54" s="446" t="s">
        <v>2929</v>
      </c>
      <c r="C54" s="459" t="str">
        <f t="shared" si="54"/>
        <v>BL44-&gt;PV5-88</v>
      </c>
      <c r="D54" s="459">
        <f>970.06-968.07</f>
        <v>1.9899999999998954</v>
      </c>
      <c r="E54" s="459" t="s">
        <v>2487</v>
      </c>
      <c r="F54" s="459">
        <v>8.6999999999999993</v>
      </c>
      <c r="G54" s="459"/>
      <c r="H54" s="459" t="s">
        <v>2462</v>
      </c>
      <c r="I54" s="460" t="str">
        <f t="shared" ref="I54" si="64">IF(G54="","BOCA DE LOBO PROJETADA "&amp;H54,IF(H54="","BOCA DE LOBO EXISTENTE "&amp;G54,"BOCA DE LOBO "&amp;G54&amp;" EXISTENTE COM BOCA DE LOBO "&amp;H54&amp;" PROJETADA"))</f>
        <v>BOCA DE LOBO PROJETADA DUPLA</v>
      </c>
      <c r="J54" s="460">
        <f t="shared" ref="J54" si="65">IF(E54="EXISTENTE",1,0)</f>
        <v>1</v>
      </c>
      <c r="K54" s="460">
        <v>400</v>
      </c>
      <c r="L54" s="461" t="str">
        <f t="shared" ref="L54" si="66">IF(G54&lt;&gt;"",IF(H54&lt;&gt;"","AMPLIADA","EXISTENTE"),"PROJETADA")</f>
        <v>PROJETADA</v>
      </c>
    </row>
    <row r="55" spans="1:12" x14ac:dyDescent="0.35">
      <c r="A55" s="464" t="s">
        <v>2293</v>
      </c>
      <c r="B55" s="446" t="s">
        <v>2927</v>
      </c>
      <c r="C55" s="459" t="str">
        <f t="shared" si="54"/>
        <v>BL45-&gt;PV6-88</v>
      </c>
      <c r="D55" s="459">
        <f>969.67-967.554</f>
        <v>2.1159999999999854</v>
      </c>
      <c r="E55" s="459" t="s">
        <v>2487</v>
      </c>
      <c r="F55" s="459">
        <v>6.44</v>
      </c>
      <c r="G55" s="459"/>
      <c r="H55" s="459" t="s">
        <v>2462</v>
      </c>
      <c r="I55" s="460" t="str">
        <f t="shared" ref="I55" si="67">IF(G55="","BOCA DE LOBO PROJETADA "&amp;H55,IF(H55="","BOCA DE LOBO EXISTENTE "&amp;G55,"BOCA DE LOBO "&amp;G55&amp;" EXISTENTE COM BOCA DE LOBO "&amp;H55&amp;" PROJETADA"))</f>
        <v>BOCA DE LOBO PROJETADA DUPLA</v>
      </c>
      <c r="J55" s="460">
        <f t="shared" ref="J55" si="68">IF(E55="EXISTENTE",1,0)</f>
        <v>1</v>
      </c>
      <c r="K55" s="460">
        <v>400</v>
      </c>
      <c r="L55" s="461" t="str">
        <f t="shared" ref="L55" si="69">IF(G55&lt;&gt;"",IF(H55&lt;&gt;"","AMPLIADA","EXISTENTE"),"PROJETADA")</f>
        <v>PROJETADA</v>
      </c>
    </row>
    <row r="56" spans="1:12" x14ac:dyDescent="0.35">
      <c r="A56" s="464" t="s">
        <v>2983</v>
      </c>
      <c r="B56" s="446" t="s">
        <v>2925</v>
      </c>
      <c r="C56" s="459" t="str">
        <f t="shared" si="54"/>
        <v>BL46-&gt;PV1-89</v>
      </c>
      <c r="D56" s="459">
        <f>967.93-963.83</f>
        <v>4.0999999999999091</v>
      </c>
      <c r="E56" s="459" t="s">
        <v>2487</v>
      </c>
      <c r="F56" s="459">
        <v>4.5999999999999996</v>
      </c>
      <c r="G56" s="459"/>
      <c r="H56" s="464" t="s">
        <v>2476</v>
      </c>
      <c r="I56" s="460" t="str">
        <f t="shared" ref="I56:I75" si="70">IF(G56="","BOCA DE LOBO PROJETADA "&amp;H56,IF(H56="","BOCA DE LOBO EXISTENTE "&amp;G56,"BOCA DE LOBO "&amp;G56&amp;" EXISTENTE COM BOCA DE LOBO "&amp;H56&amp;" PROJETADA"))</f>
        <v>BOCA DE LOBO PROJETADA TRIPLA</v>
      </c>
      <c r="J56" s="460">
        <f t="shared" ref="J56:J75" si="71">IF(E56="EXISTENTE",1,0)</f>
        <v>1</v>
      </c>
      <c r="K56" s="460">
        <v>500</v>
      </c>
      <c r="L56" s="461" t="str">
        <f t="shared" ref="L56:L75" si="72">IF(G56&lt;&gt;"",IF(H56&lt;&gt;"","AMPLIADA","EXISTENTE"),"PROJETADA")</f>
        <v>PROJETADA</v>
      </c>
    </row>
    <row r="57" spans="1:12" x14ac:dyDescent="0.35">
      <c r="A57" s="464" t="s">
        <v>2984</v>
      </c>
      <c r="B57" s="446" t="s">
        <v>2923</v>
      </c>
      <c r="C57" s="459" t="str">
        <f t="shared" si="54"/>
        <v>BL47-&gt;PV2-89</v>
      </c>
      <c r="D57" s="459">
        <f>967.44-963.51</f>
        <v>3.9300000000000637</v>
      </c>
      <c r="E57" s="459" t="s">
        <v>2487</v>
      </c>
      <c r="F57" s="459">
        <v>4.16</v>
      </c>
      <c r="G57" s="459"/>
      <c r="H57" s="459" t="s">
        <v>2462</v>
      </c>
      <c r="I57" s="460" t="str">
        <f t="shared" si="70"/>
        <v>BOCA DE LOBO PROJETADA DUPLA</v>
      </c>
      <c r="J57" s="460">
        <f t="shared" si="71"/>
        <v>1</v>
      </c>
      <c r="K57" s="460">
        <v>500</v>
      </c>
      <c r="L57" s="461" t="str">
        <f t="shared" si="72"/>
        <v>PROJETADA</v>
      </c>
    </row>
    <row r="58" spans="1:12" x14ac:dyDescent="0.35">
      <c r="A58" s="464" t="s">
        <v>2295</v>
      </c>
      <c r="B58" s="446" t="s">
        <v>2921</v>
      </c>
      <c r="C58" s="459" t="str">
        <f t="shared" si="54"/>
        <v>BL48-&gt;PV1-90</v>
      </c>
      <c r="D58" s="459">
        <f>964.71-962.96</f>
        <v>1.75</v>
      </c>
      <c r="E58" s="459" t="s">
        <v>2487</v>
      </c>
      <c r="F58" s="459">
        <v>18.68</v>
      </c>
      <c r="G58" s="459"/>
      <c r="H58" s="459" t="s">
        <v>2462</v>
      </c>
      <c r="I58" s="460" t="str">
        <f t="shared" si="70"/>
        <v>BOCA DE LOBO PROJETADA DUPLA</v>
      </c>
      <c r="J58" s="460">
        <f t="shared" si="71"/>
        <v>1</v>
      </c>
      <c r="K58" s="460">
        <v>400</v>
      </c>
      <c r="L58" s="461" t="str">
        <f t="shared" si="72"/>
        <v>PROJETADA</v>
      </c>
    </row>
    <row r="59" spans="1:12" x14ac:dyDescent="0.35">
      <c r="A59" s="464" t="s">
        <v>2296</v>
      </c>
      <c r="B59" s="446" t="s">
        <v>2920</v>
      </c>
      <c r="C59" s="459" t="str">
        <f t="shared" si="54"/>
        <v>BL49-&gt;PV2-90</v>
      </c>
      <c r="D59" s="459">
        <f>963.94-962.09</f>
        <v>1.8500000000000227</v>
      </c>
      <c r="E59" s="459" t="s">
        <v>2487</v>
      </c>
      <c r="F59" s="459">
        <v>15.13</v>
      </c>
      <c r="G59" s="459"/>
      <c r="H59" s="459" t="s">
        <v>2462</v>
      </c>
      <c r="I59" s="460" t="str">
        <f t="shared" si="70"/>
        <v>BOCA DE LOBO PROJETADA DUPLA</v>
      </c>
      <c r="J59" s="460">
        <f t="shared" si="71"/>
        <v>1</v>
      </c>
      <c r="K59" s="460">
        <v>500</v>
      </c>
      <c r="L59" s="461" t="str">
        <f t="shared" si="72"/>
        <v>PROJETADA</v>
      </c>
    </row>
    <row r="60" spans="1:12" x14ac:dyDescent="0.35">
      <c r="A60" s="464" t="s">
        <v>2986</v>
      </c>
      <c r="B60" s="446" t="s">
        <v>2918</v>
      </c>
      <c r="C60" s="459" t="str">
        <f t="shared" si="54"/>
        <v>BL50-&gt;PV1-91</v>
      </c>
      <c r="D60" s="459">
        <f>962.35-960.6</f>
        <v>1.75</v>
      </c>
      <c r="E60" s="459" t="s">
        <v>2487</v>
      </c>
      <c r="F60" s="459">
        <v>5.78</v>
      </c>
      <c r="G60" s="459"/>
      <c r="H60" s="459" t="s">
        <v>2462</v>
      </c>
      <c r="I60" s="460" t="str">
        <f t="shared" si="70"/>
        <v>BOCA DE LOBO PROJETADA DUPLA</v>
      </c>
      <c r="J60" s="460">
        <f t="shared" si="71"/>
        <v>1</v>
      </c>
      <c r="K60" s="460">
        <v>400</v>
      </c>
      <c r="L60" s="461" t="str">
        <f t="shared" si="72"/>
        <v>PROJETADA</v>
      </c>
    </row>
    <row r="61" spans="1:12" x14ac:dyDescent="0.35">
      <c r="A61" s="464" t="s">
        <v>2298</v>
      </c>
      <c r="B61" s="446" t="s">
        <v>2916</v>
      </c>
      <c r="C61" s="459" t="str">
        <f t="shared" si="54"/>
        <v>BL51-&gt;PV2-91</v>
      </c>
      <c r="D61" s="459">
        <f>961.73-959.75</f>
        <v>1.9800000000000182</v>
      </c>
      <c r="E61" s="459" t="s">
        <v>2487</v>
      </c>
      <c r="F61" s="459">
        <v>5.78</v>
      </c>
      <c r="G61" s="459"/>
      <c r="H61" s="459" t="s">
        <v>2462</v>
      </c>
      <c r="I61" s="460" t="str">
        <f t="shared" si="70"/>
        <v>BOCA DE LOBO PROJETADA DUPLA</v>
      </c>
      <c r="J61" s="460">
        <f t="shared" si="71"/>
        <v>1</v>
      </c>
      <c r="K61" s="460">
        <v>500</v>
      </c>
      <c r="L61" s="461" t="str">
        <f t="shared" si="72"/>
        <v>PROJETADA</v>
      </c>
    </row>
    <row r="62" spans="1:12" x14ac:dyDescent="0.35">
      <c r="A62" s="464" t="s">
        <v>2300</v>
      </c>
      <c r="B62" s="446" t="s">
        <v>2915</v>
      </c>
      <c r="C62" s="459" t="str">
        <f t="shared" si="54"/>
        <v>BL52-&gt;PV1-92</v>
      </c>
      <c r="D62" s="459">
        <f>960.04-958.29</f>
        <v>1.75</v>
      </c>
      <c r="E62" s="459" t="s">
        <v>2487</v>
      </c>
      <c r="F62" s="459">
        <v>5.36</v>
      </c>
      <c r="G62" s="459"/>
      <c r="H62" s="459" t="s">
        <v>2462</v>
      </c>
      <c r="I62" s="460" t="str">
        <f t="shared" si="70"/>
        <v>BOCA DE LOBO PROJETADA DUPLA</v>
      </c>
      <c r="J62" s="460">
        <f t="shared" si="71"/>
        <v>1</v>
      </c>
      <c r="K62" s="460">
        <v>400</v>
      </c>
      <c r="L62" s="461" t="str">
        <f t="shared" si="72"/>
        <v>PROJETADA</v>
      </c>
    </row>
    <row r="63" spans="1:12" x14ac:dyDescent="0.35">
      <c r="A63" s="464" t="s">
        <v>2301</v>
      </c>
      <c r="B63" s="446" t="s">
        <v>2913</v>
      </c>
      <c r="C63" s="459" t="str">
        <f t="shared" si="54"/>
        <v>BL53-&gt;PV2-92</v>
      </c>
      <c r="D63" s="459">
        <f>959.33-957.44</f>
        <v>1.8899999999999864</v>
      </c>
      <c r="E63" s="459" t="s">
        <v>2487</v>
      </c>
      <c r="F63" s="459">
        <v>7.18</v>
      </c>
      <c r="G63" s="459"/>
      <c r="H63" s="459" t="s">
        <v>2462</v>
      </c>
      <c r="I63" s="460" t="str">
        <f t="shared" si="70"/>
        <v>BOCA DE LOBO PROJETADA DUPLA</v>
      </c>
      <c r="J63" s="460">
        <f t="shared" si="71"/>
        <v>1</v>
      </c>
      <c r="K63" s="460">
        <v>500</v>
      </c>
      <c r="L63" s="461" t="str">
        <f t="shared" si="72"/>
        <v>PROJETADA</v>
      </c>
    </row>
    <row r="64" spans="1:12" x14ac:dyDescent="0.35">
      <c r="A64" s="464" t="s">
        <v>2303</v>
      </c>
      <c r="B64" s="446" t="s">
        <v>2911</v>
      </c>
      <c r="C64" s="459" t="str">
        <f t="shared" si="54"/>
        <v>BL54-&gt;PV1-93</v>
      </c>
      <c r="D64" s="459">
        <f>957.741-955.99</f>
        <v>1.7509999999999764</v>
      </c>
      <c r="E64" s="459" t="s">
        <v>2487</v>
      </c>
      <c r="F64" s="459">
        <v>5.2530000000000001</v>
      </c>
      <c r="G64" s="459"/>
      <c r="H64" s="459" t="s">
        <v>2462</v>
      </c>
      <c r="I64" s="460" t="str">
        <f t="shared" si="70"/>
        <v>BOCA DE LOBO PROJETADA DUPLA</v>
      </c>
      <c r="J64" s="460">
        <f t="shared" si="71"/>
        <v>1</v>
      </c>
      <c r="K64" s="460">
        <v>400</v>
      </c>
      <c r="L64" s="461" t="str">
        <f t="shared" si="72"/>
        <v>PROJETADA</v>
      </c>
    </row>
    <row r="65" spans="1:12" x14ac:dyDescent="0.35">
      <c r="A65" s="464" t="s">
        <v>2304</v>
      </c>
      <c r="B65" s="446" t="s">
        <v>2910</v>
      </c>
      <c r="C65" s="459" t="str">
        <f t="shared" si="54"/>
        <v>BL55-&gt;PV2-93</v>
      </c>
      <c r="D65" s="459">
        <f>956.84-954.99</f>
        <v>1.8500000000000227</v>
      </c>
      <c r="E65" s="459" t="s">
        <v>2487</v>
      </c>
      <c r="F65" s="459">
        <v>7.2</v>
      </c>
      <c r="G65" s="459"/>
      <c r="H65" s="459" t="s">
        <v>2462</v>
      </c>
      <c r="I65" s="460" t="str">
        <f t="shared" si="70"/>
        <v>BOCA DE LOBO PROJETADA DUPLA</v>
      </c>
      <c r="J65" s="460">
        <f t="shared" si="71"/>
        <v>1</v>
      </c>
      <c r="K65" s="460">
        <v>500</v>
      </c>
      <c r="L65" s="461" t="str">
        <f t="shared" si="72"/>
        <v>PROJETADA</v>
      </c>
    </row>
    <row r="66" spans="1:12" x14ac:dyDescent="0.35">
      <c r="A66" s="464" t="s">
        <v>2306</v>
      </c>
      <c r="B66" s="446" t="s">
        <v>2909</v>
      </c>
      <c r="C66" s="459" t="str">
        <f t="shared" si="54"/>
        <v>BL56-&gt;PV1-94</v>
      </c>
      <c r="D66" s="459">
        <f>955.44-953.69</f>
        <v>1.75</v>
      </c>
      <c r="E66" s="459" t="s">
        <v>2487</v>
      </c>
      <c r="F66" s="459">
        <v>5.0149999999999997</v>
      </c>
      <c r="G66" s="459"/>
      <c r="H66" s="459" t="s">
        <v>2462</v>
      </c>
      <c r="I66" s="460" t="str">
        <f t="shared" si="70"/>
        <v>BOCA DE LOBO PROJETADA DUPLA</v>
      </c>
      <c r="J66" s="460">
        <f t="shared" si="71"/>
        <v>1</v>
      </c>
      <c r="K66" s="460">
        <v>400</v>
      </c>
      <c r="L66" s="461" t="str">
        <f t="shared" si="72"/>
        <v>PROJETADA</v>
      </c>
    </row>
    <row r="67" spans="1:12" x14ac:dyDescent="0.35">
      <c r="A67" s="464" t="s">
        <v>2307</v>
      </c>
      <c r="B67" s="446" t="s">
        <v>2908</v>
      </c>
      <c r="C67" s="459" t="str">
        <f t="shared" si="54"/>
        <v>BL57-&gt;PV2-94</v>
      </c>
      <c r="D67" s="459">
        <f>954.47-952.615</f>
        <v>1.8550000000000182</v>
      </c>
      <c r="E67" s="459" t="s">
        <v>2487</v>
      </c>
      <c r="F67" s="459">
        <v>4.7619999999999996</v>
      </c>
      <c r="G67" s="459"/>
      <c r="H67" s="459" t="s">
        <v>2462</v>
      </c>
      <c r="I67" s="460" t="str">
        <f t="shared" si="70"/>
        <v>BOCA DE LOBO PROJETADA DUPLA</v>
      </c>
      <c r="J67" s="460">
        <f t="shared" si="71"/>
        <v>1</v>
      </c>
      <c r="K67" s="460">
        <v>500</v>
      </c>
      <c r="L67" s="461" t="str">
        <f t="shared" si="72"/>
        <v>PROJETADA</v>
      </c>
    </row>
    <row r="68" spans="1:12" x14ac:dyDescent="0.35">
      <c r="A68" s="464" t="s">
        <v>2309</v>
      </c>
      <c r="B68" s="446" t="s">
        <v>2907</v>
      </c>
      <c r="C68" s="459" t="str">
        <f t="shared" si="54"/>
        <v>BL58-&gt;PV1-95</v>
      </c>
      <c r="D68" s="459">
        <f>952.92-951.17</f>
        <v>1.75</v>
      </c>
      <c r="E68" s="459" t="s">
        <v>2487</v>
      </c>
      <c r="F68" s="459">
        <v>5.53</v>
      </c>
      <c r="G68" s="459"/>
      <c r="H68" s="459" t="s">
        <v>2462</v>
      </c>
      <c r="I68" s="460" t="str">
        <f t="shared" si="70"/>
        <v>BOCA DE LOBO PROJETADA DUPLA</v>
      </c>
      <c r="J68" s="460">
        <f t="shared" si="71"/>
        <v>1</v>
      </c>
      <c r="K68" s="460">
        <v>400</v>
      </c>
      <c r="L68" s="461" t="str">
        <f t="shared" si="72"/>
        <v>PROJETADA</v>
      </c>
    </row>
    <row r="69" spans="1:12" x14ac:dyDescent="0.35">
      <c r="A69" s="464" t="s">
        <v>2310</v>
      </c>
      <c r="B69" s="446" t="s">
        <v>2906</v>
      </c>
      <c r="C69" s="459" t="str">
        <f t="shared" si="54"/>
        <v>BL59-&gt;PV2-95</v>
      </c>
      <c r="D69" s="459">
        <f>952.32-950.42</f>
        <v>1.9000000000000909</v>
      </c>
      <c r="E69" s="459" t="s">
        <v>2487</v>
      </c>
      <c r="F69" s="459">
        <v>7.95</v>
      </c>
      <c r="G69" s="459"/>
      <c r="H69" s="459" t="s">
        <v>2462</v>
      </c>
      <c r="I69" s="460" t="str">
        <f t="shared" si="70"/>
        <v>BOCA DE LOBO PROJETADA DUPLA</v>
      </c>
      <c r="J69" s="460">
        <f t="shared" si="71"/>
        <v>1</v>
      </c>
      <c r="K69" s="460">
        <v>500</v>
      </c>
      <c r="L69" s="461" t="str">
        <f t="shared" si="72"/>
        <v>PROJETADA</v>
      </c>
    </row>
    <row r="70" spans="1:12" x14ac:dyDescent="0.35">
      <c r="A70" s="464" t="s">
        <v>2312</v>
      </c>
      <c r="B70" s="446" t="s">
        <v>2905</v>
      </c>
      <c r="C70" s="459" t="str">
        <f t="shared" si="54"/>
        <v>BL60-&gt;PV1-96</v>
      </c>
      <c r="D70" s="459">
        <f>950.86-949.11</f>
        <v>1.75</v>
      </c>
      <c r="E70" s="459" t="s">
        <v>2487</v>
      </c>
      <c r="F70" s="459">
        <v>7.17</v>
      </c>
      <c r="G70" s="459"/>
      <c r="H70" s="459" t="s">
        <v>2462</v>
      </c>
      <c r="I70" s="460" t="str">
        <f t="shared" si="70"/>
        <v>BOCA DE LOBO PROJETADA DUPLA</v>
      </c>
      <c r="J70" s="460">
        <f t="shared" si="71"/>
        <v>1</v>
      </c>
      <c r="K70" s="460">
        <v>400</v>
      </c>
      <c r="L70" s="461" t="str">
        <f t="shared" si="72"/>
        <v>PROJETADA</v>
      </c>
    </row>
    <row r="71" spans="1:12" x14ac:dyDescent="0.35">
      <c r="A71" s="464" t="s">
        <v>2313</v>
      </c>
      <c r="B71" s="446" t="s">
        <v>2904</v>
      </c>
      <c r="C71" s="459" t="str">
        <f t="shared" si="54"/>
        <v>BL61-&gt;PV2-96</v>
      </c>
      <c r="D71" s="459">
        <f>950.52-948.36</f>
        <v>2.1599999999999682</v>
      </c>
      <c r="E71" s="459" t="s">
        <v>2487</v>
      </c>
      <c r="F71" s="459">
        <v>5.71</v>
      </c>
      <c r="G71" s="459"/>
      <c r="H71" s="459" t="s">
        <v>2462</v>
      </c>
      <c r="I71" s="460" t="str">
        <f t="shared" si="70"/>
        <v>BOCA DE LOBO PROJETADA DUPLA</v>
      </c>
      <c r="J71" s="460">
        <f t="shared" si="71"/>
        <v>1</v>
      </c>
      <c r="K71" s="460">
        <v>500</v>
      </c>
      <c r="L71" s="461" t="str">
        <f t="shared" si="72"/>
        <v>PROJETADA</v>
      </c>
    </row>
    <row r="72" spans="1:12" x14ac:dyDescent="0.35">
      <c r="A72" s="464" t="s">
        <v>2319</v>
      </c>
      <c r="B72" s="446" t="s">
        <v>2903</v>
      </c>
      <c r="C72" s="459" t="str">
        <f t="shared" si="54"/>
        <v>BL62-&gt;PV1-99</v>
      </c>
      <c r="D72" s="459">
        <f>946.81-945.06</f>
        <v>1.75</v>
      </c>
      <c r="E72" s="459" t="s">
        <v>2487</v>
      </c>
      <c r="F72" s="459">
        <v>5.8</v>
      </c>
      <c r="G72" s="459"/>
      <c r="H72" s="459" t="s">
        <v>2462</v>
      </c>
      <c r="I72" s="460" t="str">
        <f t="shared" si="70"/>
        <v>BOCA DE LOBO PROJETADA DUPLA</v>
      </c>
      <c r="J72" s="460">
        <f t="shared" si="71"/>
        <v>1</v>
      </c>
      <c r="K72" s="460">
        <v>400</v>
      </c>
      <c r="L72" s="461" t="str">
        <f t="shared" si="72"/>
        <v>PROJETADA</v>
      </c>
    </row>
    <row r="73" spans="1:12" x14ac:dyDescent="0.35">
      <c r="A73" s="464" t="s">
        <v>2321</v>
      </c>
      <c r="B73" s="446" t="s">
        <v>2902</v>
      </c>
      <c r="C73" s="459" t="str">
        <f t="shared" si="54"/>
        <v>BL63-&gt;PV1-100</v>
      </c>
      <c r="D73" s="459">
        <f>943.83-942.08</f>
        <v>1.75</v>
      </c>
      <c r="E73" s="459" t="s">
        <v>2487</v>
      </c>
      <c r="F73" s="459">
        <v>5.71</v>
      </c>
      <c r="G73" s="459"/>
      <c r="H73" s="464" t="s">
        <v>2476</v>
      </c>
      <c r="I73" s="460" t="str">
        <f t="shared" si="70"/>
        <v>BOCA DE LOBO PROJETADA TRIPLA</v>
      </c>
      <c r="J73" s="460">
        <f t="shared" si="71"/>
        <v>1</v>
      </c>
      <c r="K73" s="460">
        <v>400</v>
      </c>
      <c r="L73" s="461" t="str">
        <f t="shared" si="72"/>
        <v>PROJETADA</v>
      </c>
    </row>
    <row r="74" spans="1:12" x14ac:dyDescent="0.35">
      <c r="A74" s="464" t="s">
        <v>2988</v>
      </c>
      <c r="B74" s="446" t="s">
        <v>2901</v>
      </c>
      <c r="C74" s="459" t="str">
        <f t="shared" si="54"/>
        <v>BL64-&gt;PV1-101</v>
      </c>
      <c r="D74" s="459">
        <f>941.506-940.26</f>
        <v>1.2459999999999809</v>
      </c>
      <c r="E74" s="459" t="s">
        <v>2487</v>
      </c>
      <c r="F74" s="459">
        <v>8.33</v>
      </c>
      <c r="G74" s="459"/>
      <c r="H74" s="464" t="s">
        <v>2476</v>
      </c>
      <c r="I74" s="460" t="str">
        <f t="shared" si="70"/>
        <v>BOCA DE LOBO PROJETADA TRIPLA</v>
      </c>
      <c r="J74" s="460">
        <f t="shared" si="71"/>
        <v>1</v>
      </c>
      <c r="K74" s="460">
        <v>400</v>
      </c>
      <c r="L74" s="461" t="str">
        <f t="shared" si="72"/>
        <v>PROJETADA</v>
      </c>
    </row>
    <row r="75" spans="1:12" x14ac:dyDescent="0.35">
      <c r="A75" s="464" t="s">
        <v>2989</v>
      </c>
      <c r="B75" s="446" t="s">
        <v>2899</v>
      </c>
      <c r="C75" s="459" t="str">
        <f t="shared" si="54"/>
        <v>BL65-&gt;PV2-101</v>
      </c>
      <c r="D75" s="459">
        <f>941.265-939.87</f>
        <v>1.3949999999999818</v>
      </c>
      <c r="E75" s="459" t="s">
        <v>2487</v>
      </c>
      <c r="F75" s="459">
        <v>4.8899999999999997</v>
      </c>
      <c r="G75" s="459"/>
      <c r="H75" s="464" t="s">
        <v>2476</v>
      </c>
      <c r="I75" s="460" t="str">
        <f t="shared" si="70"/>
        <v>BOCA DE LOBO PROJETADA TRIPLA</v>
      </c>
      <c r="J75" s="460">
        <f t="shared" si="71"/>
        <v>1</v>
      </c>
      <c r="K75" s="460">
        <v>400</v>
      </c>
      <c r="L75" s="461" t="str">
        <f t="shared" si="72"/>
        <v>PROJETADA</v>
      </c>
    </row>
    <row r="76" spans="1:12" x14ac:dyDescent="0.35">
      <c r="A76" s="459"/>
      <c r="B76" s="459"/>
      <c r="C76" s="459"/>
      <c r="D76" s="459"/>
      <c r="E76" s="459"/>
      <c r="F76" s="459"/>
      <c r="G76" s="459"/>
      <c r="H76" s="459"/>
      <c r="I76" s="460"/>
      <c r="J76" s="460"/>
      <c r="K76" s="460"/>
      <c r="L76" s="461"/>
    </row>
    <row r="77" spans="1:12" x14ac:dyDescent="0.35">
      <c r="E77" s="465" t="s">
        <v>377</v>
      </c>
      <c r="F77" s="123">
        <f>SUM(F3:F76)</f>
        <v>492.98999999999995</v>
      </c>
      <c r="K77" s="123">
        <f>COUNTA(K3:K76)</f>
        <v>34</v>
      </c>
    </row>
    <row r="81" spans="1:17" s="140" customFormat="1" ht="43.5" x14ac:dyDescent="0.35">
      <c r="A81" s="466" t="s">
        <v>2437</v>
      </c>
      <c r="B81" s="466" t="s">
        <v>2438</v>
      </c>
      <c r="C81" s="466" t="s">
        <v>2340</v>
      </c>
      <c r="D81" s="466" t="s">
        <v>2439</v>
      </c>
      <c r="E81" s="466" t="s">
        <v>2440</v>
      </c>
      <c r="F81" s="467" t="s">
        <v>2441</v>
      </c>
      <c r="G81" s="467" t="s">
        <v>2442</v>
      </c>
      <c r="H81" s="466" t="s">
        <v>2443</v>
      </c>
      <c r="I81" s="466" t="s">
        <v>2444</v>
      </c>
      <c r="J81" s="467" t="s">
        <v>2445</v>
      </c>
      <c r="K81" s="467" t="s">
        <v>2446</v>
      </c>
      <c r="L81" s="467" t="s">
        <v>2447</v>
      </c>
      <c r="M81" s="468"/>
      <c r="N81" s="467" t="s">
        <v>2448</v>
      </c>
      <c r="O81" s="466" t="s">
        <v>377</v>
      </c>
      <c r="P81" s="466" t="s">
        <v>2961</v>
      </c>
      <c r="Q81" s="447"/>
    </row>
    <row r="82" spans="1:17" s="140" customFormat="1" ht="43.5" x14ac:dyDescent="0.35">
      <c r="A82" s="466" t="s">
        <v>2449</v>
      </c>
      <c r="B82" s="466"/>
      <c r="C82" s="466"/>
      <c r="D82" s="466"/>
      <c r="E82" s="466"/>
      <c r="F82" s="467"/>
      <c r="G82" s="467"/>
      <c r="H82" s="466"/>
      <c r="I82" s="466"/>
      <c r="J82" s="467"/>
      <c r="K82" s="467"/>
      <c r="L82" s="467"/>
      <c r="M82"/>
      <c r="N82" s="445" t="s">
        <v>2184</v>
      </c>
      <c r="O82" s="469">
        <f>COUNTIF($I$83:$I$214,N82)</f>
        <v>0</v>
      </c>
      <c r="P82" s="469">
        <f t="shared" ref="P82:P113" si="73">IF(AND(E82="PROJETADO",G82&lt;&gt;""),F82/2*(PI()*0.519*0.519/4-PI()*0.4*0.4/4),0)</f>
        <v>0</v>
      </c>
      <c r="Q82" s="447"/>
    </row>
    <row r="83" spans="1:17" s="140" customFormat="1" ht="43.5" x14ac:dyDescent="0.35">
      <c r="A83" s="469" t="s">
        <v>2955</v>
      </c>
      <c r="B83" s="469" t="s">
        <v>2451</v>
      </c>
      <c r="C83" s="469" t="str">
        <f t="shared" ref="C83:C109" si="74">CONCATENATE(B83,"-&gt;",A83)</f>
        <v>BL1-&gt;PV1.4</v>
      </c>
      <c r="D83" s="469">
        <v>2.4700000000000002</v>
      </c>
      <c r="E83" s="469" t="s">
        <v>2452</v>
      </c>
      <c r="F83" s="469">
        <v>7.74</v>
      </c>
      <c r="G83" s="469"/>
      <c r="H83" s="469" t="s">
        <v>2462</v>
      </c>
      <c r="I83" s="470" t="str">
        <f t="shared" ref="I83:I109" si="75">IF(G83="","BOCA DE LOBO PROJETADA "&amp;H83,IF(H83="","BOCA DE LOBO EXISTENTE "&amp;G83,"BOCA DE LOBO "&amp;G83&amp;" EXISTENTE COM BOCA DE LOBO "&amp;H83&amp;" PROJETADA"))</f>
        <v>BOCA DE LOBO PROJETADA DUPLA</v>
      </c>
      <c r="J83" s="470">
        <f t="shared" ref="J83:J109" si="76">IF(E83="EXISTENTE",1,0)</f>
        <v>0</v>
      </c>
      <c r="K83" s="470"/>
      <c r="L83" s="471" t="str">
        <f t="shared" ref="L83:L109" si="77">IF(G83&lt;&gt;"",IF(H83&lt;&gt;"","AMPLIADA","EXISTENTE"),"PROJETADA")</f>
        <v>PROJETADA</v>
      </c>
      <c r="M83"/>
      <c r="N83" s="450" t="s">
        <v>2185</v>
      </c>
      <c r="O83" s="469">
        <f t="shared" ref="O83:O94" si="78">COUNTIF($I$83:$I$214,N83)</f>
        <v>0</v>
      </c>
      <c r="P83" s="469">
        <f t="shared" si="73"/>
        <v>0</v>
      </c>
      <c r="Q83" s="447"/>
    </row>
    <row r="84" spans="1:17" s="140" customFormat="1" ht="43.5" x14ac:dyDescent="0.35">
      <c r="A84" s="469" t="s">
        <v>2953</v>
      </c>
      <c r="B84" s="469" t="s">
        <v>2456</v>
      </c>
      <c r="C84" s="469" t="str">
        <f t="shared" si="74"/>
        <v>BL2-&gt;PV2.4</v>
      </c>
      <c r="D84" s="469">
        <v>2.5</v>
      </c>
      <c r="E84" s="469" t="s">
        <v>2452</v>
      </c>
      <c r="F84" s="469">
        <v>7.61</v>
      </c>
      <c r="G84" s="469"/>
      <c r="H84" s="469" t="s">
        <v>2462</v>
      </c>
      <c r="I84" s="470" t="str">
        <f t="shared" si="75"/>
        <v>BOCA DE LOBO PROJETADA DUPLA</v>
      </c>
      <c r="J84" s="470">
        <f t="shared" si="76"/>
        <v>0</v>
      </c>
      <c r="K84" s="470"/>
      <c r="L84" s="471" t="str">
        <f t="shared" si="77"/>
        <v>PROJETADA</v>
      </c>
      <c r="M84"/>
      <c r="N84" s="450" t="s">
        <v>2186</v>
      </c>
      <c r="O84" s="469">
        <f t="shared" si="78"/>
        <v>0</v>
      </c>
      <c r="P84" s="469">
        <f t="shared" si="73"/>
        <v>0</v>
      </c>
      <c r="Q84" s="447"/>
    </row>
    <row r="85" spans="1:17" s="140" customFormat="1" ht="29" x14ac:dyDescent="0.35">
      <c r="A85" s="469" t="s">
        <v>2951</v>
      </c>
      <c r="B85" s="469" t="s">
        <v>2458</v>
      </c>
      <c r="C85" s="469" t="str">
        <f t="shared" si="74"/>
        <v>BL3-&gt;PV3.4</v>
      </c>
      <c r="D85" s="469">
        <v>2.72</v>
      </c>
      <c r="E85" s="469" t="s">
        <v>2452</v>
      </c>
      <c r="F85" s="469">
        <v>7.21</v>
      </c>
      <c r="G85" s="469"/>
      <c r="H85" s="469" t="s">
        <v>2462</v>
      </c>
      <c r="I85" s="470" t="str">
        <f t="shared" si="75"/>
        <v>BOCA DE LOBO PROJETADA DUPLA</v>
      </c>
      <c r="J85" s="470">
        <f t="shared" si="76"/>
        <v>0</v>
      </c>
      <c r="K85" s="470"/>
      <c r="L85" s="471" t="str">
        <f t="shared" si="77"/>
        <v>PROJETADA</v>
      </c>
      <c r="M85"/>
      <c r="N85" s="450" t="s">
        <v>2187</v>
      </c>
      <c r="O85" s="469">
        <f t="shared" si="78"/>
        <v>0</v>
      </c>
      <c r="P85" s="469">
        <f t="shared" si="73"/>
        <v>0</v>
      </c>
      <c r="Q85" s="447"/>
    </row>
    <row r="86" spans="1:17" s="140" customFormat="1" ht="29" x14ac:dyDescent="0.35">
      <c r="A86" s="469" t="s">
        <v>2490</v>
      </c>
      <c r="B86" s="469" t="s">
        <v>2459</v>
      </c>
      <c r="C86" s="469" t="str">
        <f t="shared" si="74"/>
        <v>BL4-&gt;PV23-87</v>
      </c>
      <c r="D86" s="469">
        <v>2.9</v>
      </c>
      <c r="E86" s="469" t="s">
        <v>2452</v>
      </c>
      <c r="F86" s="469">
        <v>10.43</v>
      </c>
      <c r="G86" s="469"/>
      <c r="H86" s="469" t="s">
        <v>2462</v>
      </c>
      <c r="I86" s="470" t="str">
        <f t="shared" si="75"/>
        <v>BOCA DE LOBO PROJETADA DUPLA</v>
      </c>
      <c r="J86" s="470">
        <f t="shared" si="76"/>
        <v>0</v>
      </c>
      <c r="K86" s="470"/>
      <c r="L86" s="471" t="str">
        <f t="shared" si="77"/>
        <v>PROJETADA</v>
      </c>
      <c r="M86"/>
      <c r="N86" s="450" t="s">
        <v>2188</v>
      </c>
      <c r="O86" s="469">
        <f t="shared" si="78"/>
        <v>0</v>
      </c>
      <c r="P86" s="469">
        <f t="shared" si="73"/>
        <v>0</v>
      </c>
      <c r="Q86" s="447"/>
    </row>
    <row r="87" spans="1:17" s="140" customFormat="1" ht="29" x14ac:dyDescent="0.35">
      <c r="A87" s="469" t="s">
        <v>2490</v>
      </c>
      <c r="B87" s="469" t="s">
        <v>2461</v>
      </c>
      <c r="C87" s="469" t="str">
        <f t="shared" si="74"/>
        <v>BL5-&gt;PV23-87</v>
      </c>
      <c r="D87" s="469">
        <v>2.9</v>
      </c>
      <c r="E87" s="469" t="s">
        <v>2452</v>
      </c>
      <c r="F87" s="469">
        <v>10.62</v>
      </c>
      <c r="G87" s="469"/>
      <c r="H87" s="469" t="s">
        <v>2462</v>
      </c>
      <c r="I87" s="470" t="str">
        <f t="shared" si="75"/>
        <v>BOCA DE LOBO PROJETADA DUPLA</v>
      </c>
      <c r="J87" s="470">
        <f t="shared" si="76"/>
        <v>0</v>
      </c>
      <c r="K87" s="470"/>
      <c r="L87" s="471" t="str">
        <f t="shared" si="77"/>
        <v>PROJETADA</v>
      </c>
      <c r="M87"/>
      <c r="N87" s="450" t="s">
        <v>2189</v>
      </c>
      <c r="O87" s="469">
        <f t="shared" si="78"/>
        <v>0</v>
      </c>
      <c r="P87" s="469">
        <f t="shared" si="73"/>
        <v>0</v>
      </c>
      <c r="Q87" s="447"/>
    </row>
    <row r="88" spans="1:17" s="140" customFormat="1" ht="29" x14ac:dyDescent="0.35">
      <c r="A88" s="469" t="s">
        <v>2455</v>
      </c>
      <c r="B88" s="469" t="s">
        <v>2463</v>
      </c>
      <c r="C88" s="469" t="str">
        <f t="shared" si="74"/>
        <v>BL6-&gt;PV2.1</v>
      </c>
      <c r="D88" s="469">
        <v>2.72</v>
      </c>
      <c r="E88" s="469" t="s">
        <v>2452</v>
      </c>
      <c r="F88" s="469">
        <v>10.56</v>
      </c>
      <c r="G88" s="469"/>
      <c r="H88" s="469" t="s">
        <v>2462</v>
      </c>
      <c r="I88" s="470" t="str">
        <f t="shared" si="75"/>
        <v>BOCA DE LOBO PROJETADA DUPLA</v>
      </c>
      <c r="J88" s="470">
        <f t="shared" si="76"/>
        <v>0</v>
      </c>
      <c r="K88" s="470"/>
      <c r="L88" s="471" t="str">
        <f t="shared" si="77"/>
        <v>PROJETADA</v>
      </c>
      <c r="M88"/>
      <c r="N88" s="450" t="s">
        <v>2190</v>
      </c>
      <c r="O88" s="469">
        <f t="shared" si="78"/>
        <v>0</v>
      </c>
      <c r="P88" s="469">
        <f t="shared" si="73"/>
        <v>0</v>
      </c>
      <c r="Q88" s="447"/>
    </row>
    <row r="89" spans="1:17" s="140" customFormat="1" ht="29" x14ac:dyDescent="0.35">
      <c r="A89" s="469" t="s">
        <v>2455</v>
      </c>
      <c r="B89" s="469" t="s">
        <v>2465</v>
      </c>
      <c r="C89" s="469" t="str">
        <f t="shared" si="74"/>
        <v>BL7-&gt;PV2.1</v>
      </c>
      <c r="D89" s="469">
        <v>2.72</v>
      </c>
      <c r="E89" s="469" t="s">
        <v>2452</v>
      </c>
      <c r="F89" s="469">
        <v>8.4499999999999993</v>
      </c>
      <c r="G89" s="469"/>
      <c r="H89" s="469" t="s">
        <v>2462</v>
      </c>
      <c r="I89" s="470" t="str">
        <f t="shared" si="75"/>
        <v>BOCA DE LOBO PROJETADA DUPLA</v>
      </c>
      <c r="J89" s="470">
        <f t="shared" si="76"/>
        <v>0</v>
      </c>
      <c r="K89" s="470"/>
      <c r="L89" s="471" t="str">
        <f t="shared" si="77"/>
        <v>PROJETADA</v>
      </c>
      <c r="M89"/>
      <c r="N89" s="450" t="s">
        <v>2191</v>
      </c>
      <c r="O89" s="469">
        <f t="shared" si="78"/>
        <v>0</v>
      </c>
      <c r="P89" s="469">
        <f t="shared" si="73"/>
        <v>0</v>
      </c>
      <c r="Q89" s="447"/>
    </row>
    <row r="90" spans="1:17" s="140" customFormat="1" ht="29" x14ac:dyDescent="0.35">
      <c r="A90" s="469" t="s">
        <v>2457</v>
      </c>
      <c r="B90" s="469" t="s">
        <v>2466</v>
      </c>
      <c r="C90" s="469" t="str">
        <f t="shared" si="74"/>
        <v>BL8-&gt;PV3.1</v>
      </c>
      <c r="D90" s="469">
        <v>2.94</v>
      </c>
      <c r="E90" s="469" t="s">
        <v>2452</v>
      </c>
      <c r="F90" s="469">
        <v>11.64</v>
      </c>
      <c r="G90" s="469"/>
      <c r="H90" s="469" t="s">
        <v>2462</v>
      </c>
      <c r="I90" s="470" t="str">
        <f t="shared" si="75"/>
        <v>BOCA DE LOBO PROJETADA DUPLA</v>
      </c>
      <c r="J90" s="470">
        <f t="shared" si="76"/>
        <v>0</v>
      </c>
      <c r="K90" s="470"/>
      <c r="L90" s="471" t="str">
        <f t="shared" si="77"/>
        <v>PROJETADA</v>
      </c>
      <c r="M90"/>
      <c r="N90" s="450" t="s">
        <v>2192</v>
      </c>
      <c r="O90" s="469">
        <f t="shared" si="78"/>
        <v>0</v>
      </c>
      <c r="P90" s="469">
        <f t="shared" si="73"/>
        <v>0</v>
      </c>
      <c r="Q90" s="447"/>
    </row>
    <row r="91" spans="1:17" s="140" customFormat="1" ht="28.5" x14ac:dyDescent="0.35">
      <c r="A91" s="469" t="s">
        <v>2457</v>
      </c>
      <c r="B91" s="469" t="s">
        <v>2468</v>
      </c>
      <c r="C91" s="469" t="str">
        <f t="shared" si="74"/>
        <v>BL9-&gt;PV3.1</v>
      </c>
      <c r="D91" s="469">
        <v>2.94</v>
      </c>
      <c r="E91" s="469" t="s">
        <v>2452</v>
      </c>
      <c r="F91" s="469">
        <v>9.24</v>
      </c>
      <c r="G91" s="469"/>
      <c r="H91" s="469" t="s">
        <v>2462</v>
      </c>
      <c r="I91" s="470" t="str">
        <f t="shared" si="75"/>
        <v>BOCA DE LOBO PROJETADA DUPLA</v>
      </c>
      <c r="J91" s="470">
        <f t="shared" si="76"/>
        <v>0</v>
      </c>
      <c r="K91" s="470"/>
      <c r="L91" s="471" t="str">
        <f t="shared" si="77"/>
        <v>PROJETADA</v>
      </c>
      <c r="M91"/>
      <c r="N91" s="450" t="s">
        <v>2193</v>
      </c>
      <c r="O91" s="469">
        <f t="shared" si="78"/>
        <v>0</v>
      </c>
      <c r="P91" s="469">
        <f t="shared" si="73"/>
        <v>0</v>
      </c>
      <c r="Q91" s="447"/>
    </row>
    <row r="92" spans="1:17" s="140" customFormat="1" ht="28.5" x14ac:dyDescent="0.35">
      <c r="A92" s="469" t="s">
        <v>2460</v>
      </c>
      <c r="B92" s="469" t="s">
        <v>2469</v>
      </c>
      <c r="C92" s="469" t="str">
        <f t="shared" si="74"/>
        <v>BL10-&gt;PV4.1</v>
      </c>
      <c r="D92" s="469">
        <v>3.17</v>
      </c>
      <c r="E92" s="469" t="s">
        <v>2452</v>
      </c>
      <c r="F92" s="469">
        <v>10.34</v>
      </c>
      <c r="G92" s="469"/>
      <c r="H92" s="469" t="s">
        <v>2462</v>
      </c>
      <c r="I92" s="470" t="str">
        <f t="shared" si="75"/>
        <v>BOCA DE LOBO PROJETADA DUPLA</v>
      </c>
      <c r="J92" s="470">
        <f t="shared" si="76"/>
        <v>0</v>
      </c>
      <c r="K92" s="470"/>
      <c r="L92" s="471" t="str">
        <f t="shared" si="77"/>
        <v>PROJETADA</v>
      </c>
      <c r="M92"/>
      <c r="N92" s="450" t="s">
        <v>2194</v>
      </c>
      <c r="O92" s="469">
        <f t="shared" si="78"/>
        <v>116</v>
      </c>
      <c r="P92" s="469">
        <f t="shared" si="73"/>
        <v>0</v>
      </c>
      <c r="Q92" s="447"/>
    </row>
    <row r="93" spans="1:17" s="140" customFormat="1" ht="28.5" x14ac:dyDescent="0.35">
      <c r="A93" s="469" t="s">
        <v>2460</v>
      </c>
      <c r="B93" s="469" t="s">
        <v>2470</v>
      </c>
      <c r="C93" s="469" t="str">
        <f t="shared" si="74"/>
        <v>BL11-&gt;PV4.1</v>
      </c>
      <c r="D93" s="469">
        <v>3.17</v>
      </c>
      <c r="E93" s="469" t="s">
        <v>2452</v>
      </c>
      <c r="F93" s="469">
        <v>9.39</v>
      </c>
      <c r="G93" s="469"/>
      <c r="H93" s="469" t="s">
        <v>2462</v>
      </c>
      <c r="I93" s="470" t="str">
        <f t="shared" si="75"/>
        <v>BOCA DE LOBO PROJETADA DUPLA</v>
      </c>
      <c r="J93" s="470">
        <f t="shared" si="76"/>
        <v>0</v>
      </c>
      <c r="K93" s="470"/>
      <c r="L93" s="471" t="str">
        <f t="shared" si="77"/>
        <v>PROJETADA</v>
      </c>
      <c r="M93"/>
      <c r="N93" s="450" t="s">
        <v>2195</v>
      </c>
      <c r="O93" s="469">
        <f t="shared" si="78"/>
        <v>13</v>
      </c>
      <c r="P93" s="469">
        <f t="shared" si="73"/>
        <v>0</v>
      </c>
      <c r="Q93" s="447"/>
    </row>
    <row r="94" spans="1:17" s="140" customFormat="1" ht="29" x14ac:dyDescent="0.35">
      <c r="A94" s="469" t="s">
        <v>2478</v>
      </c>
      <c r="B94" s="469" t="s">
        <v>2472</v>
      </c>
      <c r="C94" s="469" t="str">
        <f t="shared" si="74"/>
        <v>BL12-&gt;PV5.1</v>
      </c>
      <c r="D94" s="469">
        <v>3.47</v>
      </c>
      <c r="E94" s="469" t="s">
        <v>2452</v>
      </c>
      <c r="F94" s="469">
        <v>12.52</v>
      </c>
      <c r="G94" s="469"/>
      <c r="H94" s="469" t="s">
        <v>2462</v>
      </c>
      <c r="I94" s="470" t="str">
        <f t="shared" si="75"/>
        <v>BOCA DE LOBO PROJETADA DUPLA</v>
      </c>
      <c r="J94" s="470">
        <f t="shared" si="76"/>
        <v>0</v>
      </c>
      <c r="K94" s="470"/>
      <c r="L94" s="471" t="str">
        <f t="shared" si="77"/>
        <v>PROJETADA</v>
      </c>
      <c r="M94"/>
      <c r="N94" s="450" t="s">
        <v>2991</v>
      </c>
      <c r="O94" s="469">
        <f t="shared" si="78"/>
        <v>0</v>
      </c>
      <c r="P94" s="469">
        <f t="shared" si="73"/>
        <v>0</v>
      </c>
      <c r="Q94" s="447"/>
    </row>
    <row r="95" spans="1:17" s="140" customFormat="1" ht="28.5" x14ac:dyDescent="0.35">
      <c r="A95" s="469" t="s">
        <v>2478</v>
      </c>
      <c r="B95" s="469" t="s">
        <v>2473</v>
      </c>
      <c r="C95" s="469" t="str">
        <f t="shared" si="74"/>
        <v>BL13-&gt;PV5.1</v>
      </c>
      <c r="D95" s="469">
        <v>3.47</v>
      </c>
      <c r="E95" s="469" t="s">
        <v>2452</v>
      </c>
      <c r="F95" s="469">
        <v>8.5399999999999991</v>
      </c>
      <c r="G95" s="469"/>
      <c r="H95" s="469" t="s">
        <v>2462</v>
      </c>
      <c r="I95" s="470" t="str">
        <f t="shared" si="75"/>
        <v>BOCA DE LOBO PROJETADA DUPLA</v>
      </c>
      <c r="J95" s="470">
        <f t="shared" si="76"/>
        <v>0</v>
      </c>
      <c r="K95" s="470"/>
      <c r="L95" s="471" t="str">
        <f t="shared" si="77"/>
        <v>PROJETADA</v>
      </c>
      <c r="M95"/>
      <c r="N95" s="451" t="s">
        <v>377</v>
      </c>
      <c r="O95" s="452">
        <f>SUM(O82:O94)</f>
        <v>129</v>
      </c>
      <c r="P95" s="469">
        <f t="shared" si="73"/>
        <v>0</v>
      </c>
      <c r="Q95" s="447"/>
    </row>
    <row r="96" spans="1:17" s="140" customFormat="1" ht="29" x14ac:dyDescent="0.35">
      <c r="A96" s="469" t="s">
        <v>2484</v>
      </c>
      <c r="B96" s="469" t="s">
        <v>2474</v>
      </c>
      <c r="C96" s="469" t="str">
        <f t="shared" si="74"/>
        <v>BL14-&gt;PV7.1</v>
      </c>
      <c r="D96" s="469">
        <v>4.1500000000000004</v>
      </c>
      <c r="E96" s="469" t="s">
        <v>2452</v>
      </c>
      <c r="F96" s="469">
        <v>6.16</v>
      </c>
      <c r="G96" s="469"/>
      <c r="H96" s="469" t="s">
        <v>2462</v>
      </c>
      <c r="I96" s="470" t="str">
        <f t="shared" si="75"/>
        <v>BOCA DE LOBO PROJETADA DUPLA</v>
      </c>
      <c r="J96" s="470">
        <f t="shared" si="76"/>
        <v>0</v>
      </c>
      <c r="K96" s="470"/>
      <c r="L96" s="471" t="str">
        <f t="shared" si="77"/>
        <v>PROJETADA</v>
      </c>
      <c r="M96"/>
      <c r="N96" s="451" t="s">
        <v>2471</v>
      </c>
      <c r="O96" s="452">
        <f>SUM(O82:O91)</f>
        <v>0</v>
      </c>
      <c r="P96" s="469">
        <f t="shared" si="73"/>
        <v>0</v>
      </c>
      <c r="Q96" s="447"/>
    </row>
    <row r="97" spans="1:17" s="140" customFormat="1" ht="28.5" x14ac:dyDescent="0.35">
      <c r="A97" s="469" t="s">
        <v>2940</v>
      </c>
      <c r="B97" s="469" t="s">
        <v>2475</v>
      </c>
      <c r="C97" s="469" t="str">
        <f t="shared" si="74"/>
        <v>BL15-&gt;PV8.1</v>
      </c>
      <c r="D97" s="469">
        <v>3.8</v>
      </c>
      <c r="E97" s="469" t="s">
        <v>2452</v>
      </c>
      <c r="F97" s="469">
        <v>5.96</v>
      </c>
      <c r="G97" s="469"/>
      <c r="H97" s="469" t="s">
        <v>2462</v>
      </c>
      <c r="I97" s="470" t="str">
        <f t="shared" si="75"/>
        <v>BOCA DE LOBO PROJETADA DUPLA</v>
      </c>
      <c r="J97" s="470">
        <f t="shared" si="76"/>
        <v>0</v>
      </c>
      <c r="K97" s="470"/>
      <c r="L97" s="471" t="str">
        <f t="shared" si="77"/>
        <v>PROJETADA</v>
      </c>
      <c r="M97"/>
      <c r="N97" s="472"/>
      <c r="O97"/>
      <c r="P97" s="469">
        <f t="shared" si="73"/>
        <v>0</v>
      </c>
      <c r="Q97" s="447"/>
    </row>
    <row r="98" spans="1:17" s="140" customFormat="1" ht="28.5" x14ac:dyDescent="0.35">
      <c r="A98" s="469" t="s">
        <v>2940</v>
      </c>
      <c r="B98" s="469" t="s">
        <v>2477</v>
      </c>
      <c r="C98" s="469" t="str">
        <f t="shared" si="74"/>
        <v>BL16-&gt;PV8.1</v>
      </c>
      <c r="D98" s="469">
        <v>3.8</v>
      </c>
      <c r="E98" s="469" t="s">
        <v>2452</v>
      </c>
      <c r="F98" s="469">
        <v>6.7</v>
      </c>
      <c r="G98" s="469"/>
      <c r="H98" s="469" t="s">
        <v>2462</v>
      </c>
      <c r="I98" s="470" t="str">
        <f t="shared" si="75"/>
        <v>BOCA DE LOBO PROJETADA DUPLA</v>
      </c>
      <c r="J98" s="470">
        <f t="shared" si="76"/>
        <v>0</v>
      </c>
      <c r="K98" s="470"/>
      <c r="L98" s="471" t="str">
        <f t="shared" si="77"/>
        <v>PROJETADA</v>
      </c>
      <c r="M98"/>
      <c r="N98" s="472"/>
      <c r="O98"/>
      <c r="P98" s="469">
        <f t="shared" si="73"/>
        <v>0</v>
      </c>
      <c r="Q98" s="447"/>
    </row>
    <row r="99" spans="1:17" s="140" customFormat="1" ht="28.5" x14ac:dyDescent="0.35">
      <c r="A99" s="469" t="s">
        <v>2914</v>
      </c>
      <c r="B99" s="469" t="s">
        <v>2479</v>
      </c>
      <c r="C99" s="469" t="str">
        <f t="shared" si="74"/>
        <v>BL17-&gt;PV1.2</v>
      </c>
      <c r="D99" s="469">
        <v>3.64</v>
      </c>
      <c r="E99" s="469" t="s">
        <v>2452</v>
      </c>
      <c r="F99" s="469">
        <v>5.67</v>
      </c>
      <c r="G99" s="469"/>
      <c r="H99" s="469" t="s">
        <v>2462</v>
      </c>
      <c r="I99" s="470" t="str">
        <f t="shared" si="75"/>
        <v>BOCA DE LOBO PROJETADA DUPLA</v>
      </c>
      <c r="J99" s="470">
        <f t="shared" si="76"/>
        <v>0</v>
      </c>
      <c r="K99" s="470"/>
      <c r="L99" s="471" t="str">
        <f t="shared" si="77"/>
        <v>PROJETADA</v>
      </c>
      <c r="M99"/>
      <c r="N99" s="472"/>
      <c r="O99"/>
      <c r="P99" s="469">
        <f t="shared" si="73"/>
        <v>0</v>
      </c>
      <c r="Q99" s="447"/>
    </row>
    <row r="100" spans="1:17" s="140" customFormat="1" ht="28.5" x14ac:dyDescent="0.35">
      <c r="A100" s="469" t="s">
        <v>2960</v>
      </c>
      <c r="B100" s="469" t="s">
        <v>2480</v>
      </c>
      <c r="C100" s="469" t="str">
        <f t="shared" si="74"/>
        <v>BL18-&gt;PV2.2</v>
      </c>
      <c r="D100" s="469">
        <v>3.05</v>
      </c>
      <c r="E100" s="469" t="s">
        <v>2452</v>
      </c>
      <c r="F100" s="469">
        <v>5.45</v>
      </c>
      <c r="G100" s="469"/>
      <c r="H100" s="469" t="s">
        <v>2462</v>
      </c>
      <c r="I100" s="470" t="str">
        <f t="shared" si="75"/>
        <v>BOCA DE LOBO PROJETADA DUPLA</v>
      </c>
      <c r="J100" s="470">
        <f t="shared" si="76"/>
        <v>0</v>
      </c>
      <c r="K100" s="470"/>
      <c r="L100" s="471" t="str">
        <f t="shared" si="77"/>
        <v>PROJETADA</v>
      </c>
      <c r="M100"/>
      <c r="N100" s="472"/>
      <c r="O100"/>
      <c r="P100" s="469">
        <f t="shared" si="73"/>
        <v>0</v>
      </c>
      <c r="Q100" s="447"/>
    </row>
    <row r="101" spans="1:17" s="140" customFormat="1" ht="28.5" x14ac:dyDescent="0.35">
      <c r="A101" s="469" t="s">
        <v>2959</v>
      </c>
      <c r="B101" s="469" t="s">
        <v>2482</v>
      </c>
      <c r="C101" s="469" t="str">
        <f t="shared" si="74"/>
        <v>BL19-&gt;PV3.2</v>
      </c>
      <c r="D101" s="469">
        <v>3.02</v>
      </c>
      <c r="E101" s="469" t="s">
        <v>2452</v>
      </c>
      <c r="F101" s="469">
        <v>5.6</v>
      </c>
      <c r="G101" s="469"/>
      <c r="H101" s="469" t="s">
        <v>2462</v>
      </c>
      <c r="I101" s="470" t="str">
        <f t="shared" si="75"/>
        <v>BOCA DE LOBO PROJETADA DUPLA</v>
      </c>
      <c r="J101" s="470">
        <f t="shared" si="76"/>
        <v>0</v>
      </c>
      <c r="K101" s="470"/>
      <c r="L101" s="471" t="str">
        <f t="shared" si="77"/>
        <v>PROJETADA</v>
      </c>
      <c r="M101"/>
      <c r="N101" s="472"/>
      <c r="O101"/>
      <c r="P101" s="469">
        <f t="shared" si="73"/>
        <v>0</v>
      </c>
      <c r="Q101" s="447"/>
    </row>
    <row r="102" spans="1:17" s="140" customFormat="1" ht="28.5" x14ac:dyDescent="0.35">
      <c r="A102" s="469" t="s">
        <v>2919</v>
      </c>
      <c r="B102" s="469" t="s">
        <v>2483</v>
      </c>
      <c r="C102" s="469" t="str">
        <f t="shared" si="74"/>
        <v>BL20-&gt;PV1.3</v>
      </c>
      <c r="D102" s="469">
        <v>2.72</v>
      </c>
      <c r="E102" s="469" t="s">
        <v>2452</v>
      </c>
      <c r="F102" s="469">
        <v>8.9600000000000009</v>
      </c>
      <c r="G102" s="469"/>
      <c r="H102" s="469" t="s">
        <v>2462</v>
      </c>
      <c r="I102" s="470" t="str">
        <f t="shared" si="75"/>
        <v>BOCA DE LOBO PROJETADA DUPLA</v>
      </c>
      <c r="J102" s="470">
        <f t="shared" si="76"/>
        <v>0</v>
      </c>
      <c r="K102" s="470"/>
      <c r="L102" s="471" t="str">
        <f t="shared" si="77"/>
        <v>PROJETADA</v>
      </c>
      <c r="M102"/>
      <c r="N102" s="472"/>
      <c r="O102"/>
      <c r="P102" s="469">
        <f t="shared" si="73"/>
        <v>0</v>
      </c>
      <c r="Q102" s="447"/>
    </row>
    <row r="103" spans="1:17" s="140" customFormat="1" ht="28.5" x14ac:dyDescent="0.35">
      <c r="A103" s="469" t="s">
        <v>2919</v>
      </c>
      <c r="B103" s="469" t="s">
        <v>2485</v>
      </c>
      <c r="C103" s="469" t="str">
        <f t="shared" si="74"/>
        <v>BL21-&gt;PV1.3</v>
      </c>
      <c r="D103" s="469">
        <v>2.72</v>
      </c>
      <c r="E103" s="469" t="s">
        <v>2452</v>
      </c>
      <c r="F103" s="469">
        <v>5.53</v>
      </c>
      <c r="G103" s="469"/>
      <c r="H103" s="469" t="s">
        <v>2462</v>
      </c>
      <c r="I103" s="470" t="str">
        <f t="shared" si="75"/>
        <v>BOCA DE LOBO PROJETADA DUPLA</v>
      </c>
      <c r="J103" s="470">
        <f t="shared" si="76"/>
        <v>0</v>
      </c>
      <c r="K103" s="470"/>
      <c r="L103" s="471" t="str">
        <f t="shared" si="77"/>
        <v>PROJETADA</v>
      </c>
      <c r="M103"/>
      <c r="N103" s="472"/>
      <c r="O103"/>
      <c r="P103" s="469">
        <f t="shared" si="73"/>
        <v>0</v>
      </c>
      <c r="Q103" s="447"/>
    </row>
    <row r="104" spans="1:17" s="140" customFormat="1" ht="28.5" x14ac:dyDescent="0.35">
      <c r="A104" s="469" t="s">
        <v>2917</v>
      </c>
      <c r="B104" s="469" t="s">
        <v>2486</v>
      </c>
      <c r="C104" s="469" t="str">
        <f t="shared" si="74"/>
        <v>BL22-&gt;PV2.3</v>
      </c>
      <c r="D104" s="469">
        <v>3.73</v>
      </c>
      <c r="E104" s="469" t="s">
        <v>2452</v>
      </c>
      <c r="F104" s="469">
        <v>8.44</v>
      </c>
      <c r="G104" s="469"/>
      <c r="H104" s="469" t="s">
        <v>2462</v>
      </c>
      <c r="I104" s="470" t="str">
        <f t="shared" si="75"/>
        <v>BOCA DE LOBO PROJETADA DUPLA</v>
      </c>
      <c r="J104" s="470">
        <f t="shared" si="76"/>
        <v>0</v>
      </c>
      <c r="K104" s="470"/>
      <c r="L104" s="471" t="str">
        <f t="shared" si="77"/>
        <v>PROJETADA</v>
      </c>
      <c r="M104"/>
      <c r="N104" s="472"/>
      <c r="O104"/>
      <c r="P104" s="469">
        <f t="shared" si="73"/>
        <v>0</v>
      </c>
      <c r="Q104" s="447"/>
    </row>
    <row r="105" spans="1:17" s="140" customFormat="1" ht="28.5" x14ac:dyDescent="0.35">
      <c r="A105" s="469" t="s">
        <v>2917</v>
      </c>
      <c r="B105" s="469" t="s">
        <v>2488</v>
      </c>
      <c r="C105" s="469" t="str">
        <f t="shared" si="74"/>
        <v>BL23-&gt;PV2.3</v>
      </c>
      <c r="D105" s="469">
        <v>3.73</v>
      </c>
      <c r="E105" s="469" t="s">
        <v>2452</v>
      </c>
      <c r="F105" s="469">
        <v>5.15</v>
      </c>
      <c r="G105" s="469"/>
      <c r="H105" s="469" t="s">
        <v>2462</v>
      </c>
      <c r="I105" s="470" t="str">
        <f t="shared" si="75"/>
        <v>BOCA DE LOBO PROJETADA DUPLA</v>
      </c>
      <c r="J105" s="470">
        <f t="shared" si="76"/>
        <v>0</v>
      </c>
      <c r="K105" s="470"/>
      <c r="L105" s="471" t="str">
        <f t="shared" si="77"/>
        <v>PROJETADA</v>
      </c>
      <c r="M105"/>
      <c r="N105" s="472"/>
      <c r="O105"/>
      <c r="P105" s="469">
        <f t="shared" si="73"/>
        <v>0</v>
      </c>
      <c r="Q105" s="447"/>
    </row>
    <row r="106" spans="1:17" s="140" customFormat="1" ht="28.5" x14ac:dyDescent="0.35">
      <c r="A106" s="469" t="s">
        <v>2958</v>
      </c>
      <c r="B106" s="469" t="s">
        <v>2489</v>
      </c>
      <c r="C106" s="469" t="str">
        <f t="shared" si="74"/>
        <v>BL24-&gt;PV3.3</v>
      </c>
      <c r="D106" s="469">
        <v>4.4000000000000004</v>
      </c>
      <c r="E106" s="469" t="s">
        <v>2452</v>
      </c>
      <c r="F106" s="469">
        <v>9.1</v>
      </c>
      <c r="G106" s="469"/>
      <c r="H106" s="469" t="s">
        <v>2462</v>
      </c>
      <c r="I106" s="470" t="str">
        <f t="shared" si="75"/>
        <v>BOCA DE LOBO PROJETADA DUPLA</v>
      </c>
      <c r="J106" s="470">
        <f t="shared" si="76"/>
        <v>0</v>
      </c>
      <c r="K106" s="470"/>
      <c r="L106" s="471" t="str">
        <f t="shared" si="77"/>
        <v>PROJETADA</v>
      </c>
      <c r="M106"/>
      <c r="N106" s="472"/>
      <c r="O106"/>
      <c r="P106" s="469">
        <f t="shared" si="73"/>
        <v>0</v>
      </c>
      <c r="Q106" s="447"/>
    </row>
    <row r="107" spans="1:17" s="140" customFormat="1" ht="28.5" x14ac:dyDescent="0.35">
      <c r="A107" s="469" t="s">
        <v>2958</v>
      </c>
      <c r="B107" s="469" t="s">
        <v>2491</v>
      </c>
      <c r="C107" s="469" t="str">
        <f t="shared" si="74"/>
        <v>BL25-&gt;PV3.3</v>
      </c>
      <c r="D107" s="469">
        <v>4.4000000000000004</v>
      </c>
      <c r="E107" s="469" t="s">
        <v>2452</v>
      </c>
      <c r="F107" s="469">
        <v>4.51</v>
      </c>
      <c r="G107" s="469"/>
      <c r="H107" s="469" t="s">
        <v>2462</v>
      </c>
      <c r="I107" s="470" t="str">
        <f t="shared" si="75"/>
        <v>BOCA DE LOBO PROJETADA DUPLA</v>
      </c>
      <c r="J107" s="470">
        <f t="shared" si="76"/>
        <v>0</v>
      </c>
      <c r="K107" s="470"/>
      <c r="L107" s="471" t="str">
        <f t="shared" si="77"/>
        <v>PROJETADA</v>
      </c>
      <c r="M107"/>
      <c r="N107" s="472"/>
      <c r="O107"/>
      <c r="P107" s="469">
        <f t="shared" si="73"/>
        <v>0</v>
      </c>
      <c r="Q107" s="447"/>
    </row>
    <row r="108" spans="1:17" s="140" customFormat="1" ht="28.5" x14ac:dyDescent="0.35">
      <c r="A108" s="469" t="s">
        <v>2957</v>
      </c>
      <c r="B108" s="469" t="s">
        <v>2492</v>
      </c>
      <c r="C108" s="469" t="str">
        <f t="shared" si="74"/>
        <v>BL26-&gt;PV4.3</v>
      </c>
      <c r="D108" s="469">
        <v>4.5</v>
      </c>
      <c r="E108" s="469" t="s">
        <v>2452</v>
      </c>
      <c r="F108" s="469">
        <v>3.91</v>
      </c>
      <c r="G108" s="469"/>
      <c r="H108" s="469" t="s">
        <v>2462</v>
      </c>
      <c r="I108" s="470" t="str">
        <f t="shared" si="75"/>
        <v>BOCA DE LOBO PROJETADA DUPLA</v>
      </c>
      <c r="J108" s="470">
        <f t="shared" si="76"/>
        <v>0</v>
      </c>
      <c r="K108" s="470"/>
      <c r="L108" s="471" t="str">
        <f t="shared" si="77"/>
        <v>PROJETADA</v>
      </c>
      <c r="M108"/>
      <c r="N108" s="472"/>
      <c r="O108"/>
      <c r="P108" s="469">
        <f t="shared" si="73"/>
        <v>0</v>
      </c>
      <c r="Q108" s="447"/>
    </row>
    <row r="109" spans="1:17" s="140" customFormat="1" ht="28.5" x14ac:dyDescent="0.35">
      <c r="A109" s="469" t="s">
        <v>2957</v>
      </c>
      <c r="B109" s="469" t="s">
        <v>2956</v>
      </c>
      <c r="C109" s="469" t="str">
        <f t="shared" si="74"/>
        <v>BL27-&gt;PV4.3</v>
      </c>
      <c r="D109" s="469">
        <v>4.5</v>
      </c>
      <c r="E109" s="469" t="s">
        <v>2452</v>
      </c>
      <c r="F109" s="469">
        <v>9.4</v>
      </c>
      <c r="G109" s="469"/>
      <c r="H109" s="469" t="s">
        <v>2462</v>
      </c>
      <c r="I109" s="470" t="str">
        <f t="shared" si="75"/>
        <v>BOCA DE LOBO PROJETADA DUPLA</v>
      </c>
      <c r="J109" s="470">
        <f t="shared" si="76"/>
        <v>0</v>
      </c>
      <c r="K109" s="470"/>
      <c r="L109" s="471" t="str">
        <f t="shared" si="77"/>
        <v>PROJETADA</v>
      </c>
      <c r="M109"/>
      <c r="N109" s="472"/>
      <c r="O109"/>
      <c r="P109" s="469">
        <f t="shared" si="73"/>
        <v>0</v>
      </c>
      <c r="Q109" s="447"/>
    </row>
    <row r="110" spans="1:17" s="140" customFormat="1" x14ac:dyDescent="0.35">
      <c r="A110" s="466" t="s">
        <v>2464</v>
      </c>
      <c r="B110" s="469"/>
      <c r="C110" s="469"/>
      <c r="D110" s="469"/>
      <c r="E110" s="469"/>
      <c r="F110" s="469"/>
      <c r="G110" s="469"/>
      <c r="H110" s="469"/>
      <c r="I110" s="470"/>
      <c r="J110" s="470"/>
      <c r="K110" s="470"/>
      <c r="L110" s="471"/>
      <c r="M110"/>
      <c r="N110" s="472"/>
      <c r="O110"/>
      <c r="P110" s="469">
        <f t="shared" si="73"/>
        <v>0</v>
      </c>
      <c r="Q110" s="447"/>
    </row>
    <row r="111" spans="1:17" s="140" customFormat="1" ht="28.5" x14ac:dyDescent="0.35">
      <c r="A111" s="469" t="s">
        <v>2955</v>
      </c>
      <c r="B111" s="469" t="s">
        <v>2954</v>
      </c>
      <c r="C111" s="469" t="str">
        <f t="shared" ref="C111:C134" si="79">CONCATENATE(B111,"-&gt;",A111)</f>
        <v>BL28-&gt;PV1.4</v>
      </c>
      <c r="D111" s="469">
        <v>1.6</v>
      </c>
      <c r="E111" s="469" t="s">
        <v>2452</v>
      </c>
      <c r="F111" s="469">
        <v>8.35</v>
      </c>
      <c r="G111" s="469"/>
      <c r="H111" s="469" t="s">
        <v>2462</v>
      </c>
      <c r="I111" s="470" t="str">
        <f t="shared" ref="I111:I134" si="80">IF(G111="","BOCA DE LOBO PROJETADA "&amp;H111,IF(H111="","BOCA DE LOBO EXISTENTE "&amp;G111,"BOCA DE LOBO "&amp;G111&amp;" EXISTENTE COM BOCA DE LOBO "&amp;H111&amp;" PROJETADA"))</f>
        <v>BOCA DE LOBO PROJETADA DUPLA</v>
      </c>
      <c r="J111" s="470">
        <f t="shared" ref="J111:J134" si="81">IF(E111="EXISTENTE",1,0)</f>
        <v>0</v>
      </c>
      <c r="K111" s="470"/>
      <c r="L111" s="471" t="str">
        <f t="shared" ref="L111:L134" si="82">IF(G111&lt;&gt;"",IF(H111&lt;&gt;"","AMPLIADA","EXISTENTE"),"PROJETADA")</f>
        <v>PROJETADA</v>
      </c>
      <c r="M111"/>
      <c r="N111" s="472"/>
      <c r="O111"/>
      <c r="P111" s="469">
        <f t="shared" si="73"/>
        <v>0</v>
      </c>
      <c r="Q111" s="447"/>
    </row>
    <row r="112" spans="1:17" s="140" customFormat="1" ht="28.5" x14ac:dyDescent="0.35">
      <c r="A112" s="469" t="s">
        <v>2953</v>
      </c>
      <c r="B112" s="469" t="s">
        <v>2952</v>
      </c>
      <c r="C112" s="469" t="str">
        <f t="shared" si="79"/>
        <v>BL29-&gt;PV2.4</v>
      </c>
      <c r="D112" s="469">
        <v>1.6</v>
      </c>
      <c r="E112" s="469" t="s">
        <v>2452</v>
      </c>
      <c r="F112" s="469">
        <v>7.09</v>
      </c>
      <c r="G112" s="469"/>
      <c r="H112" s="469" t="s">
        <v>2462</v>
      </c>
      <c r="I112" s="470" t="str">
        <f t="shared" si="80"/>
        <v>BOCA DE LOBO PROJETADA DUPLA</v>
      </c>
      <c r="J112" s="470">
        <f t="shared" si="81"/>
        <v>0</v>
      </c>
      <c r="K112" s="470"/>
      <c r="L112" s="471" t="str">
        <f t="shared" si="82"/>
        <v>PROJETADA</v>
      </c>
      <c r="M112"/>
      <c r="N112" s="472"/>
      <c r="O112"/>
      <c r="P112" s="469">
        <f t="shared" si="73"/>
        <v>0</v>
      </c>
      <c r="Q112" s="447"/>
    </row>
    <row r="113" spans="1:17" s="140" customFormat="1" ht="28.5" x14ac:dyDescent="0.35">
      <c r="A113" s="469" t="s">
        <v>2951</v>
      </c>
      <c r="B113" s="469" t="s">
        <v>2950</v>
      </c>
      <c r="C113" s="469" t="str">
        <f t="shared" si="79"/>
        <v>BL30-&gt;PV3.4</v>
      </c>
      <c r="D113" s="469">
        <v>1.6</v>
      </c>
      <c r="E113" s="469" t="s">
        <v>2452</v>
      </c>
      <c r="F113" s="469">
        <v>6.9</v>
      </c>
      <c r="G113" s="469"/>
      <c r="H113" s="469" t="s">
        <v>2462</v>
      </c>
      <c r="I113" s="470" t="str">
        <f t="shared" si="80"/>
        <v>BOCA DE LOBO PROJETADA DUPLA</v>
      </c>
      <c r="J113" s="470">
        <f t="shared" si="81"/>
        <v>0</v>
      </c>
      <c r="K113" s="470"/>
      <c r="L113" s="471" t="str">
        <f t="shared" si="82"/>
        <v>PROJETADA</v>
      </c>
      <c r="M113"/>
      <c r="N113" s="472"/>
      <c r="O113"/>
      <c r="P113" s="469">
        <f t="shared" si="73"/>
        <v>0</v>
      </c>
      <c r="Q113" s="447"/>
    </row>
    <row r="114" spans="1:17" s="140" customFormat="1" ht="28.5" x14ac:dyDescent="0.35">
      <c r="A114" s="469" t="s">
        <v>2949</v>
      </c>
      <c r="B114" s="469" t="s">
        <v>2948</v>
      </c>
      <c r="C114" s="469" t="str">
        <f t="shared" si="79"/>
        <v>BL31-&gt;PV4.4</v>
      </c>
      <c r="D114" s="469">
        <v>1.6</v>
      </c>
      <c r="E114" s="469" t="s">
        <v>2452</v>
      </c>
      <c r="F114" s="469">
        <v>9.5299999999999994</v>
      </c>
      <c r="G114" s="469"/>
      <c r="H114" s="469" t="s">
        <v>2462</v>
      </c>
      <c r="I114" s="470" t="str">
        <f t="shared" si="80"/>
        <v>BOCA DE LOBO PROJETADA DUPLA</v>
      </c>
      <c r="J114" s="470">
        <f t="shared" si="81"/>
        <v>0</v>
      </c>
      <c r="K114" s="470"/>
      <c r="L114" s="471" t="str">
        <f t="shared" si="82"/>
        <v>PROJETADA</v>
      </c>
      <c r="M114"/>
      <c r="N114" s="472"/>
      <c r="O114"/>
      <c r="P114" s="469">
        <f t="shared" ref="P114:P145" si="83">IF(AND(E114="PROJETADO",G114&lt;&gt;""),F114/2*(PI()*0.519*0.519/4-PI()*0.4*0.4/4),0)</f>
        <v>0</v>
      </c>
      <c r="Q114" s="447"/>
    </row>
    <row r="115" spans="1:17" s="140" customFormat="1" ht="28.5" x14ac:dyDescent="0.35">
      <c r="A115" s="469" t="s">
        <v>2450</v>
      </c>
      <c r="B115" s="469" t="s">
        <v>2947</v>
      </c>
      <c r="C115" s="469" t="str">
        <f t="shared" si="79"/>
        <v>BL32-&gt;PV1.1</v>
      </c>
      <c r="D115" s="469">
        <v>1.6</v>
      </c>
      <c r="E115" s="469" t="s">
        <v>2452</v>
      </c>
      <c r="F115" s="469">
        <v>1.91</v>
      </c>
      <c r="G115" s="469"/>
      <c r="H115" s="469" t="s">
        <v>2462</v>
      </c>
      <c r="I115" s="470" t="str">
        <f t="shared" si="80"/>
        <v>BOCA DE LOBO PROJETADA DUPLA</v>
      </c>
      <c r="J115" s="470">
        <f t="shared" si="81"/>
        <v>0</v>
      </c>
      <c r="K115" s="470"/>
      <c r="L115" s="471" t="str">
        <f t="shared" si="82"/>
        <v>PROJETADA</v>
      </c>
      <c r="M115"/>
      <c r="N115" s="472"/>
      <c r="O115"/>
      <c r="P115" s="469">
        <f t="shared" si="83"/>
        <v>0</v>
      </c>
      <c r="Q115" s="447"/>
    </row>
    <row r="116" spans="1:17" s="140" customFormat="1" ht="28.5" x14ac:dyDescent="0.35">
      <c r="A116" s="469" t="s">
        <v>2455</v>
      </c>
      <c r="B116" s="469" t="s">
        <v>2946</v>
      </c>
      <c r="C116" s="469" t="str">
        <f t="shared" si="79"/>
        <v>BL33-&gt;PV2.1</v>
      </c>
      <c r="D116" s="469">
        <v>1.6</v>
      </c>
      <c r="E116" s="469" t="s">
        <v>2452</v>
      </c>
      <c r="F116" s="469">
        <v>2.5099999999999998</v>
      </c>
      <c r="G116" s="469"/>
      <c r="H116" s="469" t="s">
        <v>2462</v>
      </c>
      <c r="I116" s="470" t="str">
        <f t="shared" si="80"/>
        <v>BOCA DE LOBO PROJETADA DUPLA</v>
      </c>
      <c r="J116" s="470">
        <f t="shared" si="81"/>
        <v>0</v>
      </c>
      <c r="K116" s="470"/>
      <c r="L116" s="471" t="str">
        <f t="shared" si="82"/>
        <v>PROJETADA</v>
      </c>
      <c r="M116"/>
      <c r="N116" s="472"/>
      <c r="O116"/>
      <c r="P116" s="469">
        <f t="shared" si="83"/>
        <v>0</v>
      </c>
      <c r="Q116" s="447"/>
    </row>
    <row r="117" spans="1:17" s="140" customFormat="1" ht="28.5" x14ac:dyDescent="0.35">
      <c r="A117" s="469" t="s">
        <v>2457</v>
      </c>
      <c r="B117" s="469" t="s">
        <v>2945</v>
      </c>
      <c r="C117" s="469" t="str">
        <f t="shared" si="79"/>
        <v>BL34-&gt;PV3.1</v>
      </c>
      <c r="D117" s="469">
        <v>1.6</v>
      </c>
      <c r="E117" s="469" t="s">
        <v>2452</v>
      </c>
      <c r="F117" s="469">
        <v>2.6</v>
      </c>
      <c r="G117" s="469"/>
      <c r="H117" s="469" t="s">
        <v>2462</v>
      </c>
      <c r="I117" s="470" t="str">
        <f t="shared" si="80"/>
        <v>BOCA DE LOBO PROJETADA DUPLA</v>
      </c>
      <c r="J117" s="470">
        <f t="shared" si="81"/>
        <v>0</v>
      </c>
      <c r="K117" s="470"/>
      <c r="L117" s="471" t="str">
        <f t="shared" si="82"/>
        <v>PROJETADA</v>
      </c>
      <c r="M117"/>
      <c r="N117" s="472"/>
      <c r="O117"/>
      <c r="P117" s="469">
        <f t="shared" si="83"/>
        <v>0</v>
      </c>
      <c r="Q117" s="447"/>
    </row>
    <row r="118" spans="1:17" s="140" customFormat="1" ht="28.5" x14ac:dyDescent="0.35">
      <c r="A118" s="469" t="s">
        <v>2460</v>
      </c>
      <c r="B118" s="469" t="s">
        <v>2944</v>
      </c>
      <c r="C118" s="469" t="str">
        <f t="shared" si="79"/>
        <v>BL35-&gt;PV4.1</v>
      </c>
      <c r="D118" s="469">
        <v>1.81</v>
      </c>
      <c r="E118" s="469" t="s">
        <v>2452</v>
      </c>
      <c r="F118" s="469">
        <v>2.52</v>
      </c>
      <c r="G118" s="469"/>
      <c r="H118" s="469" t="s">
        <v>2462</v>
      </c>
      <c r="I118" s="470" t="str">
        <f t="shared" si="80"/>
        <v>BOCA DE LOBO PROJETADA DUPLA</v>
      </c>
      <c r="J118" s="470">
        <f t="shared" si="81"/>
        <v>0</v>
      </c>
      <c r="K118" s="470"/>
      <c r="L118" s="471" t="str">
        <f t="shared" si="82"/>
        <v>PROJETADA</v>
      </c>
      <c r="M118"/>
      <c r="N118" s="472"/>
      <c r="O118"/>
      <c r="P118" s="469">
        <f t="shared" si="83"/>
        <v>0</v>
      </c>
      <c r="Q118" s="447"/>
    </row>
    <row r="119" spans="1:17" s="140" customFormat="1" ht="28.5" x14ac:dyDescent="0.35">
      <c r="A119" s="469" t="s">
        <v>2478</v>
      </c>
      <c r="B119" s="469" t="s">
        <v>2943</v>
      </c>
      <c r="C119" s="469" t="str">
        <f t="shared" si="79"/>
        <v>BL36-&gt;PV5.1</v>
      </c>
      <c r="D119" s="469">
        <v>1.81</v>
      </c>
      <c r="E119" s="469" t="s">
        <v>2452</v>
      </c>
      <c r="F119" s="469">
        <v>2.38</v>
      </c>
      <c r="G119" s="469"/>
      <c r="H119" s="469" t="s">
        <v>2462</v>
      </c>
      <c r="I119" s="470" t="str">
        <f t="shared" si="80"/>
        <v>BOCA DE LOBO PROJETADA DUPLA</v>
      </c>
      <c r="J119" s="470">
        <f t="shared" si="81"/>
        <v>0</v>
      </c>
      <c r="K119" s="470"/>
      <c r="L119" s="471" t="str">
        <f t="shared" si="82"/>
        <v>PROJETADA</v>
      </c>
      <c r="M119"/>
      <c r="N119" s="472"/>
      <c r="O119"/>
      <c r="P119" s="469">
        <f t="shared" si="83"/>
        <v>0</v>
      </c>
      <c r="Q119" s="447"/>
    </row>
    <row r="120" spans="1:17" s="140" customFormat="1" ht="28.5" x14ac:dyDescent="0.35">
      <c r="A120" s="469" t="s">
        <v>2481</v>
      </c>
      <c r="B120" s="469" t="s">
        <v>2942</v>
      </c>
      <c r="C120" s="469" t="str">
        <f t="shared" si="79"/>
        <v>BL37-&gt;PV6.1</v>
      </c>
      <c r="D120" s="469">
        <v>1.81</v>
      </c>
      <c r="E120" s="469" t="s">
        <v>2452</v>
      </c>
      <c r="F120" s="469">
        <v>2.37</v>
      </c>
      <c r="G120" s="469"/>
      <c r="H120" s="469" t="s">
        <v>2462</v>
      </c>
      <c r="I120" s="470" t="str">
        <f t="shared" si="80"/>
        <v>BOCA DE LOBO PROJETADA DUPLA</v>
      </c>
      <c r="J120" s="470">
        <f t="shared" si="81"/>
        <v>0</v>
      </c>
      <c r="K120" s="470"/>
      <c r="L120" s="471" t="str">
        <f t="shared" si="82"/>
        <v>PROJETADA</v>
      </c>
      <c r="M120"/>
      <c r="N120" s="472"/>
      <c r="O120"/>
      <c r="P120" s="469">
        <f t="shared" si="83"/>
        <v>0</v>
      </c>
      <c r="Q120" s="447"/>
    </row>
    <row r="121" spans="1:17" s="140" customFormat="1" ht="28.5" x14ac:dyDescent="0.35">
      <c r="A121" s="469" t="s">
        <v>2484</v>
      </c>
      <c r="B121" s="469" t="s">
        <v>2941</v>
      </c>
      <c r="C121" s="469" t="str">
        <f t="shared" si="79"/>
        <v>BL38-&gt;PV7.1</v>
      </c>
      <c r="D121" s="469">
        <v>1.81</v>
      </c>
      <c r="E121" s="469" t="s">
        <v>2452</v>
      </c>
      <c r="F121" s="469">
        <v>2.4900000000000002</v>
      </c>
      <c r="G121" s="469"/>
      <c r="H121" s="469" t="s">
        <v>2462</v>
      </c>
      <c r="I121" s="470" t="str">
        <f t="shared" si="80"/>
        <v>BOCA DE LOBO PROJETADA DUPLA</v>
      </c>
      <c r="J121" s="470">
        <f t="shared" si="81"/>
        <v>0</v>
      </c>
      <c r="K121" s="470"/>
      <c r="L121" s="471" t="str">
        <f t="shared" si="82"/>
        <v>PROJETADA</v>
      </c>
      <c r="M121"/>
      <c r="N121" s="472"/>
      <c r="O121"/>
      <c r="P121" s="469">
        <f t="shared" si="83"/>
        <v>0</v>
      </c>
      <c r="Q121" s="447"/>
    </row>
    <row r="122" spans="1:17" s="140" customFormat="1" ht="28.5" x14ac:dyDescent="0.35">
      <c r="A122" s="469" t="s">
        <v>2940</v>
      </c>
      <c r="B122" s="469" t="s">
        <v>2939</v>
      </c>
      <c r="C122" s="469" t="str">
        <f t="shared" si="79"/>
        <v>BL39-&gt;PV8.1</v>
      </c>
      <c r="D122" s="469">
        <v>1.81</v>
      </c>
      <c r="E122" s="469" t="s">
        <v>2452</v>
      </c>
      <c r="F122" s="469">
        <v>2.4700000000000002</v>
      </c>
      <c r="G122" s="469"/>
      <c r="H122" s="469" t="s">
        <v>2462</v>
      </c>
      <c r="I122" s="470" t="str">
        <f t="shared" si="80"/>
        <v>BOCA DE LOBO PROJETADA DUPLA</v>
      </c>
      <c r="J122" s="470">
        <f t="shared" si="81"/>
        <v>0</v>
      </c>
      <c r="K122" s="470"/>
      <c r="L122" s="471" t="str">
        <f t="shared" si="82"/>
        <v>PROJETADA</v>
      </c>
      <c r="M122"/>
      <c r="N122" s="472"/>
      <c r="O122"/>
      <c r="P122" s="469">
        <f t="shared" si="83"/>
        <v>0</v>
      </c>
      <c r="Q122" s="447"/>
    </row>
    <row r="123" spans="1:17" s="140" customFormat="1" ht="28.5" x14ac:dyDescent="0.35">
      <c r="A123" s="469" t="s">
        <v>2938</v>
      </c>
      <c r="B123" s="469" t="s">
        <v>2937</v>
      </c>
      <c r="C123" s="469" t="str">
        <f t="shared" si="79"/>
        <v>BL40-&gt;PV9.1</v>
      </c>
      <c r="D123" s="469">
        <v>1.81</v>
      </c>
      <c r="E123" s="469" t="s">
        <v>2452</v>
      </c>
      <c r="F123" s="469">
        <v>2.73</v>
      </c>
      <c r="G123" s="469"/>
      <c r="H123" s="469" t="s">
        <v>2462</v>
      </c>
      <c r="I123" s="470" t="str">
        <f t="shared" si="80"/>
        <v>BOCA DE LOBO PROJETADA DUPLA</v>
      </c>
      <c r="J123" s="470">
        <f t="shared" si="81"/>
        <v>0</v>
      </c>
      <c r="K123" s="470"/>
      <c r="L123" s="471" t="str">
        <f t="shared" si="82"/>
        <v>PROJETADA</v>
      </c>
      <c r="M123"/>
      <c r="N123" s="472"/>
      <c r="O123"/>
      <c r="P123" s="469">
        <f t="shared" si="83"/>
        <v>0</v>
      </c>
      <c r="Q123" s="447"/>
    </row>
    <row r="124" spans="1:17" s="140" customFormat="1" ht="28.5" x14ac:dyDescent="0.35">
      <c r="A124" s="469" t="s">
        <v>2936</v>
      </c>
      <c r="B124" s="469" t="s">
        <v>2935</v>
      </c>
      <c r="C124" s="469" t="str">
        <f t="shared" si="79"/>
        <v>BL41-&gt;PV10.1</v>
      </c>
      <c r="D124" s="469">
        <v>1.81</v>
      </c>
      <c r="E124" s="469" t="s">
        <v>2452</v>
      </c>
      <c r="F124" s="469">
        <v>0.99</v>
      </c>
      <c r="G124" s="469"/>
      <c r="H124" s="469" t="s">
        <v>2462</v>
      </c>
      <c r="I124" s="470" t="str">
        <f t="shared" si="80"/>
        <v>BOCA DE LOBO PROJETADA DUPLA</v>
      </c>
      <c r="J124" s="470">
        <f t="shared" si="81"/>
        <v>0</v>
      </c>
      <c r="K124" s="470"/>
      <c r="L124" s="471" t="str">
        <f t="shared" si="82"/>
        <v>PROJETADA</v>
      </c>
      <c r="M124"/>
      <c r="N124" s="472"/>
      <c r="O124"/>
      <c r="P124" s="469">
        <f t="shared" si="83"/>
        <v>0</v>
      </c>
      <c r="Q124" s="447"/>
    </row>
    <row r="125" spans="1:17" s="140" customFormat="1" ht="28.5" x14ac:dyDescent="0.35">
      <c r="A125" s="469" t="s">
        <v>2934</v>
      </c>
      <c r="B125" s="469" t="s">
        <v>2933</v>
      </c>
      <c r="C125" s="469" t="str">
        <f t="shared" si="79"/>
        <v>BL42-&gt;PV11.1</v>
      </c>
      <c r="D125" s="469">
        <v>2.42</v>
      </c>
      <c r="E125" s="469" t="s">
        <v>2452</v>
      </c>
      <c r="F125" s="469">
        <v>2.42</v>
      </c>
      <c r="G125" s="469"/>
      <c r="H125" s="469" t="s">
        <v>2462</v>
      </c>
      <c r="I125" s="470" t="str">
        <f t="shared" si="80"/>
        <v>BOCA DE LOBO PROJETADA DUPLA</v>
      </c>
      <c r="J125" s="470">
        <f t="shared" si="81"/>
        <v>0</v>
      </c>
      <c r="K125" s="470"/>
      <c r="L125" s="471" t="str">
        <f t="shared" si="82"/>
        <v>PROJETADA</v>
      </c>
      <c r="M125"/>
      <c r="N125" s="472"/>
      <c r="O125"/>
      <c r="P125" s="469">
        <f t="shared" si="83"/>
        <v>0</v>
      </c>
      <c r="Q125" s="447"/>
    </row>
    <row r="126" spans="1:17" s="140" customFormat="1" ht="28.5" x14ac:dyDescent="0.35">
      <c r="A126" s="469" t="s">
        <v>2932</v>
      </c>
      <c r="B126" s="469" t="s">
        <v>2931</v>
      </c>
      <c r="C126" s="469" t="str">
        <f t="shared" si="79"/>
        <v>BL43-&gt;PV12.1</v>
      </c>
      <c r="D126" s="469">
        <v>2.42</v>
      </c>
      <c r="E126" s="469" t="s">
        <v>2452</v>
      </c>
      <c r="F126" s="469">
        <v>8.36</v>
      </c>
      <c r="G126" s="469"/>
      <c r="H126" s="469" t="s">
        <v>2462</v>
      </c>
      <c r="I126" s="470" t="str">
        <f t="shared" si="80"/>
        <v>BOCA DE LOBO PROJETADA DUPLA</v>
      </c>
      <c r="J126" s="470">
        <f t="shared" si="81"/>
        <v>0</v>
      </c>
      <c r="K126" s="470"/>
      <c r="L126" s="471" t="str">
        <f t="shared" si="82"/>
        <v>PROJETADA</v>
      </c>
      <c r="M126"/>
      <c r="N126" s="472"/>
      <c r="O126"/>
      <c r="P126" s="469">
        <f t="shared" si="83"/>
        <v>0</v>
      </c>
      <c r="Q126" s="447"/>
    </row>
    <row r="127" spans="1:17" s="140" customFormat="1" ht="28.5" x14ac:dyDescent="0.35">
      <c r="A127" s="469" t="s">
        <v>2930</v>
      </c>
      <c r="B127" s="469" t="s">
        <v>2929</v>
      </c>
      <c r="C127" s="469" t="str">
        <f t="shared" si="79"/>
        <v>BL44-&gt;PV13.1</v>
      </c>
      <c r="D127" s="469">
        <v>2.25</v>
      </c>
      <c r="E127" s="469" t="s">
        <v>2452</v>
      </c>
      <c r="F127" s="469">
        <v>9.24</v>
      </c>
      <c r="G127" s="469"/>
      <c r="H127" s="469" t="s">
        <v>2462</v>
      </c>
      <c r="I127" s="470" t="str">
        <f t="shared" si="80"/>
        <v>BOCA DE LOBO PROJETADA DUPLA</v>
      </c>
      <c r="J127" s="470">
        <f t="shared" si="81"/>
        <v>0</v>
      </c>
      <c r="K127" s="470"/>
      <c r="L127" s="471" t="str">
        <f t="shared" si="82"/>
        <v>PROJETADA</v>
      </c>
      <c r="M127"/>
      <c r="N127" s="472"/>
      <c r="O127"/>
      <c r="P127" s="469">
        <f t="shared" si="83"/>
        <v>0</v>
      </c>
      <c r="Q127" s="447"/>
    </row>
    <row r="128" spans="1:17" s="140" customFormat="1" ht="28.5" x14ac:dyDescent="0.35">
      <c r="A128" s="469" t="s">
        <v>2928</v>
      </c>
      <c r="B128" s="469" t="s">
        <v>2927</v>
      </c>
      <c r="C128" s="469" t="str">
        <f t="shared" si="79"/>
        <v>BL45-&gt;PV14.1</v>
      </c>
      <c r="D128" s="469">
        <v>2.2000000000000002</v>
      </c>
      <c r="E128" s="469" t="s">
        <v>2452</v>
      </c>
      <c r="F128" s="469">
        <v>8.42</v>
      </c>
      <c r="G128" s="469"/>
      <c r="H128" s="469" t="s">
        <v>2462</v>
      </c>
      <c r="I128" s="470" t="str">
        <f t="shared" si="80"/>
        <v>BOCA DE LOBO PROJETADA DUPLA</v>
      </c>
      <c r="J128" s="470">
        <f t="shared" si="81"/>
        <v>0</v>
      </c>
      <c r="K128" s="470"/>
      <c r="L128" s="471" t="str">
        <f t="shared" si="82"/>
        <v>PROJETADA</v>
      </c>
      <c r="M128"/>
      <c r="N128" s="472"/>
      <c r="O128"/>
      <c r="P128" s="469">
        <f t="shared" si="83"/>
        <v>0</v>
      </c>
      <c r="Q128" s="447"/>
    </row>
    <row r="129" spans="1:17" s="140" customFormat="1" ht="28.5" x14ac:dyDescent="0.35">
      <c r="A129" s="469" t="s">
        <v>2926</v>
      </c>
      <c r="B129" s="469" t="s">
        <v>2925</v>
      </c>
      <c r="C129" s="469" t="str">
        <f t="shared" si="79"/>
        <v>BL46-&gt;PV15.1</v>
      </c>
      <c r="D129" s="469">
        <v>2.2000000000000002</v>
      </c>
      <c r="E129" s="469" t="s">
        <v>2452</v>
      </c>
      <c r="F129" s="469">
        <v>6.28</v>
      </c>
      <c r="G129" s="469"/>
      <c r="H129" s="469" t="s">
        <v>2462</v>
      </c>
      <c r="I129" s="470" t="str">
        <f t="shared" si="80"/>
        <v>BOCA DE LOBO PROJETADA DUPLA</v>
      </c>
      <c r="J129" s="470">
        <f t="shared" si="81"/>
        <v>0</v>
      </c>
      <c r="K129" s="470"/>
      <c r="L129" s="471" t="str">
        <f t="shared" si="82"/>
        <v>PROJETADA</v>
      </c>
      <c r="M129"/>
      <c r="N129" s="472"/>
      <c r="O129"/>
      <c r="P129" s="469">
        <f t="shared" si="83"/>
        <v>0</v>
      </c>
      <c r="Q129" s="447"/>
    </row>
    <row r="130" spans="1:17" s="140" customFormat="1" ht="28.5" x14ac:dyDescent="0.35">
      <c r="A130" s="469" t="s">
        <v>2924</v>
      </c>
      <c r="B130" s="469" t="s">
        <v>2923</v>
      </c>
      <c r="C130" s="469" t="str">
        <f t="shared" si="79"/>
        <v>BL47-&gt;PV16.1</v>
      </c>
      <c r="D130" s="469">
        <v>2.25</v>
      </c>
      <c r="E130" s="469" t="s">
        <v>2452</v>
      </c>
      <c r="F130" s="469">
        <v>7.07</v>
      </c>
      <c r="G130" s="469"/>
      <c r="H130" s="469" t="s">
        <v>2462</v>
      </c>
      <c r="I130" s="470" t="str">
        <f t="shared" si="80"/>
        <v>BOCA DE LOBO PROJETADA DUPLA</v>
      </c>
      <c r="J130" s="470">
        <f t="shared" si="81"/>
        <v>0</v>
      </c>
      <c r="K130" s="470"/>
      <c r="L130" s="471" t="str">
        <f t="shared" si="82"/>
        <v>PROJETADA</v>
      </c>
      <c r="M130"/>
      <c r="N130" s="472"/>
      <c r="O130"/>
      <c r="P130" s="469">
        <f t="shared" si="83"/>
        <v>0</v>
      </c>
      <c r="Q130" s="447"/>
    </row>
    <row r="131" spans="1:17" s="140" customFormat="1" ht="28.5" x14ac:dyDescent="0.35">
      <c r="A131" s="469" t="s">
        <v>2922</v>
      </c>
      <c r="B131" s="469" t="s">
        <v>2921</v>
      </c>
      <c r="C131" s="469" t="str">
        <f t="shared" si="79"/>
        <v>BL48-&gt;PV17.1</v>
      </c>
      <c r="D131" s="469">
        <v>2.6</v>
      </c>
      <c r="E131" s="469" t="s">
        <v>2452</v>
      </c>
      <c r="F131" s="469">
        <v>8.6199999999999992</v>
      </c>
      <c r="G131" s="469"/>
      <c r="H131" s="469" t="s">
        <v>2462</v>
      </c>
      <c r="I131" s="470" t="str">
        <f t="shared" si="80"/>
        <v>BOCA DE LOBO PROJETADA DUPLA</v>
      </c>
      <c r="J131" s="470">
        <f t="shared" si="81"/>
        <v>0</v>
      </c>
      <c r="K131" s="470"/>
      <c r="L131" s="471" t="str">
        <f t="shared" si="82"/>
        <v>PROJETADA</v>
      </c>
      <c r="M131"/>
      <c r="N131" s="472"/>
      <c r="O131"/>
      <c r="P131" s="469">
        <f t="shared" si="83"/>
        <v>0</v>
      </c>
      <c r="Q131" s="447"/>
    </row>
    <row r="132" spans="1:17" s="140" customFormat="1" ht="28.5" x14ac:dyDescent="0.35">
      <c r="A132" s="469" t="s">
        <v>2914</v>
      </c>
      <c r="B132" s="469" t="s">
        <v>2920</v>
      </c>
      <c r="C132" s="469" t="str">
        <f t="shared" si="79"/>
        <v>BL49-&gt;PV1.2</v>
      </c>
      <c r="D132" s="469">
        <v>1.81</v>
      </c>
      <c r="E132" s="469" t="s">
        <v>2452</v>
      </c>
      <c r="F132" s="469">
        <v>9.7799999999999994</v>
      </c>
      <c r="G132" s="469"/>
      <c r="H132" s="469" t="s">
        <v>2462</v>
      </c>
      <c r="I132" s="470" t="str">
        <f t="shared" si="80"/>
        <v>BOCA DE LOBO PROJETADA DUPLA</v>
      </c>
      <c r="J132" s="470">
        <f t="shared" si="81"/>
        <v>0</v>
      </c>
      <c r="K132" s="470"/>
      <c r="L132" s="471" t="str">
        <f t="shared" si="82"/>
        <v>PROJETADA</v>
      </c>
      <c r="M132"/>
      <c r="N132" s="472"/>
      <c r="O132"/>
      <c r="P132" s="469">
        <f t="shared" si="83"/>
        <v>0</v>
      </c>
      <c r="Q132" s="447"/>
    </row>
    <row r="133" spans="1:17" s="140" customFormat="1" ht="28.5" x14ac:dyDescent="0.35">
      <c r="A133" s="469" t="s">
        <v>2919</v>
      </c>
      <c r="B133" s="469" t="s">
        <v>2918</v>
      </c>
      <c r="C133" s="469" t="str">
        <f t="shared" si="79"/>
        <v>BL50-&gt;PV1.3</v>
      </c>
      <c r="D133" s="469">
        <v>1.6</v>
      </c>
      <c r="E133" s="469" t="s">
        <v>2452</v>
      </c>
      <c r="F133" s="469">
        <v>8.48</v>
      </c>
      <c r="G133" s="469"/>
      <c r="H133" s="469" t="s">
        <v>2462</v>
      </c>
      <c r="I133" s="470" t="str">
        <f t="shared" si="80"/>
        <v>BOCA DE LOBO PROJETADA DUPLA</v>
      </c>
      <c r="J133" s="470">
        <f t="shared" si="81"/>
        <v>0</v>
      </c>
      <c r="K133" s="470"/>
      <c r="L133" s="471" t="str">
        <f t="shared" si="82"/>
        <v>PROJETADA</v>
      </c>
      <c r="M133"/>
      <c r="N133" s="472"/>
      <c r="O133"/>
      <c r="P133" s="469">
        <f t="shared" si="83"/>
        <v>0</v>
      </c>
      <c r="Q133" s="447"/>
    </row>
    <row r="134" spans="1:17" s="140" customFormat="1" ht="28.5" x14ac:dyDescent="0.35">
      <c r="A134" s="469" t="s">
        <v>2917</v>
      </c>
      <c r="B134" s="469" t="s">
        <v>2916</v>
      </c>
      <c r="C134" s="469" t="str">
        <f t="shared" si="79"/>
        <v>BL51-&gt;PV2.3</v>
      </c>
      <c r="D134" s="469">
        <v>1.7</v>
      </c>
      <c r="E134" s="469" t="s">
        <v>2452</v>
      </c>
      <c r="F134" s="469">
        <v>8.2899999999999991</v>
      </c>
      <c r="G134" s="469"/>
      <c r="H134" s="469" t="s">
        <v>2462</v>
      </c>
      <c r="I134" s="470" t="str">
        <f t="shared" si="80"/>
        <v>BOCA DE LOBO PROJETADA DUPLA</v>
      </c>
      <c r="J134" s="470">
        <f t="shared" si="81"/>
        <v>0</v>
      </c>
      <c r="K134" s="470"/>
      <c r="L134" s="471" t="str">
        <f t="shared" si="82"/>
        <v>PROJETADA</v>
      </c>
      <c r="M134"/>
      <c r="N134" s="472"/>
      <c r="O134"/>
      <c r="P134" s="469">
        <f t="shared" si="83"/>
        <v>0</v>
      </c>
      <c r="Q134" s="447"/>
    </row>
    <row r="135" spans="1:17" s="140" customFormat="1" x14ac:dyDescent="0.35">
      <c r="A135" s="466" t="s">
        <v>2467</v>
      </c>
      <c r="B135" s="469"/>
      <c r="C135" s="469"/>
      <c r="D135" s="469"/>
      <c r="E135" s="469"/>
      <c r="F135" s="469"/>
      <c r="G135" s="469"/>
      <c r="H135" s="469"/>
      <c r="I135" s="470"/>
      <c r="J135" s="470"/>
      <c r="K135" s="470"/>
      <c r="L135" s="471"/>
      <c r="M135"/>
      <c r="N135" s="472"/>
      <c r="O135"/>
      <c r="P135" s="469">
        <f t="shared" si="83"/>
        <v>0</v>
      </c>
      <c r="Q135" s="447"/>
    </row>
    <row r="136" spans="1:17" s="140" customFormat="1" ht="28.5" x14ac:dyDescent="0.35">
      <c r="A136" s="469" t="s">
        <v>2914</v>
      </c>
      <c r="B136" s="469" t="s">
        <v>2915</v>
      </c>
      <c r="C136" s="469" t="str">
        <f>CONCATENATE(B136,"-&gt;",A136)</f>
        <v>BL52-&gt;PV1.2</v>
      </c>
      <c r="D136" s="469">
        <v>1.88</v>
      </c>
      <c r="E136" s="469" t="s">
        <v>2452</v>
      </c>
      <c r="F136" s="469">
        <v>6.06</v>
      </c>
      <c r="G136" s="469"/>
      <c r="H136" s="469" t="s">
        <v>2462</v>
      </c>
      <c r="I136" s="470" t="str">
        <f>IF(G136="","BOCA DE LOBO PROJETADA "&amp;H136,IF(H136="","BOCA DE LOBO EXISTENTE "&amp;G136,"BOCA DE LOBO "&amp;G136&amp;" EXISTENTE COM BOCA DE LOBO "&amp;H136&amp;" PROJETADA"))</f>
        <v>BOCA DE LOBO PROJETADA DUPLA</v>
      </c>
      <c r="J136" s="470">
        <f>IF(E136="EXISTENTE",1,0)</f>
        <v>0</v>
      </c>
      <c r="K136" s="470"/>
      <c r="L136" s="471" t="str">
        <f>IF(G136&lt;&gt;"",IF(H136&lt;&gt;"","AMPLIADA","EXISTENTE"),"PROJETADA")</f>
        <v>PROJETADA</v>
      </c>
      <c r="M136"/>
      <c r="N136" s="472"/>
      <c r="O136"/>
      <c r="P136" s="469">
        <f t="shared" si="83"/>
        <v>0</v>
      </c>
      <c r="Q136" s="447"/>
    </row>
    <row r="137" spans="1:17" s="140" customFormat="1" ht="28.5" x14ac:dyDescent="0.35">
      <c r="A137" s="469" t="s">
        <v>2914</v>
      </c>
      <c r="B137" s="469" t="s">
        <v>2913</v>
      </c>
      <c r="C137" s="469" t="str">
        <f>CONCATENATE(B137,"-&gt;",A137)</f>
        <v>BL53-&gt;PV1.2</v>
      </c>
      <c r="D137" s="469">
        <v>1.88</v>
      </c>
      <c r="E137" s="469" t="s">
        <v>2452</v>
      </c>
      <c r="F137" s="469">
        <v>8.2899999999999991</v>
      </c>
      <c r="G137" s="469"/>
      <c r="H137" s="469" t="s">
        <v>2462</v>
      </c>
      <c r="I137" s="470" t="str">
        <f>IF(G137="","BOCA DE LOBO PROJETADA "&amp;H137,IF(H137="","BOCA DE LOBO EXISTENTE "&amp;G137,"BOCA DE LOBO "&amp;G137&amp;" EXISTENTE COM BOCA DE LOBO "&amp;H137&amp;" PROJETADA"))</f>
        <v>BOCA DE LOBO PROJETADA DUPLA</v>
      </c>
      <c r="J137" s="470">
        <f>IF(E137="EXISTENTE",1,0)</f>
        <v>0</v>
      </c>
      <c r="K137" s="470"/>
      <c r="L137" s="471" t="str">
        <f>IF(G137&lt;&gt;"",IF(H137&lt;&gt;"","AMPLIADA","EXISTENTE"),"PROJETADA")</f>
        <v>PROJETADA</v>
      </c>
      <c r="M137"/>
      <c r="N137" s="472"/>
      <c r="O137"/>
      <c r="P137" s="469">
        <f t="shared" si="83"/>
        <v>0</v>
      </c>
      <c r="Q137" s="447"/>
    </row>
    <row r="138" spans="1:17" s="140" customFormat="1" x14ac:dyDescent="0.35">
      <c r="A138" s="466" t="s">
        <v>2487</v>
      </c>
      <c r="B138" s="469"/>
      <c r="C138" s="469"/>
      <c r="D138" s="469"/>
      <c r="E138" s="469"/>
      <c r="F138" s="469"/>
      <c r="G138" s="469"/>
      <c r="H138" s="469"/>
      <c r="I138" s="470"/>
      <c r="J138" s="470"/>
      <c r="K138" s="470"/>
      <c r="L138" s="471"/>
      <c r="M138"/>
      <c r="N138" s="472"/>
      <c r="O138"/>
      <c r="P138" s="469">
        <f t="shared" si="83"/>
        <v>0</v>
      </c>
      <c r="Q138" s="447"/>
    </row>
    <row r="139" spans="1:17" s="140" customFormat="1" ht="28.5" x14ac:dyDescent="0.35">
      <c r="A139" s="469" t="s">
        <v>2912</v>
      </c>
      <c r="B139" s="469" t="s">
        <v>2911</v>
      </c>
      <c r="C139" s="469" t="str">
        <f t="shared" ref="C139:C170" si="84">CONCATENATE(B139,"-&gt;",A139)</f>
        <v>BL54-&gt;PV1-102</v>
      </c>
      <c r="D139" s="469">
        <f>959.38-957.63</f>
        <v>1.75</v>
      </c>
      <c r="E139" s="469" t="s">
        <v>2487</v>
      </c>
      <c r="F139" s="469">
        <v>5.69</v>
      </c>
      <c r="G139" s="469"/>
      <c r="H139" s="469" t="s">
        <v>2476</v>
      </c>
      <c r="I139" s="470" t="str">
        <f t="shared" ref="I139:I170" si="85">IF(G139="","BOCA DE LOBO PROJETADA "&amp;H139,IF(H139="","BOCA DE LOBO EXISTENTE "&amp;G139,"BOCA DE LOBO "&amp;G139&amp;" EXISTENTE COM BOCA DE LOBO "&amp;H139&amp;" PROJETADA"))</f>
        <v>BOCA DE LOBO PROJETADA TRIPLA</v>
      </c>
      <c r="J139" s="470">
        <f t="shared" ref="J139:J170" si="86">IF(E139="EXISTENTE",1,0)</f>
        <v>1</v>
      </c>
      <c r="K139" s="470">
        <v>400</v>
      </c>
      <c r="L139" s="471" t="str">
        <f t="shared" ref="L139:L170" si="87">IF(G139&lt;&gt;"",IF(H139&lt;&gt;"","AMPLIADA","EXISTENTE"),"PROJETADA")</f>
        <v>PROJETADA</v>
      </c>
      <c r="M139"/>
      <c r="N139" s="472"/>
      <c r="O139"/>
      <c r="P139" s="469">
        <f t="shared" si="83"/>
        <v>0</v>
      </c>
      <c r="Q139" s="447"/>
    </row>
    <row r="140" spans="1:17" s="140" customFormat="1" ht="28.5" x14ac:dyDescent="0.35">
      <c r="A140" s="469" t="s">
        <v>2686</v>
      </c>
      <c r="B140" s="469" t="s">
        <v>2910</v>
      </c>
      <c r="C140" s="469" t="str">
        <f t="shared" si="84"/>
        <v>BL55-&gt;PV2-102</v>
      </c>
      <c r="D140" s="469">
        <f>957.35-955.55</f>
        <v>1.8000000000000682</v>
      </c>
      <c r="E140" s="469" t="s">
        <v>2487</v>
      </c>
      <c r="F140" s="469">
        <v>5.7</v>
      </c>
      <c r="G140" s="469"/>
      <c r="H140" s="469" t="s">
        <v>2462</v>
      </c>
      <c r="I140" s="470" t="str">
        <f t="shared" si="85"/>
        <v>BOCA DE LOBO PROJETADA DUPLA</v>
      </c>
      <c r="J140" s="470">
        <f t="shared" si="86"/>
        <v>1</v>
      </c>
      <c r="K140" s="470">
        <v>400</v>
      </c>
      <c r="L140" s="471" t="str">
        <f t="shared" si="87"/>
        <v>PROJETADA</v>
      </c>
      <c r="M140"/>
      <c r="N140" s="472"/>
      <c r="O140"/>
      <c r="P140" s="469">
        <f t="shared" si="83"/>
        <v>0</v>
      </c>
      <c r="Q140" s="447"/>
    </row>
    <row r="141" spans="1:17" s="140" customFormat="1" ht="28.5" x14ac:dyDescent="0.35">
      <c r="A141" s="469" t="s">
        <v>2685</v>
      </c>
      <c r="B141" s="469" t="s">
        <v>2909</v>
      </c>
      <c r="C141" s="469" t="str">
        <f t="shared" si="84"/>
        <v>BL56-&gt;PV3-102</v>
      </c>
      <c r="D141" s="469">
        <f>955.09-953.34</f>
        <v>1.75</v>
      </c>
      <c r="E141" s="469" t="s">
        <v>2487</v>
      </c>
      <c r="F141" s="469">
        <v>5.93</v>
      </c>
      <c r="G141" s="469"/>
      <c r="H141" s="469" t="s">
        <v>2462</v>
      </c>
      <c r="I141" s="470" t="str">
        <f t="shared" si="85"/>
        <v>BOCA DE LOBO PROJETADA DUPLA</v>
      </c>
      <c r="J141" s="470">
        <f t="shared" si="86"/>
        <v>1</v>
      </c>
      <c r="K141" s="470">
        <v>400</v>
      </c>
      <c r="L141" s="471" t="str">
        <f t="shared" si="87"/>
        <v>PROJETADA</v>
      </c>
      <c r="M141"/>
      <c r="N141" s="472"/>
      <c r="O141"/>
      <c r="P141" s="469">
        <f t="shared" si="83"/>
        <v>0</v>
      </c>
      <c r="Q141" s="447"/>
    </row>
    <row r="142" spans="1:17" s="140" customFormat="1" ht="28.5" x14ac:dyDescent="0.35">
      <c r="A142" s="469" t="s">
        <v>2684</v>
      </c>
      <c r="B142" s="469" t="s">
        <v>2908</v>
      </c>
      <c r="C142" s="469" t="str">
        <f t="shared" si="84"/>
        <v>BL57-&gt;PV4-102</v>
      </c>
      <c r="D142" s="469">
        <f>953.02-950.97</f>
        <v>2.0499999999999545</v>
      </c>
      <c r="E142" s="469" t="s">
        <v>2487</v>
      </c>
      <c r="F142" s="469">
        <v>7.45</v>
      </c>
      <c r="G142" s="469"/>
      <c r="H142" s="469" t="s">
        <v>2462</v>
      </c>
      <c r="I142" s="470" t="str">
        <f t="shared" si="85"/>
        <v>BOCA DE LOBO PROJETADA DUPLA</v>
      </c>
      <c r="J142" s="470">
        <f t="shared" si="86"/>
        <v>1</v>
      </c>
      <c r="K142" s="470" t="s">
        <v>2832</v>
      </c>
      <c r="L142" s="471" t="str">
        <f t="shared" si="87"/>
        <v>PROJETADA</v>
      </c>
      <c r="M142"/>
      <c r="N142" s="472"/>
      <c r="O142"/>
      <c r="P142" s="469">
        <f t="shared" si="83"/>
        <v>0</v>
      </c>
      <c r="Q142" s="447"/>
    </row>
    <row r="143" spans="1:17" s="140" customFormat="1" ht="28.5" x14ac:dyDescent="0.35">
      <c r="A143" s="469" t="s">
        <v>2684</v>
      </c>
      <c r="B143" s="469" t="s">
        <v>2907</v>
      </c>
      <c r="C143" s="469" t="str">
        <f t="shared" si="84"/>
        <v>BL58-&gt;PV4-102</v>
      </c>
      <c r="D143" s="469">
        <f>953.02-950.97</f>
        <v>2.0499999999999545</v>
      </c>
      <c r="E143" s="469" t="s">
        <v>2487</v>
      </c>
      <c r="F143" s="469">
        <v>6.75</v>
      </c>
      <c r="G143" s="469"/>
      <c r="H143" s="469" t="s">
        <v>2462</v>
      </c>
      <c r="I143" s="470" t="str">
        <f t="shared" si="85"/>
        <v>BOCA DE LOBO PROJETADA DUPLA</v>
      </c>
      <c r="J143" s="470">
        <f t="shared" si="86"/>
        <v>1</v>
      </c>
      <c r="K143" s="470" t="s">
        <v>2832</v>
      </c>
      <c r="L143" s="471" t="str">
        <f t="shared" si="87"/>
        <v>PROJETADA</v>
      </c>
      <c r="M143"/>
      <c r="N143" s="472"/>
      <c r="O143"/>
      <c r="P143" s="469">
        <f t="shared" si="83"/>
        <v>0</v>
      </c>
      <c r="Q143" s="447"/>
    </row>
    <row r="144" spans="1:17" s="140" customFormat="1" ht="28.5" x14ac:dyDescent="0.35">
      <c r="A144" s="469" t="s">
        <v>2683</v>
      </c>
      <c r="B144" s="469" t="s">
        <v>2906</v>
      </c>
      <c r="C144" s="469" t="str">
        <f t="shared" si="84"/>
        <v>BL59-&gt;PV5-102</v>
      </c>
      <c r="D144" s="469">
        <f>952.88-949.85</f>
        <v>3.0299999999999727</v>
      </c>
      <c r="E144" s="469" t="s">
        <v>2487</v>
      </c>
      <c r="F144" s="469">
        <v>9.76</v>
      </c>
      <c r="G144" s="469"/>
      <c r="H144" s="469" t="s">
        <v>2462</v>
      </c>
      <c r="I144" s="470" t="str">
        <f t="shared" si="85"/>
        <v>BOCA DE LOBO PROJETADA DUPLA</v>
      </c>
      <c r="J144" s="470">
        <f t="shared" si="86"/>
        <v>1</v>
      </c>
      <c r="K144" s="470" t="s">
        <v>2865</v>
      </c>
      <c r="L144" s="471" t="str">
        <f t="shared" si="87"/>
        <v>PROJETADA</v>
      </c>
      <c r="M144"/>
      <c r="N144" s="472"/>
      <c r="O144"/>
      <c r="P144" s="469">
        <f t="shared" si="83"/>
        <v>0</v>
      </c>
      <c r="Q144" s="447"/>
    </row>
    <row r="145" spans="1:17" s="140" customFormat="1" ht="28.5" x14ac:dyDescent="0.35">
      <c r="A145" s="469" t="s">
        <v>2683</v>
      </c>
      <c r="B145" s="469" t="s">
        <v>2905</v>
      </c>
      <c r="C145" s="469" t="str">
        <f t="shared" si="84"/>
        <v>BL60-&gt;PV5-102</v>
      </c>
      <c r="D145" s="469">
        <f>952.88-949.85</f>
        <v>3.0299999999999727</v>
      </c>
      <c r="E145" s="469" t="s">
        <v>2487</v>
      </c>
      <c r="F145" s="469">
        <v>6.95</v>
      </c>
      <c r="G145" s="469"/>
      <c r="H145" s="469" t="s">
        <v>2462</v>
      </c>
      <c r="I145" s="470" t="str">
        <f t="shared" si="85"/>
        <v>BOCA DE LOBO PROJETADA DUPLA</v>
      </c>
      <c r="J145" s="470">
        <f t="shared" si="86"/>
        <v>1</v>
      </c>
      <c r="K145" s="470" t="s">
        <v>2865</v>
      </c>
      <c r="L145" s="471" t="str">
        <f t="shared" si="87"/>
        <v>PROJETADA</v>
      </c>
      <c r="M145"/>
      <c r="N145" s="472"/>
      <c r="O145"/>
      <c r="P145" s="469">
        <f t="shared" si="83"/>
        <v>0</v>
      </c>
      <c r="Q145" s="447"/>
    </row>
    <row r="146" spans="1:17" s="140" customFormat="1" ht="28.5" x14ac:dyDescent="0.35">
      <c r="A146" s="469" t="s">
        <v>2624</v>
      </c>
      <c r="B146" s="469" t="s">
        <v>2904</v>
      </c>
      <c r="C146" s="469" t="str">
        <f t="shared" si="84"/>
        <v>BL61-&gt;PV6-102</v>
      </c>
      <c r="D146" s="469">
        <f>952.85-948.52</f>
        <v>4.3300000000000409</v>
      </c>
      <c r="E146" s="469" t="s">
        <v>2487</v>
      </c>
      <c r="F146" s="469">
        <v>9.09</v>
      </c>
      <c r="G146" s="469"/>
      <c r="H146" s="469" t="s">
        <v>2462</v>
      </c>
      <c r="I146" s="470" t="str">
        <f t="shared" si="85"/>
        <v>BOCA DE LOBO PROJETADA DUPLA</v>
      </c>
      <c r="J146" s="470">
        <f t="shared" si="86"/>
        <v>1</v>
      </c>
      <c r="K146" s="470" t="s">
        <v>2841</v>
      </c>
      <c r="L146" s="471" t="str">
        <f t="shared" si="87"/>
        <v>PROJETADA</v>
      </c>
      <c r="M146"/>
      <c r="N146" s="472"/>
      <c r="O146"/>
      <c r="P146" s="469">
        <f t="shared" ref="P146:P177" si="88">IF(AND(E146="PROJETADO",G146&lt;&gt;""),F146/2*(PI()*0.519*0.519/4-PI()*0.4*0.4/4),0)</f>
        <v>0</v>
      </c>
      <c r="Q146" s="447"/>
    </row>
    <row r="147" spans="1:17" s="140" customFormat="1" ht="28.5" x14ac:dyDescent="0.35">
      <c r="A147" s="469" t="s">
        <v>2624</v>
      </c>
      <c r="B147" s="469" t="s">
        <v>2903</v>
      </c>
      <c r="C147" s="469" t="str">
        <f t="shared" si="84"/>
        <v>BL62-&gt;PV6-102</v>
      </c>
      <c r="D147" s="469">
        <f>952.85-948.52</f>
        <v>4.3300000000000409</v>
      </c>
      <c r="E147" s="469" t="s">
        <v>2487</v>
      </c>
      <c r="F147" s="469">
        <v>7.78</v>
      </c>
      <c r="G147" s="469"/>
      <c r="H147" s="469" t="s">
        <v>2462</v>
      </c>
      <c r="I147" s="470" t="str">
        <f t="shared" si="85"/>
        <v>BOCA DE LOBO PROJETADA DUPLA</v>
      </c>
      <c r="J147" s="470">
        <f t="shared" si="86"/>
        <v>1</v>
      </c>
      <c r="K147" s="470" t="s">
        <v>2841</v>
      </c>
      <c r="L147" s="471" t="str">
        <f t="shared" si="87"/>
        <v>PROJETADA</v>
      </c>
      <c r="M147"/>
      <c r="N147" s="472"/>
      <c r="O147"/>
      <c r="P147" s="469">
        <f t="shared" si="88"/>
        <v>0</v>
      </c>
      <c r="Q147" s="447"/>
    </row>
    <row r="148" spans="1:17" s="140" customFormat="1" ht="28.5" x14ac:dyDescent="0.35">
      <c r="A148" s="469" t="s">
        <v>2623</v>
      </c>
      <c r="B148" s="469" t="s">
        <v>2902</v>
      </c>
      <c r="C148" s="469" t="str">
        <f t="shared" si="84"/>
        <v>BL63-&gt;PV7-102</v>
      </c>
      <c r="D148" s="469">
        <f>952.51-947.77</f>
        <v>4.7400000000000091</v>
      </c>
      <c r="E148" s="469" t="s">
        <v>2487</v>
      </c>
      <c r="F148" s="469">
        <v>9.0500000000000007</v>
      </c>
      <c r="G148" s="469"/>
      <c r="H148" s="469" t="s">
        <v>2462</v>
      </c>
      <c r="I148" s="470" t="str">
        <f t="shared" si="85"/>
        <v>BOCA DE LOBO PROJETADA DUPLA</v>
      </c>
      <c r="J148" s="470">
        <f t="shared" si="86"/>
        <v>1</v>
      </c>
      <c r="K148" s="470" t="s">
        <v>2900</v>
      </c>
      <c r="L148" s="471" t="str">
        <f t="shared" si="87"/>
        <v>PROJETADA</v>
      </c>
      <c r="M148"/>
      <c r="N148" s="472"/>
      <c r="O148"/>
      <c r="P148" s="469">
        <f t="shared" si="88"/>
        <v>0</v>
      </c>
      <c r="Q148" s="447"/>
    </row>
    <row r="149" spans="1:17" s="140" customFormat="1" ht="28.5" x14ac:dyDescent="0.35">
      <c r="A149" s="469" t="s">
        <v>2623</v>
      </c>
      <c r="B149" s="469" t="s">
        <v>2901</v>
      </c>
      <c r="C149" s="469" t="str">
        <f t="shared" si="84"/>
        <v>BL64-&gt;PV7-102</v>
      </c>
      <c r="D149" s="469">
        <f>952.51-947.77</f>
        <v>4.7400000000000091</v>
      </c>
      <c r="E149" s="469" t="s">
        <v>2487</v>
      </c>
      <c r="F149" s="469">
        <v>7.59</v>
      </c>
      <c r="G149" s="469"/>
      <c r="H149" s="469" t="s">
        <v>2462</v>
      </c>
      <c r="I149" s="470" t="str">
        <f t="shared" si="85"/>
        <v>BOCA DE LOBO PROJETADA DUPLA</v>
      </c>
      <c r="J149" s="470">
        <f t="shared" si="86"/>
        <v>1</v>
      </c>
      <c r="K149" s="470" t="s">
        <v>2900</v>
      </c>
      <c r="L149" s="471" t="str">
        <f t="shared" si="87"/>
        <v>PROJETADA</v>
      </c>
      <c r="M149"/>
      <c r="N149" s="472"/>
      <c r="O149"/>
      <c r="P149" s="469">
        <f t="shared" si="88"/>
        <v>0</v>
      </c>
      <c r="Q149" s="447"/>
    </row>
    <row r="150" spans="1:17" s="140" customFormat="1" ht="28.5" x14ac:dyDescent="0.35">
      <c r="A150" s="469" t="s">
        <v>2622</v>
      </c>
      <c r="B150" s="469" t="s">
        <v>2899</v>
      </c>
      <c r="C150" s="469" t="str">
        <f t="shared" si="84"/>
        <v>BL65-&gt;PV8-102</v>
      </c>
      <c r="D150" s="469">
        <f>951.76-947.17</f>
        <v>4.5900000000000318</v>
      </c>
      <c r="E150" s="469" t="s">
        <v>2487</v>
      </c>
      <c r="F150" s="469">
        <v>9.73</v>
      </c>
      <c r="G150" s="469"/>
      <c r="H150" s="469" t="s">
        <v>2462</v>
      </c>
      <c r="I150" s="470" t="str">
        <f t="shared" si="85"/>
        <v>BOCA DE LOBO PROJETADA DUPLA</v>
      </c>
      <c r="J150" s="470">
        <f t="shared" si="86"/>
        <v>1</v>
      </c>
      <c r="K150" s="470">
        <v>1000</v>
      </c>
      <c r="L150" s="471" t="str">
        <f t="shared" si="87"/>
        <v>PROJETADA</v>
      </c>
      <c r="M150"/>
      <c r="N150" s="472"/>
      <c r="O150"/>
      <c r="P150" s="469">
        <f t="shared" si="88"/>
        <v>0</v>
      </c>
      <c r="Q150" s="447"/>
    </row>
    <row r="151" spans="1:17" s="140" customFormat="1" ht="28.5" x14ac:dyDescent="0.35">
      <c r="A151" s="469" t="s">
        <v>2622</v>
      </c>
      <c r="B151" s="469" t="s">
        <v>2898</v>
      </c>
      <c r="C151" s="469" t="str">
        <f t="shared" si="84"/>
        <v>BL66-&gt;PV8-102</v>
      </c>
      <c r="D151" s="469">
        <f>951.76-947.17</f>
        <v>4.5900000000000318</v>
      </c>
      <c r="E151" s="469" t="s">
        <v>2487</v>
      </c>
      <c r="F151" s="469">
        <v>8.19</v>
      </c>
      <c r="G151" s="469"/>
      <c r="H151" s="469" t="s">
        <v>2462</v>
      </c>
      <c r="I151" s="470" t="str">
        <f t="shared" si="85"/>
        <v>BOCA DE LOBO PROJETADA DUPLA</v>
      </c>
      <c r="J151" s="470">
        <f t="shared" si="86"/>
        <v>1</v>
      </c>
      <c r="K151" s="470">
        <v>1000</v>
      </c>
      <c r="L151" s="471" t="str">
        <f t="shared" si="87"/>
        <v>PROJETADA</v>
      </c>
      <c r="M151"/>
      <c r="N151" s="472"/>
      <c r="O151"/>
      <c r="P151" s="469">
        <f t="shared" si="88"/>
        <v>0</v>
      </c>
      <c r="Q151" s="447"/>
    </row>
    <row r="152" spans="1:17" s="140" customFormat="1" ht="28.5" x14ac:dyDescent="0.35">
      <c r="A152" s="469" t="s">
        <v>2682</v>
      </c>
      <c r="B152" s="469" t="s">
        <v>2897</v>
      </c>
      <c r="C152" s="469" t="str">
        <f t="shared" si="84"/>
        <v>BL67-&gt;PV9-102</v>
      </c>
      <c r="D152" s="469">
        <f>949.56-946.39</f>
        <v>3.1699999999999591</v>
      </c>
      <c r="E152" s="469" t="s">
        <v>2487</v>
      </c>
      <c r="F152" s="469">
        <v>5.74</v>
      </c>
      <c r="G152" s="469"/>
      <c r="H152" s="469" t="s">
        <v>2462</v>
      </c>
      <c r="I152" s="470" t="str">
        <f t="shared" si="85"/>
        <v>BOCA DE LOBO PROJETADA DUPLA</v>
      </c>
      <c r="J152" s="470">
        <f t="shared" si="86"/>
        <v>1</v>
      </c>
      <c r="K152" s="470">
        <v>1000</v>
      </c>
      <c r="L152" s="471" t="str">
        <f t="shared" si="87"/>
        <v>PROJETADA</v>
      </c>
      <c r="M152"/>
      <c r="N152" s="472"/>
      <c r="O152"/>
      <c r="P152" s="469">
        <f t="shared" si="88"/>
        <v>0</v>
      </c>
      <c r="Q152" s="447"/>
    </row>
    <row r="153" spans="1:17" s="140" customFormat="1" ht="28.5" x14ac:dyDescent="0.35">
      <c r="A153" s="469" t="s">
        <v>2681</v>
      </c>
      <c r="B153" s="469" t="s">
        <v>2896</v>
      </c>
      <c r="C153" s="469" t="str">
        <f t="shared" si="84"/>
        <v>BL68-&gt;PV1-103</v>
      </c>
      <c r="D153" s="469">
        <f>958.97-957.22</f>
        <v>1.75</v>
      </c>
      <c r="E153" s="469" t="s">
        <v>2487</v>
      </c>
      <c r="F153" s="469">
        <v>4.21</v>
      </c>
      <c r="G153" s="469"/>
      <c r="H153" s="469" t="s">
        <v>2476</v>
      </c>
      <c r="I153" s="470" t="str">
        <f t="shared" si="85"/>
        <v>BOCA DE LOBO PROJETADA TRIPLA</v>
      </c>
      <c r="J153" s="470">
        <f t="shared" si="86"/>
        <v>1</v>
      </c>
      <c r="K153" s="470">
        <v>400</v>
      </c>
      <c r="L153" s="471" t="str">
        <f t="shared" si="87"/>
        <v>PROJETADA</v>
      </c>
      <c r="M153"/>
      <c r="N153" s="472"/>
      <c r="O153"/>
      <c r="P153" s="469">
        <f t="shared" si="88"/>
        <v>0</v>
      </c>
      <c r="Q153" s="447"/>
    </row>
    <row r="154" spans="1:17" s="140" customFormat="1" ht="28.5" x14ac:dyDescent="0.35">
      <c r="A154" s="469" t="s">
        <v>2680</v>
      </c>
      <c r="B154" s="469" t="s">
        <v>2895</v>
      </c>
      <c r="C154" s="469" t="str">
        <f t="shared" si="84"/>
        <v>BL69-&gt;PV2-103</v>
      </c>
      <c r="D154" s="469">
        <f>956.9-955.14</f>
        <v>1.7599999999999909</v>
      </c>
      <c r="E154" s="469" t="s">
        <v>2487</v>
      </c>
      <c r="F154" s="469">
        <v>4.0999999999999996</v>
      </c>
      <c r="G154" s="469"/>
      <c r="H154" s="469" t="s">
        <v>2462</v>
      </c>
      <c r="I154" s="470" t="str">
        <f t="shared" si="85"/>
        <v>BOCA DE LOBO PROJETADA DUPLA</v>
      </c>
      <c r="J154" s="470">
        <f t="shared" si="86"/>
        <v>1</v>
      </c>
      <c r="K154" s="470">
        <v>400</v>
      </c>
      <c r="L154" s="471" t="str">
        <f t="shared" si="87"/>
        <v>PROJETADA</v>
      </c>
      <c r="M154"/>
      <c r="N154" s="472"/>
      <c r="O154"/>
      <c r="P154" s="469">
        <f t="shared" si="88"/>
        <v>0</v>
      </c>
      <c r="Q154" s="447"/>
    </row>
    <row r="155" spans="1:17" s="140" customFormat="1" ht="28.5" x14ac:dyDescent="0.35">
      <c r="A155" s="469" t="s">
        <v>2679</v>
      </c>
      <c r="B155" s="469" t="s">
        <v>2894</v>
      </c>
      <c r="C155" s="469" t="str">
        <f t="shared" si="84"/>
        <v>BL70-&gt;PV3-103</v>
      </c>
      <c r="D155" s="469">
        <f>954.82-952.96</f>
        <v>1.8600000000000136</v>
      </c>
      <c r="E155" s="469" t="s">
        <v>2487</v>
      </c>
      <c r="F155" s="469">
        <v>4.25</v>
      </c>
      <c r="G155" s="469"/>
      <c r="H155" s="469" t="s">
        <v>2462</v>
      </c>
      <c r="I155" s="470" t="str">
        <f t="shared" si="85"/>
        <v>BOCA DE LOBO PROJETADA DUPLA</v>
      </c>
      <c r="J155" s="470">
        <f t="shared" si="86"/>
        <v>1</v>
      </c>
      <c r="K155" s="470" t="s">
        <v>2832</v>
      </c>
      <c r="L155" s="471" t="str">
        <f t="shared" si="87"/>
        <v>PROJETADA</v>
      </c>
      <c r="M155"/>
      <c r="N155" s="472"/>
      <c r="O155"/>
      <c r="P155" s="469">
        <f t="shared" si="88"/>
        <v>0</v>
      </c>
      <c r="Q155" s="447"/>
    </row>
    <row r="156" spans="1:17" s="140" customFormat="1" ht="28.5" x14ac:dyDescent="0.35">
      <c r="A156" s="469" t="s">
        <v>2678</v>
      </c>
      <c r="B156" s="469" t="s">
        <v>2893</v>
      </c>
      <c r="C156" s="469" t="str">
        <f t="shared" si="84"/>
        <v>BL71-&gt;PV1-104</v>
      </c>
      <c r="D156" s="469">
        <f>958.47-956.72</f>
        <v>1.75</v>
      </c>
      <c r="E156" s="469" t="s">
        <v>2487</v>
      </c>
      <c r="F156" s="469">
        <v>5.45</v>
      </c>
      <c r="G156" s="469"/>
      <c r="H156" s="469" t="s">
        <v>2462</v>
      </c>
      <c r="I156" s="470" t="str">
        <f t="shared" si="85"/>
        <v>BOCA DE LOBO PROJETADA DUPLA</v>
      </c>
      <c r="J156" s="470">
        <f t="shared" si="86"/>
        <v>1</v>
      </c>
      <c r="K156" s="470">
        <v>400</v>
      </c>
      <c r="L156" s="471" t="str">
        <f t="shared" si="87"/>
        <v>PROJETADA</v>
      </c>
      <c r="M156"/>
      <c r="N156" s="472"/>
      <c r="O156"/>
      <c r="P156" s="469">
        <f t="shared" si="88"/>
        <v>0</v>
      </c>
      <c r="Q156" s="447"/>
    </row>
    <row r="157" spans="1:17" s="140" customFormat="1" ht="28.5" x14ac:dyDescent="0.35">
      <c r="A157" s="469" t="s">
        <v>2677</v>
      </c>
      <c r="B157" s="469" t="s">
        <v>2892</v>
      </c>
      <c r="C157" s="469" t="str">
        <f t="shared" si="84"/>
        <v>BL72-&gt;PV2-104</v>
      </c>
      <c r="D157" s="469">
        <f>956.44-954.64</f>
        <v>1.8000000000000682</v>
      </c>
      <c r="E157" s="469" t="s">
        <v>2487</v>
      </c>
      <c r="F157" s="469">
        <v>5.55</v>
      </c>
      <c r="G157" s="469"/>
      <c r="H157" s="469" t="s">
        <v>2462</v>
      </c>
      <c r="I157" s="470" t="str">
        <f t="shared" si="85"/>
        <v>BOCA DE LOBO PROJETADA DUPLA</v>
      </c>
      <c r="J157" s="470">
        <f t="shared" si="86"/>
        <v>1</v>
      </c>
      <c r="K157" s="470">
        <v>400</v>
      </c>
      <c r="L157" s="471" t="str">
        <f t="shared" si="87"/>
        <v>PROJETADA</v>
      </c>
      <c r="M157"/>
      <c r="N157" s="472"/>
      <c r="O157"/>
      <c r="P157" s="469">
        <f t="shared" si="88"/>
        <v>0</v>
      </c>
      <c r="Q157" s="447"/>
    </row>
    <row r="158" spans="1:17" s="140" customFormat="1" ht="28.5" x14ac:dyDescent="0.35">
      <c r="A158" s="469" t="s">
        <v>2676</v>
      </c>
      <c r="B158" s="469" t="s">
        <v>2891</v>
      </c>
      <c r="C158" s="469" t="str">
        <f t="shared" si="84"/>
        <v>BL73-&gt;PV3-104</v>
      </c>
      <c r="D158" s="469">
        <f>954.54-952.76</f>
        <v>1.7799999999999727</v>
      </c>
      <c r="E158" s="469" t="s">
        <v>2487</v>
      </c>
      <c r="F158" s="469">
        <v>5.62</v>
      </c>
      <c r="G158" s="469"/>
      <c r="H158" s="469" t="s">
        <v>2462</v>
      </c>
      <c r="I158" s="470" t="str">
        <f t="shared" si="85"/>
        <v>BOCA DE LOBO PROJETADA DUPLA</v>
      </c>
      <c r="J158" s="470">
        <f t="shared" si="86"/>
        <v>1</v>
      </c>
      <c r="K158" s="470" t="s">
        <v>2832</v>
      </c>
      <c r="L158" s="471" t="str">
        <f t="shared" si="87"/>
        <v>PROJETADA</v>
      </c>
      <c r="M158"/>
      <c r="N158" s="472"/>
      <c r="O158"/>
      <c r="P158" s="469">
        <f t="shared" si="88"/>
        <v>0</v>
      </c>
      <c r="Q158" s="447"/>
    </row>
    <row r="159" spans="1:17" s="140" customFormat="1" ht="28.5" x14ac:dyDescent="0.35">
      <c r="A159" s="469" t="s">
        <v>2675</v>
      </c>
      <c r="B159" s="469" t="s">
        <v>2890</v>
      </c>
      <c r="C159" s="469" t="str">
        <f t="shared" si="84"/>
        <v>BL74-&gt;PV1-105</v>
      </c>
      <c r="D159" s="469">
        <f>957.94-956.19</f>
        <v>1.75</v>
      </c>
      <c r="E159" s="469" t="s">
        <v>2487</v>
      </c>
      <c r="F159" s="469">
        <v>5.05</v>
      </c>
      <c r="G159" s="469"/>
      <c r="H159" s="469" t="s">
        <v>2462</v>
      </c>
      <c r="I159" s="470" t="str">
        <f t="shared" si="85"/>
        <v>BOCA DE LOBO PROJETADA DUPLA</v>
      </c>
      <c r="J159" s="470">
        <f t="shared" si="86"/>
        <v>1</v>
      </c>
      <c r="K159" s="470">
        <v>400</v>
      </c>
      <c r="L159" s="471" t="str">
        <f t="shared" si="87"/>
        <v>PROJETADA</v>
      </c>
      <c r="M159"/>
      <c r="N159" s="472"/>
      <c r="O159"/>
      <c r="P159" s="469">
        <f t="shared" si="88"/>
        <v>0</v>
      </c>
      <c r="Q159" s="447"/>
    </row>
    <row r="160" spans="1:17" s="140" customFormat="1" ht="28.5" x14ac:dyDescent="0.35">
      <c r="A160" s="469" t="s">
        <v>2674</v>
      </c>
      <c r="B160" s="469" t="s">
        <v>2889</v>
      </c>
      <c r="C160" s="469" t="str">
        <f t="shared" si="84"/>
        <v>BL75-&gt;PV2-105</v>
      </c>
      <c r="D160" s="469">
        <f>956.09-954.31</f>
        <v>1.7800000000000864</v>
      </c>
      <c r="E160" s="469" t="s">
        <v>2487</v>
      </c>
      <c r="F160" s="469">
        <v>4.9800000000000004</v>
      </c>
      <c r="G160" s="469"/>
      <c r="H160" s="469" t="s">
        <v>2462</v>
      </c>
      <c r="I160" s="470" t="str">
        <f t="shared" si="85"/>
        <v>BOCA DE LOBO PROJETADA DUPLA</v>
      </c>
      <c r="J160" s="470">
        <f t="shared" si="86"/>
        <v>1</v>
      </c>
      <c r="K160" s="470">
        <v>400</v>
      </c>
      <c r="L160" s="471" t="str">
        <f t="shared" si="87"/>
        <v>PROJETADA</v>
      </c>
      <c r="M160"/>
      <c r="N160" s="472"/>
      <c r="O160"/>
      <c r="P160" s="469">
        <f t="shared" si="88"/>
        <v>0</v>
      </c>
      <c r="Q160" s="447"/>
    </row>
    <row r="161" spans="1:17" s="140" customFormat="1" ht="28.5" x14ac:dyDescent="0.35">
      <c r="A161" s="469" t="s">
        <v>2673</v>
      </c>
      <c r="B161" s="469" t="s">
        <v>2888</v>
      </c>
      <c r="C161" s="469" t="str">
        <f t="shared" si="84"/>
        <v>BL76-&gt;PV3-105</v>
      </c>
      <c r="D161" s="469">
        <f>953.98-952.13</f>
        <v>1.8500000000000227</v>
      </c>
      <c r="E161" s="469" t="s">
        <v>2487</v>
      </c>
      <c r="F161" s="469">
        <v>5.05</v>
      </c>
      <c r="G161" s="469"/>
      <c r="H161" s="469" t="s">
        <v>2462</v>
      </c>
      <c r="I161" s="470" t="str">
        <f t="shared" si="85"/>
        <v>BOCA DE LOBO PROJETADA DUPLA</v>
      </c>
      <c r="J161" s="470">
        <f t="shared" si="86"/>
        <v>1</v>
      </c>
      <c r="K161" s="470" t="s">
        <v>2832</v>
      </c>
      <c r="L161" s="471" t="str">
        <f t="shared" si="87"/>
        <v>PROJETADA</v>
      </c>
      <c r="M161"/>
      <c r="N161" s="472"/>
      <c r="O161"/>
      <c r="P161" s="469">
        <f t="shared" si="88"/>
        <v>0</v>
      </c>
      <c r="Q161" s="447"/>
    </row>
    <row r="162" spans="1:17" s="140" customFormat="1" ht="28.5" x14ac:dyDescent="0.35">
      <c r="A162" s="469" t="s">
        <v>2672</v>
      </c>
      <c r="B162" s="469" t="s">
        <v>2887</v>
      </c>
      <c r="C162" s="469" t="str">
        <f t="shared" si="84"/>
        <v>BL77-&gt;PV1-106</v>
      </c>
      <c r="D162" s="469">
        <f>957.45-955.7</f>
        <v>1.75</v>
      </c>
      <c r="E162" s="469" t="s">
        <v>2487</v>
      </c>
      <c r="F162" s="469">
        <v>5.35</v>
      </c>
      <c r="G162" s="469"/>
      <c r="H162" s="469" t="s">
        <v>2476</v>
      </c>
      <c r="I162" s="470" t="str">
        <f t="shared" si="85"/>
        <v>BOCA DE LOBO PROJETADA TRIPLA</v>
      </c>
      <c r="J162" s="470">
        <f t="shared" si="86"/>
        <v>1</v>
      </c>
      <c r="K162" s="470">
        <v>400</v>
      </c>
      <c r="L162" s="471" t="str">
        <f t="shared" si="87"/>
        <v>PROJETADA</v>
      </c>
      <c r="M162"/>
      <c r="N162" s="472"/>
      <c r="O162"/>
      <c r="P162" s="469">
        <f t="shared" si="88"/>
        <v>0</v>
      </c>
      <c r="Q162" s="447"/>
    </row>
    <row r="163" spans="1:17" s="140" customFormat="1" ht="28.5" x14ac:dyDescent="0.35">
      <c r="A163" s="469" t="s">
        <v>2671</v>
      </c>
      <c r="B163" s="469" t="s">
        <v>2886</v>
      </c>
      <c r="C163" s="469" t="str">
        <f t="shared" si="84"/>
        <v>BL78-&gt;PV2-106</v>
      </c>
      <c r="D163" s="469">
        <f>955.38-953.62</f>
        <v>1.7599999999999909</v>
      </c>
      <c r="E163" s="469" t="s">
        <v>2487</v>
      </c>
      <c r="F163" s="469">
        <v>5.8</v>
      </c>
      <c r="G163" s="469"/>
      <c r="H163" s="469" t="s">
        <v>2462</v>
      </c>
      <c r="I163" s="470" t="str">
        <f t="shared" si="85"/>
        <v>BOCA DE LOBO PROJETADA DUPLA</v>
      </c>
      <c r="J163" s="470">
        <f t="shared" si="86"/>
        <v>1</v>
      </c>
      <c r="K163" s="470">
        <v>400</v>
      </c>
      <c r="L163" s="471" t="str">
        <f t="shared" si="87"/>
        <v>PROJETADA</v>
      </c>
      <c r="M163"/>
      <c r="N163" s="472"/>
      <c r="O163"/>
      <c r="P163" s="469">
        <f t="shared" si="88"/>
        <v>0</v>
      </c>
      <c r="Q163" s="447"/>
    </row>
    <row r="164" spans="1:17" s="140" customFormat="1" ht="28.5" x14ac:dyDescent="0.35">
      <c r="A164" s="469" t="s">
        <v>2670</v>
      </c>
      <c r="B164" s="469" t="s">
        <v>2885</v>
      </c>
      <c r="C164" s="469" t="str">
        <f t="shared" si="84"/>
        <v>BL79-&gt;PV3-106</v>
      </c>
      <c r="D164" s="469">
        <f>953.43-951.57</f>
        <v>1.8599999999999</v>
      </c>
      <c r="E164" s="469" t="s">
        <v>2487</v>
      </c>
      <c r="F164" s="469">
        <v>5.62</v>
      </c>
      <c r="G164" s="469"/>
      <c r="H164" s="469" t="s">
        <v>2462</v>
      </c>
      <c r="I164" s="470" t="str">
        <f t="shared" si="85"/>
        <v>BOCA DE LOBO PROJETADA DUPLA</v>
      </c>
      <c r="J164" s="470">
        <f t="shared" si="86"/>
        <v>1</v>
      </c>
      <c r="K164" s="470" t="s">
        <v>2832</v>
      </c>
      <c r="L164" s="471" t="str">
        <f t="shared" si="87"/>
        <v>PROJETADA</v>
      </c>
      <c r="M164"/>
      <c r="N164" s="472"/>
      <c r="O164"/>
      <c r="P164" s="469">
        <f t="shared" si="88"/>
        <v>0</v>
      </c>
      <c r="Q164" s="447"/>
    </row>
    <row r="165" spans="1:17" s="140" customFormat="1" ht="28.5" x14ac:dyDescent="0.35">
      <c r="A165" s="469" t="s">
        <v>2669</v>
      </c>
      <c r="B165" s="469" t="s">
        <v>2884</v>
      </c>
      <c r="C165" s="469" t="str">
        <f t="shared" si="84"/>
        <v>BL80-&gt;PV1-107</v>
      </c>
      <c r="D165" s="469">
        <f>948.56-946.81</f>
        <v>1.75</v>
      </c>
      <c r="E165" s="469" t="s">
        <v>2487</v>
      </c>
      <c r="F165" s="469">
        <v>5.89</v>
      </c>
      <c r="G165" s="469"/>
      <c r="H165" s="469" t="s">
        <v>2476</v>
      </c>
      <c r="I165" s="470" t="str">
        <f t="shared" si="85"/>
        <v>BOCA DE LOBO PROJETADA TRIPLA</v>
      </c>
      <c r="J165" s="470">
        <f t="shared" si="86"/>
        <v>1</v>
      </c>
      <c r="K165" s="470">
        <v>400</v>
      </c>
      <c r="L165" s="471" t="str">
        <f t="shared" si="87"/>
        <v>PROJETADA</v>
      </c>
      <c r="M165"/>
      <c r="N165" s="472"/>
      <c r="O165"/>
      <c r="P165" s="469">
        <f t="shared" si="88"/>
        <v>0</v>
      </c>
      <c r="Q165" s="447"/>
    </row>
    <row r="166" spans="1:17" s="140" customFormat="1" ht="28.5" x14ac:dyDescent="0.35">
      <c r="A166" s="469" t="s">
        <v>2668</v>
      </c>
      <c r="B166" s="469" t="s">
        <v>2883</v>
      </c>
      <c r="C166" s="469" t="str">
        <f t="shared" si="84"/>
        <v>BL81-&gt;PV2-107</v>
      </c>
      <c r="D166" s="469">
        <f>947.02-945.12</f>
        <v>1.8999999999999773</v>
      </c>
      <c r="E166" s="469" t="s">
        <v>2487</v>
      </c>
      <c r="F166" s="469">
        <v>5.75</v>
      </c>
      <c r="G166" s="469"/>
      <c r="H166" s="469" t="s">
        <v>2462</v>
      </c>
      <c r="I166" s="470" t="str">
        <f t="shared" si="85"/>
        <v>BOCA DE LOBO PROJETADA DUPLA</v>
      </c>
      <c r="J166" s="470">
        <f t="shared" si="86"/>
        <v>1</v>
      </c>
      <c r="K166" s="470">
        <v>400</v>
      </c>
      <c r="L166" s="471" t="str">
        <f t="shared" si="87"/>
        <v>PROJETADA</v>
      </c>
      <c r="M166"/>
      <c r="N166" s="472"/>
      <c r="O166"/>
      <c r="P166" s="469">
        <f t="shared" si="88"/>
        <v>0</v>
      </c>
      <c r="Q166" s="447"/>
    </row>
    <row r="167" spans="1:17" s="140" customFormat="1" ht="28.5" x14ac:dyDescent="0.35">
      <c r="A167" s="469" t="s">
        <v>2667</v>
      </c>
      <c r="B167" s="469" t="s">
        <v>2882</v>
      </c>
      <c r="C167" s="469" t="str">
        <f t="shared" si="84"/>
        <v>BL82-&gt;PV3-107</v>
      </c>
      <c r="D167" s="469">
        <f>945.15-943.37</f>
        <v>1.7799999999999727</v>
      </c>
      <c r="E167" s="469" t="s">
        <v>2487</v>
      </c>
      <c r="F167" s="469">
        <v>4.9000000000000004</v>
      </c>
      <c r="G167" s="469"/>
      <c r="H167" s="469" t="s">
        <v>2462</v>
      </c>
      <c r="I167" s="470" t="str">
        <f t="shared" si="85"/>
        <v>BOCA DE LOBO PROJETADA DUPLA</v>
      </c>
      <c r="J167" s="470">
        <f t="shared" si="86"/>
        <v>1</v>
      </c>
      <c r="K167" s="470" t="s">
        <v>2832</v>
      </c>
      <c r="L167" s="471" t="str">
        <f t="shared" si="87"/>
        <v>PROJETADA</v>
      </c>
      <c r="M167"/>
      <c r="N167" s="472"/>
      <c r="O167"/>
      <c r="P167" s="469">
        <f t="shared" si="88"/>
        <v>0</v>
      </c>
      <c r="Q167" s="447"/>
    </row>
    <row r="168" spans="1:17" s="140" customFormat="1" ht="28.5" x14ac:dyDescent="0.35">
      <c r="A168" s="469" t="s">
        <v>2666</v>
      </c>
      <c r="B168" s="469" t="s">
        <v>2881</v>
      </c>
      <c r="C168" s="469" t="str">
        <f t="shared" si="84"/>
        <v>BL83-&gt;PV1-108</v>
      </c>
      <c r="D168" s="469">
        <f>948.43-946.68</f>
        <v>1.75</v>
      </c>
      <c r="E168" s="469" t="s">
        <v>2487</v>
      </c>
      <c r="F168" s="469">
        <v>4.54</v>
      </c>
      <c r="G168" s="469"/>
      <c r="H168" s="469" t="s">
        <v>2476</v>
      </c>
      <c r="I168" s="470" t="str">
        <f t="shared" si="85"/>
        <v>BOCA DE LOBO PROJETADA TRIPLA</v>
      </c>
      <c r="J168" s="470">
        <f t="shared" si="86"/>
        <v>1</v>
      </c>
      <c r="K168" s="470">
        <v>400</v>
      </c>
      <c r="L168" s="471" t="str">
        <f t="shared" si="87"/>
        <v>PROJETADA</v>
      </c>
      <c r="M168"/>
      <c r="N168" s="472"/>
      <c r="O168"/>
      <c r="P168" s="469">
        <f t="shared" si="88"/>
        <v>0</v>
      </c>
      <c r="Q168" s="447"/>
    </row>
    <row r="169" spans="1:17" s="140" customFormat="1" ht="28.5" x14ac:dyDescent="0.35">
      <c r="A169" s="469" t="s">
        <v>2665</v>
      </c>
      <c r="B169" s="469" t="s">
        <v>2880</v>
      </c>
      <c r="C169" s="469" t="str">
        <f t="shared" si="84"/>
        <v>BL84-&gt;PV2-108</v>
      </c>
      <c r="D169" s="469">
        <f>946.71-944.93</f>
        <v>1.7800000000000864</v>
      </c>
      <c r="E169" s="469" t="s">
        <v>2487</v>
      </c>
      <c r="F169" s="469">
        <v>4.88</v>
      </c>
      <c r="G169" s="469"/>
      <c r="H169" s="469" t="s">
        <v>2462</v>
      </c>
      <c r="I169" s="470" t="str">
        <f t="shared" si="85"/>
        <v>BOCA DE LOBO PROJETADA DUPLA</v>
      </c>
      <c r="J169" s="470">
        <f t="shared" si="86"/>
        <v>1</v>
      </c>
      <c r="K169" s="470">
        <v>400</v>
      </c>
      <c r="L169" s="471" t="str">
        <f t="shared" si="87"/>
        <v>PROJETADA</v>
      </c>
      <c r="M169"/>
      <c r="N169" s="472"/>
      <c r="O169"/>
      <c r="P169" s="469">
        <f t="shared" si="88"/>
        <v>0</v>
      </c>
      <c r="Q169" s="447"/>
    </row>
    <row r="170" spans="1:17" s="140" customFormat="1" ht="28.5" x14ac:dyDescent="0.35">
      <c r="A170" s="469" t="s">
        <v>2664</v>
      </c>
      <c r="B170" s="469" t="s">
        <v>2879</v>
      </c>
      <c r="C170" s="469" t="str">
        <f t="shared" si="84"/>
        <v>BL85-&gt;PV3-108</v>
      </c>
      <c r="D170" s="469">
        <f>944.36-942.59</f>
        <v>1.7699999999999818</v>
      </c>
      <c r="E170" s="469" t="s">
        <v>2487</v>
      </c>
      <c r="F170" s="469">
        <v>5.0599999999999996</v>
      </c>
      <c r="G170" s="469"/>
      <c r="H170" s="469" t="s">
        <v>2462</v>
      </c>
      <c r="I170" s="470" t="str">
        <f t="shared" si="85"/>
        <v>BOCA DE LOBO PROJETADA DUPLA</v>
      </c>
      <c r="J170" s="470">
        <f t="shared" si="86"/>
        <v>1</v>
      </c>
      <c r="K170" s="470" t="s">
        <v>2832</v>
      </c>
      <c r="L170" s="471" t="str">
        <f t="shared" si="87"/>
        <v>PROJETADA</v>
      </c>
      <c r="M170"/>
      <c r="N170" s="472"/>
      <c r="O170"/>
      <c r="P170" s="469">
        <f t="shared" si="88"/>
        <v>0</v>
      </c>
      <c r="Q170" s="447"/>
    </row>
    <row r="171" spans="1:17" s="140" customFormat="1" ht="28.5" x14ac:dyDescent="0.35">
      <c r="A171" s="469" t="s">
        <v>2663</v>
      </c>
      <c r="B171" s="469" t="s">
        <v>2878</v>
      </c>
      <c r="C171" s="469" t="str">
        <f t="shared" ref="C171:C202" si="89">CONCATENATE(B171,"-&gt;",A171)</f>
        <v>BL86-&gt;PV1-109</v>
      </c>
      <c r="D171" s="469">
        <f>948.41-946.66</f>
        <v>1.75</v>
      </c>
      <c r="E171" s="469" t="s">
        <v>2487</v>
      </c>
      <c r="F171" s="469">
        <v>5.85</v>
      </c>
      <c r="G171" s="469"/>
      <c r="H171" s="469" t="s">
        <v>2462</v>
      </c>
      <c r="I171" s="470" t="str">
        <f t="shared" ref="I171:I202" si="90">IF(G171="","BOCA DE LOBO PROJETADA "&amp;H171,IF(H171="","BOCA DE LOBO EXISTENTE "&amp;G171,"BOCA DE LOBO "&amp;G171&amp;" EXISTENTE COM BOCA DE LOBO "&amp;H171&amp;" PROJETADA"))</f>
        <v>BOCA DE LOBO PROJETADA DUPLA</v>
      </c>
      <c r="J171" s="470">
        <v>1</v>
      </c>
      <c r="K171" s="470">
        <v>400</v>
      </c>
      <c r="L171" s="471" t="str">
        <f t="shared" ref="L171:L202" si="91">IF(G171&lt;&gt;"",IF(H171&lt;&gt;"","AMPLIADA","EXISTENTE"),"PROJETADA")</f>
        <v>PROJETADA</v>
      </c>
      <c r="M171"/>
      <c r="N171" s="472"/>
      <c r="O171"/>
      <c r="P171" s="469">
        <f t="shared" si="88"/>
        <v>0</v>
      </c>
      <c r="Q171" s="447"/>
    </row>
    <row r="172" spans="1:17" s="140" customFormat="1" ht="28.5" x14ac:dyDescent="0.35">
      <c r="A172" s="469" t="s">
        <v>2662</v>
      </c>
      <c r="B172" s="469" t="s">
        <v>2877</v>
      </c>
      <c r="C172" s="469" t="str">
        <f t="shared" si="89"/>
        <v>BL87-&gt;PV2-109</v>
      </c>
      <c r="D172" s="469">
        <f>946.53-944.78</f>
        <v>1.75</v>
      </c>
      <c r="E172" s="469" t="s">
        <v>2487</v>
      </c>
      <c r="F172" s="469">
        <v>5.33</v>
      </c>
      <c r="G172" s="469"/>
      <c r="H172" s="469" t="s">
        <v>2462</v>
      </c>
      <c r="I172" s="470" t="str">
        <f t="shared" si="90"/>
        <v>BOCA DE LOBO PROJETADA DUPLA</v>
      </c>
      <c r="J172" s="470">
        <v>1</v>
      </c>
      <c r="K172" s="470">
        <v>400</v>
      </c>
      <c r="L172" s="471" t="str">
        <f t="shared" si="91"/>
        <v>PROJETADA</v>
      </c>
      <c r="M172"/>
      <c r="N172" s="472"/>
      <c r="O172"/>
      <c r="P172" s="469">
        <f t="shared" si="88"/>
        <v>0</v>
      </c>
      <c r="Q172" s="447"/>
    </row>
    <row r="173" spans="1:17" s="140" customFormat="1" ht="28.5" x14ac:dyDescent="0.35">
      <c r="A173" s="469" t="s">
        <v>2661</v>
      </c>
      <c r="B173" s="469" t="s">
        <v>2876</v>
      </c>
      <c r="C173" s="469" t="str">
        <f t="shared" si="89"/>
        <v>BL88-&gt;PV3-109</v>
      </c>
      <c r="D173" s="469">
        <f>944.33-942.4</f>
        <v>1.9300000000000637</v>
      </c>
      <c r="E173" s="469" t="s">
        <v>2487</v>
      </c>
      <c r="F173" s="473">
        <v>5.08</v>
      </c>
      <c r="G173" s="469"/>
      <c r="H173" s="469" t="s">
        <v>2462</v>
      </c>
      <c r="I173" s="470" t="str">
        <f t="shared" si="90"/>
        <v>BOCA DE LOBO PROJETADA DUPLA</v>
      </c>
      <c r="J173" s="470">
        <f t="shared" ref="J173:J214" si="92">IF(E173="EXISTENTE",1,0)</f>
        <v>1</v>
      </c>
      <c r="K173" s="470" t="s">
        <v>2832</v>
      </c>
      <c r="L173" s="471" t="str">
        <f t="shared" si="91"/>
        <v>PROJETADA</v>
      </c>
      <c r="M173"/>
      <c r="N173" s="472"/>
      <c r="O173"/>
      <c r="P173" s="469">
        <f t="shared" si="88"/>
        <v>0</v>
      </c>
      <c r="Q173" s="447"/>
    </row>
    <row r="174" spans="1:17" s="140" customFormat="1" ht="28.5" x14ac:dyDescent="0.35">
      <c r="A174" s="469" t="s">
        <v>2660</v>
      </c>
      <c r="B174" s="469" t="s">
        <v>2875</v>
      </c>
      <c r="C174" s="469" t="str">
        <f t="shared" si="89"/>
        <v>BL89-&gt;PV1-110</v>
      </c>
      <c r="D174" s="469">
        <f>948.08-946.33</f>
        <v>1.75</v>
      </c>
      <c r="E174" s="469" t="s">
        <v>2487</v>
      </c>
      <c r="F174" s="469">
        <v>5.81</v>
      </c>
      <c r="G174" s="469"/>
      <c r="H174" s="469" t="s">
        <v>2476</v>
      </c>
      <c r="I174" s="470" t="str">
        <f t="shared" si="90"/>
        <v>BOCA DE LOBO PROJETADA TRIPLA</v>
      </c>
      <c r="J174" s="470">
        <f t="shared" si="92"/>
        <v>1</v>
      </c>
      <c r="K174" s="470">
        <v>400</v>
      </c>
      <c r="L174" s="471" t="str">
        <f t="shared" si="91"/>
        <v>PROJETADA</v>
      </c>
      <c r="M174"/>
      <c r="N174" s="472"/>
      <c r="O174"/>
      <c r="P174" s="469">
        <f t="shared" si="88"/>
        <v>0</v>
      </c>
      <c r="Q174" s="447"/>
    </row>
    <row r="175" spans="1:17" s="140" customFormat="1" ht="28.5" x14ac:dyDescent="0.35">
      <c r="A175" s="469" t="s">
        <v>2659</v>
      </c>
      <c r="B175" s="469" t="s">
        <v>2874</v>
      </c>
      <c r="C175" s="469" t="str">
        <f t="shared" si="89"/>
        <v>BL90-&gt;PV2-110</v>
      </c>
      <c r="D175" s="469">
        <f>945.98-944.19</f>
        <v>1.7899999999999636</v>
      </c>
      <c r="E175" s="469" t="s">
        <v>2487</v>
      </c>
      <c r="F175" s="469">
        <v>5.71</v>
      </c>
      <c r="G175" s="469"/>
      <c r="H175" s="469" t="s">
        <v>2462</v>
      </c>
      <c r="I175" s="470" t="str">
        <f t="shared" si="90"/>
        <v>BOCA DE LOBO PROJETADA DUPLA</v>
      </c>
      <c r="J175" s="470">
        <f t="shared" si="92"/>
        <v>1</v>
      </c>
      <c r="K175" s="470">
        <v>400</v>
      </c>
      <c r="L175" s="471" t="str">
        <f t="shared" si="91"/>
        <v>PROJETADA</v>
      </c>
      <c r="M175"/>
      <c r="N175" s="472"/>
      <c r="O175"/>
      <c r="P175" s="469">
        <f t="shared" si="88"/>
        <v>0</v>
      </c>
      <c r="Q175" s="447"/>
    </row>
    <row r="176" spans="1:17" s="140" customFormat="1" ht="28.5" x14ac:dyDescent="0.35">
      <c r="A176" s="469" t="s">
        <v>2658</v>
      </c>
      <c r="B176" s="469" t="s">
        <v>2873</v>
      </c>
      <c r="C176" s="469" t="str">
        <f t="shared" si="89"/>
        <v>BL91-&gt;PV3-110</v>
      </c>
      <c r="D176" s="469">
        <v>1.75</v>
      </c>
      <c r="E176" s="469" t="s">
        <v>2487</v>
      </c>
      <c r="F176" s="469">
        <v>5.7</v>
      </c>
      <c r="G176" s="469"/>
      <c r="H176" s="469" t="s">
        <v>2462</v>
      </c>
      <c r="I176" s="470" t="str">
        <f t="shared" si="90"/>
        <v>BOCA DE LOBO PROJETADA DUPLA</v>
      </c>
      <c r="J176" s="470">
        <f t="shared" si="92"/>
        <v>1</v>
      </c>
      <c r="K176" s="470" t="s">
        <v>2832</v>
      </c>
      <c r="L176" s="471" t="str">
        <f t="shared" si="91"/>
        <v>PROJETADA</v>
      </c>
      <c r="M176"/>
      <c r="N176" s="472"/>
      <c r="O176"/>
      <c r="P176" s="469">
        <f t="shared" si="88"/>
        <v>0</v>
      </c>
      <c r="Q176" s="447"/>
    </row>
    <row r="177" spans="1:17" s="140" customFormat="1" ht="28.5" x14ac:dyDescent="0.35">
      <c r="A177" s="469" t="s">
        <v>2657</v>
      </c>
      <c r="B177" s="469" t="s">
        <v>2872</v>
      </c>
      <c r="C177" s="469" t="str">
        <f t="shared" si="89"/>
        <v>BL92-&gt;PV1-111</v>
      </c>
      <c r="D177" s="469">
        <f>956.96-955.21</f>
        <v>1.75</v>
      </c>
      <c r="E177" s="469" t="s">
        <v>2487</v>
      </c>
      <c r="F177" s="469">
        <v>5.13</v>
      </c>
      <c r="G177" s="469"/>
      <c r="H177" s="469" t="s">
        <v>2462</v>
      </c>
      <c r="I177" s="470" t="str">
        <f t="shared" si="90"/>
        <v>BOCA DE LOBO PROJETADA DUPLA</v>
      </c>
      <c r="J177" s="470">
        <f t="shared" si="92"/>
        <v>1</v>
      </c>
      <c r="K177" s="470">
        <v>400</v>
      </c>
      <c r="L177" s="471" t="str">
        <f t="shared" si="91"/>
        <v>PROJETADA</v>
      </c>
      <c r="M177"/>
      <c r="N177" s="472"/>
      <c r="O177"/>
      <c r="P177" s="469">
        <f t="shared" si="88"/>
        <v>0</v>
      </c>
      <c r="Q177" s="447"/>
    </row>
    <row r="178" spans="1:17" s="140" customFormat="1" ht="28.5" x14ac:dyDescent="0.35">
      <c r="A178" s="469" t="s">
        <v>2656</v>
      </c>
      <c r="B178" s="469" t="s">
        <v>2871</v>
      </c>
      <c r="C178" s="469" t="str">
        <f t="shared" si="89"/>
        <v>BL93-&gt;PV2-111</v>
      </c>
      <c r="D178" s="469">
        <f>954.83-953.13</f>
        <v>1.7000000000000455</v>
      </c>
      <c r="E178" s="469" t="s">
        <v>2487</v>
      </c>
      <c r="F178" s="469">
        <v>5.3</v>
      </c>
      <c r="G178" s="469"/>
      <c r="H178" s="469" t="s">
        <v>2462</v>
      </c>
      <c r="I178" s="470" t="str">
        <f t="shared" si="90"/>
        <v>BOCA DE LOBO PROJETADA DUPLA</v>
      </c>
      <c r="J178" s="470">
        <f t="shared" si="92"/>
        <v>1</v>
      </c>
      <c r="K178" s="470">
        <v>400</v>
      </c>
      <c r="L178" s="471" t="str">
        <f t="shared" si="91"/>
        <v>PROJETADA</v>
      </c>
      <c r="M178"/>
      <c r="N178" s="472"/>
      <c r="O178"/>
      <c r="P178" s="469">
        <f t="shared" ref="P178:P214" si="93">IF(AND(E178="PROJETADO",G178&lt;&gt;""),F178/2*(PI()*0.519*0.519/4-PI()*0.4*0.4/4),0)</f>
        <v>0</v>
      </c>
      <c r="Q178" s="447"/>
    </row>
    <row r="179" spans="1:17" s="140" customFormat="1" ht="28.5" x14ac:dyDescent="0.35">
      <c r="A179" s="469" t="s">
        <v>2655</v>
      </c>
      <c r="B179" s="469" t="s">
        <v>2870</v>
      </c>
      <c r="C179" s="469" t="str">
        <f t="shared" si="89"/>
        <v>BL94-&gt;PV3-111</v>
      </c>
      <c r="D179" s="469">
        <f>952.69-951.05</f>
        <v>1.6400000000001</v>
      </c>
      <c r="E179" s="469" t="s">
        <v>2487</v>
      </c>
      <c r="F179" s="469">
        <v>5.26</v>
      </c>
      <c r="G179" s="469"/>
      <c r="H179" s="469" t="s">
        <v>2462</v>
      </c>
      <c r="I179" s="470" t="str">
        <f t="shared" si="90"/>
        <v>BOCA DE LOBO PROJETADA DUPLA</v>
      </c>
      <c r="J179" s="470">
        <f t="shared" si="92"/>
        <v>1</v>
      </c>
      <c r="K179" s="470">
        <v>400</v>
      </c>
      <c r="L179" s="471" t="str">
        <f t="shared" si="91"/>
        <v>PROJETADA</v>
      </c>
      <c r="M179"/>
      <c r="N179" s="472"/>
      <c r="O179"/>
      <c r="P179" s="469">
        <f t="shared" si="93"/>
        <v>0</v>
      </c>
      <c r="Q179" s="447"/>
    </row>
    <row r="180" spans="1:17" s="140" customFormat="1" ht="28.5" x14ac:dyDescent="0.35">
      <c r="A180" s="469" t="s">
        <v>2654</v>
      </c>
      <c r="B180" s="469" t="s">
        <v>2869</v>
      </c>
      <c r="C180" s="469" t="str">
        <f t="shared" si="89"/>
        <v>BL95-&gt;PV4-111</v>
      </c>
      <c r="D180" s="469">
        <f>950.95-949.1</f>
        <v>1.8500000000000227</v>
      </c>
      <c r="E180" s="469" t="s">
        <v>2487</v>
      </c>
      <c r="F180" s="469">
        <v>9.9499999999999993</v>
      </c>
      <c r="G180" s="469"/>
      <c r="H180" s="469" t="s">
        <v>2462</v>
      </c>
      <c r="I180" s="470" t="str">
        <f t="shared" si="90"/>
        <v>BOCA DE LOBO PROJETADA DUPLA</v>
      </c>
      <c r="J180" s="470">
        <f t="shared" si="92"/>
        <v>1</v>
      </c>
      <c r="K180" s="470" t="s">
        <v>2832</v>
      </c>
      <c r="L180" s="471" t="str">
        <f t="shared" si="91"/>
        <v>PROJETADA</v>
      </c>
      <c r="M180"/>
      <c r="N180" s="472"/>
      <c r="O180"/>
      <c r="P180" s="469">
        <f t="shared" si="93"/>
        <v>0</v>
      </c>
      <c r="Q180" s="447"/>
    </row>
    <row r="181" spans="1:17" s="140" customFormat="1" ht="28.5" x14ac:dyDescent="0.35">
      <c r="A181" s="469" t="s">
        <v>2654</v>
      </c>
      <c r="B181" s="469" t="s">
        <v>2868</v>
      </c>
      <c r="C181" s="469" t="str">
        <f t="shared" si="89"/>
        <v>BL96-&gt;PV4-111</v>
      </c>
      <c r="D181" s="469">
        <f>950.95-949.1</f>
        <v>1.8500000000000227</v>
      </c>
      <c r="E181" s="469" t="s">
        <v>2487</v>
      </c>
      <c r="F181" s="469">
        <v>7.47</v>
      </c>
      <c r="G181" s="469"/>
      <c r="H181" s="469" t="s">
        <v>2462</v>
      </c>
      <c r="I181" s="470" t="str">
        <f t="shared" si="90"/>
        <v>BOCA DE LOBO PROJETADA DUPLA</v>
      </c>
      <c r="J181" s="470">
        <f t="shared" si="92"/>
        <v>1</v>
      </c>
      <c r="K181" s="470" t="s">
        <v>2832</v>
      </c>
      <c r="L181" s="471" t="str">
        <f t="shared" si="91"/>
        <v>PROJETADA</v>
      </c>
      <c r="M181"/>
      <c r="N181" s="472"/>
      <c r="O181"/>
      <c r="P181" s="469">
        <f t="shared" si="93"/>
        <v>0</v>
      </c>
      <c r="Q181" s="447"/>
    </row>
    <row r="182" spans="1:17" s="140" customFormat="1" ht="28.5" x14ac:dyDescent="0.35">
      <c r="A182" s="469" t="s">
        <v>2653</v>
      </c>
      <c r="B182" s="469" t="s">
        <v>2867</v>
      </c>
      <c r="C182" s="469" t="str">
        <f t="shared" si="89"/>
        <v>BL97-&gt;PV5-111</v>
      </c>
      <c r="D182" s="469">
        <f>950.28-947.4</f>
        <v>2.8799999999999955</v>
      </c>
      <c r="E182" s="469" t="s">
        <v>2487</v>
      </c>
      <c r="F182" s="469">
        <v>10.11</v>
      </c>
      <c r="G182" s="469"/>
      <c r="H182" s="469" t="s">
        <v>2462</v>
      </c>
      <c r="I182" s="470" t="str">
        <f t="shared" si="90"/>
        <v>BOCA DE LOBO PROJETADA DUPLA</v>
      </c>
      <c r="J182" s="470">
        <f t="shared" si="92"/>
        <v>1</v>
      </c>
      <c r="K182" s="470" t="s">
        <v>2865</v>
      </c>
      <c r="L182" s="471" t="str">
        <f t="shared" si="91"/>
        <v>PROJETADA</v>
      </c>
      <c r="M182"/>
      <c r="N182" s="472"/>
      <c r="O182"/>
      <c r="P182" s="469">
        <f t="shared" si="93"/>
        <v>0</v>
      </c>
      <c r="Q182" s="447"/>
    </row>
    <row r="183" spans="1:17" s="140" customFormat="1" ht="28.5" x14ac:dyDescent="0.35">
      <c r="A183" s="469" t="s">
        <v>2653</v>
      </c>
      <c r="B183" s="469" t="s">
        <v>2866</v>
      </c>
      <c r="C183" s="469" t="str">
        <f t="shared" si="89"/>
        <v>BL98-&gt;PV5-111</v>
      </c>
      <c r="D183" s="469">
        <f>950.28-947.4</f>
        <v>2.8799999999999955</v>
      </c>
      <c r="E183" s="469" t="s">
        <v>2487</v>
      </c>
      <c r="F183" s="469">
        <v>7.78</v>
      </c>
      <c r="G183" s="469"/>
      <c r="H183" s="469" t="s">
        <v>2462</v>
      </c>
      <c r="I183" s="470" t="str">
        <f t="shared" si="90"/>
        <v>BOCA DE LOBO PROJETADA DUPLA</v>
      </c>
      <c r="J183" s="470">
        <f t="shared" si="92"/>
        <v>1</v>
      </c>
      <c r="K183" s="470" t="s">
        <v>2865</v>
      </c>
      <c r="L183" s="471" t="str">
        <f t="shared" si="91"/>
        <v>PROJETADA</v>
      </c>
      <c r="M183"/>
      <c r="N183" s="472"/>
      <c r="O183"/>
      <c r="P183" s="469">
        <f t="shared" si="93"/>
        <v>0</v>
      </c>
      <c r="Q183" s="447"/>
    </row>
    <row r="184" spans="1:17" s="140" customFormat="1" ht="28.5" x14ac:dyDescent="0.35">
      <c r="A184" s="469" t="s">
        <v>2621</v>
      </c>
      <c r="B184" s="469" t="s">
        <v>2864</v>
      </c>
      <c r="C184" s="469" t="str">
        <f t="shared" si="89"/>
        <v>BL99-&gt;PV6-111</v>
      </c>
      <c r="D184" s="469">
        <f>949.47-944.91</f>
        <v>4.5600000000000591</v>
      </c>
      <c r="E184" s="469" t="s">
        <v>2487</v>
      </c>
      <c r="F184" s="469">
        <v>9.07</v>
      </c>
      <c r="G184" s="469"/>
      <c r="H184" s="469" t="s">
        <v>2462</v>
      </c>
      <c r="I184" s="470" t="str">
        <f t="shared" si="90"/>
        <v>BOCA DE LOBO PROJETADA DUPLA</v>
      </c>
      <c r="J184" s="470">
        <f t="shared" si="92"/>
        <v>1</v>
      </c>
      <c r="K184" s="470" t="s">
        <v>2841</v>
      </c>
      <c r="L184" s="471" t="str">
        <f t="shared" si="91"/>
        <v>PROJETADA</v>
      </c>
      <c r="M184"/>
      <c r="N184" s="472"/>
      <c r="O184"/>
      <c r="P184" s="469">
        <f t="shared" si="93"/>
        <v>0</v>
      </c>
      <c r="Q184" s="447"/>
    </row>
    <row r="185" spans="1:17" s="140" customFormat="1" ht="28.5" x14ac:dyDescent="0.35">
      <c r="A185" s="469" t="s">
        <v>2621</v>
      </c>
      <c r="B185" s="469" t="s">
        <v>2863</v>
      </c>
      <c r="C185" s="469" t="str">
        <f t="shared" si="89"/>
        <v>BL100-&gt;PV6-111</v>
      </c>
      <c r="D185" s="469">
        <f>949.47-944.91</f>
        <v>4.5600000000000591</v>
      </c>
      <c r="E185" s="469" t="s">
        <v>2487</v>
      </c>
      <c r="F185" s="469">
        <v>7.42</v>
      </c>
      <c r="G185" s="469"/>
      <c r="H185" s="469" t="s">
        <v>2462</v>
      </c>
      <c r="I185" s="470" t="str">
        <f t="shared" si="90"/>
        <v>BOCA DE LOBO PROJETADA DUPLA</v>
      </c>
      <c r="J185" s="470">
        <f t="shared" si="92"/>
        <v>1</v>
      </c>
      <c r="K185" s="470" t="s">
        <v>2841</v>
      </c>
      <c r="L185" s="471" t="str">
        <f t="shared" si="91"/>
        <v>PROJETADA</v>
      </c>
      <c r="M185"/>
      <c r="N185" s="472"/>
      <c r="O185"/>
      <c r="P185" s="469">
        <f t="shared" si="93"/>
        <v>0</v>
      </c>
      <c r="Q185" s="447"/>
    </row>
    <row r="186" spans="1:17" s="140" customFormat="1" ht="28.5" x14ac:dyDescent="0.35">
      <c r="A186" s="469" t="s">
        <v>2652</v>
      </c>
      <c r="B186" s="469" t="s">
        <v>2862</v>
      </c>
      <c r="C186" s="469" t="str">
        <f t="shared" si="89"/>
        <v>BL101-&gt;PV7-111</v>
      </c>
      <c r="D186" s="469">
        <f>947-944.05</f>
        <v>2.9500000000000455</v>
      </c>
      <c r="E186" s="469" t="s">
        <v>2487</v>
      </c>
      <c r="F186" s="469">
        <v>5.72</v>
      </c>
      <c r="G186" s="469"/>
      <c r="H186" s="469" t="s">
        <v>2462</v>
      </c>
      <c r="I186" s="470" t="str">
        <f t="shared" si="90"/>
        <v>BOCA DE LOBO PROJETADA DUPLA</v>
      </c>
      <c r="J186" s="470">
        <f t="shared" si="92"/>
        <v>1</v>
      </c>
      <c r="K186" s="470">
        <v>1000</v>
      </c>
      <c r="L186" s="471" t="str">
        <f t="shared" si="91"/>
        <v>PROJETADA</v>
      </c>
      <c r="M186"/>
      <c r="N186" s="472"/>
      <c r="O186"/>
      <c r="P186" s="469">
        <f t="shared" si="93"/>
        <v>0</v>
      </c>
      <c r="Q186" s="447"/>
    </row>
    <row r="187" spans="1:17" s="140" customFormat="1" ht="28.5" x14ac:dyDescent="0.35">
      <c r="A187" s="469" t="s">
        <v>2651</v>
      </c>
      <c r="B187" s="469" t="s">
        <v>2861</v>
      </c>
      <c r="C187" s="469" t="str">
        <f t="shared" si="89"/>
        <v>BL102-&gt;PV8-111</v>
      </c>
      <c r="D187" s="469">
        <f>944.71-942.5</f>
        <v>2.2100000000000364</v>
      </c>
      <c r="E187" s="469" t="s">
        <v>2487</v>
      </c>
      <c r="F187" s="469">
        <v>5.79</v>
      </c>
      <c r="G187" s="469"/>
      <c r="H187" s="469" t="s">
        <v>2462</v>
      </c>
      <c r="I187" s="470" t="str">
        <f t="shared" si="90"/>
        <v>BOCA DE LOBO PROJETADA DUPLA</v>
      </c>
      <c r="J187" s="470">
        <f t="shared" si="92"/>
        <v>1</v>
      </c>
      <c r="K187" s="470">
        <v>1000</v>
      </c>
      <c r="L187" s="471" t="str">
        <f t="shared" si="91"/>
        <v>PROJETADA</v>
      </c>
      <c r="M187"/>
      <c r="N187" s="472"/>
      <c r="O187"/>
      <c r="P187" s="469">
        <f t="shared" si="93"/>
        <v>0</v>
      </c>
      <c r="Q187" s="447"/>
    </row>
    <row r="188" spans="1:17" s="140" customFormat="1" ht="28.5" x14ac:dyDescent="0.35">
      <c r="A188" s="469" t="s">
        <v>2650</v>
      </c>
      <c r="B188" s="469" t="s">
        <v>2860</v>
      </c>
      <c r="C188" s="469" t="str">
        <f t="shared" si="89"/>
        <v>BL103-&gt;PV9-111</v>
      </c>
      <c r="D188" s="469">
        <f>943.28-941.07</f>
        <v>2.2099999999999227</v>
      </c>
      <c r="E188" s="469" t="s">
        <v>2487</v>
      </c>
      <c r="F188" s="469">
        <v>5.96</v>
      </c>
      <c r="G188" s="469"/>
      <c r="H188" s="469" t="s">
        <v>2462</v>
      </c>
      <c r="I188" s="470" t="str">
        <f t="shared" si="90"/>
        <v>BOCA DE LOBO PROJETADA DUPLA</v>
      </c>
      <c r="J188" s="470">
        <f t="shared" si="92"/>
        <v>1</v>
      </c>
      <c r="K188" s="470">
        <v>1000</v>
      </c>
      <c r="L188" s="471" t="str">
        <f t="shared" si="91"/>
        <v>PROJETADA</v>
      </c>
      <c r="M188"/>
      <c r="N188" s="472"/>
      <c r="O188"/>
      <c r="P188" s="469">
        <f t="shared" si="93"/>
        <v>0</v>
      </c>
      <c r="Q188" s="447"/>
    </row>
    <row r="189" spans="1:17" s="140" customFormat="1" ht="28.5" x14ac:dyDescent="0.35">
      <c r="A189" s="469" t="s">
        <v>2649</v>
      </c>
      <c r="B189" s="469" t="s">
        <v>2859</v>
      </c>
      <c r="C189" s="469" t="str">
        <f t="shared" si="89"/>
        <v>BL104-&gt;PV10-111</v>
      </c>
      <c r="D189" s="469">
        <f>942.08-939.64</f>
        <v>2.4400000000000546</v>
      </c>
      <c r="E189" s="469" t="s">
        <v>2487</v>
      </c>
      <c r="F189" s="469">
        <v>5.79</v>
      </c>
      <c r="G189" s="469"/>
      <c r="H189" s="469" t="s">
        <v>2462</v>
      </c>
      <c r="I189" s="470" t="str">
        <f t="shared" si="90"/>
        <v>BOCA DE LOBO PROJETADA DUPLA</v>
      </c>
      <c r="J189" s="470">
        <f t="shared" si="92"/>
        <v>1</v>
      </c>
      <c r="K189" s="470">
        <v>1000</v>
      </c>
      <c r="L189" s="471" t="str">
        <f t="shared" si="91"/>
        <v>PROJETADA</v>
      </c>
      <c r="M189"/>
      <c r="N189" s="472"/>
      <c r="O189"/>
      <c r="P189" s="469">
        <f t="shared" si="93"/>
        <v>0</v>
      </c>
      <c r="Q189" s="447"/>
    </row>
    <row r="190" spans="1:17" s="140" customFormat="1" ht="28.5" x14ac:dyDescent="0.35">
      <c r="A190" s="469" t="s">
        <v>2648</v>
      </c>
      <c r="B190" s="469" t="s">
        <v>2858</v>
      </c>
      <c r="C190" s="469" t="str">
        <f t="shared" si="89"/>
        <v>BL105-&gt;PV1-112</v>
      </c>
      <c r="D190" s="469">
        <f>956.49-954.74</f>
        <v>1.75</v>
      </c>
      <c r="E190" s="469" t="s">
        <v>2487</v>
      </c>
      <c r="F190" s="469">
        <v>5.47</v>
      </c>
      <c r="G190" s="469"/>
      <c r="H190" s="469" t="s">
        <v>2476</v>
      </c>
      <c r="I190" s="470" t="str">
        <f t="shared" si="90"/>
        <v>BOCA DE LOBO PROJETADA TRIPLA</v>
      </c>
      <c r="J190" s="470">
        <f t="shared" si="92"/>
        <v>1</v>
      </c>
      <c r="K190" s="470">
        <v>400</v>
      </c>
      <c r="L190" s="471" t="str">
        <f t="shared" si="91"/>
        <v>PROJETADA</v>
      </c>
      <c r="M190"/>
      <c r="N190" s="472"/>
      <c r="O190"/>
      <c r="P190" s="469">
        <f t="shared" si="93"/>
        <v>0</v>
      </c>
      <c r="Q190" s="447"/>
    </row>
    <row r="191" spans="1:17" s="140" customFormat="1" ht="28.5" x14ac:dyDescent="0.35">
      <c r="A191" s="469" t="s">
        <v>2647</v>
      </c>
      <c r="B191" s="469" t="s">
        <v>2857</v>
      </c>
      <c r="C191" s="469" t="str">
        <f t="shared" si="89"/>
        <v>BL106-&gt;PV2-112</v>
      </c>
      <c r="D191" s="469">
        <f>954.28-952.47</f>
        <v>1.8099999999999454</v>
      </c>
      <c r="E191" s="469" t="s">
        <v>2487</v>
      </c>
      <c r="F191" s="469">
        <v>5.8</v>
      </c>
      <c r="G191" s="469"/>
      <c r="H191" s="469" t="s">
        <v>2462</v>
      </c>
      <c r="I191" s="470" t="str">
        <f t="shared" si="90"/>
        <v>BOCA DE LOBO PROJETADA DUPLA</v>
      </c>
      <c r="J191" s="470">
        <f t="shared" si="92"/>
        <v>1</v>
      </c>
      <c r="K191" s="470">
        <v>400</v>
      </c>
      <c r="L191" s="471" t="str">
        <f t="shared" si="91"/>
        <v>PROJETADA</v>
      </c>
      <c r="M191"/>
      <c r="N191" s="472"/>
      <c r="O191"/>
      <c r="P191" s="469">
        <f t="shared" si="93"/>
        <v>0</v>
      </c>
      <c r="Q191" s="447"/>
    </row>
    <row r="192" spans="1:17" s="140" customFormat="1" ht="28.5" x14ac:dyDescent="0.35">
      <c r="A192" s="469" t="s">
        <v>2646</v>
      </c>
      <c r="B192" s="469" t="s">
        <v>2856</v>
      </c>
      <c r="C192" s="469" t="str">
        <f t="shared" si="89"/>
        <v>BL107-&gt;PV3-112</v>
      </c>
      <c r="D192" s="469">
        <f>952.15-950.22</f>
        <v>1.92999999999995</v>
      </c>
      <c r="E192" s="469" t="s">
        <v>2487</v>
      </c>
      <c r="F192" s="469">
        <v>4.76</v>
      </c>
      <c r="G192" s="469"/>
      <c r="H192" s="469" t="s">
        <v>2462</v>
      </c>
      <c r="I192" s="470" t="str">
        <f t="shared" si="90"/>
        <v>BOCA DE LOBO PROJETADA DUPLA</v>
      </c>
      <c r="J192" s="470">
        <f t="shared" si="92"/>
        <v>1</v>
      </c>
      <c r="K192" s="470">
        <v>400</v>
      </c>
      <c r="L192" s="471" t="str">
        <f t="shared" si="91"/>
        <v>PROJETADA</v>
      </c>
      <c r="M192"/>
      <c r="N192" s="472"/>
      <c r="O192"/>
      <c r="P192" s="469">
        <f t="shared" si="93"/>
        <v>0</v>
      </c>
      <c r="Q192" s="447"/>
    </row>
    <row r="193" spans="1:17" s="140" customFormat="1" ht="28.5" x14ac:dyDescent="0.35">
      <c r="A193" s="469" t="s">
        <v>2645</v>
      </c>
      <c r="B193" s="469" t="s">
        <v>2855</v>
      </c>
      <c r="C193" s="469" t="str">
        <f t="shared" si="89"/>
        <v>BL108-&gt;PV1-113</v>
      </c>
      <c r="D193" s="469">
        <f>955.81-954.06</f>
        <v>1.75</v>
      </c>
      <c r="E193" s="469" t="s">
        <v>2487</v>
      </c>
      <c r="F193" s="469">
        <v>5.78</v>
      </c>
      <c r="G193" s="469"/>
      <c r="H193" s="469" t="s">
        <v>2476</v>
      </c>
      <c r="I193" s="470" t="str">
        <f t="shared" si="90"/>
        <v>BOCA DE LOBO PROJETADA TRIPLA</v>
      </c>
      <c r="J193" s="470">
        <f t="shared" si="92"/>
        <v>1</v>
      </c>
      <c r="K193" s="470">
        <v>400</v>
      </c>
      <c r="L193" s="471" t="str">
        <f t="shared" si="91"/>
        <v>PROJETADA</v>
      </c>
      <c r="M193"/>
      <c r="N193" s="472"/>
      <c r="O193"/>
      <c r="P193" s="469">
        <f t="shared" si="93"/>
        <v>0</v>
      </c>
      <c r="Q193" s="447"/>
    </row>
    <row r="194" spans="1:17" s="140" customFormat="1" ht="28.5" x14ac:dyDescent="0.35">
      <c r="A194" s="469" t="s">
        <v>2644</v>
      </c>
      <c r="B194" s="469" t="s">
        <v>2854</v>
      </c>
      <c r="C194" s="469" t="str">
        <f t="shared" si="89"/>
        <v>BL109-&gt;PV2-113</v>
      </c>
      <c r="D194" s="469">
        <f>953.67-951.92</f>
        <v>1.75</v>
      </c>
      <c r="E194" s="469" t="s">
        <v>2487</v>
      </c>
      <c r="F194" s="474">
        <v>5.77</v>
      </c>
      <c r="G194" s="469"/>
      <c r="H194" s="469" t="s">
        <v>2462</v>
      </c>
      <c r="I194" s="470" t="str">
        <f t="shared" si="90"/>
        <v>BOCA DE LOBO PROJETADA DUPLA</v>
      </c>
      <c r="J194" s="470">
        <f t="shared" si="92"/>
        <v>1</v>
      </c>
      <c r="K194" s="470">
        <v>400</v>
      </c>
      <c r="L194" s="471" t="str">
        <f t="shared" si="91"/>
        <v>PROJETADA</v>
      </c>
      <c r="M194"/>
      <c r="N194" s="472"/>
      <c r="O194"/>
      <c r="P194" s="469">
        <f t="shared" si="93"/>
        <v>0</v>
      </c>
      <c r="Q194" s="447"/>
    </row>
    <row r="195" spans="1:17" s="140" customFormat="1" ht="28.5" x14ac:dyDescent="0.35">
      <c r="A195" s="469" t="s">
        <v>2643</v>
      </c>
      <c r="B195" s="469" t="s">
        <v>2853</v>
      </c>
      <c r="C195" s="469" t="str">
        <f t="shared" si="89"/>
        <v>BL110-&gt;PV3-113</v>
      </c>
      <c r="D195" s="469">
        <f>951.51-949.71</f>
        <v>1.7999999999999545</v>
      </c>
      <c r="E195" s="469" t="s">
        <v>2487</v>
      </c>
      <c r="F195" s="469">
        <v>5.78</v>
      </c>
      <c r="G195" s="469"/>
      <c r="H195" s="469" t="s">
        <v>2462</v>
      </c>
      <c r="I195" s="470" t="str">
        <f t="shared" si="90"/>
        <v>BOCA DE LOBO PROJETADA DUPLA</v>
      </c>
      <c r="J195" s="470">
        <f t="shared" si="92"/>
        <v>1</v>
      </c>
      <c r="K195" s="470">
        <v>400</v>
      </c>
      <c r="L195" s="471" t="str">
        <f t="shared" si="91"/>
        <v>PROJETADA</v>
      </c>
      <c r="M195"/>
      <c r="N195" s="472"/>
      <c r="O195"/>
      <c r="P195" s="469">
        <f t="shared" si="93"/>
        <v>0</v>
      </c>
      <c r="Q195" s="447"/>
    </row>
    <row r="196" spans="1:17" s="140" customFormat="1" ht="28.5" x14ac:dyDescent="0.35">
      <c r="A196" s="469" t="s">
        <v>2642</v>
      </c>
      <c r="B196" s="469" t="s">
        <v>2852</v>
      </c>
      <c r="C196" s="469" t="str">
        <f t="shared" si="89"/>
        <v>BL111-&gt;PV1-114</v>
      </c>
      <c r="D196" s="469">
        <f>955.16-953.41</f>
        <v>1.75</v>
      </c>
      <c r="E196" s="469" t="s">
        <v>2487</v>
      </c>
      <c r="F196" s="469">
        <v>5.78</v>
      </c>
      <c r="G196" s="469"/>
      <c r="H196" s="469" t="s">
        <v>2476</v>
      </c>
      <c r="I196" s="470" t="str">
        <f t="shared" si="90"/>
        <v>BOCA DE LOBO PROJETADA TRIPLA</v>
      </c>
      <c r="J196" s="470">
        <f t="shared" si="92"/>
        <v>1</v>
      </c>
      <c r="K196" s="470">
        <v>400</v>
      </c>
      <c r="L196" s="471" t="str">
        <f t="shared" si="91"/>
        <v>PROJETADA</v>
      </c>
      <c r="M196"/>
      <c r="N196" s="472"/>
      <c r="O196"/>
      <c r="P196" s="469">
        <f t="shared" si="93"/>
        <v>0</v>
      </c>
      <c r="Q196" s="447"/>
    </row>
    <row r="197" spans="1:17" s="140" customFormat="1" ht="28.5" x14ac:dyDescent="0.35">
      <c r="A197" s="469" t="s">
        <v>2641</v>
      </c>
      <c r="B197" s="469" t="s">
        <v>2851</v>
      </c>
      <c r="C197" s="469" t="str">
        <f t="shared" si="89"/>
        <v>BL112-&gt;PV2-114</v>
      </c>
      <c r="D197" s="469">
        <f>952.9-951.14</f>
        <v>1.7599999999999909</v>
      </c>
      <c r="E197" s="469" t="s">
        <v>2487</v>
      </c>
      <c r="F197" s="474">
        <v>5.3</v>
      </c>
      <c r="G197" s="469"/>
      <c r="H197" s="469" t="s">
        <v>2462</v>
      </c>
      <c r="I197" s="470" t="str">
        <f t="shared" si="90"/>
        <v>BOCA DE LOBO PROJETADA DUPLA</v>
      </c>
      <c r="J197" s="470">
        <f t="shared" si="92"/>
        <v>1</v>
      </c>
      <c r="K197" s="470">
        <v>400</v>
      </c>
      <c r="L197" s="471" t="str">
        <f t="shared" si="91"/>
        <v>PROJETADA</v>
      </c>
      <c r="M197"/>
      <c r="N197" s="472"/>
      <c r="O197"/>
      <c r="P197" s="469">
        <f t="shared" si="93"/>
        <v>0</v>
      </c>
      <c r="Q197" s="447"/>
    </row>
    <row r="198" spans="1:17" s="140" customFormat="1" ht="28.5" x14ac:dyDescent="0.35">
      <c r="A198" s="469" t="s">
        <v>2640</v>
      </c>
      <c r="B198" s="469" t="s">
        <v>2850</v>
      </c>
      <c r="C198" s="469" t="str">
        <f t="shared" si="89"/>
        <v>BL113-&gt;PV3-114</v>
      </c>
      <c r="D198" s="469">
        <f>950.8-948.99</f>
        <v>1.8099999999999454</v>
      </c>
      <c r="E198" s="469" t="s">
        <v>2487</v>
      </c>
      <c r="F198" s="469">
        <v>5.0599999999999996</v>
      </c>
      <c r="G198" s="469"/>
      <c r="H198" s="469" t="s">
        <v>2462</v>
      </c>
      <c r="I198" s="470" t="str">
        <f t="shared" si="90"/>
        <v>BOCA DE LOBO PROJETADA DUPLA</v>
      </c>
      <c r="J198" s="470">
        <f t="shared" si="92"/>
        <v>1</v>
      </c>
      <c r="K198" s="470">
        <v>400</v>
      </c>
      <c r="L198" s="471" t="str">
        <f t="shared" si="91"/>
        <v>PROJETADA</v>
      </c>
      <c r="M198"/>
      <c r="N198" s="472"/>
      <c r="O198"/>
      <c r="P198" s="469">
        <f t="shared" si="93"/>
        <v>0</v>
      </c>
      <c r="Q198" s="447"/>
    </row>
    <row r="199" spans="1:17" s="140" customFormat="1" ht="28.5" x14ac:dyDescent="0.35">
      <c r="A199" s="469" t="s">
        <v>2639</v>
      </c>
      <c r="B199" s="469" t="s">
        <v>2849</v>
      </c>
      <c r="C199" s="469" t="str">
        <f t="shared" si="89"/>
        <v>BL114-&gt;PV1-115</v>
      </c>
      <c r="D199" s="469">
        <f>954.2-952.45</f>
        <v>1.75</v>
      </c>
      <c r="E199" s="469" t="s">
        <v>2487</v>
      </c>
      <c r="F199" s="469">
        <v>4.51</v>
      </c>
      <c r="G199" s="469"/>
      <c r="H199" s="469" t="s">
        <v>2476</v>
      </c>
      <c r="I199" s="470" t="str">
        <f t="shared" si="90"/>
        <v>BOCA DE LOBO PROJETADA TRIPLA</v>
      </c>
      <c r="J199" s="470">
        <f t="shared" si="92"/>
        <v>1</v>
      </c>
      <c r="K199" s="470">
        <v>400</v>
      </c>
      <c r="L199" s="471" t="str">
        <f t="shared" si="91"/>
        <v>PROJETADA</v>
      </c>
      <c r="M199"/>
      <c r="N199" s="472"/>
      <c r="O199"/>
      <c r="P199" s="469">
        <f t="shared" si="93"/>
        <v>0</v>
      </c>
      <c r="Q199" s="447"/>
    </row>
    <row r="200" spans="1:17" s="140" customFormat="1" ht="28.5" x14ac:dyDescent="0.35">
      <c r="A200" s="469" t="s">
        <v>2638</v>
      </c>
      <c r="B200" s="469" t="s">
        <v>2848</v>
      </c>
      <c r="C200" s="469" t="str">
        <f t="shared" si="89"/>
        <v>BL115-&gt;PV2-115</v>
      </c>
      <c r="D200" s="469">
        <f>952.21-950.44</f>
        <v>1.7699999999999818</v>
      </c>
      <c r="E200" s="469" t="s">
        <v>2487</v>
      </c>
      <c r="F200" s="469">
        <v>5.93</v>
      </c>
      <c r="G200" s="469"/>
      <c r="H200" s="469" t="s">
        <v>2462</v>
      </c>
      <c r="I200" s="470" t="str">
        <f t="shared" si="90"/>
        <v>BOCA DE LOBO PROJETADA DUPLA</v>
      </c>
      <c r="J200" s="470">
        <f t="shared" si="92"/>
        <v>1</v>
      </c>
      <c r="K200" s="470">
        <v>400</v>
      </c>
      <c r="L200" s="471" t="str">
        <f t="shared" si="91"/>
        <v>PROJETADA</v>
      </c>
      <c r="M200"/>
      <c r="N200" s="472"/>
      <c r="O200"/>
      <c r="P200" s="469">
        <f t="shared" si="93"/>
        <v>0</v>
      </c>
      <c r="Q200" s="447"/>
    </row>
    <row r="201" spans="1:17" s="140" customFormat="1" ht="28.5" x14ac:dyDescent="0.35">
      <c r="A201" s="469" t="s">
        <v>2637</v>
      </c>
      <c r="B201" s="469" t="s">
        <v>2847</v>
      </c>
      <c r="C201" s="469" t="str">
        <f t="shared" si="89"/>
        <v>BL116-&gt;PV3-115</v>
      </c>
      <c r="D201" s="469">
        <f>950.13-948.36</f>
        <v>1.7699999999999818</v>
      </c>
      <c r="E201" s="469" t="s">
        <v>2487</v>
      </c>
      <c r="F201" s="469">
        <v>5.65</v>
      </c>
      <c r="G201" s="469"/>
      <c r="H201" s="469" t="s">
        <v>2462</v>
      </c>
      <c r="I201" s="470" t="str">
        <f t="shared" si="90"/>
        <v>BOCA DE LOBO PROJETADA DUPLA</v>
      </c>
      <c r="J201" s="470">
        <f t="shared" si="92"/>
        <v>1</v>
      </c>
      <c r="K201" s="470">
        <v>400</v>
      </c>
      <c r="L201" s="471" t="str">
        <f t="shared" si="91"/>
        <v>PROJETADA</v>
      </c>
      <c r="M201"/>
      <c r="N201" s="472"/>
      <c r="O201"/>
      <c r="P201" s="469">
        <f t="shared" si="93"/>
        <v>0</v>
      </c>
      <c r="Q201" s="447"/>
    </row>
    <row r="202" spans="1:17" s="140" customFormat="1" ht="28.5" x14ac:dyDescent="0.35">
      <c r="A202" s="469" t="s">
        <v>2636</v>
      </c>
      <c r="B202" s="469" t="s">
        <v>2846</v>
      </c>
      <c r="C202" s="469" t="str">
        <f t="shared" si="89"/>
        <v>BL117-&gt;PV4-115</v>
      </c>
      <c r="D202" s="469">
        <f>947.99-946.01</f>
        <v>1.9800000000000182</v>
      </c>
      <c r="E202" s="469" t="s">
        <v>2487</v>
      </c>
      <c r="F202" s="469">
        <v>5.6</v>
      </c>
      <c r="G202" s="469"/>
      <c r="H202" s="469" t="s">
        <v>2462</v>
      </c>
      <c r="I202" s="470" t="str">
        <f t="shared" si="90"/>
        <v>BOCA DE LOBO PROJETADA DUPLA</v>
      </c>
      <c r="J202" s="470">
        <f t="shared" si="92"/>
        <v>1</v>
      </c>
      <c r="K202" s="470" t="s">
        <v>2844</v>
      </c>
      <c r="L202" s="471" t="str">
        <f t="shared" si="91"/>
        <v>PROJETADA</v>
      </c>
      <c r="M202"/>
      <c r="N202" s="472"/>
      <c r="O202"/>
      <c r="P202" s="469">
        <f t="shared" si="93"/>
        <v>0</v>
      </c>
      <c r="Q202" s="447"/>
    </row>
    <row r="203" spans="1:17" s="140" customFormat="1" ht="28.5" x14ac:dyDescent="0.35">
      <c r="A203" s="469" t="s">
        <v>2636</v>
      </c>
      <c r="B203" s="469" t="s">
        <v>2845</v>
      </c>
      <c r="C203" s="469" t="str">
        <f t="shared" ref="C203:C214" si="94">CONCATENATE(B203,"-&gt;",A203)</f>
        <v>BL118-&gt;PV4-115</v>
      </c>
      <c r="D203" s="469">
        <f>947.99-946.01</f>
        <v>1.9800000000000182</v>
      </c>
      <c r="E203" s="469" t="s">
        <v>2487</v>
      </c>
      <c r="F203" s="469">
        <v>9.51</v>
      </c>
      <c r="G203" s="469"/>
      <c r="H203" s="469" t="s">
        <v>2462</v>
      </c>
      <c r="I203" s="470" t="str">
        <f t="shared" ref="I203:I214" si="95">IF(G203="","BOCA DE LOBO PROJETADA "&amp;H203,IF(H203="","BOCA DE LOBO EXISTENTE "&amp;G203,"BOCA DE LOBO "&amp;G203&amp;" EXISTENTE COM BOCA DE LOBO "&amp;H203&amp;" PROJETADA"))</f>
        <v>BOCA DE LOBO PROJETADA DUPLA</v>
      </c>
      <c r="J203" s="470">
        <f t="shared" si="92"/>
        <v>1</v>
      </c>
      <c r="K203" s="470" t="s">
        <v>2844</v>
      </c>
      <c r="L203" s="471" t="str">
        <f t="shared" ref="L203:L214" si="96">IF(G203&lt;&gt;"",IF(H203&lt;&gt;"","AMPLIADA","EXISTENTE"),"PROJETADA")</f>
        <v>PROJETADA</v>
      </c>
      <c r="M203"/>
      <c r="N203" s="472"/>
      <c r="O203"/>
      <c r="P203" s="469">
        <f t="shared" si="93"/>
        <v>0</v>
      </c>
      <c r="Q203" s="447"/>
    </row>
    <row r="204" spans="1:17" s="140" customFormat="1" ht="28.5" x14ac:dyDescent="0.35">
      <c r="A204" s="469" t="s">
        <v>2635</v>
      </c>
      <c r="B204" s="469" t="s">
        <v>2843</v>
      </c>
      <c r="C204" s="469" t="str">
        <f t="shared" si="94"/>
        <v>BL119-&gt;PV5-115</v>
      </c>
      <c r="D204" s="469">
        <f>948.73-945.3</f>
        <v>3.4300000000000637</v>
      </c>
      <c r="E204" s="469" t="s">
        <v>2487</v>
      </c>
      <c r="F204" s="469">
        <v>8.1300000000000008</v>
      </c>
      <c r="G204" s="469"/>
      <c r="H204" s="469" t="s">
        <v>2462</v>
      </c>
      <c r="I204" s="470" t="str">
        <f t="shared" si="95"/>
        <v>BOCA DE LOBO PROJETADA DUPLA</v>
      </c>
      <c r="J204" s="470">
        <f t="shared" si="92"/>
        <v>1</v>
      </c>
      <c r="K204" s="470" t="s">
        <v>2841</v>
      </c>
      <c r="L204" s="471" t="str">
        <f t="shared" si="96"/>
        <v>PROJETADA</v>
      </c>
      <c r="M204"/>
      <c r="N204" s="472"/>
      <c r="O204"/>
      <c r="P204" s="469">
        <f t="shared" si="93"/>
        <v>0</v>
      </c>
      <c r="Q204" s="447"/>
    </row>
    <row r="205" spans="1:17" s="140" customFormat="1" ht="28.5" x14ac:dyDescent="0.35">
      <c r="A205" s="469" t="s">
        <v>2635</v>
      </c>
      <c r="B205" s="469" t="s">
        <v>2842</v>
      </c>
      <c r="C205" s="469" t="str">
        <f t="shared" si="94"/>
        <v>BL120-&gt;PV5-115</v>
      </c>
      <c r="D205" s="469">
        <f>948.73-945.3</f>
        <v>3.4300000000000637</v>
      </c>
      <c r="E205" s="469" t="s">
        <v>2487</v>
      </c>
      <c r="F205" s="469">
        <v>9.2799999999999994</v>
      </c>
      <c r="G205" s="469"/>
      <c r="H205" s="469" t="s">
        <v>2462</v>
      </c>
      <c r="I205" s="470" t="str">
        <f t="shared" si="95"/>
        <v>BOCA DE LOBO PROJETADA DUPLA</v>
      </c>
      <c r="J205" s="470">
        <f t="shared" si="92"/>
        <v>1</v>
      </c>
      <c r="K205" s="470" t="s">
        <v>2841</v>
      </c>
      <c r="L205" s="471" t="str">
        <f t="shared" si="96"/>
        <v>PROJETADA</v>
      </c>
      <c r="M205"/>
      <c r="N205" s="472"/>
      <c r="O205"/>
      <c r="P205" s="469">
        <f t="shared" si="93"/>
        <v>0</v>
      </c>
      <c r="Q205" s="447"/>
    </row>
    <row r="206" spans="1:17" s="140" customFormat="1" ht="28.5" x14ac:dyDescent="0.35">
      <c r="A206" s="469" t="s">
        <v>2634</v>
      </c>
      <c r="B206" s="469" t="s">
        <v>2840</v>
      </c>
      <c r="C206" s="469" t="str">
        <f t="shared" si="94"/>
        <v>BL121-&gt;PV1-116</v>
      </c>
      <c r="D206" s="469">
        <f>946.56-944.81</f>
        <v>1.75</v>
      </c>
      <c r="E206" s="469" t="s">
        <v>2487</v>
      </c>
      <c r="F206" s="469">
        <v>4.5199999999999996</v>
      </c>
      <c r="G206" s="469"/>
      <c r="H206" s="469" t="s">
        <v>2476</v>
      </c>
      <c r="I206" s="470" t="str">
        <f t="shared" si="95"/>
        <v>BOCA DE LOBO PROJETADA TRIPLA</v>
      </c>
      <c r="J206" s="470">
        <f t="shared" si="92"/>
        <v>1</v>
      </c>
      <c r="K206" s="470">
        <v>400</v>
      </c>
      <c r="L206" s="471" t="str">
        <f t="shared" si="96"/>
        <v>PROJETADA</v>
      </c>
      <c r="M206"/>
      <c r="N206" s="472"/>
      <c r="O206"/>
      <c r="P206" s="469">
        <f t="shared" si="93"/>
        <v>0</v>
      </c>
      <c r="Q206" s="447"/>
    </row>
    <row r="207" spans="1:17" s="140" customFormat="1" ht="28.5" x14ac:dyDescent="0.35">
      <c r="A207" s="469" t="s">
        <v>2633</v>
      </c>
      <c r="B207" s="469" t="s">
        <v>2839</v>
      </c>
      <c r="C207" s="469" t="str">
        <f t="shared" si="94"/>
        <v>BL122-&gt;PV2-116</v>
      </c>
      <c r="D207" s="469">
        <f>944.69-942.86</f>
        <v>1.8300000000000409</v>
      </c>
      <c r="E207" s="469" t="s">
        <v>2487</v>
      </c>
      <c r="F207" s="469">
        <v>5.23</v>
      </c>
      <c r="G207" s="469"/>
      <c r="H207" s="469" t="s">
        <v>2462</v>
      </c>
      <c r="I207" s="470" t="str">
        <f t="shared" si="95"/>
        <v>BOCA DE LOBO PROJETADA DUPLA</v>
      </c>
      <c r="J207" s="470">
        <f t="shared" si="92"/>
        <v>1</v>
      </c>
      <c r="K207" s="470">
        <v>400</v>
      </c>
      <c r="L207" s="471" t="str">
        <f t="shared" si="96"/>
        <v>PROJETADA</v>
      </c>
      <c r="M207"/>
      <c r="N207" s="472"/>
      <c r="O207"/>
      <c r="P207" s="469">
        <f t="shared" si="93"/>
        <v>0</v>
      </c>
      <c r="Q207" s="447"/>
    </row>
    <row r="208" spans="1:17" s="140" customFormat="1" ht="28.5" x14ac:dyDescent="0.35">
      <c r="A208" s="469" t="s">
        <v>2632</v>
      </c>
      <c r="B208" s="469" t="s">
        <v>2838</v>
      </c>
      <c r="C208" s="469" t="str">
        <f t="shared" si="94"/>
        <v>BL123-&gt;PV3-116</v>
      </c>
      <c r="D208" s="469">
        <f>942.67-940.81</f>
        <v>1.8600000000000136</v>
      </c>
      <c r="E208" s="469" t="s">
        <v>2487</v>
      </c>
      <c r="F208" s="469">
        <v>6.22</v>
      </c>
      <c r="G208" s="469"/>
      <c r="H208" s="469" t="s">
        <v>2462</v>
      </c>
      <c r="I208" s="470" t="str">
        <f t="shared" si="95"/>
        <v>BOCA DE LOBO PROJETADA DUPLA</v>
      </c>
      <c r="J208" s="470">
        <f t="shared" si="92"/>
        <v>1</v>
      </c>
      <c r="K208" s="470" t="s">
        <v>2832</v>
      </c>
      <c r="L208" s="471" t="str">
        <f t="shared" si="96"/>
        <v>PROJETADA</v>
      </c>
      <c r="M208"/>
      <c r="N208" s="472"/>
      <c r="O208"/>
      <c r="P208" s="469">
        <f t="shared" si="93"/>
        <v>0</v>
      </c>
      <c r="Q208" s="447"/>
    </row>
    <row r="209" spans="1:17" s="140" customFormat="1" ht="28.5" x14ac:dyDescent="0.35">
      <c r="A209" s="469" t="s">
        <v>2631</v>
      </c>
      <c r="B209" s="469" t="s">
        <v>2837</v>
      </c>
      <c r="C209" s="469" t="str">
        <f t="shared" si="94"/>
        <v>BL124-&gt;PV1-117</v>
      </c>
      <c r="D209" s="469">
        <f>945.74-943.89</f>
        <v>1.8500000000000227</v>
      </c>
      <c r="E209" s="469" t="s">
        <v>2487</v>
      </c>
      <c r="F209" s="469">
        <v>5.78</v>
      </c>
      <c r="G209" s="469"/>
      <c r="H209" s="469" t="s">
        <v>2476</v>
      </c>
      <c r="I209" s="470" t="str">
        <f t="shared" si="95"/>
        <v>BOCA DE LOBO PROJETADA TRIPLA</v>
      </c>
      <c r="J209" s="470">
        <f t="shared" si="92"/>
        <v>1</v>
      </c>
      <c r="K209" s="470">
        <v>400</v>
      </c>
      <c r="L209" s="471" t="str">
        <f t="shared" si="96"/>
        <v>PROJETADA</v>
      </c>
      <c r="M209"/>
      <c r="N209" s="472"/>
      <c r="O209"/>
      <c r="P209" s="469">
        <f t="shared" si="93"/>
        <v>0</v>
      </c>
      <c r="Q209" s="447"/>
    </row>
    <row r="210" spans="1:17" s="140" customFormat="1" ht="28.5" x14ac:dyDescent="0.35">
      <c r="A210" s="469" t="s">
        <v>2630</v>
      </c>
      <c r="B210" s="469" t="s">
        <v>2836</v>
      </c>
      <c r="C210" s="469" t="str">
        <f t="shared" si="94"/>
        <v>BL125-&gt;PV2-117</v>
      </c>
      <c r="D210" s="469">
        <f>943.82-942.07</f>
        <v>1.75</v>
      </c>
      <c r="E210" s="469" t="s">
        <v>2487</v>
      </c>
      <c r="F210" s="469">
        <v>5.96</v>
      </c>
      <c r="G210" s="469"/>
      <c r="H210" s="469" t="s">
        <v>2462</v>
      </c>
      <c r="I210" s="470" t="str">
        <f t="shared" si="95"/>
        <v>BOCA DE LOBO PROJETADA DUPLA</v>
      </c>
      <c r="J210" s="470">
        <f t="shared" si="92"/>
        <v>1</v>
      </c>
      <c r="K210" s="470">
        <v>400</v>
      </c>
      <c r="L210" s="471" t="str">
        <f t="shared" si="96"/>
        <v>PROJETADA</v>
      </c>
      <c r="M210"/>
      <c r="N210" s="472"/>
      <c r="O210"/>
      <c r="P210" s="469">
        <f t="shared" si="93"/>
        <v>0</v>
      </c>
      <c r="Q210" s="447"/>
    </row>
    <row r="211" spans="1:17" s="140" customFormat="1" ht="28.5" x14ac:dyDescent="0.35">
      <c r="A211" s="469" t="s">
        <v>2629</v>
      </c>
      <c r="B211" s="469" t="s">
        <v>2835</v>
      </c>
      <c r="C211" s="469" t="str">
        <f t="shared" si="94"/>
        <v>BL126-&gt;PV3-117</v>
      </c>
      <c r="D211" s="469">
        <f>942.31-940.41</f>
        <v>1.8999999999999773</v>
      </c>
      <c r="E211" s="469" t="s">
        <v>2487</v>
      </c>
      <c r="F211" s="469">
        <v>5.96</v>
      </c>
      <c r="G211" s="469"/>
      <c r="H211" s="469" t="s">
        <v>2462</v>
      </c>
      <c r="I211" s="470" t="str">
        <f t="shared" si="95"/>
        <v>BOCA DE LOBO PROJETADA DUPLA</v>
      </c>
      <c r="J211" s="470">
        <f t="shared" si="92"/>
        <v>1</v>
      </c>
      <c r="K211" s="470" t="s">
        <v>2832</v>
      </c>
      <c r="L211" s="471" t="str">
        <f t="shared" si="96"/>
        <v>PROJETADA</v>
      </c>
      <c r="M211"/>
      <c r="N211" s="472"/>
      <c r="O211"/>
      <c r="P211" s="469">
        <f t="shared" si="93"/>
        <v>0</v>
      </c>
      <c r="Q211" s="447"/>
    </row>
    <row r="212" spans="1:17" s="140" customFormat="1" ht="28.5" x14ac:dyDescent="0.35">
      <c r="A212" s="469" t="s">
        <v>2628</v>
      </c>
      <c r="B212" s="469" t="s">
        <v>2834</v>
      </c>
      <c r="C212" s="469" t="str">
        <f t="shared" si="94"/>
        <v>BL127-&gt;PV1-119</v>
      </c>
      <c r="D212" s="469">
        <f>944.08-942.33</f>
        <v>1.75</v>
      </c>
      <c r="E212" s="469" t="s">
        <v>2487</v>
      </c>
      <c r="F212" s="469">
        <v>5.67</v>
      </c>
      <c r="G212" s="469"/>
      <c r="H212" s="469" t="s">
        <v>2476</v>
      </c>
      <c r="I212" s="470" t="str">
        <f t="shared" si="95"/>
        <v>BOCA DE LOBO PROJETADA TRIPLA</v>
      </c>
      <c r="J212" s="470">
        <f t="shared" si="92"/>
        <v>1</v>
      </c>
      <c r="K212" s="470">
        <v>400</v>
      </c>
      <c r="L212" s="471" t="str">
        <f t="shared" si="96"/>
        <v>PROJETADA</v>
      </c>
      <c r="M212"/>
      <c r="N212" s="472"/>
      <c r="O212"/>
      <c r="P212" s="469">
        <f t="shared" si="93"/>
        <v>0</v>
      </c>
      <c r="Q212" s="447"/>
    </row>
    <row r="213" spans="1:17" s="140" customFormat="1" ht="28.5" x14ac:dyDescent="0.35">
      <c r="A213" s="469" t="s">
        <v>2627</v>
      </c>
      <c r="B213" s="469" t="s">
        <v>2833</v>
      </c>
      <c r="C213" s="469" t="str">
        <f t="shared" si="94"/>
        <v>BL128-&gt;PV2-119</v>
      </c>
      <c r="D213" s="469">
        <f>942.48-940.61</f>
        <v>1.8700000000000045</v>
      </c>
      <c r="E213" s="469" t="s">
        <v>2487</v>
      </c>
      <c r="F213" s="469">
        <v>5.28</v>
      </c>
      <c r="G213" s="469"/>
      <c r="H213" s="469" t="s">
        <v>2462</v>
      </c>
      <c r="I213" s="470" t="str">
        <f t="shared" si="95"/>
        <v>BOCA DE LOBO PROJETADA DUPLA</v>
      </c>
      <c r="J213" s="470">
        <f t="shared" si="92"/>
        <v>1</v>
      </c>
      <c r="K213" s="470" t="s">
        <v>2832</v>
      </c>
      <c r="L213" s="471" t="str">
        <f t="shared" si="96"/>
        <v>PROJETADA</v>
      </c>
      <c r="M213"/>
      <c r="N213" s="472"/>
      <c r="O213"/>
      <c r="P213" s="469">
        <f t="shared" si="93"/>
        <v>0</v>
      </c>
      <c r="Q213" s="447"/>
    </row>
    <row r="214" spans="1:17" s="140" customFormat="1" ht="28.5" x14ac:dyDescent="0.35">
      <c r="A214" s="469" t="s">
        <v>2626</v>
      </c>
      <c r="B214" s="469" t="s">
        <v>2831</v>
      </c>
      <c r="C214" s="469" t="str">
        <f t="shared" si="94"/>
        <v>BL129-&gt;PV3-119</v>
      </c>
      <c r="D214" s="469">
        <f>941.68-939.66</f>
        <v>2.0199999999999818</v>
      </c>
      <c r="E214" s="469" t="s">
        <v>2487</v>
      </c>
      <c r="F214" s="469">
        <v>5.74</v>
      </c>
      <c r="G214" s="469"/>
      <c r="H214" s="469" t="s">
        <v>2462</v>
      </c>
      <c r="I214" s="470" t="str">
        <f t="shared" si="95"/>
        <v>BOCA DE LOBO PROJETADA DUPLA</v>
      </c>
      <c r="J214" s="470">
        <f t="shared" si="92"/>
        <v>1</v>
      </c>
      <c r="K214" s="470">
        <v>500</v>
      </c>
      <c r="L214" s="471" t="str">
        <f t="shared" si="96"/>
        <v>PROJETADA</v>
      </c>
      <c r="M214"/>
      <c r="N214" s="472"/>
      <c r="O214"/>
      <c r="P214" s="469">
        <f t="shared" si="93"/>
        <v>0</v>
      </c>
      <c r="Q214" s="447"/>
    </row>
    <row r="215" spans="1:17" x14ac:dyDescent="0.3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 s="472"/>
      <c r="O215"/>
      <c r="P215" s="411">
        <f>SUM(P82:P214)</f>
        <v>0</v>
      </c>
    </row>
    <row r="216" spans="1:17" x14ac:dyDescent="0.3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 s="472"/>
      <c r="O216"/>
      <c r="P216"/>
    </row>
    <row r="217" spans="1:17" x14ac:dyDescent="0.3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 s="472"/>
      <c r="O217"/>
      <c r="P217"/>
    </row>
    <row r="218" spans="1:17" x14ac:dyDescent="0.3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 s="472"/>
      <c r="O218"/>
      <c r="P218"/>
    </row>
    <row r="219" spans="1:17" x14ac:dyDescent="0.3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 s="472"/>
      <c r="O219"/>
      <c r="P219"/>
    </row>
    <row r="220" spans="1:17" x14ac:dyDescent="0.3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 s="472"/>
      <c r="O220"/>
      <c r="P220"/>
    </row>
    <row r="221" spans="1:17" x14ac:dyDescent="0.3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 s="472"/>
      <c r="O221"/>
      <c r="P221"/>
    </row>
    <row r="222" spans="1:17" x14ac:dyDescent="0.3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 s="472"/>
      <c r="O222"/>
      <c r="P222"/>
    </row>
    <row r="223" spans="1:17" x14ac:dyDescent="0.3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 s="472"/>
      <c r="O223"/>
      <c r="P223"/>
    </row>
    <row r="224" spans="1:17" x14ac:dyDescent="0.3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 s="472"/>
      <c r="O224"/>
      <c r="P224"/>
    </row>
    <row r="225" spans="1:16" x14ac:dyDescent="0.3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 s="472"/>
      <c r="O225"/>
      <c r="P225"/>
    </row>
    <row r="226" spans="1:16" x14ac:dyDescent="0.3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 s="472"/>
      <c r="O226"/>
      <c r="P226"/>
    </row>
    <row r="227" spans="1:16" x14ac:dyDescent="0.3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 s="472"/>
      <c r="O227"/>
      <c r="P227"/>
    </row>
    <row r="228" spans="1:16" x14ac:dyDescent="0.3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 s="472"/>
      <c r="O228"/>
      <c r="P228"/>
    </row>
  </sheetData>
  <phoneticPr fontId="36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FFC3-1986-4978-9672-6F0503727102}">
  <sheetPr codeName="Planilha11"/>
  <dimension ref="A1:CZ230"/>
  <sheetViews>
    <sheetView topLeftCell="AT47" workbookViewId="0">
      <selection activeCell="BA68" sqref="BA68"/>
    </sheetView>
  </sheetViews>
  <sheetFormatPr defaultColWidth="7" defaultRowHeight="12.5" x14ac:dyDescent="0.25"/>
  <cols>
    <col min="1" max="4" width="13.5" style="193" customWidth="1"/>
    <col min="5" max="5" width="15.75" style="193" customWidth="1"/>
    <col min="6" max="6" width="14" style="193" customWidth="1"/>
    <col min="7" max="7" width="10" style="193" customWidth="1"/>
    <col min="8" max="8" width="8.58203125" style="542" customWidth="1"/>
    <col min="9" max="10" width="13.33203125" style="193" customWidth="1"/>
    <col min="11" max="11" width="8.25" style="193" customWidth="1"/>
    <col min="12" max="12" width="12" style="193" customWidth="1"/>
    <col min="13" max="13" width="9.5" style="193" customWidth="1"/>
    <col min="14" max="14" width="10.08203125" style="193" customWidth="1"/>
    <col min="15" max="15" width="12.08203125" style="193" customWidth="1"/>
    <col min="16" max="16" width="12.08203125" style="290" customWidth="1"/>
    <col min="17" max="17" width="18.25" style="353" customWidth="1"/>
    <col min="18" max="18" width="14.58203125" style="353" customWidth="1"/>
    <col min="19" max="19" width="18.25" style="290" customWidth="1"/>
    <col min="20" max="20" width="12.08203125" style="290" customWidth="1"/>
    <col min="21" max="21" width="8.83203125" style="193" customWidth="1"/>
    <col min="22" max="22" width="14.08203125" style="193" customWidth="1"/>
    <col min="23" max="27" width="12.25" style="193" customWidth="1"/>
    <col min="28" max="28" width="29.58203125" style="193" customWidth="1"/>
    <col min="29" max="29" width="23.33203125" style="294" customWidth="1"/>
    <col min="30" max="31" width="24.25" style="294" customWidth="1"/>
    <col min="32" max="34" width="29.58203125" style="193" customWidth="1"/>
    <col min="35" max="35" width="13.83203125" style="193" customWidth="1"/>
    <col min="36" max="36" width="10.58203125" style="193" customWidth="1"/>
    <col min="37" max="37" width="13.08203125" style="193" customWidth="1"/>
    <col min="38" max="38" width="16.33203125" style="193" customWidth="1"/>
    <col min="39" max="39" width="12.25" style="193" bestFit="1" customWidth="1"/>
    <col min="40" max="40" width="12.08203125" style="193" customWidth="1"/>
    <col min="41" max="48" width="16.33203125" style="193" customWidth="1"/>
    <col min="49" max="49" width="16.58203125" style="193" bestFit="1" customWidth="1"/>
    <col min="50" max="50" width="16.58203125" style="193" customWidth="1"/>
    <col min="51" max="51" width="16.5" style="193" customWidth="1"/>
    <col min="52" max="52" width="22.75" style="193" customWidth="1"/>
    <col min="53" max="54" width="20.25" style="193" customWidth="1"/>
    <col min="55" max="56" width="16.5" style="193" customWidth="1"/>
    <col min="57" max="57" width="10.33203125" style="193" customWidth="1"/>
    <col min="58" max="58" width="8.08203125" style="193" customWidth="1"/>
    <col min="59" max="59" width="8.25" style="193" bestFit="1" customWidth="1"/>
    <col min="60" max="60" width="23.75" style="290" customWidth="1"/>
    <col min="61" max="61" width="19" style="193" customWidth="1"/>
    <col min="62" max="63" width="18.83203125" style="193" customWidth="1"/>
    <col min="64" max="64" width="17.75" style="193" customWidth="1"/>
    <col min="65" max="65" width="18.83203125" style="193" customWidth="1"/>
    <col min="66" max="67" width="14.25" style="193" customWidth="1"/>
    <col min="68" max="68" width="5" style="193" customWidth="1"/>
    <col min="69" max="69" width="12.08203125" style="193" customWidth="1"/>
    <col min="70" max="70" width="16.25" style="193" customWidth="1"/>
    <col min="71" max="71" width="16.58203125" style="193" customWidth="1"/>
    <col min="72" max="72" width="11.58203125" style="193" bestFit="1" customWidth="1"/>
    <col min="73" max="73" width="12.5" style="193" bestFit="1" customWidth="1"/>
    <col min="74" max="74" width="27.33203125" style="193" bestFit="1" customWidth="1"/>
    <col min="75" max="77" width="27.33203125" style="193" customWidth="1"/>
    <col min="78" max="80" width="17.83203125" style="193" customWidth="1"/>
    <col min="81" max="81" width="25.33203125" style="193" customWidth="1"/>
    <col min="82" max="85" width="21.25" style="193" customWidth="1"/>
    <col min="86" max="87" width="14.83203125" style="193" customWidth="1"/>
    <col min="88" max="90" width="21.25" style="193" customWidth="1"/>
    <col min="91" max="91" width="11.58203125" style="193" bestFit="1" customWidth="1"/>
    <col min="92" max="93" width="14.5" style="193" customWidth="1"/>
    <col min="94" max="94" width="10" style="193" customWidth="1"/>
    <col min="95" max="95" width="9" style="193" customWidth="1"/>
    <col min="96" max="96" width="21.83203125" style="193" customWidth="1"/>
    <col min="97" max="97" width="23.25" style="193" customWidth="1"/>
    <col min="98" max="98" width="11.75" style="193" customWidth="1"/>
    <col min="99" max="99" width="12" style="193" customWidth="1"/>
    <col min="100" max="100" width="19" style="193" customWidth="1"/>
    <col min="101" max="101" width="19.75" style="193" customWidth="1"/>
    <col min="102" max="16384" width="7" style="193"/>
  </cols>
  <sheetData>
    <row r="1" spans="1:104" x14ac:dyDescent="0.25">
      <c r="H1" s="193"/>
      <c r="P1" s="193"/>
      <c r="Q1" s="294"/>
      <c r="R1" s="294"/>
      <c r="S1" s="193"/>
      <c r="T1" s="193"/>
      <c r="AC1" s="193"/>
      <c r="AD1" s="193"/>
      <c r="AE1" s="193"/>
      <c r="BH1" s="193"/>
    </row>
    <row r="2" spans="1:104" ht="16" thickBot="1" x14ac:dyDescent="0.35"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475"/>
      <c r="R2" s="475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5"/>
      <c r="AJ2" s="193" t="s">
        <v>2493</v>
      </c>
      <c r="BV2" s="765" t="s">
        <v>2144</v>
      </c>
      <c r="BW2" s="765"/>
      <c r="BX2" s="765"/>
      <c r="BY2" s="765"/>
      <c r="BZ2" s="765"/>
      <c r="CA2" s="765"/>
      <c r="CB2" s="765"/>
      <c r="CC2" s="765"/>
      <c r="CD2" s="765"/>
      <c r="CE2" s="765"/>
      <c r="CF2" s="765"/>
      <c r="CG2" s="765"/>
      <c r="CH2" s="765"/>
      <c r="CI2" s="765"/>
      <c r="CJ2" s="765"/>
      <c r="CK2" s="765"/>
      <c r="CL2" s="765"/>
      <c r="CM2" s="765"/>
      <c r="CN2" s="765"/>
      <c r="CO2" s="765"/>
      <c r="CP2" s="765"/>
      <c r="CQ2" s="765"/>
    </row>
    <row r="3" spans="1:104" ht="33" customHeight="1" thickBot="1" x14ac:dyDescent="0.35">
      <c r="A3" s="193" t="s">
        <v>2982</v>
      </c>
      <c r="B3" s="196"/>
      <c r="C3" s="196"/>
      <c r="D3" s="196"/>
      <c r="E3" s="196"/>
      <c r="F3" s="196"/>
      <c r="G3" s="196"/>
      <c r="H3" s="476"/>
      <c r="I3" s="196"/>
      <c r="J3" s="196"/>
      <c r="K3" s="196"/>
      <c r="L3" s="196"/>
      <c r="M3" s="196"/>
      <c r="N3" s="196"/>
      <c r="O3" s="196"/>
      <c r="P3" s="197"/>
      <c r="Q3" s="477"/>
      <c r="R3" s="477"/>
      <c r="S3" s="197"/>
      <c r="T3" s="197"/>
      <c r="U3" s="196"/>
      <c r="V3" s="196"/>
      <c r="W3" s="730" t="s">
        <v>2132</v>
      </c>
      <c r="X3" s="731"/>
      <c r="Y3" s="731"/>
      <c r="Z3" s="731"/>
      <c r="AA3" s="731"/>
      <c r="AB3" s="731"/>
      <c r="AC3" s="731"/>
      <c r="AD3" s="731"/>
      <c r="AE3" s="731"/>
      <c r="AF3" s="731"/>
      <c r="AG3" s="731"/>
      <c r="AH3" s="731"/>
      <c r="AI3" s="198"/>
      <c r="AJ3" s="198"/>
      <c r="AK3" s="198"/>
      <c r="AL3" s="198"/>
      <c r="AM3" s="196"/>
      <c r="AN3" s="196"/>
      <c r="AO3" s="198" t="s">
        <v>2494</v>
      </c>
      <c r="AP3" s="198"/>
      <c r="AQ3" s="198"/>
      <c r="AR3" s="198"/>
      <c r="AS3" s="198"/>
      <c r="AT3" s="198"/>
      <c r="AU3" s="198"/>
      <c r="AV3" s="198"/>
      <c r="AW3" s="196"/>
      <c r="AX3" s="196"/>
      <c r="AY3" s="196"/>
      <c r="AZ3" s="196"/>
      <c r="BA3" s="196"/>
      <c r="BB3" s="196"/>
      <c r="BC3" s="196"/>
      <c r="BD3" s="196"/>
      <c r="BE3" s="743" t="s">
        <v>2334</v>
      </c>
      <c r="BF3" s="743"/>
      <c r="BG3" s="743"/>
      <c r="BH3" s="197"/>
      <c r="BI3" s="766" t="s">
        <v>295</v>
      </c>
      <c r="BJ3" s="731"/>
      <c r="BK3" s="731"/>
      <c r="BL3" s="731"/>
      <c r="BM3" s="731"/>
      <c r="BN3" s="731"/>
      <c r="BO3" s="731"/>
      <c r="BP3" s="196"/>
      <c r="BQ3" s="732" t="s">
        <v>2337</v>
      </c>
      <c r="BR3" s="733"/>
      <c r="BS3" s="733"/>
      <c r="BV3" s="478"/>
      <c r="BW3" s="478"/>
      <c r="BX3" s="478"/>
      <c r="BY3" s="478"/>
      <c r="BZ3" s="478"/>
      <c r="CA3" s="478"/>
      <c r="CB3" s="478"/>
      <c r="CC3" s="478"/>
      <c r="CD3" s="478"/>
      <c r="CE3" s="478"/>
      <c r="CF3" s="478"/>
      <c r="CG3" s="478"/>
      <c r="CH3" s="478"/>
      <c r="CI3" s="478"/>
      <c r="CJ3" s="478"/>
      <c r="CK3" s="478"/>
      <c r="CL3" s="478"/>
      <c r="CM3" s="478"/>
      <c r="CN3" s="478"/>
      <c r="CO3" s="478"/>
      <c r="CP3" s="767" t="s">
        <v>2337</v>
      </c>
      <c r="CQ3" s="767"/>
      <c r="CR3" s="479" t="s">
        <v>2495</v>
      </c>
      <c r="CS3" s="773" t="s">
        <v>2496</v>
      </c>
      <c r="CT3" s="773" t="s">
        <v>2497</v>
      </c>
      <c r="CU3" s="773" t="s">
        <v>2498</v>
      </c>
      <c r="CV3" s="773" t="s">
        <v>2499</v>
      </c>
      <c r="CW3" s="773" t="s">
        <v>2500</v>
      </c>
      <c r="CX3" s="208" t="s">
        <v>2501</v>
      </c>
      <c r="CY3" s="208" t="s">
        <v>2502</v>
      </c>
      <c r="CZ3" s="772" t="s">
        <v>2503</v>
      </c>
    </row>
    <row r="4" spans="1:104" s="219" customFormat="1" ht="65" x14ac:dyDescent="0.3">
      <c r="A4" s="201" t="s">
        <v>2340</v>
      </c>
      <c r="B4" s="201" t="s">
        <v>2437</v>
      </c>
      <c r="C4" s="201" t="s">
        <v>2440</v>
      </c>
      <c r="D4" s="201" t="s">
        <v>2504</v>
      </c>
      <c r="E4" s="201" t="s">
        <v>2341</v>
      </c>
      <c r="F4" s="201" t="s">
        <v>2342</v>
      </c>
      <c r="G4" s="201" t="s">
        <v>2505</v>
      </c>
      <c r="H4" s="202" t="s">
        <v>2506</v>
      </c>
      <c r="I4" s="201" t="s">
        <v>2345</v>
      </c>
      <c r="J4" s="202" t="s">
        <v>2346</v>
      </c>
      <c r="K4" s="201" t="s">
        <v>2347</v>
      </c>
      <c r="L4" s="203" t="s">
        <v>2507</v>
      </c>
      <c r="M4" s="204" t="s">
        <v>2349</v>
      </c>
      <c r="N4" s="203" t="s">
        <v>2508</v>
      </c>
      <c r="O4" s="203" t="s">
        <v>2509</v>
      </c>
      <c r="P4" s="203" t="s">
        <v>2352</v>
      </c>
      <c r="Q4" s="203" t="s">
        <v>2353</v>
      </c>
      <c r="R4" s="203" t="s">
        <v>2354</v>
      </c>
      <c r="S4" s="203" t="s">
        <v>2355</v>
      </c>
      <c r="T4" s="203" t="s">
        <v>2356</v>
      </c>
      <c r="U4" s="204" t="s">
        <v>2357</v>
      </c>
      <c r="V4" s="205" t="s">
        <v>2510</v>
      </c>
      <c r="W4" s="206" t="s">
        <v>2359</v>
      </c>
      <c r="X4" s="206" t="s">
        <v>2360</v>
      </c>
      <c r="Y4" s="206" t="s">
        <v>2361</v>
      </c>
      <c r="Z4" s="206" t="s">
        <v>2362</v>
      </c>
      <c r="AA4" s="206" t="s">
        <v>2363</v>
      </c>
      <c r="AB4" s="207" t="s">
        <v>2364</v>
      </c>
      <c r="AC4" s="208" t="s">
        <v>2366</v>
      </c>
      <c r="AD4" s="208" t="s">
        <v>2367</v>
      </c>
      <c r="AE4" s="208" t="s">
        <v>2368</v>
      </c>
      <c r="AF4" s="208" t="s">
        <v>2373</v>
      </c>
      <c r="AG4" s="208" t="s">
        <v>2374</v>
      </c>
      <c r="AH4" s="208" t="s">
        <v>2511</v>
      </c>
      <c r="AI4" s="208" t="s">
        <v>2512</v>
      </c>
      <c r="AJ4" s="201" t="s">
        <v>2136</v>
      </c>
      <c r="AK4" s="201" t="s">
        <v>2381</v>
      </c>
      <c r="AL4" s="201" t="s">
        <v>2382</v>
      </c>
      <c r="AM4" s="202" t="s">
        <v>2383</v>
      </c>
      <c r="AN4" s="202" t="s">
        <v>2384</v>
      </c>
      <c r="AO4" s="202" t="s">
        <v>2385</v>
      </c>
      <c r="AP4" s="208" t="s">
        <v>2386</v>
      </c>
      <c r="AQ4" s="208" t="s">
        <v>2387</v>
      </c>
      <c r="AR4" s="210" t="s">
        <v>2388</v>
      </c>
      <c r="AS4" s="480" t="s">
        <v>2389</v>
      </c>
      <c r="AT4" s="208" t="s">
        <v>2390</v>
      </c>
      <c r="AU4" s="208" t="s">
        <v>2391</v>
      </c>
      <c r="AV4" s="208" t="s">
        <v>2392</v>
      </c>
      <c r="AW4" s="201" t="s">
        <v>2393</v>
      </c>
      <c r="AX4" s="202" t="s">
        <v>2394</v>
      </c>
      <c r="AY4" s="202" t="s">
        <v>2395</v>
      </c>
      <c r="AZ4" s="202" t="s">
        <v>2397</v>
      </c>
      <c r="BA4" s="202" t="s">
        <v>2513</v>
      </c>
      <c r="BB4" s="202" t="s">
        <v>2399</v>
      </c>
      <c r="BC4" s="202" t="s">
        <v>2133</v>
      </c>
      <c r="BD4" s="202" t="s">
        <v>2400</v>
      </c>
      <c r="BE4" s="753">
        <v>400</v>
      </c>
      <c r="BF4" s="753"/>
      <c r="BG4" s="753"/>
      <c r="BH4" s="202" t="s">
        <v>2144</v>
      </c>
      <c r="BI4" s="481" t="s">
        <v>2184</v>
      </c>
      <c r="BJ4" s="481" t="s">
        <v>2185</v>
      </c>
      <c r="BK4" s="481" t="s">
        <v>2187</v>
      </c>
      <c r="BL4" s="481" t="s">
        <v>2188</v>
      </c>
      <c r="BM4" s="481" t="s">
        <v>2193</v>
      </c>
      <c r="BN4" s="481" t="s">
        <v>2194</v>
      </c>
      <c r="BO4" s="482" t="s">
        <v>2195</v>
      </c>
      <c r="BP4" s="483"/>
      <c r="BQ4" s="218" t="s">
        <v>2402</v>
      </c>
      <c r="BR4" s="218" t="s">
        <v>2514</v>
      </c>
      <c r="BS4" s="218" t="s">
        <v>2515</v>
      </c>
      <c r="BV4" s="484" t="s">
        <v>2516</v>
      </c>
      <c r="BW4" s="484" t="s">
        <v>2517</v>
      </c>
      <c r="BX4" s="485" t="s">
        <v>2518</v>
      </c>
      <c r="BY4" s="484" t="s">
        <v>2519</v>
      </c>
      <c r="BZ4" s="207" t="s">
        <v>2520</v>
      </c>
      <c r="CA4" s="207" t="s">
        <v>2521</v>
      </c>
      <c r="CB4" s="207" t="s">
        <v>2522</v>
      </c>
      <c r="CC4" s="482" t="s">
        <v>2523</v>
      </c>
      <c r="CD4" s="482" t="s">
        <v>2524</v>
      </c>
      <c r="CE4" s="482" t="s">
        <v>2525</v>
      </c>
      <c r="CF4" s="482" t="s">
        <v>2526</v>
      </c>
      <c r="CG4" s="482" t="s">
        <v>2527</v>
      </c>
      <c r="CH4" s="486" t="s">
        <v>2360</v>
      </c>
      <c r="CI4" s="208" t="s">
        <v>2528</v>
      </c>
      <c r="CJ4" s="482" t="s">
        <v>2529</v>
      </c>
      <c r="CK4" s="482" t="s">
        <v>2530</v>
      </c>
      <c r="CL4" s="482" t="s">
        <v>2531</v>
      </c>
      <c r="CM4" s="482" t="s">
        <v>2400</v>
      </c>
      <c r="CN4" s="482" t="s">
        <v>2532</v>
      </c>
      <c r="CO4" s="482" t="s">
        <v>2533</v>
      </c>
      <c r="CP4" s="482" t="s">
        <v>2534</v>
      </c>
      <c r="CQ4" s="482" t="s">
        <v>2535</v>
      </c>
      <c r="CR4" s="487"/>
      <c r="CS4" s="769"/>
      <c r="CT4" s="769"/>
      <c r="CU4" s="769"/>
      <c r="CV4" s="769"/>
      <c r="CW4" s="769"/>
      <c r="CX4" s="208"/>
      <c r="CY4" s="208"/>
      <c r="CZ4" s="772"/>
    </row>
    <row r="5" spans="1:104" ht="13" x14ac:dyDescent="0.3">
      <c r="A5" s="222" t="str">
        <f>'BOCA DE LOBO'!A2</f>
        <v>RD-1</v>
      </c>
      <c r="B5" s="222"/>
      <c r="C5" s="222"/>
      <c r="D5" s="222"/>
      <c r="E5" s="223"/>
      <c r="F5" s="223"/>
      <c r="G5" s="223"/>
      <c r="H5" s="201"/>
      <c r="I5" s="201"/>
      <c r="J5" s="201"/>
      <c r="K5" s="201"/>
      <c r="L5" s="224"/>
      <c r="M5" s="225"/>
      <c r="N5" s="225"/>
      <c r="O5" s="225"/>
      <c r="P5" s="224"/>
      <c r="Q5" s="224"/>
      <c r="R5" s="224"/>
      <c r="S5" s="224"/>
      <c r="T5" s="224"/>
      <c r="U5" s="225"/>
      <c r="V5" s="226"/>
      <c r="W5" s="227" t="s">
        <v>2412</v>
      </c>
      <c r="X5" s="227"/>
      <c r="Y5" s="227"/>
      <c r="Z5" s="227"/>
      <c r="AA5" s="227"/>
      <c r="AB5" s="228" t="s">
        <v>2413</v>
      </c>
      <c r="AC5" s="229"/>
      <c r="AD5" s="229"/>
      <c r="AE5" s="229"/>
      <c r="AF5" s="229"/>
      <c r="AG5" s="229"/>
      <c r="AH5" s="229"/>
      <c r="AI5" s="217"/>
      <c r="AJ5" s="201"/>
      <c r="AK5" s="201"/>
      <c r="AL5" s="201"/>
      <c r="AM5" s="201"/>
      <c r="AN5" s="213"/>
      <c r="AO5" s="201"/>
      <c r="AP5" s="201"/>
      <c r="AQ5" s="201"/>
      <c r="AR5" s="201"/>
      <c r="AS5" s="201"/>
      <c r="AT5" s="201"/>
      <c r="AU5" s="201"/>
      <c r="AV5" s="201"/>
      <c r="AW5" s="201"/>
      <c r="AX5" s="201"/>
      <c r="AY5" s="201"/>
      <c r="AZ5" s="201"/>
      <c r="BA5" s="201"/>
      <c r="BB5" s="201"/>
      <c r="BC5" s="201"/>
      <c r="BD5" s="201"/>
      <c r="BE5" s="231"/>
      <c r="BF5" s="198"/>
      <c r="BG5" s="198"/>
      <c r="BH5" s="488"/>
      <c r="BI5" s="234"/>
      <c r="BJ5" s="234"/>
      <c r="BK5" s="234"/>
      <c r="BL5" s="234"/>
      <c r="BM5" s="234"/>
      <c r="BN5" s="489"/>
      <c r="BO5" s="490"/>
      <c r="BP5" s="491"/>
      <c r="BQ5" s="198"/>
      <c r="BR5" s="198"/>
      <c r="BS5" s="198"/>
      <c r="BV5" s="220"/>
      <c r="BW5" s="220"/>
      <c r="BX5" s="220"/>
      <c r="BY5" s="220"/>
      <c r="BZ5" s="220"/>
      <c r="CA5" s="220"/>
      <c r="CB5" s="220"/>
      <c r="CC5" s="220"/>
      <c r="CD5" s="220"/>
      <c r="CE5" s="220"/>
      <c r="CF5" s="220"/>
      <c r="CG5" s="220"/>
      <c r="CH5" s="220"/>
      <c r="CI5" s="220"/>
      <c r="CJ5" s="220"/>
      <c r="CK5" s="220"/>
      <c r="CL5" s="220"/>
      <c r="CM5" s="220"/>
      <c r="CN5" s="220"/>
      <c r="CO5" s="220"/>
      <c r="CP5" s="220"/>
      <c r="CQ5" s="220"/>
      <c r="CR5" s="220"/>
      <c r="CS5" s="492"/>
      <c r="CT5" s="492"/>
      <c r="CU5" s="492"/>
      <c r="CV5" s="492"/>
      <c r="CW5" s="220"/>
      <c r="CX5" s="201"/>
      <c r="CY5" s="208"/>
    </row>
    <row r="6" spans="1:104" s="501" customFormat="1" ht="25" x14ac:dyDescent="0.25">
      <c r="A6" s="291" t="str">
        <f>'BOCA DE LOBO'!C3</f>
        <v>BL1-&gt;PV1.1</v>
      </c>
      <c r="B6" s="291" t="str">
        <f>'BOCA DE LOBO'!A3</f>
        <v>PV1.1</v>
      </c>
      <c r="C6" s="413" t="str">
        <f>VLOOKUP(A6,'BOCA DE LOBO'!$C$1:$Q$76,3,0)</f>
        <v>PROJETADO</v>
      </c>
      <c r="D6" s="291" t="str">
        <f>VLOOKUP(A6,'BOCA DE LOBO'!$C$1:$Q$76,10,0)</f>
        <v>PROJETADA</v>
      </c>
      <c r="E6" s="413">
        <f t="shared" ref="E6:E11" si="0">IF(F6-G6*4%&lt;2.5,F6-G6*4%,2.5)</f>
        <v>1.9103999999999999</v>
      </c>
      <c r="F6" s="291">
        <f>VLOOKUP(A6,'BOCA DE LOBO'!$C$1:$Q$76,2,0)</f>
        <v>2.19</v>
      </c>
      <c r="G6" s="291">
        <f>VLOOKUP(A6,'BOCA DE LOBO'!$C$1:$Q$76,4,0)</f>
        <v>6.99</v>
      </c>
      <c r="H6" s="238">
        <v>400</v>
      </c>
      <c r="I6" s="493">
        <f t="shared" ref="I6:I11" si="1">IF(H6=400,((E6+F6)/2)+0.08+U6,IF(H6=500,((E6+F6)/2)+0.1+U6,IF(H6=600,((E6+F6)/2)+0.12+U6,IF(H6=800,((E6+F6)/2)+0.16+U6,IF(H6=1000,((E6+F6)/2)+0.2+U6,IF(H6=1200,((E6+F6)/2)+0.24+U6,IF(H6=1500,((E6+F6)/2)+0.3+U6,IF(H6&gt;1500,((E6+F6)/2)+0.4+U6))))))))</f>
        <v>2.1801999999999997</v>
      </c>
      <c r="J6" s="241">
        <f t="shared" ref="J6:J27" si="2">IF(L6=0,0,IF(I6&gt;=1.25,G6*I6/20,0))</f>
        <v>0.76197989999999993</v>
      </c>
      <c r="K6" s="494">
        <v>0</v>
      </c>
      <c r="L6" s="253">
        <f t="shared" ref="L6:L9" si="3">IF(D6&lt;&gt;"PROJETADA",0,IF(H6=400,1,0)+IF(H6=500,1.2,0)+IF(H6=600,1.4,0)+IF(H6=800,1.7,0)+IF(H6=1000,2,0)+IF(H6=1200,2.2,0)+IF(H6=1500,2.6,0)+IF(H6=1650,3,0)+IF(H6=1800,3.2,0)+IF(H6=2000,3.4,0)+IF(H6=2200,3.6,0)+IF(H6=2400,3.8,0)+IF(H6=2600,4,0)+IF(H6=3000,4.4,0))</f>
        <v>1</v>
      </c>
      <c r="M6" s="253">
        <f t="shared" ref="M6:M9" si="4">2*K6*I6+L6</f>
        <v>1</v>
      </c>
      <c r="N6" s="253">
        <f t="shared" ref="N6:N9" si="5">IF(OR(D6="EXISTENTE",D6="AMPLIADA"),400,0)</f>
        <v>0</v>
      </c>
      <c r="O6" s="253">
        <f t="shared" ref="O6:O9" si="6">IF(P6="TERRENO NATURAL",0,M6*G6)</f>
        <v>6.99</v>
      </c>
      <c r="P6" s="495" t="str">
        <f>VLOOKUP(B6,'Planilha Hidráulica'!$AE$10:$AQ$39,13,0)</f>
        <v>ASFALTO</v>
      </c>
      <c r="Q6" s="495" t="s">
        <v>2415</v>
      </c>
      <c r="R6" s="495">
        <v>1</v>
      </c>
      <c r="S6" s="495">
        <f>VLOOKUP(Q6,Quantitativos!P:R,3,0)</f>
        <v>3</v>
      </c>
      <c r="T6" s="495">
        <f>VLOOKUP(Q6,Quantitativos!P:S,4,0)</f>
        <v>5</v>
      </c>
      <c r="U6" s="253">
        <f t="shared" ref="U6:U27" si="7">IF(H6=400,0.05,0)+IF(H6=500,0.05,0)+IF(H6=600,0.1,0)+IF(H6=800,0.1,0)+IF(H6=1000,0.15,0)+IF(H6=1200,0.15,0)+IF(H6=1500,0.2,0)+IF(H6=1650,0.2,0)+IF(H6=1800,0.2,0)+IF(H6=2000,0.25,0)+IF(H6=2200,0.25,0)+IF(H6=2400,0.25,0)+IF(H6=2600,0.25,0)+IF(H6=3000,0.25,0)</f>
        <v>0.05</v>
      </c>
      <c r="V6" s="246">
        <f t="shared" ref="V6:V11" si="8">IF(L6=0,0,IF("EXISTENTE"=A6,0,IFERROR((PI()*(N6/1000)*(N6/1000)/4)*G6,0)))</f>
        <v>0</v>
      </c>
      <c r="W6" s="246">
        <f t="shared" ref="W6:W9" si="9">IF(O6=0,0,((((K6*I6)*I6)/2)*2+L6*I6)*G6-V6+AO6)</f>
        <v>18.035598</v>
      </c>
      <c r="X6" s="247">
        <f t="shared" ref="X6" si="10">W6-SUM(AC6:AJ6)</f>
        <v>0</v>
      </c>
      <c r="Y6" s="247">
        <f t="shared" ref="Y6:Y9" si="11">IF(R6=1,IF(N6=0,I6+0.4,0.4),0)</f>
        <v>2.5801999999999996</v>
      </c>
      <c r="Z6" s="247">
        <f t="shared" ref="Z6:Z27" si="12">IF(Y6&gt;0.5,0,IF(S6&lt;I6,S6,I6))</f>
        <v>0</v>
      </c>
      <c r="AA6" s="247">
        <f>I6-Z6</f>
        <v>2.1801999999999997</v>
      </c>
      <c r="AB6" s="496">
        <f>IF(P6="ASFALTO",IF(D6="PROJETADA",O6,IF(D6="EXISTENTE",0,O6/2)),0)</f>
        <v>6.99</v>
      </c>
      <c r="AC6" s="251">
        <f t="shared" ref="AC6:AC9" si="13">IF(Y6=0,0,IF(Y6=0.4,IF(L6&lt;=1.5,IF(Z6+0.4&gt;=1.5,0,L6*G6*0.4),0),IF(L6&lt;=1.5,IF(Y6&gt;=1.5,M6*G6*1.5,L6*G6*(Y6)),0)+IF(S6&lt;I6+0.4,0,IF(AND(Y6&lt;=1.5,L6&lt;=1.5),-V6,0))))</f>
        <v>10.484999999999999</v>
      </c>
      <c r="AD6" s="251">
        <f t="shared" ref="AD6:AD9" si="14">IF(Y6=0,0,IF(Y6=0.4,IF(L6&lt;=1.5,IF(OR(Z6+0.4&gt;=3,Z6+0.4&lt;1.5),0,L6*G6*0.4),0),IF(IF(L6&lt;=1.5,IF(Y6&gt;=3,M6*G6*1.5,L6*G6*(Y6-1.5)),0)&lt;0,0,IF(L6&lt;=1.5,IF(Y6&gt;=3,M6*G6*1.5,L6*G6*(Y6-1.5)),0))+IF(S6&lt;I6+0.4,0,IF(AND(Y6&lt;=3,L6&lt;=1.5),-V6,0))))</f>
        <v>7.5505979999999973</v>
      </c>
      <c r="AE6" s="251">
        <f t="shared" ref="AE6:AE9" si="15">IF(Y6=0,0,IF(Y6=0.4,IF(L6&lt;=1.5,IF(OR(Z6+0.4&gt;=4.5,Z6+0.4&lt;3),0,L6*G6*0.4),0),IF(IF(L6&lt;=1.5,IF(Y6&gt;=4.5,M6*G6*1.5,L6*G6*(Y6-3)),0)&lt;0,0,IF(L6&lt;=1.5,IF(Y6&gt;=4.5,M6*G6*1.5,L6*G6*(Y6-3)),0))+IF(S6&lt;I6+0.4,0,IF(AND(Y6&lt;=4.5,L6&lt;=1.5),-V6,0))))</f>
        <v>0</v>
      </c>
      <c r="AF6" s="251">
        <f t="shared" ref="AF6:AF27" si="16">IF(L6&lt;=1.5,IF(Z6&gt;=1.5,M6*G6*1.5,L6*G6*Z6),0)+IF(S6&lt;I6,0,IF(AND(Z6&lt;=1.5,L6&lt;=1.5),-V6,0))</f>
        <v>0</v>
      </c>
      <c r="AG6" s="251">
        <f t="shared" ref="AG6:AG27" si="17">IF(IF(L6&lt;=1.5,IF(Z6&gt;=3,M6*G6*1.5,L6*G6*(Z6-1.5)),0)&lt;0,0,IF(L6&lt;=1.5,IF(Z6&gt;=3,M6*G6*1.5,L6*G6*(Z6-1.5)),0))+IF(S6&lt;I6,0,IF(AND(Z6&lt;=3,L6&lt;=1.5),-V6,0))</f>
        <v>0</v>
      </c>
      <c r="AH6" s="251">
        <f t="shared" ref="AH6:AH27" si="18">IF(IF(L6&lt;=1.5,IF(Z6&gt;=4.5,M6*G6*1.5,L6*G6*(Z6-3)),0)&lt;0,0,IF(L6&lt;=1.5,IF(Z6&gt;=4.5,M6*G6*1.5,L6*G6*(Z6-3)),0))+IF(S6&lt;I6,0,IF(AND(Z6&lt;=4.5,Z6&gt;3,L6&lt;=1.5),-V6,0))</f>
        <v>0</v>
      </c>
      <c r="AI6" s="497" t="str">
        <f t="shared" ref="AI6:AI27" si="19">IF(I6&gt;S6,"SIM","NÃO")</f>
        <v>NÃO</v>
      </c>
      <c r="AJ6" s="253">
        <f t="shared" ref="AJ6:AJ9" si="20">W6-SUM(AC6:AH6)</f>
        <v>0</v>
      </c>
      <c r="AK6" s="253">
        <f t="shared" ref="AK6:AK9" si="21">IF(I6-T6&lt;0,0,(I6-T6)*G6)/75</f>
        <v>0</v>
      </c>
      <c r="AL6" s="253">
        <f t="shared" ref="AL6:AL9" si="22">IF(L6=0,0,G6*L6*I6-PI()*(H6/1000)*(H6/1000)/4*G6+AO6)</f>
        <v>17.157208694056294</v>
      </c>
      <c r="AM6" s="241">
        <f t="shared" ref="AM6:AM9" si="23">IF(L6&lt;1.5,L6*G6*IF(H6&lt;=500,0.05,IF(H6&lt;=800,0.1,IF(H6&lt;=1200,0.15,IF(H6&gt;=1500,0.2)))),0)</f>
        <v>0.34950000000000003</v>
      </c>
      <c r="AN6" s="246">
        <f t="shared" ref="AN6:AN9" si="24">IF(L6&gt;=1.5,L6*G6*IF(H6&lt;=500,0.05,IF(H6&lt;=800,0.1,IF(H6&lt;=1200,0.15,IF(H6&gt;=1500,0.2)))),0)</f>
        <v>0</v>
      </c>
      <c r="AO6" s="253">
        <f t="shared" ref="AO6:AO9" si="25">IF(R6=1,0.4*G6*L6,0)</f>
        <v>2.7960000000000003</v>
      </c>
      <c r="AP6" s="253">
        <f t="shared" ref="AP6:AP9" si="26">IF(AO6&lt;SUM(AF6:AH6),0,AO6)</f>
        <v>2.7960000000000003</v>
      </c>
      <c r="AQ6" s="253">
        <f t="shared" ref="AQ6:AQ9" si="27">H6/1000+0.3</f>
        <v>0.7</v>
      </c>
      <c r="AR6" s="253">
        <f t="shared" ref="AR6:AR9" si="28">IF(D6&lt;&gt;"PROJETADA",0,AQ6*L6*G6-PI()*(H6/1000*H6/1000)/4*G6)</f>
        <v>4.0146106940562936</v>
      </c>
      <c r="AS6" s="253">
        <f t="shared" ref="AS6:AS9" si="29">IF(AR6&lt;SUM(AF6:AH6),0,AR6)</f>
        <v>4.0146106940562936</v>
      </c>
      <c r="AT6" s="253">
        <f t="shared" ref="AT6:AT9" si="30">IF(P6="ASFALTO",0.15*G6*L6,0)</f>
        <v>1.0485</v>
      </c>
      <c r="AU6" s="253">
        <f t="shared" ref="AU6:AU9" si="31">AT6</f>
        <v>1.0485</v>
      </c>
      <c r="AV6" s="253">
        <f t="shared" ref="AV6:AV9" si="32">IF(P6="ASFALTO",0.03*G6*L6,0)</f>
        <v>0.2097</v>
      </c>
      <c r="AW6" s="253">
        <f t="shared" ref="AW6:AW9" si="33">AL6-AO6-SUM(AM6:AN6)-AT6-AU6-AR6</f>
        <v>7.900097999999999</v>
      </c>
      <c r="AX6" s="253">
        <f t="shared" ref="AX6:AX9" si="34">SUM(AF6:AH6)-AO6-AT6-AR6</f>
        <v>-7.8591106940562936</v>
      </c>
      <c r="AY6" s="253">
        <f t="shared" ref="AY6:AY9" si="35">SMALL(AW6:AX6,1)</f>
        <v>-7.8591106940562936</v>
      </c>
      <c r="AZ6" s="253">
        <f t="shared" ref="AZ6:AZ9" si="36">AW6-AY6</f>
        <v>15.759208694056293</v>
      </c>
      <c r="BA6" s="253">
        <f>IF($AZ$69&gt;$BA$71,($BA$71/$AZ$69)*AZ6,AZ6)</f>
        <v>8.4170486631413262</v>
      </c>
      <c r="BB6" s="253">
        <f t="shared" ref="BB6:BB9" si="37">AZ6-BA6</f>
        <v>7.3421600309149664</v>
      </c>
      <c r="BC6" s="253"/>
      <c r="BD6" s="253">
        <f t="shared" ref="BD6:BD27" si="38">IF(AO6+AT6&gt;0,4%*(AO6+AT6),0)</f>
        <v>0.15378</v>
      </c>
      <c r="BE6" s="496">
        <f t="shared" ref="BE6:BE9" si="39">IF(H6=400,I6,0)</f>
        <v>2.1801999999999997</v>
      </c>
      <c r="BF6" s="498">
        <f t="shared" ref="BF6:BF9" si="40">IF(BE6&lt;=1.75,G6*IF(D6="PROJETADA",1,0),0)</f>
        <v>0</v>
      </c>
      <c r="BG6" s="498">
        <f t="shared" ref="BG6:BG9" si="41">IF(AND(BE6&lt;=3,BE6&gt;1.75),IF(D6="PROJETADA",1,0)*G6,0)</f>
        <v>6.99</v>
      </c>
      <c r="BH6" s="495" t="str">
        <f>VLOOKUP(A6,'BOCA DE LOBO'!C:I,7,0)</f>
        <v>BOCA DE LOBO PROJETADA DUPLA</v>
      </c>
      <c r="BI6" s="253">
        <f t="shared" ref="BI6:BI11" si="42">IF(BH6=$BI$4,1,0)</f>
        <v>0</v>
      </c>
      <c r="BJ6" s="253">
        <f t="shared" ref="BJ6:BJ11" si="43">IF(BH6=$BJ$4,1,0)</f>
        <v>0</v>
      </c>
      <c r="BK6" s="253">
        <f t="shared" ref="BK6:BK11" si="44">IF(BH6=$BK$4,1,0)</f>
        <v>0</v>
      </c>
      <c r="BL6" s="253">
        <f t="shared" ref="BL6:BL11" si="45">IF(BH6=$BL$4,1,0)</f>
        <v>0</v>
      </c>
      <c r="BM6" s="253">
        <f t="shared" ref="BM6:BM11" si="46">IF(BH6=$BM$4,1,0)</f>
        <v>0</v>
      </c>
      <c r="BN6" s="253">
        <f t="shared" ref="BN6:BN11" si="47">IF(BH6=$BN$4,1,0)</f>
        <v>1</v>
      </c>
      <c r="BO6" s="499">
        <f t="shared" ref="BO6:BO11" si="48">IF(BH6=$BO$4,1,0)</f>
        <v>0</v>
      </c>
      <c r="BP6" s="500"/>
      <c r="BQ6" s="496">
        <f t="shared" ref="BQ6:BQ9" si="49">IF(L6&lt;=1.5,IF(I6+IF(R6=1,0.5,0)&lt;1.5,(I6+IF(R6=1,0.5,0))*G6*2,G6*2*1.5),0)</f>
        <v>20.97</v>
      </c>
      <c r="BR6" s="496">
        <f t="shared" ref="BR6:BR9" si="50">IF(L6&lt;=1.5,IF(AND(I6+IF(R6=1,0.5,0)&lt;3,I6+IF(R6=1,0.5,0)&gt;1.5),(I6+IF(R6=1,0.5,0)-1.5)*G6*2,IF(I6+IF(R6=1,0.5,0)&gt;=3,(G6*2*1.5),0)),0)</f>
        <v>16.499195999999998</v>
      </c>
      <c r="BS6" s="496">
        <f t="shared" ref="BS6:BS9" si="51">IF(L6&lt;=1.5,IF(AND(I6+IF(R6=1,0.5,0)&lt;4.5,I6+IF(R6=1,0.5,0)&gt;3),(I6+IF(R6=1,0.5,0)-3)*G6*2,IF(I6+IF(R6=1,0.5,0)&gt;=4.5,(G6*2*1.5),0)),0)</f>
        <v>0</v>
      </c>
      <c r="BV6" s="502">
        <f t="shared" ref="BV6:BV11" si="52">IF(OR("BOCA DE LOBO EXISTENTE TRIPLA"=BH6,"BOCA DE LOBO EXISTENTE SIMPLES"=BH6,"BOCA DE LOBO EXISTENTE DUPLA"=BH6),0,IF("BOCA DE LOBO PROJETADA DUPLA"=BH6,(2.57+1)*(1.18+1),IF(OR("BOCA DE LOBO DUPLA EXISTENTE COM BOCA DE LOBO SIMPLES PROJETADA"=BH6,"BOCA DE LOBO SIMPLES EXISTENTE COM BOCA DE LOBO SIMPLES PROJETADA"=BH6),(1.18+0.5)*(1.18+1),IF(OR(BH6="BOCA DE LOBO DUPLA EXISTENTE COM BOCA DE LOBO DUPLA PROJETADA",BH6="BOCA DE LOBO SIMPLES EXISTENTE COM BOCA DE LOBO DUPLA PROJETADA"),(2.38+0.5)*(1.18+1),IF("BOCA DE LOBO PROJETADA TRIPLA"=BH6,(3.76+1)*(1.18+1),"X")))))*(E6+IF(CA6&gt;0,0.5,0))</f>
        <v>18.759179039999996</v>
      </c>
      <c r="BW6" s="502">
        <f t="shared" ref="BW6:BW9" si="53">IF(OR("BOCA DE LOBO EXISTENTE TRIPLA"=BH6,"BOCA DE LOBO EXISTENTE SIMPLES"=BH6,"BOCA DE LOBO EXISTENTE DUPLA"=BH6),0,IF("BOCA DE LOBO PROJETADA DUPLA"=BH6,(2.57+1)*(1.18+1),IF(OR("BOCA DE LOBO DUPLA EXISTENTE COM BOCA DE LOBO SIMPLES PROJETADA"=BH6,"BOCA DE LOBO SIMPLES EXISTENTE COM BOCA DE LOBO SIMPLES PROJETADA"=BH6),(1.18+1)*(1.18+0.5),IF(OR(BH6="BOCA DE LOBO DUPLA EXISTENTE COM BOCA DE LOBO DUPLA PROJETADA",BH6="BOCA DE LOBO SIMPLES EXISTENTE COM BOCA DE LOBO DUPLA PROJETADA"),(2.38+0.5)*(1.18+1),IF("BOCA DE LOBO PROJETADA TRIPLA"=BH6,(3.76+0.5*2)*(1.18+1),"X")))))</f>
        <v>7.7825999999999986</v>
      </c>
      <c r="BX6" s="502">
        <f>IF(OR("BOCA DE LOBO EXISTENTE TRIPLA"=BH6,"BOCA DE LOBO EXISTENTE SIMPLES"=BH6,"BOCA DE LOBO EXISTENTE DUPLA"=BH6),0,IF("BOCA DE LOBO PROJETADA DUPLA"=BH6,(2.57)*(1.18),IF(OR("BOCA DE LOBO DUPLA EXISTENTE COM BOCA DE LOBO SIMPLES PROJETADA"=BH6,"BOCA DE LOBO SIMPLES EXISTENTE COM BOCA DE LOBO SIMPLES PROJETADA"=BH6),(1.18)*(1.18),IF(OR(BH6="BOCA DE LOBO DUPLA EXISTENTE COM BOCA DE LOBO DUPLA PROJETADA",BH6="BOCA DE LOBO SIMPLES EXISTENTE COM BOCA DE LOBO DUPLA PROJETADA"),(2.38)*(1.18),IF("BOCA DE LOBO PROJETADA TRIPLA"=BH6,(3.76)*(1.18),"X")))))</f>
        <v>3.0325999999999995</v>
      </c>
      <c r="BY6" s="502">
        <f t="shared" ref="BY6:BY11" si="54">E6</f>
        <v>1.9103999999999999</v>
      </c>
      <c r="BZ6" s="502">
        <f t="shared" ref="BZ6:BZ11" si="55">IF(Y6&gt;0.5,0,IF(S6&lt;C6,S6,C6))</f>
        <v>0</v>
      </c>
      <c r="CA6" s="502">
        <f t="shared" ref="CA6:CA9" si="56">IF(Y6&gt;0.4,BY6+0.4,Y6)</f>
        <v>2.3104</v>
      </c>
      <c r="CB6" s="502">
        <f t="shared" ref="CB6:CB11" si="57">IF(S6&gt;E6,0,E6-S6)</f>
        <v>0</v>
      </c>
      <c r="CC6" s="502">
        <f t="shared" ref="CC6:CC11" si="58">IF(BZ6&gt;1.5,BW6*1.5,BW6*BZ6)</f>
        <v>0</v>
      </c>
      <c r="CD6" s="502">
        <f t="shared" ref="CD6:CD11" si="59">IF(BZ6&gt;1.5,BW6*(BZ6-1.5),0)</f>
        <v>0</v>
      </c>
      <c r="CE6" s="502">
        <f t="shared" ref="CE6:CE11" si="60">IF(CA6=0.4,IF(BZ6+CA6&gt;1.5,0,CA6*BW6),IF(CA6&gt;1.5,BW6*1.5,BW6*CA6))</f>
        <v>11.673899999999998</v>
      </c>
      <c r="CF6" s="502">
        <f t="shared" ref="CF6:CF11" si="61">IF(CA6=0.4,IF(BZ6+CA6&lt;=1.5,0,CA6*BW6),IF(CA6&gt;1.5,BW6*(CA6-1.5),0))</f>
        <v>6.3070190399999992</v>
      </c>
      <c r="CG6" s="502">
        <f t="shared" ref="CG6:CG11" si="62">BV6-SUM(CC6:CF6)</f>
        <v>0.77825999999999951</v>
      </c>
      <c r="CH6" s="502">
        <f t="shared" ref="CH6:CH11" si="63">SUM(CC6:CG6)-BV6</f>
        <v>0</v>
      </c>
      <c r="CI6" s="253">
        <f t="shared" ref="CI6:CI11" si="64">IF(OR("BOCA DE LOBO EXISTENTE TRIPLA"=BH6,"BOCA DE LOBO EXISTENTE SIMPLES"=BH6,"BOCA DE LOBO EXISTENTE DUPLA"=BH6),0,IF("BOCA DE LOBO PROJETADA DUPLA"=BH6,(2.57+1)*(0.5),IF(OR("BOCA DE LOBO DUPLA EXISTENTE COM BOCA DE LOBO SIMPLES PROJETADA"=BH6,"BOCA DE LOBO SIMPLES EXISTENTE COM BOCA DE LOBO SIMPLES PROJETADA"=BH6),(1.18+0.5)*(0.5),IF(OR(BH6="BOCA DE LOBO DUPLA EXISTENTE COM BOCA DE LOBO DUPLA PROJETADA",BH6="BOCA DE LOBO SIMPLES EXISTENTE COM BOCA DE LOBO DUPLA PROJETADA"),(2.38+0.5)*(0.5),IF("BOCA DE LOBO PROJETADA TRIPLA"=BH6,(3.76+1)*(0.5),"X")))))*0.3</f>
        <v>0.53549999999999998</v>
      </c>
      <c r="CJ6" s="502">
        <f t="shared" ref="CJ6:CJ11" si="65">(BW6-BX6)*(BY6+IF(CA6&gt;=0.4,0.4,0))-CI6</f>
        <v>10.438899999999997</v>
      </c>
      <c r="CK6" s="502">
        <f t="shared" ref="CK6:CK11" si="66">IF($CK$71&gt;$CJ$69,CJ6,CJ6*$CK$71/$CJ$69)</f>
        <v>10.438899999999997</v>
      </c>
      <c r="CL6" s="502">
        <f t="shared" ref="CL6:CL11" si="67">CJ6-CK6</f>
        <v>0</v>
      </c>
      <c r="CM6" s="502">
        <f t="shared" ref="CM6:CM11" si="68">IF(CA6&gt;0,0.5*4%*BW6,0)</f>
        <v>0.15565199999999998</v>
      </c>
      <c r="CN6" s="502">
        <f t="shared" ref="CN6:CN11" si="69">IF(OR("BOCA DE LOBO EXISTENTE TRIPLA"=BH6,"BOCA DE LOBO EXISTENTE SIMPLES"=BH6,"BOCA DE LOBO EXISTENTE DUPLA"=BH6),0,IF("BOCA DE LOBO PROJETADA DUPLA"=BH6,(2.57+1),IF(OR("BOCA DE LOBO DUPLA EXISTENTE COM BOCA DE LOBO SIMPLES PROJETADA"=BH6,"BOCA DE LOBO SIMPLES EXISTENTE COM BOCA DE LOBO SIMPLES PROJETADA"=BH6),(1.18+0.5),IF(OR(BH6="BOCA DE LOBO DUPLA EXISTENTE COM BOCA DE LOBO DUPLA PROJETADA",BH6="BOCA DE LOBO SIMPLES EXISTENTE COM BOCA DE LOBO DUPLA PROJETADA"),(2.38+0.5),IF("BOCA DE LOBO PROJETADA TRIPLA"=BH6,(3.76+0.5*2),"X")))))</f>
        <v>3.57</v>
      </c>
      <c r="CO6" s="502">
        <f t="shared" ref="CO6:CO11" si="70">IF(CA6&gt;0,BY6+0.5,BY6)</f>
        <v>2.4104000000000001</v>
      </c>
      <c r="CP6" s="502">
        <f t="shared" ref="CP6:CP11" si="71">IF(CO6&gt;=1.5,CN6*1.5*2,CN6*CO6*2)</f>
        <v>10.709999999999999</v>
      </c>
      <c r="CQ6" s="502">
        <f t="shared" ref="CQ6:CQ11" si="72">IF(CO6&lt;=1.5,0,IF(CO6&gt;=3,CN6*1.5*2,CN6*(CO6-1.5)*2))</f>
        <v>6.5002560000000003</v>
      </c>
      <c r="CR6" s="220">
        <f t="shared" ref="CR6:CR11" si="73">IF(D6="AMPLIADA",0.55*(E6-0.5),0)</f>
        <v>0</v>
      </c>
      <c r="CS6" s="503">
        <f t="shared" ref="CS6:CS11" si="74">IF(OR("BOCA DE LOBO EXISTENTE TRIPLA"=BH6,"BOCA DE LOBO EXISTENTE SIMPLES"=BH6,"BOCA DE LOBO EXISTENTE DUPLA"=BH6),0,IF("BOCA DE LOBO PROJETADA DUPLA"=BH6,(0),IF(OR("BOCA DE LOBO DUPLA EXISTENTE COM BOCA DE LOBO SIMPLES PROJETADA"=BH6,"BOCA DE LOBO SIMPLES EXISTENTE COM BOCA DE LOBO SIMPLES PROJETADA"=BH6),(0.8*0.15*0.17),IF(OR(BH6="BOCA DE LOBO DUPLA EXISTENTE COM BOCA DE LOBO DUPLA PROJETADA",BH6="BOCA DE LOBO SIMPLES EXISTENTE COM BOCA DE LOBO DUPLA PROJETADA"),(0.8*0.15*0.17),IF("BOCA DE LOBO PROJETADA TRIPLA"=BH6,(0),"X")))))*E6</f>
        <v>0</v>
      </c>
      <c r="CT6" s="503">
        <f t="shared" ref="CT6:CT11" si="75">IF(OR("BOCA DE LOBO EXISTENTE TRIPLA"=BH6,"BOCA DE LOBO EXISTENTE SIMPLES"=BH6,"BOCA DE LOBO EXISTENTE DUPLA"=BH6),0,IF("BOCA DE LOBO PROJETADA DUPLA"=BH6,(1.18*2.57*0.05),IF(OR("BOCA DE LOBO DUPLA EXISTENTE COM BOCA DE LOBO SIMPLES PROJETADA"=BH6,"BOCA DE LOBO SIMPLES EXISTENTE COM BOCA DE LOBO SIMPLES PROJETADA"=BH6),(1.19*1.18*0.05),IF(OR(BH6="BOCA DE LOBO DUPLA EXISTENTE COM BOCA DE LOBO DUPLA PROJETADA",BH6="BOCA DE LOBO SIMPLES EXISTENTE COM BOCA DE LOBO DUPLA PROJETADA"),(2.38*1.18*0.056),IF("BOCA DE LOBO PROJETADA TRIPLA"=BH6,(3.76*1.18*0.05),"X")))))+CI6/3</f>
        <v>0.33012999999999998</v>
      </c>
      <c r="CU6" s="504">
        <f t="shared" ref="CU6:CU11" si="76">IF(OR("BOCA DE LOBO EXISTENTE TRIPLA"=BH6,"BOCA DE LOBO EXISTENTE SIMPLES"=BH6,"BOCA DE LOBO EXISTENTE DUPLA"=BH6),0,IF("BOCA DE LOBO PROJETADA DUPLA"=BH6,(1*4+0.6*2),IF(OR("BOCA DE LOBO DUPLA EXISTENTE COM BOCA DE LOBO SIMPLES PROJETADA"=BH6,"BOCA DE LOBO SIMPLES EXISTENTE COM BOCA DE LOBO SIMPLES PROJETADA"=BH6),(1*2+0.6),IF(OR(BH6="BOCA DE LOBO DUPLA EXISTENTE COM BOCA DE LOBO DUPLA PROJETADA",BH6="BOCA DE LOBO SIMPLES EXISTENTE COM BOCA DE LOBO DUPLA PROJETADA"),(1*4+0.6),IF("BOCA DE LOBO PROJETADA TRIPLA"=BH6,(6*1+0.6*2),"X")))))*E6</f>
        <v>9.9340799999999998</v>
      </c>
      <c r="CV6" s="504">
        <f t="shared" ref="CV6:CV11" si="77">IF(OR("BOCA DE LOBO EXISTENTE TRIPLA"=BH6,"BOCA DE LOBO EXISTENTE SIMPLES"=BH6,"BOCA DE LOBO EXISTENTE DUPLA"=BH6),0,IF("BOCA DE LOBO PROJETADA DUPLA"=BH6,(12*E6*0.17*0.15+1*0.17*0.15*5+1.09*0.6*0.07*2+2.57*1.18*0.15),IF(OR("BOCA DE LOBO DUPLA EXISTENTE COM BOCA DE LOBO SIMPLES PROJETADA"=BH6,"BOCA DE LOBO SIMPLES EXISTENTE COM BOCA DE LOBO SIMPLES PROJETADA"=BH6),(8*E6*0.17*0.15+1*0.17*0.15*4+1.09*0.6*0.07*1+1.38*1.18*0.15),IF(OR(BH6="BOCA DE LOBO DUPLA EXISTENTE COM BOCA DE LOBO DUPLA PROJETADA",BH6="BOCA DE LOBO SIMPLES EXISTENTE COM BOCA DE LOBO DUPLA PROJETADA"),(7*E6*0.17*0.15+1*0.17*0.15*5+1.09*0.6*0.07*2+2.38*1.18*0.15),IF("BOCA DE LOBO PROJETADA TRIPLA"=BH6,(15*E6*0.17*0.15+1*0.17*0.15*7+1.09*0.6*0.07*3+3.76*1.18*0.15),"X")))))</f>
        <v>1.2585323999999998</v>
      </c>
      <c r="CW6" s="502">
        <f t="shared" ref="CW6:CW11" si="78">IF(OR("BOCA DE LOBO EXISTENTE TRIPLA"=BH6,"BOCA DE LOBO EXISTENTE SIMPLES"=BH6,"BOCA DE LOBO EXISTENTE DUPLA"=BH6),0,IF("BOCA DE LOBO PROJETADA DUPLA"=BH6,(12*E6*2*(0.17+0.15)+1*(2*0.17+0.15)*5+2*(2.57+1.18)*0.15+(1.09+0.6)*2*0.07*2),IF(OR("BOCA DE LOBO DUPLA EXISTENTE COM BOCA DE LOBO SIMPLES PROJETADA"=BH6,"BOCA DE LOBO SIMPLES EXISTENTE COM BOCA DE LOBO SIMPLES PROJETADA"=BH6),(8*E6*2*(0.17+0.15)+1*(2*0.17+0.15)*4+2*(1.38+1.18)*0.15+(1.09+0.6)*2*0.07*1),IF(OR(BH6="BOCA DE LOBO DUPLA EXISTENTE COM BOCA DE LOBO DUPLA PROJETADA",BH6="BOCA DE LOBO SIMPLES EXISTENTE COM BOCA DE LOBO DUPLA PROJETADA"),(7*E6*2*(0.17+0.15)+1*(2*0.17+0.15)*5+2*(2.38+1.18)*0.15+(1.09+0.6)*2*0.07*2),IF("BOCA DE LOBO PROJETADA TRIPLA"=BH6,(15*E6*2*(0.17+0.15)+1*(2*0.17+0.15)*7+2*(3.76+1.18)*0.15+(1.09+0.6)*2*0.07*3),"X")))))</f>
        <v>18.720071999999998</v>
      </c>
      <c r="CX6" s="253">
        <f t="shared" ref="CX6:CX11" si="79">IF(OR("BOCA DE LOBO EXISTENTE TRIPLA"=BH6,"BOCA DE LOBO EXISTENTE SIMPLES"=BH6,"BOCA DE LOBO EXISTENTE DUPLA"=BH6),0,IF("BOCA DE LOBO PROJETADA DUPLA"=BH6,(2.57+1),IF(OR("BOCA DE LOBO DUPLA EXISTENTE COM BOCA DE LOBO SIMPLES PROJETADA"=BH6,"BOCA DE LOBO SIMPLES EXISTENTE COM BOCA DE LOBO SIMPLES PROJETADA"=BH6),(1.18+0.5),IF(OR(BH6="BOCA DE LOBO DUPLA EXISTENTE COM BOCA DE LOBO DUPLA PROJETADA",BH6="BOCA DE LOBO SIMPLES EXISTENTE COM BOCA DE LOBO DUPLA PROJETADA"),(2.38+0.5),IF("BOCA DE LOBO PROJETADA TRIPLA"=BH6,(3.76+1),"X")))))</f>
        <v>3.57</v>
      </c>
      <c r="CY6" s="505">
        <f t="shared" ref="CY6:CY11" si="80">CX6*0.5</f>
        <v>1.7849999999999999</v>
      </c>
      <c r="CZ6" s="502">
        <f t="shared" ref="CZ6:CZ11" si="81">IF(AND(C6="EXISTENTE",D6="PROJETADA"),PI()*0.51*0.51/4*0.12,0)</f>
        <v>0</v>
      </c>
    </row>
    <row r="7" spans="1:104" s="501" customFormat="1" ht="25" x14ac:dyDescent="0.25">
      <c r="A7" s="291" t="str">
        <f>'BOCA DE LOBO'!C5</f>
        <v>BL3-&gt;PV3.1</v>
      </c>
      <c r="B7" s="291" t="str">
        <f>'BOCA DE LOBO'!A5</f>
        <v>PV3.1</v>
      </c>
      <c r="C7" s="413" t="str">
        <f>VLOOKUP(A7,'BOCA DE LOBO'!$C$1:$Q$76,3,0)</f>
        <v>PROJETADO</v>
      </c>
      <c r="D7" s="291" t="str">
        <f>VLOOKUP(A7,'BOCA DE LOBO'!$C$1:$Q$76,10,0)</f>
        <v>PROJETADA</v>
      </c>
      <c r="E7" s="413">
        <f t="shared" si="0"/>
        <v>2.1267999999999998</v>
      </c>
      <c r="F7" s="291">
        <f>VLOOKUP(A7,'BOCA DE LOBO'!$C$1:$Q$76,2,0)</f>
        <v>2.5499999999999998</v>
      </c>
      <c r="G7" s="291">
        <f>VLOOKUP(A7,'BOCA DE LOBO'!$C$1:$Q$76,4,0)</f>
        <v>10.58</v>
      </c>
      <c r="H7" s="238">
        <v>400</v>
      </c>
      <c r="I7" s="493">
        <f t="shared" si="1"/>
        <v>2.4683999999999999</v>
      </c>
      <c r="J7" s="241">
        <f t="shared" si="2"/>
        <v>1.3057836</v>
      </c>
      <c r="K7" s="494">
        <v>0</v>
      </c>
      <c r="L7" s="253">
        <f t="shared" si="3"/>
        <v>1</v>
      </c>
      <c r="M7" s="253">
        <f t="shared" si="4"/>
        <v>1</v>
      </c>
      <c r="N7" s="253">
        <f t="shared" si="5"/>
        <v>0</v>
      </c>
      <c r="O7" s="253">
        <f t="shared" si="6"/>
        <v>10.58</v>
      </c>
      <c r="P7" s="495" t="str">
        <f>VLOOKUP(B7,'Planilha Hidráulica'!$AE$10:$AQ$39,13,0)</f>
        <v>ASFALTO</v>
      </c>
      <c r="Q7" s="495" t="s">
        <v>2734</v>
      </c>
      <c r="R7" s="495">
        <v>1</v>
      </c>
      <c r="S7" s="495">
        <f>VLOOKUP(Q7,Quantitativos!P:R,3,0)</f>
        <v>4</v>
      </c>
      <c r="T7" s="495">
        <f>VLOOKUP(Q7,Quantitativos!P:S,4,0)</f>
        <v>4</v>
      </c>
      <c r="U7" s="253">
        <f t="shared" si="7"/>
        <v>0.05</v>
      </c>
      <c r="V7" s="246">
        <f t="shared" si="8"/>
        <v>0</v>
      </c>
      <c r="W7" s="246">
        <f t="shared" si="9"/>
        <v>30.347671999999999</v>
      </c>
      <c r="X7" s="247">
        <f t="shared" ref="X7:X27" si="82">W7-SUM(AC7:AJ7)</f>
        <v>0</v>
      </c>
      <c r="Y7" s="247">
        <f t="shared" si="11"/>
        <v>2.8683999999999998</v>
      </c>
      <c r="Z7" s="247">
        <f t="shared" si="12"/>
        <v>0</v>
      </c>
      <c r="AA7" s="247">
        <f t="shared" ref="AA7:AA27" si="83">I7-Z7</f>
        <v>2.4683999999999999</v>
      </c>
      <c r="AB7" s="496">
        <f t="shared" ref="AB7:AB27" si="84">IF(P7="ASFALTO",IF(D7="PROJETADA",O7,IF(D7="EXISTENTE",0,O7/2)),0)</f>
        <v>10.58</v>
      </c>
      <c r="AC7" s="251">
        <f t="shared" si="13"/>
        <v>15.870000000000001</v>
      </c>
      <c r="AD7" s="251">
        <f t="shared" si="14"/>
        <v>14.477671999999998</v>
      </c>
      <c r="AE7" s="251">
        <f t="shared" si="15"/>
        <v>0</v>
      </c>
      <c r="AF7" s="251">
        <f t="shared" si="16"/>
        <v>0</v>
      </c>
      <c r="AG7" s="251">
        <f t="shared" si="17"/>
        <v>0</v>
      </c>
      <c r="AH7" s="251">
        <f t="shared" si="18"/>
        <v>0</v>
      </c>
      <c r="AI7" s="497" t="str">
        <f t="shared" si="19"/>
        <v>NÃO</v>
      </c>
      <c r="AJ7" s="253">
        <f t="shared" si="20"/>
        <v>0</v>
      </c>
      <c r="AK7" s="253">
        <f t="shared" si="21"/>
        <v>0</v>
      </c>
      <c r="AL7" s="253">
        <f t="shared" si="22"/>
        <v>29.018149989000797</v>
      </c>
      <c r="AM7" s="241">
        <f t="shared" si="23"/>
        <v>0.52900000000000003</v>
      </c>
      <c r="AN7" s="246">
        <f t="shared" si="24"/>
        <v>0</v>
      </c>
      <c r="AO7" s="253">
        <f t="shared" si="25"/>
        <v>4.2320000000000002</v>
      </c>
      <c r="AP7" s="253">
        <f t="shared" si="26"/>
        <v>4.2320000000000002</v>
      </c>
      <c r="AQ7" s="253">
        <f t="shared" si="27"/>
        <v>0.7</v>
      </c>
      <c r="AR7" s="253">
        <f t="shared" si="28"/>
        <v>6.0764779890007992</v>
      </c>
      <c r="AS7" s="253">
        <f t="shared" si="29"/>
        <v>6.0764779890007992</v>
      </c>
      <c r="AT7" s="253">
        <f t="shared" si="30"/>
        <v>1.587</v>
      </c>
      <c r="AU7" s="253">
        <f t="shared" si="31"/>
        <v>1.587</v>
      </c>
      <c r="AV7" s="253">
        <f t="shared" si="32"/>
        <v>0.31740000000000002</v>
      </c>
      <c r="AW7" s="253">
        <f t="shared" si="33"/>
        <v>15.006671999999998</v>
      </c>
      <c r="AX7" s="253">
        <f t="shared" si="34"/>
        <v>-11.895477989000799</v>
      </c>
      <c r="AY7" s="253">
        <f t="shared" si="35"/>
        <v>-11.895477989000799</v>
      </c>
      <c r="AZ7" s="253">
        <f t="shared" si="36"/>
        <v>26.902149989000797</v>
      </c>
      <c r="BA7" s="253">
        <f t="shared" ref="BA7:BA11" si="85">IF($AZ$69&gt;$BA$71,($BA$71/$AZ$69)*AZ7,AZ7)</f>
        <v>14.3685327097641</v>
      </c>
      <c r="BB7" s="253">
        <f t="shared" si="37"/>
        <v>12.533617279236697</v>
      </c>
      <c r="BC7" s="253"/>
      <c r="BD7" s="253">
        <f t="shared" si="38"/>
        <v>0.23275999999999999</v>
      </c>
      <c r="BE7" s="496">
        <f t="shared" si="39"/>
        <v>2.4683999999999999</v>
      </c>
      <c r="BF7" s="498">
        <f t="shared" si="40"/>
        <v>0</v>
      </c>
      <c r="BG7" s="498">
        <f t="shared" si="41"/>
        <v>10.58</v>
      </c>
      <c r="BH7" s="495" t="str">
        <f>VLOOKUP(A7,'BOCA DE LOBO'!C:I,7,0)</f>
        <v>BOCA DE LOBO PROJETADA DUPLA</v>
      </c>
      <c r="BI7" s="253">
        <f t="shared" si="42"/>
        <v>0</v>
      </c>
      <c r="BJ7" s="253">
        <f t="shared" si="43"/>
        <v>0</v>
      </c>
      <c r="BK7" s="253">
        <f t="shared" si="44"/>
        <v>0</v>
      </c>
      <c r="BL7" s="253">
        <f t="shared" si="45"/>
        <v>0</v>
      </c>
      <c r="BM7" s="253">
        <f t="shared" si="46"/>
        <v>0</v>
      </c>
      <c r="BN7" s="253">
        <f t="shared" si="47"/>
        <v>1</v>
      </c>
      <c r="BO7" s="253">
        <f t="shared" si="48"/>
        <v>0</v>
      </c>
      <c r="BP7" s="500"/>
      <c r="BQ7" s="496">
        <f t="shared" si="49"/>
        <v>31.740000000000002</v>
      </c>
      <c r="BR7" s="496">
        <f t="shared" si="50"/>
        <v>31.071344</v>
      </c>
      <c r="BS7" s="496">
        <f t="shared" si="51"/>
        <v>0</v>
      </c>
      <c r="BV7" s="502">
        <f t="shared" si="52"/>
        <v>20.443333679999995</v>
      </c>
      <c r="BW7" s="502">
        <f t="shared" si="53"/>
        <v>7.7825999999999986</v>
      </c>
      <c r="BX7" s="502">
        <f t="shared" ref="BX7:BX9" si="86">IF(OR("BOCA DE LOBO EXISTENTE TRIPLA"=BH7,"BOCA DE LOBO EXISTENTE SIMPLES"=BH7,"BOCA DE LOBO EXISTENTE DUPLA"=BH7),0,IF("BOCA DE LOBO PROJETADA DUPLA"=BH7,(2.57)*(1.18),IF(OR("BOCA DE LOBO DUPLA EXISTENTE COM BOCA DE LOBO SIMPLES PROJETADA"=BH7,"BOCA DE LOBO SIMPLES EXISTENTE COM BOCA DE LOBO SIMPLES PROJETADA"=BH7),(1.18)*(1.18),IF(OR(BH7="BOCA DE LOBO DUPLA EXISTENTE COM BOCA DE LOBO DUPLA PROJETADA",BH7="BOCA DE LOBO SIMPLES EXISTENTE COM BOCA DE LOBO DUPLA PROJETADA"),(2.38)*(1.18),IF("BOCA DE LOBO PROJETADA TRIPLA"=BH7,(3.76)*(1.18),"X")))))</f>
        <v>3.0325999999999995</v>
      </c>
      <c r="BY7" s="502">
        <f t="shared" si="54"/>
        <v>2.1267999999999998</v>
      </c>
      <c r="BZ7" s="502">
        <f t="shared" si="55"/>
        <v>0</v>
      </c>
      <c r="CA7" s="502">
        <f t="shared" si="56"/>
        <v>2.5267999999999997</v>
      </c>
      <c r="CB7" s="502">
        <f t="shared" si="57"/>
        <v>0</v>
      </c>
      <c r="CC7" s="502">
        <f t="shared" si="58"/>
        <v>0</v>
      </c>
      <c r="CD7" s="502">
        <f t="shared" si="59"/>
        <v>0</v>
      </c>
      <c r="CE7" s="502">
        <f t="shared" si="60"/>
        <v>11.673899999999998</v>
      </c>
      <c r="CF7" s="502">
        <f t="shared" si="61"/>
        <v>7.9911736799999966</v>
      </c>
      <c r="CG7" s="502">
        <f t="shared" si="62"/>
        <v>0.77825999999999951</v>
      </c>
      <c r="CH7" s="502">
        <f t="shared" si="63"/>
        <v>0</v>
      </c>
      <c r="CI7" s="253">
        <f t="shared" si="64"/>
        <v>0.53549999999999998</v>
      </c>
      <c r="CJ7" s="502">
        <f t="shared" si="65"/>
        <v>11.466799999999996</v>
      </c>
      <c r="CK7" s="502">
        <f t="shared" si="66"/>
        <v>11.466799999999996</v>
      </c>
      <c r="CL7" s="502">
        <f t="shared" si="67"/>
        <v>0</v>
      </c>
      <c r="CM7" s="502">
        <f t="shared" si="68"/>
        <v>0.15565199999999998</v>
      </c>
      <c r="CN7" s="502">
        <f t="shared" si="69"/>
        <v>3.57</v>
      </c>
      <c r="CO7" s="502">
        <f t="shared" si="70"/>
        <v>2.6267999999999998</v>
      </c>
      <c r="CP7" s="502">
        <f t="shared" si="71"/>
        <v>10.709999999999999</v>
      </c>
      <c r="CQ7" s="502">
        <f t="shared" si="72"/>
        <v>8.0453519999999976</v>
      </c>
      <c r="CR7" s="220">
        <f t="shared" si="73"/>
        <v>0</v>
      </c>
      <c r="CS7" s="503">
        <f t="shared" si="74"/>
        <v>0</v>
      </c>
      <c r="CT7" s="503">
        <f t="shared" si="75"/>
        <v>0.33012999999999998</v>
      </c>
      <c r="CU7" s="504">
        <f t="shared" si="76"/>
        <v>11.05936</v>
      </c>
      <c r="CV7" s="504">
        <f t="shared" si="77"/>
        <v>1.3247507999999999</v>
      </c>
      <c r="CW7" s="502">
        <f t="shared" si="78"/>
        <v>20.382023999999998</v>
      </c>
      <c r="CX7" s="253">
        <f t="shared" si="79"/>
        <v>3.57</v>
      </c>
      <c r="CY7" s="505">
        <f t="shared" si="80"/>
        <v>1.7849999999999999</v>
      </c>
      <c r="CZ7" s="502">
        <f t="shared" si="81"/>
        <v>0</v>
      </c>
    </row>
    <row r="8" spans="1:104" s="501" customFormat="1" ht="25" x14ac:dyDescent="0.25">
      <c r="A8" s="291" t="str">
        <f>'BOCA DE LOBO'!C7</f>
        <v>BL4-&gt;PV4.1</v>
      </c>
      <c r="B8" s="291" t="str">
        <f>'BOCA DE LOBO'!A7</f>
        <v>PV4.1</v>
      </c>
      <c r="C8" s="413" t="str">
        <f>VLOOKUP(A8,'BOCA DE LOBO'!$C$1:$Q$76,3,0)</f>
        <v>PROJETADO</v>
      </c>
      <c r="D8" s="291" t="str">
        <f>VLOOKUP(A8,'BOCA DE LOBO'!$C$1:$Q$76,10,0)</f>
        <v>PROJETADA</v>
      </c>
      <c r="E8" s="413">
        <f t="shared" si="0"/>
        <v>2.0355999999999996</v>
      </c>
      <c r="F8" s="291">
        <f>VLOOKUP(A8,'BOCA DE LOBO'!$C$1:$Q$76,2,0)</f>
        <v>2.5499999999999998</v>
      </c>
      <c r="G8" s="291">
        <f>VLOOKUP(A8,'BOCA DE LOBO'!$C$1:$Q$76,4,0)</f>
        <v>12.86</v>
      </c>
      <c r="H8" s="238">
        <v>400</v>
      </c>
      <c r="I8" s="493">
        <f t="shared" si="1"/>
        <v>2.4227999999999996</v>
      </c>
      <c r="J8" s="241">
        <f t="shared" si="2"/>
        <v>1.5578603999999996</v>
      </c>
      <c r="K8" s="494">
        <v>0</v>
      </c>
      <c r="L8" s="253">
        <f t="shared" si="3"/>
        <v>1</v>
      </c>
      <c r="M8" s="253">
        <f t="shared" si="4"/>
        <v>1</v>
      </c>
      <c r="N8" s="253">
        <f t="shared" si="5"/>
        <v>0</v>
      </c>
      <c r="O8" s="253">
        <f t="shared" si="6"/>
        <v>12.86</v>
      </c>
      <c r="P8" s="495" t="str">
        <f>VLOOKUP(B8,'Planilha Hidráulica'!$AE$10:$AQ$39,13,0)</f>
        <v>ASFALTO</v>
      </c>
      <c r="Q8" s="495" t="s">
        <v>2734</v>
      </c>
      <c r="R8" s="495">
        <v>1</v>
      </c>
      <c r="S8" s="495">
        <f>VLOOKUP(Q8,Quantitativos!P:R,3,0)</f>
        <v>4</v>
      </c>
      <c r="T8" s="495">
        <f>VLOOKUP(Q8,Quantitativos!P:S,4,0)</f>
        <v>4</v>
      </c>
      <c r="U8" s="253">
        <f t="shared" si="7"/>
        <v>0.05</v>
      </c>
      <c r="V8" s="246">
        <f t="shared" si="8"/>
        <v>0</v>
      </c>
      <c r="W8" s="246">
        <f t="shared" si="9"/>
        <v>36.301207999999995</v>
      </c>
      <c r="X8" s="247">
        <f t="shared" si="82"/>
        <v>0</v>
      </c>
      <c r="Y8" s="247">
        <f t="shared" si="11"/>
        <v>2.8227999999999995</v>
      </c>
      <c r="Z8" s="247">
        <f t="shared" si="12"/>
        <v>0</v>
      </c>
      <c r="AA8" s="247">
        <f t="shared" si="83"/>
        <v>2.4227999999999996</v>
      </c>
      <c r="AB8" s="496">
        <f t="shared" si="84"/>
        <v>12.86</v>
      </c>
      <c r="AC8" s="251">
        <f t="shared" si="13"/>
        <v>19.29</v>
      </c>
      <c r="AD8" s="251">
        <f t="shared" si="14"/>
        <v>17.011207999999993</v>
      </c>
      <c r="AE8" s="251">
        <f t="shared" si="15"/>
        <v>0</v>
      </c>
      <c r="AF8" s="251">
        <f t="shared" si="16"/>
        <v>0</v>
      </c>
      <c r="AG8" s="251">
        <f t="shared" si="17"/>
        <v>0</v>
      </c>
      <c r="AH8" s="251">
        <f t="shared" si="18"/>
        <v>0</v>
      </c>
      <c r="AI8" s="497" t="str">
        <f t="shared" si="19"/>
        <v>NÃO</v>
      </c>
      <c r="AJ8" s="253">
        <f t="shared" si="20"/>
        <v>0</v>
      </c>
      <c r="AK8" s="253">
        <f t="shared" si="21"/>
        <v>0</v>
      </c>
      <c r="AL8" s="253">
        <f t="shared" si="22"/>
        <v>34.685172738993401</v>
      </c>
      <c r="AM8" s="241">
        <f t="shared" si="23"/>
        <v>0.64300000000000002</v>
      </c>
      <c r="AN8" s="246">
        <f t="shared" si="24"/>
        <v>0</v>
      </c>
      <c r="AO8" s="253">
        <f t="shared" si="25"/>
        <v>5.1440000000000001</v>
      </c>
      <c r="AP8" s="253">
        <f t="shared" si="26"/>
        <v>5.1440000000000001</v>
      </c>
      <c r="AQ8" s="253">
        <f t="shared" si="27"/>
        <v>0.7</v>
      </c>
      <c r="AR8" s="253">
        <f t="shared" si="28"/>
        <v>7.3859647389934091</v>
      </c>
      <c r="AS8" s="253">
        <f t="shared" si="29"/>
        <v>7.3859647389934091</v>
      </c>
      <c r="AT8" s="253">
        <f t="shared" si="30"/>
        <v>1.9289999999999998</v>
      </c>
      <c r="AU8" s="253">
        <f t="shared" si="31"/>
        <v>1.9289999999999998</v>
      </c>
      <c r="AV8" s="253">
        <f t="shared" si="32"/>
        <v>0.38579999999999998</v>
      </c>
      <c r="AW8" s="253">
        <f t="shared" si="33"/>
        <v>17.654207999999997</v>
      </c>
      <c r="AX8" s="253">
        <f t="shared" si="34"/>
        <v>-14.458964738993409</v>
      </c>
      <c r="AY8" s="253">
        <f t="shared" si="35"/>
        <v>-14.458964738993409</v>
      </c>
      <c r="AZ8" s="253">
        <f t="shared" si="36"/>
        <v>32.113172738993406</v>
      </c>
      <c r="BA8" s="253">
        <f t="shared" si="85"/>
        <v>17.151758246206612</v>
      </c>
      <c r="BB8" s="253">
        <f t="shared" si="37"/>
        <v>14.961414492786794</v>
      </c>
      <c r="BC8" s="253"/>
      <c r="BD8" s="253">
        <f t="shared" si="38"/>
        <v>0.28292</v>
      </c>
      <c r="BE8" s="496">
        <f t="shared" si="39"/>
        <v>2.4227999999999996</v>
      </c>
      <c r="BF8" s="498">
        <f t="shared" si="40"/>
        <v>0</v>
      </c>
      <c r="BG8" s="498">
        <f t="shared" si="41"/>
        <v>12.86</v>
      </c>
      <c r="BH8" s="495" t="str">
        <f>VLOOKUP(A8,'BOCA DE LOBO'!C:I,7,0)</f>
        <v>BOCA DE LOBO PROJETADA DUPLA</v>
      </c>
      <c r="BI8" s="253">
        <f t="shared" si="42"/>
        <v>0</v>
      </c>
      <c r="BJ8" s="253">
        <f t="shared" si="43"/>
        <v>0</v>
      </c>
      <c r="BK8" s="253">
        <f t="shared" si="44"/>
        <v>0</v>
      </c>
      <c r="BL8" s="253">
        <f t="shared" si="45"/>
        <v>0</v>
      </c>
      <c r="BM8" s="253">
        <f t="shared" si="46"/>
        <v>0</v>
      </c>
      <c r="BN8" s="253">
        <f t="shared" si="47"/>
        <v>1</v>
      </c>
      <c r="BO8" s="253">
        <f t="shared" si="48"/>
        <v>0</v>
      </c>
      <c r="BP8" s="500"/>
      <c r="BQ8" s="496">
        <f t="shared" si="49"/>
        <v>38.58</v>
      </c>
      <c r="BR8" s="496">
        <f t="shared" si="50"/>
        <v>36.594415999999988</v>
      </c>
      <c r="BS8" s="496">
        <f t="shared" si="51"/>
        <v>0</v>
      </c>
      <c r="BV8" s="502">
        <f t="shared" si="52"/>
        <v>19.733560559999994</v>
      </c>
      <c r="BW8" s="502">
        <f t="shared" si="53"/>
        <v>7.7825999999999986</v>
      </c>
      <c r="BX8" s="502">
        <f t="shared" si="86"/>
        <v>3.0325999999999995</v>
      </c>
      <c r="BY8" s="502">
        <f t="shared" si="54"/>
        <v>2.0355999999999996</v>
      </c>
      <c r="BZ8" s="502">
        <f t="shared" si="55"/>
        <v>0</v>
      </c>
      <c r="CA8" s="502">
        <f t="shared" si="56"/>
        <v>2.4355999999999995</v>
      </c>
      <c r="CB8" s="502">
        <f t="shared" si="57"/>
        <v>0</v>
      </c>
      <c r="CC8" s="502">
        <f t="shared" si="58"/>
        <v>0</v>
      </c>
      <c r="CD8" s="502">
        <f t="shared" si="59"/>
        <v>0</v>
      </c>
      <c r="CE8" s="502">
        <f t="shared" si="60"/>
        <v>11.673899999999998</v>
      </c>
      <c r="CF8" s="502">
        <f t="shared" si="61"/>
        <v>7.2814005599999954</v>
      </c>
      <c r="CG8" s="502">
        <f t="shared" si="62"/>
        <v>0.77825999999999951</v>
      </c>
      <c r="CH8" s="502">
        <f t="shared" si="63"/>
        <v>0</v>
      </c>
      <c r="CI8" s="253">
        <f t="shared" si="64"/>
        <v>0.53549999999999998</v>
      </c>
      <c r="CJ8" s="502">
        <f t="shared" si="65"/>
        <v>11.033599999999995</v>
      </c>
      <c r="CK8" s="502">
        <f t="shared" si="66"/>
        <v>11.033599999999995</v>
      </c>
      <c r="CL8" s="502">
        <f t="shared" si="67"/>
        <v>0</v>
      </c>
      <c r="CM8" s="502">
        <f t="shared" si="68"/>
        <v>0.15565199999999998</v>
      </c>
      <c r="CN8" s="502">
        <f t="shared" si="69"/>
        <v>3.57</v>
      </c>
      <c r="CO8" s="502">
        <f t="shared" si="70"/>
        <v>2.5355999999999996</v>
      </c>
      <c r="CP8" s="502">
        <f t="shared" si="71"/>
        <v>10.709999999999999</v>
      </c>
      <c r="CQ8" s="502">
        <f t="shared" si="72"/>
        <v>7.3941839999999974</v>
      </c>
      <c r="CR8" s="220">
        <f t="shared" si="73"/>
        <v>0</v>
      </c>
      <c r="CS8" s="503">
        <f t="shared" si="74"/>
        <v>0</v>
      </c>
      <c r="CT8" s="503">
        <f t="shared" si="75"/>
        <v>0.33012999999999998</v>
      </c>
      <c r="CU8" s="504">
        <f t="shared" si="76"/>
        <v>10.585119999999998</v>
      </c>
      <c r="CV8" s="504">
        <f t="shared" si="77"/>
        <v>1.2968435999999999</v>
      </c>
      <c r="CW8" s="502">
        <f t="shared" si="78"/>
        <v>19.681607999999997</v>
      </c>
      <c r="CX8" s="253">
        <f t="shared" si="79"/>
        <v>3.57</v>
      </c>
      <c r="CY8" s="505">
        <f t="shared" si="80"/>
        <v>1.7849999999999999</v>
      </c>
      <c r="CZ8" s="502">
        <f t="shared" si="81"/>
        <v>0</v>
      </c>
    </row>
    <row r="9" spans="1:104" s="501" customFormat="1" ht="25" x14ac:dyDescent="0.25">
      <c r="A9" s="291" t="str">
        <f>'BOCA DE LOBO'!C8</f>
        <v>BL5-&gt;PV4.1</v>
      </c>
      <c r="B9" s="291" t="str">
        <f>'BOCA DE LOBO'!A8</f>
        <v>PV4.1</v>
      </c>
      <c r="C9" s="413" t="str">
        <f>VLOOKUP(A9,'BOCA DE LOBO'!$C$1:$Q$76,3,0)</f>
        <v>PROJETADO</v>
      </c>
      <c r="D9" s="291" t="str">
        <f>VLOOKUP(A9,'BOCA DE LOBO'!$C$1:$Q$76,10,0)</f>
        <v>PROJETADA</v>
      </c>
      <c r="E9" s="413">
        <f t="shared" si="0"/>
        <v>2.2023999999999999</v>
      </c>
      <c r="F9" s="291">
        <f>VLOOKUP(A9,'BOCA DE LOBO'!$C$1:$Q$76,2,0)</f>
        <v>2.5499999999999998</v>
      </c>
      <c r="G9" s="291">
        <f>VLOOKUP(A9,'BOCA DE LOBO'!$C$1:$Q$76,4,0)</f>
        <v>8.69</v>
      </c>
      <c r="H9" s="238">
        <v>400</v>
      </c>
      <c r="I9" s="493">
        <f t="shared" si="1"/>
        <v>2.5061999999999998</v>
      </c>
      <c r="J9" s="241">
        <f t="shared" si="2"/>
        <v>1.0889438999999999</v>
      </c>
      <c r="K9" s="494">
        <v>0</v>
      </c>
      <c r="L9" s="253">
        <f t="shared" si="3"/>
        <v>1</v>
      </c>
      <c r="M9" s="253">
        <f t="shared" si="4"/>
        <v>1</v>
      </c>
      <c r="N9" s="253">
        <f t="shared" si="5"/>
        <v>0</v>
      </c>
      <c r="O9" s="253">
        <f t="shared" si="6"/>
        <v>8.69</v>
      </c>
      <c r="P9" s="495" t="str">
        <f>VLOOKUP(B9,'Planilha Hidráulica'!$AE$10:$AQ$39,13,0)</f>
        <v>ASFALTO</v>
      </c>
      <c r="Q9" s="495" t="s">
        <v>2734</v>
      </c>
      <c r="R9" s="495">
        <v>1</v>
      </c>
      <c r="S9" s="495">
        <f>VLOOKUP(Q9,Quantitativos!P:R,3,0)</f>
        <v>4</v>
      </c>
      <c r="T9" s="495">
        <f>VLOOKUP(Q9,Quantitativos!P:S,4,0)</f>
        <v>4</v>
      </c>
      <c r="U9" s="253">
        <f t="shared" si="7"/>
        <v>0.05</v>
      </c>
      <c r="V9" s="246">
        <f t="shared" si="8"/>
        <v>0</v>
      </c>
      <c r="W9" s="246">
        <f t="shared" si="9"/>
        <v>25.254877999999994</v>
      </c>
      <c r="X9" s="247">
        <f t="shared" si="82"/>
        <v>0</v>
      </c>
      <c r="Y9" s="247">
        <f t="shared" si="11"/>
        <v>2.9061999999999997</v>
      </c>
      <c r="Z9" s="247">
        <f t="shared" si="12"/>
        <v>0</v>
      </c>
      <c r="AA9" s="247">
        <f t="shared" si="83"/>
        <v>2.5061999999999998</v>
      </c>
      <c r="AB9" s="496">
        <f t="shared" si="84"/>
        <v>8.69</v>
      </c>
      <c r="AC9" s="251">
        <f t="shared" si="13"/>
        <v>13.035</v>
      </c>
      <c r="AD9" s="251">
        <f t="shared" si="14"/>
        <v>12.219877999999996</v>
      </c>
      <c r="AE9" s="251">
        <f t="shared" si="15"/>
        <v>0</v>
      </c>
      <c r="AF9" s="251">
        <f t="shared" si="16"/>
        <v>0</v>
      </c>
      <c r="AG9" s="251">
        <f t="shared" si="17"/>
        <v>0</v>
      </c>
      <c r="AH9" s="251">
        <f t="shared" si="18"/>
        <v>0</v>
      </c>
      <c r="AI9" s="497" t="str">
        <f t="shared" si="19"/>
        <v>NÃO</v>
      </c>
      <c r="AJ9" s="253">
        <f t="shared" si="20"/>
        <v>0</v>
      </c>
      <c r="AK9" s="253">
        <f t="shared" si="21"/>
        <v>0</v>
      </c>
      <c r="AL9" s="253">
        <f t="shared" si="22"/>
        <v>24.162860393612181</v>
      </c>
      <c r="AM9" s="241">
        <f t="shared" si="23"/>
        <v>0.4345</v>
      </c>
      <c r="AN9" s="246">
        <f t="shared" si="24"/>
        <v>0</v>
      </c>
      <c r="AO9" s="253">
        <f t="shared" si="25"/>
        <v>3.476</v>
      </c>
      <c r="AP9" s="253">
        <f t="shared" si="26"/>
        <v>3.476</v>
      </c>
      <c r="AQ9" s="253">
        <f t="shared" si="27"/>
        <v>0.7</v>
      </c>
      <c r="AR9" s="253">
        <f t="shared" si="28"/>
        <v>4.9909823936121871</v>
      </c>
      <c r="AS9" s="253">
        <f t="shared" si="29"/>
        <v>4.9909823936121871</v>
      </c>
      <c r="AT9" s="253">
        <f t="shared" si="30"/>
        <v>1.3034999999999999</v>
      </c>
      <c r="AU9" s="253">
        <f t="shared" si="31"/>
        <v>1.3034999999999999</v>
      </c>
      <c r="AV9" s="253">
        <f t="shared" si="32"/>
        <v>0.26069999999999999</v>
      </c>
      <c r="AW9" s="253">
        <f t="shared" si="33"/>
        <v>12.654377999999996</v>
      </c>
      <c r="AX9" s="253">
        <f t="shared" si="34"/>
        <v>-9.7704823936121876</v>
      </c>
      <c r="AY9" s="253">
        <f t="shared" si="35"/>
        <v>-9.7704823936121876</v>
      </c>
      <c r="AZ9" s="253">
        <f t="shared" si="36"/>
        <v>22.424860393612185</v>
      </c>
      <c r="BA9" s="253">
        <f t="shared" si="85"/>
        <v>11.977196625892345</v>
      </c>
      <c r="BB9" s="253">
        <f t="shared" si="37"/>
        <v>10.44766376771984</v>
      </c>
      <c r="BC9" s="253"/>
      <c r="BD9" s="253">
        <f t="shared" si="38"/>
        <v>0.19117999999999999</v>
      </c>
      <c r="BE9" s="496">
        <f t="shared" si="39"/>
        <v>2.5061999999999998</v>
      </c>
      <c r="BF9" s="498">
        <f t="shared" si="40"/>
        <v>0</v>
      </c>
      <c r="BG9" s="498">
        <f t="shared" si="41"/>
        <v>8.69</v>
      </c>
      <c r="BH9" s="495" t="str">
        <f>VLOOKUP(A9,'BOCA DE LOBO'!C:I,7,0)</f>
        <v>BOCA DE LOBO PROJETADA DUPLA</v>
      </c>
      <c r="BI9" s="253">
        <f t="shared" si="42"/>
        <v>0</v>
      </c>
      <c r="BJ9" s="253">
        <f t="shared" si="43"/>
        <v>0</v>
      </c>
      <c r="BK9" s="253">
        <f t="shared" si="44"/>
        <v>0</v>
      </c>
      <c r="BL9" s="253">
        <f t="shared" si="45"/>
        <v>0</v>
      </c>
      <c r="BM9" s="253">
        <f t="shared" si="46"/>
        <v>0</v>
      </c>
      <c r="BN9" s="253">
        <f t="shared" si="47"/>
        <v>1</v>
      </c>
      <c r="BO9" s="253">
        <f t="shared" si="48"/>
        <v>0</v>
      </c>
      <c r="BP9" s="500"/>
      <c r="BQ9" s="496">
        <f t="shared" si="49"/>
        <v>26.07</v>
      </c>
      <c r="BR9" s="496">
        <f t="shared" si="50"/>
        <v>26.07</v>
      </c>
      <c r="BS9" s="496">
        <f t="shared" si="51"/>
        <v>0.10775599999999584</v>
      </c>
      <c r="BV9" s="502">
        <f t="shared" si="52"/>
        <v>21.031698239999997</v>
      </c>
      <c r="BW9" s="502">
        <f t="shared" si="53"/>
        <v>7.7825999999999986</v>
      </c>
      <c r="BX9" s="502">
        <f t="shared" si="86"/>
        <v>3.0325999999999995</v>
      </c>
      <c r="BY9" s="502">
        <f t="shared" si="54"/>
        <v>2.2023999999999999</v>
      </c>
      <c r="BZ9" s="502">
        <f t="shared" si="55"/>
        <v>0</v>
      </c>
      <c r="CA9" s="502">
        <f t="shared" si="56"/>
        <v>2.6023999999999998</v>
      </c>
      <c r="CB9" s="502">
        <f t="shared" si="57"/>
        <v>0</v>
      </c>
      <c r="CC9" s="502">
        <f t="shared" si="58"/>
        <v>0</v>
      </c>
      <c r="CD9" s="502">
        <f t="shared" si="59"/>
        <v>0</v>
      </c>
      <c r="CE9" s="502">
        <f t="shared" si="60"/>
        <v>11.673899999999998</v>
      </c>
      <c r="CF9" s="502">
        <f t="shared" si="61"/>
        <v>8.579538239999998</v>
      </c>
      <c r="CG9" s="502">
        <f t="shared" si="62"/>
        <v>0.77826000000000306</v>
      </c>
      <c r="CH9" s="502">
        <f t="shared" si="63"/>
        <v>0</v>
      </c>
      <c r="CI9" s="253">
        <f t="shared" si="64"/>
        <v>0.53549999999999998</v>
      </c>
      <c r="CJ9" s="502">
        <f t="shared" si="65"/>
        <v>11.825899999999995</v>
      </c>
      <c r="CK9" s="502">
        <f t="shared" si="66"/>
        <v>11.825899999999995</v>
      </c>
      <c r="CL9" s="502">
        <f t="shared" si="67"/>
        <v>0</v>
      </c>
      <c r="CM9" s="502">
        <f t="shared" si="68"/>
        <v>0.15565199999999998</v>
      </c>
      <c r="CN9" s="502">
        <f t="shared" si="69"/>
        <v>3.57</v>
      </c>
      <c r="CO9" s="502">
        <f t="shared" si="70"/>
        <v>2.7023999999999999</v>
      </c>
      <c r="CP9" s="502">
        <f t="shared" si="71"/>
        <v>10.709999999999999</v>
      </c>
      <c r="CQ9" s="502">
        <f t="shared" si="72"/>
        <v>8.5851359999999985</v>
      </c>
      <c r="CR9" s="220">
        <f t="shared" si="73"/>
        <v>0</v>
      </c>
      <c r="CS9" s="503">
        <f t="shared" si="74"/>
        <v>0</v>
      </c>
      <c r="CT9" s="503">
        <f t="shared" si="75"/>
        <v>0.33012999999999998</v>
      </c>
      <c r="CU9" s="504">
        <f t="shared" si="76"/>
        <v>11.45248</v>
      </c>
      <c r="CV9" s="504">
        <f t="shared" si="77"/>
        <v>1.3478843999999999</v>
      </c>
      <c r="CW9" s="502">
        <f t="shared" si="78"/>
        <v>20.962631999999996</v>
      </c>
      <c r="CX9" s="253">
        <f t="shared" si="79"/>
        <v>3.57</v>
      </c>
      <c r="CY9" s="505">
        <f t="shared" si="80"/>
        <v>1.7849999999999999</v>
      </c>
      <c r="CZ9" s="502">
        <f t="shared" si="81"/>
        <v>0</v>
      </c>
    </row>
    <row r="10" spans="1:104" s="501" customFormat="1" ht="25" x14ac:dyDescent="0.25">
      <c r="A10" s="291" t="str">
        <f>'BOCA DE LOBO'!C9</f>
        <v>BL6-&gt;PV6.1</v>
      </c>
      <c r="B10" s="291" t="str">
        <f>'BOCA DE LOBO'!A9</f>
        <v>PV6.1</v>
      </c>
      <c r="C10" s="413" t="str">
        <f>VLOOKUP(A10,'BOCA DE LOBO'!$C$1:$Q$76,3,0)</f>
        <v>PROJETADO</v>
      </c>
      <c r="D10" s="291" t="str">
        <f>VLOOKUP(A10,'BOCA DE LOBO'!$C$1:$Q$76,10,0)</f>
        <v>PROJETADA</v>
      </c>
      <c r="E10" s="413">
        <f t="shared" si="0"/>
        <v>2.5</v>
      </c>
      <c r="F10" s="291">
        <f>VLOOKUP(A10,'BOCA DE LOBO'!$C$1:$Q$76,2,0)</f>
        <v>3</v>
      </c>
      <c r="G10" s="291">
        <f>VLOOKUP(A10,'BOCA DE LOBO'!$C$1:$Q$76,4,0)</f>
        <v>10.5</v>
      </c>
      <c r="H10" s="238">
        <v>400</v>
      </c>
      <c r="I10" s="493">
        <f t="shared" si="1"/>
        <v>2.88</v>
      </c>
      <c r="J10" s="241">
        <f t="shared" ref="J10" si="87">IF(L10=0,0,IF(I10&gt;=1.25,G10*I10/20,0))</f>
        <v>1.512</v>
      </c>
      <c r="K10" s="494">
        <v>0</v>
      </c>
      <c r="L10" s="253">
        <f t="shared" ref="L10" si="88">IF(D10&lt;&gt;"PROJETADA",0,IF(H10=400,1,0)+IF(H10=500,1.2,0)+IF(H10=600,1.4,0)+IF(H10=800,1.7,0)+IF(H10=1000,2,0)+IF(H10=1200,2.2,0)+IF(H10=1500,2.6,0)+IF(H10=1650,3,0)+IF(H10=1800,3.2,0)+IF(H10=2000,3.4,0)+IF(H10=2200,3.6,0)+IF(H10=2400,3.8,0)+IF(H10=2600,4,0)+IF(H10=3000,4.4,0))</f>
        <v>1</v>
      </c>
      <c r="M10" s="253">
        <f t="shared" ref="M10" si="89">2*K10*I10+L10</f>
        <v>1</v>
      </c>
      <c r="N10" s="253">
        <f t="shared" ref="N10" si="90">IF(OR(D10="EXISTENTE",D10="AMPLIADA"),400,0)</f>
        <v>0</v>
      </c>
      <c r="O10" s="253">
        <f t="shared" ref="O10" si="91">IF(P10="TERRENO NATURAL",0,M10*G10)</f>
        <v>10.5</v>
      </c>
      <c r="P10" s="495" t="str">
        <f>VLOOKUP(B10,'Planilha Hidráulica'!$AE$10:$AQ$39,13,0)</f>
        <v>ASFALTO</v>
      </c>
      <c r="Q10" s="495" t="s">
        <v>2734</v>
      </c>
      <c r="R10" s="495">
        <v>1</v>
      </c>
      <c r="S10" s="495">
        <f>VLOOKUP(Q10,Quantitativos!P:R,3,0)</f>
        <v>4</v>
      </c>
      <c r="T10" s="495">
        <f>VLOOKUP(Q10,Quantitativos!P:S,4,0)</f>
        <v>4</v>
      </c>
      <c r="U10" s="253">
        <f t="shared" ref="U10" si="92">IF(H10=400,0.05,0)+IF(H10=500,0.05,0)+IF(H10=600,0.1,0)+IF(H10=800,0.1,0)+IF(H10=1000,0.15,0)+IF(H10=1200,0.15,0)+IF(H10=1500,0.2,0)+IF(H10=1650,0.2,0)+IF(H10=1800,0.2,0)+IF(H10=2000,0.25,0)+IF(H10=2200,0.25,0)+IF(H10=2400,0.25,0)+IF(H10=2600,0.25,0)+IF(H10=3000,0.25,0)</f>
        <v>0.05</v>
      </c>
      <c r="V10" s="246">
        <f t="shared" si="8"/>
        <v>0</v>
      </c>
      <c r="W10" s="246">
        <f t="shared" ref="W10" si="93">IF(O10=0,0,((((K10*I10)*I10)/2)*2+L10*I10)*G10-V10+AO10)</f>
        <v>34.44</v>
      </c>
      <c r="X10" s="247">
        <f t="shared" ref="X10" si="94">W10-SUM(AC10:AJ10)</f>
        <v>0</v>
      </c>
      <c r="Y10" s="247">
        <f t="shared" ref="Y10" si="95">IF(R10=1,IF(N10=0,I10+0.4,0.4),0)</f>
        <v>3.28</v>
      </c>
      <c r="Z10" s="247">
        <f t="shared" ref="Z10" si="96">IF(Y10&gt;0.5,0,IF(S10&lt;I10,S10,I10))</f>
        <v>0</v>
      </c>
      <c r="AA10" s="247">
        <f t="shared" ref="AA10" si="97">I10-Z10</f>
        <v>2.88</v>
      </c>
      <c r="AB10" s="496">
        <f t="shared" ref="AB10" si="98">IF(P10="ASFALTO",IF(D10="PROJETADA",O10,IF(D10="EXISTENTE",0,O10/2)),0)</f>
        <v>10.5</v>
      </c>
      <c r="AC10" s="251">
        <f t="shared" ref="AC10" si="99">IF(Y10=0,0,IF(Y10=0.4,IF(L10&lt;=1.5,IF(Z10+0.4&gt;=1.5,0,L10*G10*0.4),0),IF(L10&lt;=1.5,IF(Y10&gt;=1.5,M10*G10*1.5,L10*G10*(Y10)),0)+IF(S10&lt;I10+0.4,0,IF(AND(Y10&lt;=1.5,L10&lt;=1.5),-V10,0))))</f>
        <v>15.75</v>
      </c>
      <c r="AD10" s="251">
        <f t="shared" ref="AD10" si="100">IF(Y10=0,0,IF(Y10=0.4,IF(L10&lt;=1.5,IF(OR(Z10+0.4&gt;=3,Z10+0.4&lt;1.5),0,L10*G10*0.4),0),IF(IF(L10&lt;=1.5,IF(Y10&gt;=3,M10*G10*1.5,L10*G10*(Y10-1.5)),0)&lt;0,0,IF(L10&lt;=1.5,IF(Y10&gt;=3,M10*G10*1.5,L10*G10*(Y10-1.5)),0))+IF(S10&lt;I10+0.4,0,IF(AND(Y10&lt;=3,L10&lt;=1.5),-V10,0))))</f>
        <v>15.75</v>
      </c>
      <c r="AE10" s="251">
        <f t="shared" ref="AE10" si="101">IF(Y10=0,0,IF(Y10=0.4,IF(L10&lt;=1.5,IF(OR(Z10+0.4&gt;=4.5,Z10+0.4&lt;3),0,L10*G10*0.4),0),IF(IF(L10&lt;=1.5,IF(Y10&gt;=4.5,M10*G10*1.5,L10*G10*(Y10-3)),0)&lt;0,0,IF(L10&lt;=1.5,IF(Y10&gt;=4.5,M10*G10*1.5,L10*G10*(Y10-3)),0))+IF(S10&lt;I10+0.4,0,IF(AND(Y10&lt;=4.5,L10&lt;=1.5),-V10,0))))</f>
        <v>2.9399999999999977</v>
      </c>
      <c r="AF10" s="251">
        <f t="shared" ref="AF10" si="102">IF(L10&lt;=1.5,IF(Z10&gt;=1.5,M10*G10*1.5,L10*G10*Z10),0)+IF(S10&lt;I10,0,IF(AND(Z10&lt;=1.5,L10&lt;=1.5),-V10,0))</f>
        <v>0</v>
      </c>
      <c r="AG10" s="251">
        <f t="shared" ref="AG10" si="103">IF(IF(L10&lt;=1.5,IF(Z10&gt;=3,M10*G10*1.5,L10*G10*(Z10-1.5)),0)&lt;0,0,IF(L10&lt;=1.5,IF(Z10&gt;=3,M10*G10*1.5,L10*G10*(Z10-1.5)),0))+IF(S10&lt;I10,0,IF(AND(Z10&lt;=3,L10&lt;=1.5),-V10,0))</f>
        <v>0</v>
      </c>
      <c r="AH10" s="251">
        <f t="shared" ref="AH10" si="104">IF(IF(L10&lt;=1.5,IF(Z10&gt;=4.5,M10*G10*1.5,L10*G10*(Z10-3)),0)&lt;0,0,IF(L10&lt;=1.5,IF(Z10&gt;=4.5,M10*G10*1.5,L10*G10*(Z10-3)),0))+IF(S10&lt;I10,0,IF(AND(Z10&lt;=4.5,Z10&gt;3,L10&lt;=1.5),-V10,0))</f>
        <v>0</v>
      </c>
      <c r="AI10" s="497" t="str">
        <f t="shared" ref="AI10" si="105">IF(I10&gt;S10,"SIM","NÃO")</f>
        <v>NÃO</v>
      </c>
      <c r="AJ10" s="253">
        <f t="shared" ref="AJ10" si="106">W10-SUM(AC10:AH10)</f>
        <v>0</v>
      </c>
      <c r="AK10" s="253">
        <f t="shared" ref="AK10" si="107">IF(I10-T10&lt;0,0,(I10-T10)*G10)/75</f>
        <v>0</v>
      </c>
      <c r="AL10" s="253">
        <f t="shared" ref="AL10" si="108">IF(L10=0,0,G10*L10*I10-PI()*(H10/1000)*(H10/1000)/4*G10+AO10)</f>
        <v>33.120531085492289</v>
      </c>
      <c r="AM10" s="241">
        <f t="shared" ref="AM10" si="109">IF(L10&lt;1.5,L10*G10*IF(H10&lt;=500,0.05,IF(H10&lt;=800,0.1,IF(H10&lt;=1200,0.15,IF(H10&gt;=1500,0.2)))),0)</f>
        <v>0.52500000000000002</v>
      </c>
      <c r="AN10" s="246">
        <f t="shared" ref="AN10" si="110">IF(L10&gt;=1.5,L10*G10*IF(H10&lt;=500,0.05,IF(H10&lt;=800,0.1,IF(H10&lt;=1200,0.15,IF(H10&gt;=1500,0.2)))),0)</f>
        <v>0</v>
      </c>
      <c r="AO10" s="253">
        <f t="shared" ref="AO10" si="111">IF(R10=1,0.4*G10*L10,0)</f>
        <v>4.2</v>
      </c>
      <c r="AP10" s="253">
        <f t="shared" ref="AP10" si="112">IF(AO10&lt;SUM(AF10:AH10),0,AO10)</f>
        <v>4.2</v>
      </c>
      <c r="AQ10" s="253">
        <f t="shared" ref="AQ10" si="113">H10/1000+0.3</f>
        <v>0.7</v>
      </c>
      <c r="AR10" s="253">
        <f t="shared" ref="AR10" si="114">IF(D10&lt;&gt;"PROJETADA",0,AQ10*L10*G10-PI()*(H10/1000*H10/1000)/4*G10)</f>
        <v>6.0305310854922869</v>
      </c>
      <c r="AS10" s="253">
        <f t="shared" ref="AS10" si="115">IF(AR10&lt;SUM(AF10:AH10),0,AR10)</f>
        <v>6.0305310854922869</v>
      </c>
      <c r="AT10" s="253">
        <f t="shared" ref="AT10" si="116">IF(P10="ASFALTO",0.15*G10*L10,0)</f>
        <v>1.575</v>
      </c>
      <c r="AU10" s="253">
        <f t="shared" ref="AU10" si="117">AT10</f>
        <v>1.575</v>
      </c>
      <c r="AV10" s="253">
        <f t="shared" ref="AV10" si="118">IF(P10="ASFALTO",0.03*G10*L10,0)</f>
        <v>0.315</v>
      </c>
      <c r="AW10" s="253">
        <f t="shared" ref="AW10" si="119">AL10-AO10-SUM(AM10:AN10)-AT10-AU10-AR10</f>
        <v>19.215000000000003</v>
      </c>
      <c r="AX10" s="253">
        <f t="shared" ref="AX10" si="120">SUM(AF10:AH10)-AO10-AT10-AR10</f>
        <v>-11.805531085492287</v>
      </c>
      <c r="AY10" s="253">
        <f t="shared" ref="AY10" si="121">SMALL(AW10:AX10,1)</f>
        <v>-11.805531085492287</v>
      </c>
      <c r="AZ10" s="253">
        <f t="shared" ref="AZ10" si="122">AW10-AY10</f>
        <v>31.020531085492291</v>
      </c>
      <c r="BA10" s="253">
        <f t="shared" si="85"/>
        <v>16.568174504951713</v>
      </c>
      <c r="BB10" s="253">
        <f t="shared" ref="BB10" si="123">AZ10-BA10</f>
        <v>14.452356580540577</v>
      </c>
      <c r="BC10" s="253"/>
      <c r="BD10" s="253">
        <f t="shared" ref="BD10" si="124">IF(AO10+AT10&gt;0,4%*(AO10+AT10),0)</f>
        <v>0.23100000000000001</v>
      </c>
      <c r="BE10" s="496">
        <f t="shared" ref="BE10" si="125">IF(H10=400,I10,0)</f>
        <v>2.88</v>
      </c>
      <c r="BF10" s="498">
        <f t="shared" ref="BF10" si="126">IF(BE10&lt;=1.75,G10*IF(D10="PROJETADA",1,0),0)</f>
        <v>0</v>
      </c>
      <c r="BG10" s="498">
        <f t="shared" ref="BG10" si="127">IF(AND(BE10&lt;=3,BE10&gt;1.75),IF(D10="PROJETADA",1,0)*G10,0)</f>
        <v>10.5</v>
      </c>
      <c r="BH10" s="495" t="str">
        <f>VLOOKUP(A10,'BOCA DE LOBO'!C:I,7,0)</f>
        <v>BOCA DE LOBO PROJETADA DUPLA</v>
      </c>
      <c r="BI10" s="253">
        <f t="shared" si="42"/>
        <v>0</v>
      </c>
      <c r="BJ10" s="253">
        <f t="shared" si="43"/>
        <v>0</v>
      </c>
      <c r="BK10" s="253">
        <f t="shared" si="44"/>
        <v>0</v>
      </c>
      <c r="BL10" s="253">
        <f t="shared" si="45"/>
        <v>0</v>
      </c>
      <c r="BM10" s="253">
        <f t="shared" si="46"/>
        <v>0</v>
      </c>
      <c r="BN10" s="253">
        <f t="shared" si="47"/>
        <v>1</v>
      </c>
      <c r="BO10" s="253">
        <f t="shared" si="48"/>
        <v>0</v>
      </c>
      <c r="BP10" s="500"/>
      <c r="BQ10" s="496">
        <f t="shared" ref="BQ10" si="128">IF(L10&lt;=1.5,IF(I10+IF(R10=1,0.5,0)&lt;1.5,(I10+IF(R10=1,0.5,0))*G10*2,G10*2*1.5),0)</f>
        <v>31.5</v>
      </c>
      <c r="BR10" s="496">
        <f t="shared" ref="BR10" si="129">IF(L10&lt;=1.5,IF(AND(I10+IF(R10=1,0.5,0)&lt;3,I10+IF(R10=1,0.5,0)&gt;1.5),(I10+IF(R10=1,0.5,0)-1.5)*G10*2,IF(I10+IF(R10=1,0.5,0)&gt;=3,(G10*2*1.5),0)),0)</f>
        <v>31.5</v>
      </c>
      <c r="BS10" s="496">
        <f t="shared" ref="BS10" si="130">IF(L10&lt;=1.5,IF(AND(I10+IF(R10=1,0.5,0)&lt;4.5,I10+IF(R10=1,0.5,0)&gt;3),(I10+IF(R10=1,0.5,0)-3)*G10*2,IF(I10+IF(R10=1,0.5,0)&gt;=4.5,(G10*2*1.5),0)),0)</f>
        <v>7.9799999999999978</v>
      </c>
      <c r="BV10" s="502">
        <f t="shared" si="52"/>
        <v>23.347799999999996</v>
      </c>
      <c r="BW10" s="502">
        <f t="shared" ref="BW10" si="131">IF(OR("BOCA DE LOBO EXISTENTE TRIPLA"=BH10,"BOCA DE LOBO EXISTENTE SIMPLES"=BH10,"BOCA DE LOBO EXISTENTE DUPLA"=BH10),0,IF("BOCA DE LOBO PROJETADA DUPLA"=BH10,(2.57+1)*(1.18+1),IF(OR("BOCA DE LOBO DUPLA EXISTENTE COM BOCA DE LOBO SIMPLES PROJETADA"=BH10,"BOCA DE LOBO SIMPLES EXISTENTE COM BOCA DE LOBO SIMPLES PROJETADA"=BH10),(1.18+1)*(1.18+0.5),IF(OR(BH10="BOCA DE LOBO DUPLA EXISTENTE COM BOCA DE LOBO DUPLA PROJETADA",BH10="BOCA DE LOBO SIMPLES EXISTENTE COM BOCA DE LOBO DUPLA PROJETADA"),(2.38+0.5)*(1.18+1),IF("BOCA DE LOBO PROJETADA TRIPLA"=BH10,(3.76+0.5*2)*(1.18+1),"X")))))</f>
        <v>7.7825999999999986</v>
      </c>
      <c r="BX10" s="502">
        <f t="shared" ref="BX10" si="132">IF(OR("BOCA DE LOBO EXISTENTE TRIPLA"=BH10,"BOCA DE LOBO EXISTENTE SIMPLES"=BH10,"BOCA DE LOBO EXISTENTE DUPLA"=BH10),0,IF("BOCA DE LOBO PROJETADA DUPLA"=BH10,(2.57)*(1.18),IF(OR("BOCA DE LOBO DUPLA EXISTENTE COM BOCA DE LOBO SIMPLES PROJETADA"=BH10,"BOCA DE LOBO SIMPLES EXISTENTE COM BOCA DE LOBO SIMPLES PROJETADA"=BH10),(1.18)*(1.18),IF(OR(BH10="BOCA DE LOBO DUPLA EXISTENTE COM BOCA DE LOBO DUPLA PROJETADA",BH10="BOCA DE LOBO SIMPLES EXISTENTE COM BOCA DE LOBO DUPLA PROJETADA"),(2.38)*(1.18),IF("BOCA DE LOBO PROJETADA TRIPLA"=BH10,(3.76)*(1.18),"X")))))</f>
        <v>3.0325999999999995</v>
      </c>
      <c r="BY10" s="502">
        <f t="shared" ref="BY10" si="133">E10</f>
        <v>2.5</v>
      </c>
      <c r="BZ10" s="502">
        <f t="shared" si="55"/>
        <v>0</v>
      </c>
      <c r="CA10" s="502">
        <f t="shared" ref="CA10" si="134">IF(Y10&gt;0.4,BY10+0.4,Y10)</f>
        <v>2.9</v>
      </c>
      <c r="CB10" s="502">
        <f t="shared" si="57"/>
        <v>0</v>
      </c>
      <c r="CC10" s="502">
        <f t="shared" si="58"/>
        <v>0</v>
      </c>
      <c r="CD10" s="502">
        <f t="shared" si="59"/>
        <v>0</v>
      </c>
      <c r="CE10" s="502">
        <f t="shared" si="60"/>
        <v>11.673899999999998</v>
      </c>
      <c r="CF10" s="502">
        <f t="shared" si="61"/>
        <v>10.895639999999997</v>
      </c>
      <c r="CG10" s="502">
        <f t="shared" si="62"/>
        <v>0.77825999999999951</v>
      </c>
      <c r="CH10" s="502">
        <f t="shared" si="63"/>
        <v>0</v>
      </c>
      <c r="CI10" s="253">
        <f t="shared" si="64"/>
        <v>0.53549999999999998</v>
      </c>
      <c r="CJ10" s="502">
        <f t="shared" si="65"/>
        <v>13.239499999999996</v>
      </c>
      <c r="CK10" s="502">
        <f t="shared" si="66"/>
        <v>13.239499999999996</v>
      </c>
      <c r="CL10" s="502">
        <f t="shared" si="67"/>
        <v>0</v>
      </c>
      <c r="CM10" s="502">
        <f t="shared" si="68"/>
        <v>0.15565199999999998</v>
      </c>
      <c r="CN10" s="502">
        <f t="shared" si="69"/>
        <v>3.57</v>
      </c>
      <c r="CO10" s="502">
        <f t="shared" si="70"/>
        <v>3</v>
      </c>
      <c r="CP10" s="502">
        <f t="shared" si="71"/>
        <v>10.709999999999999</v>
      </c>
      <c r="CQ10" s="502">
        <f t="shared" si="72"/>
        <v>10.709999999999999</v>
      </c>
      <c r="CR10" s="220">
        <f t="shared" si="73"/>
        <v>0</v>
      </c>
      <c r="CS10" s="503">
        <f t="shared" si="74"/>
        <v>0</v>
      </c>
      <c r="CT10" s="503">
        <f t="shared" si="75"/>
        <v>0.33012999999999998</v>
      </c>
      <c r="CU10" s="504">
        <f t="shared" si="76"/>
        <v>13</v>
      </c>
      <c r="CV10" s="504">
        <f t="shared" si="77"/>
        <v>1.43895</v>
      </c>
      <c r="CW10" s="502">
        <f t="shared" si="78"/>
        <v>23.248199999999997</v>
      </c>
      <c r="CX10" s="253">
        <f t="shared" si="79"/>
        <v>3.57</v>
      </c>
      <c r="CY10" s="505">
        <f t="shared" si="80"/>
        <v>1.7849999999999999</v>
      </c>
      <c r="CZ10" s="502">
        <f t="shared" si="81"/>
        <v>0</v>
      </c>
    </row>
    <row r="11" spans="1:104" s="501" customFormat="1" ht="25" x14ac:dyDescent="0.25">
      <c r="A11" s="291" t="str">
        <f>'BOCA DE LOBO'!C10</f>
        <v>BL7-&gt;PV6.1</v>
      </c>
      <c r="B11" s="291" t="str">
        <f>'BOCA DE LOBO'!A10</f>
        <v>PV6.1</v>
      </c>
      <c r="C11" s="413" t="str">
        <f>VLOOKUP(A11,'BOCA DE LOBO'!$C$1:$Q$76,3,0)</f>
        <v>PROJETADO</v>
      </c>
      <c r="D11" s="291" t="str">
        <f>VLOOKUP(A11,'BOCA DE LOBO'!$C$1:$Q$76,10,0)</f>
        <v>PROJETADA</v>
      </c>
      <c r="E11" s="413">
        <f t="shared" si="0"/>
        <v>2.5</v>
      </c>
      <c r="F11" s="291">
        <f>VLOOKUP(A11,'BOCA DE LOBO'!$C$1:$Q$76,2,0)</f>
        <v>3</v>
      </c>
      <c r="G11" s="291">
        <f>VLOOKUP(A11,'BOCA DE LOBO'!$C$1:$Q$76,4,0)</f>
        <v>12.29</v>
      </c>
      <c r="H11" s="238">
        <v>400</v>
      </c>
      <c r="I11" s="493">
        <f t="shared" si="1"/>
        <v>2.88</v>
      </c>
      <c r="J11" s="241">
        <f t="shared" si="2"/>
        <v>1.7697599999999998</v>
      </c>
      <c r="K11" s="494">
        <v>0</v>
      </c>
      <c r="L11" s="253">
        <f>IF(D11&lt;&gt;"PROJETADA",0,IF(H11=400,1,0)+IF(H11=500,1.2,0)+IF(H11=600,1.4,0)+IF(H11=800,1.7,0)+IF(H11=1000,2,0)+IF(H11=1200,2.2,0)+IF(H11=1500,2.6,0)+IF(H11=1650,3,0)+IF(H11=1800,3.2,0)+IF(H11=2000,3.4,0)+IF(H11=2200,3.6,0)+IF(H11=2400,3.8,0)+IF(H11=2600,4,0)+IF(H11=3000,4.4,0))</f>
        <v>1</v>
      </c>
      <c r="M11" s="253">
        <f>2*K11*I11+L11</f>
        <v>1</v>
      </c>
      <c r="N11" s="253">
        <f>IF(OR(D11="EXISTENTE",D11="AMPLIADA"),400,0)</f>
        <v>0</v>
      </c>
      <c r="O11" s="253">
        <f t="shared" ref="O11" si="135">IF(P11="TERRENO NATURAL",0,M11*G11)</f>
        <v>12.29</v>
      </c>
      <c r="P11" s="495" t="str">
        <f>VLOOKUP(B11,'Planilha Hidráulica'!$AE$10:$AQ$39,13,0)</f>
        <v>ASFALTO</v>
      </c>
      <c r="Q11" s="495" t="s">
        <v>2734</v>
      </c>
      <c r="R11" s="495">
        <v>1</v>
      </c>
      <c r="S11" s="495">
        <f>VLOOKUP(Q11,Quantitativos!P:R,3,0)</f>
        <v>4</v>
      </c>
      <c r="T11" s="495">
        <f>VLOOKUP(Q11,Quantitativos!P:S,4,0)</f>
        <v>4</v>
      </c>
      <c r="U11" s="253">
        <f t="shared" si="7"/>
        <v>0.05</v>
      </c>
      <c r="V11" s="246">
        <f t="shared" si="8"/>
        <v>0</v>
      </c>
      <c r="W11" s="246">
        <f>IF(O11=0,0,((((K11*I11)*I11)/2)*2+L11*I11)*G11-V11+AO11)</f>
        <v>40.311199999999999</v>
      </c>
      <c r="X11" s="247">
        <f t="shared" si="82"/>
        <v>0</v>
      </c>
      <c r="Y11" s="247">
        <f>IF(R11=1,IF(N11=0,I11+0.4,0.4),0)</f>
        <v>3.28</v>
      </c>
      <c r="Z11" s="247">
        <f t="shared" si="12"/>
        <v>0</v>
      </c>
      <c r="AA11" s="247">
        <f t="shared" si="83"/>
        <v>2.88</v>
      </c>
      <c r="AB11" s="496">
        <f t="shared" si="84"/>
        <v>12.29</v>
      </c>
      <c r="AC11" s="251">
        <f>IF(Y11=0,0,IF(Y11=0.4,IF(L11&lt;=1.5,IF(Z11+0.4&gt;=1.5,0,L11*G11*0.4),0),IF(L11&lt;=1.5,IF(Y11&gt;=1.5,M11*G11*1.5,L11*G11*(Y11)),0)+IF(S11&lt;I11+0.4,0,IF(AND(Y11&lt;=1.5,L11&lt;=1.5),-V11,0))))</f>
        <v>18.434999999999999</v>
      </c>
      <c r="AD11" s="251">
        <f>IF(Y11=0,0,IF(Y11=0.4,IF(L11&lt;=1.5,IF(OR(Z11+0.4&gt;=3,Z11+0.4&lt;1.5),0,L11*G11*0.4),0),IF(IF(L11&lt;=1.5,IF(Y11&gt;=3,M11*G11*1.5,L11*G11*(Y11-1.5)),0)&lt;0,0,IF(L11&lt;=1.5,IF(Y11&gt;=3,M11*G11*1.5,L11*G11*(Y11-1.5)),0))+IF(S11&lt;I11+0.4,0,IF(AND(Y11&lt;=3,L11&lt;=1.5),-V11,0))))</f>
        <v>18.434999999999999</v>
      </c>
      <c r="AE11" s="251">
        <f>IF(Y11=0,0,IF(Y11=0.4,IF(L11&lt;=1.5,IF(OR(Z11+0.4&gt;=4.5,Z11+0.4&lt;3),0,L11*G11*0.4),0),IF(IF(L11&lt;=1.5,IF(Y11&gt;=4.5,M11*G11*1.5,L11*G11*(Y11-3)),0)&lt;0,0,IF(L11&lt;=1.5,IF(Y11&gt;=4.5,M11*G11*1.5,L11*G11*(Y11-3)),0))+IF(S11&lt;I11+0.4,0,IF(AND(Y11&lt;=4.5,L11&lt;=1.5),-V11,0))))</f>
        <v>3.4411999999999972</v>
      </c>
      <c r="AF11" s="251">
        <f t="shared" si="16"/>
        <v>0</v>
      </c>
      <c r="AG11" s="251">
        <f t="shared" si="17"/>
        <v>0</v>
      </c>
      <c r="AH11" s="251">
        <f t="shared" si="18"/>
        <v>0</v>
      </c>
      <c r="AI11" s="497" t="str">
        <f t="shared" si="19"/>
        <v>NÃO</v>
      </c>
      <c r="AJ11" s="253">
        <f t="shared" ref="AJ11" si="136">W11-SUM(AC11:AH11)</f>
        <v>0</v>
      </c>
      <c r="AK11" s="253">
        <f t="shared" ref="AK11" si="137">IF(I11-T11&lt;0,0,(I11-T11)*G11)/75</f>
        <v>0</v>
      </c>
      <c r="AL11" s="253">
        <f t="shared" ref="AL11" si="138">IF(L11=0,0,G11*L11*I11-PI()*(H11/1000)*(H11/1000)/4*G11+AO11)</f>
        <v>38.766793051495256</v>
      </c>
      <c r="AM11" s="241">
        <f t="shared" ref="AM11" si="139">IF(L11&lt;1.5,L11*G11*IF(H11&lt;=500,0.05,IF(H11&lt;=800,0.1,IF(H11&lt;=1200,0.15,IF(H11&gt;=1500,0.2)))),0)</f>
        <v>0.61450000000000005</v>
      </c>
      <c r="AN11" s="246">
        <f t="shared" ref="AN11" si="140">IF(L11&gt;=1.5,L11*G11*IF(H11&lt;=500,0.05,IF(H11&lt;=800,0.1,IF(H11&lt;=1200,0.15,IF(H11&gt;=1500,0.2)))),0)</f>
        <v>0</v>
      </c>
      <c r="AO11" s="253">
        <f>IF(R11=1,0.4*G11*L11,0)</f>
        <v>4.9160000000000004</v>
      </c>
      <c r="AP11" s="253">
        <f t="shared" ref="AP11" si="141">IF(AO11&lt;SUM(AF11:AH11),0,AO11)</f>
        <v>4.9160000000000004</v>
      </c>
      <c r="AQ11" s="253">
        <f t="shared" ref="AQ11" si="142">H11/1000+0.3</f>
        <v>0.7</v>
      </c>
      <c r="AR11" s="253">
        <f t="shared" ref="AR11" si="143">IF(D11&lt;&gt;"PROJETADA",0,AQ11*L11*G11-PI()*(H11/1000*H11/1000)/4*G11)</f>
        <v>7.0585930514952562</v>
      </c>
      <c r="AS11" s="253">
        <f t="shared" ref="AS11" si="144">IF(AR11&lt;SUM(AF11:AH11),0,AR11)</f>
        <v>7.0585930514952562</v>
      </c>
      <c r="AT11" s="253">
        <f t="shared" ref="AT11" si="145">IF(P11="ASFALTO",0.15*G11*L11,0)</f>
        <v>1.8434999999999997</v>
      </c>
      <c r="AU11" s="253">
        <f>AT11</f>
        <v>1.8434999999999997</v>
      </c>
      <c r="AV11" s="253">
        <f t="shared" ref="AV11" si="146">IF(P11="ASFALTO",0.03*G11*L11,0)</f>
        <v>0.36869999999999997</v>
      </c>
      <c r="AW11" s="253">
        <f t="shared" ref="AW11" si="147">AL11-AO11-SUM(AM11:AN11)-AT11-AU11-AR11</f>
        <v>22.490700000000004</v>
      </c>
      <c r="AX11" s="253">
        <f>SUM(AF11:AH11)-AO11-AT11-AR11</f>
        <v>-13.818093051495257</v>
      </c>
      <c r="AY11" s="253">
        <f t="shared" ref="AY11" si="148">SMALL(AW11:AX11,1)</f>
        <v>-13.818093051495257</v>
      </c>
      <c r="AZ11" s="253">
        <f t="shared" ref="AZ11" si="149">AW11-AY11</f>
        <v>36.308793051495257</v>
      </c>
      <c r="BA11" s="253">
        <f t="shared" si="85"/>
        <v>19.392653777700623</v>
      </c>
      <c r="BB11" s="253">
        <f t="shared" ref="BB11" si="150">AZ11-BA11</f>
        <v>16.916139273794634</v>
      </c>
      <c r="BC11" s="253"/>
      <c r="BD11" s="253">
        <f t="shared" si="38"/>
        <v>0.27038000000000001</v>
      </c>
      <c r="BE11" s="496">
        <f>IF(H11=400,I11,0)</f>
        <v>2.88</v>
      </c>
      <c r="BF11" s="498">
        <f t="shared" ref="BF11" si="151">IF(BE11&lt;=1.75,G11*IF(D11="PROJETADA",1,0),0)</f>
        <v>0</v>
      </c>
      <c r="BG11" s="498">
        <f t="shared" ref="BG11" si="152">IF(AND(BE11&lt;=3,BE11&gt;1.75),IF(D11="PROJETADA",1,0)*G11,0)</f>
        <v>12.29</v>
      </c>
      <c r="BH11" s="495" t="str">
        <f>VLOOKUP(A11,'BOCA DE LOBO'!C:I,7,0)</f>
        <v>BOCA DE LOBO PROJETADA DUPLA</v>
      </c>
      <c r="BI11" s="253">
        <f t="shared" si="42"/>
        <v>0</v>
      </c>
      <c r="BJ11" s="253">
        <f t="shared" si="43"/>
        <v>0</v>
      </c>
      <c r="BK11" s="253">
        <f t="shared" si="44"/>
        <v>0</v>
      </c>
      <c r="BL11" s="253">
        <f t="shared" si="45"/>
        <v>0</v>
      </c>
      <c r="BM11" s="253">
        <f t="shared" si="46"/>
        <v>0</v>
      </c>
      <c r="BN11" s="253">
        <f t="shared" si="47"/>
        <v>1</v>
      </c>
      <c r="BO11" s="253">
        <f t="shared" si="48"/>
        <v>0</v>
      </c>
      <c r="BP11" s="500"/>
      <c r="BQ11" s="496">
        <f>IF(L11&lt;=1.5,IF(I11+IF(R11=1,0.5,0)&lt;1.5,(I11+IF(R11=1,0.5,0))*G11*2,G11*2*1.5),0)</f>
        <v>36.869999999999997</v>
      </c>
      <c r="BR11" s="496">
        <f>IF(L11&lt;=1.5,IF(AND(I11+IF(R11=1,0.5,0)&lt;3,I11+IF(R11=1,0.5,0)&gt;1.5),(I11+IF(R11=1,0.5,0)-1.5)*G11*2,IF(I11+IF(R11=1,0.5,0)&gt;=3,(G11*2*1.5),0)),0)</f>
        <v>36.869999999999997</v>
      </c>
      <c r="BS11" s="496">
        <f>IF(L11&lt;=1.5,IF(AND(I11+IF(R11=1,0.5,0)&lt;4.5,I11+IF(R11=1,0.5,0)&gt;3),(I11+IF(R11=1,0.5,0)-3)*G11*2,IF(I11+IF(R11=1,0.5,0)&gt;=4.5,(G11*2*1.5),0)),0)</f>
        <v>9.3403999999999971</v>
      </c>
      <c r="BV11" s="502">
        <f t="shared" si="52"/>
        <v>23.347799999999996</v>
      </c>
      <c r="BW11" s="502">
        <f>IF(OR("BOCA DE LOBO EXISTENTE TRIPLA"=BH11,"BOCA DE LOBO EXISTENTE SIMPLES"=BH11,"BOCA DE LOBO EXISTENTE DUPLA"=BH11),0,IF("BOCA DE LOBO PROJETADA DUPLA"=BH11,(2.57+1)*(1.18+1),IF(OR("BOCA DE LOBO DUPLA EXISTENTE COM BOCA DE LOBO SIMPLES PROJETADA"=BH11,"BOCA DE LOBO SIMPLES EXISTENTE COM BOCA DE LOBO SIMPLES PROJETADA"=BH11),(1.18+1)*(1.18+0.5),IF(OR(BH11="BOCA DE LOBO DUPLA EXISTENTE COM BOCA DE LOBO DUPLA PROJETADA",BH11="BOCA DE LOBO SIMPLES EXISTENTE COM BOCA DE LOBO DUPLA PROJETADA"),(2.38+0.5)*(1.18+1),IF("BOCA DE LOBO PROJETADA TRIPLA"=BH11,(3.76+0.5*2)*(1.18+1),"X")))))</f>
        <v>7.7825999999999986</v>
      </c>
      <c r="BX11" s="502">
        <f t="shared" ref="BX11" si="153">IF(OR("BOCA DE LOBO EXISTENTE TRIPLA"=BH11,"BOCA DE LOBO EXISTENTE SIMPLES"=BH11,"BOCA DE LOBO EXISTENTE DUPLA"=BH11),0,IF("BOCA DE LOBO PROJETADA DUPLA"=BH11,(2.57)*(1.18),IF(OR("BOCA DE LOBO DUPLA EXISTENTE COM BOCA DE LOBO SIMPLES PROJETADA"=BH11,"BOCA DE LOBO SIMPLES EXISTENTE COM BOCA DE LOBO SIMPLES PROJETADA"=BH11),(1.18)*(1.18),IF(OR(BH11="BOCA DE LOBO DUPLA EXISTENTE COM BOCA DE LOBO DUPLA PROJETADA",BH11="BOCA DE LOBO SIMPLES EXISTENTE COM BOCA DE LOBO DUPLA PROJETADA"),(2.38)*(1.18),IF("BOCA DE LOBO PROJETADA TRIPLA"=BH11,(3.76)*(1.18),"X")))))</f>
        <v>3.0325999999999995</v>
      </c>
      <c r="BY11" s="502">
        <f t="shared" si="54"/>
        <v>2.5</v>
      </c>
      <c r="BZ11" s="502">
        <f t="shared" si="55"/>
        <v>0</v>
      </c>
      <c r="CA11" s="502">
        <f>IF(Y11&gt;0.4,BY11+0.4,Y11)</f>
        <v>2.9</v>
      </c>
      <c r="CB11" s="502">
        <f t="shared" si="57"/>
        <v>0</v>
      </c>
      <c r="CC11" s="502">
        <f t="shared" si="58"/>
        <v>0</v>
      </c>
      <c r="CD11" s="502">
        <f t="shared" si="59"/>
        <v>0</v>
      </c>
      <c r="CE11" s="502">
        <f t="shared" si="60"/>
        <v>11.673899999999998</v>
      </c>
      <c r="CF11" s="502">
        <f t="shared" si="61"/>
        <v>10.895639999999997</v>
      </c>
      <c r="CG11" s="502">
        <f t="shared" si="62"/>
        <v>0.77825999999999951</v>
      </c>
      <c r="CH11" s="502">
        <f t="shared" si="63"/>
        <v>0</v>
      </c>
      <c r="CI11" s="253">
        <f t="shared" si="64"/>
        <v>0.53549999999999998</v>
      </c>
      <c r="CJ11" s="502">
        <f t="shared" si="65"/>
        <v>13.239499999999996</v>
      </c>
      <c r="CK11" s="502">
        <f t="shared" si="66"/>
        <v>13.239499999999996</v>
      </c>
      <c r="CL11" s="502">
        <f t="shared" si="67"/>
        <v>0</v>
      </c>
      <c r="CM11" s="502">
        <f t="shared" si="68"/>
        <v>0.15565199999999998</v>
      </c>
      <c r="CN11" s="502">
        <f t="shared" si="69"/>
        <v>3.57</v>
      </c>
      <c r="CO11" s="502">
        <f t="shared" si="70"/>
        <v>3</v>
      </c>
      <c r="CP11" s="502">
        <f t="shared" si="71"/>
        <v>10.709999999999999</v>
      </c>
      <c r="CQ11" s="502">
        <f t="shared" si="72"/>
        <v>10.709999999999999</v>
      </c>
      <c r="CR11" s="220">
        <f t="shared" si="73"/>
        <v>0</v>
      </c>
      <c r="CS11" s="503">
        <f t="shared" si="74"/>
        <v>0</v>
      </c>
      <c r="CT11" s="503">
        <f t="shared" si="75"/>
        <v>0.33012999999999998</v>
      </c>
      <c r="CU11" s="504">
        <f t="shared" si="76"/>
        <v>13</v>
      </c>
      <c r="CV11" s="504">
        <f t="shared" si="77"/>
        <v>1.43895</v>
      </c>
      <c r="CW11" s="502">
        <f t="shared" si="78"/>
        <v>23.248199999999997</v>
      </c>
      <c r="CX11" s="253">
        <f t="shared" si="79"/>
        <v>3.57</v>
      </c>
      <c r="CY11" s="505">
        <f t="shared" si="80"/>
        <v>1.7849999999999999</v>
      </c>
      <c r="CZ11" s="502">
        <f t="shared" si="81"/>
        <v>0</v>
      </c>
    </row>
    <row r="12" spans="1:104" ht="13" x14ac:dyDescent="0.3">
      <c r="A12" s="222" t="str">
        <f>'BOCA DE LOBO'!A11</f>
        <v>RD-2</v>
      </c>
      <c r="B12" s="222"/>
      <c r="C12" s="222"/>
      <c r="D12" s="222"/>
      <c r="E12" s="223"/>
      <c r="F12" s="223"/>
      <c r="G12" s="223"/>
      <c r="H12" s="201"/>
      <c r="I12" s="201"/>
      <c r="J12" s="201"/>
      <c r="K12" s="201"/>
      <c r="L12" s="224"/>
      <c r="M12" s="225"/>
      <c r="N12" s="225"/>
      <c r="O12" s="225"/>
      <c r="P12" s="224"/>
      <c r="Q12" s="506"/>
      <c r="R12" s="506"/>
      <c r="S12" s="224"/>
      <c r="T12" s="224"/>
      <c r="U12" s="225"/>
      <c r="V12" s="226"/>
      <c r="W12" s="227"/>
      <c r="X12" s="227"/>
      <c r="Y12" s="227"/>
      <c r="Z12" s="227"/>
      <c r="AA12" s="227"/>
      <c r="AB12" s="228"/>
      <c r="AC12" s="229"/>
      <c r="AD12" s="229"/>
      <c r="AE12" s="229"/>
      <c r="AF12" s="229"/>
      <c r="AG12" s="229"/>
      <c r="AH12" s="229"/>
      <c r="AI12" s="217"/>
      <c r="AJ12" s="201"/>
      <c r="AK12" s="201"/>
      <c r="AL12" s="201"/>
      <c r="AM12" s="201"/>
      <c r="AN12" s="213"/>
      <c r="AO12" s="201"/>
      <c r="AP12" s="201"/>
      <c r="AQ12" s="201"/>
      <c r="AR12" s="201"/>
      <c r="AS12" s="201"/>
      <c r="AT12" s="201"/>
      <c r="AU12" s="201"/>
      <c r="AV12" s="201"/>
      <c r="AW12" s="201"/>
      <c r="AX12" s="201"/>
      <c r="AY12" s="201"/>
      <c r="AZ12" s="201"/>
      <c r="BA12" s="201"/>
      <c r="BB12" s="201"/>
      <c r="BC12" s="201"/>
      <c r="BD12" s="201"/>
      <c r="BE12" s="231"/>
      <c r="BF12" s="198"/>
      <c r="BG12" s="198"/>
      <c r="BH12" s="488"/>
      <c r="BI12" s="234"/>
      <c r="BJ12" s="234"/>
      <c r="BK12" s="234"/>
      <c r="BL12" s="234"/>
      <c r="BM12" s="234"/>
      <c r="BN12" s="489"/>
      <c r="BO12" s="490"/>
      <c r="BP12" s="491"/>
      <c r="BQ12" s="198"/>
      <c r="BR12" s="198"/>
      <c r="BS12" s="198"/>
      <c r="BV12" s="220"/>
      <c r="BW12" s="220"/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0"/>
      <c r="CM12" s="220"/>
      <c r="CN12" s="220"/>
      <c r="CO12" s="220"/>
      <c r="CP12" s="220"/>
      <c r="CQ12" s="220"/>
      <c r="CR12" s="220"/>
      <c r="CS12" s="492"/>
      <c r="CT12" s="492"/>
      <c r="CU12" s="492"/>
      <c r="CV12" s="492"/>
      <c r="CW12" s="220"/>
      <c r="CX12" s="201"/>
      <c r="CY12" s="208"/>
    </row>
    <row r="13" spans="1:104" s="501" customFormat="1" ht="25" x14ac:dyDescent="0.25">
      <c r="A13" s="291" t="str">
        <f>'BOCA DE LOBO'!C12</f>
        <v>BL8-&gt;PV1.1</v>
      </c>
      <c r="B13" s="291" t="str">
        <f>'BOCA DE LOBO'!A12</f>
        <v>PV1.1</v>
      </c>
      <c r="C13" s="413" t="str">
        <f>VLOOKUP(A13,'BOCA DE LOBO'!$C$1:$Q$76,3,0)</f>
        <v>PROJETADO</v>
      </c>
      <c r="D13" s="291" t="str">
        <f>VLOOKUP(A13,'BOCA DE LOBO'!$C$1:$Q$76,10,0)</f>
        <v>EXISTENTE</v>
      </c>
      <c r="E13" s="413">
        <f t="shared" ref="E13:E16" si="154">IF(F13-G13*4%&lt;2.5,F13-G13*4%,2.5)</f>
        <v>2.5</v>
      </c>
      <c r="F13" s="291">
        <f>VLOOKUP(A13,'BOCA DE LOBO'!$C$1:$Q$76,2,0)</f>
        <v>4.4000000000000004</v>
      </c>
      <c r="G13" s="291">
        <f>VLOOKUP(A13,'BOCA DE LOBO'!$C$1:$Q$76,4,0)</f>
        <v>9.9600000000000009</v>
      </c>
      <c r="H13" s="238">
        <v>400</v>
      </c>
      <c r="I13" s="493">
        <f t="shared" ref="I13:I16" si="155">IF(H13=400,((E13+F13)/2)+0.08+U13,IF(H13=500,((E13+F13)/2)+0.1+U13,IF(H13=600,((E13+F13)/2)+0.12+U13,IF(H13=800,((E13+F13)/2)+0.16+U13,IF(H13=1000,((E13+F13)/2)+0.2+U13,IF(H13=1200,((E13+F13)/2)+0.24+U13,IF(H13=1500,((E13+F13)/2)+0.3+U13,IF(H13&gt;1500,((E13+F13)/2)+0.4+U13))))))))</f>
        <v>3.58</v>
      </c>
      <c r="J13" s="241">
        <f t="shared" ref="J13" si="156">IF(L13=0,0,IF(I13&gt;=1.25,G13*I13/20,0))</f>
        <v>0</v>
      </c>
      <c r="K13" s="494">
        <v>0</v>
      </c>
      <c r="L13" s="253">
        <f t="shared" ref="L13" si="157">IF(D13&lt;&gt;"PROJETADA",0,IF(H13=400,1,0)+IF(H13=500,1.2,0)+IF(H13=600,1.4,0)+IF(H13=800,1.7,0)+IF(H13=1000,2,0)+IF(H13=1200,2.2,0)+IF(H13=1500,2.6,0)+IF(H13=1650,3,0)+IF(H13=1800,3.2,0)+IF(H13=2000,3.4,0)+IF(H13=2200,3.6,0)+IF(H13=2400,3.8,0)+IF(H13=2600,4,0)+IF(H13=3000,4.4,0))</f>
        <v>0</v>
      </c>
      <c r="M13" s="253">
        <f t="shared" ref="M13" si="158">2*K13*I13+L13</f>
        <v>0</v>
      </c>
      <c r="N13" s="253">
        <f t="shared" ref="N13" si="159">IF(OR(D13="EXISTENTE",D13="AMPLIADA"),400,0)</f>
        <v>400</v>
      </c>
      <c r="O13" s="253">
        <f t="shared" ref="O13" si="160">IF(P13="TERRENO NATURAL",0,M13*G13)</f>
        <v>0</v>
      </c>
      <c r="P13" s="495" t="str">
        <f>VLOOKUP(B13,'Planilha Hidráulica'!$AE$10:$AQ$39,13,0)</f>
        <v>ASFALTO</v>
      </c>
      <c r="Q13" s="495" t="s">
        <v>2419</v>
      </c>
      <c r="R13" s="495"/>
      <c r="S13" s="495">
        <f>VLOOKUP(Q13,Quantitativos!P:R,3,0)</f>
        <v>5</v>
      </c>
      <c r="T13" s="495">
        <f>VLOOKUP(Q13,Quantitativos!P:S,4,0)</f>
        <v>5</v>
      </c>
      <c r="U13" s="253">
        <f t="shared" ref="U13" si="161">IF(H13=400,0.05,0)+IF(H13=500,0.05,0)+IF(H13=600,0.1,0)+IF(H13=800,0.1,0)+IF(H13=1000,0.15,0)+IF(H13=1200,0.15,0)+IF(H13=1500,0.2,0)+IF(H13=1650,0.2,0)+IF(H13=1800,0.2,0)+IF(H13=2000,0.25,0)+IF(H13=2200,0.25,0)+IF(H13=2400,0.25,0)+IF(H13=2600,0.25,0)+IF(H13=3000,0.25,0)</f>
        <v>0.05</v>
      </c>
      <c r="V13" s="246">
        <f>IF(L13=0,0,IF("EXISTENTE"=A13,0,IFERROR((PI()*(N13/1000)*(N13/1000)/4)*G13,0)))</f>
        <v>0</v>
      </c>
      <c r="W13" s="246">
        <f t="shared" ref="W13" si="162">IF(O13=0,0,((((K13*I13)*I13)/2)*2+L13*I13)*G13-V13+AO13)</f>
        <v>0</v>
      </c>
      <c r="X13" s="247">
        <f t="shared" ref="X13" si="163">W13-SUM(AC13:AJ13)</f>
        <v>0</v>
      </c>
      <c r="Y13" s="247">
        <f t="shared" ref="Y13" si="164">IF(R13=1,IF(N13=0,I13+0.4,0.4),0)</f>
        <v>0</v>
      </c>
      <c r="Z13" s="247">
        <f t="shared" ref="Z13" si="165">IF(Y13&gt;0.5,0,IF(S13&lt;I13,S13,I13))</f>
        <v>3.58</v>
      </c>
      <c r="AA13" s="247">
        <f t="shared" ref="AA13" si="166">I13-Z13</f>
        <v>0</v>
      </c>
      <c r="AB13" s="496">
        <f t="shared" ref="AB13" si="167">IF(P13="ASFALTO",IF(D13="PROJETADA",O13,IF(D13="EXISTENTE",0,O13/2)),0)</f>
        <v>0</v>
      </c>
      <c r="AC13" s="251">
        <f t="shared" ref="AC13" si="168">IF(Y13=0,0,IF(Y13=0.4,IF(L13&lt;=1.5,IF(Z13+0.4&gt;=1.5,0,L13*G13*0.4),0),IF(L13&lt;=1.5,IF(Y13&gt;=1.5,M13*G13*1.5,L13*G13*(Y13)),0)+IF(S13&lt;I13+0.4,0,IF(AND(Y13&lt;=1.5,L13&lt;=1.5),-V13,0))))</f>
        <v>0</v>
      </c>
      <c r="AD13" s="251">
        <f t="shared" ref="AD13" si="169">IF(Y13=0,0,IF(Y13=0.4,IF(L13&lt;=1.5,IF(OR(Z13+0.4&gt;=3,Z13+0.4&lt;1.5),0,L13*G13*0.4),0),IF(IF(L13&lt;=1.5,IF(Y13&gt;=3,M13*G13*1.5,L13*G13*(Y13-1.5)),0)&lt;0,0,IF(L13&lt;=1.5,IF(Y13&gt;=3,M13*G13*1.5,L13*G13*(Y13-1.5)),0))+IF(S13&lt;I13+0.4,0,IF(AND(Y13&lt;=3,L13&lt;=1.5),-V13,0))))</f>
        <v>0</v>
      </c>
      <c r="AE13" s="251">
        <f t="shared" ref="AE13" si="170">IF(Y13=0,0,IF(Y13=0.4,IF(L13&lt;=1.5,IF(OR(Z13+0.4&gt;=4.5,Z13+0.4&lt;3),0,L13*G13*0.4),0),IF(IF(L13&lt;=1.5,IF(Y13&gt;=4.5,M13*G13*1.5,L13*G13*(Y13-3)),0)&lt;0,0,IF(L13&lt;=1.5,IF(Y13&gt;=4.5,M13*G13*1.5,L13*G13*(Y13-3)),0))+IF(S13&lt;I13+0.4,0,IF(AND(Y13&lt;=4.5,L13&lt;=1.5),-V13,0))))</f>
        <v>0</v>
      </c>
      <c r="AF13" s="251">
        <f t="shared" ref="AF13" si="171">IF(L13&lt;=1.5,IF(Z13&gt;=1.5,M13*G13*1.5,L13*G13*Z13),0)+IF(S13&lt;I13,0,IF(AND(Z13&lt;=1.5,L13&lt;=1.5),-V13,0))</f>
        <v>0</v>
      </c>
      <c r="AG13" s="251">
        <f t="shared" ref="AG13" si="172">IF(IF(L13&lt;=1.5,IF(Z13&gt;=3,M13*G13*1.5,L13*G13*(Z13-1.5)),0)&lt;0,0,IF(L13&lt;=1.5,IF(Z13&gt;=3,M13*G13*1.5,L13*G13*(Z13-1.5)),0))+IF(S13&lt;I13,0,IF(AND(Z13&lt;=3,L13&lt;=1.5),-V13,0))</f>
        <v>0</v>
      </c>
      <c r="AH13" s="251">
        <f t="shared" ref="AH13" si="173">IF(IF(L13&lt;=1.5,IF(Z13&gt;=4.5,M13*G13*1.5,L13*G13*(Z13-3)),0)&lt;0,0,IF(L13&lt;=1.5,IF(Z13&gt;=4.5,M13*G13*1.5,L13*G13*(Z13-3)),0))+IF(S13&lt;I13,0,IF(AND(Z13&lt;=4.5,Z13&gt;3,L13&lt;=1.5),-V13,0))</f>
        <v>0</v>
      </c>
      <c r="AI13" s="497" t="str">
        <f t="shared" ref="AI13" si="174">IF(I13&gt;S13,"SIM","NÃO")</f>
        <v>NÃO</v>
      </c>
      <c r="AJ13" s="253">
        <f t="shared" ref="AJ13" si="175">W13-SUM(AC13:AH13)</f>
        <v>0</v>
      </c>
      <c r="AK13" s="253">
        <f t="shared" ref="AK13" si="176">IF(I13-T13&lt;0,0,(I13-T13)*G13)/75</f>
        <v>0</v>
      </c>
      <c r="AL13" s="253">
        <f t="shared" ref="AL13" si="177">IF(L13=0,0,G13*L13*I13-PI()*(H13/1000)*(H13/1000)/4*G13+AO13)</f>
        <v>0</v>
      </c>
      <c r="AM13" s="241">
        <f t="shared" ref="AM13" si="178">IF(L13&lt;1.5,L13*G13*IF(H13&lt;=500,0.05,IF(H13&lt;=800,0.1,IF(H13&lt;=1200,0.15,IF(H13&gt;=1500,0.2)))),0)</f>
        <v>0</v>
      </c>
      <c r="AN13" s="246">
        <f t="shared" ref="AN13" si="179">IF(L13&gt;=1.5,L13*G13*IF(H13&lt;=500,0.05,IF(H13&lt;=800,0.1,IF(H13&lt;=1200,0.15,IF(H13&gt;=1500,0.2)))),0)</f>
        <v>0</v>
      </c>
      <c r="AO13" s="253">
        <f t="shared" ref="AO13" si="180">IF(R13=1,0.4*G13*L13,0)</f>
        <v>0</v>
      </c>
      <c r="AP13" s="253">
        <f t="shared" ref="AP13" si="181">IF(AO13&lt;SUM(AF13:AH13),0,AO13)</f>
        <v>0</v>
      </c>
      <c r="AQ13" s="253">
        <f t="shared" ref="AQ13" si="182">H13/1000+0.3</f>
        <v>0.7</v>
      </c>
      <c r="AR13" s="253">
        <f t="shared" ref="AR13" si="183">IF(D13&lt;&gt;"PROJETADA",0,AQ13*L13*G13-PI()*(H13/1000*H13/1000)/4*G13)</f>
        <v>0</v>
      </c>
      <c r="AS13" s="253">
        <f t="shared" ref="AS13" si="184">IF(AR13&lt;SUM(AF13:AH13),0,AR13)</f>
        <v>0</v>
      </c>
      <c r="AT13" s="253">
        <f t="shared" ref="AT13" si="185">IF(P13="ASFALTO",0.15*G13*L13,0)</f>
        <v>0</v>
      </c>
      <c r="AU13" s="253">
        <f t="shared" ref="AU13" si="186">AT13</f>
        <v>0</v>
      </c>
      <c r="AV13" s="253">
        <f t="shared" ref="AV13" si="187">IF(P13="ASFALTO",0.03*G13*L13,0)</f>
        <v>0</v>
      </c>
      <c r="AW13" s="253">
        <f t="shared" ref="AW13" si="188">AL13-AO13-SUM(AM13:AN13)-AT13-AU13-AR13</f>
        <v>0</v>
      </c>
      <c r="AX13" s="253">
        <f t="shared" ref="AX13" si="189">SUM(AF13:AH13)-AO13-AT13-AR13</f>
        <v>0</v>
      </c>
      <c r="AY13" s="253">
        <f t="shared" ref="AY13" si="190">SMALL(AW13:AX13,1)</f>
        <v>0</v>
      </c>
      <c r="AZ13" s="253">
        <f t="shared" ref="AZ13" si="191">AW13-AY13</f>
        <v>0</v>
      </c>
      <c r="BA13" s="253">
        <f t="shared" ref="BA13:BA16" si="192">IF($AZ$69&gt;$BA$71,($BA$71/$AZ$69)*AZ13,AZ13)</f>
        <v>0</v>
      </c>
      <c r="BB13" s="253">
        <f t="shared" ref="BB13" si="193">AZ13-BA13</f>
        <v>0</v>
      </c>
      <c r="BC13" s="253"/>
      <c r="BD13" s="253">
        <f t="shared" ref="BD13" si="194">IF(AO13+AT13&gt;0,4%*(AO13+AT13),0)</f>
        <v>0</v>
      </c>
      <c r="BE13" s="496">
        <f t="shared" ref="BE13" si="195">IF(H13=400,I13,0)</f>
        <v>3.58</v>
      </c>
      <c r="BF13" s="498">
        <f t="shared" ref="BF13" si="196">IF(BE13&lt;=1.75,G13*IF(D13="PROJETADA",1,0),0)</f>
        <v>0</v>
      </c>
      <c r="BG13" s="498">
        <f t="shared" ref="BG13" si="197">IF(AND(BE13&lt;=3,BE13&gt;1.75),IF(D13="PROJETADA",1,0)*G13,0)</f>
        <v>0</v>
      </c>
      <c r="BH13" s="495" t="str">
        <f>VLOOKUP(A13,'BOCA DE LOBO'!C:I,7,0)</f>
        <v>BOCA DE LOBO EXISTENTE DUPLA</v>
      </c>
      <c r="BI13" s="253">
        <f>IF(BH13=$BI$4,1,0)</f>
        <v>0</v>
      </c>
      <c r="BJ13" s="253">
        <f>IF(BH13=$BJ$4,1,0)</f>
        <v>0</v>
      </c>
      <c r="BK13" s="253">
        <f>IF(BH13=$BK$4,1,0)</f>
        <v>0</v>
      </c>
      <c r="BL13" s="253">
        <f>IF(BH13=$BL$4,1,0)</f>
        <v>0</v>
      </c>
      <c r="BM13" s="253">
        <f>IF(BH13=$BM$4,1,0)</f>
        <v>0</v>
      </c>
      <c r="BN13" s="253">
        <f>IF(BH13=$BN$4,1,0)</f>
        <v>0</v>
      </c>
      <c r="BO13" s="253">
        <f>IF(BH13=$BO$4,1,0)</f>
        <v>0</v>
      </c>
      <c r="BP13" s="500"/>
      <c r="BQ13" s="496">
        <f t="shared" ref="BQ13" si="198">IF(L13&lt;=1.5,IF(I13+IF(R13=1,0.5,0)&lt;1.5,(I13+IF(R13=1,0.5,0))*G13*2,G13*2*1.5),0)</f>
        <v>29.880000000000003</v>
      </c>
      <c r="BR13" s="496">
        <f t="shared" ref="BR13" si="199">IF(L13&lt;=1.5,IF(AND(I13+IF(R13=1,0.5,0)&lt;3,I13+IF(R13=1,0.5,0)&gt;1.5),(I13+IF(R13=1,0.5,0)-1.5)*G13*2,IF(I13+IF(R13=1,0.5,0)&gt;=3,(G13*2*1.5),0)),0)</f>
        <v>29.880000000000003</v>
      </c>
      <c r="BS13" s="496">
        <f t="shared" ref="BS13" si="200">IF(L13&lt;=1.5,IF(AND(I13+IF(R13=1,0.5,0)&lt;4.5,I13+IF(R13=1,0.5,0)&gt;3),(I13+IF(R13=1,0.5,0)-3)*G13*2,IF(I13+IF(R13=1,0.5,0)&gt;=4.5,(G13*2*1.5),0)),0)</f>
        <v>11.553600000000003</v>
      </c>
      <c r="BV13" s="502">
        <f t="shared" ref="BV13" si="201">IF(OR("BOCA DE LOBO EXISTENTE TRIPLA"=BH13,"BOCA DE LOBO EXISTENTE SIMPLES"=BH13,"BOCA DE LOBO EXISTENTE DUPLA"=BH13),0,IF("BOCA DE LOBO PROJETADA DUPLA"=BH13,(2.57+1)*(1.18+1),IF(OR("BOCA DE LOBO DUPLA EXISTENTE COM BOCA DE LOBO SIMPLES PROJETADA"=BH13,"BOCA DE LOBO SIMPLES EXISTENTE COM BOCA DE LOBO SIMPLES PROJETADA"=BH13),(1.18+0.5)*(1.18+1),IF(OR(BH13="BOCA DE LOBO DUPLA EXISTENTE COM BOCA DE LOBO DUPLA PROJETADA",BH13="BOCA DE LOBO SIMPLES EXISTENTE COM BOCA DE LOBO DUPLA PROJETADA"),(2.38+0.5)*(1.18+1),IF("BOCA DE LOBO PROJETADA TRIPLA"=BH13,(3.76+1)*(1.18+1),"X")))))*(E13+IF(CA13&gt;0,0.5,0))</f>
        <v>0</v>
      </c>
      <c r="BW13" s="502">
        <f t="shared" ref="BW13" si="202">IF(OR("BOCA DE LOBO EXISTENTE TRIPLA"=BH13,"BOCA DE LOBO EXISTENTE SIMPLES"=BH13,"BOCA DE LOBO EXISTENTE DUPLA"=BH13),0,IF("BOCA DE LOBO PROJETADA DUPLA"=BH13,(2.57+1)*(1.18+1),IF(OR("BOCA DE LOBO DUPLA EXISTENTE COM BOCA DE LOBO SIMPLES PROJETADA"=BH13,"BOCA DE LOBO SIMPLES EXISTENTE COM BOCA DE LOBO SIMPLES PROJETADA"=BH13),(1.18+1)*(1.18+0.5),IF(OR(BH13="BOCA DE LOBO DUPLA EXISTENTE COM BOCA DE LOBO DUPLA PROJETADA",BH13="BOCA DE LOBO SIMPLES EXISTENTE COM BOCA DE LOBO DUPLA PROJETADA"),(2.38+0.5)*(1.18+1),IF("BOCA DE LOBO PROJETADA TRIPLA"=BH13,(3.76+0.5*2)*(1.18+1),"X")))))</f>
        <v>0</v>
      </c>
      <c r="BX13" s="502">
        <f t="shared" ref="BX13" si="203">IF(OR("BOCA DE LOBO EXISTENTE TRIPLA"=BH13,"BOCA DE LOBO EXISTENTE SIMPLES"=BH13,"BOCA DE LOBO EXISTENTE DUPLA"=BH13),0,IF("BOCA DE LOBO PROJETADA DUPLA"=BH13,(2.57)*(1.18),IF(OR("BOCA DE LOBO DUPLA EXISTENTE COM BOCA DE LOBO SIMPLES PROJETADA"=BH13,"BOCA DE LOBO SIMPLES EXISTENTE COM BOCA DE LOBO SIMPLES PROJETADA"=BH13),(1.18)*(1.18),IF(OR(BH13="BOCA DE LOBO DUPLA EXISTENTE COM BOCA DE LOBO DUPLA PROJETADA",BH13="BOCA DE LOBO SIMPLES EXISTENTE COM BOCA DE LOBO DUPLA PROJETADA"),(2.38)*(1.18),IF("BOCA DE LOBO PROJETADA TRIPLA"=BH13,(3.76)*(1.18),"X")))))</f>
        <v>0</v>
      </c>
      <c r="BY13" s="502">
        <f t="shared" ref="BY13" si="204">E13</f>
        <v>2.5</v>
      </c>
      <c r="BZ13" s="502">
        <f t="shared" ref="BZ13" si="205">IF(Y13&gt;0.5,0,IF(S13&lt;E13,S13,E13))</f>
        <v>2.5</v>
      </c>
      <c r="CA13" s="502">
        <f t="shared" ref="CA13" si="206">IF(Y13&gt;0.4,BY13+0.4,Y13)</f>
        <v>0</v>
      </c>
      <c r="CB13" s="502">
        <f t="shared" ref="CB13" si="207">IF(S13&gt;E13,0,E13-S13)</f>
        <v>0</v>
      </c>
      <c r="CC13" s="502">
        <f t="shared" ref="CC13" si="208">IF(BZ13&gt;1.5,BW13*1.5,BW13*BZ13)</f>
        <v>0</v>
      </c>
      <c r="CD13" s="502">
        <f t="shared" ref="CD13" si="209">IF(BZ13&gt;1.5,BW13*(BZ13-1.5),0)</f>
        <v>0</v>
      </c>
      <c r="CE13" s="502">
        <f t="shared" ref="CE13" si="210">IF(CA13=0.4,IF(BZ13+CA13&gt;1.5,0,CA13*BW13),IF(CA13&gt;1.5,BW13*1.5,BW13*CA13))</f>
        <v>0</v>
      </c>
      <c r="CF13" s="502">
        <f t="shared" ref="CF13" si="211">IF(CA13=0.4,IF(BZ13+CA13&lt;=1.5,0,CA13*BW13),IF(CA13&gt;1.5,BW13*(CA13-1.5),0))</f>
        <v>0</v>
      </c>
      <c r="CG13" s="502">
        <f t="shared" ref="CG13" si="212">BV13-SUM(CC13:CF13)</f>
        <v>0</v>
      </c>
      <c r="CH13" s="502">
        <f t="shared" ref="CH13" si="213">SUM(CC13:CG13)-BV13</f>
        <v>0</v>
      </c>
      <c r="CI13" s="253">
        <f t="shared" ref="CI13" si="214">IF(OR("BOCA DE LOBO EXISTENTE TRIPLA"=BH13,"BOCA DE LOBO EXISTENTE SIMPLES"=BH13,"BOCA DE LOBO EXISTENTE DUPLA"=BH13),0,IF("BOCA DE LOBO PROJETADA DUPLA"=BH13,(2.57+1)*(0.5),IF(OR("BOCA DE LOBO DUPLA EXISTENTE COM BOCA DE LOBO SIMPLES PROJETADA"=BH13,"BOCA DE LOBO SIMPLES EXISTENTE COM BOCA DE LOBO SIMPLES PROJETADA"=BH13),(1.18+0.5)*(0.5),IF(OR(BH13="BOCA DE LOBO DUPLA EXISTENTE COM BOCA DE LOBO DUPLA PROJETADA",BH13="BOCA DE LOBO SIMPLES EXISTENTE COM BOCA DE LOBO DUPLA PROJETADA"),(2.38+0.5)*(0.5),IF("BOCA DE LOBO PROJETADA TRIPLA"=BH13,(3.76+1)*(0.5),"X")))))*0.3</f>
        <v>0</v>
      </c>
      <c r="CJ13" s="502">
        <f t="shared" ref="CJ13" si="215">(BW13-BX13)*(BY13+IF(CA13&gt;=0.4,0.4,0))-CI13</f>
        <v>0</v>
      </c>
      <c r="CK13" s="502">
        <f>IF($CK$71&gt;$CJ$69,CJ13,CJ13*$CK$71/$CJ$69)</f>
        <v>0</v>
      </c>
      <c r="CL13" s="502">
        <f t="shared" ref="CL13" si="216">CJ13-CK13</f>
        <v>0</v>
      </c>
      <c r="CM13" s="502">
        <f t="shared" ref="CM13" si="217">IF(CA13&gt;0,0.5*4%*BW13,0)</f>
        <v>0</v>
      </c>
      <c r="CN13" s="502">
        <f t="shared" ref="CN13" si="218">IF(OR("BOCA DE LOBO EXISTENTE TRIPLA"=BH13,"BOCA DE LOBO EXISTENTE SIMPLES"=BH13,"BOCA DE LOBO EXISTENTE DUPLA"=BH13),0,IF("BOCA DE LOBO PROJETADA DUPLA"=BH13,(2.57+1),IF(OR("BOCA DE LOBO DUPLA EXISTENTE COM BOCA DE LOBO SIMPLES PROJETADA"=BH13,"BOCA DE LOBO SIMPLES EXISTENTE COM BOCA DE LOBO SIMPLES PROJETADA"=BH13),(1.18+0.5),IF(OR(BH13="BOCA DE LOBO DUPLA EXISTENTE COM BOCA DE LOBO DUPLA PROJETADA",BH13="BOCA DE LOBO SIMPLES EXISTENTE COM BOCA DE LOBO DUPLA PROJETADA"),(2.38+0.5),IF("BOCA DE LOBO PROJETADA TRIPLA"=BH13,(3.76+0.5*2),"X")))))</f>
        <v>0</v>
      </c>
      <c r="CO13" s="502">
        <f t="shared" ref="CO13" si="219">IF(CA13&gt;0,BY13+0.5,BY13)</f>
        <v>2.5</v>
      </c>
      <c r="CP13" s="502">
        <f t="shared" ref="CP13" si="220">IF(CO13&gt;=1.5,CN13*1.5*2,CN13*CO13*2)</f>
        <v>0</v>
      </c>
      <c r="CQ13" s="502">
        <f t="shared" ref="CQ13" si="221">IF(CO13&lt;=1.5,0,IF(CO13&gt;=3,CN13*1.5*2,CN13*(CO13-1.5)*2))</f>
        <v>0</v>
      </c>
      <c r="CR13" s="220">
        <f t="shared" ref="CR13" si="222">IF(D13="AMPLIADA",0.55*(E13-0.5),0)</f>
        <v>0</v>
      </c>
      <c r="CS13" s="503">
        <f t="shared" ref="CS13" si="223">IF(OR("BOCA DE LOBO EXISTENTE TRIPLA"=BH13,"BOCA DE LOBO EXISTENTE SIMPLES"=BH13,"BOCA DE LOBO EXISTENTE DUPLA"=BH13),0,IF("BOCA DE LOBO PROJETADA DUPLA"=BH13,(0),IF(OR("BOCA DE LOBO DUPLA EXISTENTE COM BOCA DE LOBO SIMPLES PROJETADA"=BH13,"BOCA DE LOBO SIMPLES EXISTENTE COM BOCA DE LOBO SIMPLES PROJETADA"=BH13),(0.8*0.15*0.17),IF(OR(BH13="BOCA DE LOBO DUPLA EXISTENTE COM BOCA DE LOBO DUPLA PROJETADA",BH13="BOCA DE LOBO SIMPLES EXISTENTE COM BOCA DE LOBO DUPLA PROJETADA"),(0.8*0.15*0.17),IF("BOCA DE LOBO PROJETADA TRIPLA"=BH13,(0),"X")))))*E13</f>
        <v>0</v>
      </c>
      <c r="CT13" s="503">
        <f t="shared" ref="CT13" si="224">IF(OR("BOCA DE LOBO EXISTENTE TRIPLA"=BH13,"BOCA DE LOBO EXISTENTE SIMPLES"=BH13,"BOCA DE LOBO EXISTENTE DUPLA"=BH13),0,IF("BOCA DE LOBO PROJETADA DUPLA"=BH13,(1.18*2.57*0.05),IF(OR("BOCA DE LOBO DUPLA EXISTENTE COM BOCA DE LOBO SIMPLES PROJETADA"=BH13,"BOCA DE LOBO SIMPLES EXISTENTE COM BOCA DE LOBO SIMPLES PROJETADA"=BH13),(1.19*1.18*0.05),IF(OR(BH13="BOCA DE LOBO DUPLA EXISTENTE COM BOCA DE LOBO DUPLA PROJETADA",BH13="BOCA DE LOBO SIMPLES EXISTENTE COM BOCA DE LOBO DUPLA PROJETADA"),(2.38*1.18*0.056),IF("BOCA DE LOBO PROJETADA TRIPLA"=BH13,(3.76*1.18*0.05),"X")))))+CI13/3</f>
        <v>0</v>
      </c>
      <c r="CU13" s="504">
        <f t="shared" ref="CU13" si="225">IF(OR("BOCA DE LOBO EXISTENTE TRIPLA"=BH13,"BOCA DE LOBO EXISTENTE SIMPLES"=BH13,"BOCA DE LOBO EXISTENTE DUPLA"=BH13),0,IF("BOCA DE LOBO PROJETADA DUPLA"=BH13,(1*4+0.6*2),IF(OR("BOCA DE LOBO DUPLA EXISTENTE COM BOCA DE LOBO SIMPLES PROJETADA"=BH13,"BOCA DE LOBO SIMPLES EXISTENTE COM BOCA DE LOBO SIMPLES PROJETADA"=BH13),(1*2+0.6),IF(OR(BH13="BOCA DE LOBO DUPLA EXISTENTE COM BOCA DE LOBO DUPLA PROJETADA",BH13="BOCA DE LOBO SIMPLES EXISTENTE COM BOCA DE LOBO DUPLA PROJETADA"),(1*4+0.6),IF("BOCA DE LOBO PROJETADA TRIPLA"=BH13,(6*1+0.6*2),"X")))))*E13</f>
        <v>0</v>
      </c>
      <c r="CV13" s="504">
        <f t="shared" ref="CV13" si="226">IF(OR("BOCA DE LOBO EXISTENTE TRIPLA"=BH13,"BOCA DE LOBO EXISTENTE SIMPLES"=BH13,"BOCA DE LOBO EXISTENTE DUPLA"=BH13),0,IF("BOCA DE LOBO PROJETADA DUPLA"=BH13,(12*E13*0.17*0.15+1*0.17*0.15*5+1.09*0.6*0.07*2+2.57*1.18*0.15),IF(OR("BOCA DE LOBO DUPLA EXISTENTE COM BOCA DE LOBO SIMPLES PROJETADA"=BH13,"BOCA DE LOBO SIMPLES EXISTENTE COM BOCA DE LOBO SIMPLES PROJETADA"=BH13),(8*E13*0.17*0.15+1*0.17*0.15*4+1.09*0.6*0.07*1+1.38*1.18*0.15),IF(OR(BH13="BOCA DE LOBO DUPLA EXISTENTE COM BOCA DE LOBO DUPLA PROJETADA",BH13="BOCA DE LOBO SIMPLES EXISTENTE COM BOCA DE LOBO DUPLA PROJETADA"),(7*E13*0.17*0.15+1*0.17*0.15*5+1.09*0.6*0.07*2+2.38*1.18*0.15),IF("BOCA DE LOBO PROJETADA TRIPLA"=BH13,(15*E13*0.17*0.15+1*0.17*0.15*7+1.09*0.6*0.07*3+3.76*1.18*0.15),"X")))))</f>
        <v>0</v>
      </c>
      <c r="CW13" s="502">
        <f t="shared" ref="CW13" si="227">IF(OR("BOCA DE LOBO EXISTENTE TRIPLA"=BH13,"BOCA DE LOBO EXISTENTE SIMPLES"=BH13,"BOCA DE LOBO EXISTENTE DUPLA"=BH13),0,IF("BOCA DE LOBO PROJETADA DUPLA"=BH13,(12*E13*2*(0.17+0.15)+1*(2*0.17+0.15)*5+2*(2.57+1.18)*0.15+(1.09+0.6)*2*0.07*2),IF(OR("BOCA DE LOBO DUPLA EXISTENTE COM BOCA DE LOBO SIMPLES PROJETADA"=BH13,"BOCA DE LOBO SIMPLES EXISTENTE COM BOCA DE LOBO SIMPLES PROJETADA"=BH13),(8*E13*2*(0.17+0.15)+1*(2*0.17+0.15)*4+2*(1.38+1.18)*0.15+(1.09+0.6)*2*0.07*1),IF(OR(BH13="BOCA DE LOBO DUPLA EXISTENTE COM BOCA DE LOBO DUPLA PROJETADA",BH13="BOCA DE LOBO SIMPLES EXISTENTE COM BOCA DE LOBO DUPLA PROJETADA"),(7*E13*2*(0.17+0.15)+1*(2*0.17+0.15)*5+2*(2.38+1.18)*0.15+(1.09+0.6)*2*0.07*2),IF("BOCA DE LOBO PROJETADA TRIPLA"=BH13,(15*E13*2*(0.17+0.15)+1*(2*0.17+0.15)*7+2*(3.76+1.18)*0.15+(1.09+0.6)*2*0.07*3),"X")))))</f>
        <v>0</v>
      </c>
      <c r="CX13" s="253">
        <f t="shared" ref="CX13" si="228">IF(OR("BOCA DE LOBO EXISTENTE TRIPLA"=BH13,"BOCA DE LOBO EXISTENTE SIMPLES"=BH13,"BOCA DE LOBO EXISTENTE DUPLA"=BH13),0,IF("BOCA DE LOBO PROJETADA DUPLA"=BH13,(2.57+1),IF(OR("BOCA DE LOBO DUPLA EXISTENTE COM BOCA DE LOBO SIMPLES PROJETADA"=BH13,"BOCA DE LOBO SIMPLES EXISTENTE COM BOCA DE LOBO SIMPLES PROJETADA"=BH13),(1.18+0.5),IF(OR(BH13="BOCA DE LOBO DUPLA EXISTENTE COM BOCA DE LOBO DUPLA PROJETADA",BH13="BOCA DE LOBO SIMPLES EXISTENTE COM BOCA DE LOBO DUPLA PROJETADA"),(2.38+0.5),IF("BOCA DE LOBO PROJETADA TRIPLA"=BH13,(3.76+1),"X")))))</f>
        <v>0</v>
      </c>
      <c r="CY13" s="505">
        <f t="shared" ref="CY13" si="229">CX13*0.5</f>
        <v>0</v>
      </c>
      <c r="CZ13" s="502">
        <f t="shared" ref="CZ13" si="230">IF(AND(C13="EXISTENTE",D13="PROJETADA"),PI()*0.51*0.51/4*0.12,0)</f>
        <v>0</v>
      </c>
    </row>
    <row r="14" spans="1:104" s="501" customFormat="1" ht="25" x14ac:dyDescent="0.25">
      <c r="A14" s="291" t="str">
        <f>'BOCA DE LOBO'!C13</f>
        <v>BL9-&gt;PV1.1</v>
      </c>
      <c r="B14" s="291" t="str">
        <f>'BOCA DE LOBO'!A13</f>
        <v>PV1.1</v>
      </c>
      <c r="C14" s="413" t="str">
        <f>VLOOKUP(A14,'BOCA DE LOBO'!$C$1:$Q$76,3,0)</f>
        <v>PROJETADO</v>
      </c>
      <c r="D14" s="291" t="str">
        <f>VLOOKUP(A14,'BOCA DE LOBO'!$C$1:$Q$76,10,0)</f>
        <v>PROJETADA</v>
      </c>
      <c r="E14" s="413">
        <f t="shared" si="154"/>
        <v>2.5</v>
      </c>
      <c r="F14" s="291">
        <f>VLOOKUP(A14,'BOCA DE LOBO'!$C$1:$Q$76,2,0)</f>
        <v>4.4000000000000004</v>
      </c>
      <c r="G14" s="291">
        <f>VLOOKUP(A14,'BOCA DE LOBO'!$C$1:$Q$76,4,0)</f>
        <v>7.12</v>
      </c>
      <c r="H14" s="238">
        <v>400</v>
      </c>
      <c r="I14" s="493">
        <f t="shared" si="155"/>
        <v>3.58</v>
      </c>
      <c r="J14" s="241">
        <f t="shared" si="2"/>
        <v>1.2744800000000001</v>
      </c>
      <c r="K14" s="494">
        <v>0</v>
      </c>
      <c r="L14" s="253">
        <f t="shared" ref="L14:L25" si="231">IF(D14&lt;&gt;"PROJETADA",0,IF(H14=400,1,0)+IF(H14=500,1.2,0)+IF(H14=600,1.4,0)+IF(H14=800,1.7,0)+IF(H14=1000,2,0)+IF(H14=1200,2.2,0)+IF(H14=1500,2.6,0)+IF(H14=1650,3,0)+IF(H14=1800,3.2,0)+IF(H14=2000,3.4,0)+IF(H14=2200,3.6,0)+IF(H14=2400,3.8,0)+IF(H14=2600,4,0)+IF(H14=3000,4.4,0))</f>
        <v>1</v>
      </c>
      <c r="M14" s="253">
        <f t="shared" ref="M14:M25" si="232">2*K14*I14+L14</f>
        <v>1</v>
      </c>
      <c r="N14" s="253">
        <f t="shared" ref="N14:N25" si="233">IF(OR(D14="EXISTENTE",D14="AMPLIADA"),400,0)</f>
        <v>0</v>
      </c>
      <c r="O14" s="253">
        <f t="shared" ref="O14:O25" si="234">IF(P14="TERRENO NATURAL",0,M14*G14)</f>
        <v>7.12</v>
      </c>
      <c r="P14" s="495" t="str">
        <f>VLOOKUP(B14,'Planilha Hidráulica'!$AE$10:$AQ$39,13,0)</f>
        <v>ASFALTO</v>
      </c>
      <c r="Q14" s="495" t="s">
        <v>2419</v>
      </c>
      <c r="R14" s="495"/>
      <c r="S14" s="495">
        <f>VLOOKUP(Q14,Quantitativos!P:R,3,0)</f>
        <v>5</v>
      </c>
      <c r="T14" s="495">
        <f>VLOOKUP(Q14,Quantitativos!P:S,4,0)</f>
        <v>5</v>
      </c>
      <c r="U14" s="253">
        <f t="shared" si="7"/>
        <v>0.05</v>
      </c>
      <c r="V14" s="246">
        <f t="shared" ref="V14:V25" si="235">IF(L14=0,0,IF("EXISTENTE"=C14,0,IFERROR((PI()*(N14/1000)*(N14/1000)/4)*G14,0)))</f>
        <v>0</v>
      </c>
      <c r="W14" s="246">
        <f t="shared" ref="W14:W25" si="236">IF(O14=0,0,((((K14*I14)*I14)/2)*2+L14*I14)*G14-V14+AO14)</f>
        <v>25.489599999999999</v>
      </c>
      <c r="X14" s="247">
        <f t="shared" si="82"/>
        <v>0</v>
      </c>
      <c r="Y14" s="247">
        <f t="shared" ref="Y14:Y25" si="237">IF(R14=1,IF(N14=0,I14+0.4,0.4),0)</f>
        <v>0</v>
      </c>
      <c r="Z14" s="247">
        <f t="shared" si="12"/>
        <v>3.58</v>
      </c>
      <c r="AA14" s="247">
        <f t="shared" si="83"/>
        <v>0</v>
      </c>
      <c r="AB14" s="496">
        <f t="shared" si="84"/>
        <v>7.12</v>
      </c>
      <c r="AC14" s="251">
        <f t="shared" ref="AC14:AC25" si="238">IF(Y14=0,0,IF(Y14=0.4,IF(L14&lt;=1.5,IF(Z14+0.4&gt;=1.5,0,L14*G14*0.4),0),IF(L14&lt;=1.5,IF(Y14&gt;=1.5,M14*G14*1.5,L14*G14*(Y14)),0)+IF(S14&lt;I14+0.4,0,IF(AND(Y14&lt;=1.5,L14&lt;=1.5),-V14,0))))</f>
        <v>0</v>
      </c>
      <c r="AD14" s="251">
        <f t="shared" ref="AD14:AD25" si="239">IF(Y14=0,0,IF(Y14=0.4,IF(L14&lt;=1.5,IF(OR(Z14+0.4&gt;=3,Z14+0.4&lt;1.5),0,L14*G14*0.4),0),IF(IF(L14&lt;=1.5,IF(Y14&gt;=3,M14*G14*1.5,L14*G14*(Y14-1.5)),0)&lt;0,0,IF(L14&lt;=1.5,IF(Y14&gt;=3,M14*G14*1.5,L14*G14*(Y14-1.5)),0))+IF(S14&lt;I14+0.4,0,IF(AND(Y14&lt;=3,L14&lt;=1.5),-V14,0))))</f>
        <v>0</v>
      </c>
      <c r="AE14" s="251">
        <f t="shared" ref="AE14:AE25" si="240">IF(Y14=0,0,IF(Y14=0.4,IF(L14&lt;=1.5,IF(OR(Z14+0.4&gt;=4.5,Z14+0.4&lt;3),0,L14*G14*0.4),0),IF(IF(L14&lt;=1.5,IF(Y14&gt;=4.5,M14*G14*1.5,L14*G14*(Y14-3)),0)&lt;0,0,IF(L14&lt;=1.5,IF(Y14&gt;=4.5,M14*G14*1.5,L14*G14*(Y14-3)),0))+IF(S14&lt;I14+0.4,0,IF(AND(Y14&lt;=4.5,L14&lt;=1.5),-V14,0))))</f>
        <v>0</v>
      </c>
      <c r="AF14" s="251">
        <f t="shared" si="16"/>
        <v>10.68</v>
      </c>
      <c r="AG14" s="251">
        <f t="shared" si="17"/>
        <v>10.68</v>
      </c>
      <c r="AH14" s="251">
        <f t="shared" si="18"/>
        <v>4.1296000000000008</v>
      </c>
      <c r="AI14" s="497" t="str">
        <f t="shared" si="19"/>
        <v>NÃO</v>
      </c>
      <c r="AJ14" s="253">
        <f t="shared" ref="AJ14:AJ25" si="241">W14-SUM(AC14:AH14)</f>
        <v>0</v>
      </c>
      <c r="AK14" s="253">
        <f t="shared" ref="AK14:AK25" si="242">IF(I14-T14&lt;0,0,(I14-T14)*G14)/75</f>
        <v>0</v>
      </c>
      <c r="AL14" s="253">
        <f t="shared" ref="AL14:AL25" si="243">IF(L14=0,0,G14*L14*I14-PI()*(H14/1000)*(H14/1000)/4*G14+AO14)</f>
        <v>24.594874412257624</v>
      </c>
      <c r="AM14" s="241">
        <f t="shared" ref="AM14:AM25" si="244">IF(L14&lt;1.5,L14*G14*IF(H14&lt;=500,0.05,IF(H14&lt;=800,0.1,IF(H14&lt;=1200,0.15,IF(H14&gt;=1500,0.2)))),0)</f>
        <v>0.35600000000000004</v>
      </c>
      <c r="AN14" s="246">
        <f t="shared" ref="AN14:AN25" si="245">IF(L14&gt;=1.5,L14*G14*IF(H14&lt;=500,0.05,IF(H14&lt;=800,0.1,IF(H14&lt;=1200,0.15,IF(H14&gt;=1500,0.2)))),0)</f>
        <v>0</v>
      </c>
      <c r="AO14" s="253">
        <f t="shared" ref="AO14:AO25" si="246">IF(R14=1,0.4*G14*L14,0)</f>
        <v>0</v>
      </c>
      <c r="AP14" s="253">
        <f t="shared" ref="AP14:AP25" si="247">IF(AO14&lt;SUM(AF14:AH14),0,AO14)</f>
        <v>0</v>
      </c>
      <c r="AQ14" s="253">
        <f t="shared" ref="AQ14:AQ25" si="248">H14/1000+0.3</f>
        <v>0.7</v>
      </c>
      <c r="AR14" s="253">
        <f t="shared" ref="AR14:AR25" si="249">IF(D14&lt;&gt;"PROJETADA",0,AQ14*L14*G14-PI()*(H14/1000*H14/1000)/4*G14)</f>
        <v>4.0892744122576268</v>
      </c>
      <c r="AS14" s="253">
        <f t="shared" ref="AS14:AS25" si="250">IF(AR14&lt;SUM(AF14:AH14),0,AR14)</f>
        <v>0</v>
      </c>
      <c r="AT14" s="253">
        <f t="shared" ref="AT14:AT25" si="251">IF(P14="ASFALTO",0.15*G14*L14,0)</f>
        <v>1.0680000000000001</v>
      </c>
      <c r="AU14" s="253">
        <f t="shared" ref="AU14:AU25" si="252">AT14</f>
        <v>1.0680000000000001</v>
      </c>
      <c r="AV14" s="253">
        <f t="shared" ref="AV14:AV25" si="253">IF(P14="ASFALTO",0.03*G14*L14,0)</f>
        <v>0.21359999999999998</v>
      </c>
      <c r="AW14" s="253">
        <f t="shared" ref="AW14:AW25" si="254">AL14-AO14-SUM(AM14:AN14)-AT14-AU14-AR14</f>
        <v>18.013599999999993</v>
      </c>
      <c r="AX14" s="253">
        <f t="shared" ref="AX14:AX25" si="255">SUM(AF14:AH14)-AO14-AT14-AR14</f>
        <v>20.332325587742371</v>
      </c>
      <c r="AY14" s="253">
        <f t="shared" ref="AY14:AY25" si="256">SMALL(AW14:AX14,1)</f>
        <v>18.013599999999993</v>
      </c>
      <c r="AZ14" s="253">
        <f t="shared" ref="AZ14:AZ25" si="257">AW14-AY14</f>
        <v>0</v>
      </c>
      <c r="BA14" s="253">
        <f t="shared" si="192"/>
        <v>0</v>
      </c>
      <c r="BB14" s="253">
        <f t="shared" ref="BB14:BB25" si="258">AZ14-BA14</f>
        <v>0</v>
      </c>
      <c r="BC14" s="253"/>
      <c r="BD14" s="253">
        <f t="shared" si="38"/>
        <v>4.2720000000000001E-2</v>
      </c>
      <c r="BE14" s="496">
        <f t="shared" ref="BE14:BE25" si="259">IF(H14=400,I14,0)</f>
        <v>3.58</v>
      </c>
      <c r="BF14" s="498">
        <f t="shared" ref="BF14:BF25" si="260">IF(BE14&lt;=1.75,G14*IF(D14="PROJETADA",1,0),0)</f>
        <v>0</v>
      </c>
      <c r="BG14" s="498">
        <f t="shared" ref="BG14:BG25" si="261">IF(AND(BE14&lt;=3,BE14&gt;1.75),IF(D14="PROJETADA",1,0)*G14,0)</f>
        <v>0</v>
      </c>
      <c r="BH14" s="495" t="str">
        <f>VLOOKUP(A14,'BOCA DE LOBO'!C:I,7,0)</f>
        <v>BOCA DE LOBO PROJETADA DUPLA</v>
      </c>
      <c r="BI14" s="253">
        <f t="shared" ref="BI14:BI25" si="262">IF(BH14=$BI$4,1,0)</f>
        <v>0</v>
      </c>
      <c r="BJ14" s="253">
        <f t="shared" ref="BJ14:BJ25" si="263">IF(BH14=$BJ$4,1,0)</f>
        <v>0</v>
      </c>
      <c r="BK14" s="253">
        <f t="shared" ref="BK14:BK25" si="264">IF(BH14=$BK$4,1,0)</f>
        <v>0</v>
      </c>
      <c r="BL14" s="253">
        <f t="shared" ref="BL14:BL25" si="265">IF(BH14=$BL$4,1,0)</f>
        <v>0</v>
      </c>
      <c r="BM14" s="253">
        <f t="shared" ref="BM14:BM25" si="266">IF(BH14=$BM$4,1,0)</f>
        <v>0</v>
      </c>
      <c r="BN14" s="253">
        <f t="shared" ref="BN14:BN25" si="267">IF(BH14=$BN$4,1,0)</f>
        <v>1</v>
      </c>
      <c r="BO14" s="253">
        <f t="shared" ref="BO14:BO25" si="268">IF(BH14=$BO$4,1,0)</f>
        <v>0</v>
      </c>
      <c r="BP14" s="500"/>
      <c r="BQ14" s="496">
        <f t="shared" ref="BQ14:BQ25" si="269">IF(L14&lt;=1.5,IF(I14+IF(R14=1,0.5,0)&lt;1.5,(I14+IF(R14=1,0.5,0))*G14*2,G14*2*1.5),0)</f>
        <v>21.36</v>
      </c>
      <c r="BR14" s="496">
        <f t="shared" ref="BR14:BR25" si="270">IF(L14&lt;=1.5,IF(AND(I14+IF(R14=1,0.5,0)&lt;3,I14+IF(R14=1,0.5,0)&gt;1.5),(I14+IF(R14=1,0.5,0)-1.5)*G14*2,IF(I14+IF(R14=1,0.5,0)&gt;=3,(G14*2*1.5),0)),0)</f>
        <v>21.36</v>
      </c>
      <c r="BS14" s="496">
        <f t="shared" ref="BS14:BS25" si="271">IF(L14&lt;=1.5,IF(AND(I14+IF(R14=1,0.5,0)&lt;4.5,I14+IF(R14=1,0.5,0)&gt;3),(I14+IF(R14=1,0.5,0)-3)*G14*2,IF(I14+IF(R14=1,0.5,0)&gt;=4.5,(G14*2*1.5),0)),0)</f>
        <v>8.2592000000000017</v>
      </c>
      <c r="BV14" s="502">
        <f t="shared" ref="BV14:BV25" si="272">IF(OR("BOCA DE LOBO EXISTENTE TRIPLA"=BH14,"BOCA DE LOBO EXISTENTE SIMPLES"=BH14,"BOCA DE LOBO EXISTENTE DUPLA"=BH14),0,IF("BOCA DE LOBO PROJETADA DUPLA"=BH14,(2.57+1)*(1.18+1),IF(OR("BOCA DE LOBO DUPLA EXISTENTE COM BOCA DE LOBO SIMPLES PROJETADA"=BH14,"BOCA DE LOBO SIMPLES EXISTENTE COM BOCA DE LOBO SIMPLES PROJETADA"=BH14),(1.18+0.5)*(1.18+1),IF(OR(BH14="BOCA DE LOBO DUPLA EXISTENTE COM BOCA DE LOBO DUPLA PROJETADA",BH14="BOCA DE LOBO SIMPLES EXISTENTE COM BOCA DE LOBO DUPLA PROJETADA"),(2.38+0.5)*(1.18+1),IF("BOCA DE LOBO PROJETADA TRIPLA"=BH14,(3.76+1)*(1.18+1),"X")))))*(E14+IF(CA14&gt;0,0.5,0))</f>
        <v>19.456499999999998</v>
      </c>
      <c r="BW14" s="502">
        <f t="shared" ref="BW14:BW25" si="273">IF(OR("BOCA DE LOBO EXISTENTE TRIPLA"=BH14,"BOCA DE LOBO EXISTENTE SIMPLES"=BH14,"BOCA DE LOBO EXISTENTE DUPLA"=BH14),0,IF("BOCA DE LOBO PROJETADA DUPLA"=BH14,(2.57+1)*(1.18+1),IF(OR("BOCA DE LOBO DUPLA EXISTENTE COM BOCA DE LOBO SIMPLES PROJETADA"=BH14,"BOCA DE LOBO SIMPLES EXISTENTE COM BOCA DE LOBO SIMPLES PROJETADA"=BH14),(1.18+1)*(1.18+0.5),IF(OR(BH14="BOCA DE LOBO DUPLA EXISTENTE COM BOCA DE LOBO DUPLA PROJETADA",BH14="BOCA DE LOBO SIMPLES EXISTENTE COM BOCA DE LOBO DUPLA PROJETADA"),(2.38+0.5)*(1.18+1),IF("BOCA DE LOBO PROJETADA TRIPLA"=BH14,(3.76+0.5*2)*(1.18+1),"X")))))</f>
        <v>7.7825999999999986</v>
      </c>
      <c r="BX14" s="502">
        <f t="shared" ref="BX14:BX25" si="274">IF(OR("BOCA DE LOBO EXISTENTE TRIPLA"=BH14,"BOCA DE LOBO EXISTENTE SIMPLES"=BH14,"BOCA DE LOBO EXISTENTE DUPLA"=BH14),0,IF("BOCA DE LOBO PROJETADA DUPLA"=BH14,(2.57)*(1.18),IF(OR("BOCA DE LOBO DUPLA EXISTENTE COM BOCA DE LOBO SIMPLES PROJETADA"=BH14,"BOCA DE LOBO SIMPLES EXISTENTE COM BOCA DE LOBO SIMPLES PROJETADA"=BH14),(1.18)*(1.18),IF(OR(BH14="BOCA DE LOBO DUPLA EXISTENTE COM BOCA DE LOBO DUPLA PROJETADA",BH14="BOCA DE LOBO SIMPLES EXISTENTE COM BOCA DE LOBO DUPLA PROJETADA"),(2.38)*(1.18),IF("BOCA DE LOBO PROJETADA TRIPLA"=BH14,(3.76)*(1.18),"X")))))</f>
        <v>3.0325999999999995</v>
      </c>
      <c r="BY14" s="502">
        <f t="shared" ref="BY14:BY25" si="275">E14</f>
        <v>2.5</v>
      </c>
      <c r="BZ14" s="502">
        <f t="shared" ref="BZ14:BZ25" si="276">IF(Y14&gt;0.5,0,IF(S14&lt;E14,S14,E14))</f>
        <v>2.5</v>
      </c>
      <c r="CA14" s="502">
        <f t="shared" ref="CA14:CA25" si="277">IF(Y14&gt;0.4,BY14+0.4,Y14)</f>
        <v>0</v>
      </c>
      <c r="CB14" s="502">
        <f t="shared" ref="CB14:CB25" si="278">IF(S14&gt;E14,0,E14-S14)</f>
        <v>0</v>
      </c>
      <c r="CC14" s="502">
        <f t="shared" ref="CC14:CC25" si="279">IF(BZ14&gt;1.5,BW14*1.5,BW14*BZ14)</f>
        <v>11.673899999999998</v>
      </c>
      <c r="CD14" s="502">
        <f t="shared" ref="CD14:CD25" si="280">IF(BZ14&gt;1.5,BW14*(BZ14-1.5),0)</f>
        <v>7.7825999999999986</v>
      </c>
      <c r="CE14" s="502">
        <f t="shared" ref="CE14:CE25" si="281">IF(CA14=0.4,IF(BZ14+CA14&gt;1.5,0,CA14*BW14),IF(CA14&gt;1.5,BW14*1.5,BW14*CA14))</f>
        <v>0</v>
      </c>
      <c r="CF14" s="502">
        <f t="shared" ref="CF14:CF25" si="282">IF(CA14=0.4,IF(BZ14+CA14&lt;=1.5,0,CA14*BW14),IF(CA14&gt;1.5,BW14*(CA14-1.5),0))</f>
        <v>0</v>
      </c>
      <c r="CG14" s="502">
        <f t="shared" ref="CG14:CG25" si="283">BV14-SUM(CC14:CF14)</f>
        <v>0</v>
      </c>
      <c r="CH14" s="502">
        <f t="shared" ref="CH14:CH25" si="284">SUM(CC14:CG14)-BV14</f>
        <v>0</v>
      </c>
      <c r="CI14" s="253">
        <f t="shared" ref="CI14:CI27" si="285">IF(OR("BOCA DE LOBO EXISTENTE TRIPLA"=BH14,"BOCA DE LOBO EXISTENTE SIMPLES"=BH14,"BOCA DE LOBO EXISTENTE DUPLA"=BH14),0,IF("BOCA DE LOBO PROJETADA DUPLA"=BH14,(2.57+1)*(0.5),IF(OR("BOCA DE LOBO DUPLA EXISTENTE COM BOCA DE LOBO SIMPLES PROJETADA"=BH14,"BOCA DE LOBO SIMPLES EXISTENTE COM BOCA DE LOBO SIMPLES PROJETADA"=BH14),(1.18+0.5)*(0.5),IF(OR(BH14="BOCA DE LOBO DUPLA EXISTENTE COM BOCA DE LOBO DUPLA PROJETADA",BH14="BOCA DE LOBO SIMPLES EXISTENTE COM BOCA DE LOBO DUPLA PROJETADA"),(2.38+0.5)*(0.5),IF("BOCA DE LOBO PROJETADA TRIPLA"=BH14,(3.76+1)*(0.5),"X")))))*0.3</f>
        <v>0.53549999999999998</v>
      </c>
      <c r="CJ14" s="502">
        <f t="shared" ref="CJ14:CJ25" si="286">(BW14-BX14)*(BY14+IF(CA14&gt;=0.4,0.4,0))-CI14</f>
        <v>11.339499999999997</v>
      </c>
      <c r="CK14" s="502">
        <f>IF($CK$71&gt;$CJ$69,CJ14,CJ14*$CK$71/$CJ$69)</f>
        <v>11.339499999999997</v>
      </c>
      <c r="CL14" s="502">
        <f t="shared" ref="CL14:CL25" si="287">CJ14-CK14</f>
        <v>0</v>
      </c>
      <c r="CM14" s="502">
        <f t="shared" ref="CM14:CM25" si="288">IF(CA14&gt;0,0.5*4%*BW14,0)</f>
        <v>0</v>
      </c>
      <c r="CN14" s="502">
        <f t="shared" ref="CN14:CN25" si="289">IF(OR("BOCA DE LOBO EXISTENTE TRIPLA"=BH14,"BOCA DE LOBO EXISTENTE SIMPLES"=BH14,"BOCA DE LOBO EXISTENTE DUPLA"=BH14),0,IF("BOCA DE LOBO PROJETADA DUPLA"=BH14,(2.57+1),IF(OR("BOCA DE LOBO DUPLA EXISTENTE COM BOCA DE LOBO SIMPLES PROJETADA"=BH14,"BOCA DE LOBO SIMPLES EXISTENTE COM BOCA DE LOBO SIMPLES PROJETADA"=BH14),(1.18+0.5),IF(OR(BH14="BOCA DE LOBO DUPLA EXISTENTE COM BOCA DE LOBO DUPLA PROJETADA",BH14="BOCA DE LOBO SIMPLES EXISTENTE COM BOCA DE LOBO DUPLA PROJETADA"),(2.38+0.5),IF("BOCA DE LOBO PROJETADA TRIPLA"=BH14,(3.76+0.5*2),"X")))))</f>
        <v>3.57</v>
      </c>
      <c r="CO14" s="502">
        <f t="shared" ref="CO14:CO25" si="290">IF(CA14&gt;0,BY14+0.5,BY14)</f>
        <v>2.5</v>
      </c>
      <c r="CP14" s="502">
        <f t="shared" ref="CP14:CP25" si="291">IF(CO14&gt;=1.5,CN14*1.5*2,CN14*CO14*2)</f>
        <v>10.709999999999999</v>
      </c>
      <c r="CQ14" s="502">
        <f t="shared" ref="CQ14:CQ25" si="292">IF(CO14&lt;=1.5,0,IF(CO14&gt;=3,CN14*1.5*2,CN14*(CO14-1.5)*2))</f>
        <v>7.14</v>
      </c>
      <c r="CR14" s="220">
        <f t="shared" ref="CR14:CR25" si="293">IF(D14="AMPLIADA",0.55*(E14-0.5),0)</f>
        <v>0</v>
      </c>
      <c r="CS14" s="503">
        <f t="shared" ref="CS14:CS25" si="294">IF(OR("BOCA DE LOBO EXISTENTE TRIPLA"=BH14,"BOCA DE LOBO EXISTENTE SIMPLES"=BH14,"BOCA DE LOBO EXISTENTE DUPLA"=BH14),0,IF("BOCA DE LOBO PROJETADA DUPLA"=BH14,(0),IF(OR("BOCA DE LOBO DUPLA EXISTENTE COM BOCA DE LOBO SIMPLES PROJETADA"=BH14,"BOCA DE LOBO SIMPLES EXISTENTE COM BOCA DE LOBO SIMPLES PROJETADA"=BH14),(0.8*0.15*0.17),IF(OR(BH14="BOCA DE LOBO DUPLA EXISTENTE COM BOCA DE LOBO DUPLA PROJETADA",BH14="BOCA DE LOBO SIMPLES EXISTENTE COM BOCA DE LOBO DUPLA PROJETADA"),(0.8*0.15*0.17),IF("BOCA DE LOBO PROJETADA TRIPLA"=BH14,(0),"X")))))*E14</f>
        <v>0</v>
      </c>
      <c r="CT14" s="503">
        <f t="shared" ref="CT14:CT25" si="295">IF(OR("BOCA DE LOBO EXISTENTE TRIPLA"=BH14,"BOCA DE LOBO EXISTENTE SIMPLES"=BH14,"BOCA DE LOBO EXISTENTE DUPLA"=BH14),0,IF("BOCA DE LOBO PROJETADA DUPLA"=BH14,(1.18*2.57*0.05),IF(OR("BOCA DE LOBO DUPLA EXISTENTE COM BOCA DE LOBO SIMPLES PROJETADA"=BH14,"BOCA DE LOBO SIMPLES EXISTENTE COM BOCA DE LOBO SIMPLES PROJETADA"=BH14),(1.19*1.18*0.05),IF(OR(BH14="BOCA DE LOBO DUPLA EXISTENTE COM BOCA DE LOBO DUPLA PROJETADA",BH14="BOCA DE LOBO SIMPLES EXISTENTE COM BOCA DE LOBO DUPLA PROJETADA"),(2.38*1.18*0.056),IF("BOCA DE LOBO PROJETADA TRIPLA"=BH14,(3.76*1.18*0.05),"X")))))+CI14/3</f>
        <v>0.33012999999999998</v>
      </c>
      <c r="CU14" s="504">
        <f t="shared" ref="CU14:CU25" si="296">IF(OR("BOCA DE LOBO EXISTENTE TRIPLA"=BH14,"BOCA DE LOBO EXISTENTE SIMPLES"=BH14,"BOCA DE LOBO EXISTENTE DUPLA"=BH14),0,IF("BOCA DE LOBO PROJETADA DUPLA"=BH14,(1*4+0.6*2),IF(OR("BOCA DE LOBO DUPLA EXISTENTE COM BOCA DE LOBO SIMPLES PROJETADA"=BH14,"BOCA DE LOBO SIMPLES EXISTENTE COM BOCA DE LOBO SIMPLES PROJETADA"=BH14),(1*2+0.6),IF(OR(BH14="BOCA DE LOBO DUPLA EXISTENTE COM BOCA DE LOBO DUPLA PROJETADA",BH14="BOCA DE LOBO SIMPLES EXISTENTE COM BOCA DE LOBO DUPLA PROJETADA"),(1*4+0.6),IF("BOCA DE LOBO PROJETADA TRIPLA"=BH14,(6*1+0.6*2),"X")))))*E14</f>
        <v>13</v>
      </c>
      <c r="CV14" s="504">
        <f t="shared" ref="CV14:CV25" si="297">IF(OR("BOCA DE LOBO EXISTENTE TRIPLA"=BH14,"BOCA DE LOBO EXISTENTE SIMPLES"=BH14,"BOCA DE LOBO EXISTENTE DUPLA"=BH14),0,IF("BOCA DE LOBO PROJETADA DUPLA"=BH14,(12*E14*0.17*0.15+1*0.17*0.15*5+1.09*0.6*0.07*2+2.57*1.18*0.15),IF(OR("BOCA DE LOBO DUPLA EXISTENTE COM BOCA DE LOBO SIMPLES PROJETADA"=BH14,"BOCA DE LOBO SIMPLES EXISTENTE COM BOCA DE LOBO SIMPLES PROJETADA"=BH14),(8*E14*0.17*0.15+1*0.17*0.15*4+1.09*0.6*0.07*1+1.38*1.18*0.15),IF(OR(BH14="BOCA DE LOBO DUPLA EXISTENTE COM BOCA DE LOBO DUPLA PROJETADA",BH14="BOCA DE LOBO SIMPLES EXISTENTE COM BOCA DE LOBO DUPLA PROJETADA"),(7*E14*0.17*0.15+1*0.17*0.15*5+1.09*0.6*0.07*2+2.38*1.18*0.15),IF("BOCA DE LOBO PROJETADA TRIPLA"=BH14,(15*E14*0.17*0.15+1*0.17*0.15*7+1.09*0.6*0.07*3+3.76*1.18*0.15),"X")))))</f>
        <v>1.43895</v>
      </c>
      <c r="CW14" s="502">
        <f t="shared" ref="CW14:CW25" si="298">IF(OR("BOCA DE LOBO EXISTENTE TRIPLA"=BH14,"BOCA DE LOBO EXISTENTE SIMPLES"=BH14,"BOCA DE LOBO EXISTENTE DUPLA"=BH14),0,IF("BOCA DE LOBO PROJETADA DUPLA"=BH14,(12*E14*2*(0.17+0.15)+1*(2*0.17+0.15)*5+2*(2.57+1.18)*0.15+(1.09+0.6)*2*0.07*2),IF(OR("BOCA DE LOBO DUPLA EXISTENTE COM BOCA DE LOBO SIMPLES PROJETADA"=BH14,"BOCA DE LOBO SIMPLES EXISTENTE COM BOCA DE LOBO SIMPLES PROJETADA"=BH14),(8*E14*2*(0.17+0.15)+1*(2*0.17+0.15)*4+2*(1.38+1.18)*0.15+(1.09+0.6)*2*0.07*1),IF(OR(BH14="BOCA DE LOBO DUPLA EXISTENTE COM BOCA DE LOBO DUPLA PROJETADA",BH14="BOCA DE LOBO SIMPLES EXISTENTE COM BOCA DE LOBO DUPLA PROJETADA"),(7*E14*2*(0.17+0.15)+1*(2*0.17+0.15)*5+2*(2.38+1.18)*0.15+(1.09+0.6)*2*0.07*2),IF("BOCA DE LOBO PROJETADA TRIPLA"=BH14,(15*E14*2*(0.17+0.15)+1*(2*0.17+0.15)*7+2*(3.76+1.18)*0.15+(1.09+0.6)*2*0.07*3),"X")))))</f>
        <v>23.248199999999997</v>
      </c>
      <c r="CX14" s="253">
        <f t="shared" ref="CX14:CX25" si="299">IF(OR("BOCA DE LOBO EXISTENTE TRIPLA"=BH14,"BOCA DE LOBO EXISTENTE SIMPLES"=BH14,"BOCA DE LOBO EXISTENTE DUPLA"=BH14),0,IF("BOCA DE LOBO PROJETADA DUPLA"=BH14,(2.57+1),IF(OR("BOCA DE LOBO DUPLA EXISTENTE COM BOCA DE LOBO SIMPLES PROJETADA"=BH14,"BOCA DE LOBO SIMPLES EXISTENTE COM BOCA DE LOBO SIMPLES PROJETADA"=BH14),(1.18+0.5),IF(OR(BH14="BOCA DE LOBO DUPLA EXISTENTE COM BOCA DE LOBO DUPLA PROJETADA",BH14="BOCA DE LOBO SIMPLES EXISTENTE COM BOCA DE LOBO DUPLA PROJETADA"),(2.38+0.5),IF("BOCA DE LOBO PROJETADA TRIPLA"=BH14,(3.76+1),"X")))))</f>
        <v>3.57</v>
      </c>
      <c r="CY14" s="505">
        <f t="shared" ref="CY14:CY25" si="300">CX14*0.5</f>
        <v>1.7849999999999999</v>
      </c>
      <c r="CZ14" s="502">
        <f t="shared" ref="CZ14:CZ25" si="301">IF(AND(C14="EXISTENTE",D14="PROJETADA"),PI()*0.51*0.51/4*0.12,0)</f>
        <v>0</v>
      </c>
    </row>
    <row r="15" spans="1:104" s="501" customFormat="1" ht="25" x14ac:dyDescent="0.25">
      <c r="A15" s="291" t="str">
        <f>'BOCA DE LOBO'!C14</f>
        <v>BL10-&gt;PV3.1</v>
      </c>
      <c r="B15" s="291" t="str">
        <f>'BOCA DE LOBO'!A14</f>
        <v>PV3.1</v>
      </c>
      <c r="C15" s="413" t="str">
        <f>VLOOKUP(A15,'BOCA DE LOBO'!$C$1:$Q$76,3,0)</f>
        <v>PROJETADO</v>
      </c>
      <c r="D15" s="291" t="str">
        <f>VLOOKUP(A15,'BOCA DE LOBO'!$C$1:$Q$76,10,0)</f>
        <v>PROJETADA</v>
      </c>
      <c r="E15" s="413">
        <f t="shared" si="154"/>
        <v>2.5</v>
      </c>
      <c r="F15" s="291">
        <f>VLOOKUP(A15,'BOCA DE LOBO'!$C$1:$Q$76,2,0)</f>
        <v>3.2</v>
      </c>
      <c r="G15" s="291">
        <f>VLOOKUP(A15,'BOCA DE LOBO'!$C$1:$Q$76,4,0)</f>
        <v>12.78</v>
      </c>
      <c r="H15" s="238">
        <v>400</v>
      </c>
      <c r="I15" s="493">
        <f t="shared" si="155"/>
        <v>2.98</v>
      </c>
      <c r="J15" s="241">
        <f t="shared" si="2"/>
        <v>1.9042199999999998</v>
      </c>
      <c r="K15" s="494">
        <v>0</v>
      </c>
      <c r="L15" s="253">
        <f t="shared" si="231"/>
        <v>1</v>
      </c>
      <c r="M15" s="253">
        <f t="shared" si="232"/>
        <v>1</v>
      </c>
      <c r="N15" s="253">
        <f t="shared" si="233"/>
        <v>0</v>
      </c>
      <c r="O15" s="253">
        <f t="shared" si="234"/>
        <v>12.78</v>
      </c>
      <c r="P15" s="495" t="str">
        <f>VLOOKUP(B15,'Planilha Hidráulica'!$AE$10:$AQ$39,13,0)</f>
        <v>ASFALTO</v>
      </c>
      <c r="Q15" s="495" t="s">
        <v>2977</v>
      </c>
      <c r="R15" s="495"/>
      <c r="S15" s="495">
        <f>VLOOKUP(Q15,Quantitativos!P:R,3,0)</f>
        <v>5</v>
      </c>
      <c r="T15" s="495">
        <f>VLOOKUP(Q15,Quantitativos!P:S,4,0)</f>
        <v>5</v>
      </c>
      <c r="U15" s="253">
        <f t="shared" si="7"/>
        <v>0.05</v>
      </c>
      <c r="V15" s="246">
        <f t="shared" si="235"/>
        <v>0</v>
      </c>
      <c r="W15" s="246">
        <f t="shared" si="236"/>
        <v>38.084399999999995</v>
      </c>
      <c r="X15" s="247">
        <f t="shared" si="82"/>
        <v>0</v>
      </c>
      <c r="Y15" s="247">
        <f t="shared" si="237"/>
        <v>0</v>
      </c>
      <c r="Z15" s="247">
        <f t="shared" si="12"/>
        <v>2.98</v>
      </c>
      <c r="AA15" s="247">
        <f t="shared" si="83"/>
        <v>0</v>
      </c>
      <c r="AB15" s="496">
        <f t="shared" si="84"/>
        <v>12.78</v>
      </c>
      <c r="AC15" s="251">
        <f t="shared" si="238"/>
        <v>0</v>
      </c>
      <c r="AD15" s="251">
        <f t="shared" si="239"/>
        <v>0</v>
      </c>
      <c r="AE15" s="251">
        <f t="shared" si="240"/>
        <v>0</v>
      </c>
      <c r="AF15" s="251">
        <f t="shared" si="16"/>
        <v>19.169999999999998</v>
      </c>
      <c r="AG15" s="251">
        <f t="shared" si="17"/>
        <v>18.914400000000001</v>
      </c>
      <c r="AH15" s="251">
        <f t="shared" si="18"/>
        <v>0</v>
      </c>
      <c r="AI15" s="497" t="str">
        <f t="shared" si="19"/>
        <v>NÃO</v>
      </c>
      <c r="AJ15" s="253">
        <f t="shared" si="241"/>
        <v>0</v>
      </c>
      <c r="AK15" s="253">
        <f t="shared" si="242"/>
        <v>0</v>
      </c>
      <c r="AL15" s="253">
        <f t="shared" si="243"/>
        <v>36.47841783548489</v>
      </c>
      <c r="AM15" s="241">
        <f t="shared" si="244"/>
        <v>0.63900000000000001</v>
      </c>
      <c r="AN15" s="246">
        <f t="shared" si="245"/>
        <v>0</v>
      </c>
      <c r="AO15" s="253">
        <f t="shared" si="246"/>
        <v>0</v>
      </c>
      <c r="AP15" s="253">
        <f t="shared" si="247"/>
        <v>0</v>
      </c>
      <c r="AQ15" s="253">
        <f t="shared" si="248"/>
        <v>0.7</v>
      </c>
      <c r="AR15" s="253">
        <f t="shared" si="249"/>
        <v>7.3400178354848977</v>
      </c>
      <c r="AS15" s="253">
        <f t="shared" si="250"/>
        <v>0</v>
      </c>
      <c r="AT15" s="253">
        <f t="shared" si="251"/>
        <v>1.9169999999999998</v>
      </c>
      <c r="AU15" s="253">
        <f t="shared" si="252"/>
        <v>1.9169999999999998</v>
      </c>
      <c r="AV15" s="253">
        <f t="shared" si="253"/>
        <v>0.38339999999999996</v>
      </c>
      <c r="AW15" s="253">
        <f t="shared" si="254"/>
        <v>24.665399999999988</v>
      </c>
      <c r="AX15" s="253">
        <f t="shared" si="255"/>
        <v>28.827382164515104</v>
      </c>
      <c r="AY15" s="253">
        <f t="shared" si="256"/>
        <v>24.665399999999988</v>
      </c>
      <c r="AZ15" s="253">
        <f t="shared" si="257"/>
        <v>0</v>
      </c>
      <c r="BA15" s="253">
        <f t="shared" si="192"/>
        <v>0</v>
      </c>
      <c r="BB15" s="253">
        <f t="shared" si="258"/>
        <v>0</v>
      </c>
      <c r="BC15" s="253"/>
      <c r="BD15" s="253">
        <f t="shared" si="38"/>
        <v>7.6679999999999998E-2</v>
      </c>
      <c r="BE15" s="496">
        <f t="shared" si="259"/>
        <v>2.98</v>
      </c>
      <c r="BF15" s="498">
        <f t="shared" si="260"/>
        <v>0</v>
      </c>
      <c r="BG15" s="498">
        <f t="shared" si="261"/>
        <v>12.78</v>
      </c>
      <c r="BH15" s="495" t="str">
        <f>VLOOKUP(A15,'BOCA DE LOBO'!C:I,7,0)</f>
        <v>BOCA DE LOBO PROJETADA DUPLA</v>
      </c>
      <c r="BI15" s="253">
        <f t="shared" si="262"/>
        <v>0</v>
      </c>
      <c r="BJ15" s="253">
        <f t="shared" si="263"/>
        <v>0</v>
      </c>
      <c r="BK15" s="253">
        <f t="shared" si="264"/>
        <v>0</v>
      </c>
      <c r="BL15" s="253">
        <f t="shared" si="265"/>
        <v>0</v>
      </c>
      <c r="BM15" s="253">
        <f t="shared" si="266"/>
        <v>0</v>
      </c>
      <c r="BN15" s="253">
        <f t="shared" si="267"/>
        <v>1</v>
      </c>
      <c r="BO15" s="253">
        <f t="shared" si="268"/>
        <v>0</v>
      </c>
      <c r="BP15" s="500"/>
      <c r="BQ15" s="496">
        <f t="shared" si="269"/>
        <v>38.339999999999996</v>
      </c>
      <c r="BR15" s="496">
        <f t="shared" si="270"/>
        <v>37.828800000000001</v>
      </c>
      <c r="BS15" s="496">
        <f t="shared" si="271"/>
        <v>0</v>
      </c>
      <c r="BV15" s="502">
        <f t="shared" si="272"/>
        <v>19.456499999999998</v>
      </c>
      <c r="BW15" s="502">
        <f t="shared" si="273"/>
        <v>7.7825999999999986</v>
      </c>
      <c r="BX15" s="502">
        <f t="shared" si="274"/>
        <v>3.0325999999999995</v>
      </c>
      <c r="BY15" s="502">
        <f t="shared" si="275"/>
        <v>2.5</v>
      </c>
      <c r="BZ15" s="502">
        <f t="shared" si="276"/>
        <v>2.5</v>
      </c>
      <c r="CA15" s="502">
        <f t="shared" si="277"/>
        <v>0</v>
      </c>
      <c r="CB15" s="502">
        <f t="shared" si="278"/>
        <v>0</v>
      </c>
      <c r="CC15" s="502">
        <f t="shared" si="279"/>
        <v>11.673899999999998</v>
      </c>
      <c r="CD15" s="502">
        <f t="shared" si="280"/>
        <v>7.7825999999999986</v>
      </c>
      <c r="CE15" s="502">
        <f t="shared" si="281"/>
        <v>0</v>
      </c>
      <c r="CF15" s="502">
        <f t="shared" si="282"/>
        <v>0</v>
      </c>
      <c r="CG15" s="502">
        <f t="shared" si="283"/>
        <v>0</v>
      </c>
      <c r="CH15" s="502">
        <f t="shared" si="284"/>
        <v>0</v>
      </c>
      <c r="CI15" s="253">
        <f t="shared" si="285"/>
        <v>0.53549999999999998</v>
      </c>
      <c r="CJ15" s="502">
        <f t="shared" si="286"/>
        <v>11.339499999999997</v>
      </c>
      <c r="CK15" s="502">
        <f>IF($CK$71&gt;$CJ$69,CJ15,CJ15*$CK$71/$CJ$69)</f>
        <v>11.339499999999997</v>
      </c>
      <c r="CL15" s="502">
        <f t="shared" si="287"/>
        <v>0</v>
      </c>
      <c r="CM15" s="502">
        <f t="shared" si="288"/>
        <v>0</v>
      </c>
      <c r="CN15" s="502">
        <f t="shared" si="289"/>
        <v>3.57</v>
      </c>
      <c r="CO15" s="502">
        <f t="shared" si="290"/>
        <v>2.5</v>
      </c>
      <c r="CP15" s="502">
        <f t="shared" si="291"/>
        <v>10.709999999999999</v>
      </c>
      <c r="CQ15" s="502">
        <f t="shared" si="292"/>
        <v>7.14</v>
      </c>
      <c r="CR15" s="220">
        <f t="shared" si="293"/>
        <v>0</v>
      </c>
      <c r="CS15" s="503">
        <f t="shared" si="294"/>
        <v>0</v>
      </c>
      <c r="CT15" s="503">
        <f t="shared" si="295"/>
        <v>0.33012999999999998</v>
      </c>
      <c r="CU15" s="504">
        <f t="shared" si="296"/>
        <v>13</v>
      </c>
      <c r="CV15" s="504">
        <f t="shared" si="297"/>
        <v>1.43895</v>
      </c>
      <c r="CW15" s="502">
        <f t="shared" si="298"/>
        <v>23.248199999999997</v>
      </c>
      <c r="CX15" s="253">
        <f t="shared" si="299"/>
        <v>3.57</v>
      </c>
      <c r="CY15" s="505">
        <f t="shared" si="300"/>
        <v>1.7849999999999999</v>
      </c>
      <c r="CZ15" s="502">
        <f t="shared" si="301"/>
        <v>0</v>
      </c>
    </row>
    <row r="16" spans="1:104" s="501" customFormat="1" ht="25" x14ac:dyDescent="0.25">
      <c r="A16" s="291" t="str">
        <f>'BOCA DE LOBO'!C15</f>
        <v>BL11-&gt;PV3.1</v>
      </c>
      <c r="B16" s="291" t="str">
        <f>'BOCA DE LOBO'!A15</f>
        <v>PV3.1</v>
      </c>
      <c r="C16" s="413" t="str">
        <f>VLOOKUP(A16,'BOCA DE LOBO'!$C$1:$Q$76,3,0)</f>
        <v>PROJETADO</v>
      </c>
      <c r="D16" s="291" t="str">
        <f>VLOOKUP(A16,'BOCA DE LOBO'!$C$1:$Q$76,10,0)</f>
        <v>PROJETADA</v>
      </c>
      <c r="E16" s="413">
        <f t="shared" si="154"/>
        <v>2.5</v>
      </c>
      <c r="F16" s="291">
        <f>VLOOKUP(A16,'BOCA DE LOBO'!$C$1:$Q$76,2,0)</f>
        <v>3.2</v>
      </c>
      <c r="G16" s="291">
        <f>VLOOKUP(A16,'BOCA DE LOBO'!$C$1:$Q$76,4,0)</f>
        <v>8.49</v>
      </c>
      <c r="H16" s="238">
        <v>400</v>
      </c>
      <c r="I16" s="493">
        <f t="shared" si="155"/>
        <v>2.98</v>
      </c>
      <c r="J16" s="241">
        <f t="shared" si="2"/>
        <v>1.26501</v>
      </c>
      <c r="K16" s="494">
        <v>0</v>
      </c>
      <c r="L16" s="253">
        <f t="shared" si="231"/>
        <v>1</v>
      </c>
      <c r="M16" s="253">
        <f t="shared" si="232"/>
        <v>1</v>
      </c>
      <c r="N16" s="253">
        <f t="shared" si="233"/>
        <v>0</v>
      </c>
      <c r="O16" s="253">
        <f t="shared" si="234"/>
        <v>8.49</v>
      </c>
      <c r="P16" s="495" t="str">
        <f>VLOOKUP(B16,'Planilha Hidráulica'!$AE$10:$AQ$39,13,0)</f>
        <v>ASFALTO</v>
      </c>
      <c r="Q16" s="495" t="s">
        <v>2977</v>
      </c>
      <c r="R16" s="495"/>
      <c r="S16" s="495">
        <f>VLOOKUP(Q16,Quantitativos!P:R,3,0)</f>
        <v>5</v>
      </c>
      <c r="T16" s="495">
        <f>VLOOKUP(Q16,Quantitativos!P:S,4,0)</f>
        <v>5</v>
      </c>
      <c r="U16" s="253">
        <f t="shared" si="7"/>
        <v>0.05</v>
      </c>
      <c r="V16" s="246">
        <f t="shared" si="235"/>
        <v>0</v>
      </c>
      <c r="W16" s="246">
        <f t="shared" si="236"/>
        <v>25.3002</v>
      </c>
      <c r="X16" s="247">
        <f t="shared" si="82"/>
        <v>0</v>
      </c>
      <c r="Y16" s="247">
        <f t="shared" si="237"/>
        <v>0</v>
      </c>
      <c r="Z16" s="247">
        <f t="shared" si="12"/>
        <v>2.98</v>
      </c>
      <c r="AA16" s="247">
        <f t="shared" si="83"/>
        <v>0</v>
      </c>
      <c r="AB16" s="496">
        <f t="shared" si="84"/>
        <v>8.49</v>
      </c>
      <c r="AC16" s="251">
        <f t="shared" si="238"/>
        <v>0</v>
      </c>
      <c r="AD16" s="251">
        <f t="shared" si="239"/>
        <v>0</v>
      </c>
      <c r="AE16" s="251">
        <f t="shared" si="240"/>
        <v>0</v>
      </c>
      <c r="AF16" s="251">
        <f t="shared" si="16"/>
        <v>12.734999999999999</v>
      </c>
      <c r="AG16" s="251">
        <f t="shared" si="17"/>
        <v>12.565200000000001</v>
      </c>
      <c r="AH16" s="251">
        <f t="shared" si="18"/>
        <v>0</v>
      </c>
      <c r="AI16" s="497" t="str">
        <f t="shared" si="19"/>
        <v>NÃO</v>
      </c>
      <c r="AJ16" s="253">
        <f t="shared" si="241"/>
        <v>0</v>
      </c>
      <c r="AK16" s="253">
        <f t="shared" si="242"/>
        <v>0</v>
      </c>
      <c r="AL16" s="253">
        <f t="shared" si="243"/>
        <v>24.233315134840907</v>
      </c>
      <c r="AM16" s="241">
        <f t="shared" si="244"/>
        <v>0.42450000000000004</v>
      </c>
      <c r="AN16" s="246">
        <f t="shared" si="245"/>
        <v>0</v>
      </c>
      <c r="AO16" s="253">
        <f t="shared" si="246"/>
        <v>0</v>
      </c>
      <c r="AP16" s="253">
        <f t="shared" si="247"/>
        <v>0</v>
      </c>
      <c r="AQ16" s="253">
        <f t="shared" si="248"/>
        <v>0.7</v>
      </c>
      <c r="AR16" s="253">
        <f t="shared" si="249"/>
        <v>4.876115134840906</v>
      </c>
      <c r="AS16" s="253">
        <f t="shared" si="250"/>
        <v>0</v>
      </c>
      <c r="AT16" s="253">
        <f t="shared" si="251"/>
        <v>1.2735000000000001</v>
      </c>
      <c r="AU16" s="253">
        <f t="shared" si="252"/>
        <v>1.2735000000000001</v>
      </c>
      <c r="AV16" s="253">
        <f t="shared" si="253"/>
        <v>0.25469999999999998</v>
      </c>
      <c r="AW16" s="253">
        <f t="shared" si="254"/>
        <v>16.385700000000007</v>
      </c>
      <c r="AX16" s="253">
        <f t="shared" si="255"/>
        <v>19.150584865159097</v>
      </c>
      <c r="AY16" s="253">
        <f t="shared" si="256"/>
        <v>16.385700000000007</v>
      </c>
      <c r="AZ16" s="253">
        <f t="shared" si="257"/>
        <v>0</v>
      </c>
      <c r="BA16" s="253">
        <f t="shared" si="192"/>
        <v>0</v>
      </c>
      <c r="BB16" s="253">
        <f t="shared" si="258"/>
        <v>0</v>
      </c>
      <c r="BC16" s="253"/>
      <c r="BD16" s="253">
        <f t="shared" si="38"/>
        <v>5.0940000000000006E-2</v>
      </c>
      <c r="BE16" s="496">
        <f t="shared" si="259"/>
        <v>2.98</v>
      </c>
      <c r="BF16" s="498">
        <f t="shared" si="260"/>
        <v>0</v>
      </c>
      <c r="BG16" s="498">
        <f t="shared" si="261"/>
        <v>8.49</v>
      </c>
      <c r="BH16" s="495" t="str">
        <f>VLOOKUP(A16,'BOCA DE LOBO'!C:I,7,0)</f>
        <v>BOCA DE LOBO PROJETADA DUPLA</v>
      </c>
      <c r="BI16" s="253">
        <f t="shared" si="262"/>
        <v>0</v>
      </c>
      <c r="BJ16" s="253">
        <f t="shared" si="263"/>
        <v>0</v>
      </c>
      <c r="BK16" s="253">
        <f t="shared" si="264"/>
        <v>0</v>
      </c>
      <c r="BL16" s="253">
        <f t="shared" si="265"/>
        <v>0</v>
      </c>
      <c r="BM16" s="253">
        <f t="shared" si="266"/>
        <v>0</v>
      </c>
      <c r="BN16" s="253">
        <f t="shared" si="267"/>
        <v>1</v>
      </c>
      <c r="BO16" s="253">
        <f t="shared" si="268"/>
        <v>0</v>
      </c>
      <c r="BP16" s="500"/>
      <c r="BQ16" s="496">
        <f t="shared" si="269"/>
        <v>25.47</v>
      </c>
      <c r="BR16" s="496">
        <f t="shared" si="270"/>
        <v>25.130400000000002</v>
      </c>
      <c r="BS16" s="496">
        <f t="shared" si="271"/>
        <v>0</v>
      </c>
      <c r="BV16" s="502">
        <f t="shared" si="272"/>
        <v>19.456499999999998</v>
      </c>
      <c r="BW16" s="502">
        <f t="shared" si="273"/>
        <v>7.7825999999999986</v>
      </c>
      <c r="BX16" s="502">
        <f t="shared" si="274"/>
        <v>3.0325999999999995</v>
      </c>
      <c r="BY16" s="502">
        <f t="shared" si="275"/>
        <v>2.5</v>
      </c>
      <c r="BZ16" s="502">
        <f t="shared" si="276"/>
        <v>2.5</v>
      </c>
      <c r="CA16" s="502">
        <f t="shared" si="277"/>
        <v>0</v>
      </c>
      <c r="CB16" s="502">
        <f t="shared" si="278"/>
        <v>0</v>
      </c>
      <c r="CC16" s="502">
        <f t="shared" si="279"/>
        <v>11.673899999999998</v>
      </c>
      <c r="CD16" s="502">
        <f t="shared" si="280"/>
        <v>7.7825999999999986</v>
      </c>
      <c r="CE16" s="502">
        <f t="shared" si="281"/>
        <v>0</v>
      </c>
      <c r="CF16" s="502">
        <f t="shared" si="282"/>
        <v>0</v>
      </c>
      <c r="CG16" s="502">
        <f t="shared" si="283"/>
        <v>0</v>
      </c>
      <c r="CH16" s="502">
        <f t="shared" si="284"/>
        <v>0</v>
      </c>
      <c r="CI16" s="253">
        <f t="shared" si="285"/>
        <v>0.53549999999999998</v>
      </c>
      <c r="CJ16" s="502">
        <f t="shared" si="286"/>
        <v>11.339499999999997</v>
      </c>
      <c r="CK16" s="502">
        <f>IF($CK$71&gt;$CJ$69,CJ16,CJ16*$CK$71/$CJ$69)</f>
        <v>11.339499999999997</v>
      </c>
      <c r="CL16" s="502">
        <f t="shared" si="287"/>
        <v>0</v>
      </c>
      <c r="CM16" s="502">
        <f t="shared" si="288"/>
        <v>0</v>
      </c>
      <c r="CN16" s="502">
        <f t="shared" si="289"/>
        <v>3.57</v>
      </c>
      <c r="CO16" s="502">
        <f t="shared" si="290"/>
        <v>2.5</v>
      </c>
      <c r="CP16" s="502">
        <f t="shared" si="291"/>
        <v>10.709999999999999</v>
      </c>
      <c r="CQ16" s="502">
        <f t="shared" si="292"/>
        <v>7.14</v>
      </c>
      <c r="CR16" s="220">
        <f t="shared" si="293"/>
        <v>0</v>
      </c>
      <c r="CS16" s="503">
        <f t="shared" si="294"/>
        <v>0</v>
      </c>
      <c r="CT16" s="503">
        <f t="shared" si="295"/>
        <v>0.33012999999999998</v>
      </c>
      <c r="CU16" s="504">
        <f t="shared" si="296"/>
        <v>13</v>
      </c>
      <c r="CV16" s="504">
        <f t="shared" si="297"/>
        <v>1.43895</v>
      </c>
      <c r="CW16" s="502">
        <f t="shared" si="298"/>
        <v>23.248199999999997</v>
      </c>
      <c r="CX16" s="253">
        <f t="shared" si="299"/>
        <v>3.57</v>
      </c>
      <c r="CY16" s="505">
        <f t="shared" si="300"/>
        <v>1.7849999999999999</v>
      </c>
      <c r="CZ16" s="502">
        <f t="shared" si="301"/>
        <v>0</v>
      </c>
    </row>
    <row r="17" spans="1:104" ht="13" x14ac:dyDescent="0.3">
      <c r="A17" s="222" t="str">
        <f>'BOCA DE LOBO'!A16</f>
        <v>RD-3</v>
      </c>
      <c r="B17" s="222"/>
      <c r="C17" s="222"/>
      <c r="D17" s="222"/>
      <c r="E17" s="223"/>
      <c r="F17" s="223"/>
      <c r="G17" s="223"/>
      <c r="H17" s="201"/>
      <c r="I17" s="201"/>
      <c r="J17" s="201"/>
      <c r="K17" s="201"/>
      <c r="L17" s="224"/>
      <c r="M17" s="225"/>
      <c r="N17" s="225"/>
      <c r="O17" s="225"/>
      <c r="P17" s="224"/>
      <c r="Q17" s="506"/>
      <c r="R17" s="506"/>
      <c r="S17" s="224"/>
      <c r="T17" s="224"/>
      <c r="U17" s="225"/>
      <c r="V17" s="226"/>
      <c r="W17" s="227"/>
      <c r="X17" s="227"/>
      <c r="Y17" s="227"/>
      <c r="Z17" s="227"/>
      <c r="AA17" s="227"/>
      <c r="AB17" s="228"/>
      <c r="AC17" s="229"/>
      <c r="AD17" s="229"/>
      <c r="AE17" s="229"/>
      <c r="AF17" s="229"/>
      <c r="AG17" s="229"/>
      <c r="AH17" s="229"/>
      <c r="AI17" s="217"/>
      <c r="AJ17" s="201"/>
      <c r="AK17" s="201"/>
      <c r="AL17" s="201"/>
      <c r="AM17" s="201"/>
      <c r="AN17" s="213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B17" s="201"/>
      <c r="BC17" s="201"/>
      <c r="BD17" s="201"/>
      <c r="BE17" s="231"/>
      <c r="BF17" s="198"/>
      <c r="BG17" s="198"/>
      <c r="BH17" s="488"/>
      <c r="BI17" s="234"/>
      <c r="BJ17" s="234"/>
      <c r="BK17" s="234"/>
      <c r="BL17" s="234"/>
      <c r="BM17" s="234"/>
      <c r="BN17" s="489"/>
      <c r="BO17" s="490"/>
      <c r="BP17" s="491"/>
      <c r="BQ17" s="198"/>
      <c r="BR17" s="198"/>
      <c r="BS17" s="198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492"/>
      <c r="CT17" s="492"/>
      <c r="CU17" s="492"/>
      <c r="CV17" s="492"/>
      <c r="CW17" s="220"/>
      <c r="CX17" s="201"/>
      <c r="CY17" s="208"/>
    </row>
    <row r="18" spans="1:104" s="501" customFormat="1" ht="25" x14ac:dyDescent="0.25">
      <c r="A18" s="291" t="str">
        <f>'BOCA DE LOBO'!C17</f>
        <v>BL12-&gt;PV1.1</v>
      </c>
      <c r="B18" s="291" t="str">
        <f>'BOCA DE LOBO'!A17</f>
        <v>PV1.1</v>
      </c>
      <c r="C18" s="413" t="str">
        <f>VLOOKUP(A18,'BOCA DE LOBO'!$C$1:$Q$76,3,0)</f>
        <v>PROJETADO</v>
      </c>
      <c r="D18" s="291" t="str">
        <f>VLOOKUP(A18,'BOCA DE LOBO'!$C$1:$Q$76,10,0)</f>
        <v>EXISTENTE</v>
      </c>
      <c r="E18" s="413">
        <f t="shared" ref="E18:E33" si="302">IF(F18-G18*4%&lt;2.5,F18-G18*4%,2.5)</f>
        <v>2.5</v>
      </c>
      <c r="F18" s="291">
        <f>VLOOKUP(A18,'BOCA DE LOBO'!$C$1:$Q$76,2,0)</f>
        <v>3.53</v>
      </c>
      <c r="G18" s="291">
        <f>VLOOKUP(A18,'BOCA DE LOBO'!$C$1:$Q$76,4,0)</f>
        <v>10.09</v>
      </c>
      <c r="H18" s="238">
        <v>400</v>
      </c>
      <c r="I18" s="493">
        <f t="shared" ref="I18:I33" si="303">IF(H18=400,((E18+F18)/2)+0.08+U18,IF(H18=500,((E18+F18)/2)+0.1+U18,IF(H18=600,((E18+F18)/2)+0.12+U18,IF(H18=800,((E18+F18)/2)+0.16+U18,IF(H18=1000,((E18+F18)/2)+0.2+U18,IF(H18=1200,((E18+F18)/2)+0.24+U18,IF(H18=1500,((E18+F18)/2)+0.3+U18,IF(H18&gt;1500,((E18+F18)/2)+0.4+U18))))))))</f>
        <v>3.1449999999999996</v>
      </c>
      <c r="J18" s="241">
        <f t="shared" si="2"/>
        <v>0</v>
      </c>
      <c r="K18" s="494">
        <v>0</v>
      </c>
      <c r="L18" s="253">
        <f t="shared" si="231"/>
        <v>0</v>
      </c>
      <c r="M18" s="253">
        <f t="shared" si="232"/>
        <v>0</v>
      </c>
      <c r="N18" s="253">
        <f t="shared" si="233"/>
        <v>400</v>
      </c>
      <c r="O18" s="253">
        <f t="shared" si="234"/>
        <v>0</v>
      </c>
      <c r="P18" s="495" t="str">
        <f>VLOOKUP(B18,'Planilha Hidráulica'!$AE$10:$AQ$39,13,0)</f>
        <v>ASFALTO</v>
      </c>
      <c r="Q18" s="495" t="s">
        <v>2421</v>
      </c>
      <c r="R18" s="495"/>
      <c r="S18" s="495">
        <f>VLOOKUP(Q18,Quantitativos!P:R,3,0)</f>
        <v>5</v>
      </c>
      <c r="T18" s="495">
        <f>VLOOKUP(Q18,Quantitativos!P:S,4,0)</f>
        <v>5</v>
      </c>
      <c r="U18" s="253">
        <f t="shared" si="7"/>
        <v>0.05</v>
      </c>
      <c r="V18" s="246">
        <f t="shared" si="235"/>
        <v>0</v>
      </c>
      <c r="W18" s="246">
        <f t="shared" si="236"/>
        <v>0</v>
      </c>
      <c r="X18" s="247">
        <f t="shared" si="82"/>
        <v>0</v>
      </c>
      <c r="Y18" s="247">
        <f t="shared" si="237"/>
        <v>0</v>
      </c>
      <c r="Z18" s="247">
        <f t="shared" si="12"/>
        <v>3.1449999999999996</v>
      </c>
      <c r="AA18" s="247">
        <f t="shared" si="83"/>
        <v>0</v>
      </c>
      <c r="AB18" s="496">
        <f t="shared" si="84"/>
        <v>0</v>
      </c>
      <c r="AC18" s="251">
        <f t="shared" si="238"/>
        <v>0</v>
      </c>
      <c r="AD18" s="251">
        <f t="shared" si="239"/>
        <v>0</v>
      </c>
      <c r="AE18" s="251">
        <f t="shared" si="240"/>
        <v>0</v>
      </c>
      <c r="AF18" s="251">
        <f t="shared" si="16"/>
        <v>0</v>
      </c>
      <c r="AG18" s="251">
        <f t="shared" si="17"/>
        <v>0</v>
      </c>
      <c r="AH18" s="251">
        <f t="shared" si="18"/>
        <v>0</v>
      </c>
      <c r="AI18" s="497" t="str">
        <f t="shared" si="19"/>
        <v>NÃO</v>
      </c>
      <c r="AJ18" s="253">
        <f t="shared" si="241"/>
        <v>0</v>
      </c>
      <c r="AK18" s="253">
        <f t="shared" si="242"/>
        <v>0</v>
      </c>
      <c r="AL18" s="253">
        <f t="shared" si="243"/>
        <v>0</v>
      </c>
      <c r="AM18" s="241">
        <f t="shared" si="244"/>
        <v>0</v>
      </c>
      <c r="AN18" s="246">
        <f t="shared" si="245"/>
        <v>0</v>
      </c>
      <c r="AO18" s="253">
        <f t="shared" si="246"/>
        <v>0</v>
      </c>
      <c r="AP18" s="253">
        <f t="shared" si="247"/>
        <v>0</v>
      </c>
      <c r="AQ18" s="253">
        <f t="shared" si="248"/>
        <v>0.7</v>
      </c>
      <c r="AR18" s="253">
        <f t="shared" si="249"/>
        <v>0</v>
      </c>
      <c r="AS18" s="253">
        <f t="shared" si="250"/>
        <v>0</v>
      </c>
      <c r="AT18" s="253">
        <f t="shared" si="251"/>
        <v>0</v>
      </c>
      <c r="AU18" s="253">
        <f t="shared" si="252"/>
        <v>0</v>
      </c>
      <c r="AV18" s="253">
        <f t="shared" si="253"/>
        <v>0</v>
      </c>
      <c r="AW18" s="253">
        <f t="shared" si="254"/>
        <v>0</v>
      </c>
      <c r="AX18" s="253">
        <f t="shared" si="255"/>
        <v>0</v>
      </c>
      <c r="AY18" s="253">
        <f t="shared" si="256"/>
        <v>0</v>
      </c>
      <c r="AZ18" s="253">
        <f t="shared" si="257"/>
        <v>0</v>
      </c>
      <c r="BA18" s="253">
        <f t="shared" ref="BA18:BA33" si="304">IF($AZ$69&gt;$BA$71,($BA$71/$AZ$69)*AZ18,AZ18)</f>
        <v>0</v>
      </c>
      <c r="BB18" s="253">
        <f t="shared" si="258"/>
        <v>0</v>
      </c>
      <c r="BC18" s="253"/>
      <c r="BD18" s="253">
        <f t="shared" si="38"/>
        <v>0</v>
      </c>
      <c r="BE18" s="496">
        <f t="shared" si="259"/>
        <v>3.1449999999999996</v>
      </c>
      <c r="BF18" s="498">
        <f t="shared" si="260"/>
        <v>0</v>
      </c>
      <c r="BG18" s="498">
        <f t="shared" si="261"/>
        <v>0</v>
      </c>
      <c r="BH18" s="495" t="str">
        <f>VLOOKUP(A18,'BOCA DE LOBO'!C:I,7,0)</f>
        <v>BOCA DE LOBO EXISTENTE DUPLA</v>
      </c>
      <c r="BI18" s="253">
        <f t="shared" si="262"/>
        <v>0</v>
      </c>
      <c r="BJ18" s="253">
        <f t="shared" si="263"/>
        <v>0</v>
      </c>
      <c r="BK18" s="253">
        <f t="shared" si="264"/>
        <v>0</v>
      </c>
      <c r="BL18" s="253">
        <f t="shared" si="265"/>
        <v>0</v>
      </c>
      <c r="BM18" s="253">
        <f t="shared" si="266"/>
        <v>0</v>
      </c>
      <c r="BN18" s="253">
        <f t="shared" si="267"/>
        <v>0</v>
      </c>
      <c r="BO18" s="253">
        <f t="shared" si="268"/>
        <v>0</v>
      </c>
      <c r="BP18" s="500"/>
      <c r="BQ18" s="496">
        <f t="shared" si="269"/>
        <v>30.27</v>
      </c>
      <c r="BR18" s="496">
        <f t="shared" si="270"/>
        <v>30.27</v>
      </c>
      <c r="BS18" s="496">
        <f t="shared" si="271"/>
        <v>2.9260999999999915</v>
      </c>
      <c r="BV18" s="502">
        <f t="shared" si="272"/>
        <v>0</v>
      </c>
      <c r="BW18" s="502">
        <f t="shared" si="273"/>
        <v>0</v>
      </c>
      <c r="BX18" s="502">
        <f t="shared" si="274"/>
        <v>0</v>
      </c>
      <c r="BY18" s="502">
        <f t="shared" si="275"/>
        <v>2.5</v>
      </c>
      <c r="BZ18" s="502">
        <f t="shared" si="276"/>
        <v>2.5</v>
      </c>
      <c r="CA18" s="502">
        <f t="shared" si="277"/>
        <v>0</v>
      </c>
      <c r="CB18" s="502">
        <f t="shared" si="278"/>
        <v>0</v>
      </c>
      <c r="CC18" s="502">
        <f t="shared" si="279"/>
        <v>0</v>
      </c>
      <c r="CD18" s="502">
        <f t="shared" si="280"/>
        <v>0</v>
      </c>
      <c r="CE18" s="502">
        <f t="shared" si="281"/>
        <v>0</v>
      </c>
      <c r="CF18" s="502">
        <f t="shared" si="282"/>
        <v>0</v>
      </c>
      <c r="CG18" s="502">
        <f t="shared" si="283"/>
        <v>0</v>
      </c>
      <c r="CH18" s="502">
        <f t="shared" si="284"/>
        <v>0</v>
      </c>
      <c r="CI18" s="253">
        <f t="shared" si="285"/>
        <v>0</v>
      </c>
      <c r="CJ18" s="502">
        <f t="shared" si="286"/>
        <v>0</v>
      </c>
      <c r="CK18" s="502">
        <f t="shared" ref="CK18:CK27" si="305">IF($CK$71&gt;$CJ$69,CJ18,CJ18*$CK$71/$CJ$69)</f>
        <v>0</v>
      </c>
      <c r="CL18" s="502">
        <f t="shared" si="287"/>
        <v>0</v>
      </c>
      <c r="CM18" s="502">
        <f t="shared" si="288"/>
        <v>0</v>
      </c>
      <c r="CN18" s="502">
        <f t="shared" si="289"/>
        <v>0</v>
      </c>
      <c r="CO18" s="502">
        <f t="shared" si="290"/>
        <v>2.5</v>
      </c>
      <c r="CP18" s="502">
        <f t="shared" si="291"/>
        <v>0</v>
      </c>
      <c r="CQ18" s="502">
        <f t="shared" si="292"/>
        <v>0</v>
      </c>
      <c r="CR18" s="220">
        <f t="shared" si="293"/>
        <v>0</v>
      </c>
      <c r="CS18" s="503">
        <f t="shared" si="294"/>
        <v>0</v>
      </c>
      <c r="CT18" s="503">
        <f t="shared" si="295"/>
        <v>0</v>
      </c>
      <c r="CU18" s="504">
        <f t="shared" si="296"/>
        <v>0</v>
      </c>
      <c r="CV18" s="504">
        <f t="shared" si="297"/>
        <v>0</v>
      </c>
      <c r="CW18" s="502">
        <f t="shared" si="298"/>
        <v>0</v>
      </c>
      <c r="CX18" s="253">
        <f t="shared" si="299"/>
        <v>0</v>
      </c>
      <c r="CY18" s="505">
        <f t="shared" si="300"/>
        <v>0</v>
      </c>
      <c r="CZ18" s="502">
        <f t="shared" si="301"/>
        <v>0</v>
      </c>
    </row>
    <row r="19" spans="1:104" s="501" customFormat="1" ht="25" x14ac:dyDescent="0.25">
      <c r="A19" s="291" t="str">
        <f>'BOCA DE LOBO'!C18</f>
        <v>BL13-&gt;PV1.1</v>
      </c>
      <c r="B19" s="291" t="str">
        <f>'BOCA DE LOBO'!A18</f>
        <v>PV1.1</v>
      </c>
      <c r="C19" s="413" t="str">
        <f>VLOOKUP(A19,'BOCA DE LOBO'!$C$1:$Q$76,3,0)</f>
        <v>PROJETADO</v>
      </c>
      <c r="D19" s="291" t="str">
        <f>VLOOKUP(A19,'BOCA DE LOBO'!$C$1:$Q$76,10,0)</f>
        <v>PROJETADA</v>
      </c>
      <c r="E19" s="413">
        <f t="shared" si="302"/>
        <v>2.5</v>
      </c>
      <c r="F19" s="291">
        <f>VLOOKUP(A19,'BOCA DE LOBO'!$C$1:$Q$76,2,0)</f>
        <v>3.53</v>
      </c>
      <c r="G19" s="291">
        <f>VLOOKUP(A19,'BOCA DE LOBO'!$C$1:$Q$76,4,0)</f>
        <v>5.04</v>
      </c>
      <c r="H19" s="238">
        <v>400</v>
      </c>
      <c r="I19" s="493">
        <f t="shared" si="303"/>
        <v>3.1449999999999996</v>
      </c>
      <c r="J19" s="241">
        <f t="shared" si="2"/>
        <v>0.79253999999999991</v>
      </c>
      <c r="K19" s="494">
        <v>0</v>
      </c>
      <c r="L19" s="253">
        <f t="shared" si="231"/>
        <v>1</v>
      </c>
      <c r="M19" s="253">
        <f t="shared" si="232"/>
        <v>1</v>
      </c>
      <c r="N19" s="253">
        <f t="shared" si="233"/>
        <v>0</v>
      </c>
      <c r="O19" s="253">
        <f t="shared" si="234"/>
        <v>5.04</v>
      </c>
      <c r="P19" s="495" t="str">
        <f>VLOOKUP(B19,'Planilha Hidráulica'!$AE$10:$AQ$39,13,0)</f>
        <v>ASFALTO</v>
      </c>
      <c r="Q19" s="495" t="s">
        <v>2421</v>
      </c>
      <c r="R19" s="495"/>
      <c r="S19" s="495">
        <f>VLOOKUP(Q19,Quantitativos!P:R,3,0)</f>
        <v>5</v>
      </c>
      <c r="T19" s="495">
        <f>VLOOKUP(Q19,Quantitativos!P:S,4,0)</f>
        <v>5</v>
      </c>
      <c r="U19" s="253">
        <f t="shared" si="7"/>
        <v>0.05</v>
      </c>
      <c r="V19" s="246">
        <f t="shared" si="235"/>
        <v>0</v>
      </c>
      <c r="W19" s="246">
        <f t="shared" si="236"/>
        <v>15.850799999999998</v>
      </c>
      <c r="X19" s="247">
        <f t="shared" si="82"/>
        <v>0</v>
      </c>
      <c r="Y19" s="247">
        <f t="shared" si="237"/>
        <v>0</v>
      </c>
      <c r="Z19" s="247">
        <f t="shared" si="12"/>
        <v>3.1449999999999996</v>
      </c>
      <c r="AA19" s="247">
        <f t="shared" si="83"/>
        <v>0</v>
      </c>
      <c r="AB19" s="496">
        <f t="shared" si="84"/>
        <v>5.04</v>
      </c>
      <c r="AC19" s="251">
        <f t="shared" si="238"/>
        <v>0</v>
      </c>
      <c r="AD19" s="251">
        <f t="shared" si="239"/>
        <v>0</v>
      </c>
      <c r="AE19" s="251">
        <f t="shared" si="240"/>
        <v>0</v>
      </c>
      <c r="AF19" s="251">
        <f t="shared" si="16"/>
        <v>7.5600000000000005</v>
      </c>
      <c r="AG19" s="251">
        <f t="shared" si="17"/>
        <v>7.5600000000000005</v>
      </c>
      <c r="AH19" s="251">
        <f t="shared" si="18"/>
        <v>0.7307999999999979</v>
      </c>
      <c r="AI19" s="497" t="str">
        <f t="shared" si="19"/>
        <v>NÃO</v>
      </c>
      <c r="AJ19" s="253">
        <f t="shared" si="241"/>
        <v>0</v>
      </c>
      <c r="AK19" s="253">
        <f t="shared" si="242"/>
        <v>0</v>
      </c>
      <c r="AL19" s="253">
        <f t="shared" si="243"/>
        <v>15.217454921036296</v>
      </c>
      <c r="AM19" s="241">
        <f t="shared" si="244"/>
        <v>0.252</v>
      </c>
      <c r="AN19" s="246">
        <f t="shared" si="245"/>
        <v>0</v>
      </c>
      <c r="AO19" s="253">
        <f t="shared" si="246"/>
        <v>0</v>
      </c>
      <c r="AP19" s="253">
        <f t="shared" si="247"/>
        <v>0</v>
      </c>
      <c r="AQ19" s="253">
        <f t="shared" si="248"/>
        <v>0.7</v>
      </c>
      <c r="AR19" s="253">
        <f t="shared" si="249"/>
        <v>2.8946549210362971</v>
      </c>
      <c r="AS19" s="253">
        <f t="shared" si="250"/>
        <v>0</v>
      </c>
      <c r="AT19" s="253">
        <f t="shared" si="251"/>
        <v>0.75600000000000001</v>
      </c>
      <c r="AU19" s="253">
        <f t="shared" si="252"/>
        <v>0.75600000000000001</v>
      </c>
      <c r="AV19" s="253">
        <f t="shared" si="253"/>
        <v>0.1512</v>
      </c>
      <c r="AW19" s="253">
        <f t="shared" si="254"/>
        <v>10.558799999999998</v>
      </c>
      <c r="AX19" s="253">
        <f t="shared" si="255"/>
        <v>12.200145078963702</v>
      </c>
      <c r="AY19" s="253">
        <f t="shared" si="256"/>
        <v>10.558799999999998</v>
      </c>
      <c r="AZ19" s="253">
        <f t="shared" si="257"/>
        <v>0</v>
      </c>
      <c r="BA19" s="253">
        <f t="shared" si="304"/>
        <v>0</v>
      </c>
      <c r="BB19" s="253">
        <f t="shared" si="258"/>
        <v>0</v>
      </c>
      <c r="BC19" s="253"/>
      <c r="BD19" s="253">
        <f t="shared" si="38"/>
        <v>3.024E-2</v>
      </c>
      <c r="BE19" s="496">
        <f t="shared" si="259"/>
        <v>3.1449999999999996</v>
      </c>
      <c r="BF19" s="498">
        <f t="shared" si="260"/>
        <v>0</v>
      </c>
      <c r="BG19" s="498">
        <f t="shared" si="261"/>
        <v>0</v>
      </c>
      <c r="BH19" s="495" t="str">
        <f>VLOOKUP(A19,'BOCA DE LOBO'!C:I,7,0)</f>
        <v>BOCA DE LOBO PROJETADA DUPLA</v>
      </c>
      <c r="BI19" s="253">
        <f t="shared" si="262"/>
        <v>0</v>
      </c>
      <c r="BJ19" s="253">
        <f t="shared" si="263"/>
        <v>0</v>
      </c>
      <c r="BK19" s="253">
        <f t="shared" si="264"/>
        <v>0</v>
      </c>
      <c r="BL19" s="253">
        <f t="shared" si="265"/>
        <v>0</v>
      </c>
      <c r="BM19" s="253">
        <f t="shared" si="266"/>
        <v>0</v>
      </c>
      <c r="BN19" s="253">
        <f t="shared" si="267"/>
        <v>1</v>
      </c>
      <c r="BO19" s="253">
        <f t="shared" si="268"/>
        <v>0</v>
      </c>
      <c r="BP19" s="500"/>
      <c r="BQ19" s="496">
        <f t="shared" si="269"/>
        <v>15.120000000000001</v>
      </c>
      <c r="BR19" s="496">
        <f t="shared" si="270"/>
        <v>15.120000000000001</v>
      </c>
      <c r="BS19" s="496">
        <f t="shared" si="271"/>
        <v>1.4615999999999958</v>
      </c>
      <c r="BV19" s="502">
        <f t="shared" si="272"/>
        <v>19.456499999999998</v>
      </c>
      <c r="BW19" s="502">
        <f t="shared" si="273"/>
        <v>7.7825999999999986</v>
      </c>
      <c r="BX19" s="502">
        <f t="shared" si="274"/>
        <v>3.0325999999999995</v>
      </c>
      <c r="BY19" s="502">
        <f t="shared" si="275"/>
        <v>2.5</v>
      </c>
      <c r="BZ19" s="502">
        <f t="shared" si="276"/>
        <v>2.5</v>
      </c>
      <c r="CA19" s="502">
        <f t="shared" si="277"/>
        <v>0</v>
      </c>
      <c r="CB19" s="502">
        <f t="shared" si="278"/>
        <v>0</v>
      </c>
      <c r="CC19" s="502">
        <f t="shared" si="279"/>
        <v>11.673899999999998</v>
      </c>
      <c r="CD19" s="502">
        <f t="shared" si="280"/>
        <v>7.7825999999999986</v>
      </c>
      <c r="CE19" s="502">
        <f t="shared" si="281"/>
        <v>0</v>
      </c>
      <c r="CF19" s="502">
        <f t="shared" si="282"/>
        <v>0</v>
      </c>
      <c r="CG19" s="502">
        <f t="shared" si="283"/>
        <v>0</v>
      </c>
      <c r="CH19" s="502">
        <f t="shared" si="284"/>
        <v>0</v>
      </c>
      <c r="CI19" s="253">
        <f t="shared" si="285"/>
        <v>0.53549999999999998</v>
      </c>
      <c r="CJ19" s="502">
        <f t="shared" si="286"/>
        <v>11.339499999999997</v>
      </c>
      <c r="CK19" s="502">
        <f t="shared" si="305"/>
        <v>11.339499999999997</v>
      </c>
      <c r="CL19" s="502">
        <f t="shared" si="287"/>
        <v>0</v>
      </c>
      <c r="CM19" s="502">
        <f t="shared" si="288"/>
        <v>0</v>
      </c>
      <c r="CN19" s="502">
        <f t="shared" si="289"/>
        <v>3.57</v>
      </c>
      <c r="CO19" s="502">
        <f t="shared" si="290"/>
        <v>2.5</v>
      </c>
      <c r="CP19" s="502">
        <f t="shared" si="291"/>
        <v>10.709999999999999</v>
      </c>
      <c r="CQ19" s="502">
        <f t="shared" si="292"/>
        <v>7.14</v>
      </c>
      <c r="CR19" s="220">
        <f t="shared" si="293"/>
        <v>0</v>
      </c>
      <c r="CS19" s="503">
        <f t="shared" si="294"/>
        <v>0</v>
      </c>
      <c r="CT19" s="503">
        <f t="shared" si="295"/>
        <v>0.33012999999999998</v>
      </c>
      <c r="CU19" s="504">
        <f t="shared" si="296"/>
        <v>13</v>
      </c>
      <c r="CV19" s="504">
        <f t="shared" si="297"/>
        <v>1.43895</v>
      </c>
      <c r="CW19" s="502">
        <f t="shared" si="298"/>
        <v>23.248199999999997</v>
      </c>
      <c r="CX19" s="253">
        <f t="shared" si="299"/>
        <v>3.57</v>
      </c>
      <c r="CY19" s="505">
        <f t="shared" si="300"/>
        <v>1.7849999999999999</v>
      </c>
      <c r="CZ19" s="502">
        <f t="shared" si="301"/>
        <v>0</v>
      </c>
    </row>
    <row r="20" spans="1:104" s="501" customFormat="1" ht="25" x14ac:dyDescent="0.25">
      <c r="A20" s="291" t="str">
        <f>'BOCA DE LOBO'!C19</f>
        <v>BL14-&gt;PV2.1</v>
      </c>
      <c r="B20" s="291" t="str">
        <f>'BOCA DE LOBO'!A19</f>
        <v>PV2.1</v>
      </c>
      <c r="C20" s="413" t="str">
        <f>VLOOKUP(A20,'BOCA DE LOBO'!$C$1:$Q$76,3,0)</f>
        <v>PROJETADO</v>
      </c>
      <c r="D20" s="291" t="str">
        <f>VLOOKUP(A20,'BOCA DE LOBO'!$C$1:$Q$76,10,0)</f>
        <v>PROJETADA</v>
      </c>
      <c r="E20" s="413">
        <f t="shared" si="302"/>
        <v>2.5</v>
      </c>
      <c r="F20" s="291">
        <f>VLOOKUP(A20,'BOCA DE LOBO'!$C$1:$Q$76,2,0)</f>
        <v>3</v>
      </c>
      <c r="G20" s="291">
        <f>VLOOKUP(A20,'BOCA DE LOBO'!$C$1:$Q$76,4,0)</f>
        <v>10.38</v>
      </c>
      <c r="H20" s="238">
        <v>400</v>
      </c>
      <c r="I20" s="493">
        <f t="shared" si="303"/>
        <v>2.88</v>
      </c>
      <c r="J20" s="241">
        <f t="shared" si="2"/>
        <v>1.49472</v>
      </c>
      <c r="K20" s="494">
        <v>0</v>
      </c>
      <c r="L20" s="253">
        <f t="shared" si="231"/>
        <v>1</v>
      </c>
      <c r="M20" s="253">
        <f t="shared" si="232"/>
        <v>1</v>
      </c>
      <c r="N20" s="253">
        <f t="shared" si="233"/>
        <v>0</v>
      </c>
      <c r="O20" s="253">
        <f t="shared" si="234"/>
        <v>10.38</v>
      </c>
      <c r="P20" s="495" t="str">
        <f>VLOOKUP(B20,'Planilha Hidráulica'!$AE$10:$AQ$39,13,0)</f>
        <v>ASFALTO</v>
      </c>
      <c r="Q20" s="495" t="s">
        <v>2421</v>
      </c>
      <c r="R20" s="495"/>
      <c r="S20" s="495">
        <f>VLOOKUP(Q20,Quantitativos!P:R,3,0)</f>
        <v>5</v>
      </c>
      <c r="T20" s="495">
        <f>VLOOKUP(Q20,Quantitativos!P:S,4,0)</f>
        <v>5</v>
      </c>
      <c r="U20" s="253">
        <f t="shared" si="7"/>
        <v>0.05</v>
      </c>
      <c r="V20" s="246">
        <f t="shared" si="235"/>
        <v>0</v>
      </c>
      <c r="W20" s="246">
        <f t="shared" si="236"/>
        <v>29.894400000000001</v>
      </c>
      <c r="X20" s="247">
        <f t="shared" si="82"/>
        <v>0</v>
      </c>
      <c r="Y20" s="247">
        <f t="shared" si="237"/>
        <v>0</v>
      </c>
      <c r="Z20" s="247">
        <f t="shared" si="12"/>
        <v>2.88</v>
      </c>
      <c r="AA20" s="247">
        <f t="shared" si="83"/>
        <v>0</v>
      </c>
      <c r="AB20" s="496">
        <f t="shared" si="84"/>
        <v>10.38</v>
      </c>
      <c r="AC20" s="251">
        <f t="shared" si="238"/>
        <v>0</v>
      </c>
      <c r="AD20" s="251">
        <f t="shared" si="239"/>
        <v>0</v>
      </c>
      <c r="AE20" s="251">
        <f t="shared" si="240"/>
        <v>0</v>
      </c>
      <c r="AF20" s="251">
        <f t="shared" si="16"/>
        <v>15.57</v>
      </c>
      <c r="AG20" s="251">
        <f t="shared" si="17"/>
        <v>14.324400000000001</v>
      </c>
      <c r="AH20" s="251">
        <f t="shared" si="18"/>
        <v>0</v>
      </c>
      <c r="AI20" s="497" t="str">
        <f t="shared" si="19"/>
        <v>NÃO</v>
      </c>
      <c r="AJ20" s="253">
        <f t="shared" si="241"/>
        <v>0</v>
      </c>
      <c r="AK20" s="253">
        <f t="shared" si="242"/>
        <v>0</v>
      </c>
      <c r="AL20" s="253">
        <f t="shared" si="243"/>
        <v>28.590010730229519</v>
      </c>
      <c r="AM20" s="241">
        <f t="shared" si="244"/>
        <v>0.51900000000000002</v>
      </c>
      <c r="AN20" s="246">
        <f t="shared" si="245"/>
        <v>0</v>
      </c>
      <c r="AO20" s="253">
        <f t="shared" si="246"/>
        <v>0</v>
      </c>
      <c r="AP20" s="253">
        <f t="shared" si="247"/>
        <v>0</v>
      </c>
      <c r="AQ20" s="253">
        <f t="shared" si="248"/>
        <v>0.7</v>
      </c>
      <c r="AR20" s="253">
        <f t="shared" si="249"/>
        <v>5.961610730229518</v>
      </c>
      <c r="AS20" s="253">
        <f t="shared" si="250"/>
        <v>0</v>
      </c>
      <c r="AT20" s="253">
        <f t="shared" si="251"/>
        <v>1.5570000000000002</v>
      </c>
      <c r="AU20" s="253">
        <f t="shared" si="252"/>
        <v>1.5570000000000002</v>
      </c>
      <c r="AV20" s="253">
        <f t="shared" si="253"/>
        <v>0.31140000000000001</v>
      </c>
      <c r="AW20" s="253">
        <f t="shared" si="254"/>
        <v>18.995400000000004</v>
      </c>
      <c r="AX20" s="253">
        <f t="shared" si="255"/>
        <v>22.375789269770486</v>
      </c>
      <c r="AY20" s="253">
        <f t="shared" si="256"/>
        <v>18.995400000000004</v>
      </c>
      <c r="AZ20" s="253">
        <f t="shared" si="257"/>
        <v>0</v>
      </c>
      <c r="BA20" s="253">
        <f t="shared" si="304"/>
        <v>0</v>
      </c>
      <c r="BB20" s="253">
        <f t="shared" si="258"/>
        <v>0</v>
      </c>
      <c r="BC20" s="253"/>
      <c r="BD20" s="253">
        <f t="shared" si="38"/>
        <v>6.2280000000000009E-2</v>
      </c>
      <c r="BE20" s="496">
        <f t="shared" si="259"/>
        <v>2.88</v>
      </c>
      <c r="BF20" s="498">
        <f t="shared" si="260"/>
        <v>0</v>
      </c>
      <c r="BG20" s="498">
        <f t="shared" si="261"/>
        <v>10.38</v>
      </c>
      <c r="BH20" s="495" t="str">
        <f>VLOOKUP(A20,'BOCA DE LOBO'!C:I,7,0)</f>
        <v>BOCA DE LOBO PROJETADA DUPLA</v>
      </c>
      <c r="BI20" s="253">
        <f t="shared" si="262"/>
        <v>0</v>
      </c>
      <c r="BJ20" s="253">
        <f t="shared" si="263"/>
        <v>0</v>
      </c>
      <c r="BK20" s="253">
        <f t="shared" si="264"/>
        <v>0</v>
      </c>
      <c r="BL20" s="253">
        <f t="shared" si="265"/>
        <v>0</v>
      </c>
      <c r="BM20" s="253">
        <f t="shared" si="266"/>
        <v>0</v>
      </c>
      <c r="BN20" s="253">
        <f t="shared" si="267"/>
        <v>1</v>
      </c>
      <c r="BO20" s="253">
        <f t="shared" si="268"/>
        <v>0</v>
      </c>
      <c r="BP20" s="500"/>
      <c r="BQ20" s="496">
        <f t="shared" si="269"/>
        <v>31.14</v>
      </c>
      <c r="BR20" s="496">
        <f t="shared" si="270"/>
        <v>28.648800000000001</v>
      </c>
      <c r="BS20" s="496">
        <f t="shared" si="271"/>
        <v>0</v>
      </c>
      <c r="BV20" s="502">
        <f t="shared" si="272"/>
        <v>19.456499999999998</v>
      </c>
      <c r="BW20" s="502">
        <f t="shared" si="273"/>
        <v>7.7825999999999986</v>
      </c>
      <c r="BX20" s="502">
        <f t="shared" si="274"/>
        <v>3.0325999999999995</v>
      </c>
      <c r="BY20" s="502">
        <f t="shared" si="275"/>
        <v>2.5</v>
      </c>
      <c r="BZ20" s="502">
        <f t="shared" si="276"/>
        <v>2.5</v>
      </c>
      <c r="CA20" s="502">
        <f t="shared" si="277"/>
        <v>0</v>
      </c>
      <c r="CB20" s="502">
        <f t="shared" si="278"/>
        <v>0</v>
      </c>
      <c r="CC20" s="502">
        <f t="shared" si="279"/>
        <v>11.673899999999998</v>
      </c>
      <c r="CD20" s="502">
        <f t="shared" si="280"/>
        <v>7.7825999999999986</v>
      </c>
      <c r="CE20" s="502">
        <f t="shared" si="281"/>
        <v>0</v>
      </c>
      <c r="CF20" s="502">
        <f t="shared" si="282"/>
        <v>0</v>
      </c>
      <c r="CG20" s="502">
        <f t="shared" si="283"/>
        <v>0</v>
      </c>
      <c r="CH20" s="502">
        <f t="shared" si="284"/>
        <v>0</v>
      </c>
      <c r="CI20" s="253">
        <f t="shared" si="285"/>
        <v>0.53549999999999998</v>
      </c>
      <c r="CJ20" s="502">
        <f t="shared" si="286"/>
        <v>11.339499999999997</v>
      </c>
      <c r="CK20" s="502">
        <f t="shared" si="305"/>
        <v>11.339499999999997</v>
      </c>
      <c r="CL20" s="502">
        <f t="shared" si="287"/>
        <v>0</v>
      </c>
      <c r="CM20" s="502">
        <f t="shared" si="288"/>
        <v>0</v>
      </c>
      <c r="CN20" s="502">
        <f t="shared" si="289"/>
        <v>3.57</v>
      </c>
      <c r="CO20" s="502">
        <f t="shared" si="290"/>
        <v>2.5</v>
      </c>
      <c r="CP20" s="502">
        <f t="shared" si="291"/>
        <v>10.709999999999999</v>
      </c>
      <c r="CQ20" s="502">
        <f t="shared" si="292"/>
        <v>7.14</v>
      </c>
      <c r="CR20" s="220">
        <f t="shared" si="293"/>
        <v>0</v>
      </c>
      <c r="CS20" s="503">
        <f t="shared" si="294"/>
        <v>0</v>
      </c>
      <c r="CT20" s="503">
        <f t="shared" si="295"/>
        <v>0.33012999999999998</v>
      </c>
      <c r="CU20" s="504">
        <f t="shared" si="296"/>
        <v>13</v>
      </c>
      <c r="CV20" s="504">
        <f t="shared" si="297"/>
        <v>1.43895</v>
      </c>
      <c r="CW20" s="502">
        <f t="shared" si="298"/>
        <v>23.248199999999997</v>
      </c>
      <c r="CX20" s="253">
        <f t="shared" si="299"/>
        <v>3.57</v>
      </c>
      <c r="CY20" s="505">
        <f t="shared" si="300"/>
        <v>1.7849999999999999</v>
      </c>
      <c r="CZ20" s="502">
        <f t="shared" si="301"/>
        <v>0</v>
      </c>
    </row>
    <row r="21" spans="1:104" s="501" customFormat="1" ht="25" x14ac:dyDescent="0.25">
      <c r="A21" s="291" t="str">
        <f>'BOCA DE LOBO'!C20</f>
        <v>BL15-&gt;PV2.1</v>
      </c>
      <c r="B21" s="291" t="str">
        <f>'BOCA DE LOBO'!A20</f>
        <v>PV2.1</v>
      </c>
      <c r="C21" s="413" t="str">
        <f>VLOOKUP(A21,'BOCA DE LOBO'!$C$1:$Q$76,3,0)</f>
        <v>PROJETADO</v>
      </c>
      <c r="D21" s="291" t="str">
        <f>VLOOKUP(A21,'BOCA DE LOBO'!$C$1:$Q$76,10,0)</f>
        <v>PROJETADA</v>
      </c>
      <c r="E21" s="413">
        <f t="shared" si="302"/>
        <v>2.5</v>
      </c>
      <c r="F21" s="291">
        <f>VLOOKUP(A21,'BOCA DE LOBO'!$C$1:$Q$76,2,0)</f>
        <v>3</v>
      </c>
      <c r="G21" s="291">
        <f>VLOOKUP(A21,'BOCA DE LOBO'!$C$1:$Q$76,4,0)</f>
        <v>10.32</v>
      </c>
      <c r="H21" s="238">
        <v>400</v>
      </c>
      <c r="I21" s="493">
        <f t="shared" si="303"/>
        <v>2.88</v>
      </c>
      <c r="J21" s="241">
        <f t="shared" si="2"/>
        <v>1.4860799999999998</v>
      </c>
      <c r="K21" s="494">
        <v>0</v>
      </c>
      <c r="L21" s="253">
        <f t="shared" si="231"/>
        <v>1</v>
      </c>
      <c r="M21" s="253">
        <f t="shared" si="232"/>
        <v>1</v>
      </c>
      <c r="N21" s="253">
        <f t="shared" si="233"/>
        <v>0</v>
      </c>
      <c r="O21" s="253">
        <f t="shared" si="234"/>
        <v>10.32</v>
      </c>
      <c r="P21" s="495" t="str">
        <f>VLOOKUP(B21,'Planilha Hidráulica'!$AE$10:$AQ$39,13,0)</f>
        <v>ASFALTO</v>
      </c>
      <c r="Q21" s="495" t="s">
        <v>2421</v>
      </c>
      <c r="R21" s="495"/>
      <c r="S21" s="495">
        <f>VLOOKUP(Q21,Quantitativos!P:R,3,0)</f>
        <v>5</v>
      </c>
      <c r="T21" s="495">
        <f>VLOOKUP(Q21,Quantitativos!P:S,4,0)</f>
        <v>5</v>
      </c>
      <c r="U21" s="253">
        <f t="shared" si="7"/>
        <v>0.05</v>
      </c>
      <c r="V21" s="246">
        <f t="shared" si="235"/>
        <v>0</v>
      </c>
      <c r="W21" s="246">
        <f t="shared" si="236"/>
        <v>29.721599999999999</v>
      </c>
      <c r="X21" s="247">
        <f t="shared" si="82"/>
        <v>0</v>
      </c>
      <c r="Y21" s="247">
        <f t="shared" si="237"/>
        <v>0</v>
      </c>
      <c r="Z21" s="247">
        <f t="shared" si="12"/>
        <v>2.88</v>
      </c>
      <c r="AA21" s="247">
        <f t="shared" si="83"/>
        <v>0</v>
      </c>
      <c r="AB21" s="496">
        <f t="shared" si="84"/>
        <v>10.32</v>
      </c>
      <c r="AC21" s="251">
        <f t="shared" si="238"/>
        <v>0</v>
      </c>
      <c r="AD21" s="251">
        <f t="shared" si="239"/>
        <v>0</v>
      </c>
      <c r="AE21" s="251">
        <f t="shared" si="240"/>
        <v>0</v>
      </c>
      <c r="AF21" s="251">
        <f t="shared" si="16"/>
        <v>15.48</v>
      </c>
      <c r="AG21" s="251">
        <f t="shared" si="17"/>
        <v>14.2416</v>
      </c>
      <c r="AH21" s="251">
        <f t="shared" si="18"/>
        <v>0</v>
      </c>
      <c r="AI21" s="497" t="str">
        <f t="shared" si="19"/>
        <v>NÃO</v>
      </c>
      <c r="AJ21" s="253">
        <f t="shared" si="241"/>
        <v>0</v>
      </c>
      <c r="AK21" s="253">
        <f t="shared" si="242"/>
        <v>0</v>
      </c>
      <c r="AL21" s="253">
        <f t="shared" si="243"/>
        <v>28.42475055259813</v>
      </c>
      <c r="AM21" s="241">
        <f t="shared" si="244"/>
        <v>0.51600000000000001</v>
      </c>
      <c r="AN21" s="246">
        <f t="shared" si="245"/>
        <v>0</v>
      </c>
      <c r="AO21" s="253">
        <f t="shared" si="246"/>
        <v>0</v>
      </c>
      <c r="AP21" s="253">
        <f t="shared" si="247"/>
        <v>0</v>
      </c>
      <c r="AQ21" s="253">
        <f t="shared" si="248"/>
        <v>0.7</v>
      </c>
      <c r="AR21" s="253">
        <f t="shared" si="249"/>
        <v>5.9271505525981327</v>
      </c>
      <c r="AS21" s="253">
        <f t="shared" si="250"/>
        <v>0</v>
      </c>
      <c r="AT21" s="253">
        <f t="shared" si="251"/>
        <v>1.548</v>
      </c>
      <c r="AU21" s="253">
        <f t="shared" si="252"/>
        <v>1.548</v>
      </c>
      <c r="AV21" s="253">
        <f t="shared" si="253"/>
        <v>0.30959999999999999</v>
      </c>
      <c r="AW21" s="253">
        <f t="shared" si="254"/>
        <v>18.885599999999993</v>
      </c>
      <c r="AX21" s="253">
        <f t="shared" si="255"/>
        <v>22.246449447401869</v>
      </c>
      <c r="AY21" s="253">
        <f t="shared" si="256"/>
        <v>18.885599999999993</v>
      </c>
      <c r="AZ21" s="253">
        <f t="shared" si="257"/>
        <v>0</v>
      </c>
      <c r="BA21" s="253">
        <f t="shared" si="304"/>
        <v>0</v>
      </c>
      <c r="BB21" s="253">
        <f t="shared" si="258"/>
        <v>0</v>
      </c>
      <c r="BC21" s="253"/>
      <c r="BD21" s="253">
        <f t="shared" si="38"/>
        <v>6.1920000000000003E-2</v>
      </c>
      <c r="BE21" s="496">
        <f t="shared" si="259"/>
        <v>2.88</v>
      </c>
      <c r="BF21" s="498">
        <f t="shared" si="260"/>
        <v>0</v>
      </c>
      <c r="BG21" s="498">
        <f t="shared" si="261"/>
        <v>10.32</v>
      </c>
      <c r="BH21" s="495" t="str">
        <f>VLOOKUP(A21,'BOCA DE LOBO'!C:I,7,0)</f>
        <v>BOCA DE LOBO PROJETADA DUPLA</v>
      </c>
      <c r="BI21" s="253">
        <f t="shared" si="262"/>
        <v>0</v>
      </c>
      <c r="BJ21" s="253">
        <f t="shared" si="263"/>
        <v>0</v>
      </c>
      <c r="BK21" s="253">
        <f t="shared" si="264"/>
        <v>0</v>
      </c>
      <c r="BL21" s="253">
        <f t="shared" si="265"/>
        <v>0</v>
      </c>
      <c r="BM21" s="253">
        <f t="shared" si="266"/>
        <v>0</v>
      </c>
      <c r="BN21" s="253">
        <f t="shared" si="267"/>
        <v>1</v>
      </c>
      <c r="BO21" s="253">
        <f t="shared" si="268"/>
        <v>0</v>
      </c>
      <c r="BP21" s="500"/>
      <c r="BQ21" s="496">
        <f t="shared" si="269"/>
        <v>30.96</v>
      </c>
      <c r="BR21" s="496">
        <f t="shared" si="270"/>
        <v>28.4832</v>
      </c>
      <c r="BS21" s="496">
        <f t="shared" si="271"/>
        <v>0</v>
      </c>
      <c r="BV21" s="502">
        <f t="shared" si="272"/>
        <v>19.456499999999998</v>
      </c>
      <c r="BW21" s="502">
        <f t="shared" si="273"/>
        <v>7.7825999999999986</v>
      </c>
      <c r="BX21" s="502">
        <f t="shared" si="274"/>
        <v>3.0325999999999995</v>
      </c>
      <c r="BY21" s="502">
        <f t="shared" si="275"/>
        <v>2.5</v>
      </c>
      <c r="BZ21" s="502">
        <f t="shared" si="276"/>
        <v>2.5</v>
      </c>
      <c r="CA21" s="502">
        <f t="shared" si="277"/>
        <v>0</v>
      </c>
      <c r="CB21" s="502">
        <f t="shared" si="278"/>
        <v>0</v>
      </c>
      <c r="CC21" s="502">
        <f t="shared" si="279"/>
        <v>11.673899999999998</v>
      </c>
      <c r="CD21" s="502">
        <f t="shared" si="280"/>
        <v>7.7825999999999986</v>
      </c>
      <c r="CE21" s="502">
        <f t="shared" si="281"/>
        <v>0</v>
      </c>
      <c r="CF21" s="502">
        <f t="shared" si="282"/>
        <v>0</v>
      </c>
      <c r="CG21" s="502">
        <f t="shared" si="283"/>
        <v>0</v>
      </c>
      <c r="CH21" s="502">
        <f t="shared" si="284"/>
        <v>0</v>
      </c>
      <c r="CI21" s="253">
        <f t="shared" si="285"/>
        <v>0.53549999999999998</v>
      </c>
      <c r="CJ21" s="502">
        <f t="shared" si="286"/>
        <v>11.339499999999997</v>
      </c>
      <c r="CK21" s="502">
        <f t="shared" si="305"/>
        <v>11.339499999999997</v>
      </c>
      <c r="CL21" s="502">
        <f t="shared" si="287"/>
        <v>0</v>
      </c>
      <c r="CM21" s="502">
        <f t="shared" si="288"/>
        <v>0</v>
      </c>
      <c r="CN21" s="502">
        <f t="shared" si="289"/>
        <v>3.57</v>
      </c>
      <c r="CO21" s="502">
        <f t="shared" si="290"/>
        <v>2.5</v>
      </c>
      <c r="CP21" s="502">
        <f t="shared" si="291"/>
        <v>10.709999999999999</v>
      </c>
      <c r="CQ21" s="502">
        <f t="shared" si="292"/>
        <v>7.14</v>
      </c>
      <c r="CR21" s="220">
        <f t="shared" si="293"/>
        <v>0</v>
      </c>
      <c r="CS21" s="503">
        <f t="shared" si="294"/>
        <v>0</v>
      </c>
      <c r="CT21" s="503">
        <f t="shared" si="295"/>
        <v>0.33012999999999998</v>
      </c>
      <c r="CU21" s="504">
        <f t="shared" si="296"/>
        <v>13</v>
      </c>
      <c r="CV21" s="504">
        <f t="shared" si="297"/>
        <v>1.43895</v>
      </c>
      <c r="CW21" s="502">
        <f t="shared" si="298"/>
        <v>23.248199999999997</v>
      </c>
      <c r="CX21" s="253">
        <f t="shared" si="299"/>
        <v>3.57</v>
      </c>
      <c r="CY21" s="505">
        <f t="shared" si="300"/>
        <v>1.7849999999999999</v>
      </c>
      <c r="CZ21" s="502">
        <f t="shared" si="301"/>
        <v>0</v>
      </c>
    </row>
    <row r="22" spans="1:104" s="501" customFormat="1" ht="25" x14ac:dyDescent="0.25">
      <c r="A22" s="291" t="str">
        <f>'BOCA DE LOBO'!C21</f>
        <v>BL16-&gt;PV3.1</v>
      </c>
      <c r="B22" s="291" t="str">
        <f>'BOCA DE LOBO'!A21</f>
        <v>PV3.1</v>
      </c>
      <c r="C22" s="413" t="str">
        <f>VLOOKUP(A22,'BOCA DE LOBO'!$C$1:$Q$76,3,0)</f>
        <v>PROJETADO</v>
      </c>
      <c r="D22" s="291" t="str">
        <f>VLOOKUP(A22,'BOCA DE LOBO'!$C$1:$Q$76,10,0)</f>
        <v>EXISTENTE</v>
      </c>
      <c r="E22" s="413">
        <f t="shared" si="302"/>
        <v>2.5</v>
      </c>
      <c r="F22" s="291">
        <f>VLOOKUP(A22,'BOCA DE LOBO'!$C$1:$Q$76,2,0)</f>
        <v>3</v>
      </c>
      <c r="G22" s="291">
        <f>VLOOKUP(A22,'BOCA DE LOBO'!$C$1:$Q$76,4,0)</f>
        <v>3.96</v>
      </c>
      <c r="H22" s="238">
        <v>400</v>
      </c>
      <c r="I22" s="493">
        <f t="shared" si="303"/>
        <v>2.88</v>
      </c>
      <c r="J22" s="241">
        <f t="shared" si="2"/>
        <v>0</v>
      </c>
      <c r="K22" s="494">
        <v>0</v>
      </c>
      <c r="L22" s="253">
        <f t="shared" si="231"/>
        <v>0</v>
      </c>
      <c r="M22" s="253">
        <f t="shared" si="232"/>
        <v>0</v>
      </c>
      <c r="N22" s="253">
        <f t="shared" si="233"/>
        <v>400</v>
      </c>
      <c r="O22" s="253">
        <f t="shared" si="234"/>
        <v>0</v>
      </c>
      <c r="P22" s="495" t="str">
        <f>VLOOKUP(B22,'Planilha Hidráulica'!$AE$10:$AQ$39,13,0)</f>
        <v>ASFALTO</v>
      </c>
      <c r="Q22" s="495" t="s">
        <v>2421</v>
      </c>
      <c r="R22" s="495"/>
      <c r="S22" s="495">
        <f>VLOOKUP(Q22,Quantitativos!P:R,3,0)</f>
        <v>5</v>
      </c>
      <c r="T22" s="495">
        <f>VLOOKUP(Q22,Quantitativos!P:S,4,0)</f>
        <v>5</v>
      </c>
      <c r="U22" s="253">
        <f t="shared" si="7"/>
        <v>0.05</v>
      </c>
      <c r="V22" s="246">
        <f t="shared" si="235"/>
        <v>0</v>
      </c>
      <c r="W22" s="246">
        <f t="shared" si="236"/>
        <v>0</v>
      </c>
      <c r="X22" s="247">
        <f t="shared" si="82"/>
        <v>0</v>
      </c>
      <c r="Y22" s="247">
        <f t="shared" si="237"/>
        <v>0</v>
      </c>
      <c r="Z22" s="247">
        <f t="shared" si="12"/>
        <v>2.88</v>
      </c>
      <c r="AA22" s="247">
        <f t="shared" si="83"/>
        <v>0</v>
      </c>
      <c r="AB22" s="496">
        <f t="shared" si="84"/>
        <v>0</v>
      </c>
      <c r="AC22" s="251">
        <f t="shared" si="238"/>
        <v>0</v>
      </c>
      <c r="AD22" s="251">
        <f t="shared" si="239"/>
        <v>0</v>
      </c>
      <c r="AE22" s="251">
        <f t="shared" si="240"/>
        <v>0</v>
      </c>
      <c r="AF22" s="251">
        <f t="shared" si="16"/>
        <v>0</v>
      </c>
      <c r="AG22" s="251">
        <f t="shared" si="17"/>
        <v>0</v>
      </c>
      <c r="AH22" s="251">
        <f t="shared" si="18"/>
        <v>0</v>
      </c>
      <c r="AI22" s="497" t="str">
        <f t="shared" si="19"/>
        <v>NÃO</v>
      </c>
      <c r="AJ22" s="253">
        <f t="shared" si="241"/>
        <v>0</v>
      </c>
      <c r="AK22" s="253">
        <f t="shared" si="242"/>
        <v>0</v>
      </c>
      <c r="AL22" s="253">
        <f t="shared" si="243"/>
        <v>0</v>
      </c>
      <c r="AM22" s="241">
        <f t="shared" si="244"/>
        <v>0</v>
      </c>
      <c r="AN22" s="246">
        <f t="shared" si="245"/>
        <v>0</v>
      </c>
      <c r="AO22" s="253">
        <f t="shared" si="246"/>
        <v>0</v>
      </c>
      <c r="AP22" s="253">
        <f t="shared" si="247"/>
        <v>0</v>
      </c>
      <c r="AQ22" s="253">
        <f t="shared" si="248"/>
        <v>0.7</v>
      </c>
      <c r="AR22" s="253">
        <f t="shared" si="249"/>
        <v>0</v>
      </c>
      <c r="AS22" s="253">
        <f t="shared" si="250"/>
        <v>0</v>
      </c>
      <c r="AT22" s="253">
        <f t="shared" si="251"/>
        <v>0</v>
      </c>
      <c r="AU22" s="253">
        <f t="shared" si="252"/>
        <v>0</v>
      </c>
      <c r="AV22" s="253">
        <f t="shared" si="253"/>
        <v>0</v>
      </c>
      <c r="AW22" s="253">
        <f t="shared" si="254"/>
        <v>0</v>
      </c>
      <c r="AX22" s="253">
        <f t="shared" si="255"/>
        <v>0</v>
      </c>
      <c r="AY22" s="253">
        <f t="shared" si="256"/>
        <v>0</v>
      </c>
      <c r="AZ22" s="253">
        <f t="shared" si="257"/>
        <v>0</v>
      </c>
      <c r="BA22" s="253">
        <f t="shared" si="304"/>
        <v>0</v>
      </c>
      <c r="BB22" s="253">
        <f t="shared" si="258"/>
        <v>0</v>
      </c>
      <c r="BC22" s="253"/>
      <c r="BD22" s="253">
        <f t="shared" si="38"/>
        <v>0</v>
      </c>
      <c r="BE22" s="496">
        <f t="shared" si="259"/>
        <v>2.88</v>
      </c>
      <c r="BF22" s="498">
        <f t="shared" si="260"/>
        <v>0</v>
      </c>
      <c r="BG22" s="498">
        <f t="shared" si="261"/>
        <v>0</v>
      </c>
      <c r="BH22" s="495" t="str">
        <f>VLOOKUP(A22,'BOCA DE LOBO'!C:I,7,0)</f>
        <v>BOCA DE LOBO EXISTENTE SIMPLES</v>
      </c>
      <c r="BI22" s="253">
        <f t="shared" si="262"/>
        <v>0</v>
      </c>
      <c r="BJ22" s="253">
        <f t="shared" si="263"/>
        <v>0</v>
      </c>
      <c r="BK22" s="253">
        <f t="shared" si="264"/>
        <v>0</v>
      </c>
      <c r="BL22" s="253">
        <f t="shared" si="265"/>
        <v>0</v>
      </c>
      <c r="BM22" s="253">
        <f t="shared" si="266"/>
        <v>0</v>
      </c>
      <c r="BN22" s="253">
        <f t="shared" si="267"/>
        <v>0</v>
      </c>
      <c r="BO22" s="253">
        <f t="shared" si="268"/>
        <v>0</v>
      </c>
      <c r="BP22" s="500"/>
      <c r="BQ22" s="496">
        <f t="shared" si="269"/>
        <v>11.879999999999999</v>
      </c>
      <c r="BR22" s="496">
        <f t="shared" si="270"/>
        <v>10.929599999999999</v>
      </c>
      <c r="BS22" s="496">
        <f t="shared" si="271"/>
        <v>0</v>
      </c>
      <c r="BV22" s="502">
        <f t="shared" si="272"/>
        <v>0</v>
      </c>
      <c r="BW22" s="502">
        <f t="shared" si="273"/>
        <v>0</v>
      </c>
      <c r="BX22" s="502">
        <f t="shared" si="274"/>
        <v>0</v>
      </c>
      <c r="BY22" s="502">
        <f t="shared" si="275"/>
        <v>2.5</v>
      </c>
      <c r="BZ22" s="502">
        <f t="shared" si="276"/>
        <v>2.5</v>
      </c>
      <c r="CA22" s="502">
        <f t="shared" si="277"/>
        <v>0</v>
      </c>
      <c r="CB22" s="502">
        <f t="shared" si="278"/>
        <v>0</v>
      </c>
      <c r="CC22" s="502">
        <f t="shared" si="279"/>
        <v>0</v>
      </c>
      <c r="CD22" s="502">
        <f t="shared" si="280"/>
        <v>0</v>
      </c>
      <c r="CE22" s="502">
        <f t="shared" si="281"/>
        <v>0</v>
      </c>
      <c r="CF22" s="502">
        <f t="shared" si="282"/>
        <v>0</v>
      </c>
      <c r="CG22" s="502">
        <f t="shared" si="283"/>
        <v>0</v>
      </c>
      <c r="CH22" s="502">
        <f t="shared" si="284"/>
        <v>0</v>
      </c>
      <c r="CI22" s="253">
        <f t="shared" si="285"/>
        <v>0</v>
      </c>
      <c r="CJ22" s="502">
        <f t="shared" si="286"/>
        <v>0</v>
      </c>
      <c r="CK22" s="502">
        <f t="shared" si="305"/>
        <v>0</v>
      </c>
      <c r="CL22" s="502">
        <f t="shared" si="287"/>
        <v>0</v>
      </c>
      <c r="CM22" s="502">
        <f t="shared" si="288"/>
        <v>0</v>
      </c>
      <c r="CN22" s="502">
        <f t="shared" si="289"/>
        <v>0</v>
      </c>
      <c r="CO22" s="502">
        <f t="shared" si="290"/>
        <v>2.5</v>
      </c>
      <c r="CP22" s="502">
        <f t="shared" si="291"/>
        <v>0</v>
      </c>
      <c r="CQ22" s="502">
        <f t="shared" si="292"/>
        <v>0</v>
      </c>
      <c r="CR22" s="220">
        <f t="shared" si="293"/>
        <v>0</v>
      </c>
      <c r="CS22" s="503">
        <f t="shared" si="294"/>
        <v>0</v>
      </c>
      <c r="CT22" s="503">
        <f t="shared" si="295"/>
        <v>0</v>
      </c>
      <c r="CU22" s="504">
        <f t="shared" si="296"/>
        <v>0</v>
      </c>
      <c r="CV22" s="504">
        <f t="shared" si="297"/>
        <v>0</v>
      </c>
      <c r="CW22" s="502">
        <f t="shared" si="298"/>
        <v>0</v>
      </c>
      <c r="CX22" s="253">
        <f t="shared" si="299"/>
        <v>0</v>
      </c>
      <c r="CY22" s="505">
        <f t="shared" si="300"/>
        <v>0</v>
      </c>
      <c r="CZ22" s="502">
        <f t="shared" si="301"/>
        <v>0</v>
      </c>
    </row>
    <row r="23" spans="1:104" s="501" customFormat="1" ht="25" x14ac:dyDescent="0.25">
      <c r="A23" s="291" t="str">
        <f>'BOCA DE LOBO'!C22</f>
        <v>BL17-&gt;PV3.1</v>
      </c>
      <c r="B23" s="291" t="str">
        <f>'BOCA DE LOBO'!A22</f>
        <v>PV3.1</v>
      </c>
      <c r="C23" s="413" t="str">
        <f>VLOOKUP(A23,'BOCA DE LOBO'!$C$1:$Q$76,3,0)</f>
        <v>PROJETADO</v>
      </c>
      <c r="D23" s="291" t="str">
        <f>VLOOKUP(A23,'BOCA DE LOBO'!$C$1:$Q$76,10,0)</f>
        <v>PROJETADA</v>
      </c>
      <c r="E23" s="413">
        <f t="shared" si="302"/>
        <v>2.5</v>
      </c>
      <c r="F23" s="291">
        <f>VLOOKUP(A23,'BOCA DE LOBO'!$C$1:$Q$76,2,0)</f>
        <v>3</v>
      </c>
      <c r="G23" s="291">
        <f>VLOOKUP(A23,'BOCA DE LOBO'!$C$1:$Q$76,4,0)</f>
        <v>11.5</v>
      </c>
      <c r="H23" s="238">
        <v>400</v>
      </c>
      <c r="I23" s="493">
        <f t="shared" si="303"/>
        <v>2.88</v>
      </c>
      <c r="J23" s="241">
        <f t="shared" si="2"/>
        <v>1.6559999999999999</v>
      </c>
      <c r="K23" s="494">
        <v>0</v>
      </c>
      <c r="L23" s="253">
        <f t="shared" si="231"/>
        <v>1</v>
      </c>
      <c r="M23" s="253">
        <f t="shared" si="232"/>
        <v>1</v>
      </c>
      <c r="N23" s="253">
        <f t="shared" si="233"/>
        <v>0</v>
      </c>
      <c r="O23" s="253">
        <f t="shared" si="234"/>
        <v>11.5</v>
      </c>
      <c r="P23" s="495" t="str">
        <f>VLOOKUP(B23,'Planilha Hidráulica'!$AE$10:$AQ$39,13,0)</f>
        <v>ASFALTO</v>
      </c>
      <c r="Q23" s="495" t="s">
        <v>2421</v>
      </c>
      <c r="R23" s="495"/>
      <c r="S23" s="495">
        <f>VLOOKUP(Q23,Quantitativos!P:R,3,0)</f>
        <v>5</v>
      </c>
      <c r="T23" s="495">
        <f>VLOOKUP(Q23,Quantitativos!P:S,4,0)</f>
        <v>5</v>
      </c>
      <c r="U23" s="253">
        <f t="shared" si="7"/>
        <v>0.05</v>
      </c>
      <c r="V23" s="246">
        <f t="shared" si="235"/>
        <v>0</v>
      </c>
      <c r="W23" s="246">
        <f t="shared" si="236"/>
        <v>33.119999999999997</v>
      </c>
      <c r="X23" s="247">
        <f t="shared" si="82"/>
        <v>0</v>
      </c>
      <c r="Y23" s="247">
        <f t="shared" si="237"/>
        <v>0</v>
      </c>
      <c r="Z23" s="247">
        <f t="shared" si="12"/>
        <v>2.88</v>
      </c>
      <c r="AA23" s="247">
        <f t="shared" si="83"/>
        <v>0</v>
      </c>
      <c r="AB23" s="496">
        <f t="shared" si="84"/>
        <v>11.5</v>
      </c>
      <c r="AC23" s="251">
        <f t="shared" si="238"/>
        <v>0</v>
      </c>
      <c r="AD23" s="251">
        <f t="shared" si="239"/>
        <v>0</v>
      </c>
      <c r="AE23" s="251">
        <f t="shared" si="240"/>
        <v>0</v>
      </c>
      <c r="AF23" s="251">
        <f t="shared" si="16"/>
        <v>17.25</v>
      </c>
      <c r="AG23" s="251">
        <f t="shared" si="17"/>
        <v>15.87</v>
      </c>
      <c r="AH23" s="251">
        <f t="shared" si="18"/>
        <v>0</v>
      </c>
      <c r="AI23" s="497" t="str">
        <f t="shared" si="19"/>
        <v>NÃO</v>
      </c>
      <c r="AJ23" s="253">
        <f t="shared" si="241"/>
        <v>0</v>
      </c>
      <c r="AK23" s="253">
        <f t="shared" si="242"/>
        <v>0</v>
      </c>
      <c r="AL23" s="253">
        <f t="shared" si="243"/>
        <v>31.674867379348694</v>
      </c>
      <c r="AM23" s="241">
        <f t="shared" si="244"/>
        <v>0.57500000000000007</v>
      </c>
      <c r="AN23" s="246">
        <f t="shared" si="245"/>
        <v>0</v>
      </c>
      <c r="AO23" s="253">
        <f t="shared" si="246"/>
        <v>0</v>
      </c>
      <c r="AP23" s="253">
        <f t="shared" si="247"/>
        <v>0</v>
      </c>
      <c r="AQ23" s="253">
        <f t="shared" si="248"/>
        <v>0.7</v>
      </c>
      <c r="AR23" s="253">
        <f t="shared" si="249"/>
        <v>6.6048673793486943</v>
      </c>
      <c r="AS23" s="253">
        <f t="shared" si="250"/>
        <v>0</v>
      </c>
      <c r="AT23" s="253">
        <f t="shared" si="251"/>
        <v>1.7249999999999999</v>
      </c>
      <c r="AU23" s="253">
        <f t="shared" si="252"/>
        <v>1.7249999999999999</v>
      </c>
      <c r="AV23" s="253">
        <f t="shared" si="253"/>
        <v>0.34499999999999997</v>
      </c>
      <c r="AW23" s="253">
        <f t="shared" si="254"/>
        <v>21.044999999999998</v>
      </c>
      <c r="AX23" s="253">
        <f t="shared" si="255"/>
        <v>24.790132620651303</v>
      </c>
      <c r="AY23" s="253">
        <f t="shared" si="256"/>
        <v>21.044999999999998</v>
      </c>
      <c r="AZ23" s="253">
        <f t="shared" si="257"/>
        <v>0</v>
      </c>
      <c r="BA23" s="253">
        <f t="shared" si="304"/>
        <v>0</v>
      </c>
      <c r="BB23" s="253">
        <f t="shared" si="258"/>
        <v>0</v>
      </c>
      <c r="BC23" s="253"/>
      <c r="BD23" s="253">
        <f t="shared" si="38"/>
        <v>6.8999999999999992E-2</v>
      </c>
      <c r="BE23" s="496">
        <f t="shared" si="259"/>
        <v>2.88</v>
      </c>
      <c r="BF23" s="498">
        <f t="shared" si="260"/>
        <v>0</v>
      </c>
      <c r="BG23" s="498">
        <f t="shared" si="261"/>
        <v>11.5</v>
      </c>
      <c r="BH23" s="495" t="str">
        <f>VLOOKUP(A23,'BOCA DE LOBO'!C:I,7,0)</f>
        <v>BOCA DE LOBO PROJETADA DUPLA</v>
      </c>
      <c r="BI23" s="253">
        <f t="shared" si="262"/>
        <v>0</v>
      </c>
      <c r="BJ23" s="253">
        <f t="shared" si="263"/>
        <v>0</v>
      </c>
      <c r="BK23" s="253">
        <f t="shared" si="264"/>
        <v>0</v>
      </c>
      <c r="BL23" s="253">
        <f t="shared" si="265"/>
        <v>0</v>
      </c>
      <c r="BM23" s="253">
        <f t="shared" si="266"/>
        <v>0</v>
      </c>
      <c r="BN23" s="253">
        <f t="shared" si="267"/>
        <v>1</v>
      </c>
      <c r="BO23" s="253">
        <f t="shared" si="268"/>
        <v>0</v>
      </c>
      <c r="BP23" s="500"/>
      <c r="BQ23" s="496">
        <f t="shared" si="269"/>
        <v>34.5</v>
      </c>
      <c r="BR23" s="496">
        <f t="shared" si="270"/>
        <v>31.74</v>
      </c>
      <c r="BS23" s="496">
        <f t="shared" si="271"/>
        <v>0</v>
      </c>
      <c r="BV23" s="502">
        <f t="shared" si="272"/>
        <v>19.456499999999998</v>
      </c>
      <c r="BW23" s="502">
        <f t="shared" si="273"/>
        <v>7.7825999999999986</v>
      </c>
      <c r="BX23" s="502">
        <f t="shared" si="274"/>
        <v>3.0325999999999995</v>
      </c>
      <c r="BY23" s="502">
        <f t="shared" si="275"/>
        <v>2.5</v>
      </c>
      <c r="BZ23" s="502">
        <f t="shared" si="276"/>
        <v>2.5</v>
      </c>
      <c r="CA23" s="502">
        <f t="shared" si="277"/>
        <v>0</v>
      </c>
      <c r="CB23" s="502">
        <f t="shared" si="278"/>
        <v>0</v>
      </c>
      <c r="CC23" s="502">
        <f t="shared" si="279"/>
        <v>11.673899999999998</v>
      </c>
      <c r="CD23" s="502">
        <f t="shared" si="280"/>
        <v>7.7825999999999986</v>
      </c>
      <c r="CE23" s="502">
        <f t="shared" si="281"/>
        <v>0</v>
      </c>
      <c r="CF23" s="502">
        <f t="shared" si="282"/>
        <v>0</v>
      </c>
      <c r="CG23" s="502">
        <f t="shared" si="283"/>
        <v>0</v>
      </c>
      <c r="CH23" s="502">
        <f t="shared" si="284"/>
        <v>0</v>
      </c>
      <c r="CI23" s="253">
        <f t="shared" si="285"/>
        <v>0.53549999999999998</v>
      </c>
      <c r="CJ23" s="502">
        <f t="shared" si="286"/>
        <v>11.339499999999997</v>
      </c>
      <c r="CK23" s="502">
        <f t="shared" si="305"/>
        <v>11.339499999999997</v>
      </c>
      <c r="CL23" s="502">
        <f t="shared" si="287"/>
        <v>0</v>
      </c>
      <c r="CM23" s="502">
        <f t="shared" si="288"/>
        <v>0</v>
      </c>
      <c r="CN23" s="502">
        <f t="shared" si="289"/>
        <v>3.57</v>
      </c>
      <c r="CO23" s="502">
        <f t="shared" si="290"/>
        <v>2.5</v>
      </c>
      <c r="CP23" s="502">
        <f t="shared" si="291"/>
        <v>10.709999999999999</v>
      </c>
      <c r="CQ23" s="502">
        <f t="shared" si="292"/>
        <v>7.14</v>
      </c>
      <c r="CR23" s="220">
        <f t="shared" si="293"/>
        <v>0</v>
      </c>
      <c r="CS23" s="503">
        <f t="shared" si="294"/>
        <v>0</v>
      </c>
      <c r="CT23" s="503">
        <f t="shared" si="295"/>
        <v>0.33012999999999998</v>
      </c>
      <c r="CU23" s="504">
        <f t="shared" si="296"/>
        <v>13</v>
      </c>
      <c r="CV23" s="504">
        <f t="shared" si="297"/>
        <v>1.43895</v>
      </c>
      <c r="CW23" s="502">
        <f t="shared" si="298"/>
        <v>23.248199999999997</v>
      </c>
      <c r="CX23" s="253">
        <f t="shared" si="299"/>
        <v>3.57</v>
      </c>
      <c r="CY23" s="505">
        <f t="shared" si="300"/>
        <v>1.7849999999999999</v>
      </c>
      <c r="CZ23" s="502">
        <f t="shared" si="301"/>
        <v>0</v>
      </c>
    </row>
    <row r="24" spans="1:104" s="501" customFormat="1" ht="25" x14ac:dyDescent="0.25">
      <c r="A24" s="291" t="str">
        <f>'BOCA DE LOBO'!C25</f>
        <v>BL20-&gt;PV5.1</v>
      </c>
      <c r="B24" s="291" t="str">
        <f>'BOCA DE LOBO'!A25</f>
        <v>PV5.1</v>
      </c>
      <c r="C24" s="413" t="str">
        <f>VLOOKUP(A24,'BOCA DE LOBO'!$C$1:$Q$76,3,0)</f>
        <v>PROJETADO</v>
      </c>
      <c r="D24" s="291" t="str">
        <f>VLOOKUP(A24,'BOCA DE LOBO'!$C$1:$Q$76,10,0)</f>
        <v>EXISTENTE</v>
      </c>
      <c r="E24" s="413">
        <f t="shared" si="302"/>
        <v>2.5</v>
      </c>
      <c r="F24" s="291">
        <f>VLOOKUP(A24,'BOCA DE LOBO'!$C$1:$Q$76,2,0)</f>
        <v>3.3</v>
      </c>
      <c r="G24" s="291">
        <f>VLOOKUP(A24,'BOCA DE LOBO'!$C$1:$Q$76,4,0)</f>
        <v>7.68</v>
      </c>
      <c r="H24" s="238">
        <v>400</v>
      </c>
      <c r="I24" s="493">
        <f t="shared" si="303"/>
        <v>3.03</v>
      </c>
      <c r="J24" s="241">
        <f t="shared" si="2"/>
        <v>0</v>
      </c>
      <c r="K24" s="494">
        <v>0</v>
      </c>
      <c r="L24" s="253">
        <f t="shared" si="231"/>
        <v>0</v>
      </c>
      <c r="M24" s="253">
        <f t="shared" si="232"/>
        <v>0</v>
      </c>
      <c r="N24" s="253">
        <f t="shared" si="233"/>
        <v>400</v>
      </c>
      <c r="O24" s="253">
        <f t="shared" si="234"/>
        <v>0</v>
      </c>
      <c r="P24" s="495" t="str">
        <f>VLOOKUP(B24,'Planilha Hidráulica'!$AE$10:$AQ$39,13,0)</f>
        <v>ASFALTO</v>
      </c>
      <c r="Q24" s="495" t="s">
        <v>2422</v>
      </c>
      <c r="R24" s="495"/>
      <c r="S24" s="495">
        <f>VLOOKUP(Q24,Quantitativos!P:R,3,0)</f>
        <v>5</v>
      </c>
      <c r="T24" s="495">
        <f>VLOOKUP(Q24,Quantitativos!P:S,4,0)</f>
        <v>3.7</v>
      </c>
      <c r="U24" s="253">
        <f t="shared" si="7"/>
        <v>0.05</v>
      </c>
      <c r="V24" s="246">
        <f t="shared" si="235"/>
        <v>0</v>
      </c>
      <c r="W24" s="246">
        <f t="shared" si="236"/>
        <v>0</v>
      </c>
      <c r="X24" s="247">
        <f t="shared" si="82"/>
        <v>0</v>
      </c>
      <c r="Y24" s="247">
        <f t="shared" si="237"/>
        <v>0</v>
      </c>
      <c r="Z24" s="247">
        <f t="shared" si="12"/>
        <v>3.03</v>
      </c>
      <c r="AA24" s="247">
        <f t="shared" si="83"/>
        <v>0</v>
      </c>
      <c r="AB24" s="496">
        <f t="shared" si="84"/>
        <v>0</v>
      </c>
      <c r="AC24" s="251">
        <f t="shared" si="238"/>
        <v>0</v>
      </c>
      <c r="AD24" s="251">
        <f t="shared" si="239"/>
        <v>0</v>
      </c>
      <c r="AE24" s="251">
        <f t="shared" si="240"/>
        <v>0</v>
      </c>
      <c r="AF24" s="251">
        <f t="shared" si="16"/>
        <v>0</v>
      </c>
      <c r="AG24" s="251">
        <f t="shared" si="17"/>
        <v>0</v>
      </c>
      <c r="AH24" s="251">
        <f t="shared" si="18"/>
        <v>0</v>
      </c>
      <c r="AI24" s="497" t="str">
        <f t="shared" si="19"/>
        <v>NÃO</v>
      </c>
      <c r="AJ24" s="253">
        <f t="shared" si="241"/>
        <v>0</v>
      </c>
      <c r="AK24" s="253">
        <f t="shared" si="242"/>
        <v>0</v>
      </c>
      <c r="AL24" s="253">
        <f t="shared" si="243"/>
        <v>0</v>
      </c>
      <c r="AM24" s="241">
        <f t="shared" si="244"/>
        <v>0</v>
      </c>
      <c r="AN24" s="246">
        <f t="shared" si="245"/>
        <v>0</v>
      </c>
      <c r="AO24" s="253">
        <f t="shared" si="246"/>
        <v>0</v>
      </c>
      <c r="AP24" s="253">
        <f t="shared" si="247"/>
        <v>0</v>
      </c>
      <c r="AQ24" s="253">
        <f t="shared" si="248"/>
        <v>0.7</v>
      </c>
      <c r="AR24" s="253">
        <f t="shared" si="249"/>
        <v>0</v>
      </c>
      <c r="AS24" s="253">
        <f t="shared" si="250"/>
        <v>0</v>
      </c>
      <c r="AT24" s="253">
        <f t="shared" si="251"/>
        <v>0</v>
      </c>
      <c r="AU24" s="253">
        <f t="shared" si="252"/>
        <v>0</v>
      </c>
      <c r="AV24" s="253">
        <f t="shared" si="253"/>
        <v>0</v>
      </c>
      <c r="AW24" s="253">
        <f t="shared" si="254"/>
        <v>0</v>
      </c>
      <c r="AX24" s="253">
        <f t="shared" si="255"/>
        <v>0</v>
      </c>
      <c r="AY24" s="253">
        <f t="shared" si="256"/>
        <v>0</v>
      </c>
      <c r="AZ24" s="253">
        <f t="shared" si="257"/>
        <v>0</v>
      </c>
      <c r="BA24" s="253">
        <f t="shared" si="304"/>
        <v>0</v>
      </c>
      <c r="BB24" s="253">
        <f t="shared" si="258"/>
        <v>0</v>
      </c>
      <c r="BC24" s="253"/>
      <c r="BD24" s="253">
        <f t="shared" si="38"/>
        <v>0</v>
      </c>
      <c r="BE24" s="496">
        <f t="shared" si="259"/>
        <v>3.03</v>
      </c>
      <c r="BF24" s="498">
        <f t="shared" si="260"/>
        <v>0</v>
      </c>
      <c r="BG24" s="498">
        <f t="shared" si="261"/>
        <v>0</v>
      </c>
      <c r="BH24" s="495" t="str">
        <f>VLOOKUP(A24,'BOCA DE LOBO'!C:I,7,0)</f>
        <v>BOCA DE LOBO EXISTENTE TRIPLA</v>
      </c>
      <c r="BI24" s="253">
        <f t="shared" si="262"/>
        <v>0</v>
      </c>
      <c r="BJ24" s="253">
        <f t="shared" si="263"/>
        <v>0</v>
      </c>
      <c r="BK24" s="253">
        <f t="shared" si="264"/>
        <v>0</v>
      </c>
      <c r="BL24" s="253">
        <f t="shared" si="265"/>
        <v>0</v>
      </c>
      <c r="BM24" s="253">
        <f t="shared" si="266"/>
        <v>0</v>
      </c>
      <c r="BN24" s="253">
        <f t="shared" si="267"/>
        <v>0</v>
      </c>
      <c r="BO24" s="253">
        <f t="shared" si="268"/>
        <v>0</v>
      </c>
      <c r="BP24" s="500"/>
      <c r="BQ24" s="496">
        <f t="shared" si="269"/>
        <v>23.04</v>
      </c>
      <c r="BR24" s="496">
        <f t="shared" si="270"/>
        <v>23.04</v>
      </c>
      <c r="BS24" s="496">
        <f t="shared" si="271"/>
        <v>0.46079999999999699</v>
      </c>
      <c r="BV24" s="502">
        <f t="shared" si="272"/>
        <v>0</v>
      </c>
      <c r="BW24" s="502">
        <f t="shared" si="273"/>
        <v>0</v>
      </c>
      <c r="BX24" s="502">
        <f t="shared" si="274"/>
        <v>0</v>
      </c>
      <c r="BY24" s="502">
        <f t="shared" si="275"/>
        <v>2.5</v>
      </c>
      <c r="BZ24" s="502">
        <f t="shared" si="276"/>
        <v>2.5</v>
      </c>
      <c r="CA24" s="502">
        <f t="shared" si="277"/>
        <v>0</v>
      </c>
      <c r="CB24" s="502">
        <f t="shared" si="278"/>
        <v>0</v>
      </c>
      <c r="CC24" s="502">
        <f t="shared" si="279"/>
        <v>0</v>
      </c>
      <c r="CD24" s="502">
        <f t="shared" si="280"/>
        <v>0</v>
      </c>
      <c r="CE24" s="502">
        <f t="shared" si="281"/>
        <v>0</v>
      </c>
      <c r="CF24" s="502">
        <f t="shared" si="282"/>
        <v>0</v>
      </c>
      <c r="CG24" s="502">
        <f t="shared" si="283"/>
        <v>0</v>
      </c>
      <c r="CH24" s="502">
        <f t="shared" si="284"/>
        <v>0</v>
      </c>
      <c r="CI24" s="253">
        <f t="shared" si="285"/>
        <v>0</v>
      </c>
      <c r="CJ24" s="502">
        <f t="shared" si="286"/>
        <v>0</v>
      </c>
      <c r="CK24" s="502">
        <f t="shared" si="305"/>
        <v>0</v>
      </c>
      <c r="CL24" s="502">
        <f t="shared" si="287"/>
        <v>0</v>
      </c>
      <c r="CM24" s="502">
        <f t="shared" si="288"/>
        <v>0</v>
      </c>
      <c r="CN24" s="502">
        <f t="shared" si="289"/>
        <v>0</v>
      </c>
      <c r="CO24" s="502">
        <f t="shared" si="290"/>
        <v>2.5</v>
      </c>
      <c r="CP24" s="502">
        <f t="shared" si="291"/>
        <v>0</v>
      </c>
      <c r="CQ24" s="502">
        <f t="shared" si="292"/>
        <v>0</v>
      </c>
      <c r="CR24" s="220">
        <f t="shared" si="293"/>
        <v>0</v>
      </c>
      <c r="CS24" s="503">
        <f t="shared" si="294"/>
        <v>0</v>
      </c>
      <c r="CT24" s="503">
        <f t="shared" si="295"/>
        <v>0</v>
      </c>
      <c r="CU24" s="504">
        <f t="shared" si="296"/>
        <v>0</v>
      </c>
      <c r="CV24" s="504">
        <f t="shared" si="297"/>
        <v>0</v>
      </c>
      <c r="CW24" s="502">
        <f t="shared" si="298"/>
        <v>0</v>
      </c>
      <c r="CX24" s="253">
        <f t="shared" si="299"/>
        <v>0</v>
      </c>
      <c r="CY24" s="505">
        <f t="shared" si="300"/>
        <v>0</v>
      </c>
      <c r="CZ24" s="502">
        <f t="shared" si="301"/>
        <v>0</v>
      </c>
    </row>
    <row r="25" spans="1:104" s="501" customFormat="1" ht="25" x14ac:dyDescent="0.25">
      <c r="A25" s="291" t="str">
        <f>'BOCA DE LOBO'!C26</f>
        <v>BL21-&gt;PV5.1</v>
      </c>
      <c r="B25" s="291" t="str">
        <f>'BOCA DE LOBO'!A26</f>
        <v>PV5.1</v>
      </c>
      <c r="C25" s="413" t="str">
        <f>VLOOKUP(A25,'BOCA DE LOBO'!$C$1:$Q$76,3,0)</f>
        <v>PROJETADO</v>
      </c>
      <c r="D25" s="291" t="str">
        <f>VLOOKUP(A25,'BOCA DE LOBO'!$C$1:$Q$76,10,0)</f>
        <v>PROJETADA</v>
      </c>
      <c r="E25" s="413">
        <f t="shared" si="302"/>
        <v>2.5</v>
      </c>
      <c r="F25" s="291">
        <f>VLOOKUP(A25,'BOCA DE LOBO'!$C$1:$Q$76,2,0)</f>
        <v>3.3</v>
      </c>
      <c r="G25" s="291">
        <f>VLOOKUP(A25,'BOCA DE LOBO'!$C$1:$Q$76,4,0)</f>
        <v>9.4700000000000006</v>
      </c>
      <c r="H25" s="238">
        <v>400</v>
      </c>
      <c r="I25" s="493">
        <f t="shared" si="303"/>
        <v>3.03</v>
      </c>
      <c r="J25" s="241">
        <f t="shared" si="2"/>
        <v>1.4347049999999999</v>
      </c>
      <c r="K25" s="494">
        <v>0</v>
      </c>
      <c r="L25" s="253">
        <f t="shared" si="231"/>
        <v>1</v>
      </c>
      <c r="M25" s="253">
        <f t="shared" si="232"/>
        <v>1</v>
      </c>
      <c r="N25" s="253">
        <f t="shared" si="233"/>
        <v>0</v>
      </c>
      <c r="O25" s="253">
        <f t="shared" si="234"/>
        <v>9.4700000000000006</v>
      </c>
      <c r="P25" s="495" t="str">
        <f>VLOOKUP(B25,'Planilha Hidráulica'!$AE$10:$AQ$39,13,0)</f>
        <v>ASFALTO</v>
      </c>
      <c r="Q25" s="495" t="s">
        <v>2422</v>
      </c>
      <c r="R25" s="495"/>
      <c r="S25" s="495">
        <f>VLOOKUP(Q25,Quantitativos!P:R,3,0)</f>
        <v>5</v>
      </c>
      <c r="T25" s="495">
        <f>VLOOKUP(Q25,Quantitativos!P:S,4,0)</f>
        <v>3.7</v>
      </c>
      <c r="U25" s="253">
        <f t="shared" si="7"/>
        <v>0.05</v>
      </c>
      <c r="V25" s="246">
        <f t="shared" si="235"/>
        <v>0</v>
      </c>
      <c r="W25" s="246">
        <f t="shared" si="236"/>
        <v>28.694099999999999</v>
      </c>
      <c r="X25" s="247">
        <f t="shared" si="82"/>
        <v>0</v>
      </c>
      <c r="Y25" s="247">
        <f t="shared" si="237"/>
        <v>0</v>
      </c>
      <c r="Z25" s="247">
        <f t="shared" si="12"/>
        <v>3.03</v>
      </c>
      <c r="AA25" s="247">
        <f t="shared" si="83"/>
        <v>0</v>
      </c>
      <c r="AB25" s="496">
        <f t="shared" si="84"/>
        <v>9.4700000000000006</v>
      </c>
      <c r="AC25" s="251">
        <f t="shared" si="238"/>
        <v>0</v>
      </c>
      <c r="AD25" s="251">
        <f t="shared" si="239"/>
        <v>0</v>
      </c>
      <c r="AE25" s="251">
        <f t="shared" si="240"/>
        <v>0</v>
      </c>
      <c r="AF25" s="251">
        <f t="shared" si="16"/>
        <v>14.205000000000002</v>
      </c>
      <c r="AG25" s="251">
        <f t="shared" si="17"/>
        <v>14.205000000000002</v>
      </c>
      <c r="AH25" s="251">
        <f t="shared" si="18"/>
        <v>0.28409999999999819</v>
      </c>
      <c r="AI25" s="497" t="str">
        <f t="shared" si="19"/>
        <v>NÃO</v>
      </c>
      <c r="AJ25" s="253">
        <f t="shared" si="241"/>
        <v>0</v>
      </c>
      <c r="AK25" s="253">
        <f t="shared" si="242"/>
        <v>0</v>
      </c>
      <c r="AL25" s="253">
        <f t="shared" si="243"/>
        <v>27.504064702820184</v>
      </c>
      <c r="AM25" s="241">
        <f t="shared" si="244"/>
        <v>0.47350000000000003</v>
      </c>
      <c r="AN25" s="246">
        <f t="shared" si="245"/>
        <v>0</v>
      </c>
      <c r="AO25" s="253">
        <f t="shared" si="246"/>
        <v>0</v>
      </c>
      <c r="AP25" s="253">
        <f t="shared" si="247"/>
        <v>0</v>
      </c>
      <c r="AQ25" s="253">
        <f t="shared" si="248"/>
        <v>0.7</v>
      </c>
      <c r="AR25" s="253">
        <f t="shared" si="249"/>
        <v>5.4389647028201864</v>
      </c>
      <c r="AS25" s="253">
        <f t="shared" si="250"/>
        <v>0</v>
      </c>
      <c r="AT25" s="253">
        <f t="shared" si="251"/>
        <v>1.4205000000000001</v>
      </c>
      <c r="AU25" s="253">
        <f t="shared" si="252"/>
        <v>1.4205000000000001</v>
      </c>
      <c r="AV25" s="253">
        <f t="shared" si="253"/>
        <v>0.28410000000000002</v>
      </c>
      <c r="AW25" s="253">
        <f t="shared" si="254"/>
        <v>18.750599999999995</v>
      </c>
      <c r="AX25" s="253">
        <f t="shared" si="255"/>
        <v>21.834635297179815</v>
      </c>
      <c r="AY25" s="253">
        <f t="shared" si="256"/>
        <v>18.750599999999995</v>
      </c>
      <c r="AZ25" s="253">
        <f t="shared" si="257"/>
        <v>0</v>
      </c>
      <c r="BA25" s="253">
        <f t="shared" si="304"/>
        <v>0</v>
      </c>
      <c r="BB25" s="253">
        <f t="shared" si="258"/>
        <v>0</v>
      </c>
      <c r="BC25" s="253"/>
      <c r="BD25" s="253">
        <f t="shared" si="38"/>
        <v>5.6820000000000002E-2</v>
      </c>
      <c r="BE25" s="496">
        <f t="shared" si="259"/>
        <v>3.03</v>
      </c>
      <c r="BF25" s="498">
        <f t="shared" si="260"/>
        <v>0</v>
      </c>
      <c r="BG25" s="498">
        <f t="shared" si="261"/>
        <v>0</v>
      </c>
      <c r="BH25" s="495" t="str">
        <f>VLOOKUP(A25,'BOCA DE LOBO'!C:I,7,0)</f>
        <v>BOCA DE LOBO PROJETADA DUPLA</v>
      </c>
      <c r="BI25" s="253">
        <f t="shared" si="262"/>
        <v>0</v>
      </c>
      <c r="BJ25" s="253">
        <f t="shared" si="263"/>
        <v>0</v>
      </c>
      <c r="BK25" s="253">
        <f t="shared" si="264"/>
        <v>0</v>
      </c>
      <c r="BL25" s="253">
        <f t="shared" si="265"/>
        <v>0</v>
      </c>
      <c r="BM25" s="253">
        <f t="shared" si="266"/>
        <v>0</v>
      </c>
      <c r="BN25" s="253">
        <f t="shared" si="267"/>
        <v>1</v>
      </c>
      <c r="BO25" s="253">
        <f t="shared" si="268"/>
        <v>0</v>
      </c>
      <c r="BP25" s="500"/>
      <c r="BQ25" s="496">
        <f t="shared" si="269"/>
        <v>28.410000000000004</v>
      </c>
      <c r="BR25" s="496">
        <f t="shared" si="270"/>
        <v>28.410000000000004</v>
      </c>
      <c r="BS25" s="496">
        <f t="shared" si="271"/>
        <v>0.56819999999999637</v>
      </c>
      <c r="BV25" s="502">
        <f t="shared" si="272"/>
        <v>19.456499999999998</v>
      </c>
      <c r="BW25" s="502">
        <f t="shared" si="273"/>
        <v>7.7825999999999986</v>
      </c>
      <c r="BX25" s="502">
        <f t="shared" si="274"/>
        <v>3.0325999999999995</v>
      </c>
      <c r="BY25" s="502">
        <f t="shared" si="275"/>
        <v>2.5</v>
      </c>
      <c r="BZ25" s="502">
        <f t="shared" si="276"/>
        <v>2.5</v>
      </c>
      <c r="CA25" s="502">
        <f t="shared" si="277"/>
        <v>0</v>
      </c>
      <c r="CB25" s="502">
        <f t="shared" si="278"/>
        <v>0</v>
      </c>
      <c r="CC25" s="502">
        <f t="shared" si="279"/>
        <v>11.673899999999998</v>
      </c>
      <c r="CD25" s="502">
        <f t="shared" si="280"/>
        <v>7.7825999999999986</v>
      </c>
      <c r="CE25" s="502">
        <f t="shared" si="281"/>
        <v>0</v>
      </c>
      <c r="CF25" s="502">
        <f t="shared" si="282"/>
        <v>0</v>
      </c>
      <c r="CG25" s="502">
        <f t="shared" si="283"/>
        <v>0</v>
      </c>
      <c r="CH25" s="502">
        <f t="shared" si="284"/>
        <v>0</v>
      </c>
      <c r="CI25" s="253">
        <f t="shared" si="285"/>
        <v>0.53549999999999998</v>
      </c>
      <c r="CJ25" s="502">
        <f t="shared" si="286"/>
        <v>11.339499999999997</v>
      </c>
      <c r="CK25" s="502">
        <f t="shared" si="305"/>
        <v>11.339499999999997</v>
      </c>
      <c r="CL25" s="502">
        <f t="shared" si="287"/>
        <v>0</v>
      </c>
      <c r="CM25" s="502">
        <f t="shared" si="288"/>
        <v>0</v>
      </c>
      <c r="CN25" s="502">
        <f t="shared" si="289"/>
        <v>3.57</v>
      </c>
      <c r="CO25" s="502">
        <f t="shared" si="290"/>
        <v>2.5</v>
      </c>
      <c r="CP25" s="502">
        <f t="shared" si="291"/>
        <v>10.709999999999999</v>
      </c>
      <c r="CQ25" s="502">
        <f t="shared" si="292"/>
        <v>7.14</v>
      </c>
      <c r="CR25" s="220">
        <f t="shared" si="293"/>
        <v>0</v>
      </c>
      <c r="CS25" s="503">
        <f t="shared" si="294"/>
        <v>0</v>
      </c>
      <c r="CT25" s="503">
        <f t="shared" si="295"/>
        <v>0.33012999999999998</v>
      </c>
      <c r="CU25" s="504">
        <f t="shared" si="296"/>
        <v>13</v>
      </c>
      <c r="CV25" s="504">
        <f t="shared" si="297"/>
        <v>1.43895</v>
      </c>
      <c r="CW25" s="502">
        <f t="shared" si="298"/>
        <v>23.248199999999997</v>
      </c>
      <c r="CX25" s="253">
        <f t="shared" si="299"/>
        <v>3.57</v>
      </c>
      <c r="CY25" s="505">
        <f t="shared" si="300"/>
        <v>1.7849999999999999</v>
      </c>
      <c r="CZ25" s="502">
        <f t="shared" si="301"/>
        <v>0</v>
      </c>
    </row>
    <row r="26" spans="1:104" s="501" customFormat="1" ht="25" x14ac:dyDescent="0.25">
      <c r="A26" s="291" t="str">
        <f>'BOCA DE LOBO'!C29</f>
        <v>BL24-&gt;PV7.1</v>
      </c>
      <c r="B26" s="291" t="str">
        <f>'BOCA DE LOBO'!A29</f>
        <v>PV7.1</v>
      </c>
      <c r="C26" s="413" t="str">
        <f>VLOOKUP(A26,'BOCA DE LOBO'!$C$1:$Q$76,3,0)</f>
        <v>PROJETADO</v>
      </c>
      <c r="D26" s="291" t="str">
        <f>VLOOKUP(A26,'BOCA DE LOBO'!$C$1:$Q$76,10,0)</f>
        <v>EXISTENTE</v>
      </c>
      <c r="E26" s="413">
        <f t="shared" si="302"/>
        <v>2.5</v>
      </c>
      <c r="F26" s="291">
        <f>VLOOKUP(A26,'BOCA DE LOBO'!$C$1:$Q$76,2,0)</f>
        <v>3.3</v>
      </c>
      <c r="G26" s="291">
        <f>VLOOKUP(A26,'BOCA DE LOBO'!$C$1:$Q$76,4,0)</f>
        <v>3.39</v>
      </c>
      <c r="H26" s="238">
        <v>400</v>
      </c>
      <c r="I26" s="493">
        <f t="shared" si="303"/>
        <v>3.03</v>
      </c>
      <c r="J26" s="241">
        <f t="shared" si="2"/>
        <v>0</v>
      </c>
      <c r="K26" s="494">
        <v>0</v>
      </c>
      <c r="L26" s="253">
        <f>IF(D26&lt;&gt;"PROJETADA",0,IF(H26=400,1,0)+IF(H26=500,1.2,0)+IF(H26=600,1.4,0)+IF(H26=800,1.7,0)+IF(H26=1000,2,0)+IF(H26=1200,2.2,0)+IF(H26=1500,2.6,0)+IF(H26=1650,3,0)+IF(H26=1800,3.2,0)+IF(H26=2000,3.4,0)+IF(H26=2200,3.6,0)+IF(H26=2400,3.8,0)+IF(H26=2600,4,0)+IF(H26=3000,4.4,0))</f>
        <v>0</v>
      </c>
      <c r="M26" s="253">
        <f>2*K26*I26+L26</f>
        <v>0</v>
      </c>
      <c r="N26" s="253">
        <f>IF(OR(D26="EXISTENTE",D26="AMPLIADA"),400,0)</f>
        <v>400</v>
      </c>
      <c r="O26" s="253">
        <f t="shared" ref="O26:O68" si="306">IF(P26="TERRENO NATURAL",0,M26*G26)</f>
        <v>0</v>
      </c>
      <c r="P26" s="495" t="s">
        <v>2392</v>
      </c>
      <c r="Q26" s="495" t="s">
        <v>2422</v>
      </c>
      <c r="R26" s="495"/>
      <c r="S26" s="495">
        <f>VLOOKUP(Q26,Quantitativos!P:R,3,0)</f>
        <v>5</v>
      </c>
      <c r="T26" s="495">
        <f>VLOOKUP(Q26,Quantitativos!P:S,4,0)</f>
        <v>3.7</v>
      </c>
      <c r="U26" s="253">
        <f t="shared" si="7"/>
        <v>0.05</v>
      </c>
      <c r="V26" s="246">
        <f>IF(L26=0,0,IF("EXISTENTE"=C26,0,IFERROR((PI()*(N26/1000)*(N26/1000)/4)*G26,0)))</f>
        <v>0</v>
      </c>
      <c r="W26" s="246">
        <f>IF(O26=0,0,((((K26*I26)*I26)/2)*2+L26*I26)*G26-V26+AO26)</f>
        <v>0</v>
      </c>
      <c r="X26" s="247">
        <f t="shared" si="82"/>
        <v>0</v>
      </c>
      <c r="Y26" s="247">
        <f>IF(R26=1,IF(N26=0,I26+0.4,0.4),0)</f>
        <v>0</v>
      </c>
      <c r="Z26" s="247">
        <f t="shared" si="12"/>
        <v>3.03</v>
      </c>
      <c r="AA26" s="247">
        <f t="shared" si="83"/>
        <v>0</v>
      </c>
      <c r="AB26" s="496">
        <f t="shared" si="84"/>
        <v>0</v>
      </c>
      <c r="AC26" s="251">
        <f>IF(Y26=0,0,IF(Y26=0.4,IF(L26&lt;=1.5,IF(Z26+0.4&gt;=1.5,0,L26*G26*0.4),0),IF(L26&lt;=1.5,IF(Y26&gt;=1.5,M26*G26*1.5,L26*G26*(Y26)),0)+IF(S26&lt;I26+0.4,0,IF(AND(Y26&lt;=1.5,L26&lt;=1.5),-V26,0))))</f>
        <v>0</v>
      </c>
      <c r="AD26" s="251">
        <f>IF(Y26=0,0,IF(Y26=0.4,IF(L26&lt;=1.5,IF(OR(Z26+0.4&gt;=3,Z26+0.4&lt;1.5),0,L26*G26*0.4),0),IF(IF(L26&lt;=1.5,IF(Y26&gt;=3,M26*G26*1.5,L26*G26*(Y26-1.5)),0)&lt;0,0,IF(L26&lt;=1.5,IF(Y26&gt;=3,M26*G26*1.5,L26*G26*(Y26-1.5)),0))+IF(S26&lt;I26+0.4,0,IF(AND(Y26&lt;=3,L26&lt;=1.5),-V26,0))))</f>
        <v>0</v>
      </c>
      <c r="AE26" s="251">
        <f>IF(Y26=0,0,IF(Y26=0.4,IF(L26&lt;=1.5,IF(OR(Z26+0.4&gt;=4.5,Z26+0.4&lt;3),0,L26*G26*0.4),0),IF(IF(L26&lt;=1.5,IF(Y26&gt;=4.5,M26*G26*1.5,L26*G26*(Y26-3)),0)&lt;0,0,IF(L26&lt;=1.5,IF(Y26&gt;=4.5,M26*G26*1.5,L26*G26*(Y26-3)),0))+IF(S26&lt;I26+0.4,0,IF(AND(Y26&lt;=4.5,L26&lt;=1.5),-V26,0))))</f>
        <v>0</v>
      </c>
      <c r="AF26" s="251">
        <f t="shared" si="16"/>
        <v>0</v>
      </c>
      <c r="AG26" s="251">
        <f t="shared" si="17"/>
        <v>0</v>
      </c>
      <c r="AH26" s="251">
        <f t="shared" si="18"/>
        <v>0</v>
      </c>
      <c r="AI26" s="497" t="str">
        <f t="shared" si="19"/>
        <v>NÃO</v>
      </c>
      <c r="AJ26" s="253">
        <f t="shared" ref="AJ26:AJ27" si="307">W26-SUM(AC26:AH26)</f>
        <v>0</v>
      </c>
      <c r="AK26" s="253">
        <f t="shared" ref="AK26:AK33" si="308">IF(I26-T26&lt;0,0,(I26-T26)*G26)/75</f>
        <v>0</v>
      </c>
      <c r="AL26" s="253">
        <f t="shared" ref="AL26:AL33" si="309">IF(L26=0,0,G26*L26*I26-PI()*(H26/1000)*(H26/1000)/4*G26+AO26)</f>
        <v>0</v>
      </c>
      <c r="AM26" s="241">
        <f t="shared" ref="AM26:AM33" si="310">IF(L26&lt;1.5,L26*G26*IF(H26&lt;=500,0.05,IF(H26&lt;=800,0.1,IF(H26&lt;=1200,0.15,IF(H26&gt;=1500,0.2)))),0)</f>
        <v>0</v>
      </c>
      <c r="AN26" s="246">
        <f t="shared" ref="AN26:AN33" si="311">IF(L26&gt;=1.5,L26*G26*IF(H26&lt;=500,0.05,IF(H26&lt;=800,0.1,IF(H26&lt;=1200,0.15,IF(H26&gt;=1500,0.2)))),0)</f>
        <v>0</v>
      </c>
      <c r="AO26" s="253">
        <f>IF(R26=1,0.4*G26*L26,0)</f>
        <v>0</v>
      </c>
      <c r="AP26" s="253">
        <f t="shared" ref="AP26:AP27" si="312">IF(AO26&lt;SUM(AF26:AH26),0,AO26)</f>
        <v>0</v>
      </c>
      <c r="AQ26" s="253">
        <f t="shared" ref="AQ26:AQ33" si="313">H26/1000+0.3</f>
        <v>0.7</v>
      </c>
      <c r="AR26" s="253">
        <f t="shared" ref="AR26:AR33" si="314">IF(D26&lt;&gt;"PROJETADA",0,AQ26*L26*G26-PI()*(H26/1000*H26/1000)/4*G26)</f>
        <v>0</v>
      </c>
      <c r="AS26" s="253">
        <f t="shared" ref="AS26:AS33" si="315">IF(AR26&lt;SUM(AF26:AH26),0,AR26)</f>
        <v>0</v>
      </c>
      <c r="AT26" s="253">
        <f t="shared" ref="AT26:AT33" si="316">IF(P26="ASFALTO",0.15*G26*L26,0)</f>
        <v>0</v>
      </c>
      <c r="AU26" s="253">
        <f>AT26</f>
        <v>0</v>
      </c>
      <c r="AV26" s="253">
        <f t="shared" ref="AV26:AV33" si="317">IF(P26="ASFALTO",0.03*G26*L26,0)</f>
        <v>0</v>
      </c>
      <c r="AW26" s="253">
        <f t="shared" ref="AW26:AW33" si="318">AL26-AO26-SUM(AM26:AN26)-AT26-AU26-AR26</f>
        <v>0</v>
      </c>
      <c r="AX26" s="253">
        <f>SUM(AF26:AH26)-AO26-AT26-AR26</f>
        <v>0</v>
      </c>
      <c r="AY26" s="253">
        <f t="shared" ref="AY26:AY33" si="319">SMALL(AW26:AX26,1)</f>
        <v>0</v>
      </c>
      <c r="AZ26" s="253">
        <f t="shared" ref="AZ26:AZ33" si="320">AW26-AY26</f>
        <v>0</v>
      </c>
      <c r="BA26" s="253">
        <f t="shared" si="304"/>
        <v>0</v>
      </c>
      <c r="BB26" s="253">
        <f t="shared" ref="BB26:BB33" si="321">AZ26-BA26</f>
        <v>0</v>
      </c>
      <c r="BC26" s="253"/>
      <c r="BD26" s="253">
        <f t="shared" si="38"/>
        <v>0</v>
      </c>
      <c r="BE26" s="496">
        <f>IF(H26=400,I26,0)</f>
        <v>3.03</v>
      </c>
      <c r="BF26" s="498">
        <f t="shared" ref="BF26:BF33" si="322">IF(BE26&lt;=1.75,G26*IF(D26="PROJETADA",1,0),0)</f>
        <v>0</v>
      </c>
      <c r="BG26" s="498">
        <f t="shared" ref="BG26:BG33" si="323">IF(AND(BE26&lt;=3,BE26&gt;1.75),IF(D26="PROJETADA",1,0)*G26,0)</f>
        <v>0</v>
      </c>
      <c r="BH26" s="495" t="str">
        <f>VLOOKUP(A26,'BOCA DE LOBO'!C:I,7,0)</f>
        <v>BOCA DE LOBO EXISTENTE TRIPLA</v>
      </c>
      <c r="BI26" s="253">
        <f>IF(BH26=$BI$4,1,0)</f>
        <v>0</v>
      </c>
      <c r="BJ26" s="253">
        <f>IF(BH26=$BJ$4,1,0)</f>
        <v>0</v>
      </c>
      <c r="BK26" s="253">
        <f>IF(BH26=$BK$4,1,0)</f>
        <v>0</v>
      </c>
      <c r="BL26" s="253">
        <f>IF(BH26=$BL$4,1,0)</f>
        <v>0</v>
      </c>
      <c r="BM26" s="253">
        <f>IF(BH26=$BM$4,1,0)</f>
        <v>0</v>
      </c>
      <c r="BN26" s="253">
        <f>IF(BH26=$BN$4,1,0)</f>
        <v>0</v>
      </c>
      <c r="BO26" s="253">
        <f>IF(BH26=$BO$4,1,0)</f>
        <v>0</v>
      </c>
      <c r="BP26" s="500"/>
      <c r="BQ26" s="496">
        <f>IF(L26&lt;=1.5,IF(I26+IF(R26=1,0.5,0)&lt;1.5,(I26+IF(R26=1,0.5,0))*G26*2,G26*2*1.5),0)</f>
        <v>10.17</v>
      </c>
      <c r="BR26" s="496">
        <f>IF(L26&lt;=1.5,IF(AND(I26+IF(R26=1,0.5,0)&lt;3,I26+IF(R26=1,0.5,0)&gt;1.5),(I26+IF(R26=1,0.5,0)-1.5)*G26*2,IF(I26+IF(R26=1,0.5,0)&gt;=3,(G26*2*1.5),0)),0)</f>
        <v>10.17</v>
      </c>
      <c r="BS26" s="496">
        <f>IF(L26&lt;=1.5,IF(AND(I26+IF(R26=1,0.5,0)&lt;4.5,I26+IF(R26=1,0.5,0)&gt;3),(I26+IF(R26=1,0.5,0)-3)*G26*2,IF(I26+IF(R26=1,0.5,0)&gt;=4.5,(G26*2*1.5),0)),0)</f>
        <v>0.20339999999999869</v>
      </c>
      <c r="BV26" s="502">
        <f t="shared" ref="BV26:BV33" si="324">IF(OR("BOCA DE LOBO EXISTENTE TRIPLA"=BH26,"BOCA DE LOBO EXISTENTE SIMPLES"=BH26,"BOCA DE LOBO EXISTENTE DUPLA"=BH26),0,IF("BOCA DE LOBO PROJETADA DUPLA"=BH26,(2.57+1)*(1.18+1),IF(OR("BOCA DE LOBO DUPLA EXISTENTE COM BOCA DE LOBO SIMPLES PROJETADA"=BH26,"BOCA DE LOBO SIMPLES EXISTENTE COM BOCA DE LOBO SIMPLES PROJETADA"=BH26),(1.18+0.5)*(1.18+1),IF(OR(BH26="BOCA DE LOBO DUPLA EXISTENTE COM BOCA DE LOBO DUPLA PROJETADA",BH26="BOCA DE LOBO SIMPLES EXISTENTE COM BOCA DE LOBO DUPLA PROJETADA"),(2.38+0.5)*(1.18+1),IF("BOCA DE LOBO PROJETADA TRIPLA"=BH26,(3.76+1)*(1.18+1),"X")))))*(E26+IF(CA26&gt;0,0.5,0))</f>
        <v>0</v>
      </c>
      <c r="BW26" s="502">
        <f>IF(OR("BOCA DE LOBO EXISTENTE TRIPLA"=BH26,"BOCA DE LOBO EXISTENTE SIMPLES"=BH26,"BOCA DE LOBO EXISTENTE DUPLA"=BH26),0,IF("BOCA DE LOBO PROJETADA DUPLA"=BH26,(2.57+1)*(1.18+1),IF(OR("BOCA DE LOBO DUPLA EXISTENTE COM BOCA DE LOBO SIMPLES PROJETADA"=BH26,"BOCA DE LOBO SIMPLES EXISTENTE COM BOCA DE LOBO SIMPLES PROJETADA"=BH26),(1.18+1)*(1.18+0.5),IF(OR(BH26="BOCA DE LOBO DUPLA EXISTENTE COM BOCA DE LOBO DUPLA PROJETADA",BH26="BOCA DE LOBO SIMPLES EXISTENTE COM BOCA DE LOBO DUPLA PROJETADA"),(2.38+0.5)*(1.18+1),IF("BOCA DE LOBO PROJETADA TRIPLA"=BH26,(3.76+0.5*2)*(1.18+1),"X")))))</f>
        <v>0</v>
      </c>
      <c r="BX26" s="502">
        <f t="shared" ref="BX26:BX33" si="325">IF(OR("BOCA DE LOBO EXISTENTE TRIPLA"=BH26,"BOCA DE LOBO EXISTENTE SIMPLES"=BH26,"BOCA DE LOBO EXISTENTE DUPLA"=BH26),0,IF("BOCA DE LOBO PROJETADA DUPLA"=BH26,(2.57)*(1.18),IF(OR("BOCA DE LOBO DUPLA EXISTENTE COM BOCA DE LOBO SIMPLES PROJETADA"=BH26,"BOCA DE LOBO SIMPLES EXISTENTE COM BOCA DE LOBO SIMPLES PROJETADA"=BH26),(1.18)*(1.18),IF(OR(BH26="BOCA DE LOBO DUPLA EXISTENTE COM BOCA DE LOBO DUPLA PROJETADA",BH26="BOCA DE LOBO SIMPLES EXISTENTE COM BOCA DE LOBO DUPLA PROJETADA"),(2.38)*(1.18),IF("BOCA DE LOBO PROJETADA TRIPLA"=BH26,(3.76)*(1.18),"X")))))</f>
        <v>0</v>
      </c>
      <c r="BY26" s="502">
        <f t="shared" ref="BY26:BY33" si="326">E26</f>
        <v>2.5</v>
      </c>
      <c r="BZ26" s="502">
        <f t="shared" ref="BZ26:BZ33" si="327">IF(Y26&gt;0.5,0,IF(S26&lt;E26,S26,E26))</f>
        <v>2.5</v>
      </c>
      <c r="CA26" s="502">
        <f>IF(Y26&gt;0.4,BY26+0.4,Y26)</f>
        <v>0</v>
      </c>
      <c r="CB26" s="502">
        <f t="shared" ref="CB26:CB33" si="328">IF(S26&gt;E26,0,E26-S26)</f>
        <v>0</v>
      </c>
      <c r="CC26" s="502">
        <f t="shared" ref="CC26:CC33" si="329">IF(BZ26&gt;1.5,BW26*1.5,BW26*BZ26)</f>
        <v>0</v>
      </c>
      <c r="CD26" s="502">
        <f t="shared" ref="CD26:CD33" si="330">IF(BZ26&gt;1.5,BW26*(BZ26-1.5),0)</f>
        <v>0</v>
      </c>
      <c r="CE26" s="502">
        <f>IF(CA26=0.4,IF(BZ26+CA26&gt;1.5,0,CA26*BW26),IF(CA26&gt;1.5,BW26*1.5,BW26*CA26))</f>
        <v>0</v>
      </c>
      <c r="CF26" s="502">
        <f>IF(CA26=0.4,IF(BZ26+CA26&lt;=1.5,0,CA26*BW26),IF(CA26&gt;1.5,BW26*(CA26-1.5),0))</f>
        <v>0</v>
      </c>
      <c r="CG26" s="502">
        <f t="shared" ref="CG26:CG33" si="331">BV26-SUM(CC26:CF26)</f>
        <v>0</v>
      </c>
      <c r="CH26" s="502">
        <f t="shared" ref="CH26:CH33" si="332">SUM(CC26:CG26)-BV26</f>
        <v>0</v>
      </c>
      <c r="CI26" s="253">
        <f t="shared" si="285"/>
        <v>0</v>
      </c>
      <c r="CJ26" s="502">
        <f>(BW26-BX26)*(BY26+IF(CA26&gt;=0.4,0.4,0))-CI26</f>
        <v>0</v>
      </c>
      <c r="CK26" s="502">
        <f t="shared" si="305"/>
        <v>0</v>
      </c>
      <c r="CL26" s="502">
        <f t="shared" ref="CL26:CL33" si="333">CJ26-CK26</f>
        <v>0</v>
      </c>
      <c r="CM26" s="502">
        <f t="shared" ref="CM26:CM33" si="334">IF(CA26&gt;0,0.5*4%*BW26,0)</f>
        <v>0</v>
      </c>
      <c r="CN26" s="502">
        <f t="shared" ref="CN26:CN33" si="335">IF(OR("BOCA DE LOBO EXISTENTE TRIPLA"=BH26,"BOCA DE LOBO EXISTENTE SIMPLES"=BH26,"BOCA DE LOBO EXISTENTE DUPLA"=BH26),0,IF("BOCA DE LOBO PROJETADA DUPLA"=BH26,(2.57+1),IF(OR("BOCA DE LOBO DUPLA EXISTENTE COM BOCA DE LOBO SIMPLES PROJETADA"=BH26,"BOCA DE LOBO SIMPLES EXISTENTE COM BOCA DE LOBO SIMPLES PROJETADA"=BH26),(1.18+0.5),IF(OR(BH26="BOCA DE LOBO DUPLA EXISTENTE COM BOCA DE LOBO DUPLA PROJETADA",BH26="BOCA DE LOBO SIMPLES EXISTENTE COM BOCA DE LOBO DUPLA PROJETADA"),(2.38+0.5),IF("BOCA DE LOBO PROJETADA TRIPLA"=BH26,(3.76+0.5*2),"X")))))</f>
        <v>0</v>
      </c>
      <c r="CO26" s="502">
        <f t="shared" ref="CO26:CO33" si="336">IF(CA26&gt;0,BY26+0.5,BY26)</f>
        <v>2.5</v>
      </c>
      <c r="CP26" s="502">
        <f t="shared" ref="CP26:CP33" si="337">IF(CO26&gt;=1.5,CN26*1.5*2,CN26*CO26*2)</f>
        <v>0</v>
      </c>
      <c r="CQ26" s="502">
        <f t="shared" ref="CQ26:CQ33" si="338">IF(CO26&lt;=1.5,0,IF(CO26&gt;=3,CN26*1.5*2,CN26*(CO26-1.5)*2))</f>
        <v>0</v>
      </c>
      <c r="CR26" s="220">
        <f t="shared" ref="CR26:CR33" si="339">IF(D26="AMPLIADA",0.55*(E26-0.5),0)</f>
        <v>0</v>
      </c>
      <c r="CS26" s="503">
        <f t="shared" ref="CS26:CS33" si="340">IF(OR("BOCA DE LOBO EXISTENTE TRIPLA"=BH26,"BOCA DE LOBO EXISTENTE SIMPLES"=BH26,"BOCA DE LOBO EXISTENTE DUPLA"=BH26),0,IF("BOCA DE LOBO PROJETADA DUPLA"=BH26,(0),IF(OR("BOCA DE LOBO DUPLA EXISTENTE COM BOCA DE LOBO SIMPLES PROJETADA"=BH26,"BOCA DE LOBO SIMPLES EXISTENTE COM BOCA DE LOBO SIMPLES PROJETADA"=BH26),(0.8*0.15*0.17),IF(OR(BH26="BOCA DE LOBO DUPLA EXISTENTE COM BOCA DE LOBO DUPLA PROJETADA",BH26="BOCA DE LOBO SIMPLES EXISTENTE COM BOCA DE LOBO DUPLA PROJETADA"),(0.8*0.15*0.17),IF("BOCA DE LOBO PROJETADA TRIPLA"=BH26,(0),"X")))))*E26</f>
        <v>0</v>
      </c>
      <c r="CT26" s="503">
        <f>IF(OR("BOCA DE LOBO EXISTENTE TRIPLA"=BH26,"BOCA DE LOBO EXISTENTE SIMPLES"=BH26,"BOCA DE LOBO EXISTENTE DUPLA"=BH26),0,IF("BOCA DE LOBO PROJETADA DUPLA"=BH26,(1.18*2.57*0.05),IF(OR("BOCA DE LOBO DUPLA EXISTENTE COM BOCA DE LOBO SIMPLES PROJETADA"=BH26,"BOCA DE LOBO SIMPLES EXISTENTE COM BOCA DE LOBO SIMPLES PROJETADA"=BH26),(1.19*1.18*0.05),IF(OR(BH26="BOCA DE LOBO DUPLA EXISTENTE COM BOCA DE LOBO DUPLA PROJETADA",BH26="BOCA DE LOBO SIMPLES EXISTENTE COM BOCA DE LOBO DUPLA PROJETADA"),(2.38*1.18*0.056),IF("BOCA DE LOBO PROJETADA TRIPLA"=BH26,(3.76*1.18*0.05),"X")))))+CI26/3</f>
        <v>0</v>
      </c>
      <c r="CU26" s="504">
        <f t="shared" ref="CU26:CU33" si="341">IF(OR("BOCA DE LOBO EXISTENTE TRIPLA"=BH26,"BOCA DE LOBO EXISTENTE SIMPLES"=BH26,"BOCA DE LOBO EXISTENTE DUPLA"=BH26),0,IF("BOCA DE LOBO PROJETADA DUPLA"=BH26,(1*4+0.6*2),IF(OR("BOCA DE LOBO DUPLA EXISTENTE COM BOCA DE LOBO SIMPLES PROJETADA"=BH26,"BOCA DE LOBO SIMPLES EXISTENTE COM BOCA DE LOBO SIMPLES PROJETADA"=BH26),(1*2+0.6),IF(OR(BH26="BOCA DE LOBO DUPLA EXISTENTE COM BOCA DE LOBO DUPLA PROJETADA",BH26="BOCA DE LOBO SIMPLES EXISTENTE COM BOCA DE LOBO DUPLA PROJETADA"),(1*4+0.6),IF("BOCA DE LOBO PROJETADA TRIPLA"=BH26,(6*1+0.6*2),"X")))))*E26</f>
        <v>0</v>
      </c>
      <c r="CV26" s="504">
        <f t="shared" ref="CV26:CV33" si="342">IF(OR("BOCA DE LOBO EXISTENTE TRIPLA"=BH26,"BOCA DE LOBO EXISTENTE SIMPLES"=BH26,"BOCA DE LOBO EXISTENTE DUPLA"=BH26),0,IF("BOCA DE LOBO PROJETADA DUPLA"=BH26,(12*E26*0.17*0.15+1*0.17*0.15*5+1.09*0.6*0.07*2+2.57*1.18*0.15),IF(OR("BOCA DE LOBO DUPLA EXISTENTE COM BOCA DE LOBO SIMPLES PROJETADA"=BH26,"BOCA DE LOBO SIMPLES EXISTENTE COM BOCA DE LOBO SIMPLES PROJETADA"=BH26),(8*E26*0.17*0.15+1*0.17*0.15*4+1.09*0.6*0.07*1+1.38*1.18*0.15),IF(OR(BH26="BOCA DE LOBO DUPLA EXISTENTE COM BOCA DE LOBO DUPLA PROJETADA",BH26="BOCA DE LOBO SIMPLES EXISTENTE COM BOCA DE LOBO DUPLA PROJETADA"),(7*E26*0.17*0.15+1*0.17*0.15*5+1.09*0.6*0.07*2+2.38*1.18*0.15),IF("BOCA DE LOBO PROJETADA TRIPLA"=BH26,(15*E26*0.17*0.15+1*0.17*0.15*7+1.09*0.6*0.07*3+3.76*1.18*0.15),"X")))))</f>
        <v>0</v>
      </c>
      <c r="CW26" s="502">
        <f t="shared" ref="CW26:CW33" si="343">IF(OR("BOCA DE LOBO EXISTENTE TRIPLA"=BH26,"BOCA DE LOBO EXISTENTE SIMPLES"=BH26,"BOCA DE LOBO EXISTENTE DUPLA"=BH26),0,IF("BOCA DE LOBO PROJETADA DUPLA"=BH26,(12*E26*2*(0.17+0.15)+1*(2*0.17+0.15)*5+2*(2.57+1.18)*0.15+(1.09+0.6)*2*0.07*2),IF(OR("BOCA DE LOBO DUPLA EXISTENTE COM BOCA DE LOBO SIMPLES PROJETADA"=BH26,"BOCA DE LOBO SIMPLES EXISTENTE COM BOCA DE LOBO SIMPLES PROJETADA"=BH26),(8*E26*2*(0.17+0.15)+1*(2*0.17+0.15)*4+2*(1.38+1.18)*0.15+(1.09+0.6)*2*0.07*1),IF(OR(BH26="BOCA DE LOBO DUPLA EXISTENTE COM BOCA DE LOBO DUPLA PROJETADA",BH26="BOCA DE LOBO SIMPLES EXISTENTE COM BOCA DE LOBO DUPLA PROJETADA"),(7*E26*2*(0.17+0.15)+1*(2*0.17+0.15)*5+2*(2.38+1.18)*0.15+(1.09+0.6)*2*0.07*2),IF("BOCA DE LOBO PROJETADA TRIPLA"=BH26,(15*E26*2*(0.17+0.15)+1*(2*0.17+0.15)*7+2*(3.76+1.18)*0.15+(1.09+0.6)*2*0.07*3),"X")))))</f>
        <v>0</v>
      </c>
      <c r="CX26" s="253">
        <f t="shared" ref="CX26:CX33" si="344">IF(OR("BOCA DE LOBO EXISTENTE TRIPLA"=BH26,"BOCA DE LOBO EXISTENTE SIMPLES"=BH26,"BOCA DE LOBO EXISTENTE DUPLA"=BH26),0,IF("BOCA DE LOBO PROJETADA DUPLA"=BH26,(2.57+1),IF(OR("BOCA DE LOBO DUPLA EXISTENTE COM BOCA DE LOBO SIMPLES PROJETADA"=BH26,"BOCA DE LOBO SIMPLES EXISTENTE COM BOCA DE LOBO SIMPLES PROJETADA"=BH26),(1.18+0.5),IF(OR(BH26="BOCA DE LOBO DUPLA EXISTENTE COM BOCA DE LOBO DUPLA PROJETADA",BH26="BOCA DE LOBO SIMPLES EXISTENTE COM BOCA DE LOBO DUPLA PROJETADA"),(2.38+0.5),IF("BOCA DE LOBO PROJETADA TRIPLA"=BH26,(3.76+1),"X")))))</f>
        <v>0</v>
      </c>
      <c r="CY26" s="505">
        <f t="shared" ref="CY26:CY33" si="345">CX26*0.5</f>
        <v>0</v>
      </c>
      <c r="CZ26" s="502">
        <f t="shared" ref="CZ26:CZ33" si="346">IF(AND(C26="EXISTENTE",D26="PROJETADA"),PI()*0.51*0.51/4*0.12,0)</f>
        <v>0</v>
      </c>
    </row>
    <row r="27" spans="1:104" s="501" customFormat="1" ht="25" x14ac:dyDescent="0.25">
      <c r="A27" s="291" t="str">
        <f>'BOCA DE LOBO'!C30</f>
        <v>BL25-&gt;PV7.1</v>
      </c>
      <c r="B27" s="291" t="str">
        <f>'BOCA DE LOBO'!A30</f>
        <v>PV7.1</v>
      </c>
      <c r="C27" s="413" t="str">
        <f>VLOOKUP(A27,'BOCA DE LOBO'!$C$1:$Q$76,3,0)</f>
        <v>PROJETADO</v>
      </c>
      <c r="D27" s="291" t="str">
        <f>VLOOKUP(A27,'BOCA DE LOBO'!$C$1:$Q$76,10,0)</f>
        <v>PROJETADA</v>
      </c>
      <c r="E27" s="413">
        <f t="shared" si="302"/>
        <v>2.5</v>
      </c>
      <c r="F27" s="291">
        <f>VLOOKUP(A27,'BOCA DE LOBO'!$C$1:$Q$76,2,0)</f>
        <v>3.3</v>
      </c>
      <c r="G27" s="291">
        <f>VLOOKUP(A27,'BOCA DE LOBO'!$C$1:$Q$76,4,0)</f>
        <v>10.63</v>
      </c>
      <c r="H27" s="238">
        <v>400</v>
      </c>
      <c r="I27" s="493">
        <f t="shared" si="303"/>
        <v>3.03</v>
      </c>
      <c r="J27" s="241">
        <f t="shared" si="2"/>
        <v>1.6104449999999999</v>
      </c>
      <c r="K27" s="494">
        <v>0</v>
      </c>
      <c r="L27" s="253">
        <f>IF(D27&lt;&gt;"PROJETADA",0,IF(H27=400,1,0)+IF(H27=500,1.2,0)+IF(H27=600,1.4,0)+IF(H27=800,1.7,0)+IF(H27=1000,2,0)+IF(H27=1200,2.2,0)+IF(H27=1500,2.6,0)+IF(H27=1650,3,0)+IF(H27=1800,3.2,0)+IF(H27=2000,3.4,0)+IF(H27=2200,3.6,0)+IF(H27=2400,3.8,0)+IF(H27=2600,4,0)+IF(H27=3000,4.4,0))</f>
        <v>1</v>
      </c>
      <c r="M27" s="253">
        <f>2*K27*I27+L27</f>
        <v>1</v>
      </c>
      <c r="N27" s="253">
        <f>IF(OR(D27="EXISTENTE",D27="AMPLIADA"),400,0)</f>
        <v>0</v>
      </c>
      <c r="O27" s="253">
        <f t="shared" si="306"/>
        <v>10.63</v>
      </c>
      <c r="P27" s="495" t="s">
        <v>2392</v>
      </c>
      <c r="Q27" s="495" t="s">
        <v>2422</v>
      </c>
      <c r="R27" s="495"/>
      <c r="S27" s="495">
        <f>VLOOKUP(Q27,Quantitativos!P:R,3,0)</f>
        <v>5</v>
      </c>
      <c r="T27" s="495">
        <f>VLOOKUP(Q27,Quantitativos!P:S,4,0)</f>
        <v>3.7</v>
      </c>
      <c r="U27" s="253">
        <f t="shared" si="7"/>
        <v>0.05</v>
      </c>
      <c r="V27" s="246">
        <f>IF(L27=0,0,IF("EXISTENTE"=C27,0,IFERROR((PI()*(N27/1000)*(N27/1000)/4)*G27,0)))</f>
        <v>0</v>
      </c>
      <c r="W27" s="246">
        <f>IF(O27=0,0,((((K27*I27)*I27)/2)*2+L27*I27)*G27-V27+AO27)</f>
        <v>32.2089</v>
      </c>
      <c r="X27" s="247">
        <f t="shared" si="82"/>
        <v>0</v>
      </c>
      <c r="Y27" s="247">
        <f>IF(R27=1,IF(N27=0,I27+0.4,0.4),0)</f>
        <v>0</v>
      </c>
      <c r="Z27" s="247">
        <f t="shared" si="12"/>
        <v>3.03</v>
      </c>
      <c r="AA27" s="247">
        <f t="shared" si="83"/>
        <v>0</v>
      </c>
      <c r="AB27" s="496">
        <f t="shared" si="84"/>
        <v>10.63</v>
      </c>
      <c r="AC27" s="251">
        <f>IF(Y27=0,0,IF(Y27=0.4,IF(L27&lt;=1.5,IF(Z27+0.4&gt;=1.5,0,L27*G27*0.4),0),IF(L27&lt;=1.5,IF(Y27&gt;=1.5,M27*G27*1.5,L27*G27*(Y27)),0)+IF(S27&lt;I27+0.4,0,IF(AND(Y27&lt;=1.5,L27&lt;=1.5),-V27,0))))</f>
        <v>0</v>
      </c>
      <c r="AD27" s="251">
        <f>IF(Y27=0,0,IF(Y27=0.4,IF(L27&lt;=1.5,IF(OR(Z27+0.4&gt;=3,Z27+0.4&lt;1.5),0,L27*G27*0.4),0),IF(IF(L27&lt;=1.5,IF(Y27&gt;=3,M27*G27*1.5,L27*G27*(Y27-1.5)),0)&lt;0,0,IF(L27&lt;=1.5,IF(Y27&gt;=3,M27*G27*1.5,L27*G27*(Y27-1.5)),0))+IF(S27&lt;I27+0.4,0,IF(AND(Y27&lt;=3,L27&lt;=1.5),-V27,0))))</f>
        <v>0</v>
      </c>
      <c r="AE27" s="251">
        <f>IF(Y27=0,0,IF(Y27=0.4,IF(L27&lt;=1.5,IF(OR(Z27+0.4&gt;=4.5,Z27+0.4&lt;3),0,L27*G27*0.4),0),IF(IF(L27&lt;=1.5,IF(Y27&gt;=4.5,M27*G27*1.5,L27*G27*(Y27-3)),0)&lt;0,0,IF(L27&lt;=1.5,IF(Y27&gt;=4.5,M27*G27*1.5,L27*G27*(Y27-3)),0))+IF(S27&lt;I27+0.4,0,IF(AND(Y27&lt;=4.5,L27&lt;=1.5),-V27,0))))</f>
        <v>0</v>
      </c>
      <c r="AF27" s="251">
        <f t="shared" si="16"/>
        <v>15.945</v>
      </c>
      <c r="AG27" s="251">
        <f t="shared" si="17"/>
        <v>15.945</v>
      </c>
      <c r="AH27" s="251">
        <f t="shared" si="18"/>
        <v>0.31889999999999796</v>
      </c>
      <c r="AI27" s="497" t="str">
        <f t="shared" si="19"/>
        <v>NÃO</v>
      </c>
      <c r="AJ27" s="253">
        <f t="shared" si="307"/>
        <v>0</v>
      </c>
      <c r="AK27" s="253">
        <f t="shared" si="308"/>
        <v>0</v>
      </c>
      <c r="AL27" s="253">
        <f t="shared" si="309"/>
        <v>30.873094803693618</v>
      </c>
      <c r="AM27" s="241">
        <f t="shared" si="310"/>
        <v>0.53150000000000008</v>
      </c>
      <c r="AN27" s="246">
        <f t="shared" si="311"/>
        <v>0</v>
      </c>
      <c r="AO27" s="253">
        <f>IF(R27=1,0.4*G27*L27,0)</f>
        <v>0</v>
      </c>
      <c r="AP27" s="253">
        <f t="shared" si="312"/>
        <v>0</v>
      </c>
      <c r="AQ27" s="253">
        <f t="shared" si="313"/>
        <v>0.7</v>
      </c>
      <c r="AR27" s="253">
        <f t="shared" si="314"/>
        <v>6.1051948036936192</v>
      </c>
      <c r="AS27" s="253">
        <f t="shared" si="315"/>
        <v>0</v>
      </c>
      <c r="AT27" s="253">
        <f t="shared" si="316"/>
        <v>1.5945</v>
      </c>
      <c r="AU27" s="253">
        <f>AT27</f>
        <v>1.5945</v>
      </c>
      <c r="AV27" s="253">
        <f t="shared" si="317"/>
        <v>0.31890000000000002</v>
      </c>
      <c r="AW27" s="253">
        <f t="shared" si="318"/>
        <v>21.047399999999996</v>
      </c>
      <c r="AX27" s="253">
        <f>SUM(AF27:AH27)-AO27-AT27-AR27</f>
        <v>24.509205196306382</v>
      </c>
      <c r="AY27" s="253">
        <f t="shared" si="319"/>
        <v>21.047399999999996</v>
      </c>
      <c r="AZ27" s="253">
        <f t="shared" si="320"/>
        <v>0</v>
      </c>
      <c r="BA27" s="253">
        <f t="shared" si="304"/>
        <v>0</v>
      </c>
      <c r="BB27" s="253">
        <f t="shared" si="321"/>
        <v>0</v>
      </c>
      <c r="BC27" s="253"/>
      <c r="BD27" s="253">
        <f t="shared" si="38"/>
        <v>6.3780000000000003E-2</v>
      </c>
      <c r="BE27" s="496">
        <f>IF(H27=400,I27,0)</f>
        <v>3.03</v>
      </c>
      <c r="BF27" s="498">
        <f t="shared" si="322"/>
        <v>0</v>
      </c>
      <c r="BG27" s="498">
        <f t="shared" si="323"/>
        <v>0</v>
      </c>
      <c r="BH27" s="495" t="str">
        <f>VLOOKUP(A27,'BOCA DE LOBO'!C:I,7,0)</f>
        <v>BOCA DE LOBO PROJETADA DUPLA</v>
      </c>
      <c r="BI27" s="253">
        <f>IF(BH27=$BI$4,1,0)</f>
        <v>0</v>
      </c>
      <c r="BJ27" s="253">
        <f>IF(BH27=$BJ$4,1,0)</f>
        <v>0</v>
      </c>
      <c r="BK27" s="253">
        <f>IF(BH27=$BK$4,1,0)</f>
        <v>0</v>
      </c>
      <c r="BL27" s="253">
        <f>IF(BH27=$BL$4,1,0)</f>
        <v>0</v>
      </c>
      <c r="BM27" s="253">
        <f>IF(BH27=$BM$4,1,0)</f>
        <v>0</v>
      </c>
      <c r="BN27" s="253">
        <f>IF(BH27=$BN$4,1,0)</f>
        <v>1</v>
      </c>
      <c r="BO27" s="253">
        <f>IF(BH27=$BO$4,1,0)</f>
        <v>0</v>
      </c>
      <c r="BP27" s="500"/>
      <c r="BQ27" s="496">
        <f>IF(L27&lt;=1.5,IF(I27+IF(R27=1,0.5,0)&lt;1.5,(I27+IF(R27=1,0.5,0))*G27*2,G27*2*1.5),0)</f>
        <v>31.89</v>
      </c>
      <c r="BR27" s="496">
        <f>IF(L27&lt;=1.5,IF(AND(I27+IF(R27=1,0.5,0)&lt;3,I27+IF(R27=1,0.5,0)&gt;1.5),(I27+IF(R27=1,0.5,0)-1.5)*G27*2,IF(I27+IF(R27=1,0.5,0)&gt;=3,(G27*2*1.5),0)),0)</f>
        <v>31.89</v>
      </c>
      <c r="BS27" s="496">
        <f>IF(L27&lt;=1.5,IF(AND(I27+IF(R27=1,0.5,0)&lt;4.5,I27+IF(R27=1,0.5,0)&gt;3),(I27+IF(R27=1,0.5,0)-3)*G27*2,IF(I27+IF(R27=1,0.5,0)&gt;=4.5,(G27*2*1.5),0)),0)</f>
        <v>0.63779999999999593</v>
      </c>
      <c r="BV27" s="502">
        <f t="shared" si="324"/>
        <v>19.456499999999998</v>
      </c>
      <c r="BW27" s="502">
        <f>IF(OR("BOCA DE LOBO EXISTENTE TRIPLA"=BH27,"BOCA DE LOBO EXISTENTE SIMPLES"=BH27,"BOCA DE LOBO EXISTENTE DUPLA"=BH27),0,IF("BOCA DE LOBO PROJETADA DUPLA"=BH27,(2.57+1)*(1.18+1),IF(OR("BOCA DE LOBO DUPLA EXISTENTE COM BOCA DE LOBO SIMPLES PROJETADA"=BH27,"BOCA DE LOBO SIMPLES EXISTENTE COM BOCA DE LOBO SIMPLES PROJETADA"=BH27),(1.18+1)*(1.18+0.5),IF(OR(BH27="BOCA DE LOBO DUPLA EXISTENTE COM BOCA DE LOBO DUPLA PROJETADA",BH27="BOCA DE LOBO SIMPLES EXISTENTE COM BOCA DE LOBO DUPLA PROJETADA"),(2.38+0.5)*(1.18+1),IF("BOCA DE LOBO PROJETADA TRIPLA"=BH27,(3.76+0.5*2)*(1.18+1),"X")))))</f>
        <v>7.7825999999999986</v>
      </c>
      <c r="BX27" s="502">
        <f t="shared" si="325"/>
        <v>3.0325999999999995</v>
      </c>
      <c r="BY27" s="502">
        <f t="shared" si="326"/>
        <v>2.5</v>
      </c>
      <c r="BZ27" s="502">
        <f t="shared" si="327"/>
        <v>2.5</v>
      </c>
      <c r="CA27" s="502">
        <f>IF(Y27&gt;0.4,BY27+0.4,Y27)</f>
        <v>0</v>
      </c>
      <c r="CB27" s="502">
        <f t="shared" si="328"/>
        <v>0</v>
      </c>
      <c r="CC27" s="502">
        <f t="shared" si="329"/>
        <v>11.673899999999998</v>
      </c>
      <c r="CD27" s="502">
        <f t="shared" si="330"/>
        <v>7.7825999999999986</v>
      </c>
      <c r="CE27" s="502">
        <f>IF(CA27=0.4,IF(BZ27+CA27&gt;1.5,0,CA27*BW27),IF(CA27&gt;1.5,BW27*1.5,BW27*CA27))</f>
        <v>0</v>
      </c>
      <c r="CF27" s="502">
        <f>IF(CA27=0.4,IF(BZ27+CA27&lt;=1.5,0,CA27*BW27),IF(CA27&gt;1.5,BW27*(CA27-1.5),0))</f>
        <v>0</v>
      </c>
      <c r="CG27" s="502">
        <f t="shared" si="331"/>
        <v>0</v>
      </c>
      <c r="CH27" s="502">
        <f t="shared" si="332"/>
        <v>0</v>
      </c>
      <c r="CI27" s="253">
        <f t="shared" si="285"/>
        <v>0.53549999999999998</v>
      </c>
      <c r="CJ27" s="502">
        <f>(BW27-BX27)*(BY27+IF(CA27&gt;=0.4,0.4,0))-CI27</f>
        <v>11.339499999999997</v>
      </c>
      <c r="CK27" s="502">
        <f t="shared" si="305"/>
        <v>11.339499999999997</v>
      </c>
      <c r="CL27" s="502">
        <f t="shared" si="333"/>
        <v>0</v>
      </c>
      <c r="CM27" s="502">
        <f t="shared" si="334"/>
        <v>0</v>
      </c>
      <c r="CN27" s="502">
        <f t="shared" si="335"/>
        <v>3.57</v>
      </c>
      <c r="CO27" s="502">
        <f t="shared" si="336"/>
        <v>2.5</v>
      </c>
      <c r="CP27" s="502">
        <f t="shared" si="337"/>
        <v>10.709999999999999</v>
      </c>
      <c r="CQ27" s="502">
        <f t="shared" si="338"/>
        <v>7.14</v>
      </c>
      <c r="CR27" s="220">
        <f t="shared" si="339"/>
        <v>0</v>
      </c>
      <c r="CS27" s="503">
        <f t="shared" si="340"/>
        <v>0</v>
      </c>
      <c r="CT27" s="503">
        <f>IF(OR("BOCA DE LOBO EXISTENTE TRIPLA"=BH27,"BOCA DE LOBO EXISTENTE SIMPLES"=BH27,"BOCA DE LOBO EXISTENTE DUPLA"=BH27),0,IF("BOCA DE LOBO PROJETADA DUPLA"=BH27,(1.18*2.57*0.05),IF(OR("BOCA DE LOBO DUPLA EXISTENTE COM BOCA DE LOBO SIMPLES PROJETADA"=BH27,"BOCA DE LOBO SIMPLES EXISTENTE COM BOCA DE LOBO SIMPLES PROJETADA"=BH27),(1.19*1.18*0.05),IF(OR(BH27="BOCA DE LOBO DUPLA EXISTENTE COM BOCA DE LOBO DUPLA PROJETADA",BH27="BOCA DE LOBO SIMPLES EXISTENTE COM BOCA DE LOBO DUPLA PROJETADA"),(2.38*1.18*0.056),IF("BOCA DE LOBO PROJETADA TRIPLA"=BH27,(3.76*1.18*0.05),"X")))))+CI27/3</f>
        <v>0.33012999999999998</v>
      </c>
      <c r="CU27" s="504">
        <f t="shared" si="341"/>
        <v>13</v>
      </c>
      <c r="CV27" s="504">
        <f t="shared" si="342"/>
        <v>1.43895</v>
      </c>
      <c r="CW27" s="502">
        <f t="shared" si="343"/>
        <v>23.248199999999997</v>
      </c>
      <c r="CX27" s="253">
        <f t="shared" si="344"/>
        <v>3.57</v>
      </c>
      <c r="CY27" s="505">
        <f t="shared" si="345"/>
        <v>1.7849999999999999</v>
      </c>
      <c r="CZ27" s="502">
        <f t="shared" si="346"/>
        <v>0</v>
      </c>
    </row>
    <row r="28" spans="1:104" s="501" customFormat="1" ht="25" x14ac:dyDescent="0.25">
      <c r="A28" s="291" t="str">
        <f>'BOCA DE LOBO'!C31</f>
        <v>BL26-&gt;PV9.1</v>
      </c>
      <c r="B28" s="291" t="str">
        <f>'BOCA DE LOBO'!A31</f>
        <v>PV9.1</v>
      </c>
      <c r="C28" s="413" t="str">
        <f>VLOOKUP(A28,'BOCA DE LOBO'!$C$1:$Q$76,3,0)</f>
        <v>PROJETADO</v>
      </c>
      <c r="D28" s="291" t="str">
        <f>VLOOKUP(A28,'BOCA DE LOBO'!$C$1:$Q$76,10,0)</f>
        <v>EXISTENTE</v>
      </c>
      <c r="E28" s="413">
        <f t="shared" si="302"/>
        <v>2.5</v>
      </c>
      <c r="F28" s="291">
        <f>VLOOKUP(A28,'BOCA DE LOBO'!$C$1:$Q$76,2,0)</f>
        <v>3.3</v>
      </c>
      <c r="G28" s="291">
        <f>VLOOKUP(A28,'BOCA DE LOBO'!$C$1:$Q$76,4,0)</f>
        <v>3.61</v>
      </c>
      <c r="H28" s="238">
        <v>400</v>
      </c>
      <c r="I28" s="493">
        <f t="shared" si="303"/>
        <v>3.03</v>
      </c>
      <c r="J28" s="241">
        <f t="shared" ref="J28:J33" si="347">IF(L28=0,0,IF(I28&gt;=1.25,G28*I28/20,0))</f>
        <v>0</v>
      </c>
      <c r="K28" s="494">
        <v>0</v>
      </c>
      <c r="L28" s="253">
        <f t="shared" ref="L28:L33" si="348">IF(D28&lt;&gt;"PROJETADA",0,IF(H28=400,1,0)+IF(H28=500,1.2,0)+IF(H28=600,1.4,0)+IF(H28=800,1.7,0)+IF(H28=1000,2,0)+IF(H28=1200,2.2,0)+IF(H28=1500,2.6,0)+IF(H28=1650,3,0)+IF(H28=1800,3.2,0)+IF(H28=2000,3.4,0)+IF(H28=2200,3.6,0)+IF(H28=2400,3.8,0)+IF(H28=2600,4,0)+IF(H28=3000,4.4,0))</f>
        <v>0</v>
      </c>
      <c r="M28" s="253">
        <f t="shared" ref="M28:M33" si="349">2*K28*I28+L28</f>
        <v>0</v>
      </c>
      <c r="N28" s="253">
        <f t="shared" ref="N28:N33" si="350">IF(OR(D28="EXISTENTE",D28="AMPLIADA"),400,0)</f>
        <v>400</v>
      </c>
      <c r="O28" s="253">
        <f t="shared" si="306"/>
        <v>0</v>
      </c>
      <c r="P28" s="495" t="str">
        <f>VLOOKUP(B28,'Planilha Hidráulica'!$AE$10:$AQ$39,13,0)</f>
        <v>ASFALTO</v>
      </c>
      <c r="Q28" s="495" t="s">
        <v>2422</v>
      </c>
      <c r="R28" s="507"/>
      <c r="S28" s="495">
        <f>VLOOKUP(Q28,Quantitativos!P:R,3,0)</f>
        <v>5</v>
      </c>
      <c r="T28" s="495">
        <f>VLOOKUP(Q28,Quantitativos!P:S,4,0)</f>
        <v>3.7</v>
      </c>
      <c r="U28" s="253">
        <f t="shared" ref="U28:U33" si="351">IF(H28=400,0.05,0)+IF(H28=500,0.05,0)+IF(H28=600,0.1,0)+IF(H28=800,0.1,0)+IF(H28=1000,0.15,0)+IF(H28=1200,0.15,0)+IF(H28=1500,0.2,0)+IF(H28=1650,0.2,0)+IF(H28=1800,0.2,0)+IF(H28=2000,0.25,0)+IF(H28=2200,0.25,0)+IF(H28=2400,0.25,0)+IF(H28=2600,0.25,0)+IF(H28=3000,0.25,0)</f>
        <v>0.05</v>
      </c>
      <c r="V28" s="246">
        <f t="shared" ref="V28:V33" si="352">IF(L28=0,0,IF("EXISTENTE"=A28,0,IFERROR((PI()*(N28/1000)*(N28/1000)/4)*G28,0)))</f>
        <v>0</v>
      </c>
      <c r="W28" s="246">
        <f t="shared" ref="W28:W33" si="353">IF(O28=0,0,((((K28*I28)*I28)/2)*2+L28*I28)*G28-V28+AO28)</f>
        <v>0</v>
      </c>
      <c r="X28" s="247">
        <f t="shared" ref="X28:X33" si="354">W28-SUM(AC28:AJ28)</f>
        <v>0</v>
      </c>
      <c r="Y28" s="247">
        <f t="shared" ref="Y28:Y33" si="355">IF(R28=1,IF(N28=0,I28+0.4,0.4),0)</f>
        <v>0</v>
      </c>
      <c r="Z28" s="247">
        <f t="shared" ref="Z28:Z33" si="356">IF(Y28&gt;0.5,0,IF(S28&lt;I28,S28,I28))</f>
        <v>3.03</v>
      </c>
      <c r="AA28" s="247">
        <f t="shared" ref="AA28:AA33" si="357">I28-Z28</f>
        <v>0</v>
      </c>
      <c r="AB28" s="496">
        <f t="shared" ref="AB28:AB33" si="358">IF(P28="ASFALTO",IF(D28="PROJETADA",O28,IF(D28="EXISTENTE",0,O28/2)),0)</f>
        <v>0</v>
      </c>
      <c r="AC28" s="251">
        <f t="shared" ref="AC28:AC33" si="359">IF(Y28=0,0,IF(Y28=0.4,IF(L28&lt;=1.5,IF(Z28+0.4&gt;=1.5,0,L28*G28*0.4),0),IF(L28&lt;=1.5,IF(Y28&gt;=1.5,M28*G28*1.5,L28*G28*(Y28)),0)+IF(S28&lt;I28+0.4,0,IF(AND(Y28&lt;=1.5,L28&lt;=1.5),-V28,0))))</f>
        <v>0</v>
      </c>
      <c r="AD28" s="251">
        <f t="shared" ref="AD28:AD33" si="360">IF(Y28=0,0,IF(Y28=0.4,IF(L28&lt;=1.5,IF(OR(Z28+0.4&gt;=3,Z28+0.4&lt;1.5),0,L28*G28*0.4),0),IF(IF(L28&lt;=1.5,IF(Y28&gt;=3,M28*G28*1.5,L28*G28*(Y28-1.5)),0)&lt;0,0,IF(L28&lt;=1.5,IF(Y28&gt;=3,M28*G28*1.5,L28*G28*(Y28-1.5)),0))+IF(S28&lt;I28+0.4,0,IF(AND(Y28&lt;=3,L28&lt;=1.5),-V28,0))))</f>
        <v>0</v>
      </c>
      <c r="AE28" s="251">
        <f t="shared" ref="AE28:AE33" si="361">IF(Y28=0,0,IF(Y28=0.4,IF(L28&lt;=1.5,IF(OR(Z28+0.4&gt;=4.5,Z28+0.4&lt;3),0,L28*G28*0.4),0),IF(IF(L28&lt;=1.5,IF(Y28&gt;=4.5,M28*G28*1.5,L28*G28*(Y28-3)),0)&lt;0,0,IF(L28&lt;=1.5,IF(Y28&gt;=4.5,M28*G28*1.5,L28*G28*(Y28-3)),0))+IF(S28&lt;I28+0.4,0,IF(AND(Y28&lt;=4.5,L28&lt;=1.5),-V28,0))))</f>
        <v>0</v>
      </c>
      <c r="AF28" s="251">
        <f t="shared" ref="AF28:AF33" si="362">IF(L28&lt;=1.5,IF(Z28&gt;=1.5,M28*G28*1.5,L28*G28*Z28),0)+IF(S28&lt;I28,0,IF(AND(Z28&lt;=1.5,L28&lt;=1.5),-V28,0))</f>
        <v>0</v>
      </c>
      <c r="AG28" s="251">
        <f t="shared" ref="AG28:AG33" si="363">IF(IF(L28&lt;=1.5,IF(Z28&gt;=3,M28*G28*1.5,L28*G28*(Z28-1.5)),0)&lt;0,0,IF(L28&lt;=1.5,IF(Z28&gt;=3,M28*G28*1.5,L28*G28*(Z28-1.5)),0))+IF(S28&lt;I28,0,IF(AND(Z28&lt;=3,L28&lt;=1.5),-V28,0))</f>
        <v>0</v>
      </c>
      <c r="AH28" s="251">
        <f t="shared" ref="AH28:AH33" si="364">IF(IF(L28&lt;=1.5,IF(Z28&gt;=4.5,M28*G28*1.5,L28*G28*(Z28-3)),0)&lt;0,0,IF(L28&lt;=1.5,IF(Z28&gt;=4.5,M28*G28*1.5,L28*G28*(Z28-3)),0))+IF(S28&lt;I28,0,IF(AND(Z28&lt;=4.5,Z28&gt;3,L28&lt;=1.5),-V28,0))</f>
        <v>0</v>
      </c>
      <c r="AI28" s="497" t="str">
        <f t="shared" ref="AI28:AI33" si="365">IF(I28&gt;S28,"SIM","NÃO")</f>
        <v>NÃO</v>
      </c>
      <c r="AJ28" s="253">
        <f t="shared" ref="AJ28:AJ33" si="366">W28-SUM(AC28:AH28)</f>
        <v>0</v>
      </c>
      <c r="AK28" s="253">
        <f t="shared" si="308"/>
        <v>0</v>
      </c>
      <c r="AL28" s="253">
        <f t="shared" si="309"/>
        <v>0</v>
      </c>
      <c r="AM28" s="241">
        <f t="shared" si="310"/>
        <v>0</v>
      </c>
      <c r="AN28" s="246">
        <f t="shared" si="311"/>
        <v>0</v>
      </c>
      <c r="AO28" s="253">
        <f t="shared" ref="AO28:AO33" si="367">IF(R28=1,0.4*G28*L28,0)</f>
        <v>0</v>
      </c>
      <c r="AP28" s="253">
        <f t="shared" ref="AP28:AP33" si="368">IF(AO28&lt;SUM(AF28:AH28),0,AO28)</f>
        <v>0</v>
      </c>
      <c r="AQ28" s="253">
        <f t="shared" si="313"/>
        <v>0.7</v>
      </c>
      <c r="AR28" s="253">
        <f t="shared" si="314"/>
        <v>0</v>
      </c>
      <c r="AS28" s="253">
        <f t="shared" si="315"/>
        <v>0</v>
      </c>
      <c r="AT28" s="253">
        <f t="shared" si="316"/>
        <v>0</v>
      </c>
      <c r="AU28" s="253">
        <f t="shared" ref="AU28:AU33" si="369">AT28</f>
        <v>0</v>
      </c>
      <c r="AV28" s="253">
        <f t="shared" si="317"/>
        <v>0</v>
      </c>
      <c r="AW28" s="253">
        <f t="shared" si="318"/>
        <v>0</v>
      </c>
      <c r="AX28" s="253">
        <f t="shared" ref="AX28:AX33" si="370">SUM(AF28:AH28)-AO28-AT28-AR28</f>
        <v>0</v>
      </c>
      <c r="AY28" s="253">
        <f t="shared" si="319"/>
        <v>0</v>
      </c>
      <c r="AZ28" s="253">
        <f t="shared" si="320"/>
        <v>0</v>
      </c>
      <c r="BA28" s="253">
        <f t="shared" si="304"/>
        <v>0</v>
      </c>
      <c r="BB28" s="253">
        <f t="shared" si="321"/>
        <v>0</v>
      </c>
      <c r="BC28" s="253"/>
      <c r="BD28" s="253">
        <f t="shared" ref="BD28:BD33" si="371">IF(AO28+AT28&gt;0,4%*(AO28+AT28),0)</f>
        <v>0</v>
      </c>
      <c r="BE28" s="496">
        <f t="shared" ref="BE28:BE33" si="372">IF(H28=400,I28,0)</f>
        <v>3.03</v>
      </c>
      <c r="BF28" s="498">
        <f t="shared" si="322"/>
        <v>0</v>
      </c>
      <c r="BG28" s="498">
        <f t="shared" si="323"/>
        <v>0</v>
      </c>
      <c r="BH28" s="495" t="str">
        <f>VLOOKUP(A28,'BOCA DE LOBO'!C:I,7,0)</f>
        <v>BOCA DE LOBO EXISTENTE TRIPLA</v>
      </c>
      <c r="BI28" s="253">
        <f t="shared" ref="BI28:BI33" si="373">IF(BH28=$BI$4,1,0)</f>
        <v>0</v>
      </c>
      <c r="BJ28" s="253">
        <f t="shared" ref="BJ28:BJ33" si="374">IF(BH28=$BJ$4,1,0)</f>
        <v>0</v>
      </c>
      <c r="BK28" s="253">
        <f t="shared" ref="BK28:BK33" si="375">IF(BH28=$BK$4,1,0)</f>
        <v>0</v>
      </c>
      <c r="BL28" s="253">
        <f t="shared" ref="BL28:BL33" si="376">IF(BH28=$BL$4,1,0)</f>
        <v>0</v>
      </c>
      <c r="BM28" s="253">
        <f t="shared" ref="BM28:BM33" si="377">IF(BH28=$BM$4,1,0)</f>
        <v>0</v>
      </c>
      <c r="BN28" s="253">
        <f t="shared" ref="BN28:BN33" si="378">IF(BH28=$BN$4,1,0)</f>
        <v>0</v>
      </c>
      <c r="BO28" s="253">
        <f t="shared" ref="BO28:BO33" si="379">IF(BH28=$BO$4,1,0)</f>
        <v>0</v>
      </c>
      <c r="BP28" s="500"/>
      <c r="BQ28" s="496">
        <f t="shared" ref="BQ28:BQ33" si="380">IF(L28&lt;=1.5,IF(I28+IF(R28=1,0.5,0)&lt;1.5,(I28+IF(R28=1,0.5,0))*G28*2,G28*2*1.5),0)</f>
        <v>10.83</v>
      </c>
      <c r="BR28" s="496">
        <f t="shared" ref="BR28:BR33" si="381">IF(L28&lt;=1.5,IF(AND(I28+IF(R28=1,0.5,0)&lt;3,I28+IF(R28=1,0.5,0)&gt;1.5),(I28+IF(R28=1,0.5,0)-1.5)*G28*2,IF(I28+IF(R28=1,0.5,0)&gt;=3,(G28*2*1.5),0)),0)</f>
        <v>10.83</v>
      </c>
      <c r="BS28" s="496">
        <f t="shared" ref="BS28:BS33" si="382">IF(L28&lt;=1.5,IF(AND(I28+IF(R28=1,0.5,0)&lt;4.5,I28+IF(R28=1,0.5,0)&gt;3),(I28+IF(R28=1,0.5,0)-3)*G28*2,IF(I28+IF(R28=1,0.5,0)&gt;=4.5,(G28*2*1.5),0)),0)</f>
        <v>0.21659999999999857</v>
      </c>
      <c r="BV28" s="502">
        <f t="shared" si="324"/>
        <v>0</v>
      </c>
      <c r="BW28" s="502">
        <f t="shared" ref="BW28:BW33" si="383">IF(OR("BOCA DE LOBO EXISTENTE TRIPLA"=BH28,"BOCA DE LOBO EXISTENTE SIMPLES"=BH28,"BOCA DE LOBO EXISTENTE DUPLA"=BH28),0,IF("BOCA DE LOBO PROJETADA DUPLA"=BH28,(2.57+1)*(1.18+1),IF(OR("BOCA DE LOBO DUPLA EXISTENTE COM BOCA DE LOBO SIMPLES PROJETADA"=BH28,"BOCA DE LOBO SIMPLES EXISTENTE COM BOCA DE LOBO SIMPLES PROJETADA"=BH28),(1.18+1)*(1.18+0.5),IF(OR(BH28="BOCA DE LOBO DUPLA EXISTENTE COM BOCA DE LOBO DUPLA PROJETADA",BH28="BOCA DE LOBO SIMPLES EXISTENTE COM BOCA DE LOBO DUPLA PROJETADA"),(2.38+0.5)*(1.18+1),IF("BOCA DE LOBO PROJETADA TRIPLA"=BH28,(3.76+0.5*2)*(1.18+1),"X")))))</f>
        <v>0</v>
      </c>
      <c r="BX28" s="502">
        <f t="shared" si="325"/>
        <v>0</v>
      </c>
      <c r="BY28" s="502">
        <f t="shared" si="326"/>
        <v>2.5</v>
      </c>
      <c r="BZ28" s="502">
        <f t="shared" si="327"/>
        <v>2.5</v>
      </c>
      <c r="CA28" s="502">
        <f t="shared" ref="CA28:CA33" si="384">IF(Y28&gt;0.4,BY28+0.4,Y28)</f>
        <v>0</v>
      </c>
      <c r="CB28" s="502">
        <f t="shared" si="328"/>
        <v>0</v>
      </c>
      <c r="CC28" s="502">
        <f t="shared" si="329"/>
        <v>0</v>
      </c>
      <c r="CD28" s="502">
        <f t="shared" si="330"/>
        <v>0</v>
      </c>
      <c r="CE28" s="502">
        <f t="shared" ref="CE28:CE33" si="385">IF(CA28=0.4,IF(BZ28+CA28&gt;1.5,0,CA28*BW28),IF(CA28&gt;1.5,BW28*1.5,BW28*CA28))</f>
        <v>0</v>
      </c>
      <c r="CF28" s="502">
        <f t="shared" ref="CF28:CF33" si="386">IF(CA28=0.4,IF(BZ28+CA28&lt;=1.5,0,CA28*BW28),IF(CA28&gt;1.5,BW28*(CA28-1.5),0))</f>
        <v>0</v>
      </c>
      <c r="CG28" s="502">
        <f t="shared" si="331"/>
        <v>0</v>
      </c>
      <c r="CH28" s="502">
        <f t="shared" si="332"/>
        <v>0</v>
      </c>
      <c r="CI28" s="253">
        <f t="shared" ref="CI28:CI33" si="387">IF(OR("BOCA DE LOBO EXISTENTE TRIPLA"=BH28,"BOCA DE LOBO EXISTENTE SIMPLES"=BH28,"BOCA DE LOBO EXISTENTE DUPLA"=BH28),0,IF("BOCA DE LOBO PROJETADA DUPLA"=BH28,(2.57+1)*(0.5),IF(OR("BOCA DE LOBO DUPLA EXISTENTE COM BOCA DE LOBO SIMPLES PROJETADA"=BH28,"BOCA DE LOBO SIMPLES EXISTENTE COM BOCA DE LOBO SIMPLES PROJETADA"=BH28),(1.18+0.5)*(0.5),IF(OR(BH28="BOCA DE LOBO DUPLA EXISTENTE COM BOCA DE LOBO DUPLA PROJETADA",BH28="BOCA DE LOBO SIMPLES EXISTENTE COM BOCA DE LOBO DUPLA PROJETADA"),(2.38+0.5)*(0.5),IF("BOCA DE LOBO PROJETADA TRIPLA"=BH28,(3.76+1)*(0.5),"X")))))*0.3</f>
        <v>0</v>
      </c>
      <c r="CJ28" s="502">
        <f t="shared" ref="CJ28:CJ33" si="388">(BW28-BX28)*(BY28+IF(CA28&gt;=0.4,0.4,0))-CI28</f>
        <v>0</v>
      </c>
      <c r="CK28" s="502">
        <f t="shared" ref="CK28:CK33" si="389">IF($CK$71&gt;$CJ$69,CJ28,CJ28*$CK$71/$CJ$69)</f>
        <v>0</v>
      </c>
      <c r="CL28" s="502">
        <f t="shared" si="333"/>
        <v>0</v>
      </c>
      <c r="CM28" s="502">
        <f t="shared" si="334"/>
        <v>0</v>
      </c>
      <c r="CN28" s="502">
        <f t="shared" si="335"/>
        <v>0</v>
      </c>
      <c r="CO28" s="502">
        <f t="shared" si="336"/>
        <v>2.5</v>
      </c>
      <c r="CP28" s="502">
        <f t="shared" si="337"/>
        <v>0</v>
      </c>
      <c r="CQ28" s="502">
        <f t="shared" si="338"/>
        <v>0</v>
      </c>
      <c r="CR28" s="220">
        <f t="shared" si="339"/>
        <v>0</v>
      </c>
      <c r="CS28" s="503">
        <f t="shared" si="340"/>
        <v>0</v>
      </c>
      <c r="CT28" s="503">
        <f t="shared" ref="CT28:CT33" si="390">IF(OR("BOCA DE LOBO EXISTENTE TRIPLA"=BH28,"BOCA DE LOBO EXISTENTE SIMPLES"=BH28,"BOCA DE LOBO EXISTENTE DUPLA"=BH28),0,IF("BOCA DE LOBO PROJETADA DUPLA"=BH28,(1.18*2.57*0.05),IF(OR("BOCA DE LOBO DUPLA EXISTENTE COM BOCA DE LOBO SIMPLES PROJETADA"=BH28,"BOCA DE LOBO SIMPLES EXISTENTE COM BOCA DE LOBO SIMPLES PROJETADA"=BH28),(1.19*1.18*0.05),IF(OR(BH28="BOCA DE LOBO DUPLA EXISTENTE COM BOCA DE LOBO DUPLA PROJETADA",BH28="BOCA DE LOBO SIMPLES EXISTENTE COM BOCA DE LOBO DUPLA PROJETADA"),(2.38*1.18*0.056),IF("BOCA DE LOBO PROJETADA TRIPLA"=BH28,(3.76*1.18*0.05),"X")))))+CI28/3</f>
        <v>0</v>
      </c>
      <c r="CU28" s="504">
        <f t="shared" si="341"/>
        <v>0</v>
      </c>
      <c r="CV28" s="504">
        <f t="shared" si="342"/>
        <v>0</v>
      </c>
      <c r="CW28" s="502">
        <f t="shared" si="343"/>
        <v>0</v>
      </c>
      <c r="CX28" s="253">
        <f t="shared" si="344"/>
        <v>0</v>
      </c>
      <c r="CY28" s="505">
        <f t="shared" si="345"/>
        <v>0</v>
      </c>
      <c r="CZ28" s="502">
        <f t="shared" si="346"/>
        <v>0</v>
      </c>
    </row>
    <row r="29" spans="1:104" s="501" customFormat="1" ht="25" x14ac:dyDescent="0.25">
      <c r="A29" s="291" t="str">
        <f>'BOCA DE LOBO'!C32</f>
        <v>BL27-&gt;PV9.1</v>
      </c>
      <c r="B29" s="291" t="str">
        <f>'BOCA DE LOBO'!A32</f>
        <v>PV9.1</v>
      </c>
      <c r="C29" s="413" t="str">
        <f>VLOOKUP(A29,'BOCA DE LOBO'!$C$1:$Q$76,3,0)</f>
        <v>PROJETADO</v>
      </c>
      <c r="D29" s="291" t="str">
        <f>VLOOKUP(A29,'BOCA DE LOBO'!$C$1:$Q$76,10,0)</f>
        <v>PROJETADA</v>
      </c>
      <c r="E29" s="413">
        <f t="shared" si="302"/>
        <v>2.5</v>
      </c>
      <c r="F29" s="291">
        <f>VLOOKUP(A29,'BOCA DE LOBO'!$C$1:$Q$76,2,0)</f>
        <v>3.3</v>
      </c>
      <c r="G29" s="291">
        <f>VLOOKUP(A29,'BOCA DE LOBO'!$C$1:$Q$76,4,0)</f>
        <v>10.74</v>
      </c>
      <c r="H29" s="238">
        <v>400</v>
      </c>
      <c r="I29" s="493">
        <f t="shared" si="303"/>
        <v>3.03</v>
      </c>
      <c r="J29" s="241">
        <f t="shared" si="347"/>
        <v>1.6271100000000001</v>
      </c>
      <c r="K29" s="494">
        <v>0</v>
      </c>
      <c r="L29" s="253">
        <f t="shared" si="348"/>
        <v>1</v>
      </c>
      <c r="M29" s="253">
        <f t="shared" si="349"/>
        <v>1</v>
      </c>
      <c r="N29" s="253">
        <f t="shared" si="350"/>
        <v>0</v>
      </c>
      <c r="O29" s="253">
        <f t="shared" si="306"/>
        <v>10.74</v>
      </c>
      <c r="P29" s="495" t="str">
        <f>VLOOKUP(B29,'Planilha Hidráulica'!$AE$10:$AQ$39,13,0)</f>
        <v>ASFALTO</v>
      </c>
      <c r="Q29" s="495" t="s">
        <v>2422</v>
      </c>
      <c r="R29" s="507"/>
      <c r="S29" s="495">
        <f>VLOOKUP(Q29,Quantitativos!P:R,3,0)</f>
        <v>5</v>
      </c>
      <c r="T29" s="495">
        <f>VLOOKUP(Q29,Quantitativos!P:S,4,0)</f>
        <v>3.7</v>
      </c>
      <c r="U29" s="253">
        <f t="shared" si="351"/>
        <v>0.05</v>
      </c>
      <c r="V29" s="246">
        <f t="shared" si="352"/>
        <v>0</v>
      </c>
      <c r="W29" s="246">
        <f t="shared" si="353"/>
        <v>32.542200000000001</v>
      </c>
      <c r="X29" s="247">
        <f t="shared" si="354"/>
        <v>0</v>
      </c>
      <c r="Y29" s="247">
        <f t="shared" si="355"/>
        <v>0</v>
      </c>
      <c r="Z29" s="247">
        <f t="shared" si="356"/>
        <v>3.03</v>
      </c>
      <c r="AA29" s="247">
        <f t="shared" si="357"/>
        <v>0</v>
      </c>
      <c r="AB29" s="496">
        <f t="shared" si="358"/>
        <v>10.74</v>
      </c>
      <c r="AC29" s="251">
        <f t="shared" si="359"/>
        <v>0</v>
      </c>
      <c r="AD29" s="251">
        <f t="shared" si="360"/>
        <v>0</v>
      </c>
      <c r="AE29" s="251">
        <f t="shared" si="361"/>
        <v>0</v>
      </c>
      <c r="AF29" s="251">
        <f t="shared" si="362"/>
        <v>16.11</v>
      </c>
      <c r="AG29" s="251">
        <f t="shared" si="363"/>
        <v>16.11</v>
      </c>
      <c r="AH29" s="251">
        <f t="shared" si="364"/>
        <v>0.32219999999999793</v>
      </c>
      <c r="AI29" s="497" t="str">
        <f t="shared" si="365"/>
        <v>NÃO</v>
      </c>
      <c r="AJ29" s="253">
        <f t="shared" si="366"/>
        <v>0</v>
      </c>
      <c r="AK29" s="253">
        <f t="shared" si="308"/>
        <v>0</v>
      </c>
      <c r="AL29" s="253">
        <f t="shared" si="309"/>
        <v>31.192571796017827</v>
      </c>
      <c r="AM29" s="241">
        <f t="shared" si="310"/>
        <v>0.53700000000000003</v>
      </c>
      <c r="AN29" s="246">
        <f t="shared" si="311"/>
        <v>0</v>
      </c>
      <c r="AO29" s="253">
        <f t="shared" si="367"/>
        <v>0</v>
      </c>
      <c r="AP29" s="253">
        <f t="shared" si="368"/>
        <v>0</v>
      </c>
      <c r="AQ29" s="253">
        <f t="shared" si="313"/>
        <v>0.7</v>
      </c>
      <c r="AR29" s="253">
        <f t="shared" si="314"/>
        <v>6.1683717960178246</v>
      </c>
      <c r="AS29" s="253">
        <f t="shared" si="315"/>
        <v>0</v>
      </c>
      <c r="AT29" s="253">
        <f t="shared" si="316"/>
        <v>1.611</v>
      </c>
      <c r="AU29" s="253">
        <f t="shared" si="369"/>
        <v>1.611</v>
      </c>
      <c r="AV29" s="253">
        <f t="shared" si="317"/>
        <v>0.32219999999999999</v>
      </c>
      <c r="AW29" s="253">
        <f t="shared" si="318"/>
        <v>21.2652</v>
      </c>
      <c r="AX29" s="253">
        <f t="shared" si="370"/>
        <v>24.762828203982167</v>
      </c>
      <c r="AY29" s="253">
        <f t="shared" si="319"/>
        <v>21.2652</v>
      </c>
      <c r="AZ29" s="253">
        <f t="shared" si="320"/>
        <v>0</v>
      </c>
      <c r="BA29" s="253">
        <f t="shared" si="304"/>
        <v>0</v>
      </c>
      <c r="BB29" s="253">
        <f t="shared" si="321"/>
        <v>0</v>
      </c>
      <c r="BC29" s="253"/>
      <c r="BD29" s="253">
        <f t="shared" si="371"/>
        <v>6.4439999999999997E-2</v>
      </c>
      <c r="BE29" s="496">
        <f t="shared" si="372"/>
        <v>3.03</v>
      </c>
      <c r="BF29" s="498">
        <f t="shared" si="322"/>
        <v>0</v>
      </c>
      <c r="BG29" s="498">
        <f t="shared" si="323"/>
        <v>0</v>
      </c>
      <c r="BH29" s="495" t="str">
        <f>VLOOKUP(A29,'BOCA DE LOBO'!C:I,7,0)</f>
        <v>BOCA DE LOBO PROJETADA DUPLA</v>
      </c>
      <c r="BI29" s="253">
        <f t="shared" si="373"/>
        <v>0</v>
      </c>
      <c r="BJ29" s="253">
        <f t="shared" si="374"/>
        <v>0</v>
      </c>
      <c r="BK29" s="253">
        <f t="shared" si="375"/>
        <v>0</v>
      </c>
      <c r="BL29" s="253">
        <f t="shared" si="376"/>
        <v>0</v>
      </c>
      <c r="BM29" s="253">
        <f t="shared" si="377"/>
        <v>0</v>
      </c>
      <c r="BN29" s="253">
        <f t="shared" si="378"/>
        <v>1</v>
      </c>
      <c r="BO29" s="253">
        <f t="shared" si="379"/>
        <v>0</v>
      </c>
      <c r="BP29" s="500"/>
      <c r="BQ29" s="496">
        <f t="shared" si="380"/>
        <v>32.22</v>
      </c>
      <c r="BR29" s="496">
        <f t="shared" si="381"/>
        <v>32.22</v>
      </c>
      <c r="BS29" s="496">
        <f t="shared" si="382"/>
        <v>0.64439999999999586</v>
      </c>
      <c r="BV29" s="502">
        <f t="shared" si="324"/>
        <v>19.456499999999998</v>
      </c>
      <c r="BW29" s="502">
        <f t="shared" si="383"/>
        <v>7.7825999999999986</v>
      </c>
      <c r="BX29" s="502">
        <f t="shared" si="325"/>
        <v>3.0325999999999995</v>
      </c>
      <c r="BY29" s="502">
        <f t="shared" si="326"/>
        <v>2.5</v>
      </c>
      <c r="BZ29" s="502">
        <f t="shared" si="327"/>
        <v>2.5</v>
      </c>
      <c r="CA29" s="502">
        <f t="shared" si="384"/>
        <v>0</v>
      </c>
      <c r="CB29" s="502">
        <f t="shared" si="328"/>
        <v>0</v>
      </c>
      <c r="CC29" s="502">
        <f t="shared" si="329"/>
        <v>11.673899999999998</v>
      </c>
      <c r="CD29" s="502">
        <f t="shared" si="330"/>
        <v>7.7825999999999986</v>
      </c>
      <c r="CE29" s="502">
        <f t="shared" si="385"/>
        <v>0</v>
      </c>
      <c r="CF29" s="502">
        <f t="shared" si="386"/>
        <v>0</v>
      </c>
      <c r="CG29" s="502">
        <f t="shared" si="331"/>
        <v>0</v>
      </c>
      <c r="CH29" s="502">
        <f t="shared" si="332"/>
        <v>0</v>
      </c>
      <c r="CI29" s="253">
        <f t="shared" si="387"/>
        <v>0.53549999999999998</v>
      </c>
      <c r="CJ29" s="502">
        <f t="shared" si="388"/>
        <v>11.339499999999997</v>
      </c>
      <c r="CK29" s="502">
        <f t="shared" si="389"/>
        <v>11.339499999999997</v>
      </c>
      <c r="CL29" s="502">
        <f t="shared" si="333"/>
        <v>0</v>
      </c>
      <c r="CM29" s="502">
        <f t="shared" si="334"/>
        <v>0</v>
      </c>
      <c r="CN29" s="502">
        <f t="shared" si="335"/>
        <v>3.57</v>
      </c>
      <c r="CO29" s="502">
        <f t="shared" si="336"/>
        <v>2.5</v>
      </c>
      <c r="CP29" s="502">
        <f t="shared" si="337"/>
        <v>10.709999999999999</v>
      </c>
      <c r="CQ29" s="502">
        <f t="shared" si="338"/>
        <v>7.14</v>
      </c>
      <c r="CR29" s="220">
        <f t="shared" si="339"/>
        <v>0</v>
      </c>
      <c r="CS29" s="503">
        <f t="shared" si="340"/>
        <v>0</v>
      </c>
      <c r="CT29" s="503">
        <f t="shared" si="390"/>
        <v>0.33012999999999998</v>
      </c>
      <c r="CU29" s="504">
        <f t="shared" si="341"/>
        <v>13</v>
      </c>
      <c r="CV29" s="504">
        <f t="shared" si="342"/>
        <v>1.43895</v>
      </c>
      <c r="CW29" s="502">
        <f t="shared" si="343"/>
        <v>23.248199999999997</v>
      </c>
      <c r="CX29" s="253">
        <f t="shared" si="344"/>
        <v>3.57</v>
      </c>
      <c r="CY29" s="505">
        <f t="shared" si="345"/>
        <v>1.7849999999999999</v>
      </c>
      <c r="CZ29" s="502">
        <f t="shared" si="346"/>
        <v>0</v>
      </c>
    </row>
    <row r="30" spans="1:104" s="501" customFormat="1" ht="25" x14ac:dyDescent="0.25">
      <c r="A30" s="291" t="str">
        <f>'BOCA DE LOBO'!C33</f>
        <v>BL28-&gt;PV11.1</v>
      </c>
      <c r="B30" s="291" t="str">
        <f>'BOCA DE LOBO'!A33</f>
        <v>PV11.1</v>
      </c>
      <c r="C30" s="413" t="str">
        <f>VLOOKUP(A30,'BOCA DE LOBO'!$C$1:$Q$76,3,0)</f>
        <v>PROJETADO</v>
      </c>
      <c r="D30" s="291" t="str">
        <f>VLOOKUP(A30,'BOCA DE LOBO'!$C$1:$Q$76,10,0)</f>
        <v>EXISTENTE</v>
      </c>
      <c r="E30" s="413">
        <f t="shared" si="302"/>
        <v>2.5</v>
      </c>
      <c r="F30" s="291">
        <f>VLOOKUP(A30,'BOCA DE LOBO'!$C$1:$Q$76,2,0)</f>
        <v>3.3</v>
      </c>
      <c r="G30" s="291">
        <f>VLOOKUP(A30,'BOCA DE LOBO'!$C$1:$Q$76,4,0)</f>
        <v>5.16</v>
      </c>
      <c r="H30" s="238">
        <v>400</v>
      </c>
      <c r="I30" s="493">
        <f t="shared" si="303"/>
        <v>3.03</v>
      </c>
      <c r="J30" s="241">
        <f t="shared" si="347"/>
        <v>0</v>
      </c>
      <c r="K30" s="494">
        <v>0</v>
      </c>
      <c r="L30" s="253">
        <f t="shared" si="348"/>
        <v>0</v>
      </c>
      <c r="M30" s="253">
        <f t="shared" si="349"/>
        <v>0</v>
      </c>
      <c r="N30" s="253">
        <f t="shared" si="350"/>
        <v>400</v>
      </c>
      <c r="O30" s="253">
        <f t="shared" si="306"/>
        <v>0</v>
      </c>
      <c r="P30" s="495" t="str">
        <f>VLOOKUP(B30,'Planilha Hidráulica'!$AE$10:$AQ$39,13,0)</f>
        <v>ASFALTO</v>
      </c>
      <c r="Q30" s="495" t="s">
        <v>2423</v>
      </c>
      <c r="R30" s="507"/>
      <c r="S30" s="495">
        <f>VLOOKUP(Q30,Quantitativos!P:R,3,0)</f>
        <v>3.9</v>
      </c>
      <c r="T30" s="495">
        <f>VLOOKUP(Q30,Quantitativos!P:S,4,0)</f>
        <v>5</v>
      </c>
      <c r="U30" s="253">
        <f t="shared" si="351"/>
        <v>0.05</v>
      </c>
      <c r="V30" s="246">
        <f t="shared" si="352"/>
        <v>0</v>
      </c>
      <c r="W30" s="246">
        <f t="shared" si="353"/>
        <v>0</v>
      </c>
      <c r="X30" s="247">
        <f t="shared" si="354"/>
        <v>0</v>
      </c>
      <c r="Y30" s="247">
        <f t="shared" si="355"/>
        <v>0</v>
      </c>
      <c r="Z30" s="247">
        <f t="shared" si="356"/>
        <v>3.03</v>
      </c>
      <c r="AA30" s="247">
        <f t="shared" si="357"/>
        <v>0</v>
      </c>
      <c r="AB30" s="496">
        <f t="shared" si="358"/>
        <v>0</v>
      </c>
      <c r="AC30" s="251">
        <f t="shared" si="359"/>
        <v>0</v>
      </c>
      <c r="AD30" s="251">
        <f t="shared" si="360"/>
        <v>0</v>
      </c>
      <c r="AE30" s="251">
        <f t="shared" si="361"/>
        <v>0</v>
      </c>
      <c r="AF30" s="251">
        <f t="shared" si="362"/>
        <v>0</v>
      </c>
      <c r="AG30" s="251">
        <f t="shared" si="363"/>
        <v>0</v>
      </c>
      <c r="AH30" s="251">
        <f t="shared" si="364"/>
        <v>0</v>
      </c>
      <c r="AI30" s="497" t="str">
        <f t="shared" si="365"/>
        <v>NÃO</v>
      </c>
      <c r="AJ30" s="253">
        <f t="shared" si="366"/>
        <v>0</v>
      </c>
      <c r="AK30" s="253">
        <f t="shared" si="308"/>
        <v>0</v>
      </c>
      <c r="AL30" s="253">
        <f t="shared" si="309"/>
        <v>0</v>
      </c>
      <c r="AM30" s="241">
        <f t="shared" si="310"/>
        <v>0</v>
      </c>
      <c r="AN30" s="246">
        <f t="shared" si="311"/>
        <v>0</v>
      </c>
      <c r="AO30" s="253">
        <f t="shared" si="367"/>
        <v>0</v>
      </c>
      <c r="AP30" s="253">
        <f t="shared" si="368"/>
        <v>0</v>
      </c>
      <c r="AQ30" s="253">
        <f t="shared" si="313"/>
        <v>0.7</v>
      </c>
      <c r="AR30" s="253">
        <f t="shared" si="314"/>
        <v>0</v>
      </c>
      <c r="AS30" s="253">
        <f t="shared" si="315"/>
        <v>0</v>
      </c>
      <c r="AT30" s="253">
        <f t="shared" si="316"/>
        <v>0</v>
      </c>
      <c r="AU30" s="253">
        <f t="shared" si="369"/>
        <v>0</v>
      </c>
      <c r="AV30" s="253">
        <f t="shared" si="317"/>
        <v>0</v>
      </c>
      <c r="AW30" s="253">
        <f t="shared" si="318"/>
        <v>0</v>
      </c>
      <c r="AX30" s="253">
        <f t="shared" si="370"/>
        <v>0</v>
      </c>
      <c r="AY30" s="253">
        <f t="shared" si="319"/>
        <v>0</v>
      </c>
      <c r="AZ30" s="253">
        <f t="shared" si="320"/>
        <v>0</v>
      </c>
      <c r="BA30" s="253">
        <f t="shared" si="304"/>
        <v>0</v>
      </c>
      <c r="BB30" s="253">
        <f t="shared" si="321"/>
        <v>0</v>
      </c>
      <c r="BC30" s="253"/>
      <c r="BD30" s="253">
        <f t="shared" si="371"/>
        <v>0</v>
      </c>
      <c r="BE30" s="496">
        <f t="shared" si="372"/>
        <v>3.03</v>
      </c>
      <c r="BF30" s="498">
        <f t="shared" si="322"/>
        <v>0</v>
      </c>
      <c r="BG30" s="498">
        <f t="shared" si="323"/>
        <v>0</v>
      </c>
      <c r="BH30" s="495" t="str">
        <f>VLOOKUP(A30,'BOCA DE LOBO'!C:I,7,0)</f>
        <v>BOCA DE LOBO EXISTENTE TRIPLA</v>
      </c>
      <c r="BI30" s="253">
        <f t="shared" si="373"/>
        <v>0</v>
      </c>
      <c r="BJ30" s="253">
        <f t="shared" si="374"/>
        <v>0</v>
      </c>
      <c r="BK30" s="253">
        <f t="shared" si="375"/>
        <v>0</v>
      </c>
      <c r="BL30" s="253">
        <f t="shared" si="376"/>
        <v>0</v>
      </c>
      <c r="BM30" s="253">
        <f t="shared" si="377"/>
        <v>0</v>
      </c>
      <c r="BN30" s="253">
        <f t="shared" si="378"/>
        <v>0</v>
      </c>
      <c r="BO30" s="253">
        <f t="shared" si="379"/>
        <v>0</v>
      </c>
      <c r="BP30" s="500"/>
      <c r="BQ30" s="496">
        <f t="shared" si="380"/>
        <v>15.48</v>
      </c>
      <c r="BR30" s="496">
        <f t="shared" si="381"/>
        <v>15.48</v>
      </c>
      <c r="BS30" s="496">
        <f t="shared" si="382"/>
        <v>0.30959999999999799</v>
      </c>
      <c r="BV30" s="502">
        <f t="shared" si="324"/>
        <v>0</v>
      </c>
      <c r="BW30" s="502">
        <f t="shared" si="383"/>
        <v>0</v>
      </c>
      <c r="BX30" s="502">
        <f t="shared" si="325"/>
        <v>0</v>
      </c>
      <c r="BY30" s="502">
        <f t="shared" si="326"/>
        <v>2.5</v>
      </c>
      <c r="BZ30" s="502">
        <f t="shared" si="327"/>
        <v>2.5</v>
      </c>
      <c r="CA30" s="502">
        <f t="shared" si="384"/>
        <v>0</v>
      </c>
      <c r="CB30" s="502">
        <f t="shared" si="328"/>
        <v>0</v>
      </c>
      <c r="CC30" s="502">
        <f t="shared" si="329"/>
        <v>0</v>
      </c>
      <c r="CD30" s="502">
        <f t="shared" si="330"/>
        <v>0</v>
      </c>
      <c r="CE30" s="502">
        <f t="shared" si="385"/>
        <v>0</v>
      </c>
      <c r="CF30" s="502">
        <f t="shared" si="386"/>
        <v>0</v>
      </c>
      <c r="CG30" s="502">
        <f t="shared" si="331"/>
        <v>0</v>
      </c>
      <c r="CH30" s="502">
        <f t="shared" si="332"/>
        <v>0</v>
      </c>
      <c r="CI30" s="253">
        <f t="shared" si="387"/>
        <v>0</v>
      </c>
      <c r="CJ30" s="502">
        <f t="shared" si="388"/>
        <v>0</v>
      </c>
      <c r="CK30" s="502">
        <f t="shared" si="389"/>
        <v>0</v>
      </c>
      <c r="CL30" s="502">
        <f t="shared" si="333"/>
        <v>0</v>
      </c>
      <c r="CM30" s="502">
        <f t="shared" si="334"/>
        <v>0</v>
      </c>
      <c r="CN30" s="502">
        <f t="shared" si="335"/>
        <v>0</v>
      </c>
      <c r="CO30" s="502">
        <f t="shared" si="336"/>
        <v>2.5</v>
      </c>
      <c r="CP30" s="502">
        <f t="shared" si="337"/>
        <v>0</v>
      </c>
      <c r="CQ30" s="502">
        <f t="shared" si="338"/>
        <v>0</v>
      </c>
      <c r="CR30" s="220">
        <f t="shared" si="339"/>
        <v>0</v>
      </c>
      <c r="CS30" s="503">
        <f t="shared" si="340"/>
        <v>0</v>
      </c>
      <c r="CT30" s="503">
        <f t="shared" si="390"/>
        <v>0</v>
      </c>
      <c r="CU30" s="504">
        <f t="shared" si="341"/>
        <v>0</v>
      </c>
      <c r="CV30" s="504">
        <f t="shared" si="342"/>
        <v>0</v>
      </c>
      <c r="CW30" s="502">
        <f t="shared" si="343"/>
        <v>0</v>
      </c>
      <c r="CX30" s="253">
        <f t="shared" si="344"/>
        <v>0</v>
      </c>
      <c r="CY30" s="505">
        <f t="shared" si="345"/>
        <v>0</v>
      </c>
      <c r="CZ30" s="502">
        <f t="shared" si="346"/>
        <v>0</v>
      </c>
    </row>
    <row r="31" spans="1:104" s="501" customFormat="1" ht="25" x14ac:dyDescent="0.25">
      <c r="A31" s="291" t="str">
        <f>'BOCA DE LOBO'!C34</f>
        <v>BL29-&gt;PV11.1</v>
      </c>
      <c r="B31" s="291" t="str">
        <f>'BOCA DE LOBO'!A34</f>
        <v>PV11.1</v>
      </c>
      <c r="C31" s="413" t="str">
        <f>VLOOKUP(A31,'BOCA DE LOBO'!$C$1:$Q$76,3,0)</f>
        <v>PROJETADO</v>
      </c>
      <c r="D31" s="291" t="str">
        <f>VLOOKUP(A31,'BOCA DE LOBO'!$C$1:$Q$76,10,0)</f>
        <v>PROJETADA</v>
      </c>
      <c r="E31" s="413">
        <f t="shared" si="302"/>
        <v>2.5</v>
      </c>
      <c r="F31" s="291">
        <f>VLOOKUP(A31,'BOCA DE LOBO'!$C$1:$Q$76,2,0)</f>
        <v>3.3</v>
      </c>
      <c r="G31" s="291">
        <f>VLOOKUP(A31,'BOCA DE LOBO'!$C$1:$Q$76,4,0)</f>
        <v>9.75</v>
      </c>
      <c r="H31" s="238">
        <v>400</v>
      </c>
      <c r="I31" s="493">
        <f t="shared" si="303"/>
        <v>3.03</v>
      </c>
      <c r="J31" s="241">
        <f t="shared" si="347"/>
        <v>1.4771249999999998</v>
      </c>
      <c r="K31" s="494">
        <v>0</v>
      </c>
      <c r="L31" s="253">
        <f t="shared" si="348"/>
        <v>1</v>
      </c>
      <c r="M31" s="253">
        <f t="shared" si="349"/>
        <v>1</v>
      </c>
      <c r="N31" s="253">
        <f t="shared" si="350"/>
        <v>0</v>
      </c>
      <c r="O31" s="253">
        <f t="shared" si="306"/>
        <v>9.75</v>
      </c>
      <c r="P31" s="495" t="str">
        <f>VLOOKUP(B31,'Planilha Hidráulica'!$AE$10:$AQ$39,13,0)</f>
        <v>ASFALTO</v>
      </c>
      <c r="Q31" s="495" t="s">
        <v>2423</v>
      </c>
      <c r="R31" s="507"/>
      <c r="S31" s="495">
        <f>VLOOKUP(Q31,Quantitativos!P:R,3,0)</f>
        <v>3.9</v>
      </c>
      <c r="T31" s="495">
        <f>VLOOKUP(Q31,Quantitativos!P:S,4,0)</f>
        <v>5</v>
      </c>
      <c r="U31" s="253">
        <f t="shared" si="351"/>
        <v>0.05</v>
      </c>
      <c r="V31" s="246">
        <f t="shared" si="352"/>
        <v>0</v>
      </c>
      <c r="W31" s="246">
        <f t="shared" si="353"/>
        <v>29.542499999999997</v>
      </c>
      <c r="X31" s="247">
        <f t="shared" si="354"/>
        <v>0</v>
      </c>
      <c r="Y31" s="247">
        <f t="shared" si="355"/>
        <v>0</v>
      </c>
      <c r="Z31" s="247">
        <f t="shared" si="356"/>
        <v>3.03</v>
      </c>
      <c r="AA31" s="247">
        <f t="shared" si="357"/>
        <v>0</v>
      </c>
      <c r="AB31" s="496">
        <f t="shared" si="358"/>
        <v>9.75</v>
      </c>
      <c r="AC31" s="251">
        <f t="shared" si="359"/>
        <v>0</v>
      </c>
      <c r="AD31" s="251">
        <f t="shared" si="360"/>
        <v>0</v>
      </c>
      <c r="AE31" s="251">
        <f t="shared" si="361"/>
        <v>0</v>
      </c>
      <c r="AF31" s="251">
        <f t="shared" si="362"/>
        <v>14.625</v>
      </c>
      <c r="AG31" s="251">
        <f t="shared" si="363"/>
        <v>14.625</v>
      </c>
      <c r="AH31" s="251">
        <f t="shared" si="364"/>
        <v>0.29249999999999809</v>
      </c>
      <c r="AI31" s="497" t="str">
        <f t="shared" si="365"/>
        <v>NÃO</v>
      </c>
      <c r="AJ31" s="253">
        <f t="shared" si="366"/>
        <v>0</v>
      </c>
      <c r="AK31" s="253">
        <f t="shared" si="308"/>
        <v>0</v>
      </c>
      <c r="AL31" s="253">
        <f t="shared" si="309"/>
        <v>28.317278865099979</v>
      </c>
      <c r="AM31" s="241">
        <f t="shared" si="310"/>
        <v>0.48750000000000004</v>
      </c>
      <c r="AN31" s="246">
        <f t="shared" si="311"/>
        <v>0</v>
      </c>
      <c r="AO31" s="253">
        <f t="shared" si="367"/>
        <v>0</v>
      </c>
      <c r="AP31" s="253">
        <f t="shared" si="368"/>
        <v>0</v>
      </c>
      <c r="AQ31" s="253">
        <f t="shared" si="313"/>
        <v>0.7</v>
      </c>
      <c r="AR31" s="253">
        <f t="shared" si="314"/>
        <v>5.5997788650999798</v>
      </c>
      <c r="AS31" s="253">
        <f t="shared" si="315"/>
        <v>0</v>
      </c>
      <c r="AT31" s="253">
        <f t="shared" si="316"/>
        <v>1.4624999999999999</v>
      </c>
      <c r="AU31" s="253">
        <f t="shared" si="369"/>
        <v>1.4624999999999999</v>
      </c>
      <c r="AV31" s="253">
        <f t="shared" si="317"/>
        <v>0.29249999999999998</v>
      </c>
      <c r="AW31" s="253">
        <f t="shared" si="318"/>
        <v>19.305</v>
      </c>
      <c r="AX31" s="253">
        <f t="shared" si="370"/>
        <v>22.48022113490002</v>
      </c>
      <c r="AY31" s="253">
        <f t="shared" si="319"/>
        <v>19.305</v>
      </c>
      <c r="AZ31" s="253">
        <f t="shared" si="320"/>
        <v>0</v>
      </c>
      <c r="BA31" s="253">
        <f t="shared" si="304"/>
        <v>0</v>
      </c>
      <c r="BB31" s="253">
        <f t="shared" si="321"/>
        <v>0</v>
      </c>
      <c r="BC31" s="253"/>
      <c r="BD31" s="253">
        <f t="shared" si="371"/>
        <v>5.8499999999999996E-2</v>
      </c>
      <c r="BE31" s="496">
        <f t="shared" si="372"/>
        <v>3.03</v>
      </c>
      <c r="BF31" s="498">
        <f t="shared" si="322"/>
        <v>0</v>
      </c>
      <c r="BG31" s="498">
        <f t="shared" si="323"/>
        <v>0</v>
      </c>
      <c r="BH31" s="495" t="str">
        <f>VLOOKUP(A31,'BOCA DE LOBO'!C:I,7,0)</f>
        <v>BOCA DE LOBO PROJETADA DUPLA</v>
      </c>
      <c r="BI31" s="253">
        <f t="shared" si="373"/>
        <v>0</v>
      </c>
      <c r="BJ31" s="253">
        <f t="shared" si="374"/>
        <v>0</v>
      </c>
      <c r="BK31" s="253">
        <f t="shared" si="375"/>
        <v>0</v>
      </c>
      <c r="BL31" s="253">
        <f t="shared" si="376"/>
        <v>0</v>
      </c>
      <c r="BM31" s="253">
        <f t="shared" si="377"/>
        <v>0</v>
      </c>
      <c r="BN31" s="253">
        <f t="shared" si="378"/>
        <v>1</v>
      </c>
      <c r="BO31" s="253">
        <f t="shared" si="379"/>
        <v>0</v>
      </c>
      <c r="BP31" s="500"/>
      <c r="BQ31" s="496">
        <f t="shared" si="380"/>
        <v>29.25</v>
      </c>
      <c r="BR31" s="496">
        <f t="shared" si="381"/>
        <v>29.25</v>
      </c>
      <c r="BS31" s="496">
        <f t="shared" si="382"/>
        <v>0.58499999999999619</v>
      </c>
      <c r="BV31" s="502">
        <f t="shared" si="324"/>
        <v>19.456499999999998</v>
      </c>
      <c r="BW31" s="502">
        <f t="shared" si="383"/>
        <v>7.7825999999999986</v>
      </c>
      <c r="BX31" s="502">
        <f t="shared" si="325"/>
        <v>3.0325999999999995</v>
      </c>
      <c r="BY31" s="502">
        <f t="shared" si="326"/>
        <v>2.5</v>
      </c>
      <c r="BZ31" s="502">
        <f t="shared" si="327"/>
        <v>2.5</v>
      </c>
      <c r="CA31" s="502">
        <f t="shared" si="384"/>
        <v>0</v>
      </c>
      <c r="CB31" s="502">
        <f t="shared" si="328"/>
        <v>0</v>
      </c>
      <c r="CC31" s="502">
        <f t="shared" si="329"/>
        <v>11.673899999999998</v>
      </c>
      <c r="CD31" s="502">
        <f t="shared" si="330"/>
        <v>7.7825999999999986</v>
      </c>
      <c r="CE31" s="502">
        <f t="shared" si="385"/>
        <v>0</v>
      </c>
      <c r="CF31" s="502">
        <f t="shared" si="386"/>
        <v>0</v>
      </c>
      <c r="CG31" s="502">
        <f t="shared" si="331"/>
        <v>0</v>
      </c>
      <c r="CH31" s="502">
        <f t="shared" si="332"/>
        <v>0</v>
      </c>
      <c r="CI31" s="253">
        <f t="shared" si="387"/>
        <v>0.53549999999999998</v>
      </c>
      <c r="CJ31" s="502">
        <f t="shared" si="388"/>
        <v>11.339499999999997</v>
      </c>
      <c r="CK31" s="502">
        <f t="shared" si="389"/>
        <v>11.339499999999997</v>
      </c>
      <c r="CL31" s="502">
        <f t="shared" si="333"/>
        <v>0</v>
      </c>
      <c r="CM31" s="502">
        <f t="shared" si="334"/>
        <v>0</v>
      </c>
      <c r="CN31" s="502">
        <f t="shared" si="335"/>
        <v>3.57</v>
      </c>
      <c r="CO31" s="502">
        <f t="shared" si="336"/>
        <v>2.5</v>
      </c>
      <c r="CP31" s="502">
        <f t="shared" si="337"/>
        <v>10.709999999999999</v>
      </c>
      <c r="CQ31" s="502">
        <f t="shared" si="338"/>
        <v>7.14</v>
      </c>
      <c r="CR31" s="220">
        <f t="shared" si="339"/>
        <v>0</v>
      </c>
      <c r="CS31" s="503">
        <f t="shared" si="340"/>
        <v>0</v>
      </c>
      <c r="CT31" s="503">
        <f t="shared" si="390"/>
        <v>0.33012999999999998</v>
      </c>
      <c r="CU31" s="504">
        <f t="shared" si="341"/>
        <v>13</v>
      </c>
      <c r="CV31" s="504">
        <f t="shared" si="342"/>
        <v>1.43895</v>
      </c>
      <c r="CW31" s="502">
        <f t="shared" si="343"/>
        <v>23.248199999999997</v>
      </c>
      <c r="CX31" s="253">
        <f t="shared" si="344"/>
        <v>3.57</v>
      </c>
      <c r="CY31" s="505">
        <f t="shared" si="345"/>
        <v>1.7849999999999999</v>
      </c>
      <c r="CZ31" s="502">
        <f t="shared" si="346"/>
        <v>0</v>
      </c>
    </row>
    <row r="32" spans="1:104" s="501" customFormat="1" ht="25" x14ac:dyDescent="0.25">
      <c r="A32" s="291" t="str">
        <f>'BOCA DE LOBO'!C35</f>
        <v>BL30-&gt;PV13.1</v>
      </c>
      <c r="B32" s="291" t="str">
        <f>'BOCA DE LOBO'!A35</f>
        <v>PV13.1</v>
      </c>
      <c r="C32" s="413" t="str">
        <f>VLOOKUP(A32,'BOCA DE LOBO'!$C$1:$Q$76,3,0)</f>
        <v>PROJETADO</v>
      </c>
      <c r="D32" s="291" t="str">
        <f>VLOOKUP(A32,'BOCA DE LOBO'!$C$1:$Q$76,10,0)</f>
        <v>PROJETADA</v>
      </c>
      <c r="E32" s="413">
        <f t="shared" si="302"/>
        <v>2.5</v>
      </c>
      <c r="F32" s="291">
        <f>VLOOKUP(A32,'BOCA DE LOBO'!$C$1:$Q$76,2,0)</f>
        <v>2.9</v>
      </c>
      <c r="G32" s="291">
        <f>VLOOKUP(A32,'BOCA DE LOBO'!$C$1:$Q$76,4,0)</f>
        <v>2.71</v>
      </c>
      <c r="H32" s="238">
        <v>400</v>
      </c>
      <c r="I32" s="493">
        <f t="shared" si="303"/>
        <v>2.83</v>
      </c>
      <c r="J32" s="241">
        <f t="shared" si="347"/>
        <v>0.383465</v>
      </c>
      <c r="K32" s="494">
        <v>0</v>
      </c>
      <c r="L32" s="253">
        <f t="shared" si="348"/>
        <v>1</v>
      </c>
      <c r="M32" s="253">
        <f t="shared" si="349"/>
        <v>1</v>
      </c>
      <c r="N32" s="253">
        <f t="shared" si="350"/>
        <v>0</v>
      </c>
      <c r="O32" s="253">
        <f t="shared" si="306"/>
        <v>2.71</v>
      </c>
      <c r="P32" s="495" t="s">
        <v>2392</v>
      </c>
      <c r="Q32" s="495" t="s">
        <v>2536</v>
      </c>
      <c r="R32" s="507"/>
      <c r="S32" s="495">
        <f>VLOOKUP(Q32,Quantitativos!P:R,3,0)</f>
        <v>3.2</v>
      </c>
      <c r="T32" s="495">
        <f>VLOOKUP(Q32,Quantitativos!P:S,4,0)</f>
        <v>1.6</v>
      </c>
      <c r="U32" s="253">
        <f t="shared" si="351"/>
        <v>0.05</v>
      </c>
      <c r="V32" s="246">
        <f t="shared" si="352"/>
        <v>0</v>
      </c>
      <c r="W32" s="246">
        <f t="shared" si="353"/>
        <v>7.6692999999999998</v>
      </c>
      <c r="X32" s="247">
        <f t="shared" si="354"/>
        <v>0</v>
      </c>
      <c r="Y32" s="247">
        <f t="shared" si="355"/>
        <v>0</v>
      </c>
      <c r="Z32" s="247">
        <f t="shared" si="356"/>
        <v>2.83</v>
      </c>
      <c r="AA32" s="247">
        <f t="shared" si="357"/>
        <v>0</v>
      </c>
      <c r="AB32" s="496">
        <f t="shared" si="358"/>
        <v>2.71</v>
      </c>
      <c r="AC32" s="251">
        <f t="shared" si="359"/>
        <v>0</v>
      </c>
      <c r="AD32" s="251">
        <f t="shared" si="360"/>
        <v>0</v>
      </c>
      <c r="AE32" s="251">
        <f t="shared" si="361"/>
        <v>0</v>
      </c>
      <c r="AF32" s="251">
        <f t="shared" si="362"/>
        <v>4.0649999999999995</v>
      </c>
      <c r="AG32" s="251">
        <f t="shared" si="363"/>
        <v>3.6043000000000003</v>
      </c>
      <c r="AH32" s="251">
        <f t="shared" si="364"/>
        <v>0</v>
      </c>
      <c r="AI32" s="497" t="str">
        <f t="shared" si="365"/>
        <v>NÃO</v>
      </c>
      <c r="AJ32" s="253">
        <f t="shared" si="366"/>
        <v>0</v>
      </c>
      <c r="AK32" s="253">
        <f t="shared" si="308"/>
        <v>4.4443999999999997E-2</v>
      </c>
      <c r="AL32" s="253">
        <f t="shared" si="309"/>
        <v>7.3287513563508657</v>
      </c>
      <c r="AM32" s="241">
        <f t="shared" si="310"/>
        <v>0.13550000000000001</v>
      </c>
      <c r="AN32" s="246">
        <f t="shared" si="311"/>
        <v>0</v>
      </c>
      <c r="AO32" s="253">
        <f t="shared" si="367"/>
        <v>0</v>
      </c>
      <c r="AP32" s="253">
        <f t="shared" si="368"/>
        <v>0</v>
      </c>
      <c r="AQ32" s="253">
        <f t="shared" si="313"/>
        <v>0.7</v>
      </c>
      <c r="AR32" s="253">
        <f t="shared" si="314"/>
        <v>1.5564513563508662</v>
      </c>
      <c r="AS32" s="253">
        <f t="shared" si="315"/>
        <v>0</v>
      </c>
      <c r="AT32" s="253">
        <f t="shared" si="316"/>
        <v>0.40649999999999997</v>
      </c>
      <c r="AU32" s="253">
        <f t="shared" si="369"/>
        <v>0.40649999999999997</v>
      </c>
      <c r="AV32" s="253">
        <f t="shared" si="317"/>
        <v>8.1299999999999997E-2</v>
      </c>
      <c r="AW32" s="253">
        <f t="shared" si="318"/>
        <v>4.8237999999999985</v>
      </c>
      <c r="AX32" s="253">
        <f t="shared" si="370"/>
        <v>5.7063486436491333</v>
      </c>
      <c r="AY32" s="253">
        <f t="shared" si="319"/>
        <v>4.8237999999999985</v>
      </c>
      <c r="AZ32" s="253">
        <f t="shared" si="320"/>
        <v>0</v>
      </c>
      <c r="BA32" s="253">
        <f t="shared" si="304"/>
        <v>0</v>
      </c>
      <c r="BB32" s="253">
        <f t="shared" si="321"/>
        <v>0</v>
      </c>
      <c r="BC32" s="253"/>
      <c r="BD32" s="253">
        <f t="shared" si="371"/>
        <v>1.626E-2</v>
      </c>
      <c r="BE32" s="496">
        <f t="shared" si="372"/>
        <v>2.83</v>
      </c>
      <c r="BF32" s="498">
        <f t="shared" si="322"/>
        <v>0</v>
      </c>
      <c r="BG32" s="498">
        <f t="shared" si="323"/>
        <v>2.71</v>
      </c>
      <c r="BH32" s="495" t="str">
        <f>VLOOKUP(A32,'BOCA DE LOBO'!C:I,7,0)</f>
        <v>BOCA DE LOBO PROJETADA DUPLA</v>
      </c>
      <c r="BI32" s="253">
        <f t="shared" si="373"/>
        <v>0</v>
      </c>
      <c r="BJ32" s="253">
        <f t="shared" si="374"/>
        <v>0</v>
      </c>
      <c r="BK32" s="253">
        <f t="shared" si="375"/>
        <v>0</v>
      </c>
      <c r="BL32" s="253">
        <f t="shared" si="376"/>
        <v>0</v>
      </c>
      <c r="BM32" s="253">
        <f t="shared" si="377"/>
        <v>0</v>
      </c>
      <c r="BN32" s="253">
        <f t="shared" si="378"/>
        <v>1</v>
      </c>
      <c r="BO32" s="253">
        <f t="shared" si="379"/>
        <v>0</v>
      </c>
      <c r="BP32" s="500"/>
      <c r="BQ32" s="496">
        <f t="shared" si="380"/>
        <v>8.129999999999999</v>
      </c>
      <c r="BR32" s="496">
        <f t="shared" si="381"/>
        <v>7.2086000000000006</v>
      </c>
      <c r="BS32" s="496">
        <f t="shared" si="382"/>
        <v>0</v>
      </c>
      <c r="BV32" s="502">
        <f t="shared" si="324"/>
        <v>19.456499999999998</v>
      </c>
      <c r="BW32" s="502">
        <f t="shared" si="383"/>
        <v>7.7825999999999986</v>
      </c>
      <c r="BX32" s="502">
        <f t="shared" si="325"/>
        <v>3.0325999999999995</v>
      </c>
      <c r="BY32" s="502">
        <f t="shared" si="326"/>
        <v>2.5</v>
      </c>
      <c r="BZ32" s="502">
        <f t="shared" si="327"/>
        <v>2.5</v>
      </c>
      <c r="CA32" s="502">
        <f t="shared" si="384"/>
        <v>0</v>
      </c>
      <c r="CB32" s="502">
        <f t="shared" si="328"/>
        <v>0</v>
      </c>
      <c r="CC32" s="502">
        <f t="shared" si="329"/>
        <v>11.673899999999998</v>
      </c>
      <c r="CD32" s="502">
        <f t="shared" si="330"/>
        <v>7.7825999999999986</v>
      </c>
      <c r="CE32" s="502">
        <f t="shared" si="385"/>
        <v>0</v>
      </c>
      <c r="CF32" s="502">
        <f t="shared" si="386"/>
        <v>0</v>
      </c>
      <c r="CG32" s="502">
        <f t="shared" si="331"/>
        <v>0</v>
      </c>
      <c r="CH32" s="502">
        <f t="shared" si="332"/>
        <v>0</v>
      </c>
      <c r="CI32" s="253">
        <f t="shared" si="387"/>
        <v>0.53549999999999998</v>
      </c>
      <c r="CJ32" s="502">
        <f t="shared" si="388"/>
        <v>11.339499999999997</v>
      </c>
      <c r="CK32" s="502">
        <f t="shared" si="389"/>
        <v>11.339499999999997</v>
      </c>
      <c r="CL32" s="502">
        <f t="shared" si="333"/>
        <v>0</v>
      </c>
      <c r="CM32" s="502">
        <f t="shared" si="334"/>
        <v>0</v>
      </c>
      <c r="CN32" s="502">
        <f t="shared" si="335"/>
        <v>3.57</v>
      </c>
      <c r="CO32" s="502">
        <f t="shared" si="336"/>
        <v>2.5</v>
      </c>
      <c r="CP32" s="502">
        <f t="shared" si="337"/>
        <v>10.709999999999999</v>
      </c>
      <c r="CQ32" s="502">
        <f t="shared" si="338"/>
        <v>7.14</v>
      </c>
      <c r="CR32" s="220">
        <f t="shared" si="339"/>
        <v>0</v>
      </c>
      <c r="CS32" s="503">
        <f t="shared" si="340"/>
        <v>0</v>
      </c>
      <c r="CT32" s="503">
        <f t="shared" si="390"/>
        <v>0.33012999999999998</v>
      </c>
      <c r="CU32" s="504">
        <f t="shared" si="341"/>
        <v>13</v>
      </c>
      <c r="CV32" s="504">
        <f t="shared" si="342"/>
        <v>1.43895</v>
      </c>
      <c r="CW32" s="502">
        <f t="shared" si="343"/>
        <v>23.248199999999997</v>
      </c>
      <c r="CX32" s="253">
        <f t="shared" si="344"/>
        <v>3.57</v>
      </c>
      <c r="CY32" s="505">
        <f t="shared" si="345"/>
        <v>1.7849999999999999</v>
      </c>
      <c r="CZ32" s="502">
        <f t="shared" si="346"/>
        <v>0</v>
      </c>
    </row>
    <row r="33" spans="1:104" s="501" customFormat="1" ht="25" x14ac:dyDescent="0.25">
      <c r="A33" s="291" t="str">
        <f>'BOCA DE LOBO'!C36</f>
        <v>BL31-&gt;PV13.1</v>
      </c>
      <c r="B33" s="291" t="str">
        <f>'BOCA DE LOBO'!A36</f>
        <v>PV13.1</v>
      </c>
      <c r="C33" s="413" t="str">
        <f>VLOOKUP(A33,'BOCA DE LOBO'!$C$1:$Q$76,3,0)</f>
        <v>PROJETADO</v>
      </c>
      <c r="D33" s="291" t="str">
        <f>VLOOKUP(A33,'BOCA DE LOBO'!$C$1:$Q$76,10,0)</f>
        <v>PROJETADA</v>
      </c>
      <c r="E33" s="413">
        <f t="shared" si="302"/>
        <v>2.456</v>
      </c>
      <c r="F33" s="291">
        <f>VLOOKUP(A33,'BOCA DE LOBO'!$C$1:$Q$76,2,0)</f>
        <v>2.9</v>
      </c>
      <c r="G33" s="291">
        <f>VLOOKUP(A33,'BOCA DE LOBO'!$C$1:$Q$76,4,0)</f>
        <v>11.1</v>
      </c>
      <c r="H33" s="238">
        <v>400</v>
      </c>
      <c r="I33" s="493">
        <f t="shared" si="303"/>
        <v>2.8079999999999998</v>
      </c>
      <c r="J33" s="241">
        <f t="shared" si="347"/>
        <v>1.5584399999999998</v>
      </c>
      <c r="K33" s="494">
        <v>0</v>
      </c>
      <c r="L33" s="253">
        <f t="shared" si="348"/>
        <v>1</v>
      </c>
      <c r="M33" s="253">
        <f t="shared" si="349"/>
        <v>1</v>
      </c>
      <c r="N33" s="253">
        <f t="shared" si="350"/>
        <v>0</v>
      </c>
      <c r="O33" s="253">
        <f t="shared" si="306"/>
        <v>11.1</v>
      </c>
      <c r="P33" s="495" t="s">
        <v>2392</v>
      </c>
      <c r="Q33" s="495" t="s">
        <v>2536</v>
      </c>
      <c r="R33" s="507"/>
      <c r="S33" s="495">
        <f>VLOOKUP(Q33,Quantitativos!P:R,3,0)</f>
        <v>3.2</v>
      </c>
      <c r="T33" s="495">
        <f>VLOOKUP(Q33,Quantitativos!P:S,4,0)</f>
        <v>1.6</v>
      </c>
      <c r="U33" s="253">
        <f t="shared" si="351"/>
        <v>0.05</v>
      </c>
      <c r="V33" s="246">
        <f t="shared" si="352"/>
        <v>0</v>
      </c>
      <c r="W33" s="246">
        <f t="shared" si="353"/>
        <v>31.168799999999997</v>
      </c>
      <c r="X33" s="247">
        <f t="shared" si="354"/>
        <v>0</v>
      </c>
      <c r="Y33" s="247">
        <f t="shared" si="355"/>
        <v>0</v>
      </c>
      <c r="Z33" s="247">
        <f t="shared" si="356"/>
        <v>2.8079999999999998</v>
      </c>
      <c r="AA33" s="247">
        <f t="shared" si="357"/>
        <v>0</v>
      </c>
      <c r="AB33" s="496">
        <f t="shared" si="358"/>
        <v>11.1</v>
      </c>
      <c r="AC33" s="251">
        <f t="shared" si="359"/>
        <v>0</v>
      </c>
      <c r="AD33" s="251">
        <f t="shared" si="360"/>
        <v>0</v>
      </c>
      <c r="AE33" s="251">
        <f t="shared" si="361"/>
        <v>0</v>
      </c>
      <c r="AF33" s="251">
        <f t="shared" si="362"/>
        <v>16.649999999999999</v>
      </c>
      <c r="AG33" s="251">
        <f t="shared" si="363"/>
        <v>14.518799999999997</v>
      </c>
      <c r="AH33" s="251">
        <f t="shared" si="364"/>
        <v>0</v>
      </c>
      <c r="AI33" s="497" t="str">
        <f t="shared" si="365"/>
        <v>NÃO</v>
      </c>
      <c r="AJ33" s="253">
        <f t="shared" si="366"/>
        <v>0</v>
      </c>
      <c r="AK33" s="253">
        <f t="shared" si="308"/>
        <v>0.17878399999999994</v>
      </c>
      <c r="AL33" s="253">
        <f t="shared" si="309"/>
        <v>29.773932861806131</v>
      </c>
      <c r="AM33" s="241">
        <f t="shared" si="310"/>
        <v>0.55500000000000005</v>
      </c>
      <c r="AN33" s="246">
        <f t="shared" si="311"/>
        <v>0</v>
      </c>
      <c r="AO33" s="253">
        <f t="shared" si="367"/>
        <v>0</v>
      </c>
      <c r="AP33" s="253">
        <f t="shared" si="368"/>
        <v>0</v>
      </c>
      <c r="AQ33" s="253">
        <f t="shared" si="313"/>
        <v>0.7</v>
      </c>
      <c r="AR33" s="253">
        <f t="shared" si="314"/>
        <v>6.3751328618061311</v>
      </c>
      <c r="AS33" s="253">
        <f t="shared" si="315"/>
        <v>0</v>
      </c>
      <c r="AT33" s="253">
        <f t="shared" si="316"/>
        <v>1.6649999999999998</v>
      </c>
      <c r="AU33" s="253">
        <f t="shared" si="369"/>
        <v>1.6649999999999998</v>
      </c>
      <c r="AV33" s="253">
        <f t="shared" si="317"/>
        <v>0.33299999999999996</v>
      </c>
      <c r="AW33" s="253">
        <f t="shared" si="318"/>
        <v>19.513800000000003</v>
      </c>
      <c r="AX33" s="253">
        <f t="shared" si="370"/>
        <v>23.128667138193869</v>
      </c>
      <c r="AY33" s="253">
        <f t="shared" si="319"/>
        <v>19.513800000000003</v>
      </c>
      <c r="AZ33" s="253">
        <f t="shared" si="320"/>
        <v>0</v>
      </c>
      <c r="BA33" s="253">
        <f t="shared" si="304"/>
        <v>0</v>
      </c>
      <c r="BB33" s="253">
        <f t="shared" si="321"/>
        <v>0</v>
      </c>
      <c r="BC33" s="253"/>
      <c r="BD33" s="253">
        <f t="shared" si="371"/>
        <v>6.6599999999999993E-2</v>
      </c>
      <c r="BE33" s="496">
        <f t="shared" si="372"/>
        <v>2.8079999999999998</v>
      </c>
      <c r="BF33" s="498">
        <f t="shared" si="322"/>
        <v>0</v>
      </c>
      <c r="BG33" s="498">
        <f t="shared" si="323"/>
        <v>11.1</v>
      </c>
      <c r="BH33" s="495" t="str">
        <f>VLOOKUP(A33,'BOCA DE LOBO'!C:I,7,0)</f>
        <v>BOCA DE LOBO PROJETADA DUPLA</v>
      </c>
      <c r="BI33" s="253">
        <f t="shared" si="373"/>
        <v>0</v>
      </c>
      <c r="BJ33" s="253">
        <f t="shared" si="374"/>
        <v>0</v>
      </c>
      <c r="BK33" s="253">
        <f t="shared" si="375"/>
        <v>0</v>
      </c>
      <c r="BL33" s="253">
        <f t="shared" si="376"/>
        <v>0</v>
      </c>
      <c r="BM33" s="253">
        <f t="shared" si="377"/>
        <v>0</v>
      </c>
      <c r="BN33" s="253">
        <f t="shared" si="378"/>
        <v>1</v>
      </c>
      <c r="BO33" s="253">
        <f t="shared" si="379"/>
        <v>0</v>
      </c>
      <c r="BP33" s="500"/>
      <c r="BQ33" s="496">
        <f t="shared" si="380"/>
        <v>33.299999999999997</v>
      </c>
      <c r="BR33" s="496">
        <f t="shared" si="381"/>
        <v>29.037599999999994</v>
      </c>
      <c r="BS33" s="496">
        <f t="shared" si="382"/>
        <v>0</v>
      </c>
      <c r="BV33" s="502">
        <f t="shared" si="324"/>
        <v>19.114065599999996</v>
      </c>
      <c r="BW33" s="502">
        <f t="shared" si="383"/>
        <v>7.7825999999999986</v>
      </c>
      <c r="BX33" s="502">
        <f t="shared" si="325"/>
        <v>3.0325999999999995</v>
      </c>
      <c r="BY33" s="502">
        <f t="shared" si="326"/>
        <v>2.456</v>
      </c>
      <c r="BZ33" s="502">
        <f t="shared" si="327"/>
        <v>2.456</v>
      </c>
      <c r="CA33" s="502">
        <f t="shared" si="384"/>
        <v>0</v>
      </c>
      <c r="CB33" s="502">
        <f t="shared" si="328"/>
        <v>0</v>
      </c>
      <c r="CC33" s="502">
        <f t="shared" si="329"/>
        <v>11.673899999999998</v>
      </c>
      <c r="CD33" s="502">
        <f t="shared" si="330"/>
        <v>7.4401655999999985</v>
      </c>
      <c r="CE33" s="502">
        <f t="shared" si="385"/>
        <v>0</v>
      </c>
      <c r="CF33" s="502">
        <f t="shared" si="386"/>
        <v>0</v>
      </c>
      <c r="CG33" s="502">
        <f t="shared" si="331"/>
        <v>0</v>
      </c>
      <c r="CH33" s="502">
        <f t="shared" si="332"/>
        <v>0</v>
      </c>
      <c r="CI33" s="253">
        <f t="shared" si="387"/>
        <v>0.53549999999999998</v>
      </c>
      <c r="CJ33" s="502">
        <f t="shared" si="388"/>
        <v>11.130499999999996</v>
      </c>
      <c r="CK33" s="502">
        <f t="shared" si="389"/>
        <v>11.130499999999996</v>
      </c>
      <c r="CL33" s="502">
        <f t="shared" si="333"/>
        <v>0</v>
      </c>
      <c r="CM33" s="502">
        <f t="shared" si="334"/>
        <v>0</v>
      </c>
      <c r="CN33" s="502">
        <f t="shared" si="335"/>
        <v>3.57</v>
      </c>
      <c r="CO33" s="502">
        <f t="shared" si="336"/>
        <v>2.456</v>
      </c>
      <c r="CP33" s="502">
        <f t="shared" si="337"/>
        <v>10.709999999999999</v>
      </c>
      <c r="CQ33" s="502">
        <f t="shared" si="338"/>
        <v>6.8258399999999995</v>
      </c>
      <c r="CR33" s="220">
        <f t="shared" si="339"/>
        <v>0</v>
      </c>
      <c r="CS33" s="503">
        <f t="shared" si="340"/>
        <v>0</v>
      </c>
      <c r="CT33" s="503">
        <f t="shared" si="390"/>
        <v>0.33012999999999998</v>
      </c>
      <c r="CU33" s="504">
        <f t="shared" si="341"/>
        <v>12.7712</v>
      </c>
      <c r="CV33" s="504">
        <f t="shared" si="342"/>
        <v>1.425486</v>
      </c>
      <c r="CW33" s="502">
        <f t="shared" si="343"/>
        <v>22.91028</v>
      </c>
      <c r="CX33" s="253">
        <f t="shared" si="344"/>
        <v>3.57</v>
      </c>
      <c r="CY33" s="505">
        <f t="shared" si="345"/>
        <v>1.7849999999999999</v>
      </c>
      <c r="CZ33" s="502">
        <f t="shared" si="346"/>
        <v>0</v>
      </c>
    </row>
    <row r="34" spans="1:104" ht="13" x14ac:dyDescent="0.3">
      <c r="A34" s="222" t="str">
        <f>'BOCA DE LOBO'!A37</f>
        <v>EXISTENTE</v>
      </c>
      <c r="B34" s="222"/>
      <c r="C34" s="222"/>
      <c r="D34" s="222"/>
      <c r="E34" s="223"/>
      <c r="F34" s="223"/>
      <c r="G34" s="223"/>
      <c r="H34" s="201"/>
      <c r="I34" s="201"/>
      <c r="J34" s="201"/>
      <c r="K34" s="201"/>
      <c r="L34" s="224"/>
      <c r="M34" s="225"/>
      <c r="N34" s="225"/>
      <c r="O34" s="225"/>
      <c r="P34" s="224"/>
      <c r="Q34" s="506"/>
      <c r="R34" s="506"/>
      <c r="S34" s="224"/>
      <c r="T34" s="224"/>
      <c r="U34" s="225"/>
      <c r="V34" s="226"/>
      <c r="W34" s="227"/>
      <c r="X34" s="227"/>
      <c r="Y34" s="227"/>
      <c r="Z34" s="227"/>
      <c r="AA34" s="227"/>
      <c r="AB34" s="228"/>
      <c r="AC34" s="229"/>
      <c r="AD34" s="229"/>
      <c r="AE34" s="229"/>
      <c r="AF34" s="229"/>
      <c r="AG34" s="229"/>
      <c r="AH34" s="229"/>
      <c r="AI34" s="217"/>
      <c r="AJ34" s="201"/>
      <c r="AK34" s="201"/>
      <c r="AL34" s="201"/>
      <c r="AM34" s="201"/>
      <c r="AN34" s="213"/>
      <c r="AO34" s="201"/>
      <c r="AP34" s="201"/>
      <c r="AQ34" s="201"/>
      <c r="AR34" s="201"/>
      <c r="AS34" s="201"/>
      <c r="AT34" s="201"/>
      <c r="AU34" s="201"/>
      <c r="AV34" s="201"/>
      <c r="AW34" s="201"/>
      <c r="AX34" s="201"/>
      <c r="AY34" s="201"/>
      <c r="AZ34" s="201"/>
      <c r="BA34" s="201"/>
      <c r="BB34" s="201"/>
      <c r="BC34" s="201"/>
      <c r="BD34" s="201"/>
      <c r="BE34" s="231"/>
      <c r="BF34" s="198"/>
      <c r="BG34" s="198"/>
      <c r="BH34" s="488"/>
      <c r="BI34" s="234"/>
      <c r="BJ34" s="234"/>
      <c r="BK34" s="234"/>
      <c r="BL34" s="234"/>
      <c r="BM34" s="234"/>
      <c r="BN34" s="489"/>
      <c r="BO34" s="490"/>
      <c r="BP34" s="491"/>
      <c r="BQ34" s="198"/>
      <c r="BR34" s="198"/>
      <c r="BS34" s="198"/>
      <c r="BV34" s="220"/>
      <c r="BW34" s="220"/>
      <c r="BX34" s="220"/>
      <c r="BY34" s="220"/>
      <c r="BZ34" s="220"/>
      <c r="CA34" s="220"/>
      <c r="CB34" s="220"/>
      <c r="CC34" s="220"/>
      <c r="CD34" s="220"/>
      <c r="CE34" s="220"/>
      <c r="CF34" s="220"/>
      <c r="CG34" s="220"/>
      <c r="CH34" s="220"/>
      <c r="CI34" s="220"/>
      <c r="CJ34" s="220"/>
      <c r="CK34" s="220"/>
      <c r="CL34" s="220"/>
      <c r="CM34" s="220"/>
      <c r="CN34" s="220"/>
      <c r="CO34" s="220"/>
      <c r="CP34" s="220"/>
      <c r="CQ34" s="220"/>
      <c r="CR34" s="220"/>
      <c r="CS34" s="492"/>
      <c r="CT34" s="492"/>
      <c r="CU34" s="492"/>
      <c r="CV34" s="492"/>
      <c r="CW34" s="220"/>
      <c r="CX34" s="201"/>
      <c r="CY34" s="208"/>
    </row>
    <row r="35" spans="1:104" s="501" customFormat="1" ht="25" x14ac:dyDescent="0.25">
      <c r="A35" s="291" t="str">
        <f>'BOCA DE LOBO'!C38</f>
        <v>BL32-&gt;PV1-87</v>
      </c>
      <c r="B35" s="291" t="str">
        <f>'BOCA DE LOBO'!A38</f>
        <v>PV1-87</v>
      </c>
      <c r="C35" s="413" t="str">
        <f>VLOOKUP(A35,'BOCA DE LOBO'!$C$1:$Q$76,3,0)</f>
        <v>EXISTENTE</v>
      </c>
      <c r="D35" s="291" t="str">
        <f>VLOOKUP(A35,'BOCA DE LOBO'!$C$1:$Q$76,10,0)</f>
        <v>PROJETADA</v>
      </c>
      <c r="E35" s="413">
        <f t="shared" ref="E35:E68" si="391">IF(F35-G35*4%&lt;2.5,F35-G35*4%,2.5)</f>
        <v>1.526</v>
      </c>
      <c r="F35" s="291">
        <f>VLOOKUP(A35,'BOCA DE LOBO'!$C$1:$Q$76,2,0)</f>
        <v>1.75</v>
      </c>
      <c r="G35" s="291">
        <f>VLOOKUP(A35,'BOCA DE LOBO'!$C$1:$Q$76,4,0)</f>
        <v>5.6</v>
      </c>
      <c r="H35" s="238">
        <v>400</v>
      </c>
      <c r="I35" s="493">
        <f t="shared" ref="I35:I68" si="392">IF(H35=400,((E35+F35)/2)+0.08+U35,IF(H35=500,((E35+F35)/2)+0.1+U35,IF(H35=600,((E35+F35)/2)+0.12+U35,IF(H35=800,((E35+F35)/2)+0.16+U35,IF(H35=1000,((E35+F35)/2)+0.2+U35,IF(H35=1200,((E35+F35)/2)+0.24+U35,IF(H35=1500,((E35+F35)/2)+0.3+U35,IF(H35&gt;1500,((E35+F35)/2)+0.4+U35))))))))</f>
        <v>1.768</v>
      </c>
      <c r="J35" s="241">
        <f t="shared" ref="J35:J68" si="393">IF(L35=0,0,IF(I35&gt;=1.25,G35*I35/20,0))</f>
        <v>0.49504000000000004</v>
      </c>
      <c r="K35" s="494">
        <v>0</v>
      </c>
      <c r="L35" s="253">
        <f t="shared" ref="L35:L68" si="394">IF(D35&lt;&gt;"PROJETADA",0,IF(H35=400,1,0)+IF(H35=500,1.2,0)+IF(H35=600,1.4,0)+IF(H35=800,1.7,0)+IF(H35=1000,2,0)+IF(H35=1200,2.2,0)+IF(H35=1500,2.6,0)+IF(H35=1650,3,0)+IF(H35=1800,3.2,0)+IF(H35=2000,3.4,0)+IF(H35=2200,3.6,0)+IF(H35=2400,3.8,0)+IF(H35=2600,4,0)+IF(H35=3000,4.4,0))</f>
        <v>1</v>
      </c>
      <c r="M35" s="253">
        <f t="shared" ref="M35:M68" si="395">2*K35*I35+L35</f>
        <v>1</v>
      </c>
      <c r="N35" s="253">
        <f t="shared" ref="N35:N68" si="396">IF(OR(D35="EXISTENTE",D35="AMPLIADA"),400,0)</f>
        <v>0</v>
      </c>
      <c r="O35" s="253">
        <f t="shared" si="306"/>
        <v>5.6</v>
      </c>
      <c r="P35" s="495" t="s">
        <v>2392</v>
      </c>
      <c r="Q35" s="495" t="s">
        <v>2990</v>
      </c>
      <c r="R35" s="507"/>
      <c r="S35" s="495">
        <v>2.4</v>
      </c>
      <c r="T35" s="495">
        <v>5</v>
      </c>
      <c r="U35" s="253">
        <f t="shared" ref="U35:U68" si="397">IF(H35=400,0.05,0)+IF(H35=500,0.05,0)+IF(H35=600,0.1,0)+IF(H35=800,0.1,0)+IF(H35=1000,0.15,0)+IF(H35=1200,0.15,0)+IF(H35=1500,0.2,0)+IF(H35=1650,0.2,0)+IF(H35=1800,0.2,0)+IF(H35=2000,0.25,0)+IF(H35=2200,0.25,0)+IF(H35=2400,0.25,0)+IF(H35=2600,0.25,0)+IF(H35=3000,0.25,0)</f>
        <v>0.05</v>
      </c>
      <c r="V35" s="246">
        <f t="shared" ref="V35:V68" si="398">IF(L35=0,0,IF("EXISTENTE"=A35,0,IFERROR((PI()*(N35/1000)*(N35/1000)/4)*G35,0)))</f>
        <v>0</v>
      </c>
      <c r="W35" s="246">
        <f t="shared" ref="W35:W68" si="399">IF(O35=0,0,((((K35*I35)*I35)/2)*2+L35*I35)*G35-V35+AO35)</f>
        <v>9.9008000000000003</v>
      </c>
      <c r="X35" s="247">
        <f t="shared" ref="X35:X68" si="400">W35-SUM(AC35:AJ35)</f>
        <v>0</v>
      </c>
      <c r="Y35" s="247">
        <f t="shared" ref="Y35:Y68" si="401">IF(R35=1,IF(N35=0,I35+0.4,0.4),0)</f>
        <v>0</v>
      </c>
      <c r="Z35" s="247">
        <f t="shared" ref="Z35:Z68" si="402">IF(Y35&gt;0.5,0,IF(S35&lt;I35,S35,I35))</f>
        <v>1.768</v>
      </c>
      <c r="AA35" s="247">
        <f t="shared" ref="AA35:AA68" si="403">I35-Z35</f>
        <v>0</v>
      </c>
      <c r="AB35" s="496">
        <f t="shared" ref="AB35:AB68" si="404">IF(P35="ASFALTO",IF(D35="PROJETADA",O35,IF(D35="EXISTENTE",0,O35/2)),0)</f>
        <v>5.6</v>
      </c>
      <c r="AC35" s="251">
        <f t="shared" ref="AC35:AC68" si="405">IF(Y35=0,0,IF(Y35=0.4,IF(L35&lt;=1.5,IF(Z35+0.4&gt;=1.5,0,L35*G35*0.4),0),IF(L35&lt;=1.5,IF(Y35&gt;=1.5,M35*G35*1.5,L35*G35*(Y35)),0)+IF(S35&lt;I35+0.4,0,IF(AND(Y35&lt;=1.5,L35&lt;=1.5),-V35,0))))</f>
        <v>0</v>
      </c>
      <c r="AD35" s="251">
        <f t="shared" ref="AD35:AD68" si="406">IF(Y35=0,0,IF(Y35=0.4,IF(L35&lt;=1.5,IF(OR(Z35+0.4&gt;=3,Z35+0.4&lt;1.5),0,L35*G35*0.4),0),IF(IF(L35&lt;=1.5,IF(Y35&gt;=3,M35*G35*1.5,L35*G35*(Y35-1.5)),0)&lt;0,0,IF(L35&lt;=1.5,IF(Y35&gt;=3,M35*G35*1.5,L35*G35*(Y35-1.5)),0))+IF(S35&lt;I35+0.4,0,IF(AND(Y35&lt;=3,L35&lt;=1.5),-V35,0))))</f>
        <v>0</v>
      </c>
      <c r="AE35" s="251">
        <f t="shared" ref="AE35:AE68" si="407">IF(Y35=0,0,IF(Y35=0.4,IF(L35&lt;=1.5,IF(OR(Z35+0.4&gt;=4.5,Z35+0.4&lt;3),0,L35*G35*0.4),0),IF(IF(L35&lt;=1.5,IF(Y35&gt;=4.5,M35*G35*1.5,L35*G35*(Y35-3)),0)&lt;0,0,IF(L35&lt;=1.5,IF(Y35&gt;=4.5,M35*G35*1.5,L35*G35*(Y35-3)),0))+IF(S35&lt;I35+0.4,0,IF(AND(Y35&lt;=4.5,L35&lt;=1.5),-V35,0))))</f>
        <v>0</v>
      </c>
      <c r="AF35" s="251">
        <f t="shared" ref="AF35:AF68" si="408">IF(L35&lt;=1.5,IF(Z35&gt;=1.5,M35*G35*1.5,L35*G35*Z35),0)+IF(S35&lt;I35,0,IF(AND(Z35&lt;=1.5,L35&lt;=1.5),-V35,0))</f>
        <v>8.3999999999999986</v>
      </c>
      <c r="AG35" s="251">
        <f t="shared" ref="AG35:AG68" si="409">IF(IF(L35&lt;=1.5,IF(Z35&gt;=3,M35*G35*1.5,L35*G35*(Z35-1.5)),0)&lt;0,0,IF(L35&lt;=1.5,IF(Z35&gt;=3,M35*G35*1.5,L35*G35*(Z35-1.5)),0))+IF(S35&lt;I35,0,IF(AND(Z35&lt;=3,L35&lt;=1.5),-V35,0))</f>
        <v>1.5007999999999999</v>
      </c>
      <c r="AH35" s="251">
        <f t="shared" ref="AH35:AH68" si="410">IF(IF(L35&lt;=1.5,IF(Z35&gt;=4.5,M35*G35*1.5,L35*G35*(Z35-3)),0)&lt;0,0,IF(L35&lt;=1.5,IF(Z35&gt;=4.5,M35*G35*1.5,L35*G35*(Z35-3)),0))+IF(S35&lt;I35,0,IF(AND(Z35&lt;=4.5,Z35&gt;3,L35&lt;=1.5),-V35,0))</f>
        <v>0</v>
      </c>
      <c r="AI35" s="497" t="str">
        <f t="shared" ref="AI35:AI68" si="411">IF(I35&gt;S35,"SIM","NÃO")</f>
        <v>NÃO</v>
      </c>
      <c r="AJ35" s="253">
        <f t="shared" ref="AJ35:AJ68" si="412">W35-SUM(AC35:AH35)</f>
        <v>0</v>
      </c>
      <c r="AK35" s="253">
        <f t="shared" ref="AK35:AK68" si="413">IF(I35-T35&lt;0,0,(I35-T35)*G35)/75</f>
        <v>0</v>
      </c>
      <c r="AL35" s="253">
        <f t="shared" ref="AL35:AL68" si="414">IF(L35=0,0,G35*L35*I35-PI()*(H35/1000)*(H35/1000)/4*G35+AO35)</f>
        <v>9.197083245595886</v>
      </c>
      <c r="AM35" s="241">
        <f t="shared" ref="AM35:AM68" si="415">IF(L35&lt;1.5,L35*G35*IF(H35&lt;=500,0.05,IF(H35&lt;=800,0.1,IF(H35&lt;=1200,0.15,IF(H35&gt;=1500,0.2)))),0)</f>
        <v>0.27999999999999997</v>
      </c>
      <c r="AN35" s="246">
        <f t="shared" ref="AN35:AN68" si="416">IF(L35&gt;=1.5,L35*G35*IF(H35&lt;=500,0.05,IF(H35&lt;=800,0.1,IF(H35&lt;=1200,0.15,IF(H35&gt;=1500,0.2)))),0)</f>
        <v>0</v>
      </c>
      <c r="AO35" s="253">
        <f t="shared" ref="AO35:AO68" si="417">IF(R35=1,0.4*G35*L35,0)</f>
        <v>0</v>
      </c>
      <c r="AP35" s="253">
        <f t="shared" ref="AP35:AP68" si="418">IF(AO35&lt;SUM(AF35:AH35),0,AO35)</f>
        <v>0</v>
      </c>
      <c r="AQ35" s="253">
        <f t="shared" ref="AQ35:AQ68" si="419">H35/1000+0.3</f>
        <v>0.7</v>
      </c>
      <c r="AR35" s="253">
        <f t="shared" ref="AR35:AR68" si="420">IF(D35&lt;&gt;"PROJETADA",0,AQ35*L35*G35-PI()*(H35/1000*H35/1000)/4*G35)</f>
        <v>3.2162832455958856</v>
      </c>
      <c r="AS35" s="253">
        <f t="shared" ref="AS35:AS68" si="421">IF(AR35&lt;SUM(AF35:AH35),0,AR35)</f>
        <v>0</v>
      </c>
      <c r="AT35" s="253">
        <f t="shared" ref="AT35:AT68" si="422">IF(P35="ASFALTO",0.15*G35*L35,0)</f>
        <v>0.84</v>
      </c>
      <c r="AU35" s="253">
        <f t="shared" ref="AU35:AU68" si="423">AT35</f>
        <v>0.84</v>
      </c>
      <c r="AV35" s="253">
        <f t="shared" ref="AV35:AV68" si="424">IF(P35="ASFALTO",0.03*G35*L35,0)</f>
        <v>0.16799999999999998</v>
      </c>
      <c r="AW35" s="253">
        <f t="shared" ref="AW35:AW68" si="425">AL35-AO35-SUM(AM35:AN35)-AT35-AU35-AR35</f>
        <v>4.0208000000000013</v>
      </c>
      <c r="AX35" s="253">
        <f t="shared" ref="AX35:AX68" si="426">SUM(AF35:AH35)-AO35-AT35-AR35</f>
        <v>5.844516754404113</v>
      </c>
      <c r="AY35" s="253">
        <f t="shared" ref="AY35:AY68" si="427">SMALL(AW35:AX35,1)</f>
        <v>4.0208000000000013</v>
      </c>
      <c r="AZ35" s="253">
        <f t="shared" ref="AZ35:AZ68" si="428">AW35-AY35</f>
        <v>0</v>
      </c>
      <c r="BA35" s="253">
        <f t="shared" ref="BA35:BA68" si="429">IF($AZ$69&gt;$BA$71,($BA$71/$AZ$69)*AZ35,AZ35)</f>
        <v>0</v>
      </c>
      <c r="BB35" s="253">
        <f t="shared" ref="BB35:BB68" si="430">AZ35-BA35</f>
        <v>0</v>
      </c>
      <c r="BC35" s="253"/>
      <c r="BD35" s="253">
        <f t="shared" ref="BD35:BD68" si="431">IF(AO35+AT35&gt;0,4%*(AO35+AT35),0)</f>
        <v>3.3599999999999998E-2</v>
      </c>
      <c r="BE35" s="496">
        <f t="shared" ref="BE35:BE68" si="432">IF(H35=400,I35,0)</f>
        <v>1.768</v>
      </c>
      <c r="BF35" s="498">
        <f t="shared" ref="BF35:BF68" si="433">IF(BE35&lt;=1.75,G35*IF(D35="PROJETADA",1,0),0)</f>
        <v>0</v>
      </c>
      <c r="BG35" s="498">
        <f t="shared" ref="BG35:BG68" si="434">IF(AND(BE35&lt;=3,BE35&gt;1.75),IF(D35="PROJETADA",1,0)*G35,0)</f>
        <v>5.6</v>
      </c>
      <c r="BH35" s="495" t="str">
        <f>VLOOKUP(A35,'BOCA DE LOBO'!C:I,7,0)</f>
        <v>BOCA DE LOBO PROJETADA DUPLA</v>
      </c>
      <c r="BI35" s="253">
        <f t="shared" ref="BI35:BI68" si="435">IF(BH35=$BI$4,1,0)</f>
        <v>0</v>
      </c>
      <c r="BJ35" s="253">
        <f t="shared" ref="BJ35:BJ68" si="436">IF(BH35=$BJ$4,1,0)</f>
        <v>0</v>
      </c>
      <c r="BK35" s="253">
        <f t="shared" ref="BK35:BK68" si="437">IF(BH35=$BK$4,1,0)</f>
        <v>0</v>
      </c>
      <c r="BL35" s="253">
        <f t="shared" ref="BL35:BL68" si="438">IF(BH35=$BL$4,1,0)</f>
        <v>0</v>
      </c>
      <c r="BM35" s="253">
        <f t="shared" ref="BM35:BM68" si="439">IF(BH35=$BM$4,1,0)</f>
        <v>0</v>
      </c>
      <c r="BN35" s="253">
        <f t="shared" ref="BN35:BN68" si="440">IF(BH35=$BN$4,1,0)</f>
        <v>1</v>
      </c>
      <c r="BO35" s="253">
        <f t="shared" ref="BO35:BO68" si="441">IF(BH35=$BO$4,1,0)</f>
        <v>0</v>
      </c>
      <c r="BP35" s="500"/>
      <c r="BQ35" s="496">
        <f t="shared" ref="BQ35:BQ68" si="442">IF(L35&lt;=1.5,IF(I35+IF(R35=1,0.5,0)&lt;1.5,(I35+IF(R35=1,0.5,0))*G35*2,G35*2*1.5),0)</f>
        <v>16.799999999999997</v>
      </c>
      <c r="BR35" s="496">
        <f t="shared" ref="BR35:BR68" si="443">IF(L35&lt;=1.5,IF(AND(I35+IF(R35=1,0.5,0)&lt;3,I35+IF(R35=1,0.5,0)&gt;1.5),(I35+IF(R35=1,0.5,0)-1.5)*G35*2,IF(I35+IF(R35=1,0.5,0)&gt;=3,(G35*2*1.5),0)),0)</f>
        <v>3.0015999999999998</v>
      </c>
      <c r="BS35" s="496">
        <f t="shared" ref="BS35:BS68" si="444">IF(L35&lt;=1.5,IF(AND(I35+IF(R35=1,0.5,0)&lt;4.5,I35+IF(R35=1,0.5,0)&gt;3),(I35+IF(R35=1,0.5,0)-3)*G35*2,IF(I35+IF(R35=1,0.5,0)&gt;=4.5,(G35*2*1.5),0)),0)</f>
        <v>0</v>
      </c>
      <c r="BV35" s="502">
        <f t="shared" ref="BV35:BV68" si="445">IF(OR("BOCA DE LOBO EXISTENTE TRIPLA"=BH35,"BOCA DE LOBO EXISTENTE SIMPLES"=BH35,"BOCA DE LOBO EXISTENTE DUPLA"=BH35),0,IF("BOCA DE LOBO PROJETADA DUPLA"=BH35,(2.57+1)*(1.18+1),IF(OR("BOCA DE LOBO DUPLA EXISTENTE COM BOCA DE LOBO SIMPLES PROJETADA"=BH35,"BOCA DE LOBO SIMPLES EXISTENTE COM BOCA DE LOBO SIMPLES PROJETADA"=BH35),(1.18+0.5)*(1.18+1),IF(OR(BH35="BOCA DE LOBO DUPLA EXISTENTE COM BOCA DE LOBO DUPLA PROJETADA",BH35="BOCA DE LOBO SIMPLES EXISTENTE COM BOCA DE LOBO DUPLA PROJETADA"),(2.38+0.5)*(1.18+1),IF("BOCA DE LOBO PROJETADA TRIPLA"=BH35,(3.76+1)*(1.18+1),"X")))))*(E35+IF(CA35&gt;0,0.5,0))</f>
        <v>11.876247599999997</v>
      </c>
      <c r="BW35" s="502">
        <f t="shared" ref="BW35:BW68" si="446">IF(OR("BOCA DE LOBO EXISTENTE TRIPLA"=BH35,"BOCA DE LOBO EXISTENTE SIMPLES"=BH35,"BOCA DE LOBO EXISTENTE DUPLA"=BH35),0,IF("BOCA DE LOBO PROJETADA DUPLA"=BH35,(2.57+1)*(1.18+1),IF(OR("BOCA DE LOBO DUPLA EXISTENTE COM BOCA DE LOBO SIMPLES PROJETADA"=BH35,"BOCA DE LOBO SIMPLES EXISTENTE COM BOCA DE LOBO SIMPLES PROJETADA"=BH35),(1.18+1)*(1.18+0.5),IF(OR(BH35="BOCA DE LOBO DUPLA EXISTENTE COM BOCA DE LOBO DUPLA PROJETADA",BH35="BOCA DE LOBO SIMPLES EXISTENTE COM BOCA DE LOBO DUPLA PROJETADA"),(2.38+0.5)*(1.18+1),IF("BOCA DE LOBO PROJETADA TRIPLA"=BH35,(3.76+0.5*2)*(1.18+1),"X")))))</f>
        <v>7.7825999999999986</v>
      </c>
      <c r="BX35" s="502">
        <f t="shared" ref="BX35:BX68" si="447">IF(OR("BOCA DE LOBO EXISTENTE TRIPLA"=BH35,"BOCA DE LOBO EXISTENTE SIMPLES"=BH35,"BOCA DE LOBO EXISTENTE DUPLA"=BH35),0,IF("BOCA DE LOBO PROJETADA DUPLA"=BH35,(2.57)*(1.18),IF(OR("BOCA DE LOBO DUPLA EXISTENTE COM BOCA DE LOBO SIMPLES PROJETADA"=BH35,"BOCA DE LOBO SIMPLES EXISTENTE COM BOCA DE LOBO SIMPLES PROJETADA"=BH35),(1.18)*(1.18),IF(OR(BH35="BOCA DE LOBO DUPLA EXISTENTE COM BOCA DE LOBO DUPLA PROJETADA",BH35="BOCA DE LOBO SIMPLES EXISTENTE COM BOCA DE LOBO DUPLA PROJETADA"),(2.38)*(1.18),IF("BOCA DE LOBO PROJETADA TRIPLA"=BH35,(3.76)*(1.18),"X")))))</f>
        <v>3.0325999999999995</v>
      </c>
      <c r="BY35" s="502">
        <f t="shared" ref="BY35:BY68" si="448">E35</f>
        <v>1.526</v>
      </c>
      <c r="BZ35" s="502">
        <f t="shared" ref="BZ35:BZ68" si="449">IF(Y35&gt;0.5,0,IF(S35&lt;E35,S35,E35))</f>
        <v>1.526</v>
      </c>
      <c r="CA35" s="502">
        <f t="shared" ref="CA35:CA68" si="450">IF(Y35&gt;0.4,BY35+0.4,Y35)</f>
        <v>0</v>
      </c>
      <c r="CB35" s="502">
        <f t="shared" ref="CB35:CB68" si="451">IF(S35&gt;E35,0,E35-S35)</f>
        <v>0</v>
      </c>
      <c r="CC35" s="502">
        <f t="shared" ref="CC35:CC68" si="452">IF(BZ35&gt;1.5,BW35*1.5,BW35*BZ35)</f>
        <v>11.673899999999998</v>
      </c>
      <c r="CD35" s="502">
        <f t="shared" ref="CD35:CD68" si="453">IF(BZ35&gt;1.5,BW35*(BZ35-1.5),0)</f>
        <v>0.20234760000000016</v>
      </c>
      <c r="CE35" s="502">
        <f t="shared" ref="CE35:CE68" si="454">IF(CA35=0.4,IF(BZ35+CA35&gt;1.5,0,CA35*BW35),IF(CA35&gt;1.5,BW35*1.5,BW35*CA35))</f>
        <v>0</v>
      </c>
      <c r="CF35" s="502">
        <f t="shared" ref="CF35:CF68" si="455">IF(CA35=0.4,IF(BZ35+CA35&lt;=1.5,0,CA35*BW35),IF(CA35&gt;1.5,BW35*(CA35-1.5),0))</f>
        <v>0</v>
      </c>
      <c r="CG35" s="502">
        <f t="shared" ref="CG35:CG68" si="456">BV35-SUM(CC35:CF35)</f>
        <v>0</v>
      </c>
      <c r="CH35" s="502">
        <f t="shared" ref="CH35:CH68" si="457">SUM(CC35:CG35)-BV35</f>
        <v>0</v>
      </c>
      <c r="CI35" s="253">
        <f t="shared" ref="CI35:CI68" si="458">IF(OR("BOCA DE LOBO EXISTENTE TRIPLA"=BH35,"BOCA DE LOBO EXISTENTE SIMPLES"=BH35,"BOCA DE LOBO EXISTENTE DUPLA"=BH35),0,IF("BOCA DE LOBO PROJETADA DUPLA"=BH35,(2.57+1)*(0.5),IF(OR("BOCA DE LOBO DUPLA EXISTENTE COM BOCA DE LOBO SIMPLES PROJETADA"=BH35,"BOCA DE LOBO SIMPLES EXISTENTE COM BOCA DE LOBO SIMPLES PROJETADA"=BH35),(1.18+0.5)*(0.5),IF(OR(BH35="BOCA DE LOBO DUPLA EXISTENTE COM BOCA DE LOBO DUPLA PROJETADA",BH35="BOCA DE LOBO SIMPLES EXISTENTE COM BOCA DE LOBO DUPLA PROJETADA"),(2.38+0.5)*(0.5),IF("BOCA DE LOBO PROJETADA TRIPLA"=BH35,(3.76+1)*(0.5),"X")))))*0.3</f>
        <v>0.53549999999999998</v>
      </c>
      <c r="CJ35" s="502">
        <f t="shared" ref="CJ35:CJ68" si="459">(BW35-BX35)*(BY35+IF(CA35&gt;=0.4,0.4,0))-CI35</f>
        <v>6.7129999999999992</v>
      </c>
      <c r="CK35" s="502">
        <f t="shared" ref="CK35:CK68" si="460">IF($CK$71&gt;$CJ$69,CJ35,CJ35*$CK$71/$CJ$69)</f>
        <v>6.7129999999999992</v>
      </c>
      <c r="CL35" s="502">
        <f t="shared" ref="CL35:CL68" si="461">CJ35-CK35</f>
        <v>0</v>
      </c>
      <c r="CM35" s="502">
        <f t="shared" ref="CM35:CM68" si="462">IF(CA35&gt;0,0.5*4%*BW35,0)</f>
        <v>0</v>
      </c>
      <c r="CN35" s="502">
        <f t="shared" ref="CN35:CN68" si="463">IF(OR("BOCA DE LOBO EXISTENTE TRIPLA"=BH35,"BOCA DE LOBO EXISTENTE SIMPLES"=BH35,"BOCA DE LOBO EXISTENTE DUPLA"=BH35),0,IF("BOCA DE LOBO PROJETADA DUPLA"=BH35,(2.57+1),IF(OR("BOCA DE LOBO DUPLA EXISTENTE COM BOCA DE LOBO SIMPLES PROJETADA"=BH35,"BOCA DE LOBO SIMPLES EXISTENTE COM BOCA DE LOBO SIMPLES PROJETADA"=BH35),(1.18+0.5),IF(OR(BH35="BOCA DE LOBO DUPLA EXISTENTE COM BOCA DE LOBO DUPLA PROJETADA",BH35="BOCA DE LOBO SIMPLES EXISTENTE COM BOCA DE LOBO DUPLA PROJETADA"),(2.38+0.5),IF("BOCA DE LOBO PROJETADA TRIPLA"=BH35,(3.76+0.5*2),"X")))))</f>
        <v>3.57</v>
      </c>
      <c r="CO35" s="502">
        <f t="shared" ref="CO35:CO68" si="464">IF(CA35&gt;0,BY35+0.5,BY35)</f>
        <v>1.526</v>
      </c>
      <c r="CP35" s="502">
        <f t="shared" ref="CP35:CP68" si="465">IF(CO35&gt;=1.5,CN35*1.5*2,CN35*CO35*2)</f>
        <v>10.709999999999999</v>
      </c>
      <c r="CQ35" s="502">
        <f t="shared" ref="CQ35:CQ68" si="466">IF(CO35&lt;=1.5,0,IF(CO35&gt;=3,CN35*1.5*2,CN35*(CO35-1.5)*2))</f>
        <v>0.18564000000000017</v>
      </c>
      <c r="CR35" s="220">
        <f t="shared" ref="CR35:CR68" si="467">IF(D35="AMPLIADA",0.55*(E35-0.5),0)</f>
        <v>0</v>
      </c>
      <c r="CS35" s="503">
        <f t="shared" ref="CS35:CS68" si="468">IF(OR("BOCA DE LOBO EXISTENTE TRIPLA"=BH35,"BOCA DE LOBO EXISTENTE SIMPLES"=BH35,"BOCA DE LOBO EXISTENTE DUPLA"=BH35),0,IF("BOCA DE LOBO PROJETADA DUPLA"=BH35,(0),IF(OR("BOCA DE LOBO DUPLA EXISTENTE COM BOCA DE LOBO SIMPLES PROJETADA"=BH35,"BOCA DE LOBO SIMPLES EXISTENTE COM BOCA DE LOBO SIMPLES PROJETADA"=BH35),(0.8*0.15*0.17),IF(OR(BH35="BOCA DE LOBO DUPLA EXISTENTE COM BOCA DE LOBO DUPLA PROJETADA",BH35="BOCA DE LOBO SIMPLES EXISTENTE COM BOCA DE LOBO DUPLA PROJETADA"),(0.8*0.15*0.17),IF("BOCA DE LOBO PROJETADA TRIPLA"=BH35,(0),"X")))))*E35</f>
        <v>0</v>
      </c>
      <c r="CT35" s="503">
        <f t="shared" ref="CT35:CT68" si="469">IF(OR("BOCA DE LOBO EXISTENTE TRIPLA"=BH35,"BOCA DE LOBO EXISTENTE SIMPLES"=BH35,"BOCA DE LOBO EXISTENTE DUPLA"=BH35),0,IF("BOCA DE LOBO PROJETADA DUPLA"=BH35,(1.18*2.57*0.05),IF(OR("BOCA DE LOBO DUPLA EXISTENTE COM BOCA DE LOBO SIMPLES PROJETADA"=BH35,"BOCA DE LOBO SIMPLES EXISTENTE COM BOCA DE LOBO SIMPLES PROJETADA"=BH35),(1.19*1.18*0.05),IF(OR(BH35="BOCA DE LOBO DUPLA EXISTENTE COM BOCA DE LOBO DUPLA PROJETADA",BH35="BOCA DE LOBO SIMPLES EXISTENTE COM BOCA DE LOBO DUPLA PROJETADA"),(2.38*1.18*0.056),IF("BOCA DE LOBO PROJETADA TRIPLA"=BH35,(3.76*1.18*0.05),"X")))))+CI35/3</f>
        <v>0.33012999999999998</v>
      </c>
      <c r="CU35" s="504">
        <f t="shared" ref="CU35:CU68" si="470">IF(OR("BOCA DE LOBO EXISTENTE TRIPLA"=BH35,"BOCA DE LOBO EXISTENTE SIMPLES"=BH35,"BOCA DE LOBO EXISTENTE DUPLA"=BH35),0,IF("BOCA DE LOBO PROJETADA DUPLA"=BH35,(1*4+0.6*2),IF(OR("BOCA DE LOBO DUPLA EXISTENTE COM BOCA DE LOBO SIMPLES PROJETADA"=BH35,"BOCA DE LOBO SIMPLES EXISTENTE COM BOCA DE LOBO SIMPLES PROJETADA"=BH35),(1*2+0.6),IF(OR(BH35="BOCA DE LOBO DUPLA EXISTENTE COM BOCA DE LOBO DUPLA PROJETADA",BH35="BOCA DE LOBO SIMPLES EXISTENTE COM BOCA DE LOBO DUPLA PROJETADA"),(1*4+0.6),IF("BOCA DE LOBO PROJETADA TRIPLA"=BH35,(6*1+0.6*2),"X")))))*E35</f>
        <v>7.9352</v>
      </c>
      <c r="CV35" s="504">
        <f t="shared" ref="CV35:CV68" si="471">IF(OR("BOCA DE LOBO EXISTENTE TRIPLA"=BH35,"BOCA DE LOBO EXISTENTE SIMPLES"=BH35,"BOCA DE LOBO EXISTENTE DUPLA"=BH35),0,IF("BOCA DE LOBO PROJETADA DUPLA"=BH35,(12*E35*0.17*0.15+1*0.17*0.15*5+1.09*0.6*0.07*2+2.57*1.18*0.15),IF(OR("BOCA DE LOBO DUPLA EXISTENTE COM BOCA DE LOBO SIMPLES PROJETADA"=BH35,"BOCA DE LOBO SIMPLES EXISTENTE COM BOCA DE LOBO SIMPLES PROJETADA"=BH35),(8*E35*0.17*0.15+1*0.17*0.15*4+1.09*0.6*0.07*1+1.38*1.18*0.15),IF(OR(BH35="BOCA DE LOBO DUPLA EXISTENTE COM BOCA DE LOBO DUPLA PROJETADA",BH35="BOCA DE LOBO SIMPLES EXISTENTE COM BOCA DE LOBO DUPLA PROJETADA"),(7*E35*0.17*0.15+1*0.17*0.15*5+1.09*0.6*0.07*2+2.38*1.18*0.15),IF("BOCA DE LOBO PROJETADA TRIPLA"=BH35,(15*E35*0.17*0.15+1*0.17*0.15*7+1.09*0.6*0.07*3+3.76*1.18*0.15),"X")))))</f>
        <v>1.140906</v>
      </c>
      <c r="CW35" s="502">
        <f t="shared" ref="CW35:CW68" si="472">IF(OR("BOCA DE LOBO EXISTENTE TRIPLA"=BH35,"BOCA DE LOBO EXISTENTE SIMPLES"=BH35,"BOCA DE LOBO EXISTENTE DUPLA"=BH35),0,IF("BOCA DE LOBO PROJETADA DUPLA"=BH35,(12*E35*2*(0.17+0.15)+1*(2*0.17+0.15)*5+2*(2.57+1.18)*0.15+(1.09+0.6)*2*0.07*2),IF(OR("BOCA DE LOBO DUPLA EXISTENTE COM BOCA DE LOBO SIMPLES PROJETADA"=BH35,"BOCA DE LOBO SIMPLES EXISTENTE COM BOCA DE LOBO SIMPLES PROJETADA"=BH35),(8*E35*2*(0.17+0.15)+1*(2*0.17+0.15)*4+2*(1.38+1.18)*0.15+(1.09+0.6)*2*0.07*1),IF(OR(BH35="BOCA DE LOBO DUPLA EXISTENTE COM BOCA DE LOBO DUPLA PROJETADA",BH35="BOCA DE LOBO SIMPLES EXISTENTE COM BOCA DE LOBO DUPLA PROJETADA"),(7*E35*2*(0.17+0.15)+1*(2*0.17+0.15)*5+2*(2.38+1.18)*0.15+(1.09+0.6)*2*0.07*2),IF("BOCA DE LOBO PROJETADA TRIPLA"=BH35,(15*E35*2*(0.17+0.15)+1*(2*0.17+0.15)*7+2*(3.76+1.18)*0.15+(1.09+0.6)*2*0.07*3),"X")))))</f>
        <v>15.76788</v>
      </c>
      <c r="CX35" s="253">
        <f t="shared" ref="CX35:CX68" si="473">IF(OR("BOCA DE LOBO EXISTENTE TRIPLA"=BH35,"BOCA DE LOBO EXISTENTE SIMPLES"=BH35,"BOCA DE LOBO EXISTENTE DUPLA"=BH35),0,IF("BOCA DE LOBO PROJETADA DUPLA"=BH35,(2.57+1),IF(OR("BOCA DE LOBO DUPLA EXISTENTE COM BOCA DE LOBO SIMPLES PROJETADA"=BH35,"BOCA DE LOBO SIMPLES EXISTENTE COM BOCA DE LOBO SIMPLES PROJETADA"=BH35),(1.18+0.5),IF(OR(BH35="BOCA DE LOBO DUPLA EXISTENTE COM BOCA DE LOBO DUPLA PROJETADA",BH35="BOCA DE LOBO SIMPLES EXISTENTE COM BOCA DE LOBO DUPLA PROJETADA"),(2.38+0.5),IF("BOCA DE LOBO PROJETADA TRIPLA"=BH35,(3.76+1),"X")))))</f>
        <v>3.57</v>
      </c>
      <c r="CY35" s="505">
        <f t="shared" ref="CY35:CY68" si="474">CX35*0.5</f>
        <v>1.7849999999999999</v>
      </c>
      <c r="CZ35" s="502">
        <f t="shared" ref="CZ35:CZ68" si="475">IF(AND(C35="EXISTENTE",D35="PROJETADA"),PI()*0.51*0.51/4*0.12,0)</f>
        <v>2.4513847475961154E-2</v>
      </c>
    </row>
    <row r="36" spans="1:104" s="501" customFormat="1" ht="25" x14ac:dyDescent="0.25">
      <c r="A36" s="291" t="str">
        <f>'BOCA DE LOBO'!C39</f>
        <v>BL33-&gt;PV2-87</v>
      </c>
      <c r="B36" s="291" t="str">
        <f>'BOCA DE LOBO'!A39</f>
        <v>PV2-87</v>
      </c>
      <c r="C36" s="413" t="str">
        <f>VLOOKUP(A36,'BOCA DE LOBO'!$C$1:$Q$76,3,0)</f>
        <v>EXISTENTE</v>
      </c>
      <c r="D36" s="291" t="str">
        <f>VLOOKUP(A36,'BOCA DE LOBO'!$C$1:$Q$76,10,0)</f>
        <v>PROJETADA</v>
      </c>
      <c r="E36" s="413">
        <f t="shared" si="391"/>
        <v>1.3800000000000092</v>
      </c>
      <c r="F36" s="291">
        <f>VLOOKUP(A36,'BOCA DE LOBO'!$C$1:$Q$76,2,0)</f>
        <v>1.7400000000000091</v>
      </c>
      <c r="G36" s="291">
        <f>VLOOKUP(A36,'BOCA DE LOBO'!$C$1:$Q$76,4,0)</f>
        <v>9</v>
      </c>
      <c r="H36" s="238">
        <v>400</v>
      </c>
      <c r="I36" s="493">
        <f t="shared" si="392"/>
        <v>1.6900000000000093</v>
      </c>
      <c r="J36" s="241">
        <f t="shared" si="393"/>
        <v>0.76050000000000417</v>
      </c>
      <c r="K36" s="494">
        <v>0</v>
      </c>
      <c r="L36" s="253">
        <f t="shared" si="394"/>
        <v>1</v>
      </c>
      <c r="M36" s="253">
        <f t="shared" si="395"/>
        <v>1</v>
      </c>
      <c r="N36" s="253">
        <f t="shared" si="396"/>
        <v>0</v>
      </c>
      <c r="O36" s="253">
        <f t="shared" si="306"/>
        <v>9</v>
      </c>
      <c r="P36" s="495" t="s">
        <v>2392</v>
      </c>
      <c r="Q36" s="495" t="s">
        <v>2990</v>
      </c>
      <c r="R36" s="507"/>
      <c r="S36" s="495">
        <v>2.4</v>
      </c>
      <c r="T36" s="495">
        <v>5</v>
      </c>
      <c r="U36" s="253">
        <f t="shared" si="397"/>
        <v>0.05</v>
      </c>
      <c r="V36" s="246">
        <f t="shared" si="398"/>
        <v>0</v>
      </c>
      <c r="W36" s="246">
        <f t="shared" si="399"/>
        <v>15.210000000000083</v>
      </c>
      <c r="X36" s="247">
        <f t="shared" si="400"/>
        <v>0</v>
      </c>
      <c r="Y36" s="247">
        <f t="shared" si="401"/>
        <v>0</v>
      </c>
      <c r="Z36" s="247">
        <f t="shared" si="402"/>
        <v>1.6900000000000093</v>
      </c>
      <c r="AA36" s="247">
        <f t="shared" si="403"/>
        <v>0</v>
      </c>
      <c r="AB36" s="496">
        <f t="shared" si="404"/>
        <v>9</v>
      </c>
      <c r="AC36" s="251">
        <f t="shared" si="405"/>
        <v>0</v>
      </c>
      <c r="AD36" s="251">
        <f t="shared" si="406"/>
        <v>0</v>
      </c>
      <c r="AE36" s="251">
        <f t="shared" si="407"/>
        <v>0</v>
      </c>
      <c r="AF36" s="251">
        <f t="shared" si="408"/>
        <v>13.5</v>
      </c>
      <c r="AG36" s="251">
        <f t="shared" si="409"/>
        <v>1.7100000000000835</v>
      </c>
      <c r="AH36" s="251">
        <f t="shared" si="410"/>
        <v>0</v>
      </c>
      <c r="AI36" s="497" t="str">
        <f t="shared" si="411"/>
        <v>NÃO</v>
      </c>
      <c r="AJ36" s="253">
        <f t="shared" si="412"/>
        <v>0</v>
      </c>
      <c r="AK36" s="253">
        <f t="shared" si="413"/>
        <v>0</v>
      </c>
      <c r="AL36" s="253">
        <f t="shared" si="414"/>
        <v>14.079026644707756</v>
      </c>
      <c r="AM36" s="241">
        <f t="shared" si="415"/>
        <v>0.45</v>
      </c>
      <c r="AN36" s="246">
        <f t="shared" si="416"/>
        <v>0</v>
      </c>
      <c r="AO36" s="253">
        <f t="shared" si="417"/>
        <v>0</v>
      </c>
      <c r="AP36" s="253">
        <f t="shared" si="418"/>
        <v>0</v>
      </c>
      <c r="AQ36" s="253">
        <f t="shared" si="419"/>
        <v>0.7</v>
      </c>
      <c r="AR36" s="253">
        <f t="shared" si="420"/>
        <v>5.1690266447076745</v>
      </c>
      <c r="AS36" s="253">
        <f t="shared" si="421"/>
        <v>0</v>
      </c>
      <c r="AT36" s="253">
        <f t="shared" si="422"/>
        <v>1.3499999999999999</v>
      </c>
      <c r="AU36" s="253">
        <f t="shared" si="423"/>
        <v>1.3499999999999999</v>
      </c>
      <c r="AV36" s="253">
        <f t="shared" si="424"/>
        <v>0.27</v>
      </c>
      <c r="AW36" s="253">
        <f t="shared" si="425"/>
        <v>5.7600000000000833</v>
      </c>
      <c r="AX36" s="253">
        <f t="shared" si="426"/>
        <v>8.6909733552924084</v>
      </c>
      <c r="AY36" s="253">
        <f t="shared" si="427"/>
        <v>5.7600000000000833</v>
      </c>
      <c r="AZ36" s="253">
        <f t="shared" si="428"/>
        <v>0</v>
      </c>
      <c r="BA36" s="253">
        <f t="shared" si="429"/>
        <v>0</v>
      </c>
      <c r="BB36" s="253">
        <f t="shared" si="430"/>
        <v>0</v>
      </c>
      <c r="BC36" s="253"/>
      <c r="BD36" s="253">
        <f t="shared" si="431"/>
        <v>5.3999999999999992E-2</v>
      </c>
      <c r="BE36" s="496">
        <f t="shared" si="432"/>
        <v>1.6900000000000093</v>
      </c>
      <c r="BF36" s="498">
        <f t="shared" si="433"/>
        <v>9</v>
      </c>
      <c r="BG36" s="498">
        <f t="shared" si="434"/>
        <v>0</v>
      </c>
      <c r="BH36" s="495" t="str">
        <f>VLOOKUP(A36,'BOCA DE LOBO'!C:I,7,0)</f>
        <v>BOCA DE LOBO PROJETADA DUPLA</v>
      </c>
      <c r="BI36" s="253">
        <f t="shared" si="435"/>
        <v>0</v>
      </c>
      <c r="BJ36" s="253">
        <f t="shared" si="436"/>
        <v>0</v>
      </c>
      <c r="BK36" s="253">
        <f t="shared" si="437"/>
        <v>0</v>
      </c>
      <c r="BL36" s="253">
        <f t="shared" si="438"/>
        <v>0</v>
      </c>
      <c r="BM36" s="253">
        <f t="shared" si="439"/>
        <v>0</v>
      </c>
      <c r="BN36" s="253">
        <f t="shared" si="440"/>
        <v>1</v>
      </c>
      <c r="BO36" s="253">
        <f t="shared" si="441"/>
        <v>0</v>
      </c>
      <c r="BP36" s="500"/>
      <c r="BQ36" s="496">
        <f t="shared" si="442"/>
        <v>27</v>
      </c>
      <c r="BR36" s="496">
        <f t="shared" si="443"/>
        <v>3.4200000000001669</v>
      </c>
      <c r="BS36" s="496">
        <f t="shared" si="444"/>
        <v>0</v>
      </c>
      <c r="BV36" s="502">
        <f t="shared" si="445"/>
        <v>10.73998800000007</v>
      </c>
      <c r="BW36" s="502">
        <f t="shared" si="446"/>
        <v>7.7825999999999986</v>
      </c>
      <c r="BX36" s="502">
        <f t="shared" si="447"/>
        <v>3.0325999999999995</v>
      </c>
      <c r="BY36" s="502">
        <f t="shared" si="448"/>
        <v>1.3800000000000092</v>
      </c>
      <c r="BZ36" s="502">
        <f t="shared" si="449"/>
        <v>1.3800000000000092</v>
      </c>
      <c r="CA36" s="502">
        <f t="shared" si="450"/>
        <v>0</v>
      </c>
      <c r="CB36" s="502">
        <f t="shared" si="451"/>
        <v>0</v>
      </c>
      <c r="CC36" s="502">
        <f t="shared" si="452"/>
        <v>10.73998800000007</v>
      </c>
      <c r="CD36" s="502">
        <f t="shared" si="453"/>
        <v>0</v>
      </c>
      <c r="CE36" s="502">
        <f t="shared" si="454"/>
        <v>0</v>
      </c>
      <c r="CF36" s="502">
        <f t="shared" si="455"/>
        <v>0</v>
      </c>
      <c r="CG36" s="502">
        <f t="shared" si="456"/>
        <v>0</v>
      </c>
      <c r="CH36" s="502">
        <f t="shared" si="457"/>
        <v>0</v>
      </c>
      <c r="CI36" s="253">
        <f t="shared" si="458"/>
        <v>0.53549999999999998</v>
      </c>
      <c r="CJ36" s="502">
        <f t="shared" si="459"/>
        <v>6.0195000000000425</v>
      </c>
      <c r="CK36" s="502">
        <f t="shared" si="460"/>
        <v>6.0195000000000425</v>
      </c>
      <c r="CL36" s="502">
        <f t="shared" si="461"/>
        <v>0</v>
      </c>
      <c r="CM36" s="502">
        <f t="shared" si="462"/>
        <v>0</v>
      </c>
      <c r="CN36" s="502">
        <f t="shared" si="463"/>
        <v>3.57</v>
      </c>
      <c r="CO36" s="502">
        <f t="shared" si="464"/>
        <v>1.3800000000000092</v>
      </c>
      <c r="CP36" s="502">
        <f t="shared" si="465"/>
        <v>9.853200000000065</v>
      </c>
      <c r="CQ36" s="502">
        <f t="shared" si="466"/>
        <v>0</v>
      </c>
      <c r="CR36" s="220">
        <f t="shared" si="467"/>
        <v>0</v>
      </c>
      <c r="CS36" s="503">
        <f t="shared" si="468"/>
        <v>0</v>
      </c>
      <c r="CT36" s="503">
        <f t="shared" si="469"/>
        <v>0.33012999999999998</v>
      </c>
      <c r="CU36" s="504">
        <f t="shared" si="470"/>
        <v>7.1760000000000481</v>
      </c>
      <c r="CV36" s="504">
        <f t="shared" si="471"/>
        <v>1.0962300000000027</v>
      </c>
      <c r="CW36" s="502">
        <f t="shared" si="472"/>
        <v>14.646600000000069</v>
      </c>
      <c r="CX36" s="253">
        <f t="shared" si="473"/>
        <v>3.57</v>
      </c>
      <c r="CY36" s="505">
        <f t="shared" si="474"/>
        <v>1.7849999999999999</v>
      </c>
      <c r="CZ36" s="502">
        <f t="shared" si="475"/>
        <v>2.4513847475961154E-2</v>
      </c>
    </row>
    <row r="37" spans="1:104" s="501" customFormat="1" ht="25" x14ac:dyDescent="0.25">
      <c r="A37" s="291" t="str">
        <f>'BOCA DE LOBO'!C40</f>
        <v>BL34-&gt;PV3-87</v>
      </c>
      <c r="B37" s="291" t="str">
        <f>'BOCA DE LOBO'!A40</f>
        <v>PV3-87</v>
      </c>
      <c r="C37" s="413" t="str">
        <f>VLOOKUP(A37,'BOCA DE LOBO'!$C$1:$Q$76,3,0)</f>
        <v>EXISTENTE</v>
      </c>
      <c r="D37" s="291" t="str">
        <f>VLOOKUP(A37,'BOCA DE LOBO'!$C$1:$Q$76,10,0)</f>
        <v>PROJETADA</v>
      </c>
      <c r="E37" s="413">
        <f t="shared" si="391"/>
        <v>1.4319999999999526</v>
      </c>
      <c r="F37" s="291">
        <f>VLOOKUP(A37,'BOCA DE LOBO'!$C$1:$Q$76,2,0)</f>
        <v>1.7519999999999527</v>
      </c>
      <c r="G37" s="291">
        <f>VLOOKUP(A37,'BOCA DE LOBO'!$C$1:$Q$76,4,0)</f>
        <v>8</v>
      </c>
      <c r="H37" s="238">
        <v>400</v>
      </c>
      <c r="I37" s="493">
        <f t="shared" si="392"/>
        <v>1.7219999999999527</v>
      </c>
      <c r="J37" s="241">
        <f t="shared" si="393"/>
        <v>0.68879999999998109</v>
      </c>
      <c r="K37" s="494">
        <v>0</v>
      </c>
      <c r="L37" s="253">
        <f t="shared" si="394"/>
        <v>1</v>
      </c>
      <c r="M37" s="253">
        <f t="shared" si="395"/>
        <v>1</v>
      </c>
      <c r="N37" s="253">
        <f t="shared" si="396"/>
        <v>0</v>
      </c>
      <c r="O37" s="253">
        <f t="shared" si="306"/>
        <v>8</v>
      </c>
      <c r="P37" s="495" t="s">
        <v>2392</v>
      </c>
      <c r="Q37" s="495" t="s">
        <v>2736</v>
      </c>
      <c r="R37" s="507"/>
      <c r="S37" s="495">
        <f>VLOOKUP(Q37,Quantitativos!P:R,3,0)</f>
        <v>2.4</v>
      </c>
      <c r="T37" s="495">
        <f>VLOOKUP(Q37,Quantitativos!P:S,4,0)</f>
        <v>5</v>
      </c>
      <c r="U37" s="253">
        <f t="shared" si="397"/>
        <v>0.05</v>
      </c>
      <c r="V37" s="246">
        <f t="shared" si="398"/>
        <v>0</v>
      </c>
      <c r="W37" s="246">
        <f t="shared" si="399"/>
        <v>13.775999999999621</v>
      </c>
      <c r="X37" s="247">
        <f t="shared" si="400"/>
        <v>0</v>
      </c>
      <c r="Y37" s="247">
        <f t="shared" si="401"/>
        <v>0</v>
      </c>
      <c r="Z37" s="247">
        <f t="shared" si="402"/>
        <v>1.7219999999999527</v>
      </c>
      <c r="AA37" s="247">
        <f t="shared" si="403"/>
        <v>0</v>
      </c>
      <c r="AB37" s="496">
        <f t="shared" si="404"/>
        <v>8</v>
      </c>
      <c r="AC37" s="251">
        <f t="shared" si="405"/>
        <v>0</v>
      </c>
      <c r="AD37" s="251">
        <f t="shared" si="406"/>
        <v>0</v>
      </c>
      <c r="AE37" s="251">
        <f t="shared" si="407"/>
        <v>0</v>
      </c>
      <c r="AF37" s="251">
        <f t="shared" si="408"/>
        <v>12</v>
      </c>
      <c r="AG37" s="251">
        <f t="shared" si="409"/>
        <v>1.7759999999996214</v>
      </c>
      <c r="AH37" s="251">
        <f t="shared" si="410"/>
        <v>0</v>
      </c>
      <c r="AI37" s="497" t="str">
        <f t="shared" si="411"/>
        <v>NÃO</v>
      </c>
      <c r="AJ37" s="253">
        <f t="shared" si="412"/>
        <v>0</v>
      </c>
      <c r="AK37" s="253">
        <f t="shared" si="413"/>
        <v>0</v>
      </c>
      <c r="AL37" s="253">
        <f t="shared" si="414"/>
        <v>12.770690350850888</v>
      </c>
      <c r="AM37" s="241">
        <f t="shared" si="415"/>
        <v>0.4</v>
      </c>
      <c r="AN37" s="246">
        <f t="shared" si="416"/>
        <v>0</v>
      </c>
      <c r="AO37" s="253">
        <f t="shared" si="417"/>
        <v>0</v>
      </c>
      <c r="AP37" s="253">
        <f t="shared" si="418"/>
        <v>0</v>
      </c>
      <c r="AQ37" s="253">
        <f t="shared" si="419"/>
        <v>0.7</v>
      </c>
      <c r="AR37" s="253">
        <f t="shared" si="420"/>
        <v>4.5946903508512662</v>
      </c>
      <c r="AS37" s="253">
        <f t="shared" si="421"/>
        <v>0</v>
      </c>
      <c r="AT37" s="253">
        <f t="shared" si="422"/>
        <v>1.2</v>
      </c>
      <c r="AU37" s="253">
        <f t="shared" si="423"/>
        <v>1.2</v>
      </c>
      <c r="AV37" s="253">
        <f t="shared" si="424"/>
        <v>0.24</v>
      </c>
      <c r="AW37" s="253">
        <f t="shared" si="425"/>
        <v>5.3759999999996229</v>
      </c>
      <c r="AX37" s="253">
        <f t="shared" si="426"/>
        <v>7.9813096491483559</v>
      </c>
      <c r="AY37" s="253">
        <f t="shared" si="427"/>
        <v>5.3759999999996229</v>
      </c>
      <c r="AZ37" s="253">
        <f t="shared" si="428"/>
        <v>0</v>
      </c>
      <c r="BA37" s="253">
        <f t="shared" si="429"/>
        <v>0</v>
      </c>
      <c r="BB37" s="253">
        <f t="shared" si="430"/>
        <v>0</v>
      </c>
      <c r="BC37" s="253"/>
      <c r="BD37" s="253">
        <f t="shared" si="431"/>
        <v>4.8000000000000001E-2</v>
      </c>
      <c r="BE37" s="496">
        <f t="shared" si="432"/>
        <v>1.7219999999999527</v>
      </c>
      <c r="BF37" s="498">
        <f t="shared" si="433"/>
        <v>8</v>
      </c>
      <c r="BG37" s="498">
        <f t="shared" si="434"/>
        <v>0</v>
      </c>
      <c r="BH37" s="495" t="str">
        <f>VLOOKUP(A37,'BOCA DE LOBO'!C:I,7,0)</f>
        <v>BOCA DE LOBO PROJETADA DUPLA</v>
      </c>
      <c r="BI37" s="253">
        <f t="shared" si="435"/>
        <v>0</v>
      </c>
      <c r="BJ37" s="253">
        <f t="shared" si="436"/>
        <v>0</v>
      </c>
      <c r="BK37" s="253">
        <f t="shared" si="437"/>
        <v>0</v>
      </c>
      <c r="BL37" s="253">
        <f t="shared" si="438"/>
        <v>0</v>
      </c>
      <c r="BM37" s="253">
        <f t="shared" si="439"/>
        <v>0</v>
      </c>
      <c r="BN37" s="253">
        <f t="shared" si="440"/>
        <v>1</v>
      </c>
      <c r="BO37" s="253">
        <f t="shared" si="441"/>
        <v>0</v>
      </c>
      <c r="BP37" s="500"/>
      <c r="BQ37" s="496">
        <f t="shared" si="442"/>
        <v>24</v>
      </c>
      <c r="BR37" s="496">
        <f t="shared" si="443"/>
        <v>3.5519999999992429</v>
      </c>
      <c r="BS37" s="496">
        <f t="shared" si="444"/>
        <v>0</v>
      </c>
      <c r="BV37" s="502">
        <f t="shared" si="445"/>
        <v>11.14468319999963</v>
      </c>
      <c r="BW37" s="502">
        <f t="shared" si="446"/>
        <v>7.7825999999999986</v>
      </c>
      <c r="BX37" s="502">
        <f t="shared" si="447"/>
        <v>3.0325999999999995</v>
      </c>
      <c r="BY37" s="502">
        <f t="shared" si="448"/>
        <v>1.4319999999999526</v>
      </c>
      <c r="BZ37" s="502">
        <f t="shared" si="449"/>
        <v>1.4319999999999526</v>
      </c>
      <c r="CA37" s="502">
        <f t="shared" si="450"/>
        <v>0</v>
      </c>
      <c r="CB37" s="502">
        <f t="shared" si="451"/>
        <v>0</v>
      </c>
      <c r="CC37" s="502">
        <f t="shared" si="452"/>
        <v>11.14468319999963</v>
      </c>
      <c r="CD37" s="502">
        <f t="shared" si="453"/>
        <v>0</v>
      </c>
      <c r="CE37" s="502">
        <f t="shared" si="454"/>
        <v>0</v>
      </c>
      <c r="CF37" s="502">
        <f t="shared" si="455"/>
        <v>0</v>
      </c>
      <c r="CG37" s="502">
        <f t="shared" si="456"/>
        <v>0</v>
      </c>
      <c r="CH37" s="502">
        <f t="shared" si="457"/>
        <v>0</v>
      </c>
      <c r="CI37" s="253">
        <f t="shared" si="458"/>
        <v>0.53549999999999998</v>
      </c>
      <c r="CJ37" s="502">
        <f t="shared" si="459"/>
        <v>6.2664999999997741</v>
      </c>
      <c r="CK37" s="502">
        <f t="shared" si="460"/>
        <v>6.2664999999997741</v>
      </c>
      <c r="CL37" s="502">
        <f t="shared" si="461"/>
        <v>0</v>
      </c>
      <c r="CM37" s="502">
        <f t="shared" si="462"/>
        <v>0</v>
      </c>
      <c r="CN37" s="502">
        <f t="shared" si="463"/>
        <v>3.57</v>
      </c>
      <c r="CO37" s="502">
        <f t="shared" si="464"/>
        <v>1.4319999999999526</v>
      </c>
      <c r="CP37" s="502">
        <f t="shared" si="465"/>
        <v>10.224479999999662</v>
      </c>
      <c r="CQ37" s="502">
        <f t="shared" si="466"/>
        <v>0</v>
      </c>
      <c r="CR37" s="220">
        <f t="shared" si="467"/>
        <v>0</v>
      </c>
      <c r="CS37" s="503">
        <f t="shared" si="468"/>
        <v>0</v>
      </c>
      <c r="CT37" s="503">
        <f t="shared" si="469"/>
        <v>0.33012999999999998</v>
      </c>
      <c r="CU37" s="504">
        <f t="shared" si="470"/>
        <v>7.4463999999997537</v>
      </c>
      <c r="CV37" s="504">
        <f t="shared" si="471"/>
        <v>1.1121419999999855</v>
      </c>
      <c r="CW37" s="502">
        <f t="shared" si="472"/>
        <v>15.045959999999637</v>
      </c>
      <c r="CX37" s="253">
        <f t="shared" si="473"/>
        <v>3.57</v>
      </c>
      <c r="CY37" s="505">
        <f t="shared" si="474"/>
        <v>1.7849999999999999</v>
      </c>
      <c r="CZ37" s="502">
        <f t="shared" si="475"/>
        <v>2.4513847475961154E-2</v>
      </c>
    </row>
    <row r="38" spans="1:104" s="501" customFormat="1" ht="25" x14ac:dyDescent="0.25">
      <c r="A38" s="291" t="str">
        <f>'BOCA DE LOBO'!C41</f>
        <v>BL35-&gt;PV4-87</v>
      </c>
      <c r="B38" s="291" t="str">
        <f>'BOCA DE LOBO'!A41</f>
        <v>PV4-87</v>
      </c>
      <c r="C38" s="413" t="str">
        <f>VLOOKUP(A38,'BOCA DE LOBO'!$C$1:$Q$76,3,0)</f>
        <v>EXISTENTE</v>
      </c>
      <c r="D38" s="291" t="str">
        <f>VLOOKUP(A38,'BOCA DE LOBO'!$C$1:$Q$76,10,0)</f>
        <v>PROJETADA</v>
      </c>
      <c r="E38" s="413">
        <f t="shared" si="391"/>
        <v>1.3886000000000045</v>
      </c>
      <c r="F38" s="291">
        <f>VLOOKUP(A38,'BOCA DE LOBO'!$C$1:$Q$76,2,0)</f>
        <v>1.7450000000000045</v>
      </c>
      <c r="G38" s="291">
        <f>VLOOKUP(A38,'BOCA DE LOBO'!$C$1:$Q$76,4,0)</f>
        <v>8.91</v>
      </c>
      <c r="H38" s="238">
        <v>400</v>
      </c>
      <c r="I38" s="493">
        <f t="shared" si="392"/>
        <v>1.6968000000000047</v>
      </c>
      <c r="J38" s="241">
        <f t="shared" si="393"/>
        <v>0.75592440000000205</v>
      </c>
      <c r="K38" s="494">
        <v>0</v>
      </c>
      <c r="L38" s="253">
        <f t="shared" si="394"/>
        <v>1</v>
      </c>
      <c r="M38" s="253">
        <f t="shared" si="395"/>
        <v>1</v>
      </c>
      <c r="N38" s="253">
        <f t="shared" si="396"/>
        <v>0</v>
      </c>
      <c r="O38" s="253">
        <f t="shared" si="306"/>
        <v>8.91</v>
      </c>
      <c r="P38" s="495" t="s">
        <v>2392</v>
      </c>
      <c r="Q38" s="495" t="s">
        <v>2415</v>
      </c>
      <c r="R38" s="507"/>
      <c r="S38" s="495">
        <f>VLOOKUP(Q38,Quantitativos!P:R,3,0)</f>
        <v>3</v>
      </c>
      <c r="T38" s="495">
        <f>VLOOKUP(Q38,Quantitativos!P:S,4,0)</f>
        <v>5</v>
      </c>
      <c r="U38" s="253">
        <f t="shared" si="397"/>
        <v>0.05</v>
      </c>
      <c r="V38" s="246">
        <f t="shared" si="398"/>
        <v>0</v>
      </c>
      <c r="W38" s="246">
        <f t="shared" si="399"/>
        <v>15.118488000000042</v>
      </c>
      <c r="X38" s="247">
        <f t="shared" si="400"/>
        <v>0</v>
      </c>
      <c r="Y38" s="247">
        <f t="shared" si="401"/>
        <v>0</v>
      </c>
      <c r="Z38" s="247">
        <f t="shared" si="402"/>
        <v>1.6968000000000047</v>
      </c>
      <c r="AA38" s="247">
        <f t="shared" si="403"/>
        <v>0</v>
      </c>
      <c r="AB38" s="496">
        <f t="shared" si="404"/>
        <v>8.91</v>
      </c>
      <c r="AC38" s="251">
        <f t="shared" si="405"/>
        <v>0</v>
      </c>
      <c r="AD38" s="251">
        <f t="shared" si="406"/>
        <v>0</v>
      </c>
      <c r="AE38" s="251">
        <f t="shared" si="407"/>
        <v>0</v>
      </c>
      <c r="AF38" s="251">
        <f t="shared" si="408"/>
        <v>13.365</v>
      </c>
      <c r="AG38" s="251">
        <f t="shared" si="409"/>
        <v>1.7534880000000423</v>
      </c>
      <c r="AH38" s="251">
        <f t="shared" si="410"/>
        <v>0</v>
      </c>
      <c r="AI38" s="497" t="str">
        <f t="shared" si="411"/>
        <v>NÃO</v>
      </c>
      <c r="AJ38" s="253">
        <f t="shared" si="412"/>
        <v>0</v>
      </c>
      <c r="AK38" s="253">
        <f t="shared" si="413"/>
        <v>0</v>
      </c>
      <c r="AL38" s="253">
        <f t="shared" si="414"/>
        <v>13.99882437826064</v>
      </c>
      <c r="AM38" s="241">
        <f t="shared" si="415"/>
        <v>0.44550000000000001</v>
      </c>
      <c r="AN38" s="246">
        <f t="shared" si="416"/>
        <v>0</v>
      </c>
      <c r="AO38" s="253">
        <f t="shared" si="417"/>
        <v>0</v>
      </c>
      <c r="AP38" s="253">
        <f t="shared" si="418"/>
        <v>0</v>
      </c>
      <c r="AQ38" s="253">
        <f t="shared" si="419"/>
        <v>0.7</v>
      </c>
      <c r="AR38" s="253">
        <f t="shared" si="420"/>
        <v>5.1173363782605978</v>
      </c>
      <c r="AS38" s="253">
        <f t="shared" si="421"/>
        <v>0</v>
      </c>
      <c r="AT38" s="253">
        <f t="shared" si="422"/>
        <v>1.3365</v>
      </c>
      <c r="AU38" s="253">
        <f t="shared" si="423"/>
        <v>1.3365</v>
      </c>
      <c r="AV38" s="253">
        <f t="shared" si="424"/>
        <v>0.26729999999999998</v>
      </c>
      <c r="AW38" s="253">
        <f t="shared" si="425"/>
        <v>5.7629880000000409</v>
      </c>
      <c r="AX38" s="253">
        <f t="shared" si="426"/>
        <v>8.6646516217394431</v>
      </c>
      <c r="AY38" s="253">
        <f t="shared" si="427"/>
        <v>5.7629880000000409</v>
      </c>
      <c r="AZ38" s="253">
        <f t="shared" si="428"/>
        <v>0</v>
      </c>
      <c r="BA38" s="253">
        <f t="shared" si="429"/>
        <v>0</v>
      </c>
      <c r="BB38" s="253">
        <f t="shared" si="430"/>
        <v>0</v>
      </c>
      <c r="BC38" s="253"/>
      <c r="BD38" s="253">
        <f t="shared" si="431"/>
        <v>5.3460000000000001E-2</v>
      </c>
      <c r="BE38" s="496">
        <f t="shared" si="432"/>
        <v>1.6968000000000047</v>
      </c>
      <c r="BF38" s="498">
        <f t="shared" si="433"/>
        <v>8.91</v>
      </c>
      <c r="BG38" s="498">
        <f t="shared" si="434"/>
        <v>0</v>
      </c>
      <c r="BH38" s="495" t="str">
        <f>VLOOKUP(A38,'BOCA DE LOBO'!C:I,7,0)</f>
        <v>BOCA DE LOBO PROJETADA DUPLA</v>
      </c>
      <c r="BI38" s="253">
        <f t="shared" si="435"/>
        <v>0</v>
      </c>
      <c r="BJ38" s="253">
        <f t="shared" si="436"/>
        <v>0</v>
      </c>
      <c r="BK38" s="253">
        <f t="shared" si="437"/>
        <v>0</v>
      </c>
      <c r="BL38" s="253">
        <f t="shared" si="438"/>
        <v>0</v>
      </c>
      <c r="BM38" s="253">
        <f t="shared" si="439"/>
        <v>0</v>
      </c>
      <c r="BN38" s="253">
        <f t="shared" si="440"/>
        <v>1</v>
      </c>
      <c r="BO38" s="253">
        <f t="shared" si="441"/>
        <v>0</v>
      </c>
      <c r="BP38" s="500"/>
      <c r="BQ38" s="496">
        <f t="shared" si="442"/>
        <v>26.73</v>
      </c>
      <c r="BR38" s="496">
        <f t="shared" si="443"/>
        <v>3.5069760000000847</v>
      </c>
      <c r="BS38" s="496">
        <f t="shared" si="444"/>
        <v>0</v>
      </c>
      <c r="BV38" s="502">
        <f t="shared" si="445"/>
        <v>10.806918360000033</v>
      </c>
      <c r="BW38" s="502">
        <f t="shared" si="446"/>
        <v>7.7825999999999986</v>
      </c>
      <c r="BX38" s="502">
        <f t="shared" si="447"/>
        <v>3.0325999999999995</v>
      </c>
      <c r="BY38" s="502">
        <f t="shared" si="448"/>
        <v>1.3886000000000045</v>
      </c>
      <c r="BZ38" s="502">
        <f t="shared" si="449"/>
        <v>1.3886000000000045</v>
      </c>
      <c r="CA38" s="502">
        <f t="shared" si="450"/>
        <v>0</v>
      </c>
      <c r="CB38" s="502">
        <f t="shared" si="451"/>
        <v>0</v>
      </c>
      <c r="CC38" s="502">
        <f t="shared" si="452"/>
        <v>10.806918360000033</v>
      </c>
      <c r="CD38" s="502">
        <f t="shared" si="453"/>
        <v>0</v>
      </c>
      <c r="CE38" s="502">
        <f t="shared" si="454"/>
        <v>0</v>
      </c>
      <c r="CF38" s="502">
        <f t="shared" si="455"/>
        <v>0</v>
      </c>
      <c r="CG38" s="502">
        <f t="shared" si="456"/>
        <v>0</v>
      </c>
      <c r="CH38" s="502">
        <f t="shared" si="457"/>
        <v>0</v>
      </c>
      <c r="CI38" s="253">
        <f t="shared" si="458"/>
        <v>0.53549999999999998</v>
      </c>
      <c r="CJ38" s="502">
        <f t="shared" si="459"/>
        <v>6.0603500000000201</v>
      </c>
      <c r="CK38" s="502">
        <f t="shared" si="460"/>
        <v>6.0603500000000201</v>
      </c>
      <c r="CL38" s="502">
        <f t="shared" si="461"/>
        <v>0</v>
      </c>
      <c r="CM38" s="502">
        <f t="shared" si="462"/>
        <v>0</v>
      </c>
      <c r="CN38" s="502">
        <f t="shared" si="463"/>
        <v>3.57</v>
      </c>
      <c r="CO38" s="502">
        <f t="shared" si="464"/>
        <v>1.3886000000000045</v>
      </c>
      <c r="CP38" s="502">
        <f t="shared" si="465"/>
        <v>9.9146040000000308</v>
      </c>
      <c r="CQ38" s="502">
        <f t="shared" si="466"/>
        <v>0</v>
      </c>
      <c r="CR38" s="220">
        <f t="shared" si="467"/>
        <v>0</v>
      </c>
      <c r="CS38" s="503">
        <f t="shared" si="468"/>
        <v>0</v>
      </c>
      <c r="CT38" s="503">
        <f t="shared" si="469"/>
        <v>0.33012999999999998</v>
      </c>
      <c r="CU38" s="504">
        <f t="shared" si="470"/>
        <v>7.220720000000024</v>
      </c>
      <c r="CV38" s="504">
        <f t="shared" si="471"/>
        <v>1.0988616000000013</v>
      </c>
      <c r="CW38" s="502">
        <f t="shared" si="472"/>
        <v>14.712648000000035</v>
      </c>
      <c r="CX38" s="253">
        <f t="shared" si="473"/>
        <v>3.57</v>
      </c>
      <c r="CY38" s="505">
        <f t="shared" si="474"/>
        <v>1.7849999999999999</v>
      </c>
      <c r="CZ38" s="502">
        <f t="shared" si="475"/>
        <v>2.4513847475961154E-2</v>
      </c>
    </row>
    <row r="39" spans="1:104" s="501" customFormat="1" ht="25" x14ac:dyDescent="0.25">
      <c r="A39" s="291" t="str">
        <f>'BOCA DE LOBO'!C42</f>
        <v>BL36-&gt;PV5-87</v>
      </c>
      <c r="B39" s="291" t="str">
        <f>'BOCA DE LOBO'!A42</f>
        <v>PV5-87</v>
      </c>
      <c r="C39" s="413" t="str">
        <f>VLOOKUP(A39,'BOCA DE LOBO'!$C$1:$Q$76,3,0)</f>
        <v>EXISTENTE</v>
      </c>
      <c r="D39" s="291" t="str">
        <f>VLOOKUP(A39,'BOCA DE LOBO'!$C$1:$Q$76,10,0)</f>
        <v>PROJETADA</v>
      </c>
      <c r="E39" s="413">
        <f t="shared" si="391"/>
        <v>1.5196000000000518</v>
      </c>
      <c r="F39" s="291">
        <f>VLOOKUP(A39,'BOCA DE LOBO'!$C$1:$Q$76,2,0)</f>
        <v>1.8680000000000518</v>
      </c>
      <c r="G39" s="291">
        <f>VLOOKUP(A39,'BOCA DE LOBO'!$C$1:$Q$76,4,0)</f>
        <v>8.7100000000000009</v>
      </c>
      <c r="H39" s="238">
        <v>400</v>
      </c>
      <c r="I39" s="493">
        <f t="shared" si="392"/>
        <v>1.823800000000052</v>
      </c>
      <c r="J39" s="241">
        <f t="shared" si="393"/>
        <v>0.79426490000002281</v>
      </c>
      <c r="K39" s="494">
        <v>0</v>
      </c>
      <c r="L39" s="253">
        <f t="shared" si="394"/>
        <v>1</v>
      </c>
      <c r="M39" s="253">
        <f t="shared" si="395"/>
        <v>1</v>
      </c>
      <c r="N39" s="253">
        <f t="shared" si="396"/>
        <v>0</v>
      </c>
      <c r="O39" s="253">
        <f t="shared" si="306"/>
        <v>8.7100000000000009</v>
      </c>
      <c r="P39" s="495" t="s">
        <v>2392</v>
      </c>
      <c r="Q39" s="495" t="s">
        <v>2415</v>
      </c>
      <c r="R39" s="507"/>
      <c r="S39" s="495">
        <f>VLOOKUP(Q39,Quantitativos!P:R,3,0)</f>
        <v>3</v>
      </c>
      <c r="T39" s="495">
        <f>VLOOKUP(Q39,Quantitativos!P:S,4,0)</f>
        <v>5</v>
      </c>
      <c r="U39" s="253">
        <f t="shared" si="397"/>
        <v>0.05</v>
      </c>
      <c r="V39" s="246">
        <f t="shared" si="398"/>
        <v>0</v>
      </c>
      <c r="W39" s="246">
        <f t="shared" si="399"/>
        <v>15.885298000000455</v>
      </c>
      <c r="X39" s="247">
        <f t="shared" si="400"/>
        <v>0</v>
      </c>
      <c r="Y39" s="247">
        <f t="shared" si="401"/>
        <v>0</v>
      </c>
      <c r="Z39" s="247">
        <f t="shared" si="402"/>
        <v>1.823800000000052</v>
      </c>
      <c r="AA39" s="247">
        <f t="shared" si="403"/>
        <v>0</v>
      </c>
      <c r="AB39" s="496">
        <f t="shared" si="404"/>
        <v>8.7100000000000009</v>
      </c>
      <c r="AC39" s="251">
        <f t="shared" si="405"/>
        <v>0</v>
      </c>
      <c r="AD39" s="251">
        <f t="shared" si="406"/>
        <v>0</v>
      </c>
      <c r="AE39" s="251">
        <f t="shared" si="407"/>
        <v>0</v>
      </c>
      <c r="AF39" s="251">
        <f t="shared" si="408"/>
        <v>13.065000000000001</v>
      </c>
      <c r="AG39" s="251">
        <f t="shared" si="409"/>
        <v>2.8202980000004536</v>
      </c>
      <c r="AH39" s="251">
        <f t="shared" si="410"/>
        <v>0</v>
      </c>
      <c r="AI39" s="497" t="str">
        <f t="shared" si="411"/>
        <v>NÃO</v>
      </c>
      <c r="AJ39" s="253">
        <f t="shared" si="412"/>
        <v>0</v>
      </c>
      <c r="AK39" s="253">
        <f t="shared" si="413"/>
        <v>0</v>
      </c>
      <c r="AL39" s="253">
        <f t="shared" si="414"/>
        <v>14.790767119489772</v>
      </c>
      <c r="AM39" s="241">
        <f t="shared" si="415"/>
        <v>0.43550000000000005</v>
      </c>
      <c r="AN39" s="246">
        <f t="shared" si="416"/>
        <v>0</v>
      </c>
      <c r="AO39" s="253">
        <f t="shared" si="417"/>
        <v>0</v>
      </c>
      <c r="AP39" s="253">
        <f t="shared" si="418"/>
        <v>0</v>
      </c>
      <c r="AQ39" s="253">
        <f t="shared" si="419"/>
        <v>0.7</v>
      </c>
      <c r="AR39" s="253">
        <f t="shared" si="420"/>
        <v>5.0024691194893158</v>
      </c>
      <c r="AS39" s="253">
        <f t="shared" si="421"/>
        <v>0</v>
      </c>
      <c r="AT39" s="253">
        <f t="shared" si="422"/>
        <v>1.3065</v>
      </c>
      <c r="AU39" s="253">
        <f t="shared" si="423"/>
        <v>1.3065</v>
      </c>
      <c r="AV39" s="253">
        <f t="shared" si="424"/>
        <v>0.26130000000000003</v>
      </c>
      <c r="AW39" s="253">
        <f t="shared" si="425"/>
        <v>6.7397980000004569</v>
      </c>
      <c r="AX39" s="253">
        <f t="shared" si="426"/>
        <v>9.5763288805111397</v>
      </c>
      <c r="AY39" s="253">
        <f t="shared" si="427"/>
        <v>6.7397980000004569</v>
      </c>
      <c r="AZ39" s="253">
        <f t="shared" si="428"/>
        <v>0</v>
      </c>
      <c r="BA39" s="253">
        <f t="shared" si="429"/>
        <v>0</v>
      </c>
      <c r="BB39" s="253">
        <f t="shared" si="430"/>
        <v>0</v>
      </c>
      <c r="BC39" s="253"/>
      <c r="BD39" s="253">
        <f t="shared" si="431"/>
        <v>5.2260000000000001E-2</v>
      </c>
      <c r="BE39" s="496">
        <f t="shared" si="432"/>
        <v>1.823800000000052</v>
      </c>
      <c r="BF39" s="498">
        <f t="shared" si="433"/>
        <v>0</v>
      </c>
      <c r="BG39" s="498">
        <f t="shared" si="434"/>
        <v>8.7100000000000009</v>
      </c>
      <c r="BH39" s="495" t="str">
        <f>VLOOKUP(A39,'BOCA DE LOBO'!C:I,7,0)</f>
        <v>BOCA DE LOBO PROJETADA DUPLA</v>
      </c>
      <c r="BI39" s="253">
        <f t="shared" si="435"/>
        <v>0</v>
      </c>
      <c r="BJ39" s="253">
        <f t="shared" si="436"/>
        <v>0</v>
      </c>
      <c r="BK39" s="253">
        <f t="shared" si="437"/>
        <v>0</v>
      </c>
      <c r="BL39" s="253">
        <f t="shared" si="438"/>
        <v>0</v>
      </c>
      <c r="BM39" s="253">
        <f t="shared" si="439"/>
        <v>0</v>
      </c>
      <c r="BN39" s="253">
        <f t="shared" si="440"/>
        <v>1</v>
      </c>
      <c r="BO39" s="253">
        <f t="shared" si="441"/>
        <v>0</v>
      </c>
      <c r="BP39" s="500"/>
      <c r="BQ39" s="496">
        <f t="shared" si="442"/>
        <v>26.130000000000003</v>
      </c>
      <c r="BR39" s="496">
        <f t="shared" si="443"/>
        <v>5.6405960000009072</v>
      </c>
      <c r="BS39" s="496">
        <f t="shared" si="444"/>
        <v>0</v>
      </c>
      <c r="BV39" s="502">
        <f t="shared" si="445"/>
        <v>11.826438960000401</v>
      </c>
      <c r="BW39" s="502">
        <f t="shared" si="446"/>
        <v>7.7825999999999986</v>
      </c>
      <c r="BX39" s="502">
        <f t="shared" si="447"/>
        <v>3.0325999999999995</v>
      </c>
      <c r="BY39" s="502">
        <f t="shared" si="448"/>
        <v>1.5196000000000518</v>
      </c>
      <c r="BZ39" s="502">
        <f t="shared" si="449"/>
        <v>1.5196000000000518</v>
      </c>
      <c r="CA39" s="502">
        <f t="shared" si="450"/>
        <v>0</v>
      </c>
      <c r="CB39" s="502">
        <f t="shared" si="451"/>
        <v>0</v>
      </c>
      <c r="CC39" s="502">
        <f t="shared" si="452"/>
        <v>11.673899999999998</v>
      </c>
      <c r="CD39" s="502">
        <f t="shared" si="453"/>
        <v>0.1525389600004031</v>
      </c>
      <c r="CE39" s="502">
        <f t="shared" si="454"/>
        <v>0</v>
      </c>
      <c r="CF39" s="502">
        <f t="shared" si="455"/>
        <v>0</v>
      </c>
      <c r="CG39" s="502">
        <f t="shared" si="456"/>
        <v>0</v>
      </c>
      <c r="CH39" s="502">
        <f t="shared" si="457"/>
        <v>0</v>
      </c>
      <c r="CI39" s="253">
        <f t="shared" si="458"/>
        <v>0.53549999999999998</v>
      </c>
      <c r="CJ39" s="502">
        <f t="shared" si="459"/>
        <v>6.682600000000245</v>
      </c>
      <c r="CK39" s="502">
        <f t="shared" si="460"/>
        <v>6.682600000000245</v>
      </c>
      <c r="CL39" s="502">
        <f t="shared" si="461"/>
        <v>0</v>
      </c>
      <c r="CM39" s="502">
        <f t="shared" si="462"/>
        <v>0</v>
      </c>
      <c r="CN39" s="502">
        <f t="shared" si="463"/>
        <v>3.57</v>
      </c>
      <c r="CO39" s="502">
        <f t="shared" si="464"/>
        <v>1.5196000000000518</v>
      </c>
      <c r="CP39" s="502">
        <f t="shared" si="465"/>
        <v>10.709999999999999</v>
      </c>
      <c r="CQ39" s="502">
        <f t="shared" si="466"/>
        <v>0.13994400000036983</v>
      </c>
      <c r="CR39" s="220">
        <f t="shared" si="467"/>
        <v>0</v>
      </c>
      <c r="CS39" s="503">
        <f t="shared" si="468"/>
        <v>0</v>
      </c>
      <c r="CT39" s="503">
        <f t="shared" si="469"/>
        <v>0.33012999999999998</v>
      </c>
      <c r="CU39" s="504">
        <f t="shared" si="470"/>
        <v>7.9019200000002696</v>
      </c>
      <c r="CV39" s="504">
        <f t="shared" si="471"/>
        <v>1.1389476000000158</v>
      </c>
      <c r="CW39" s="502">
        <f t="shared" si="472"/>
        <v>15.718728000000398</v>
      </c>
      <c r="CX39" s="253">
        <f t="shared" si="473"/>
        <v>3.57</v>
      </c>
      <c r="CY39" s="505">
        <f t="shared" si="474"/>
        <v>1.7849999999999999</v>
      </c>
      <c r="CZ39" s="502">
        <f t="shared" si="475"/>
        <v>2.4513847475961154E-2</v>
      </c>
    </row>
    <row r="40" spans="1:104" s="501" customFormat="1" ht="25" x14ac:dyDescent="0.25">
      <c r="A40" s="291" t="str">
        <f>'BOCA DE LOBO'!C43</f>
        <v>BL37-&gt;PV11-87</v>
      </c>
      <c r="B40" s="291" t="str">
        <f>'BOCA DE LOBO'!A43</f>
        <v>PV11-87</v>
      </c>
      <c r="C40" s="413" t="str">
        <f>VLOOKUP(A40,'BOCA DE LOBO'!$C$1:$Q$76,3,0)</f>
        <v>EXISTENTE</v>
      </c>
      <c r="D40" s="291" t="str">
        <f>VLOOKUP(A40,'BOCA DE LOBO'!$C$1:$Q$76,10,0)</f>
        <v>PROJETADA</v>
      </c>
      <c r="E40" s="413">
        <f t="shared" si="391"/>
        <v>2.5</v>
      </c>
      <c r="F40" s="291">
        <f>VLOOKUP(A40,'BOCA DE LOBO'!$C$1:$Q$76,2,0)</f>
        <v>3.6920000000000073</v>
      </c>
      <c r="G40" s="291">
        <f>VLOOKUP(A40,'BOCA DE LOBO'!$C$1:$Q$76,4,0)</f>
        <v>8.8800000000000008</v>
      </c>
      <c r="H40" s="238">
        <v>400</v>
      </c>
      <c r="I40" s="493">
        <f t="shared" si="392"/>
        <v>3.2260000000000035</v>
      </c>
      <c r="J40" s="241">
        <f t="shared" si="393"/>
        <v>1.4323440000000018</v>
      </c>
      <c r="K40" s="494">
        <v>0</v>
      </c>
      <c r="L40" s="253">
        <f t="shared" si="394"/>
        <v>1</v>
      </c>
      <c r="M40" s="253">
        <f t="shared" si="395"/>
        <v>1</v>
      </c>
      <c r="N40" s="253">
        <f t="shared" si="396"/>
        <v>0</v>
      </c>
      <c r="O40" s="253">
        <f t="shared" si="306"/>
        <v>8.8800000000000008</v>
      </c>
      <c r="P40" s="495" t="s">
        <v>2392</v>
      </c>
      <c r="Q40" s="495" t="s">
        <v>2417</v>
      </c>
      <c r="R40" s="507"/>
      <c r="S40" s="495">
        <f>VLOOKUP(Q40,Quantitativos!P:R,3,0)</f>
        <v>3.5</v>
      </c>
      <c r="T40" s="495">
        <f>VLOOKUP(Q40,Quantitativos!P:S,4,0)</f>
        <v>5</v>
      </c>
      <c r="U40" s="253">
        <f t="shared" si="397"/>
        <v>0.05</v>
      </c>
      <c r="V40" s="246">
        <f t="shared" si="398"/>
        <v>0</v>
      </c>
      <c r="W40" s="246">
        <f t="shared" si="399"/>
        <v>28.646880000000035</v>
      </c>
      <c r="X40" s="247">
        <f t="shared" si="400"/>
        <v>0</v>
      </c>
      <c r="Y40" s="247">
        <f t="shared" si="401"/>
        <v>0</v>
      </c>
      <c r="Z40" s="247">
        <f t="shared" si="402"/>
        <v>3.2260000000000035</v>
      </c>
      <c r="AA40" s="247">
        <f t="shared" si="403"/>
        <v>0</v>
      </c>
      <c r="AB40" s="496">
        <f t="shared" si="404"/>
        <v>8.8800000000000008</v>
      </c>
      <c r="AC40" s="251">
        <f t="shared" si="405"/>
        <v>0</v>
      </c>
      <c r="AD40" s="251">
        <f t="shared" si="406"/>
        <v>0</v>
      </c>
      <c r="AE40" s="251">
        <f t="shared" si="407"/>
        <v>0</v>
      </c>
      <c r="AF40" s="251">
        <f t="shared" si="408"/>
        <v>13.32</v>
      </c>
      <c r="AG40" s="251">
        <f t="shared" si="409"/>
        <v>13.32</v>
      </c>
      <c r="AH40" s="251">
        <f t="shared" si="410"/>
        <v>2.0068800000000317</v>
      </c>
      <c r="AI40" s="497" t="str">
        <f t="shared" si="411"/>
        <v>NÃO</v>
      </c>
      <c r="AJ40" s="253">
        <f t="shared" si="412"/>
        <v>0</v>
      </c>
      <c r="AK40" s="253">
        <f t="shared" si="413"/>
        <v>0</v>
      </c>
      <c r="AL40" s="253">
        <f t="shared" si="414"/>
        <v>27.53098628944494</v>
      </c>
      <c r="AM40" s="241">
        <f t="shared" si="415"/>
        <v>0.44400000000000006</v>
      </c>
      <c r="AN40" s="246">
        <f t="shared" si="416"/>
        <v>0</v>
      </c>
      <c r="AO40" s="253">
        <f t="shared" si="417"/>
        <v>0</v>
      </c>
      <c r="AP40" s="253">
        <f t="shared" si="418"/>
        <v>0</v>
      </c>
      <c r="AQ40" s="253">
        <f t="shared" si="419"/>
        <v>0.7</v>
      </c>
      <c r="AR40" s="253">
        <f t="shared" si="420"/>
        <v>5.1001062894449056</v>
      </c>
      <c r="AS40" s="253">
        <f t="shared" si="421"/>
        <v>0</v>
      </c>
      <c r="AT40" s="253">
        <f t="shared" si="422"/>
        <v>1.3320000000000001</v>
      </c>
      <c r="AU40" s="253">
        <f t="shared" si="423"/>
        <v>1.3320000000000001</v>
      </c>
      <c r="AV40" s="253">
        <f t="shared" si="424"/>
        <v>0.26640000000000003</v>
      </c>
      <c r="AW40" s="253">
        <f t="shared" si="425"/>
        <v>19.322880000000033</v>
      </c>
      <c r="AX40" s="253">
        <f t="shared" si="426"/>
        <v>22.214773710555125</v>
      </c>
      <c r="AY40" s="253">
        <f t="shared" si="427"/>
        <v>19.322880000000033</v>
      </c>
      <c r="AZ40" s="253">
        <f t="shared" si="428"/>
        <v>0</v>
      </c>
      <c r="BA40" s="253">
        <f t="shared" si="429"/>
        <v>0</v>
      </c>
      <c r="BB40" s="253">
        <f t="shared" si="430"/>
        <v>0</v>
      </c>
      <c r="BC40" s="253"/>
      <c r="BD40" s="253">
        <f t="shared" si="431"/>
        <v>5.3280000000000001E-2</v>
      </c>
      <c r="BE40" s="496">
        <f t="shared" si="432"/>
        <v>3.2260000000000035</v>
      </c>
      <c r="BF40" s="498">
        <f t="shared" si="433"/>
        <v>0</v>
      </c>
      <c r="BG40" s="498">
        <f t="shared" si="434"/>
        <v>0</v>
      </c>
      <c r="BH40" s="495" t="str">
        <f>VLOOKUP(A40,'BOCA DE LOBO'!C:I,7,0)</f>
        <v>BOCA DE LOBO PROJETADA DUPLA</v>
      </c>
      <c r="BI40" s="253">
        <f t="shared" si="435"/>
        <v>0</v>
      </c>
      <c r="BJ40" s="253">
        <f t="shared" si="436"/>
        <v>0</v>
      </c>
      <c r="BK40" s="253">
        <f t="shared" si="437"/>
        <v>0</v>
      </c>
      <c r="BL40" s="253">
        <f t="shared" si="438"/>
        <v>0</v>
      </c>
      <c r="BM40" s="253">
        <f t="shared" si="439"/>
        <v>0</v>
      </c>
      <c r="BN40" s="253">
        <f t="shared" si="440"/>
        <v>1</v>
      </c>
      <c r="BO40" s="253">
        <f t="shared" si="441"/>
        <v>0</v>
      </c>
      <c r="BP40" s="500"/>
      <c r="BQ40" s="496">
        <f t="shared" si="442"/>
        <v>26.64</v>
      </c>
      <c r="BR40" s="496">
        <f t="shared" si="443"/>
        <v>26.64</v>
      </c>
      <c r="BS40" s="496">
        <f t="shared" si="444"/>
        <v>4.0137600000000635</v>
      </c>
      <c r="BV40" s="502">
        <f t="shared" si="445"/>
        <v>19.456499999999998</v>
      </c>
      <c r="BW40" s="502">
        <f t="shared" si="446"/>
        <v>7.7825999999999986</v>
      </c>
      <c r="BX40" s="502">
        <f t="shared" si="447"/>
        <v>3.0325999999999995</v>
      </c>
      <c r="BY40" s="502">
        <f t="shared" si="448"/>
        <v>2.5</v>
      </c>
      <c r="BZ40" s="502">
        <f t="shared" si="449"/>
        <v>2.5</v>
      </c>
      <c r="CA40" s="502">
        <f t="shared" si="450"/>
        <v>0</v>
      </c>
      <c r="CB40" s="502">
        <f t="shared" si="451"/>
        <v>0</v>
      </c>
      <c r="CC40" s="502">
        <f t="shared" si="452"/>
        <v>11.673899999999998</v>
      </c>
      <c r="CD40" s="502">
        <f t="shared" si="453"/>
        <v>7.7825999999999986</v>
      </c>
      <c r="CE40" s="502">
        <f t="shared" si="454"/>
        <v>0</v>
      </c>
      <c r="CF40" s="502">
        <f t="shared" si="455"/>
        <v>0</v>
      </c>
      <c r="CG40" s="502">
        <f t="shared" si="456"/>
        <v>0</v>
      </c>
      <c r="CH40" s="502">
        <f t="shared" si="457"/>
        <v>0</v>
      </c>
      <c r="CI40" s="253">
        <f t="shared" si="458"/>
        <v>0.53549999999999998</v>
      </c>
      <c r="CJ40" s="502">
        <f t="shared" si="459"/>
        <v>11.339499999999997</v>
      </c>
      <c r="CK40" s="502">
        <f t="shared" si="460"/>
        <v>11.339499999999997</v>
      </c>
      <c r="CL40" s="502">
        <f t="shared" si="461"/>
        <v>0</v>
      </c>
      <c r="CM40" s="502">
        <f t="shared" si="462"/>
        <v>0</v>
      </c>
      <c r="CN40" s="502">
        <f t="shared" si="463"/>
        <v>3.57</v>
      </c>
      <c r="CO40" s="502">
        <f t="shared" si="464"/>
        <v>2.5</v>
      </c>
      <c r="CP40" s="502">
        <f t="shared" si="465"/>
        <v>10.709999999999999</v>
      </c>
      <c r="CQ40" s="502">
        <f t="shared" si="466"/>
        <v>7.14</v>
      </c>
      <c r="CR40" s="220">
        <f t="shared" si="467"/>
        <v>0</v>
      </c>
      <c r="CS40" s="503">
        <f t="shared" si="468"/>
        <v>0</v>
      </c>
      <c r="CT40" s="503">
        <f t="shared" si="469"/>
        <v>0.33012999999999998</v>
      </c>
      <c r="CU40" s="504">
        <f t="shared" si="470"/>
        <v>13</v>
      </c>
      <c r="CV40" s="504">
        <f t="shared" si="471"/>
        <v>1.43895</v>
      </c>
      <c r="CW40" s="502">
        <f t="shared" si="472"/>
        <v>23.248199999999997</v>
      </c>
      <c r="CX40" s="253">
        <f t="shared" si="473"/>
        <v>3.57</v>
      </c>
      <c r="CY40" s="505">
        <f t="shared" si="474"/>
        <v>1.7849999999999999</v>
      </c>
      <c r="CZ40" s="502">
        <f t="shared" si="475"/>
        <v>2.4513847475961154E-2</v>
      </c>
    </row>
    <row r="41" spans="1:104" s="501" customFormat="1" ht="25" x14ac:dyDescent="0.25">
      <c r="A41" s="291" t="str">
        <f>'BOCA DE LOBO'!C46</f>
        <v>BL38-&gt;PV15-87</v>
      </c>
      <c r="B41" s="291" t="str">
        <f>'BOCA DE LOBO'!A46</f>
        <v>PV15-87</v>
      </c>
      <c r="C41" s="413" t="str">
        <f>VLOOKUP(A41,'BOCA DE LOBO'!$C$1:$Q$76,3,0)</f>
        <v>EXISTENTE</v>
      </c>
      <c r="D41" s="291" t="str">
        <f>VLOOKUP(A41,'BOCA DE LOBO'!$C$1:$Q$76,10,0)</f>
        <v>PROJETADA</v>
      </c>
      <c r="E41" s="413">
        <f t="shared" si="391"/>
        <v>2.5</v>
      </c>
      <c r="F41" s="291">
        <f>VLOOKUP(A41,'BOCA DE LOBO'!$C$1:$Q$76,2,0)</f>
        <v>3.2970000000000255</v>
      </c>
      <c r="G41" s="291">
        <f>VLOOKUP(A41,'BOCA DE LOBO'!$C$1:$Q$76,4,0)</f>
        <v>8.35</v>
      </c>
      <c r="H41" s="238">
        <v>400</v>
      </c>
      <c r="I41" s="493">
        <f t="shared" si="392"/>
        <v>3.0285000000000126</v>
      </c>
      <c r="J41" s="241">
        <f t="shared" si="393"/>
        <v>1.2643987500000053</v>
      </c>
      <c r="K41" s="494">
        <v>0</v>
      </c>
      <c r="L41" s="253">
        <f t="shared" si="394"/>
        <v>1</v>
      </c>
      <c r="M41" s="253">
        <f t="shared" si="395"/>
        <v>1</v>
      </c>
      <c r="N41" s="253">
        <f t="shared" si="396"/>
        <v>0</v>
      </c>
      <c r="O41" s="253">
        <f t="shared" si="306"/>
        <v>8.35</v>
      </c>
      <c r="P41" s="495" t="s">
        <v>2392</v>
      </c>
      <c r="Q41" s="495" t="s">
        <v>2978</v>
      </c>
      <c r="R41" s="507"/>
      <c r="S41" s="495">
        <v>5</v>
      </c>
      <c r="T41" s="495">
        <v>5</v>
      </c>
      <c r="U41" s="253">
        <f t="shared" si="397"/>
        <v>0.05</v>
      </c>
      <c r="V41" s="246">
        <f t="shared" si="398"/>
        <v>0</v>
      </c>
      <c r="W41" s="246">
        <f t="shared" si="399"/>
        <v>25.287975000000106</v>
      </c>
      <c r="X41" s="247">
        <f t="shared" si="400"/>
        <v>0</v>
      </c>
      <c r="Y41" s="247">
        <f t="shared" si="401"/>
        <v>0</v>
      </c>
      <c r="Z41" s="247">
        <f t="shared" si="402"/>
        <v>3.0285000000000126</v>
      </c>
      <c r="AA41" s="247">
        <f t="shared" si="403"/>
        <v>0</v>
      </c>
      <c r="AB41" s="496">
        <f t="shared" si="404"/>
        <v>8.35</v>
      </c>
      <c r="AC41" s="251">
        <f t="shared" si="405"/>
        <v>0</v>
      </c>
      <c r="AD41" s="251">
        <f t="shared" si="406"/>
        <v>0</v>
      </c>
      <c r="AE41" s="251">
        <f t="shared" si="407"/>
        <v>0</v>
      </c>
      <c r="AF41" s="251">
        <f t="shared" si="408"/>
        <v>12.524999999999999</v>
      </c>
      <c r="AG41" s="251">
        <f t="shared" si="409"/>
        <v>12.524999999999999</v>
      </c>
      <c r="AH41" s="251">
        <f t="shared" si="410"/>
        <v>0.23797500000010541</v>
      </c>
      <c r="AI41" s="497" t="str">
        <f t="shared" si="411"/>
        <v>NÃO</v>
      </c>
      <c r="AJ41" s="253">
        <f t="shared" si="412"/>
        <v>0</v>
      </c>
      <c r="AK41" s="253">
        <f t="shared" si="413"/>
        <v>0</v>
      </c>
      <c r="AL41" s="253">
        <f t="shared" si="414"/>
        <v>24.238683053701116</v>
      </c>
      <c r="AM41" s="241">
        <f t="shared" si="415"/>
        <v>0.41749999999999998</v>
      </c>
      <c r="AN41" s="246">
        <f t="shared" si="416"/>
        <v>0</v>
      </c>
      <c r="AO41" s="253">
        <f t="shared" si="417"/>
        <v>0</v>
      </c>
      <c r="AP41" s="253">
        <f t="shared" si="418"/>
        <v>0</v>
      </c>
      <c r="AQ41" s="253">
        <f t="shared" si="419"/>
        <v>0.7</v>
      </c>
      <c r="AR41" s="253">
        <f t="shared" si="420"/>
        <v>4.7957080537010093</v>
      </c>
      <c r="AS41" s="253">
        <f t="shared" si="421"/>
        <v>0</v>
      </c>
      <c r="AT41" s="253">
        <f t="shared" si="422"/>
        <v>1.2524999999999999</v>
      </c>
      <c r="AU41" s="253">
        <f t="shared" si="423"/>
        <v>1.2524999999999999</v>
      </c>
      <c r="AV41" s="253">
        <f t="shared" si="424"/>
        <v>0.2505</v>
      </c>
      <c r="AW41" s="253">
        <f t="shared" si="425"/>
        <v>16.520475000000104</v>
      </c>
      <c r="AX41" s="253">
        <f t="shared" si="426"/>
        <v>19.239766946299092</v>
      </c>
      <c r="AY41" s="253">
        <f t="shared" si="427"/>
        <v>16.520475000000104</v>
      </c>
      <c r="AZ41" s="253">
        <f t="shared" si="428"/>
        <v>0</v>
      </c>
      <c r="BA41" s="253">
        <f t="shared" si="429"/>
        <v>0</v>
      </c>
      <c r="BB41" s="253">
        <f t="shared" si="430"/>
        <v>0</v>
      </c>
      <c r="BC41" s="253"/>
      <c r="BD41" s="253">
        <f t="shared" si="431"/>
        <v>5.0099999999999999E-2</v>
      </c>
      <c r="BE41" s="496">
        <f t="shared" si="432"/>
        <v>3.0285000000000126</v>
      </c>
      <c r="BF41" s="498">
        <f t="shared" si="433"/>
        <v>0</v>
      </c>
      <c r="BG41" s="498">
        <f t="shared" si="434"/>
        <v>0</v>
      </c>
      <c r="BH41" s="495" t="str">
        <f>VLOOKUP(A41,'BOCA DE LOBO'!C:I,7,0)</f>
        <v>BOCA DE LOBO PROJETADA DUPLA</v>
      </c>
      <c r="BI41" s="253">
        <f t="shared" si="435"/>
        <v>0</v>
      </c>
      <c r="BJ41" s="253">
        <f t="shared" si="436"/>
        <v>0</v>
      </c>
      <c r="BK41" s="253">
        <f t="shared" si="437"/>
        <v>0</v>
      </c>
      <c r="BL41" s="253">
        <f t="shared" si="438"/>
        <v>0</v>
      </c>
      <c r="BM41" s="253">
        <f t="shared" si="439"/>
        <v>0</v>
      </c>
      <c r="BN41" s="253">
        <f t="shared" si="440"/>
        <v>1</v>
      </c>
      <c r="BO41" s="253">
        <f t="shared" si="441"/>
        <v>0</v>
      </c>
      <c r="BP41" s="500"/>
      <c r="BQ41" s="496">
        <f t="shared" si="442"/>
        <v>25.049999999999997</v>
      </c>
      <c r="BR41" s="496">
        <f t="shared" si="443"/>
        <v>25.049999999999997</v>
      </c>
      <c r="BS41" s="496">
        <f t="shared" si="444"/>
        <v>0.47595000000021082</v>
      </c>
      <c r="BV41" s="502">
        <f t="shared" si="445"/>
        <v>19.456499999999998</v>
      </c>
      <c r="BW41" s="502">
        <f t="shared" si="446"/>
        <v>7.7825999999999986</v>
      </c>
      <c r="BX41" s="502">
        <f t="shared" si="447"/>
        <v>3.0325999999999995</v>
      </c>
      <c r="BY41" s="502">
        <f t="shared" si="448"/>
        <v>2.5</v>
      </c>
      <c r="BZ41" s="502">
        <f t="shared" si="449"/>
        <v>2.5</v>
      </c>
      <c r="CA41" s="502">
        <f t="shared" si="450"/>
        <v>0</v>
      </c>
      <c r="CB41" s="502">
        <f t="shared" si="451"/>
        <v>0</v>
      </c>
      <c r="CC41" s="502">
        <f t="shared" si="452"/>
        <v>11.673899999999998</v>
      </c>
      <c r="CD41" s="502">
        <f t="shared" si="453"/>
        <v>7.7825999999999986</v>
      </c>
      <c r="CE41" s="502">
        <f t="shared" si="454"/>
        <v>0</v>
      </c>
      <c r="CF41" s="502">
        <f t="shared" si="455"/>
        <v>0</v>
      </c>
      <c r="CG41" s="502">
        <f t="shared" si="456"/>
        <v>0</v>
      </c>
      <c r="CH41" s="502">
        <f t="shared" si="457"/>
        <v>0</v>
      </c>
      <c r="CI41" s="253">
        <f t="shared" si="458"/>
        <v>0.53549999999999998</v>
      </c>
      <c r="CJ41" s="502">
        <f t="shared" si="459"/>
        <v>11.339499999999997</v>
      </c>
      <c r="CK41" s="502">
        <f t="shared" si="460"/>
        <v>11.339499999999997</v>
      </c>
      <c r="CL41" s="502">
        <f t="shared" si="461"/>
        <v>0</v>
      </c>
      <c r="CM41" s="502">
        <f t="shared" si="462"/>
        <v>0</v>
      </c>
      <c r="CN41" s="502">
        <f t="shared" si="463"/>
        <v>3.57</v>
      </c>
      <c r="CO41" s="502">
        <f t="shared" si="464"/>
        <v>2.5</v>
      </c>
      <c r="CP41" s="502">
        <f t="shared" si="465"/>
        <v>10.709999999999999</v>
      </c>
      <c r="CQ41" s="502">
        <f t="shared" si="466"/>
        <v>7.14</v>
      </c>
      <c r="CR41" s="220">
        <f t="shared" si="467"/>
        <v>0</v>
      </c>
      <c r="CS41" s="503">
        <f t="shared" si="468"/>
        <v>0</v>
      </c>
      <c r="CT41" s="503">
        <f t="shared" si="469"/>
        <v>0.33012999999999998</v>
      </c>
      <c r="CU41" s="504">
        <f t="shared" si="470"/>
        <v>13</v>
      </c>
      <c r="CV41" s="504">
        <f t="shared" si="471"/>
        <v>1.43895</v>
      </c>
      <c r="CW41" s="502">
        <f t="shared" si="472"/>
        <v>23.248199999999997</v>
      </c>
      <c r="CX41" s="253">
        <f t="shared" si="473"/>
        <v>3.57</v>
      </c>
      <c r="CY41" s="505">
        <f t="shared" si="474"/>
        <v>1.7849999999999999</v>
      </c>
      <c r="CZ41" s="502">
        <f t="shared" si="475"/>
        <v>2.4513847475961154E-2</v>
      </c>
    </row>
    <row r="42" spans="1:104" s="501" customFormat="1" ht="25" x14ac:dyDescent="0.25">
      <c r="A42" s="291" t="str">
        <f>'BOCA DE LOBO'!C47</f>
        <v>BL39-&gt;PV15-87</v>
      </c>
      <c r="B42" s="291" t="str">
        <f>'BOCA DE LOBO'!A47</f>
        <v>PV15-87</v>
      </c>
      <c r="C42" s="413" t="str">
        <f>VLOOKUP(A42,'BOCA DE LOBO'!$C$1:$Q$76,3,0)</f>
        <v>EXISTENTE</v>
      </c>
      <c r="D42" s="291" t="str">
        <f>VLOOKUP(A42,'BOCA DE LOBO'!$C$1:$Q$76,10,0)</f>
        <v>PROJETADA</v>
      </c>
      <c r="E42" s="413">
        <f t="shared" si="391"/>
        <v>2.5</v>
      </c>
      <c r="F42" s="291">
        <f>VLOOKUP(A42,'BOCA DE LOBO'!$C$1:$Q$76,2,0)</f>
        <v>3.2970000000000255</v>
      </c>
      <c r="G42" s="291">
        <f>VLOOKUP(A42,'BOCA DE LOBO'!$C$1:$Q$76,4,0)</f>
        <v>9.73</v>
      </c>
      <c r="H42" s="238">
        <v>400</v>
      </c>
      <c r="I42" s="493">
        <f t="shared" si="392"/>
        <v>3.0285000000000126</v>
      </c>
      <c r="J42" s="241">
        <f t="shared" si="393"/>
        <v>1.4733652500000063</v>
      </c>
      <c r="K42" s="494">
        <v>0</v>
      </c>
      <c r="L42" s="253">
        <f t="shared" si="394"/>
        <v>1</v>
      </c>
      <c r="M42" s="253">
        <f t="shared" si="395"/>
        <v>1</v>
      </c>
      <c r="N42" s="253">
        <f t="shared" si="396"/>
        <v>0</v>
      </c>
      <c r="O42" s="253">
        <f t="shared" si="306"/>
        <v>9.73</v>
      </c>
      <c r="P42" s="495" t="s">
        <v>2392</v>
      </c>
      <c r="Q42" s="495" t="s">
        <v>2978</v>
      </c>
      <c r="R42" s="507"/>
      <c r="S42" s="495">
        <v>5</v>
      </c>
      <c r="T42" s="495">
        <v>5</v>
      </c>
      <c r="U42" s="253">
        <f t="shared" si="397"/>
        <v>0.05</v>
      </c>
      <c r="V42" s="246">
        <f t="shared" si="398"/>
        <v>0</v>
      </c>
      <c r="W42" s="246">
        <f t="shared" si="399"/>
        <v>29.467305000000124</v>
      </c>
      <c r="X42" s="247">
        <f t="shared" si="400"/>
        <v>0</v>
      </c>
      <c r="Y42" s="247">
        <f t="shared" si="401"/>
        <v>0</v>
      </c>
      <c r="Z42" s="247">
        <f t="shared" si="402"/>
        <v>3.0285000000000126</v>
      </c>
      <c r="AA42" s="247">
        <f t="shared" si="403"/>
        <v>0</v>
      </c>
      <c r="AB42" s="496">
        <f t="shared" si="404"/>
        <v>9.73</v>
      </c>
      <c r="AC42" s="251">
        <f t="shared" si="405"/>
        <v>0</v>
      </c>
      <c r="AD42" s="251">
        <f t="shared" si="406"/>
        <v>0</v>
      </c>
      <c r="AE42" s="251">
        <f t="shared" si="407"/>
        <v>0</v>
      </c>
      <c r="AF42" s="251">
        <f t="shared" si="408"/>
        <v>14.595000000000001</v>
      </c>
      <c r="AG42" s="251">
        <f t="shared" si="409"/>
        <v>14.595000000000001</v>
      </c>
      <c r="AH42" s="251">
        <f t="shared" si="410"/>
        <v>0.27730500000012287</v>
      </c>
      <c r="AI42" s="497" t="str">
        <f t="shared" si="411"/>
        <v>NÃO</v>
      </c>
      <c r="AJ42" s="253">
        <f t="shared" si="412"/>
        <v>0</v>
      </c>
      <c r="AK42" s="253">
        <f t="shared" si="413"/>
        <v>0</v>
      </c>
      <c r="AL42" s="253">
        <f t="shared" si="414"/>
        <v>28.244597139222975</v>
      </c>
      <c r="AM42" s="241">
        <f t="shared" si="415"/>
        <v>0.48650000000000004</v>
      </c>
      <c r="AN42" s="246">
        <f t="shared" si="416"/>
        <v>0</v>
      </c>
      <c r="AO42" s="253">
        <f t="shared" si="417"/>
        <v>0</v>
      </c>
      <c r="AP42" s="253">
        <f t="shared" si="418"/>
        <v>0</v>
      </c>
      <c r="AQ42" s="253">
        <f t="shared" si="419"/>
        <v>0.7</v>
      </c>
      <c r="AR42" s="253">
        <f t="shared" si="420"/>
        <v>5.5882921392228528</v>
      </c>
      <c r="AS42" s="253">
        <f t="shared" si="421"/>
        <v>0</v>
      </c>
      <c r="AT42" s="253">
        <f t="shared" si="422"/>
        <v>1.4595</v>
      </c>
      <c r="AU42" s="253">
        <f t="shared" si="423"/>
        <v>1.4595</v>
      </c>
      <c r="AV42" s="253">
        <f t="shared" si="424"/>
        <v>0.29189999999999999</v>
      </c>
      <c r="AW42" s="253">
        <f t="shared" si="425"/>
        <v>19.250805000000128</v>
      </c>
      <c r="AX42" s="253">
        <f t="shared" si="426"/>
        <v>22.419512860777274</v>
      </c>
      <c r="AY42" s="253">
        <f t="shared" si="427"/>
        <v>19.250805000000128</v>
      </c>
      <c r="AZ42" s="253">
        <f t="shared" si="428"/>
        <v>0</v>
      </c>
      <c r="BA42" s="253">
        <f t="shared" si="429"/>
        <v>0</v>
      </c>
      <c r="BB42" s="253">
        <f t="shared" si="430"/>
        <v>0</v>
      </c>
      <c r="BC42" s="253"/>
      <c r="BD42" s="253">
        <f t="shared" si="431"/>
        <v>5.8380000000000001E-2</v>
      </c>
      <c r="BE42" s="496">
        <f t="shared" si="432"/>
        <v>3.0285000000000126</v>
      </c>
      <c r="BF42" s="498">
        <f t="shared" si="433"/>
        <v>0</v>
      </c>
      <c r="BG42" s="498">
        <f t="shared" si="434"/>
        <v>0</v>
      </c>
      <c r="BH42" s="495" t="str">
        <f>VLOOKUP(A42,'BOCA DE LOBO'!C:I,7,0)</f>
        <v>BOCA DE LOBO PROJETADA DUPLA</v>
      </c>
      <c r="BI42" s="253">
        <f t="shared" si="435"/>
        <v>0</v>
      </c>
      <c r="BJ42" s="253">
        <f t="shared" si="436"/>
        <v>0</v>
      </c>
      <c r="BK42" s="253">
        <f t="shared" si="437"/>
        <v>0</v>
      </c>
      <c r="BL42" s="253">
        <f t="shared" si="438"/>
        <v>0</v>
      </c>
      <c r="BM42" s="253">
        <f t="shared" si="439"/>
        <v>0</v>
      </c>
      <c r="BN42" s="253">
        <f t="shared" si="440"/>
        <v>1</v>
      </c>
      <c r="BO42" s="253">
        <f t="shared" si="441"/>
        <v>0</v>
      </c>
      <c r="BP42" s="500"/>
      <c r="BQ42" s="496">
        <f t="shared" si="442"/>
        <v>29.19</v>
      </c>
      <c r="BR42" s="496">
        <f t="shared" si="443"/>
        <v>29.19</v>
      </c>
      <c r="BS42" s="496">
        <f t="shared" si="444"/>
        <v>0.55461000000024574</v>
      </c>
      <c r="BV42" s="502">
        <f t="shared" si="445"/>
        <v>19.456499999999998</v>
      </c>
      <c r="BW42" s="502">
        <f t="shared" si="446"/>
        <v>7.7825999999999986</v>
      </c>
      <c r="BX42" s="502">
        <f t="shared" si="447"/>
        <v>3.0325999999999995</v>
      </c>
      <c r="BY42" s="502">
        <f t="shared" si="448"/>
        <v>2.5</v>
      </c>
      <c r="BZ42" s="502">
        <f t="shared" si="449"/>
        <v>2.5</v>
      </c>
      <c r="CA42" s="502">
        <f t="shared" si="450"/>
        <v>0</v>
      </c>
      <c r="CB42" s="502">
        <f t="shared" si="451"/>
        <v>0</v>
      </c>
      <c r="CC42" s="502">
        <f t="shared" si="452"/>
        <v>11.673899999999998</v>
      </c>
      <c r="CD42" s="502">
        <f t="shared" si="453"/>
        <v>7.7825999999999986</v>
      </c>
      <c r="CE42" s="502">
        <f t="shared" si="454"/>
        <v>0</v>
      </c>
      <c r="CF42" s="502">
        <f t="shared" si="455"/>
        <v>0</v>
      </c>
      <c r="CG42" s="502">
        <f t="shared" si="456"/>
        <v>0</v>
      </c>
      <c r="CH42" s="502">
        <f t="shared" si="457"/>
        <v>0</v>
      </c>
      <c r="CI42" s="253">
        <f t="shared" si="458"/>
        <v>0.53549999999999998</v>
      </c>
      <c r="CJ42" s="502">
        <f t="shared" si="459"/>
        <v>11.339499999999997</v>
      </c>
      <c r="CK42" s="502">
        <f t="shared" si="460"/>
        <v>11.339499999999997</v>
      </c>
      <c r="CL42" s="502">
        <f t="shared" si="461"/>
        <v>0</v>
      </c>
      <c r="CM42" s="502">
        <f t="shared" si="462"/>
        <v>0</v>
      </c>
      <c r="CN42" s="502">
        <f t="shared" si="463"/>
        <v>3.57</v>
      </c>
      <c r="CO42" s="502">
        <f t="shared" si="464"/>
        <v>2.5</v>
      </c>
      <c r="CP42" s="502">
        <f t="shared" si="465"/>
        <v>10.709999999999999</v>
      </c>
      <c r="CQ42" s="502">
        <f t="shared" si="466"/>
        <v>7.14</v>
      </c>
      <c r="CR42" s="220">
        <f t="shared" si="467"/>
        <v>0</v>
      </c>
      <c r="CS42" s="503">
        <f t="shared" si="468"/>
        <v>0</v>
      </c>
      <c r="CT42" s="503">
        <f t="shared" si="469"/>
        <v>0.33012999999999998</v>
      </c>
      <c r="CU42" s="504">
        <f t="shared" si="470"/>
        <v>13</v>
      </c>
      <c r="CV42" s="504">
        <f t="shared" si="471"/>
        <v>1.43895</v>
      </c>
      <c r="CW42" s="502">
        <f t="shared" si="472"/>
        <v>23.248199999999997</v>
      </c>
      <c r="CX42" s="253">
        <f t="shared" si="473"/>
        <v>3.57</v>
      </c>
      <c r="CY42" s="505">
        <f t="shared" si="474"/>
        <v>1.7849999999999999</v>
      </c>
      <c r="CZ42" s="502">
        <f t="shared" si="475"/>
        <v>2.4513847475961154E-2</v>
      </c>
    </row>
    <row r="43" spans="1:104" s="501" customFormat="1" ht="25" x14ac:dyDescent="0.25">
      <c r="A43" s="291" t="str">
        <f>'BOCA DE LOBO'!C50</f>
        <v>BL40-&gt;PV24-87</v>
      </c>
      <c r="B43" s="291" t="str">
        <f>'BOCA DE LOBO'!A50</f>
        <v>PV24-87</v>
      </c>
      <c r="C43" s="413" t="str">
        <f>VLOOKUP(A43,'BOCA DE LOBO'!$C$1:$Q$76,3,0)</f>
        <v>EXISTENTE</v>
      </c>
      <c r="D43" s="291" t="str">
        <f>VLOOKUP(A43,'BOCA DE LOBO'!$C$1:$Q$76,10,0)</f>
        <v>PROJETADA</v>
      </c>
      <c r="E43" s="413">
        <f t="shared" si="391"/>
        <v>2.5</v>
      </c>
      <c r="F43" s="291">
        <f>VLOOKUP(A43,'BOCA DE LOBO'!$C$1:$Q$76,2,0)</f>
        <v>3.1449999999999818</v>
      </c>
      <c r="G43" s="291">
        <f>VLOOKUP(A43,'BOCA DE LOBO'!$C$1:$Q$76,4,0)</f>
        <v>9.33</v>
      </c>
      <c r="H43" s="238">
        <v>400</v>
      </c>
      <c r="I43" s="493">
        <f t="shared" si="392"/>
        <v>2.9524999999999908</v>
      </c>
      <c r="J43" s="241">
        <f t="shared" si="393"/>
        <v>1.3773412499999957</v>
      </c>
      <c r="K43" s="494">
        <v>0</v>
      </c>
      <c r="L43" s="253">
        <f t="shared" si="394"/>
        <v>1</v>
      </c>
      <c r="M43" s="253">
        <f t="shared" si="395"/>
        <v>1</v>
      </c>
      <c r="N43" s="253">
        <f t="shared" si="396"/>
        <v>0</v>
      </c>
      <c r="O43" s="253">
        <f t="shared" si="306"/>
        <v>9.33</v>
      </c>
      <c r="P43" s="495" t="s">
        <v>2392</v>
      </c>
      <c r="Q43" s="495" t="s">
        <v>2992</v>
      </c>
      <c r="R43" s="495">
        <v>1</v>
      </c>
      <c r="S43" s="495">
        <v>6.45</v>
      </c>
      <c r="T43" s="495">
        <v>1.8</v>
      </c>
      <c r="U43" s="253">
        <f t="shared" si="397"/>
        <v>0.05</v>
      </c>
      <c r="V43" s="246">
        <f t="shared" si="398"/>
        <v>0</v>
      </c>
      <c r="W43" s="246">
        <f t="shared" si="399"/>
        <v>31.278824999999912</v>
      </c>
      <c r="X43" s="247">
        <f t="shared" si="400"/>
        <v>0</v>
      </c>
      <c r="Y43" s="247">
        <f t="shared" si="401"/>
        <v>3.3524999999999907</v>
      </c>
      <c r="Z43" s="247">
        <f t="shared" si="402"/>
        <v>0</v>
      </c>
      <c r="AA43" s="247">
        <f t="shared" si="403"/>
        <v>2.9524999999999908</v>
      </c>
      <c r="AB43" s="496">
        <f t="shared" si="404"/>
        <v>9.33</v>
      </c>
      <c r="AC43" s="251">
        <f t="shared" si="405"/>
        <v>13.995000000000001</v>
      </c>
      <c r="AD43" s="251">
        <f t="shared" si="406"/>
        <v>13.995000000000001</v>
      </c>
      <c r="AE43" s="251">
        <f t="shared" si="407"/>
        <v>3.2888249999999135</v>
      </c>
      <c r="AF43" s="251">
        <f t="shared" si="408"/>
        <v>0</v>
      </c>
      <c r="AG43" s="251">
        <f t="shared" si="409"/>
        <v>0</v>
      </c>
      <c r="AH43" s="251">
        <f t="shared" si="410"/>
        <v>0</v>
      </c>
      <c r="AI43" s="497" t="str">
        <f t="shared" si="411"/>
        <v>NÃO</v>
      </c>
      <c r="AJ43" s="253">
        <f t="shared" si="412"/>
        <v>0</v>
      </c>
      <c r="AK43" s="253">
        <f t="shared" si="413"/>
        <v>0.14337099999999886</v>
      </c>
      <c r="AL43" s="253">
        <f t="shared" si="414"/>
        <v>30.106382621680201</v>
      </c>
      <c r="AM43" s="241">
        <f t="shared" si="415"/>
        <v>0.46650000000000003</v>
      </c>
      <c r="AN43" s="246">
        <f t="shared" si="416"/>
        <v>0</v>
      </c>
      <c r="AO43" s="253">
        <f t="shared" si="417"/>
        <v>3.7320000000000002</v>
      </c>
      <c r="AP43" s="253">
        <f t="shared" si="418"/>
        <v>3.7320000000000002</v>
      </c>
      <c r="AQ43" s="253">
        <f t="shared" si="419"/>
        <v>0.7</v>
      </c>
      <c r="AR43" s="253">
        <f t="shared" si="420"/>
        <v>5.3585576216802888</v>
      </c>
      <c r="AS43" s="253">
        <f t="shared" si="421"/>
        <v>5.3585576216802888</v>
      </c>
      <c r="AT43" s="253">
        <f t="shared" si="422"/>
        <v>1.3995</v>
      </c>
      <c r="AU43" s="253">
        <f t="shared" si="423"/>
        <v>1.3995</v>
      </c>
      <c r="AV43" s="253">
        <f t="shared" si="424"/>
        <v>0.27989999999999998</v>
      </c>
      <c r="AW43" s="253">
        <f t="shared" si="425"/>
        <v>17.750324999999911</v>
      </c>
      <c r="AX43" s="253">
        <f t="shared" si="426"/>
        <v>-10.49005762168029</v>
      </c>
      <c r="AY43" s="253">
        <f t="shared" si="427"/>
        <v>-10.49005762168029</v>
      </c>
      <c r="AZ43" s="253">
        <f t="shared" si="428"/>
        <v>28.240382621680201</v>
      </c>
      <c r="BA43" s="253">
        <f t="shared" si="429"/>
        <v>15.083287454785946</v>
      </c>
      <c r="BB43" s="253">
        <f t="shared" si="430"/>
        <v>13.157095166894255</v>
      </c>
      <c r="BC43" s="253"/>
      <c r="BD43" s="253">
        <f t="shared" si="431"/>
        <v>0.20526</v>
      </c>
      <c r="BE43" s="496">
        <f t="shared" si="432"/>
        <v>2.9524999999999908</v>
      </c>
      <c r="BF43" s="498">
        <f t="shared" si="433"/>
        <v>0</v>
      </c>
      <c r="BG43" s="498">
        <f t="shared" si="434"/>
        <v>9.33</v>
      </c>
      <c r="BH43" s="495" t="str">
        <f>VLOOKUP(A43,'BOCA DE LOBO'!C:I,7,0)</f>
        <v>BOCA DE LOBO PROJETADA DUPLA</v>
      </c>
      <c r="BI43" s="253">
        <f t="shared" si="435"/>
        <v>0</v>
      </c>
      <c r="BJ43" s="253">
        <f t="shared" si="436"/>
        <v>0</v>
      </c>
      <c r="BK43" s="253">
        <f t="shared" si="437"/>
        <v>0</v>
      </c>
      <c r="BL43" s="253">
        <f t="shared" si="438"/>
        <v>0</v>
      </c>
      <c r="BM43" s="253">
        <f t="shared" si="439"/>
        <v>0</v>
      </c>
      <c r="BN43" s="253">
        <f t="shared" si="440"/>
        <v>1</v>
      </c>
      <c r="BO43" s="253">
        <f t="shared" si="441"/>
        <v>0</v>
      </c>
      <c r="BP43" s="500"/>
      <c r="BQ43" s="496">
        <f t="shared" si="442"/>
        <v>27.990000000000002</v>
      </c>
      <c r="BR43" s="496">
        <f t="shared" si="443"/>
        <v>27.990000000000002</v>
      </c>
      <c r="BS43" s="496">
        <f t="shared" si="444"/>
        <v>8.4436499999998276</v>
      </c>
      <c r="BV43" s="502">
        <f t="shared" si="445"/>
        <v>23.347799999999996</v>
      </c>
      <c r="BW43" s="502">
        <f t="shared" si="446"/>
        <v>7.7825999999999986</v>
      </c>
      <c r="BX43" s="502">
        <f t="shared" si="447"/>
        <v>3.0325999999999995</v>
      </c>
      <c r="BY43" s="502">
        <f t="shared" si="448"/>
        <v>2.5</v>
      </c>
      <c r="BZ43" s="502">
        <f t="shared" si="449"/>
        <v>0</v>
      </c>
      <c r="CA43" s="502">
        <f t="shared" si="450"/>
        <v>2.9</v>
      </c>
      <c r="CB43" s="502">
        <f t="shared" si="451"/>
        <v>0</v>
      </c>
      <c r="CC43" s="502">
        <f t="shared" si="452"/>
        <v>0</v>
      </c>
      <c r="CD43" s="502">
        <f t="shared" si="453"/>
        <v>0</v>
      </c>
      <c r="CE43" s="502">
        <f t="shared" si="454"/>
        <v>11.673899999999998</v>
      </c>
      <c r="CF43" s="502">
        <f t="shared" si="455"/>
        <v>10.895639999999997</v>
      </c>
      <c r="CG43" s="502">
        <f t="shared" si="456"/>
        <v>0.77825999999999951</v>
      </c>
      <c r="CH43" s="502">
        <f t="shared" si="457"/>
        <v>0</v>
      </c>
      <c r="CI43" s="253">
        <f t="shared" si="458"/>
        <v>0.53549999999999998</v>
      </c>
      <c r="CJ43" s="502">
        <f t="shared" si="459"/>
        <v>13.239499999999996</v>
      </c>
      <c r="CK43" s="502">
        <f t="shared" si="460"/>
        <v>13.239499999999996</v>
      </c>
      <c r="CL43" s="502">
        <f t="shared" si="461"/>
        <v>0</v>
      </c>
      <c r="CM43" s="502">
        <f t="shared" si="462"/>
        <v>0.15565199999999998</v>
      </c>
      <c r="CN43" s="502">
        <f t="shared" si="463"/>
        <v>3.57</v>
      </c>
      <c r="CO43" s="502">
        <f t="shared" si="464"/>
        <v>3</v>
      </c>
      <c r="CP43" s="502">
        <f t="shared" si="465"/>
        <v>10.709999999999999</v>
      </c>
      <c r="CQ43" s="502">
        <f t="shared" si="466"/>
        <v>10.709999999999999</v>
      </c>
      <c r="CR43" s="220">
        <f t="shared" si="467"/>
        <v>0</v>
      </c>
      <c r="CS43" s="503">
        <f t="shared" si="468"/>
        <v>0</v>
      </c>
      <c r="CT43" s="503">
        <f t="shared" si="469"/>
        <v>0.33012999999999998</v>
      </c>
      <c r="CU43" s="504">
        <f t="shared" si="470"/>
        <v>13</v>
      </c>
      <c r="CV43" s="504">
        <f t="shared" si="471"/>
        <v>1.43895</v>
      </c>
      <c r="CW43" s="502">
        <f t="shared" si="472"/>
        <v>23.248199999999997</v>
      </c>
      <c r="CX43" s="253">
        <f t="shared" si="473"/>
        <v>3.57</v>
      </c>
      <c r="CY43" s="505">
        <f t="shared" si="474"/>
        <v>1.7849999999999999</v>
      </c>
      <c r="CZ43" s="502">
        <f t="shared" si="475"/>
        <v>2.4513847475961154E-2</v>
      </c>
    </row>
    <row r="44" spans="1:104" s="501" customFormat="1" ht="25" x14ac:dyDescent="0.25">
      <c r="A44" s="291" t="str">
        <f>'BOCA DE LOBO'!C51</f>
        <v>BL41-&gt;PV1-88</v>
      </c>
      <c r="B44" s="291" t="str">
        <f>'BOCA DE LOBO'!A51</f>
        <v>PV1-88</v>
      </c>
      <c r="C44" s="413" t="str">
        <f>VLOOKUP(A44,'BOCA DE LOBO'!$C$1:$Q$76,3,0)</f>
        <v>EXISTENTE</v>
      </c>
      <c r="D44" s="291" t="str">
        <f>VLOOKUP(A44,'BOCA DE LOBO'!$C$1:$Q$76,10,0)</f>
        <v>PROJETADA</v>
      </c>
      <c r="E44" s="413">
        <f t="shared" si="391"/>
        <v>1.5256000000000001</v>
      </c>
      <c r="F44" s="291">
        <f>VLOOKUP(A44,'BOCA DE LOBO'!$C$1:$Q$76,2,0)</f>
        <v>1.75</v>
      </c>
      <c r="G44" s="291">
        <f>VLOOKUP(A44,'BOCA DE LOBO'!$C$1:$Q$76,4,0)</f>
        <v>5.61</v>
      </c>
      <c r="H44" s="238">
        <v>400</v>
      </c>
      <c r="I44" s="493">
        <f t="shared" si="392"/>
        <v>1.7678</v>
      </c>
      <c r="J44" s="241">
        <f t="shared" si="393"/>
        <v>0.49586790000000003</v>
      </c>
      <c r="K44" s="494">
        <v>0</v>
      </c>
      <c r="L44" s="253">
        <f t="shared" si="394"/>
        <v>1</v>
      </c>
      <c r="M44" s="253">
        <f t="shared" si="395"/>
        <v>1</v>
      </c>
      <c r="N44" s="253">
        <f t="shared" si="396"/>
        <v>0</v>
      </c>
      <c r="O44" s="253">
        <f t="shared" si="306"/>
        <v>5.61</v>
      </c>
      <c r="P44" s="495" t="s">
        <v>2392</v>
      </c>
      <c r="Q44" s="495" t="s">
        <v>2993</v>
      </c>
      <c r="R44" s="495"/>
      <c r="S44" s="495">
        <v>4.5</v>
      </c>
      <c r="T44" s="495">
        <v>5</v>
      </c>
      <c r="U44" s="253">
        <f t="shared" si="397"/>
        <v>0.05</v>
      </c>
      <c r="V44" s="246">
        <f t="shared" si="398"/>
        <v>0</v>
      </c>
      <c r="W44" s="246">
        <f t="shared" si="399"/>
        <v>9.9173580000000001</v>
      </c>
      <c r="X44" s="247">
        <f t="shared" si="400"/>
        <v>0</v>
      </c>
      <c r="Y44" s="247">
        <f t="shared" si="401"/>
        <v>0</v>
      </c>
      <c r="Z44" s="247">
        <f t="shared" si="402"/>
        <v>1.7678</v>
      </c>
      <c r="AA44" s="247">
        <f t="shared" si="403"/>
        <v>0</v>
      </c>
      <c r="AB44" s="496">
        <f t="shared" si="404"/>
        <v>5.61</v>
      </c>
      <c r="AC44" s="251">
        <f t="shared" si="405"/>
        <v>0</v>
      </c>
      <c r="AD44" s="251">
        <f t="shared" si="406"/>
        <v>0</v>
      </c>
      <c r="AE44" s="251">
        <f t="shared" si="407"/>
        <v>0</v>
      </c>
      <c r="AF44" s="251">
        <f t="shared" si="408"/>
        <v>8.4150000000000009</v>
      </c>
      <c r="AG44" s="251">
        <f t="shared" si="409"/>
        <v>1.5023580000000003</v>
      </c>
      <c r="AH44" s="251">
        <f t="shared" si="410"/>
        <v>0</v>
      </c>
      <c r="AI44" s="497" t="str">
        <f t="shared" si="411"/>
        <v>NÃO</v>
      </c>
      <c r="AJ44" s="253">
        <f t="shared" si="412"/>
        <v>0</v>
      </c>
      <c r="AK44" s="253">
        <f t="shared" si="413"/>
        <v>0</v>
      </c>
      <c r="AL44" s="253">
        <f t="shared" si="414"/>
        <v>9.2123846085344496</v>
      </c>
      <c r="AM44" s="241">
        <f t="shared" si="415"/>
        <v>0.28050000000000003</v>
      </c>
      <c r="AN44" s="246">
        <f t="shared" si="416"/>
        <v>0</v>
      </c>
      <c r="AO44" s="253">
        <f t="shared" si="417"/>
        <v>0</v>
      </c>
      <c r="AP44" s="253">
        <f t="shared" si="418"/>
        <v>0</v>
      </c>
      <c r="AQ44" s="253">
        <f t="shared" si="419"/>
        <v>0.7</v>
      </c>
      <c r="AR44" s="253">
        <f t="shared" si="420"/>
        <v>3.2220266085344504</v>
      </c>
      <c r="AS44" s="253">
        <f t="shared" si="421"/>
        <v>0</v>
      </c>
      <c r="AT44" s="253">
        <f t="shared" si="422"/>
        <v>0.84150000000000003</v>
      </c>
      <c r="AU44" s="253">
        <f t="shared" si="423"/>
        <v>0.84150000000000003</v>
      </c>
      <c r="AV44" s="253">
        <f t="shared" si="424"/>
        <v>0.16830000000000001</v>
      </c>
      <c r="AW44" s="253">
        <f t="shared" si="425"/>
        <v>4.0268579999999989</v>
      </c>
      <c r="AX44" s="253">
        <f t="shared" si="426"/>
        <v>5.8538313914655511</v>
      </c>
      <c r="AY44" s="253">
        <f t="shared" si="427"/>
        <v>4.0268579999999989</v>
      </c>
      <c r="AZ44" s="253">
        <f t="shared" si="428"/>
        <v>0</v>
      </c>
      <c r="BA44" s="253">
        <f t="shared" si="429"/>
        <v>0</v>
      </c>
      <c r="BB44" s="253">
        <f t="shared" si="430"/>
        <v>0</v>
      </c>
      <c r="BC44" s="253"/>
      <c r="BD44" s="253">
        <f t="shared" si="431"/>
        <v>3.3660000000000002E-2</v>
      </c>
      <c r="BE44" s="496">
        <f t="shared" si="432"/>
        <v>1.7678</v>
      </c>
      <c r="BF44" s="498">
        <f t="shared" si="433"/>
        <v>0</v>
      </c>
      <c r="BG44" s="498">
        <f t="shared" si="434"/>
        <v>5.61</v>
      </c>
      <c r="BH44" s="495" t="str">
        <f>VLOOKUP(A44,'BOCA DE LOBO'!C:I,7,0)</f>
        <v>BOCA DE LOBO PROJETADA DUPLA</v>
      </c>
      <c r="BI44" s="253">
        <f t="shared" si="435"/>
        <v>0</v>
      </c>
      <c r="BJ44" s="253">
        <f t="shared" si="436"/>
        <v>0</v>
      </c>
      <c r="BK44" s="253">
        <f t="shared" si="437"/>
        <v>0</v>
      </c>
      <c r="BL44" s="253">
        <f t="shared" si="438"/>
        <v>0</v>
      </c>
      <c r="BM44" s="253">
        <f t="shared" si="439"/>
        <v>0</v>
      </c>
      <c r="BN44" s="253">
        <f t="shared" si="440"/>
        <v>1</v>
      </c>
      <c r="BO44" s="253">
        <f t="shared" si="441"/>
        <v>0</v>
      </c>
      <c r="BP44" s="500"/>
      <c r="BQ44" s="496">
        <f t="shared" si="442"/>
        <v>16.830000000000002</v>
      </c>
      <c r="BR44" s="496">
        <f t="shared" si="443"/>
        <v>3.0047160000000006</v>
      </c>
      <c r="BS44" s="496">
        <f t="shared" si="444"/>
        <v>0</v>
      </c>
      <c r="BV44" s="502">
        <f t="shared" si="445"/>
        <v>11.873134559999999</v>
      </c>
      <c r="BW44" s="502">
        <f t="shared" si="446"/>
        <v>7.7825999999999986</v>
      </c>
      <c r="BX44" s="502">
        <f t="shared" si="447"/>
        <v>3.0325999999999995</v>
      </c>
      <c r="BY44" s="502">
        <f t="shared" si="448"/>
        <v>1.5256000000000001</v>
      </c>
      <c r="BZ44" s="502">
        <f t="shared" si="449"/>
        <v>1.5256000000000001</v>
      </c>
      <c r="CA44" s="502">
        <f t="shared" si="450"/>
        <v>0</v>
      </c>
      <c r="CB44" s="502">
        <f t="shared" si="451"/>
        <v>0</v>
      </c>
      <c r="CC44" s="502">
        <f t="shared" si="452"/>
        <v>11.673899999999998</v>
      </c>
      <c r="CD44" s="502">
        <f t="shared" si="453"/>
        <v>0.19923456000000048</v>
      </c>
      <c r="CE44" s="502">
        <f t="shared" si="454"/>
        <v>0</v>
      </c>
      <c r="CF44" s="502">
        <f t="shared" si="455"/>
        <v>0</v>
      </c>
      <c r="CG44" s="502">
        <f t="shared" si="456"/>
        <v>0</v>
      </c>
      <c r="CH44" s="502">
        <f t="shared" si="457"/>
        <v>0</v>
      </c>
      <c r="CI44" s="253">
        <f t="shared" si="458"/>
        <v>0.53549999999999998</v>
      </c>
      <c r="CJ44" s="502">
        <f t="shared" si="459"/>
        <v>6.7110999999999992</v>
      </c>
      <c r="CK44" s="502">
        <f t="shared" si="460"/>
        <v>6.7110999999999992</v>
      </c>
      <c r="CL44" s="502">
        <f t="shared" si="461"/>
        <v>0</v>
      </c>
      <c r="CM44" s="502">
        <f t="shared" si="462"/>
        <v>0</v>
      </c>
      <c r="CN44" s="502">
        <f t="shared" si="463"/>
        <v>3.57</v>
      </c>
      <c r="CO44" s="502">
        <f t="shared" si="464"/>
        <v>1.5256000000000001</v>
      </c>
      <c r="CP44" s="502">
        <f t="shared" si="465"/>
        <v>10.709999999999999</v>
      </c>
      <c r="CQ44" s="502">
        <f t="shared" si="466"/>
        <v>0.18278400000000047</v>
      </c>
      <c r="CR44" s="220">
        <f t="shared" si="467"/>
        <v>0</v>
      </c>
      <c r="CS44" s="503">
        <f t="shared" si="468"/>
        <v>0</v>
      </c>
      <c r="CT44" s="503">
        <f t="shared" si="469"/>
        <v>0.33012999999999998</v>
      </c>
      <c r="CU44" s="504">
        <f t="shared" si="470"/>
        <v>7.9331200000000006</v>
      </c>
      <c r="CV44" s="504">
        <f t="shared" si="471"/>
        <v>1.1407835999999998</v>
      </c>
      <c r="CW44" s="502">
        <f t="shared" si="472"/>
        <v>15.764808</v>
      </c>
      <c r="CX44" s="253">
        <f t="shared" si="473"/>
        <v>3.57</v>
      </c>
      <c r="CY44" s="505">
        <f t="shared" si="474"/>
        <v>1.7849999999999999</v>
      </c>
      <c r="CZ44" s="502">
        <f t="shared" si="475"/>
        <v>2.4513847475961154E-2</v>
      </c>
    </row>
    <row r="45" spans="1:104" s="501" customFormat="1" ht="25" x14ac:dyDescent="0.25">
      <c r="A45" s="291" t="str">
        <f>'BOCA DE LOBO'!C52</f>
        <v>BL42-&gt;PV2-88</v>
      </c>
      <c r="B45" s="291" t="str">
        <f>'BOCA DE LOBO'!A52</f>
        <v>PV2-88</v>
      </c>
      <c r="C45" s="413" t="str">
        <f>VLOOKUP(A45,'BOCA DE LOBO'!$C$1:$Q$76,3,0)</f>
        <v>EXISTENTE</v>
      </c>
      <c r="D45" s="291" t="str">
        <f>VLOOKUP(A45,'BOCA DE LOBO'!$C$1:$Q$76,10,0)</f>
        <v>PROJETADA</v>
      </c>
      <c r="E45" s="413">
        <f t="shared" si="391"/>
        <v>1.5931999999999453</v>
      </c>
      <c r="F45" s="291">
        <f>VLOOKUP(A45,'BOCA DE LOBO'!$C$1:$Q$76,2,0)</f>
        <v>1.8099999999999454</v>
      </c>
      <c r="G45" s="291">
        <f>VLOOKUP(A45,'BOCA DE LOBO'!$C$1:$Q$76,4,0)</f>
        <v>5.42</v>
      </c>
      <c r="H45" s="238">
        <v>400</v>
      </c>
      <c r="I45" s="493">
        <f t="shared" si="392"/>
        <v>1.8315999999999455</v>
      </c>
      <c r="J45" s="241">
        <f t="shared" si="393"/>
        <v>0.49636359999998519</v>
      </c>
      <c r="K45" s="494">
        <v>0</v>
      </c>
      <c r="L45" s="253">
        <f t="shared" si="394"/>
        <v>1</v>
      </c>
      <c r="M45" s="253">
        <f t="shared" si="395"/>
        <v>1</v>
      </c>
      <c r="N45" s="253">
        <f t="shared" si="396"/>
        <v>0</v>
      </c>
      <c r="O45" s="253">
        <f t="shared" si="306"/>
        <v>5.42</v>
      </c>
      <c r="P45" s="495" t="s">
        <v>2392</v>
      </c>
      <c r="Q45" s="495" t="s">
        <v>2994</v>
      </c>
      <c r="R45" s="495"/>
      <c r="S45" s="495">
        <v>4</v>
      </c>
      <c r="T45" s="495">
        <v>5</v>
      </c>
      <c r="U45" s="253">
        <f t="shared" si="397"/>
        <v>0.05</v>
      </c>
      <c r="V45" s="246">
        <f t="shared" si="398"/>
        <v>0</v>
      </c>
      <c r="W45" s="246">
        <f t="shared" si="399"/>
        <v>9.9272719999997037</v>
      </c>
      <c r="X45" s="247">
        <f t="shared" si="400"/>
        <v>0</v>
      </c>
      <c r="Y45" s="247">
        <f t="shared" si="401"/>
        <v>0</v>
      </c>
      <c r="Z45" s="247">
        <f t="shared" si="402"/>
        <v>1.8315999999999455</v>
      </c>
      <c r="AA45" s="247">
        <f t="shared" si="403"/>
        <v>0</v>
      </c>
      <c r="AB45" s="496">
        <f t="shared" si="404"/>
        <v>5.42</v>
      </c>
      <c r="AC45" s="251">
        <f t="shared" si="405"/>
        <v>0</v>
      </c>
      <c r="AD45" s="251">
        <f t="shared" si="406"/>
        <v>0</v>
      </c>
      <c r="AE45" s="251">
        <f t="shared" si="407"/>
        <v>0</v>
      </c>
      <c r="AF45" s="251">
        <f t="shared" si="408"/>
        <v>8.129999999999999</v>
      </c>
      <c r="AG45" s="251">
        <f t="shared" si="409"/>
        <v>1.7972719999997047</v>
      </c>
      <c r="AH45" s="251">
        <f t="shared" si="410"/>
        <v>0</v>
      </c>
      <c r="AI45" s="497" t="str">
        <f t="shared" si="411"/>
        <v>NÃO</v>
      </c>
      <c r="AJ45" s="253">
        <f t="shared" si="412"/>
        <v>0</v>
      </c>
      <c r="AK45" s="253">
        <f t="shared" si="413"/>
        <v>0</v>
      </c>
      <c r="AL45" s="253">
        <f t="shared" si="414"/>
        <v>9.2461747127014355</v>
      </c>
      <c r="AM45" s="241">
        <f t="shared" si="415"/>
        <v>0.27100000000000002</v>
      </c>
      <c r="AN45" s="246">
        <f t="shared" si="416"/>
        <v>0</v>
      </c>
      <c r="AO45" s="253">
        <f t="shared" si="417"/>
        <v>0</v>
      </c>
      <c r="AP45" s="253">
        <f t="shared" si="418"/>
        <v>0</v>
      </c>
      <c r="AQ45" s="253">
        <f t="shared" si="419"/>
        <v>0.7</v>
      </c>
      <c r="AR45" s="253">
        <f t="shared" si="420"/>
        <v>3.1129027127017324</v>
      </c>
      <c r="AS45" s="253">
        <f t="shared" si="421"/>
        <v>0</v>
      </c>
      <c r="AT45" s="253">
        <f t="shared" si="422"/>
        <v>0.81299999999999994</v>
      </c>
      <c r="AU45" s="253">
        <f t="shared" si="423"/>
        <v>0.81299999999999994</v>
      </c>
      <c r="AV45" s="253">
        <f t="shared" si="424"/>
        <v>0.16259999999999999</v>
      </c>
      <c r="AW45" s="253">
        <f t="shared" si="425"/>
        <v>4.2362719999997021</v>
      </c>
      <c r="AX45" s="253">
        <f t="shared" si="426"/>
        <v>6.0013692872979707</v>
      </c>
      <c r="AY45" s="253">
        <f t="shared" si="427"/>
        <v>4.2362719999997021</v>
      </c>
      <c r="AZ45" s="253">
        <f t="shared" si="428"/>
        <v>0</v>
      </c>
      <c r="BA45" s="253">
        <f t="shared" si="429"/>
        <v>0</v>
      </c>
      <c r="BB45" s="253">
        <f t="shared" si="430"/>
        <v>0</v>
      </c>
      <c r="BC45" s="253"/>
      <c r="BD45" s="253">
        <f t="shared" si="431"/>
        <v>3.252E-2</v>
      </c>
      <c r="BE45" s="496">
        <f t="shared" si="432"/>
        <v>1.8315999999999455</v>
      </c>
      <c r="BF45" s="498">
        <f t="shared" si="433"/>
        <v>0</v>
      </c>
      <c r="BG45" s="498">
        <f t="shared" si="434"/>
        <v>5.42</v>
      </c>
      <c r="BH45" s="495" t="str">
        <f>VLOOKUP(A45,'BOCA DE LOBO'!C:I,7,0)</f>
        <v>BOCA DE LOBO PROJETADA DUPLA</v>
      </c>
      <c r="BI45" s="253">
        <f t="shared" si="435"/>
        <v>0</v>
      </c>
      <c r="BJ45" s="253">
        <f t="shared" si="436"/>
        <v>0</v>
      </c>
      <c r="BK45" s="253">
        <f t="shared" si="437"/>
        <v>0</v>
      </c>
      <c r="BL45" s="253">
        <f t="shared" si="438"/>
        <v>0</v>
      </c>
      <c r="BM45" s="253">
        <f t="shared" si="439"/>
        <v>0</v>
      </c>
      <c r="BN45" s="253">
        <f t="shared" si="440"/>
        <v>1</v>
      </c>
      <c r="BO45" s="253">
        <f t="shared" si="441"/>
        <v>0</v>
      </c>
      <c r="BP45" s="500"/>
      <c r="BQ45" s="496">
        <f t="shared" si="442"/>
        <v>16.259999999999998</v>
      </c>
      <c r="BR45" s="496">
        <f t="shared" si="443"/>
        <v>3.5945439999994093</v>
      </c>
      <c r="BS45" s="496">
        <f t="shared" si="444"/>
        <v>0</v>
      </c>
      <c r="BV45" s="502">
        <f t="shared" si="445"/>
        <v>12.399238319999572</v>
      </c>
      <c r="BW45" s="502">
        <f t="shared" si="446"/>
        <v>7.7825999999999986</v>
      </c>
      <c r="BX45" s="502">
        <f t="shared" si="447"/>
        <v>3.0325999999999995</v>
      </c>
      <c r="BY45" s="502">
        <f t="shared" si="448"/>
        <v>1.5931999999999453</v>
      </c>
      <c r="BZ45" s="502">
        <f t="shared" si="449"/>
        <v>1.5931999999999453</v>
      </c>
      <c r="CA45" s="502">
        <f t="shared" si="450"/>
        <v>0</v>
      </c>
      <c r="CB45" s="502">
        <f t="shared" si="451"/>
        <v>0</v>
      </c>
      <c r="CC45" s="502">
        <f t="shared" si="452"/>
        <v>11.673899999999998</v>
      </c>
      <c r="CD45" s="502">
        <f t="shared" si="453"/>
        <v>0.72533831999957432</v>
      </c>
      <c r="CE45" s="502">
        <f t="shared" si="454"/>
        <v>0</v>
      </c>
      <c r="CF45" s="502">
        <f t="shared" si="455"/>
        <v>0</v>
      </c>
      <c r="CG45" s="502">
        <f t="shared" si="456"/>
        <v>0</v>
      </c>
      <c r="CH45" s="502">
        <f t="shared" si="457"/>
        <v>0</v>
      </c>
      <c r="CI45" s="253">
        <f t="shared" si="458"/>
        <v>0.53549999999999998</v>
      </c>
      <c r="CJ45" s="502">
        <f t="shared" si="459"/>
        <v>7.0321999999997393</v>
      </c>
      <c r="CK45" s="502">
        <f t="shared" si="460"/>
        <v>7.0321999999997393</v>
      </c>
      <c r="CL45" s="502">
        <f t="shared" si="461"/>
        <v>0</v>
      </c>
      <c r="CM45" s="502">
        <f t="shared" si="462"/>
        <v>0</v>
      </c>
      <c r="CN45" s="502">
        <f t="shared" si="463"/>
        <v>3.57</v>
      </c>
      <c r="CO45" s="502">
        <f t="shared" si="464"/>
        <v>1.5931999999999453</v>
      </c>
      <c r="CP45" s="502">
        <f t="shared" si="465"/>
        <v>10.709999999999999</v>
      </c>
      <c r="CQ45" s="502">
        <f t="shared" si="466"/>
        <v>0.66544799999960957</v>
      </c>
      <c r="CR45" s="220">
        <f t="shared" si="467"/>
        <v>0</v>
      </c>
      <c r="CS45" s="503">
        <f t="shared" si="468"/>
        <v>0</v>
      </c>
      <c r="CT45" s="503">
        <f t="shared" si="469"/>
        <v>0.33012999999999998</v>
      </c>
      <c r="CU45" s="504">
        <f t="shared" si="470"/>
        <v>8.2846399999997153</v>
      </c>
      <c r="CV45" s="504">
        <f t="shared" si="471"/>
        <v>1.1614691999999831</v>
      </c>
      <c r="CW45" s="502">
        <f t="shared" si="472"/>
        <v>16.28397599999958</v>
      </c>
      <c r="CX45" s="253">
        <f t="shared" si="473"/>
        <v>3.57</v>
      </c>
      <c r="CY45" s="505">
        <f t="shared" si="474"/>
        <v>1.7849999999999999</v>
      </c>
      <c r="CZ45" s="502">
        <f t="shared" si="475"/>
        <v>2.4513847475961154E-2</v>
      </c>
    </row>
    <row r="46" spans="1:104" s="501" customFormat="1" ht="25" x14ac:dyDescent="0.25">
      <c r="A46" s="291" t="str">
        <f>'BOCA DE LOBO'!C53</f>
        <v>BL43-&gt;PV4-88</v>
      </c>
      <c r="B46" s="291" t="str">
        <f>'BOCA DE LOBO'!A53</f>
        <v>PV4-88</v>
      </c>
      <c r="C46" s="413" t="str">
        <f>VLOOKUP(A46,'BOCA DE LOBO'!$C$1:$Q$76,3,0)</f>
        <v>EXISTENTE</v>
      </c>
      <c r="D46" s="291" t="str">
        <f>VLOOKUP(A46,'BOCA DE LOBO'!$C$1:$Q$76,10,0)</f>
        <v>PROJETADA</v>
      </c>
      <c r="E46" s="413">
        <f t="shared" si="391"/>
        <v>1.6872000000000182</v>
      </c>
      <c r="F46" s="291">
        <f>VLOOKUP(A46,'BOCA DE LOBO'!$C$1:$Q$76,2,0)</f>
        <v>1.9800000000000182</v>
      </c>
      <c r="G46" s="291">
        <f>VLOOKUP(A46,'BOCA DE LOBO'!$C$1:$Q$76,4,0)</f>
        <v>7.32</v>
      </c>
      <c r="H46" s="238">
        <v>400</v>
      </c>
      <c r="I46" s="493">
        <f t="shared" si="392"/>
        <v>1.9636000000000184</v>
      </c>
      <c r="J46" s="241">
        <f t="shared" si="393"/>
        <v>0.7186776000000068</v>
      </c>
      <c r="K46" s="494">
        <v>0</v>
      </c>
      <c r="L46" s="253">
        <f t="shared" si="394"/>
        <v>1</v>
      </c>
      <c r="M46" s="253">
        <f t="shared" si="395"/>
        <v>1</v>
      </c>
      <c r="N46" s="253">
        <f t="shared" si="396"/>
        <v>0</v>
      </c>
      <c r="O46" s="253">
        <f t="shared" si="306"/>
        <v>7.32</v>
      </c>
      <c r="P46" s="495" t="s">
        <v>2392</v>
      </c>
      <c r="Q46" s="495" t="s">
        <v>2994</v>
      </c>
      <c r="R46" s="495"/>
      <c r="S46" s="495">
        <v>4</v>
      </c>
      <c r="T46" s="495">
        <v>5</v>
      </c>
      <c r="U46" s="253">
        <f t="shared" si="397"/>
        <v>0.05</v>
      </c>
      <c r="V46" s="246">
        <f t="shared" si="398"/>
        <v>0</v>
      </c>
      <c r="W46" s="246">
        <f t="shared" si="399"/>
        <v>14.373552000000135</v>
      </c>
      <c r="X46" s="247">
        <f t="shared" si="400"/>
        <v>0</v>
      </c>
      <c r="Y46" s="247">
        <f t="shared" si="401"/>
        <v>0</v>
      </c>
      <c r="Z46" s="247">
        <f t="shared" si="402"/>
        <v>1.9636000000000184</v>
      </c>
      <c r="AA46" s="247">
        <f t="shared" si="403"/>
        <v>0</v>
      </c>
      <c r="AB46" s="496">
        <f t="shared" si="404"/>
        <v>7.32</v>
      </c>
      <c r="AC46" s="251">
        <f t="shared" si="405"/>
        <v>0</v>
      </c>
      <c r="AD46" s="251">
        <f t="shared" si="406"/>
        <v>0</v>
      </c>
      <c r="AE46" s="251">
        <f t="shared" si="407"/>
        <v>0</v>
      </c>
      <c r="AF46" s="251">
        <f t="shared" si="408"/>
        <v>10.98</v>
      </c>
      <c r="AG46" s="251">
        <f t="shared" si="409"/>
        <v>3.3935520000001351</v>
      </c>
      <c r="AH46" s="251">
        <f t="shared" si="410"/>
        <v>0</v>
      </c>
      <c r="AI46" s="497" t="str">
        <f t="shared" si="411"/>
        <v>NÃO</v>
      </c>
      <c r="AJ46" s="253">
        <f t="shared" si="412"/>
        <v>0</v>
      </c>
      <c r="AK46" s="253">
        <f t="shared" si="413"/>
        <v>0</v>
      </c>
      <c r="AL46" s="253">
        <f t="shared" si="414"/>
        <v>13.453693671029043</v>
      </c>
      <c r="AM46" s="241">
        <f t="shared" si="415"/>
        <v>0.36600000000000005</v>
      </c>
      <c r="AN46" s="246">
        <f t="shared" si="416"/>
        <v>0</v>
      </c>
      <c r="AO46" s="253">
        <f t="shared" si="417"/>
        <v>0</v>
      </c>
      <c r="AP46" s="253">
        <f t="shared" si="418"/>
        <v>0</v>
      </c>
      <c r="AQ46" s="253">
        <f t="shared" si="419"/>
        <v>0.7</v>
      </c>
      <c r="AR46" s="253">
        <f t="shared" si="420"/>
        <v>4.2041416710289079</v>
      </c>
      <c r="AS46" s="253">
        <f t="shared" si="421"/>
        <v>0</v>
      </c>
      <c r="AT46" s="253">
        <f t="shared" si="422"/>
        <v>1.0980000000000001</v>
      </c>
      <c r="AU46" s="253">
        <f t="shared" si="423"/>
        <v>1.0980000000000001</v>
      </c>
      <c r="AV46" s="253">
        <f t="shared" si="424"/>
        <v>0.21959999999999999</v>
      </c>
      <c r="AW46" s="253">
        <f t="shared" si="425"/>
        <v>6.6875520000001343</v>
      </c>
      <c r="AX46" s="253">
        <f t="shared" si="426"/>
        <v>9.0714103289712256</v>
      </c>
      <c r="AY46" s="253">
        <f t="shared" si="427"/>
        <v>6.6875520000001343</v>
      </c>
      <c r="AZ46" s="253">
        <f t="shared" si="428"/>
        <v>0</v>
      </c>
      <c r="BA46" s="253">
        <f t="shared" si="429"/>
        <v>0</v>
      </c>
      <c r="BB46" s="253">
        <f t="shared" si="430"/>
        <v>0</v>
      </c>
      <c r="BC46" s="253"/>
      <c r="BD46" s="253">
        <f t="shared" si="431"/>
        <v>4.3920000000000008E-2</v>
      </c>
      <c r="BE46" s="496">
        <f t="shared" si="432"/>
        <v>1.9636000000000184</v>
      </c>
      <c r="BF46" s="498">
        <f t="shared" si="433"/>
        <v>0</v>
      </c>
      <c r="BG46" s="498">
        <f t="shared" si="434"/>
        <v>7.32</v>
      </c>
      <c r="BH46" s="495" t="str">
        <f>VLOOKUP(A46,'BOCA DE LOBO'!C:I,7,0)</f>
        <v>BOCA DE LOBO PROJETADA DUPLA</v>
      </c>
      <c r="BI46" s="253">
        <f t="shared" si="435"/>
        <v>0</v>
      </c>
      <c r="BJ46" s="253">
        <f t="shared" si="436"/>
        <v>0</v>
      </c>
      <c r="BK46" s="253">
        <f t="shared" si="437"/>
        <v>0</v>
      </c>
      <c r="BL46" s="253">
        <f t="shared" si="438"/>
        <v>0</v>
      </c>
      <c r="BM46" s="253">
        <f t="shared" si="439"/>
        <v>0</v>
      </c>
      <c r="BN46" s="253">
        <f t="shared" si="440"/>
        <v>1</v>
      </c>
      <c r="BO46" s="253">
        <f t="shared" si="441"/>
        <v>0</v>
      </c>
      <c r="BP46" s="500"/>
      <c r="BQ46" s="496">
        <f t="shared" si="442"/>
        <v>21.96</v>
      </c>
      <c r="BR46" s="496">
        <f t="shared" si="443"/>
        <v>6.7871040000002703</v>
      </c>
      <c r="BS46" s="496">
        <f t="shared" si="444"/>
        <v>0</v>
      </c>
      <c r="BV46" s="502">
        <f t="shared" si="445"/>
        <v>13.13080272000014</v>
      </c>
      <c r="BW46" s="502">
        <f t="shared" si="446"/>
        <v>7.7825999999999986</v>
      </c>
      <c r="BX46" s="502">
        <f t="shared" si="447"/>
        <v>3.0325999999999995</v>
      </c>
      <c r="BY46" s="502">
        <f t="shared" si="448"/>
        <v>1.6872000000000182</v>
      </c>
      <c r="BZ46" s="502">
        <f t="shared" si="449"/>
        <v>1.6872000000000182</v>
      </c>
      <c r="CA46" s="502">
        <f t="shared" si="450"/>
        <v>0</v>
      </c>
      <c r="CB46" s="502">
        <f t="shared" si="451"/>
        <v>0</v>
      </c>
      <c r="CC46" s="502">
        <f t="shared" si="452"/>
        <v>11.673899999999998</v>
      </c>
      <c r="CD46" s="502">
        <f t="shared" si="453"/>
        <v>1.4569027200001416</v>
      </c>
      <c r="CE46" s="502">
        <f t="shared" si="454"/>
        <v>0</v>
      </c>
      <c r="CF46" s="502">
        <f t="shared" si="455"/>
        <v>0</v>
      </c>
      <c r="CG46" s="502">
        <f t="shared" si="456"/>
        <v>0</v>
      </c>
      <c r="CH46" s="502">
        <f t="shared" si="457"/>
        <v>0</v>
      </c>
      <c r="CI46" s="253">
        <f t="shared" si="458"/>
        <v>0.53549999999999998</v>
      </c>
      <c r="CJ46" s="502">
        <f t="shared" si="459"/>
        <v>7.4787000000000861</v>
      </c>
      <c r="CK46" s="502">
        <f t="shared" si="460"/>
        <v>7.4787000000000861</v>
      </c>
      <c r="CL46" s="502">
        <f t="shared" si="461"/>
        <v>0</v>
      </c>
      <c r="CM46" s="502">
        <f t="shared" si="462"/>
        <v>0</v>
      </c>
      <c r="CN46" s="502">
        <f t="shared" si="463"/>
        <v>3.57</v>
      </c>
      <c r="CO46" s="502">
        <f t="shared" si="464"/>
        <v>1.6872000000000182</v>
      </c>
      <c r="CP46" s="502">
        <f t="shared" si="465"/>
        <v>10.709999999999999</v>
      </c>
      <c r="CQ46" s="502">
        <f t="shared" si="466"/>
        <v>1.3366080000001301</v>
      </c>
      <c r="CR46" s="220">
        <f t="shared" si="467"/>
        <v>0</v>
      </c>
      <c r="CS46" s="503">
        <f t="shared" si="468"/>
        <v>0</v>
      </c>
      <c r="CT46" s="503">
        <f t="shared" si="469"/>
        <v>0.33012999999999998</v>
      </c>
      <c r="CU46" s="504">
        <f t="shared" si="470"/>
        <v>8.7734400000000949</v>
      </c>
      <c r="CV46" s="504">
        <f t="shared" si="471"/>
        <v>1.1902332000000055</v>
      </c>
      <c r="CW46" s="502">
        <f t="shared" si="472"/>
        <v>17.005896000000138</v>
      </c>
      <c r="CX46" s="253">
        <f t="shared" si="473"/>
        <v>3.57</v>
      </c>
      <c r="CY46" s="505">
        <f t="shared" si="474"/>
        <v>1.7849999999999999</v>
      </c>
      <c r="CZ46" s="502">
        <f t="shared" si="475"/>
        <v>2.4513847475961154E-2</v>
      </c>
    </row>
    <row r="47" spans="1:104" s="501" customFormat="1" ht="25" x14ac:dyDescent="0.25">
      <c r="A47" s="291" t="str">
        <f>'BOCA DE LOBO'!C54</f>
        <v>BL44-&gt;PV5-88</v>
      </c>
      <c r="B47" s="291" t="str">
        <f>'BOCA DE LOBO'!A54</f>
        <v>PV5-88</v>
      </c>
      <c r="C47" s="413" t="str">
        <f>VLOOKUP(A47,'BOCA DE LOBO'!$C$1:$Q$76,3,0)</f>
        <v>EXISTENTE</v>
      </c>
      <c r="D47" s="291" t="str">
        <f>VLOOKUP(A47,'BOCA DE LOBO'!$C$1:$Q$76,10,0)</f>
        <v>PROJETADA</v>
      </c>
      <c r="E47" s="413">
        <f t="shared" si="391"/>
        <v>1.6419999999998955</v>
      </c>
      <c r="F47" s="291">
        <f>VLOOKUP(A47,'BOCA DE LOBO'!$C$1:$Q$76,2,0)</f>
        <v>1.9899999999998954</v>
      </c>
      <c r="G47" s="291">
        <f>VLOOKUP(A47,'BOCA DE LOBO'!$C$1:$Q$76,4,0)</f>
        <v>8.6999999999999993</v>
      </c>
      <c r="H47" s="238">
        <v>400</v>
      </c>
      <c r="I47" s="493">
        <f t="shared" si="392"/>
        <v>1.9459999999998956</v>
      </c>
      <c r="J47" s="241">
        <f t="shared" si="393"/>
        <v>0.84650999999995447</v>
      </c>
      <c r="K47" s="494">
        <v>0</v>
      </c>
      <c r="L47" s="253">
        <f t="shared" si="394"/>
        <v>1</v>
      </c>
      <c r="M47" s="253">
        <f t="shared" si="395"/>
        <v>1</v>
      </c>
      <c r="N47" s="253">
        <f t="shared" si="396"/>
        <v>0</v>
      </c>
      <c r="O47" s="253">
        <f t="shared" si="306"/>
        <v>8.6999999999999993</v>
      </c>
      <c r="P47" s="495" t="s">
        <v>2392</v>
      </c>
      <c r="Q47" s="495" t="s">
        <v>2994</v>
      </c>
      <c r="R47" s="507"/>
      <c r="S47" s="495">
        <v>4</v>
      </c>
      <c r="T47" s="495">
        <v>5</v>
      </c>
      <c r="U47" s="253">
        <f t="shared" si="397"/>
        <v>0.05</v>
      </c>
      <c r="V47" s="246">
        <f t="shared" si="398"/>
        <v>0</v>
      </c>
      <c r="W47" s="246">
        <f t="shared" si="399"/>
        <v>16.93019999999909</v>
      </c>
      <c r="X47" s="247">
        <f t="shared" si="400"/>
        <v>0</v>
      </c>
      <c r="Y47" s="247">
        <f t="shared" si="401"/>
        <v>0</v>
      </c>
      <c r="Z47" s="247">
        <f t="shared" si="402"/>
        <v>1.9459999999998956</v>
      </c>
      <c r="AA47" s="247">
        <f t="shared" si="403"/>
        <v>0</v>
      </c>
      <c r="AB47" s="496">
        <f t="shared" si="404"/>
        <v>8.6999999999999993</v>
      </c>
      <c r="AC47" s="251">
        <f t="shared" si="405"/>
        <v>0</v>
      </c>
      <c r="AD47" s="251">
        <f t="shared" si="406"/>
        <v>0</v>
      </c>
      <c r="AE47" s="251">
        <f t="shared" si="407"/>
        <v>0</v>
      </c>
      <c r="AF47" s="251">
        <f t="shared" si="408"/>
        <v>13.049999999999999</v>
      </c>
      <c r="AG47" s="251">
        <f t="shared" si="409"/>
        <v>3.8801999999990913</v>
      </c>
      <c r="AH47" s="251">
        <f t="shared" si="410"/>
        <v>0</v>
      </c>
      <c r="AI47" s="497" t="str">
        <f t="shared" si="411"/>
        <v>NÃO</v>
      </c>
      <c r="AJ47" s="253">
        <f t="shared" si="412"/>
        <v>0</v>
      </c>
      <c r="AK47" s="253">
        <f t="shared" si="413"/>
        <v>0</v>
      </c>
      <c r="AL47" s="253">
        <f t="shared" si="414"/>
        <v>15.836925756549842</v>
      </c>
      <c r="AM47" s="241">
        <f t="shared" si="415"/>
        <v>0.435</v>
      </c>
      <c r="AN47" s="246">
        <f t="shared" si="416"/>
        <v>0</v>
      </c>
      <c r="AO47" s="253">
        <f t="shared" si="417"/>
        <v>0</v>
      </c>
      <c r="AP47" s="253">
        <f t="shared" si="418"/>
        <v>0</v>
      </c>
      <c r="AQ47" s="253">
        <f t="shared" si="419"/>
        <v>0.7</v>
      </c>
      <c r="AR47" s="253">
        <f t="shared" si="420"/>
        <v>4.9967257565507506</v>
      </c>
      <c r="AS47" s="253">
        <f t="shared" si="421"/>
        <v>0</v>
      </c>
      <c r="AT47" s="253">
        <f t="shared" si="422"/>
        <v>1.3049999999999999</v>
      </c>
      <c r="AU47" s="253">
        <f t="shared" si="423"/>
        <v>1.3049999999999999</v>
      </c>
      <c r="AV47" s="253">
        <f t="shared" si="424"/>
        <v>0.26099999999999995</v>
      </c>
      <c r="AW47" s="253">
        <f t="shared" si="425"/>
        <v>7.7951999999990917</v>
      </c>
      <c r="AX47" s="253">
        <f t="shared" si="426"/>
        <v>10.628474243448339</v>
      </c>
      <c r="AY47" s="253">
        <f t="shared" si="427"/>
        <v>7.7951999999990917</v>
      </c>
      <c r="AZ47" s="253">
        <f t="shared" si="428"/>
        <v>0</v>
      </c>
      <c r="BA47" s="253">
        <f t="shared" si="429"/>
        <v>0</v>
      </c>
      <c r="BB47" s="253">
        <f t="shared" si="430"/>
        <v>0</v>
      </c>
      <c r="BC47" s="253"/>
      <c r="BD47" s="253">
        <f t="shared" si="431"/>
        <v>5.2199999999999996E-2</v>
      </c>
      <c r="BE47" s="496">
        <f t="shared" si="432"/>
        <v>1.9459999999998956</v>
      </c>
      <c r="BF47" s="498">
        <f t="shared" si="433"/>
        <v>0</v>
      </c>
      <c r="BG47" s="498">
        <f t="shared" si="434"/>
        <v>8.6999999999999993</v>
      </c>
      <c r="BH47" s="495" t="str">
        <f>VLOOKUP(A47,'BOCA DE LOBO'!C:I,7,0)</f>
        <v>BOCA DE LOBO PROJETADA DUPLA</v>
      </c>
      <c r="BI47" s="253">
        <f t="shared" si="435"/>
        <v>0</v>
      </c>
      <c r="BJ47" s="253">
        <f t="shared" si="436"/>
        <v>0</v>
      </c>
      <c r="BK47" s="253">
        <f t="shared" si="437"/>
        <v>0</v>
      </c>
      <c r="BL47" s="253">
        <f t="shared" si="438"/>
        <v>0</v>
      </c>
      <c r="BM47" s="253">
        <f t="shared" si="439"/>
        <v>0</v>
      </c>
      <c r="BN47" s="253">
        <f t="shared" si="440"/>
        <v>1</v>
      </c>
      <c r="BO47" s="253">
        <f t="shared" si="441"/>
        <v>0</v>
      </c>
      <c r="BP47" s="500"/>
      <c r="BQ47" s="496">
        <f t="shared" si="442"/>
        <v>26.099999999999998</v>
      </c>
      <c r="BR47" s="496">
        <f t="shared" si="443"/>
        <v>7.7603999999981825</v>
      </c>
      <c r="BS47" s="496">
        <f t="shared" si="444"/>
        <v>0</v>
      </c>
      <c r="BV47" s="502">
        <f t="shared" si="445"/>
        <v>12.779029199999185</v>
      </c>
      <c r="BW47" s="502">
        <f t="shared" si="446"/>
        <v>7.7825999999999986</v>
      </c>
      <c r="BX47" s="502">
        <f t="shared" si="447"/>
        <v>3.0325999999999995</v>
      </c>
      <c r="BY47" s="502">
        <f t="shared" si="448"/>
        <v>1.6419999999998955</v>
      </c>
      <c r="BZ47" s="502">
        <f t="shared" si="449"/>
        <v>1.6419999999998955</v>
      </c>
      <c r="CA47" s="502">
        <f t="shared" si="450"/>
        <v>0</v>
      </c>
      <c r="CB47" s="502">
        <f t="shared" si="451"/>
        <v>0</v>
      </c>
      <c r="CC47" s="502">
        <f t="shared" si="452"/>
        <v>11.673899999999998</v>
      </c>
      <c r="CD47" s="502">
        <f t="shared" si="453"/>
        <v>1.1051291999991868</v>
      </c>
      <c r="CE47" s="502">
        <f t="shared" si="454"/>
        <v>0</v>
      </c>
      <c r="CF47" s="502">
        <f t="shared" si="455"/>
        <v>0</v>
      </c>
      <c r="CG47" s="502">
        <f t="shared" si="456"/>
        <v>0</v>
      </c>
      <c r="CH47" s="502">
        <f t="shared" si="457"/>
        <v>0</v>
      </c>
      <c r="CI47" s="253">
        <f t="shared" si="458"/>
        <v>0.53549999999999998</v>
      </c>
      <c r="CJ47" s="502">
        <f t="shared" si="459"/>
        <v>7.2639999999995029</v>
      </c>
      <c r="CK47" s="502">
        <f t="shared" si="460"/>
        <v>7.2639999999995029</v>
      </c>
      <c r="CL47" s="502">
        <f t="shared" si="461"/>
        <v>0</v>
      </c>
      <c r="CM47" s="502">
        <f t="shared" si="462"/>
        <v>0</v>
      </c>
      <c r="CN47" s="502">
        <f t="shared" si="463"/>
        <v>3.57</v>
      </c>
      <c r="CO47" s="502">
        <f t="shared" si="464"/>
        <v>1.6419999999998955</v>
      </c>
      <c r="CP47" s="502">
        <f t="shared" si="465"/>
        <v>10.709999999999999</v>
      </c>
      <c r="CQ47" s="502">
        <f t="shared" si="466"/>
        <v>1.013879999999254</v>
      </c>
      <c r="CR47" s="220">
        <f t="shared" si="467"/>
        <v>0</v>
      </c>
      <c r="CS47" s="503">
        <f t="shared" si="468"/>
        <v>0</v>
      </c>
      <c r="CT47" s="503">
        <f t="shared" si="469"/>
        <v>0.33012999999999998</v>
      </c>
      <c r="CU47" s="504">
        <f t="shared" si="470"/>
        <v>8.5383999999994575</v>
      </c>
      <c r="CV47" s="504">
        <f t="shared" si="471"/>
        <v>1.176401999999968</v>
      </c>
      <c r="CW47" s="502">
        <f t="shared" si="472"/>
        <v>16.658759999999198</v>
      </c>
      <c r="CX47" s="253">
        <f t="shared" si="473"/>
        <v>3.57</v>
      </c>
      <c r="CY47" s="505">
        <f t="shared" si="474"/>
        <v>1.7849999999999999</v>
      </c>
      <c r="CZ47" s="502">
        <f t="shared" si="475"/>
        <v>2.4513847475961154E-2</v>
      </c>
    </row>
    <row r="48" spans="1:104" s="501" customFormat="1" ht="25" x14ac:dyDescent="0.25">
      <c r="A48" s="291" t="str">
        <f>'BOCA DE LOBO'!C55</f>
        <v>BL45-&gt;PV6-88</v>
      </c>
      <c r="B48" s="291" t="str">
        <f>'BOCA DE LOBO'!A55</f>
        <v>PV6-88</v>
      </c>
      <c r="C48" s="413" t="str">
        <f>VLOOKUP(A48,'BOCA DE LOBO'!$C$1:$Q$76,3,0)</f>
        <v>EXISTENTE</v>
      </c>
      <c r="D48" s="291" t="str">
        <f>VLOOKUP(A48,'BOCA DE LOBO'!$C$1:$Q$76,10,0)</f>
        <v>PROJETADA</v>
      </c>
      <c r="E48" s="413">
        <f t="shared" si="391"/>
        <v>1.8583999999999854</v>
      </c>
      <c r="F48" s="291">
        <f>VLOOKUP(A48,'BOCA DE LOBO'!$C$1:$Q$76,2,0)</f>
        <v>2.1159999999999854</v>
      </c>
      <c r="G48" s="291">
        <f>VLOOKUP(A48,'BOCA DE LOBO'!$C$1:$Q$76,4,0)</f>
        <v>6.44</v>
      </c>
      <c r="H48" s="238">
        <v>400</v>
      </c>
      <c r="I48" s="493">
        <f t="shared" si="392"/>
        <v>2.1171999999999853</v>
      </c>
      <c r="J48" s="241">
        <f t="shared" si="393"/>
        <v>0.6817383999999953</v>
      </c>
      <c r="K48" s="494">
        <v>0</v>
      </c>
      <c r="L48" s="253">
        <f t="shared" si="394"/>
        <v>1</v>
      </c>
      <c r="M48" s="253">
        <f t="shared" si="395"/>
        <v>1</v>
      </c>
      <c r="N48" s="253">
        <f t="shared" si="396"/>
        <v>0</v>
      </c>
      <c r="O48" s="253">
        <f t="shared" si="306"/>
        <v>6.44</v>
      </c>
      <c r="P48" s="495" t="s">
        <v>2392</v>
      </c>
      <c r="Q48" s="495" t="s">
        <v>2417</v>
      </c>
      <c r="R48" s="495"/>
      <c r="S48" s="495">
        <f>VLOOKUP(Q48,Quantitativos!P:R,3,0)</f>
        <v>3.5</v>
      </c>
      <c r="T48" s="495">
        <f>VLOOKUP(Q48,Quantitativos!P:S,4,0)</f>
        <v>5</v>
      </c>
      <c r="U48" s="253">
        <f t="shared" si="397"/>
        <v>0.05</v>
      </c>
      <c r="V48" s="246">
        <f t="shared" si="398"/>
        <v>0</v>
      </c>
      <c r="W48" s="246">
        <f t="shared" si="399"/>
        <v>13.634767999999907</v>
      </c>
      <c r="X48" s="247">
        <f t="shared" si="400"/>
        <v>0</v>
      </c>
      <c r="Y48" s="247">
        <f t="shared" si="401"/>
        <v>0</v>
      </c>
      <c r="Z48" s="247">
        <f t="shared" si="402"/>
        <v>2.1171999999999853</v>
      </c>
      <c r="AA48" s="247">
        <f t="shared" si="403"/>
        <v>0</v>
      </c>
      <c r="AB48" s="496">
        <f t="shared" si="404"/>
        <v>6.44</v>
      </c>
      <c r="AC48" s="251">
        <f t="shared" si="405"/>
        <v>0</v>
      </c>
      <c r="AD48" s="251">
        <f t="shared" si="406"/>
        <v>0</v>
      </c>
      <c r="AE48" s="251">
        <f t="shared" si="407"/>
        <v>0</v>
      </c>
      <c r="AF48" s="251">
        <f t="shared" si="408"/>
        <v>9.66</v>
      </c>
      <c r="AG48" s="251">
        <f t="shared" si="409"/>
        <v>3.9747679999999055</v>
      </c>
      <c r="AH48" s="251">
        <f t="shared" si="410"/>
        <v>0</v>
      </c>
      <c r="AI48" s="497" t="str">
        <f t="shared" si="411"/>
        <v>NÃO</v>
      </c>
      <c r="AJ48" s="253">
        <f t="shared" si="412"/>
        <v>0</v>
      </c>
      <c r="AK48" s="253">
        <f t="shared" si="413"/>
        <v>0</v>
      </c>
      <c r="AL48" s="253">
        <f t="shared" si="414"/>
        <v>12.825493732435175</v>
      </c>
      <c r="AM48" s="241">
        <f t="shared" si="415"/>
        <v>0.32200000000000006</v>
      </c>
      <c r="AN48" s="246">
        <f t="shared" si="416"/>
        <v>0</v>
      </c>
      <c r="AO48" s="253">
        <f t="shared" si="417"/>
        <v>0</v>
      </c>
      <c r="AP48" s="253">
        <f t="shared" si="418"/>
        <v>0</v>
      </c>
      <c r="AQ48" s="253">
        <f t="shared" si="419"/>
        <v>0.7</v>
      </c>
      <c r="AR48" s="253">
        <f t="shared" si="420"/>
        <v>3.6987257324352694</v>
      </c>
      <c r="AS48" s="253">
        <f t="shared" si="421"/>
        <v>0</v>
      </c>
      <c r="AT48" s="253">
        <f t="shared" si="422"/>
        <v>0.96599999999999997</v>
      </c>
      <c r="AU48" s="253">
        <f t="shared" si="423"/>
        <v>0.96599999999999997</v>
      </c>
      <c r="AV48" s="253">
        <f t="shared" si="424"/>
        <v>0.19320000000000001</v>
      </c>
      <c r="AW48" s="253">
        <f t="shared" si="425"/>
        <v>6.8727679999999065</v>
      </c>
      <c r="AX48" s="253">
        <f t="shared" si="426"/>
        <v>8.9700422675646365</v>
      </c>
      <c r="AY48" s="253">
        <f t="shared" si="427"/>
        <v>6.8727679999999065</v>
      </c>
      <c r="AZ48" s="253">
        <f t="shared" si="428"/>
        <v>0</v>
      </c>
      <c r="BA48" s="253">
        <f t="shared" si="429"/>
        <v>0</v>
      </c>
      <c r="BB48" s="253">
        <f t="shared" si="430"/>
        <v>0</v>
      </c>
      <c r="BC48" s="253"/>
      <c r="BD48" s="253">
        <f t="shared" si="431"/>
        <v>3.8640000000000001E-2</v>
      </c>
      <c r="BE48" s="496">
        <f t="shared" si="432"/>
        <v>2.1171999999999853</v>
      </c>
      <c r="BF48" s="498">
        <f t="shared" si="433"/>
        <v>0</v>
      </c>
      <c r="BG48" s="498">
        <f t="shared" si="434"/>
        <v>6.44</v>
      </c>
      <c r="BH48" s="495" t="str">
        <f>VLOOKUP(A48,'BOCA DE LOBO'!C:I,7,0)</f>
        <v>BOCA DE LOBO PROJETADA DUPLA</v>
      </c>
      <c r="BI48" s="253">
        <f t="shared" si="435"/>
        <v>0</v>
      </c>
      <c r="BJ48" s="253">
        <f t="shared" si="436"/>
        <v>0</v>
      </c>
      <c r="BK48" s="253">
        <f t="shared" si="437"/>
        <v>0</v>
      </c>
      <c r="BL48" s="253">
        <f t="shared" si="438"/>
        <v>0</v>
      </c>
      <c r="BM48" s="253">
        <f t="shared" si="439"/>
        <v>0</v>
      </c>
      <c r="BN48" s="253">
        <f t="shared" si="440"/>
        <v>1</v>
      </c>
      <c r="BO48" s="253">
        <f t="shared" si="441"/>
        <v>0</v>
      </c>
      <c r="BP48" s="500"/>
      <c r="BQ48" s="496">
        <f t="shared" si="442"/>
        <v>19.32</v>
      </c>
      <c r="BR48" s="496">
        <f t="shared" si="443"/>
        <v>7.949535999999811</v>
      </c>
      <c r="BS48" s="496">
        <f t="shared" si="444"/>
        <v>0</v>
      </c>
      <c r="BV48" s="502">
        <f t="shared" si="445"/>
        <v>14.463183839999884</v>
      </c>
      <c r="BW48" s="502">
        <f t="shared" si="446"/>
        <v>7.7825999999999986</v>
      </c>
      <c r="BX48" s="502">
        <f t="shared" si="447"/>
        <v>3.0325999999999995</v>
      </c>
      <c r="BY48" s="502">
        <f t="shared" si="448"/>
        <v>1.8583999999999854</v>
      </c>
      <c r="BZ48" s="502">
        <f t="shared" si="449"/>
        <v>1.8583999999999854</v>
      </c>
      <c r="CA48" s="502">
        <f t="shared" si="450"/>
        <v>0</v>
      </c>
      <c r="CB48" s="502">
        <f t="shared" si="451"/>
        <v>0</v>
      </c>
      <c r="CC48" s="502">
        <f t="shared" si="452"/>
        <v>11.673899999999998</v>
      </c>
      <c r="CD48" s="502">
        <f t="shared" si="453"/>
        <v>2.7892838399998858</v>
      </c>
      <c r="CE48" s="502">
        <f t="shared" si="454"/>
        <v>0</v>
      </c>
      <c r="CF48" s="502">
        <f t="shared" si="455"/>
        <v>0</v>
      </c>
      <c r="CG48" s="502">
        <f t="shared" si="456"/>
        <v>0</v>
      </c>
      <c r="CH48" s="502">
        <f t="shared" si="457"/>
        <v>0</v>
      </c>
      <c r="CI48" s="253">
        <f t="shared" si="458"/>
        <v>0.53549999999999998</v>
      </c>
      <c r="CJ48" s="502">
        <f t="shared" si="459"/>
        <v>8.291899999999929</v>
      </c>
      <c r="CK48" s="502">
        <f t="shared" si="460"/>
        <v>8.291899999999929</v>
      </c>
      <c r="CL48" s="502">
        <f t="shared" si="461"/>
        <v>0</v>
      </c>
      <c r="CM48" s="502">
        <f t="shared" si="462"/>
        <v>0</v>
      </c>
      <c r="CN48" s="502">
        <f t="shared" si="463"/>
        <v>3.57</v>
      </c>
      <c r="CO48" s="502">
        <f t="shared" si="464"/>
        <v>1.8583999999999854</v>
      </c>
      <c r="CP48" s="502">
        <f t="shared" si="465"/>
        <v>10.709999999999999</v>
      </c>
      <c r="CQ48" s="502">
        <f t="shared" si="466"/>
        <v>2.5589759999998956</v>
      </c>
      <c r="CR48" s="220">
        <f t="shared" si="467"/>
        <v>0</v>
      </c>
      <c r="CS48" s="503">
        <f t="shared" si="468"/>
        <v>0</v>
      </c>
      <c r="CT48" s="503">
        <f t="shared" si="469"/>
        <v>0.33012999999999998</v>
      </c>
      <c r="CU48" s="504">
        <f t="shared" si="470"/>
        <v>9.6636799999999248</v>
      </c>
      <c r="CV48" s="504">
        <f t="shared" si="471"/>
        <v>1.2426203999999954</v>
      </c>
      <c r="CW48" s="502">
        <f t="shared" si="472"/>
        <v>18.320711999999887</v>
      </c>
      <c r="CX48" s="253">
        <f t="shared" si="473"/>
        <v>3.57</v>
      </c>
      <c r="CY48" s="505">
        <f t="shared" si="474"/>
        <v>1.7849999999999999</v>
      </c>
      <c r="CZ48" s="502">
        <f t="shared" si="475"/>
        <v>2.4513847475961154E-2</v>
      </c>
    </row>
    <row r="49" spans="1:104" s="501" customFormat="1" ht="25" x14ac:dyDescent="0.25">
      <c r="A49" s="291" t="str">
        <f>'BOCA DE LOBO'!C56</f>
        <v>BL46-&gt;PV1-89</v>
      </c>
      <c r="B49" s="291" t="str">
        <f>'BOCA DE LOBO'!A56</f>
        <v>PV1-89</v>
      </c>
      <c r="C49" s="413" t="str">
        <f>VLOOKUP(A49,'BOCA DE LOBO'!$C$1:$Q$76,3,0)</f>
        <v>EXISTENTE</v>
      </c>
      <c r="D49" s="291" t="str">
        <f>VLOOKUP(A49,'BOCA DE LOBO'!$C$1:$Q$76,10,0)</f>
        <v>PROJETADA</v>
      </c>
      <c r="E49" s="413">
        <f t="shared" si="391"/>
        <v>2.5</v>
      </c>
      <c r="F49" s="291">
        <f>VLOOKUP(A49,'BOCA DE LOBO'!$C$1:$Q$76,2,0)</f>
        <v>4.0999999999999091</v>
      </c>
      <c r="G49" s="291">
        <f>VLOOKUP(A49,'BOCA DE LOBO'!$C$1:$Q$76,4,0)</f>
        <v>4.5999999999999996</v>
      </c>
      <c r="H49" s="238">
        <v>400</v>
      </c>
      <c r="I49" s="493">
        <f t="shared" si="392"/>
        <v>3.4299999999999544</v>
      </c>
      <c r="J49" s="241">
        <f t="shared" si="393"/>
        <v>0.7888999999999895</v>
      </c>
      <c r="K49" s="494">
        <v>0</v>
      </c>
      <c r="L49" s="253">
        <f t="shared" si="394"/>
        <v>1</v>
      </c>
      <c r="M49" s="253">
        <f t="shared" si="395"/>
        <v>1</v>
      </c>
      <c r="N49" s="253">
        <f t="shared" si="396"/>
        <v>0</v>
      </c>
      <c r="O49" s="253">
        <f t="shared" si="306"/>
        <v>4.5999999999999996</v>
      </c>
      <c r="P49" s="495" t="s">
        <v>2392</v>
      </c>
      <c r="Q49" s="495" t="s">
        <v>2995</v>
      </c>
      <c r="R49" s="495"/>
      <c r="S49" s="495">
        <v>5</v>
      </c>
      <c r="T49" s="495">
        <v>5</v>
      </c>
      <c r="U49" s="253">
        <f t="shared" si="397"/>
        <v>0.05</v>
      </c>
      <c r="V49" s="246">
        <f t="shared" si="398"/>
        <v>0</v>
      </c>
      <c r="W49" s="246">
        <f t="shared" si="399"/>
        <v>15.777999999999789</v>
      </c>
      <c r="X49" s="247">
        <f t="shared" si="400"/>
        <v>0</v>
      </c>
      <c r="Y49" s="247">
        <f t="shared" si="401"/>
        <v>0</v>
      </c>
      <c r="Z49" s="247">
        <f t="shared" si="402"/>
        <v>3.4299999999999544</v>
      </c>
      <c r="AA49" s="247">
        <f t="shared" si="403"/>
        <v>0</v>
      </c>
      <c r="AB49" s="496">
        <f t="shared" si="404"/>
        <v>4.5999999999999996</v>
      </c>
      <c r="AC49" s="251">
        <f t="shared" si="405"/>
        <v>0</v>
      </c>
      <c r="AD49" s="251">
        <f t="shared" si="406"/>
        <v>0</v>
      </c>
      <c r="AE49" s="251">
        <f t="shared" si="407"/>
        <v>0</v>
      </c>
      <c r="AF49" s="251">
        <f t="shared" si="408"/>
        <v>6.8999999999999995</v>
      </c>
      <c r="AG49" s="251">
        <f t="shared" si="409"/>
        <v>6.8999999999999995</v>
      </c>
      <c r="AH49" s="251">
        <f t="shared" si="410"/>
        <v>1.9779999999997901</v>
      </c>
      <c r="AI49" s="497" t="str">
        <f t="shared" si="411"/>
        <v>NÃO</v>
      </c>
      <c r="AJ49" s="253">
        <f t="shared" si="412"/>
        <v>0</v>
      </c>
      <c r="AK49" s="253">
        <f t="shared" si="413"/>
        <v>0</v>
      </c>
      <c r="AL49" s="253">
        <f t="shared" si="414"/>
        <v>15.199946951739268</v>
      </c>
      <c r="AM49" s="241">
        <f t="shared" si="415"/>
        <v>0.22999999999999998</v>
      </c>
      <c r="AN49" s="246">
        <f t="shared" si="416"/>
        <v>0</v>
      </c>
      <c r="AO49" s="253">
        <f t="shared" si="417"/>
        <v>0</v>
      </c>
      <c r="AP49" s="253">
        <f t="shared" si="418"/>
        <v>0</v>
      </c>
      <c r="AQ49" s="253">
        <f t="shared" si="419"/>
        <v>0.7</v>
      </c>
      <c r="AR49" s="253">
        <f t="shared" si="420"/>
        <v>2.6419469517394778</v>
      </c>
      <c r="AS49" s="253">
        <f t="shared" si="421"/>
        <v>0</v>
      </c>
      <c r="AT49" s="253">
        <f t="shared" si="422"/>
        <v>0.69</v>
      </c>
      <c r="AU49" s="253">
        <f t="shared" si="423"/>
        <v>0.69</v>
      </c>
      <c r="AV49" s="253">
        <f t="shared" si="424"/>
        <v>0.13799999999999998</v>
      </c>
      <c r="AW49" s="253">
        <f t="shared" si="425"/>
        <v>10.947999999999791</v>
      </c>
      <c r="AX49" s="253">
        <f t="shared" si="426"/>
        <v>12.446053048260312</v>
      </c>
      <c r="AY49" s="253">
        <f t="shared" si="427"/>
        <v>10.947999999999791</v>
      </c>
      <c r="AZ49" s="253">
        <f t="shared" si="428"/>
        <v>0</v>
      </c>
      <c r="BA49" s="253">
        <f t="shared" si="429"/>
        <v>0</v>
      </c>
      <c r="BB49" s="253">
        <f t="shared" si="430"/>
        <v>0</v>
      </c>
      <c r="BC49" s="253"/>
      <c r="BD49" s="253">
        <f t="shared" si="431"/>
        <v>2.76E-2</v>
      </c>
      <c r="BE49" s="496">
        <f t="shared" si="432"/>
        <v>3.4299999999999544</v>
      </c>
      <c r="BF49" s="498">
        <f t="shared" si="433"/>
        <v>0</v>
      </c>
      <c r="BG49" s="498">
        <f t="shared" si="434"/>
        <v>0</v>
      </c>
      <c r="BH49" s="495" t="str">
        <f>VLOOKUP(A49,'BOCA DE LOBO'!C:I,7,0)</f>
        <v>BOCA DE LOBO PROJETADA TRIPLA</v>
      </c>
      <c r="BI49" s="253">
        <f t="shared" si="435"/>
        <v>0</v>
      </c>
      <c r="BJ49" s="253">
        <f t="shared" si="436"/>
        <v>0</v>
      </c>
      <c r="BK49" s="253">
        <f t="shared" si="437"/>
        <v>0</v>
      </c>
      <c r="BL49" s="253">
        <f t="shared" si="438"/>
        <v>0</v>
      </c>
      <c r="BM49" s="253">
        <f t="shared" si="439"/>
        <v>0</v>
      </c>
      <c r="BN49" s="253">
        <f t="shared" si="440"/>
        <v>0</v>
      </c>
      <c r="BO49" s="253">
        <f t="shared" si="441"/>
        <v>1</v>
      </c>
      <c r="BP49" s="500"/>
      <c r="BQ49" s="496">
        <f t="shared" si="442"/>
        <v>13.799999999999999</v>
      </c>
      <c r="BR49" s="496">
        <f t="shared" si="443"/>
        <v>13.799999999999999</v>
      </c>
      <c r="BS49" s="496">
        <f t="shared" si="444"/>
        <v>3.9559999999995803</v>
      </c>
      <c r="BV49" s="502">
        <f t="shared" si="445"/>
        <v>25.941999999999993</v>
      </c>
      <c r="BW49" s="502">
        <f t="shared" si="446"/>
        <v>10.376799999999998</v>
      </c>
      <c r="BX49" s="502">
        <f t="shared" si="447"/>
        <v>4.4367999999999999</v>
      </c>
      <c r="BY49" s="502">
        <f t="shared" si="448"/>
        <v>2.5</v>
      </c>
      <c r="BZ49" s="502">
        <f t="shared" si="449"/>
        <v>2.5</v>
      </c>
      <c r="CA49" s="502">
        <f t="shared" si="450"/>
        <v>0</v>
      </c>
      <c r="CB49" s="502">
        <f t="shared" si="451"/>
        <v>0</v>
      </c>
      <c r="CC49" s="502">
        <f t="shared" si="452"/>
        <v>15.565199999999997</v>
      </c>
      <c r="CD49" s="502">
        <f t="shared" si="453"/>
        <v>10.376799999999998</v>
      </c>
      <c r="CE49" s="502">
        <f t="shared" si="454"/>
        <v>0</v>
      </c>
      <c r="CF49" s="502">
        <f t="shared" si="455"/>
        <v>0</v>
      </c>
      <c r="CG49" s="502">
        <f t="shared" si="456"/>
        <v>0</v>
      </c>
      <c r="CH49" s="502">
        <f t="shared" si="457"/>
        <v>0</v>
      </c>
      <c r="CI49" s="253">
        <f t="shared" si="458"/>
        <v>0.71399999999999997</v>
      </c>
      <c r="CJ49" s="502">
        <f t="shared" si="459"/>
        <v>14.135999999999994</v>
      </c>
      <c r="CK49" s="502">
        <f t="shared" si="460"/>
        <v>14.135999999999994</v>
      </c>
      <c r="CL49" s="502">
        <f t="shared" si="461"/>
        <v>0</v>
      </c>
      <c r="CM49" s="502">
        <f t="shared" si="462"/>
        <v>0</v>
      </c>
      <c r="CN49" s="502">
        <f t="shared" si="463"/>
        <v>4.76</v>
      </c>
      <c r="CO49" s="502">
        <f t="shared" si="464"/>
        <v>2.5</v>
      </c>
      <c r="CP49" s="502">
        <f t="shared" si="465"/>
        <v>14.28</v>
      </c>
      <c r="CQ49" s="502">
        <f t="shared" si="466"/>
        <v>9.52</v>
      </c>
      <c r="CR49" s="220">
        <f t="shared" si="467"/>
        <v>0</v>
      </c>
      <c r="CS49" s="503">
        <f t="shared" si="468"/>
        <v>0</v>
      </c>
      <c r="CT49" s="503">
        <f t="shared" si="469"/>
        <v>0.45984000000000003</v>
      </c>
      <c r="CU49" s="504">
        <f t="shared" si="470"/>
        <v>18</v>
      </c>
      <c r="CV49" s="504">
        <f t="shared" si="471"/>
        <v>1.9376100000000003</v>
      </c>
      <c r="CW49" s="502">
        <f t="shared" si="472"/>
        <v>29.6218</v>
      </c>
      <c r="CX49" s="253">
        <f t="shared" si="473"/>
        <v>4.76</v>
      </c>
      <c r="CY49" s="505">
        <f t="shared" si="474"/>
        <v>2.38</v>
      </c>
      <c r="CZ49" s="502">
        <f t="shared" si="475"/>
        <v>2.4513847475961154E-2</v>
      </c>
    </row>
    <row r="50" spans="1:104" s="501" customFormat="1" ht="25" x14ac:dyDescent="0.25">
      <c r="A50" s="291" t="str">
        <f>'BOCA DE LOBO'!C57</f>
        <v>BL47-&gt;PV2-89</v>
      </c>
      <c r="B50" s="291" t="str">
        <f>'BOCA DE LOBO'!A57</f>
        <v>PV2-89</v>
      </c>
      <c r="C50" s="413" t="str">
        <f>VLOOKUP(A50,'BOCA DE LOBO'!$C$1:$Q$76,3,0)</f>
        <v>EXISTENTE</v>
      </c>
      <c r="D50" s="291" t="str">
        <f>VLOOKUP(A50,'BOCA DE LOBO'!$C$1:$Q$76,10,0)</f>
        <v>PROJETADA</v>
      </c>
      <c r="E50" s="413">
        <f t="shared" si="391"/>
        <v>2.5</v>
      </c>
      <c r="F50" s="291">
        <f>VLOOKUP(A50,'BOCA DE LOBO'!$C$1:$Q$76,2,0)</f>
        <v>3.9300000000000637</v>
      </c>
      <c r="G50" s="291">
        <f>VLOOKUP(A50,'BOCA DE LOBO'!$C$1:$Q$76,4,0)</f>
        <v>4.16</v>
      </c>
      <c r="H50" s="238">
        <v>400</v>
      </c>
      <c r="I50" s="493">
        <f t="shared" si="392"/>
        <v>3.3450000000000317</v>
      </c>
      <c r="J50" s="241">
        <f t="shared" si="393"/>
        <v>0.6957600000000066</v>
      </c>
      <c r="K50" s="494">
        <v>0</v>
      </c>
      <c r="L50" s="253">
        <f t="shared" si="394"/>
        <v>1</v>
      </c>
      <c r="M50" s="253">
        <f t="shared" si="395"/>
        <v>1</v>
      </c>
      <c r="N50" s="253">
        <f t="shared" si="396"/>
        <v>0</v>
      </c>
      <c r="O50" s="253">
        <f t="shared" si="306"/>
        <v>4.16</v>
      </c>
      <c r="P50" s="495" t="s">
        <v>2392</v>
      </c>
      <c r="Q50" s="495" t="s">
        <v>2995</v>
      </c>
      <c r="R50" s="507"/>
      <c r="S50" s="495">
        <v>5</v>
      </c>
      <c r="T50" s="495">
        <v>5</v>
      </c>
      <c r="U50" s="253">
        <f t="shared" si="397"/>
        <v>0.05</v>
      </c>
      <c r="V50" s="246">
        <f t="shared" si="398"/>
        <v>0</v>
      </c>
      <c r="W50" s="246">
        <f t="shared" si="399"/>
        <v>13.915200000000132</v>
      </c>
      <c r="X50" s="247">
        <f t="shared" si="400"/>
        <v>0</v>
      </c>
      <c r="Y50" s="247">
        <f t="shared" si="401"/>
        <v>0</v>
      </c>
      <c r="Z50" s="247">
        <f t="shared" si="402"/>
        <v>3.3450000000000317</v>
      </c>
      <c r="AA50" s="247">
        <f t="shared" si="403"/>
        <v>0</v>
      </c>
      <c r="AB50" s="496">
        <f t="shared" si="404"/>
        <v>4.16</v>
      </c>
      <c r="AC50" s="251">
        <f t="shared" si="405"/>
        <v>0</v>
      </c>
      <c r="AD50" s="251">
        <f t="shared" si="406"/>
        <v>0</v>
      </c>
      <c r="AE50" s="251">
        <f t="shared" si="407"/>
        <v>0</v>
      </c>
      <c r="AF50" s="251">
        <f t="shared" si="408"/>
        <v>6.24</v>
      </c>
      <c r="AG50" s="251">
        <f t="shared" si="409"/>
        <v>6.24</v>
      </c>
      <c r="AH50" s="251">
        <f t="shared" si="410"/>
        <v>1.4352000000001319</v>
      </c>
      <c r="AI50" s="497" t="str">
        <f t="shared" si="411"/>
        <v>NÃO</v>
      </c>
      <c r="AJ50" s="253">
        <f t="shared" si="412"/>
        <v>0</v>
      </c>
      <c r="AK50" s="253">
        <f t="shared" si="413"/>
        <v>0</v>
      </c>
      <c r="AL50" s="253">
        <f t="shared" si="414"/>
        <v>13.392438982442791</v>
      </c>
      <c r="AM50" s="241">
        <f t="shared" si="415"/>
        <v>0.20800000000000002</v>
      </c>
      <c r="AN50" s="246">
        <f t="shared" si="416"/>
        <v>0</v>
      </c>
      <c r="AO50" s="253">
        <f t="shared" si="417"/>
        <v>0</v>
      </c>
      <c r="AP50" s="253">
        <f t="shared" si="418"/>
        <v>0</v>
      </c>
      <c r="AQ50" s="253">
        <f t="shared" si="419"/>
        <v>0.7</v>
      </c>
      <c r="AR50" s="253">
        <f t="shared" si="420"/>
        <v>2.3892389824426585</v>
      </c>
      <c r="AS50" s="253">
        <f t="shared" si="421"/>
        <v>0</v>
      </c>
      <c r="AT50" s="253">
        <f t="shared" si="422"/>
        <v>0.624</v>
      </c>
      <c r="AU50" s="253">
        <f t="shared" si="423"/>
        <v>0.624</v>
      </c>
      <c r="AV50" s="253">
        <f t="shared" si="424"/>
        <v>0.12479999999999999</v>
      </c>
      <c r="AW50" s="253">
        <f t="shared" si="425"/>
        <v>9.5472000000001316</v>
      </c>
      <c r="AX50" s="253">
        <f t="shared" si="426"/>
        <v>10.901961017557472</v>
      </c>
      <c r="AY50" s="253">
        <f t="shared" si="427"/>
        <v>9.5472000000001316</v>
      </c>
      <c r="AZ50" s="253">
        <f t="shared" si="428"/>
        <v>0</v>
      </c>
      <c r="BA50" s="253">
        <f t="shared" si="429"/>
        <v>0</v>
      </c>
      <c r="BB50" s="253">
        <f t="shared" si="430"/>
        <v>0</v>
      </c>
      <c r="BC50" s="253"/>
      <c r="BD50" s="253">
        <f t="shared" si="431"/>
        <v>2.496E-2</v>
      </c>
      <c r="BE50" s="496">
        <f t="shared" si="432"/>
        <v>3.3450000000000317</v>
      </c>
      <c r="BF50" s="498">
        <f t="shared" si="433"/>
        <v>0</v>
      </c>
      <c r="BG50" s="498">
        <f t="shared" si="434"/>
        <v>0</v>
      </c>
      <c r="BH50" s="495" t="str">
        <f>VLOOKUP(A50,'BOCA DE LOBO'!C:I,7,0)</f>
        <v>BOCA DE LOBO PROJETADA DUPLA</v>
      </c>
      <c r="BI50" s="253">
        <f t="shared" si="435"/>
        <v>0</v>
      </c>
      <c r="BJ50" s="253">
        <f t="shared" si="436"/>
        <v>0</v>
      </c>
      <c r="BK50" s="253">
        <f t="shared" si="437"/>
        <v>0</v>
      </c>
      <c r="BL50" s="253">
        <f t="shared" si="438"/>
        <v>0</v>
      </c>
      <c r="BM50" s="253">
        <f t="shared" si="439"/>
        <v>0</v>
      </c>
      <c r="BN50" s="253">
        <f t="shared" si="440"/>
        <v>1</v>
      </c>
      <c r="BO50" s="253">
        <f t="shared" si="441"/>
        <v>0</v>
      </c>
      <c r="BP50" s="500"/>
      <c r="BQ50" s="496">
        <f t="shared" si="442"/>
        <v>12.48</v>
      </c>
      <c r="BR50" s="496">
        <f t="shared" si="443"/>
        <v>12.48</v>
      </c>
      <c r="BS50" s="496">
        <f t="shared" si="444"/>
        <v>2.8704000000002639</v>
      </c>
      <c r="BV50" s="502">
        <f t="shared" si="445"/>
        <v>19.456499999999998</v>
      </c>
      <c r="BW50" s="502">
        <f t="shared" si="446"/>
        <v>7.7825999999999986</v>
      </c>
      <c r="BX50" s="502">
        <f t="shared" si="447"/>
        <v>3.0325999999999995</v>
      </c>
      <c r="BY50" s="502">
        <f t="shared" si="448"/>
        <v>2.5</v>
      </c>
      <c r="BZ50" s="502">
        <f t="shared" si="449"/>
        <v>2.5</v>
      </c>
      <c r="CA50" s="502">
        <f t="shared" si="450"/>
        <v>0</v>
      </c>
      <c r="CB50" s="502">
        <f t="shared" si="451"/>
        <v>0</v>
      </c>
      <c r="CC50" s="502">
        <f t="shared" si="452"/>
        <v>11.673899999999998</v>
      </c>
      <c r="CD50" s="502">
        <f t="shared" si="453"/>
        <v>7.7825999999999986</v>
      </c>
      <c r="CE50" s="502">
        <f t="shared" si="454"/>
        <v>0</v>
      </c>
      <c r="CF50" s="502">
        <f t="shared" si="455"/>
        <v>0</v>
      </c>
      <c r="CG50" s="502">
        <f t="shared" si="456"/>
        <v>0</v>
      </c>
      <c r="CH50" s="502">
        <f t="shared" si="457"/>
        <v>0</v>
      </c>
      <c r="CI50" s="253">
        <f t="shared" si="458"/>
        <v>0.53549999999999998</v>
      </c>
      <c r="CJ50" s="502">
        <f t="shared" si="459"/>
        <v>11.339499999999997</v>
      </c>
      <c r="CK50" s="502">
        <f t="shared" si="460"/>
        <v>11.339499999999997</v>
      </c>
      <c r="CL50" s="502">
        <f t="shared" si="461"/>
        <v>0</v>
      </c>
      <c r="CM50" s="502">
        <f t="shared" si="462"/>
        <v>0</v>
      </c>
      <c r="CN50" s="502">
        <f t="shared" si="463"/>
        <v>3.57</v>
      </c>
      <c r="CO50" s="502">
        <f t="shared" si="464"/>
        <v>2.5</v>
      </c>
      <c r="CP50" s="502">
        <f t="shared" si="465"/>
        <v>10.709999999999999</v>
      </c>
      <c r="CQ50" s="502">
        <f t="shared" si="466"/>
        <v>7.14</v>
      </c>
      <c r="CR50" s="220">
        <f t="shared" si="467"/>
        <v>0</v>
      </c>
      <c r="CS50" s="503">
        <f t="shared" si="468"/>
        <v>0</v>
      </c>
      <c r="CT50" s="503">
        <f t="shared" si="469"/>
        <v>0.33012999999999998</v>
      </c>
      <c r="CU50" s="504">
        <f t="shared" si="470"/>
        <v>13</v>
      </c>
      <c r="CV50" s="504">
        <f t="shared" si="471"/>
        <v>1.43895</v>
      </c>
      <c r="CW50" s="502">
        <f t="shared" si="472"/>
        <v>23.248199999999997</v>
      </c>
      <c r="CX50" s="253">
        <f t="shared" si="473"/>
        <v>3.57</v>
      </c>
      <c r="CY50" s="505">
        <f t="shared" si="474"/>
        <v>1.7849999999999999</v>
      </c>
      <c r="CZ50" s="502">
        <f t="shared" si="475"/>
        <v>2.4513847475961154E-2</v>
      </c>
    </row>
    <row r="51" spans="1:104" s="501" customFormat="1" ht="25" x14ac:dyDescent="0.25">
      <c r="A51" s="291" t="str">
        <f>'BOCA DE LOBO'!C58</f>
        <v>BL48-&gt;PV1-90</v>
      </c>
      <c r="B51" s="291" t="str">
        <f>'BOCA DE LOBO'!A58</f>
        <v>PV1-90</v>
      </c>
      <c r="C51" s="413" t="str">
        <f>VLOOKUP(A51,'BOCA DE LOBO'!$C$1:$Q$76,3,0)</f>
        <v>EXISTENTE</v>
      </c>
      <c r="D51" s="291" t="str">
        <f>VLOOKUP(A51,'BOCA DE LOBO'!$C$1:$Q$76,10,0)</f>
        <v>PROJETADA</v>
      </c>
      <c r="E51" s="413">
        <f t="shared" si="391"/>
        <v>1.0028000000000001</v>
      </c>
      <c r="F51" s="291">
        <f>VLOOKUP(A51,'BOCA DE LOBO'!$C$1:$Q$76,2,0)</f>
        <v>1.75</v>
      </c>
      <c r="G51" s="291">
        <f>VLOOKUP(A51,'BOCA DE LOBO'!$C$1:$Q$76,4,0)</f>
        <v>18.68</v>
      </c>
      <c r="H51" s="238">
        <v>400</v>
      </c>
      <c r="I51" s="493">
        <f t="shared" si="392"/>
        <v>1.5064000000000002</v>
      </c>
      <c r="J51" s="241">
        <f t="shared" si="393"/>
        <v>1.4069776000000001</v>
      </c>
      <c r="K51" s="494">
        <v>0</v>
      </c>
      <c r="L51" s="253">
        <f t="shared" si="394"/>
        <v>1</v>
      </c>
      <c r="M51" s="253">
        <f t="shared" si="395"/>
        <v>1</v>
      </c>
      <c r="N51" s="253">
        <f t="shared" si="396"/>
        <v>0</v>
      </c>
      <c r="O51" s="253">
        <f t="shared" si="306"/>
        <v>18.68</v>
      </c>
      <c r="P51" s="495" t="s">
        <v>2392</v>
      </c>
      <c r="Q51" s="495" t="s">
        <v>2996</v>
      </c>
      <c r="R51" s="495"/>
      <c r="S51" s="495">
        <v>5</v>
      </c>
      <c r="T51" s="495">
        <v>5</v>
      </c>
      <c r="U51" s="253">
        <f t="shared" si="397"/>
        <v>0.05</v>
      </c>
      <c r="V51" s="246">
        <f t="shared" si="398"/>
        <v>0</v>
      </c>
      <c r="W51" s="246">
        <f t="shared" si="399"/>
        <v>28.139552000000002</v>
      </c>
      <c r="X51" s="247">
        <f t="shared" si="400"/>
        <v>0</v>
      </c>
      <c r="Y51" s="247">
        <f t="shared" si="401"/>
        <v>0</v>
      </c>
      <c r="Z51" s="247">
        <f t="shared" si="402"/>
        <v>1.5064000000000002</v>
      </c>
      <c r="AA51" s="247">
        <f t="shared" si="403"/>
        <v>0</v>
      </c>
      <c r="AB51" s="496">
        <f t="shared" si="404"/>
        <v>18.68</v>
      </c>
      <c r="AC51" s="251">
        <f t="shared" si="405"/>
        <v>0</v>
      </c>
      <c r="AD51" s="251">
        <f t="shared" si="406"/>
        <v>0</v>
      </c>
      <c r="AE51" s="251">
        <f t="shared" si="407"/>
        <v>0</v>
      </c>
      <c r="AF51" s="251">
        <f t="shared" si="408"/>
        <v>28.02</v>
      </c>
      <c r="AG51" s="251">
        <f t="shared" si="409"/>
        <v>0.11955200000000342</v>
      </c>
      <c r="AH51" s="251">
        <f t="shared" si="410"/>
        <v>0</v>
      </c>
      <c r="AI51" s="497" t="str">
        <f t="shared" si="411"/>
        <v>NÃO</v>
      </c>
      <c r="AJ51" s="253">
        <f t="shared" si="412"/>
        <v>0</v>
      </c>
      <c r="AK51" s="253">
        <f t="shared" si="413"/>
        <v>0</v>
      </c>
      <c r="AL51" s="253">
        <f t="shared" si="414"/>
        <v>25.79215396923771</v>
      </c>
      <c r="AM51" s="241">
        <f t="shared" si="415"/>
        <v>0.93400000000000005</v>
      </c>
      <c r="AN51" s="246">
        <f t="shared" si="416"/>
        <v>0</v>
      </c>
      <c r="AO51" s="253">
        <f t="shared" si="417"/>
        <v>0</v>
      </c>
      <c r="AP51" s="253">
        <f t="shared" si="418"/>
        <v>0</v>
      </c>
      <c r="AQ51" s="253">
        <f t="shared" si="419"/>
        <v>0.7</v>
      </c>
      <c r="AR51" s="253">
        <f t="shared" si="420"/>
        <v>10.728601969237705</v>
      </c>
      <c r="AS51" s="253">
        <f t="shared" si="421"/>
        <v>0</v>
      </c>
      <c r="AT51" s="253">
        <f t="shared" si="422"/>
        <v>2.802</v>
      </c>
      <c r="AU51" s="253">
        <f t="shared" si="423"/>
        <v>2.802</v>
      </c>
      <c r="AV51" s="253">
        <f t="shared" si="424"/>
        <v>0.56040000000000001</v>
      </c>
      <c r="AW51" s="253">
        <f t="shared" si="425"/>
        <v>8.5255520000000047</v>
      </c>
      <c r="AX51" s="253">
        <f t="shared" si="426"/>
        <v>14.608950030762298</v>
      </c>
      <c r="AY51" s="253">
        <f t="shared" si="427"/>
        <v>8.5255520000000047</v>
      </c>
      <c r="AZ51" s="253">
        <f t="shared" si="428"/>
        <v>0</v>
      </c>
      <c r="BA51" s="253">
        <f t="shared" si="429"/>
        <v>0</v>
      </c>
      <c r="BB51" s="253">
        <f t="shared" si="430"/>
        <v>0</v>
      </c>
      <c r="BC51" s="253"/>
      <c r="BD51" s="253">
        <f t="shared" si="431"/>
        <v>0.11208</v>
      </c>
      <c r="BE51" s="496">
        <f t="shared" si="432"/>
        <v>1.5064000000000002</v>
      </c>
      <c r="BF51" s="498">
        <f t="shared" si="433"/>
        <v>18.68</v>
      </c>
      <c r="BG51" s="498">
        <f t="shared" si="434"/>
        <v>0</v>
      </c>
      <c r="BH51" s="495" t="str">
        <f>VLOOKUP(A51,'BOCA DE LOBO'!C:I,7,0)</f>
        <v>BOCA DE LOBO PROJETADA DUPLA</v>
      </c>
      <c r="BI51" s="253">
        <f t="shared" si="435"/>
        <v>0</v>
      </c>
      <c r="BJ51" s="253">
        <f t="shared" si="436"/>
        <v>0</v>
      </c>
      <c r="BK51" s="253">
        <f t="shared" si="437"/>
        <v>0</v>
      </c>
      <c r="BL51" s="253">
        <f t="shared" si="438"/>
        <v>0</v>
      </c>
      <c r="BM51" s="253">
        <f t="shared" si="439"/>
        <v>0</v>
      </c>
      <c r="BN51" s="253">
        <f t="shared" si="440"/>
        <v>1</v>
      </c>
      <c r="BO51" s="253">
        <f t="shared" si="441"/>
        <v>0</v>
      </c>
      <c r="BP51" s="500"/>
      <c r="BQ51" s="496">
        <f t="shared" si="442"/>
        <v>56.04</v>
      </c>
      <c r="BR51" s="496">
        <f t="shared" si="443"/>
        <v>0.23910400000000684</v>
      </c>
      <c r="BS51" s="496">
        <f t="shared" si="444"/>
        <v>0</v>
      </c>
      <c r="BV51" s="502">
        <f t="shared" si="445"/>
        <v>7.8043912799999999</v>
      </c>
      <c r="BW51" s="502">
        <f t="shared" si="446"/>
        <v>7.7825999999999986</v>
      </c>
      <c r="BX51" s="502">
        <f t="shared" si="447"/>
        <v>3.0325999999999995</v>
      </c>
      <c r="BY51" s="502">
        <f t="shared" si="448"/>
        <v>1.0028000000000001</v>
      </c>
      <c r="BZ51" s="502">
        <f t="shared" si="449"/>
        <v>1.0028000000000001</v>
      </c>
      <c r="CA51" s="502">
        <f t="shared" si="450"/>
        <v>0</v>
      </c>
      <c r="CB51" s="502">
        <f t="shared" si="451"/>
        <v>0</v>
      </c>
      <c r="CC51" s="502">
        <f t="shared" si="452"/>
        <v>7.8043912799999999</v>
      </c>
      <c r="CD51" s="502">
        <f t="shared" si="453"/>
        <v>0</v>
      </c>
      <c r="CE51" s="502">
        <f t="shared" si="454"/>
        <v>0</v>
      </c>
      <c r="CF51" s="502">
        <f t="shared" si="455"/>
        <v>0</v>
      </c>
      <c r="CG51" s="502">
        <f t="shared" si="456"/>
        <v>0</v>
      </c>
      <c r="CH51" s="502">
        <f t="shared" si="457"/>
        <v>0</v>
      </c>
      <c r="CI51" s="253">
        <f t="shared" si="458"/>
        <v>0.53549999999999998</v>
      </c>
      <c r="CJ51" s="502">
        <f t="shared" si="459"/>
        <v>4.2278000000000002</v>
      </c>
      <c r="CK51" s="502">
        <f t="shared" si="460"/>
        <v>4.2278000000000002</v>
      </c>
      <c r="CL51" s="502">
        <f t="shared" si="461"/>
        <v>0</v>
      </c>
      <c r="CM51" s="502">
        <f t="shared" si="462"/>
        <v>0</v>
      </c>
      <c r="CN51" s="502">
        <f t="shared" si="463"/>
        <v>3.57</v>
      </c>
      <c r="CO51" s="502">
        <f t="shared" si="464"/>
        <v>1.0028000000000001</v>
      </c>
      <c r="CP51" s="502">
        <f t="shared" si="465"/>
        <v>7.1599920000000008</v>
      </c>
      <c r="CQ51" s="502">
        <f t="shared" si="466"/>
        <v>0</v>
      </c>
      <c r="CR51" s="220">
        <f t="shared" si="467"/>
        <v>0</v>
      </c>
      <c r="CS51" s="503">
        <f t="shared" si="468"/>
        <v>0</v>
      </c>
      <c r="CT51" s="503">
        <f t="shared" si="469"/>
        <v>0.33012999999999998</v>
      </c>
      <c r="CU51" s="504">
        <f t="shared" si="470"/>
        <v>5.2145600000000005</v>
      </c>
      <c r="CV51" s="504">
        <f t="shared" si="471"/>
        <v>0.98080679999999998</v>
      </c>
      <c r="CW51" s="502">
        <f t="shared" si="472"/>
        <v>11.749704000000001</v>
      </c>
      <c r="CX51" s="253">
        <f t="shared" si="473"/>
        <v>3.57</v>
      </c>
      <c r="CY51" s="505">
        <f t="shared" si="474"/>
        <v>1.7849999999999999</v>
      </c>
      <c r="CZ51" s="502">
        <f t="shared" si="475"/>
        <v>2.4513847475961154E-2</v>
      </c>
    </row>
    <row r="52" spans="1:104" s="501" customFormat="1" ht="25" x14ac:dyDescent="0.25">
      <c r="A52" s="291" t="str">
        <f>'BOCA DE LOBO'!C59</f>
        <v>BL49-&gt;PV2-90</v>
      </c>
      <c r="B52" s="291" t="str">
        <f>'BOCA DE LOBO'!A59</f>
        <v>PV2-90</v>
      </c>
      <c r="C52" s="413" t="str">
        <f>VLOOKUP(A52,'BOCA DE LOBO'!$C$1:$Q$76,3,0)</f>
        <v>EXISTENTE</v>
      </c>
      <c r="D52" s="291" t="str">
        <f>VLOOKUP(A52,'BOCA DE LOBO'!$C$1:$Q$76,10,0)</f>
        <v>PROJETADA</v>
      </c>
      <c r="E52" s="413">
        <f t="shared" si="391"/>
        <v>1.2448000000000228</v>
      </c>
      <c r="F52" s="291">
        <f>VLOOKUP(A52,'BOCA DE LOBO'!$C$1:$Q$76,2,0)</f>
        <v>1.8500000000000227</v>
      </c>
      <c r="G52" s="291">
        <f>VLOOKUP(A52,'BOCA DE LOBO'!$C$1:$Q$76,4,0)</f>
        <v>15.13</v>
      </c>
      <c r="H52" s="238">
        <v>400</v>
      </c>
      <c r="I52" s="493">
        <f t="shared" si="392"/>
        <v>1.6774000000000229</v>
      </c>
      <c r="J52" s="241">
        <f t="shared" si="393"/>
        <v>1.2689531000000174</v>
      </c>
      <c r="K52" s="494">
        <v>0</v>
      </c>
      <c r="L52" s="253">
        <f t="shared" si="394"/>
        <v>1</v>
      </c>
      <c r="M52" s="253">
        <f t="shared" si="395"/>
        <v>1</v>
      </c>
      <c r="N52" s="253">
        <f t="shared" si="396"/>
        <v>0</v>
      </c>
      <c r="O52" s="253">
        <f t="shared" si="306"/>
        <v>15.13</v>
      </c>
      <c r="P52" s="495" t="s">
        <v>2392</v>
      </c>
      <c r="Q52" s="495" t="s">
        <v>2996</v>
      </c>
      <c r="R52" s="507"/>
      <c r="S52" s="495">
        <v>5</v>
      </c>
      <c r="T52" s="495">
        <v>5</v>
      </c>
      <c r="U52" s="253">
        <f t="shared" si="397"/>
        <v>0.05</v>
      </c>
      <c r="V52" s="246">
        <f t="shared" si="398"/>
        <v>0</v>
      </c>
      <c r="W52" s="246">
        <f t="shared" si="399"/>
        <v>25.379062000000346</v>
      </c>
      <c r="X52" s="247">
        <f t="shared" si="400"/>
        <v>0</v>
      </c>
      <c r="Y52" s="247">
        <f t="shared" si="401"/>
        <v>0</v>
      </c>
      <c r="Z52" s="247">
        <f t="shared" si="402"/>
        <v>1.6774000000000229</v>
      </c>
      <c r="AA52" s="247">
        <f t="shared" si="403"/>
        <v>0</v>
      </c>
      <c r="AB52" s="496">
        <f t="shared" si="404"/>
        <v>15.13</v>
      </c>
      <c r="AC52" s="251">
        <f t="shared" si="405"/>
        <v>0</v>
      </c>
      <c r="AD52" s="251">
        <f t="shared" si="406"/>
        <v>0</v>
      </c>
      <c r="AE52" s="251">
        <f t="shared" si="407"/>
        <v>0</v>
      </c>
      <c r="AF52" s="251">
        <f t="shared" si="408"/>
        <v>22.695</v>
      </c>
      <c r="AG52" s="251">
        <f t="shared" si="409"/>
        <v>2.6840620000003463</v>
      </c>
      <c r="AH52" s="251">
        <f t="shared" si="410"/>
        <v>0</v>
      </c>
      <c r="AI52" s="497" t="str">
        <f t="shared" si="411"/>
        <v>NÃO</v>
      </c>
      <c r="AJ52" s="253">
        <f t="shared" si="412"/>
        <v>0</v>
      </c>
      <c r="AK52" s="253">
        <f t="shared" si="413"/>
        <v>0</v>
      </c>
      <c r="AL52" s="253">
        <f t="shared" si="414"/>
        <v>23.477770126047801</v>
      </c>
      <c r="AM52" s="241">
        <f t="shared" si="415"/>
        <v>0.75650000000000006</v>
      </c>
      <c r="AN52" s="246">
        <f t="shared" si="416"/>
        <v>0</v>
      </c>
      <c r="AO52" s="253">
        <f t="shared" si="417"/>
        <v>0</v>
      </c>
      <c r="AP52" s="253">
        <f t="shared" si="418"/>
        <v>0</v>
      </c>
      <c r="AQ52" s="253">
        <f t="shared" si="419"/>
        <v>0.7</v>
      </c>
      <c r="AR52" s="253">
        <f t="shared" si="420"/>
        <v>8.6897081260474565</v>
      </c>
      <c r="AS52" s="253">
        <f t="shared" si="421"/>
        <v>0</v>
      </c>
      <c r="AT52" s="253">
        <f t="shared" si="422"/>
        <v>2.2694999999999999</v>
      </c>
      <c r="AU52" s="253">
        <f t="shared" si="423"/>
        <v>2.2694999999999999</v>
      </c>
      <c r="AV52" s="253">
        <f t="shared" si="424"/>
        <v>0.45390000000000003</v>
      </c>
      <c r="AW52" s="253">
        <f t="shared" si="425"/>
        <v>9.4925620000003441</v>
      </c>
      <c r="AX52" s="253">
        <f t="shared" si="426"/>
        <v>14.419853873952889</v>
      </c>
      <c r="AY52" s="253">
        <f t="shared" si="427"/>
        <v>9.4925620000003441</v>
      </c>
      <c r="AZ52" s="253">
        <f t="shared" si="428"/>
        <v>0</v>
      </c>
      <c r="BA52" s="253">
        <f t="shared" si="429"/>
        <v>0</v>
      </c>
      <c r="BB52" s="253">
        <f t="shared" si="430"/>
        <v>0</v>
      </c>
      <c r="BC52" s="253"/>
      <c r="BD52" s="253">
        <f t="shared" si="431"/>
        <v>9.078E-2</v>
      </c>
      <c r="BE52" s="496">
        <f t="shared" si="432"/>
        <v>1.6774000000000229</v>
      </c>
      <c r="BF52" s="498">
        <f t="shared" si="433"/>
        <v>15.13</v>
      </c>
      <c r="BG52" s="498">
        <f t="shared" si="434"/>
        <v>0</v>
      </c>
      <c r="BH52" s="495" t="str">
        <f>VLOOKUP(A52,'BOCA DE LOBO'!C:I,7,0)</f>
        <v>BOCA DE LOBO PROJETADA DUPLA</v>
      </c>
      <c r="BI52" s="253">
        <f t="shared" si="435"/>
        <v>0</v>
      </c>
      <c r="BJ52" s="253">
        <f t="shared" si="436"/>
        <v>0</v>
      </c>
      <c r="BK52" s="253">
        <f t="shared" si="437"/>
        <v>0</v>
      </c>
      <c r="BL52" s="253">
        <f t="shared" si="438"/>
        <v>0</v>
      </c>
      <c r="BM52" s="253">
        <f t="shared" si="439"/>
        <v>0</v>
      </c>
      <c r="BN52" s="253">
        <f t="shared" si="440"/>
        <v>1</v>
      </c>
      <c r="BO52" s="253">
        <f t="shared" si="441"/>
        <v>0</v>
      </c>
      <c r="BP52" s="500"/>
      <c r="BQ52" s="496">
        <f t="shared" si="442"/>
        <v>45.39</v>
      </c>
      <c r="BR52" s="496">
        <f t="shared" si="443"/>
        <v>5.3681240000006927</v>
      </c>
      <c r="BS52" s="496">
        <f t="shared" si="444"/>
        <v>0</v>
      </c>
      <c r="BV52" s="502">
        <f t="shared" si="445"/>
        <v>9.6877804800001748</v>
      </c>
      <c r="BW52" s="502">
        <f t="shared" si="446"/>
        <v>7.7825999999999986</v>
      </c>
      <c r="BX52" s="502">
        <f t="shared" si="447"/>
        <v>3.0325999999999995</v>
      </c>
      <c r="BY52" s="502">
        <f t="shared" si="448"/>
        <v>1.2448000000000228</v>
      </c>
      <c r="BZ52" s="502">
        <f t="shared" si="449"/>
        <v>1.2448000000000228</v>
      </c>
      <c r="CA52" s="502">
        <f t="shared" si="450"/>
        <v>0</v>
      </c>
      <c r="CB52" s="502">
        <f t="shared" si="451"/>
        <v>0</v>
      </c>
      <c r="CC52" s="502">
        <f t="shared" si="452"/>
        <v>9.6877804800001748</v>
      </c>
      <c r="CD52" s="502">
        <f t="shared" si="453"/>
        <v>0</v>
      </c>
      <c r="CE52" s="502">
        <f t="shared" si="454"/>
        <v>0</v>
      </c>
      <c r="CF52" s="502">
        <f t="shared" si="455"/>
        <v>0</v>
      </c>
      <c r="CG52" s="502">
        <f t="shared" si="456"/>
        <v>0</v>
      </c>
      <c r="CH52" s="502">
        <f t="shared" si="457"/>
        <v>0</v>
      </c>
      <c r="CI52" s="253">
        <f t="shared" si="458"/>
        <v>0.53549999999999998</v>
      </c>
      <c r="CJ52" s="502">
        <f t="shared" si="459"/>
        <v>5.3773000000001074</v>
      </c>
      <c r="CK52" s="502">
        <f t="shared" si="460"/>
        <v>5.3773000000001074</v>
      </c>
      <c r="CL52" s="502">
        <f t="shared" si="461"/>
        <v>0</v>
      </c>
      <c r="CM52" s="502">
        <f t="shared" si="462"/>
        <v>0</v>
      </c>
      <c r="CN52" s="502">
        <f t="shared" si="463"/>
        <v>3.57</v>
      </c>
      <c r="CO52" s="502">
        <f t="shared" si="464"/>
        <v>1.2448000000000228</v>
      </c>
      <c r="CP52" s="502">
        <f t="shared" si="465"/>
        <v>8.8878720000001614</v>
      </c>
      <c r="CQ52" s="502">
        <f t="shared" si="466"/>
        <v>0</v>
      </c>
      <c r="CR52" s="220">
        <f t="shared" si="467"/>
        <v>0</v>
      </c>
      <c r="CS52" s="503">
        <f t="shared" si="468"/>
        <v>0</v>
      </c>
      <c r="CT52" s="503">
        <f t="shared" si="469"/>
        <v>0.33012999999999998</v>
      </c>
      <c r="CU52" s="504">
        <f t="shared" si="470"/>
        <v>6.4729600000001186</v>
      </c>
      <c r="CV52" s="504">
        <f t="shared" si="471"/>
        <v>1.054858800000007</v>
      </c>
      <c r="CW52" s="502">
        <f t="shared" si="472"/>
        <v>13.608264000000174</v>
      </c>
      <c r="CX52" s="253">
        <f t="shared" si="473"/>
        <v>3.57</v>
      </c>
      <c r="CY52" s="505">
        <f t="shared" si="474"/>
        <v>1.7849999999999999</v>
      </c>
      <c r="CZ52" s="502">
        <f t="shared" si="475"/>
        <v>2.4513847475961154E-2</v>
      </c>
    </row>
    <row r="53" spans="1:104" s="501" customFormat="1" ht="25" x14ac:dyDescent="0.25">
      <c r="A53" s="291" t="str">
        <f>'BOCA DE LOBO'!C60</f>
        <v>BL50-&gt;PV1-91</v>
      </c>
      <c r="B53" s="291" t="str">
        <f>'BOCA DE LOBO'!A60</f>
        <v>PV1-91</v>
      </c>
      <c r="C53" s="413" t="str">
        <f>VLOOKUP(A53,'BOCA DE LOBO'!$C$1:$Q$76,3,0)</f>
        <v>EXISTENTE</v>
      </c>
      <c r="D53" s="291" t="str">
        <f>VLOOKUP(A53,'BOCA DE LOBO'!$C$1:$Q$76,10,0)</f>
        <v>PROJETADA</v>
      </c>
      <c r="E53" s="413">
        <f t="shared" si="391"/>
        <v>1.5187999999999999</v>
      </c>
      <c r="F53" s="291">
        <f>VLOOKUP(A53,'BOCA DE LOBO'!$C$1:$Q$76,2,0)</f>
        <v>1.75</v>
      </c>
      <c r="G53" s="291">
        <f>VLOOKUP(A53,'BOCA DE LOBO'!$C$1:$Q$76,4,0)</f>
        <v>5.78</v>
      </c>
      <c r="H53" s="238">
        <v>400</v>
      </c>
      <c r="I53" s="493">
        <f t="shared" si="392"/>
        <v>1.7644</v>
      </c>
      <c r="J53" s="241">
        <f t="shared" si="393"/>
        <v>0.50991160000000002</v>
      </c>
      <c r="K53" s="494">
        <v>0</v>
      </c>
      <c r="L53" s="253">
        <f t="shared" si="394"/>
        <v>1</v>
      </c>
      <c r="M53" s="253">
        <f t="shared" si="395"/>
        <v>1</v>
      </c>
      <c r="N53" s="253">
        <f t="shared" si="396"/>
        <v>0</v>
      </c>
      <c r="O53" s="253">
        <f t="shared" si="306"/>
        <v>5.78</v>
      </c>
      <c r="P53" s="495" t="s">
        <v>2392</v>
      </c>
      <c r="Q53" s="495" t="s">
        <v>2997</v>
      </c>
      <c r="R53" s="507"/>
      <c r="S53" s="495">
        <v>5</v>
      </c>
      <c r="T53" s="495">
        <v>5</v>
      </c>
      <c r="U53" s="253">
        <f t="shared" si="397"/>
        <v>0.05</v>
      </c>
      <c r="V53" s="246">
        <f t="shared" si="398"/>
        <v>0</v>
      </c>
      <c r="W53" s="246">
        <f t="shared" si="399"/>
        <v>10.198232000000001</v>
      </c>
      <c r="X53" s="247">
        <f t="shared" si="400"/>
        <v>0</v>
      </c>
      <c r="Y53" s="247">
        <f t="shared" si="401"/>
        <v>0</v>
      </c>
      <c r="Z53" s="247">
        <f t="shared" si="402"/>
        <v>1.7644</v>
      </c>
      <c r="AA53" s="247">
        <f t="shared" si="403"/>
        <v>0</v>
      </c>
      <c r="AB53" s="496">
        <f t="shared" si="404"/>
        <v>5.78</v>
      </c>
      <c r="AC53" s="251">
        <f t="shared" si="405"/>
        <v>0</v>
      </c>
      <c r="AD53" s="251">
        <f t="shared" si="406"/>
        <v>0</v>
      </c>
      <c r="AE53" s="251">
        <f t="shared" si="407"/>
        <v>0</v>
      </c>
      <c r="AF53" s="251">
        <f t="shared" si="408"/>
        <v>8.67</v>
      </c>
      <c r="AG53" s="251">
        <f t="shared" si="409"/>
        <v>1.5282319999999998</v>
      </c>
      <c r="AH53" s="251">
        <f t="shared" si="410"/>
        <v>0</v>
      </c>
      <c r="AI53" s="497" t="str">
        <f t="shared" si="411"/>
        <v>NÃO</v>
      </c>
      <c r="AJ53" s="253">
        <f t="shared" si="412"/>
        <v>0</v>
      </c>
      <c r="AK53" s="253">
        <f t="shared" si="413"/>
        <v>0</v>
      </c>
      <c r="AL53" s="253">
        <f t="shared" si="414"/>
        <v>9.4718957784900404</v>
      </c>
      <c r="AM53" s="241">
        <f t="shared" si="415"/>
        <v>0.28900000000000003</v>
      </c>
      <c r="AN53" s="246">
        <f t="shared" si="416"/>
        <v>0</v>
      </c>
      <c r="AO53" s="253">
        <f t="shared" si="417"/>
        <v>0</v>
      </c>
      <c r="AP53" s="253">
        <f t="shared" si="418"/>
        <v>0</v>
      </c>
      <c r="AQ53" s="253">
        <f t="shared" si="419"/>
        <v>0.7</v>
      </c>
      <c r="AR53" s="253">
        <f t="shared" si="420"/>
        <v>3.3196637784900398</v>
      </c>
      <c r="AS53" s="253">
        <f t="shared" si="421"/>
        <v>0</v>
      </c>
      <c r="AT53" s="253">
        <f t="shared" si="422"/>
        <v>0.86699999999999999</v>
      </c>
      <c r="AU53" s="253">
        <f t="shared" si="423"/>
        <v>0.86699999999999999</v>
      </c>
      <c r="AV53" s="253">
        <f t="shared" si="424"/>
        <v>0.1734</v>
      </c>
      <c r="AW53" s="253">
        <f t="shared" si="425"/>
        <v>4.1292320000000018</v>
      </c>
      <c r="AX53" s="253">
        <f t="shared" si="426"/>
        <v>6.0115682215099602</v>
      </c>
      <c r="AY53" s="253">
        <f t="shared" si="427"/>
        <v>4.1292320000000018</v>
      </c>
      <c r="AZ53" s="253">
        <f t="shared" si="428"/>
        <v>0</v>
      </c>
      <c r="BA53" s="253">
        <f t="shared" si="429"/>
        <v>0</v>
      </c>
      <c r="BB53" s="253">
        <f t="shared" si="430"/>
        <v>0</v>
      </c>
      <c r="BC53" s="253"/>
      <c r="BD53" s="253">
        <f t="shared" si="431"/>
        <v>3.4680000000000002E-2</v>
      </c>
      <c r="BE53" s="496">
        <f t="shared" si="432"/>
        <v>1.7644</v>
      </c>
      <c r="BF53" s="498">
        <f t="shared" si="433"/>
        <v>0</v>
      </c>
      <c r="BG53" s="498">
        <f t="shared" si="434"/>
        <v>5.78</v>
      </c>
      <c r="BH53" s="495" t="str">
        <f>VLOOKUP(A53,'BOCA DE LOBO'!C:I,7,0)</f>
        <v>BOCA DE LOBO PROJETADA DUPLA</v>
      </c>
      <c r="BI53" s="253">
        <f t="shared" si="435"/>
        <v>0</v>
      </c>
      <c r="BJ53" s="253">
        <f t="shared" si="436"/>
        <v>0</v>
      </c>
      <c r="BK53" s="253">
        <f t="shared" si="437"/>
        <v>0</v>
      </c>
      <c r="BL53" s="253">
        <f t="shared" si="438"/>
        <v>0</v>
      </c>
      <c r="BM53" s="253">
        <f t="shared" si="439"/>
        <v>0</v>
      </c>
      <c r="BN53" s="253">
        <f t="shared" si="440"/>
        <v>1</v>
      </c>
      <c r="BO53" s="253">
        <f t="shared" si="441"/>
        <v>0</v>
      </c>
      <c r="BP53" s="500"/>
      <c r="BQ53" s="496">
        <f t="shared" si="442"/>
        <v>17.34</v>
      </c>
      <c r="BR53" s="496">
        <f t="shared" si="443"/>
        <v>3.0564639999999996</v>
      </c>
      <c r="BS53" s="496">
        <f t="shared" si="444"/>
        <v>0</v>
      </c>
      <c r="BV53" s="502">
        <f t="shared" si="445"/>
        <v>11.820212879999998</v>
      </c>
      <c r="BW53" s="502">
        <f t="shared" si="446"/>
        <v>7.7825999999999986</v>
      </c>
      <c r="BX53" s="502">
        <f t="shared" si="447"/>
        <v>3.0325999999999995</v>
      </c>
      <c r="BY53" s="502">
        <f t="shared" si="448"/>
        <v>1.5187999999999999</v>
      </c>
      <c r="BZ53" s="502">
        <f t="shared" si="449"/>
        <v>1.5187999999999999</v>
      </c>
      <c r="CA53" s="502">
        <f t="shared" si="450"/>
        <v>0</v>
      </c>
      <c r="CB53" s="502">
        <f t="shared" si="451"/>
        <v>0</v>
      </c>
      <c r="CC53" s="502">
        <f t="shared" si="452"/>
        <v>11.673899999999998</v>
      </c>
      <c r="CD53" s="502">
        <f t="shared" si="453"/>
        <v>0.14631287999999942</v>
      </c>
      <c r="CE53" s="502">
        <f t="shared" si="454"/>
        <v>0</v>
      </c>
      <c r="CF53" s="502">
        <f t="shared" si="455"/>
        <v>0</v>
      </c>
      <c r="CG53" s="502">
        <f t="shared" si="456"/>
        <v>0</v>
      </c>
      <c r="CH53" s="502">
        <f t="shared" si="457"/>
        <v>0</v>
      </c>
      <c r="CI53" s="253">
        <f t="shared" si="458"/>
        <v>0.53549999999999998</v>
      </c>
      <c r="CJ53" s="502">
        <f t="shared" si="459"/>
        <v>6.6787999999999981</v>
      </c>
      <c r="CK53" s="502">
        <f t="shared" si="460"/>
        <v>6.6787999999999981</v>
      </c>
      <c r="CL53" s="502">
        <f t="shared" si="461"/>
        <v>0</v>
      </c>
      <c r="CM53" s="502">
        <f t="shared" si="462"/>
        <v>0</v>
      </c>
      <c r="CN53" s="502">
        <f t="shared" si="463"/>
        <v>3.57</v>
      </c>
      <c r="CO53" s="502">
        <f t="shared" si="464"/>
        <v>1.5187999999999999</v>
      </c>
      <c r="CP53" s="502">
        <f t="shared" si="465"/>
        <v>10.709999999999999</v>
      </c>
      <c r="CQ53" s="502">
        <f t="shared" si="466"/>
        <v>0.13423199999999949</v>
      </c>
      <c r="CR53" s="220">
        <f t="shared" si="467"/>
        <v>0</v>
      </c>
      <c r="CS53" s="503">
        <f t="shared" si="468"/>
        <v>0</v>
      </c>
      <c r="CT53" s="503">
        <f t="shared" si="469"/>
        <v>0.33012999999999998</v>
      </c>
      <c r="CU53" s="504">
        <f t="shared" si="470"/>
        <v>7.8977599999999999</v>
      </c>
      <c r="CV53" s="504">
        <f t="shared" si="471"/>
        <v>1.1387027999999999</v>
      </c>
      <c r="CW53" s="502">
        <f t="shared" si="472"/>
        <v>15.712584000000001</v>
      </c>
      <c r="CX53" s="253">
        <f t="shared" si="473"/>
        <v>3.57</v>
      </c>
      <c r="CY53" s="505">
        <f t="shared" si="474"/>
        <v>1.7849999999999999</v>
      </c>
      <c r="CZ53" s="502">
        <f t="shared" si="475"/>
        <v>2.4513847475961154E-2</v>
      </c>
    </row>
    <row r="54" spans="1:104" s="501" customFormat="1" ht="25" x14ac:dyDescent="0.25">
      <c r="A54" s="291" t="str">
        <f>'BOCA DE LOBO'!C61</f>
        <v>BL51-&gt;PV2-91</v>
      </c>
      <c r="B54" s="291" t="str">
        <f>'BOCA DE LOBO'!A61</f>
        <v>PV2-91</v>
      </c>
      <c r="C54" s="413" t="str">
        <f>VLOOKUP(A54,'BOCA DE LOBO'!$C$1:$Q$76,3,0)</f>
        <v>EXISTENTE</v>
      </c>
      <c r="D54" s="291" t="str">
        <f>VLOOKUP(A54,'BOCA DE LOBO'!$C$1:$Q$76,10,0)</f>
        <v>PROJETADA</v>
      </c>
      <c r="E54" s="413">
        <f t="shared" si="391"/>
        <v>1.7488000000000181</v>
      </c>
      <c r="F54" s="291">
        <f>VLOOKUP(A54,'BOCA DE LOBO'!$C$1:$Q$76,2,0)</f>
        <v>1.9800000000000182</v>
      </c>
      <c r="G54" s="291">
        <f>VLOOKUP(A54,'BOCA DE LOBO'!$C$1:$Q$76,4,0)</f>
        <v>5.78</v>
      </c>
      <c r="H54" s="238">
        <v>400</v>
      </c>
      <c r="I54" s="493">
        <f t="shared" si="392"/>
        <v>1.9944000000000182</v>
      </c>
      <c r="J54" s="241">
        <f t="shared" si="393"/>
        <v>0.57638160000000527</v>
      </c>
      <c r="K54" s="494">
        <v>0</v>
      </c>
      <c r="L54" s="253">
        <f t="shared" si="394"/>
        <v>1</v>
      </c>
      <c r="M54" s="253">
        <f t="shared" si="395"/>
        <v>1</v>
      </c>
      <c r="N54" s="253">
        <f t="shared" si="396"/>
        <v>0</v>
      </c>
      <c r="O54" s="253">
        <f t="shared" si="306"/>
        <v>5.78</v>
      </c>
      <c r="P54" s="495" t="s">
        <v>2392</v>
      </c>
      <c r="Q54" s="495" t="s">
        <v>2997</v>
      </c>
      <c r="R54" s="507"/>
      <c r="S54" s="495">
        <v>5</v>
      </c>
      <c r="T54" s="495">
        <v>5</v>
      </c>
      <c r="U54" s="253">
        <f t="shared" si="397"/>
        <v>0.05</v>
      </c>
      <c r="V54" s="246">
        <f t="shared" si="398"/>
        <v>0</v>
      </c>
      <c r="W54" s="246">
        <f t="shared" si="399"/>
        <v>11.527632000000105</v>
      </c>
      <c r="X54" s="247">
        <f t="shared" si="400"/>
        <v>0</v>
      </c>
      <c r="Y54" s="247">
        <f t="shared" si="401"/>
        <v>0</v>
      </c>
      <c r="Z54" s="247">
        <f t="shared" si="402"/>
        <v>1.9944000000000182</v>
      </c>
      <c r="AA54" s="247">
        <f t="shared" si="403"/>
        <v>0</v>
      </c>
      <c r="AB54" s="496">
        <f t="shared" si="404"/>
        <v>5.78</v>
      </c>
      <c r="AC54" s="251">
        <f t="shared" si="405"/>
        <v>0</v>
      </c>
      <c r="AD54" s="251">
        <f t="shared" si="406"/>
        <v>0</v>
      </c>
      <c r="AE54" s="251">
        <f t="shared" si="407"/>
        <v>0</v>
      </c>
      <c r="AF54" s="251">
        <f t="shared" si="408"/>
        <v>8.67</v>
      </c>
      <c r="AG54" s="251">
        <f t="shared" si="409"/>
        <v>2.857632000000105</v>
      </c>
      <c r="AH54" s="251">
        <f t="shared" si="410"/>
        <v>0</v>
      </c>
      <c r="AI54" s="497" t="str">
        <f t="shared" si="411"/>
        <v>NÃO</v>
      </c>
      <c r="AJ54" s="253">
        <f t="shared" si="412"/>
        <v>0</v>
      </c>
      <c r="AK54" s="253">
        <f t="shared" si="413"/>
        <v>0</v>
      </c>
      <c r="AL54" s="253">
        <f t="shared" si="414"/>
        <v>10.801295778490145</v>
      </c>
      <c r="AM54" s="241">
        <f t="shared" si="415"/>
        <v>0.28900000000000003</v>
      </c>
      <c r="AN54" s="246">
        <f t="shared" si="416"/>
        <v>0</v>
      </c>
      <c r="AO54" s="253">
        <f t="shared" si="417"/>
        <v>0</v>
      </c>
      <c r="AP54" s="253">
        <f t="shared" si="418"/>
        <v>0</v>
      </c>
      <c r="AQ54" s="253">
        <f t="shared" si="419"/>
        <v>0.7</v>
      </c>
      <c r="AR54" s="253">
        <f t="shared" si="420"/>
        <v>3.3196637784900398</v>
      </c>
      <c r="AS54" s="253">
        <f t="shared" si="421"/>
        <v>0</v>
      </c>
      <c r="AT54" s="253">
        <f t="shared" si="422"/>
        <v>0.86699999999999999</v>
      </c>
      <c r="AU54" s="253">
        <f t="shared" si="423"/>
        <v>0.86699999999999999</v>
      </c>
      <c r="AV54" s="253">
        <f t="shared" si="424"/>
        <v>0.1734</v>
      </c>
      <c r="AW54" s="253">
        <f t="shared" si="425"/>
        <v>5.4586320000001036</v>
      </c>
      <c r="AX54" s="253">
        <f t="shared" si="426"/>
        <v>7.3409682215100664</v>
      </c>
      <c r="AY54" s="253">
        <f t="shared" si="427"/>
        <v>5.4586320000001036</v>
      </c>
      <c r="AZ54" s="253">
        <f t="shared" si="428"/>
        <v>0</v>
      </c>
      <c r="BA54" s="253">
        <f t="shared" si="429"/>
        <v>0</v>
      </c>
      <c r="BB54" s="253">
        <f t="shared" si="430"/>
        <v>0</v>
      </c>
      <c r="BC54" s="253"/>
      <c r="BD54" s="253">
        <f t="shared" si="431"/>
        <v>3.4680000000000002E-2</v>
      </c>
      <c r="BE54" s="496">
        <f t="shared" si="432"/>
        <v>1.9944000000000182</v>
      </c>
      <c r="BF54" s="498">
        <f t="shared" si="433"/>
        <v>0</v>
      </c>
      <c r="BG54" s="498">
        <f t="shared" si="434"/>
        <v>5.78</v>
      </c>
      <c r="BH54" s="495" t="str">
        <f>VLOOKUP(A54,'BOCA DE LOBO'!C:I,7,0)</f>
        <v>BOCA DE LOBO PROJETADA DUPLA</v>
      </c>
      <c r="BI54" s="253">
        <f t="shared" si="435"/>
        <v>0</v>
      </c>
      <c r="BJ54" s="253">
        <f t="shared" si="436"/>
        <v>0</v>
      </c>
      <c r="BK54" s="253">
        <f t="shared" si="437"/>
        <v>0</v>
      </c>
      <c r="BL54" s="253">
        <f t="shared" si="438"/>
        <v>0</v>
      </c>
      <c r="BM54" s="253">
        <f t="shared" si="439"/>
        <v>0</v>
      </c>
      <c r="BN54" s="253">
        <f t="shared" si="440"/>
        <v>1</v>
      </c>
      <c r="BO54" s="253">
        <f t="shared" si="441"/>
        <v>0</v>
      </c>
      <c r="BP54" s="500"/>
      <c r="BQ54" s="496">
        <f t="shared" si="442"/>
        <v>17.34</v>
      </c>
      <c r="BR54" s="496">
        <f t="shared" si="443"/>
        <v>5.71526400000021</v>
      </c>
      <c r="BS54" s="496">
        <f t="shared" si="444"/>
        <v>0</v>
      </c>
      <c r="BV54" s="502">
        <f t="shared" si="445"/>
        <v>13.610210880000139</v>
      </c>
      <c r="BW54" s="502">
        <f t="shared" si="446"/>
        <v>7.7825999999999986</v>
      </c>
      <c r="BX54" s="502">
        <f t="shared" si="447"/>
        <v>3.0325999999999995</v>
      </c>
      <c r="BY54" s="502">
        <f t="shared" si="448"/>
        <v>1.7488000000000181</v>
      </c>
      <c r="BZ54" s="502">
        <f t="shared" si="449"/>
        <v>1.7488000000000181</v>
      </c>
      <c r="CA54" s="502">
        <f t="shared" si="450"/>
        <v>0</v>
      </c>
      <c r="CB54" s="502">
        <f t="shared" si="451"/>
        <v>0</v>
      </c>
      <c r="CC54" s="502">
        <f t="shared" si="452"/>
        <v>11.673899999999998</v>
      </c>
      <c r="CD54" s="502">
        <f t="shared" si="453"/>
        <v>1.9363108800001407</v>
      </c>
      <c r="CE54" s="502">
        <f t="shared" si="454"/>
        <v>0</v>
      </c>
      <c r="CF54" s="502">
        <f t="shared" si="455"/>
        <v>0</v>
      </c>
      <c r="CG54" s="502">
        <f t="shared" si="456"/>
        <v>0</v>
      </c>
      <c r="CH54" s="502">
        <f t="shared" si="457"/>
        <v>0</v>
      </c>
      <c r="CI54" s="253">
        <f t="shared" si="458"/>
        <v>0.53549999999999998</v>
      </c>
      <c r="CJ54" s="502">
        <f t="shared" si="459"/>
        <v>7.7713000000000845</v>
      </c>
      <c r="CK54" s="502">
        <f t="shared" si="460"/>
        <v>7.7713000000000845</v>
      </c>
      <c r="CL54" s="502">
        <f t="shared" si="461"/>
        <v>0</v>
      </c>
      <c r="CM54" s="502">
        <f t="shared" si="462"/>
        <v>0</v>
      </c>
      <c r="CN54" s="502">
        <f t="shared" si="463"/>
        <v>3.57</v>
      </c>
      <c r="CO54" s="502">
        <f t="shared" si="464"/>
        <v>1.7488000000000181</v>
      </c>
      <c r="CP54" s="502">
        <f t="shared" si="465"/>
        <v>10.709999999999999</v>
      </c>
      <c r="CQ54" s="502">
        <f t="shared" si="466"/>
        <v>1.7764320000001292</v>
      </c>
      <c r="CR54" s="220">
        <f t="shared" si="467"/>
        <v>0</v>
      </c>
      <c r="CS54" s="503">
        <f t="shared" si="468"/>
        <v>0</v>
      </c>
      <c r="CT54" s="503">
        <f t="shared" si="469"/>
        <v>0.33012999999999998</v>
      </c>
      <c r="CU54" s="504">
        <f t="shared" si="470"/>
        <v>9.0937600000000938</v>
      </c>
      <c r="CV54" s="504">
        <f t="shared" si="471"/>
        <v>1.2090828000000056</v>
      </c>
      <c r="CW54" s="502">
        <f t="shared" si="472"/>
        <v>17.478984000000139</v>
      </c>
      <c r="CX54" s="253">
        <f t="shared" si="473"/>
        <v>3.57</v>
      </c>
      <c r="CY54" s="505">
        <f t="shared" si="474"/>
        <v>1.7849999999999999</v>
      </c>
      <c r="CZ54" s="502">
        <f t="shared" si="475"/>
        <v>2.4513847475961154E-2</v>
      </c>
    </row>
    <row r="55" spans="1:104" s="501" customFormat="1" ht="25" x14ac:dyDescent="0.25">
      <c r="A55" s="291" t="str">
        <f>'BOCA DE LOBO'!C62</f>
        <v>BL52-&gt;PV1-92</v>
      </c>
      <c r="B55" s="291" t="str">
        <f>'BOCA DE LOBO'!A62</f>
        <v>PV1-92</v>
      </c>
      <c r="C55" s="413" t="str">
        <f>VLOOKUP(A55,'BOCA DE LOBO'!$C$1:$Q$76,3,0)</f>
        <v>EXISTENTE</v>
      </c>
      <c r="D55" s="291" t="str">
        <f>VLOOKUP(A55,'BOCA DE LOBO'!$C$1:$Q$76,10,0)</f>
        <v>PROJETADA</v>
      </c>
      <c r="E55" s="413">
        <f t="shared" si="391"/>
        <v>1.5356000000000001</v>
      </c>
      <c r="F55" s="291">
        <f>VLOOKUP(A55,'BOCA DE LOBO'!$C$1:$Q$76,2,0)</f>
        <v>1.75</v>
      </c>
      <c r="G55" s="291">
        <f>VLOOKUP(A55,'BOCA DE LOBO'!$C$1:$Q$76,4,0)</f>
        <v>5.36</v>
      </c>
      <c r="H55" s="238">
        <v>400</v>
      </c>
      <c r="I55" s="493">
        <f t="shared" si="392"/>
        <v>1.7728000000000002</v>
      </c>
      <c r="J55" s="241">
        <f t="shared" si="393"/>
        <v>0.47511040000000004</v>
      </c>
      <c r="K55" s="494">
        <v>0</v>
      </c>
      <c r="L55" s="253">
        <f t="shared" si="394"/>
        <v>1</v>
      </c>
      <c r="M55" s="253">
        <f t="shared" si="395"/>
        <v>1</v>
      </c>
      <c r="N55" s="253">
        <f t="shared" si="396"/>
        <v>0</v>
      </c>
      <c r="O55" s="253">
        <f t="shared" si="306"/>
        <v>5.36</v>
      </c>
      <c r="P55" s="495" t="s">
        <v>2392</v>
      </c>
      <c r="Q55" s="495" t="s">
        <v>2998</v>
      </c>
      <c r="R55" s="495">
        <v>1</v>
      </c>
      <c r="S55" s="495">
        <v>5</v>
      </c>
      <c r="T55" s="495">
        <v>5</v>
      </c>
      <c r="U55" s="253">
        <f t="shared" si="397"/>
        <v>0.05</v>
      </c>
      <c r="V55" s="246">
        <f t="shared" si="398"/>
        <v>0</v>
      </c>
      <c r="W55" s="246">
        <f t="shared" si="399"/>
        <v>11.646208000000001</v>
      </c>
      <c r="X55" s="247">
        <f t="shared" si="400"/>
        <v>0</v>
      </c>
      <c r="Y55" s="247">
        <f t="shared" si="401"/>
        <v>2.1728000000000001</v>
      </c>
      <c r="Z55" s="247">
        <f t="shared" si="402"/>
        <v>0</v>
      </c>
      <c r="AA55" s="247">
        <f t="shared" si="403"/>
        <v>1.7728000000000002</v>
      </c>
      <c r="AB55" s="496">
        <f t="shared" si="404"/>
        <v>5.36</v>
      </c>
      <c r="AC55" s="251">
        <f t="shared" si="405"/>
        <v>8.0400000000000009</v>
      </c>
      <c r="AD55" s="251">
        <f t="shared" si="406"/>
        <v>3.6062080000000005</v>
      </c>
      <c r="AE55" s="251">
        <f t="shared" si="407"/>
        <v>0</v>
      </c>
      <c r="AF55" s="251">
        <f t="shared" si="408"/>
        <v>0</v>
      </c>
      <c r="AG55" s="251">
        <f t="shared" si="409"/>
        <v>0</v>
      </c>
      <c r="AH55" s="251">
        <f t="shared" si="410"/>
        <v>0</v>
      </c>
      <c r="AI55" s="497" t="str">
        <f t="shared" si="411"/>
        <v>NÃO</v>
      </c>
      <c r="AJ55" s="253">
        <f t="shared" si="412"/>
        <v>0</v>
      </c>
      <c r="AK55" s="253">
        <f t="shared" si="413"/>
        <v>0</v>
      </c>
      <c r="AL55" s="253">
        <f t="shared" si="414"/>
        <v>10.97265053507035</v>
      </c>
      <c r="AM55" s="241">
        <f t="shared" si="415"/>
        <v>0.26800000000000002</v>
      </c>
      <c r="AN55" s="246">
        <f t="shared" si="416"/>
        <v>0</v>
      </c>
      <c r="AO55" s="253">
        <f t="shared" si="417"/>
        <v>2.1440000000000001</v>
      </c>
      <c r="AP55" s="253">
        <f t="shared" si="418"/>
        <v>2.1440000000000001</v>
      </c>
      <c r="AQ55" s="253">
        <f t="shared" si="419"/>
        <v>0.7</v>
      </c>
      <c r="AR55" s="253">
        <f t="shared" si="420"/>
        <v>3.0784425350703479</v>
      </c>
      <c r="AS55" s="253">
        <f t="shared" si="421"/>
        <v>3.0784425350703479</v>
      </c>
      <c r="AT55" s="253">
        <f t="shared" si="422"/>
        <v>0.80400000000000005</v>
      </c>
      <c r="AU55" s="253">
        <f t="shared" si="423"/>
        <v>0.80400000000000005</v>
      </c>
      <c r="AV55" s="253">
        <f t="shared" si="424"/>
        <v>0.1608</v>
      </c>
      <c r="AW55" s="253">
        <f t="shared" si="425"/>
        <v>3.8742080000000012</v>
      </c>
      <c r="AX55" s="253">
        <f t="shared" si="426"/>
        <v>-6.0264425350703483</v>
      </c>
      <c r="AY55" s="253">
        <f t="shared" si="427"/>
        <v>-6.0264425350703483</v>
      </c>
      <c r="AZ55" s="253">
        <f t="shared" si="428"/>
        <v>9.9006505350703495</v>
      </c>
      <c r="BA55" s="253">
        <f t="shared" si="429"/>
        <v>5.2879721925297876</v>
      </c>
      <c r="BB55" s="253">
        <f t="shared" si="430"/>
        <v>4.612678342540562</v>
      </c>
      <c r="BC55" s="253"/>
      <c r="BD55" s="253">
        <f t="shared" si="431"/>
        <v>0.11792000000000002</v>
      </c>
      <c r="BE55" s="496">
        <f t="shared" si="432"/>
        <v>1.7728000000000002</v>
      </c>
      <c r="BF55" s="498">
        <f t="shared" si="433"/>
        <v>0</v>
      </c>
      <c r="BG55" s="498">
        <f t="shared" si="434"/>
        <v>5.36</v>
      </c>
      <c r="BH55" s="495" t="str">
        <f>VLOOKUP(A55,'BOCA DE LOBO'!C:I,7,0)</f>
        <v>BOCA DE LOBO PROJETADA DUPLA</v>
      </c>
      <c r="BI55" s="253">
        <f t="shared" si="435"/>
        <v>0</v>
      </c>
      <c r="BJ55" s="253">
        <f t="shared" si="436"/>
        <v>0</v>
      </c>
      <c r="BK55" s="253">
        <f t="shared" si="437"/>
        <v>0</v>
      </c>
      <c r="BL55" s="253">
        <f t="shared" si="438"/>
        <v>0</v>
      </c>
      <c r="BM55" s="253">
        <f t="shared" si="439"/>
        <v>0</v>
      </c>
      <c r="BN55" s="253">
        <f t="shared" si="440"/>
        <v>1</v>
      </c>
      <c r="BO55" s="253">
        <f t="shared" si="441"/>
        <v>0</v>
      </c>
      <c r="BP55" s="500"/>
      <c r="BQ55" s="496">
        <f t="shared" si="442"/>
        <v>16.080000000000002</v>
      </c>
      <c r="BR55" s="496">
        <f t="shared" si="443"/>
        <v>8.284416000000002</v>
      </c>
      <c r="BS55" s="496">
        <f t="shared" si="444"/>
        <v>0</v>
      </c>
      <c r="BV55" s="502">
        <f t="shared" si="445"/>
        <v>15.842260559999998</v>
      </c>
      <c r="BW55" s="502">
        <f t="shared" si="446"/>
        <v>7.7825999999999986</v>
      </c>
      <c r="BX55" s="502">
        <f t="shared" si="447"/>
        <v>3.0325999999999995</v>
      </c>
      <c r="BY55" s="502">
        <f t="shared" si="448"/>
        <v>1.5356000000000001</v>
      </c>
      <c r="BZ55" s="502">
        <f t="shared" si="449"/>
        <v>0</v>
      </c>
      <c r="CA55" s="502">
        <f t="shared" si="450"/>
        <v>1.9356</v>
      </c>
      <c r="CB55" s="502">
        <f t="shared" si="451"/>
        <v>0</v>
      </c>
      <c r="CC55" s="502">
        <f t="shared" si="452"/>
        <v>0</v>
      </c>
      <c r="CD55" s="502">
        <f t="shared" si="453"/>
        <v>0</v>
      </c>
      <c r="CE55" s="502">
        <f t="shared" si="454"/>
        <v>11.673899999999998</v>
      </c>
      <c r="CF55" s="502">
        <f t="shared" si="455"/>
        <v>3.3901005599999992</v>
      </c>
      <c r="CG55" s="502">
        <f t="shared" si="456"/>
        <v>0.77826000000000128</v>
      </c>
      <c r="CH55" s="502">
        <f t="shared" si="457"/>
        <v>0</v>
      </c>
      <c r="CI55" s="253">
        <f t="shared" si="458"/>
        <v>0.53549999999999998</v>
      </c>
      <c r="CJ55" s="502">
        <f t="shared" si="459"/>
        <v>8.6585999999999981</v>
      </c>
      <c r="CK55" s="502">
        <f t="shared" si="460"/>
        <v>8.6585999999999981</v>
      </c>
      <c r="CL55" s="502">
        <f t="shared" si="461"/>
        <v>0</v>
      </c>
      <c r="CM55" s="502">
        <f t="shared" si="462"/>
        <v>0.15565199999999998</v>
      </c>
      <c r="CN55" s="502">
        <f t="shared" si="463"/>
        <v>3.57</v>
      </c>
      <c r="CO55" s="502">
        <f t="shared" si="464"/>
        <v>2.0356000000000001</v>
      </c>
      <c r="CP55" s="502">
        <f t="shared" si="465"/>
        <v>10.709999999999999</v>
      </c>
      <c r="CQ55" s="502">
        <f t="shared" si="466"/>
        <v>3.8241840000000002</v>
      </c>
      <c r="CR55" s="220">
        <f t="shared" si="467"/>
        <v>0</v>
      </c>
      <c r="CS55" s="503">
        <f t="shared" si="468"/>
        <v>0</v>
      </c>
      <c r="CT55" s="503">
        <f t="shared" si="469"/>
        <v>0.33012999999999998</v>
      </c>
      <c r="CU55" s="504">
        <f t="shared" si="470"/>
        <v>7.9851200000000011</v>
      </c>
      <c r="CV55" s="504">
        <f t="shared" si="471"/>
        <v>1.1438435999999998</v>
      </c>
      <c r="CW55" s="502">
        <f t="shared" si="472"/>
        <v>15.841607999999999</v>
      </c>
      <c r="CX55" s="253">
        <f t="shared" si="473"/>
        <v>3.57</v>
      </c>
      <c r="CY55" s="505">
        <f t="shared" si="474"/>
        <v>1.7849999999999999</v>
      </c>
      <c r="CZ55" s="502">
        <f t="shared" si="475"/>
        <v>2.4513847475961154E-2</v>
      </c>
    </row>
    <row r="56" spans="1:104" s="501" customFormat="1" ht="25" x14ac:dyDescent="0.25">
      <c r="A56" s="291" t="str">
        <f>'BOCA DE LOBO'!C63</f>
        <v>BL53-&gt;PV2-92</v>
      </c>
      <c r="B56" s="291" t="str">
        <f>'BOCA DE LOBO'!A63</f>
        <v>PV2-92</v>
      </c>
      <c r="C56" s="413" t="str">
        <f>VLOOKUP(A56,'BOCA DE LOBO'!$C$1:$Q$76,3,0)</f>
        <v>EXISTENTE</v>
      </c>
      <c r="D56" s="291" t="str">
        <f>VLOOKUP(A56,'BOCA DE LOBO'!$C$1:$Q$76,10,0)</f>
        <v>PROJETADA</v>
      </c>
      <c r="E56" s="413">
        <f t="shared" si="391"/>
        <v>1.6027999999999865</v>
      </c>
      <c r="F56" s="291">
        <f>VLOOKUP(A56,'BOCA DE LOBO'!$C$1:$Q$76,2,0)</f>
        <v>1.8899999999999864</v>
      </c>
      <c r="G56" s="291">
        <f>VLOOKUP(A56,'BOCA DE LOBO'!$C$1:$Q$76,4,0)</f>
        <v>7.18</v>
      </c>
      <c r="H56" s="238">
        <v>400</v>
      </c>
      <c r="I56" s="493">
        <f t="shared" si="392"/>
        <v>1.8763999999999865</v>
      </c>
      <c r="J56" s="241">
        <f t="shared" si="393"/>
        <v>0.67362759999999511</v>
      </c>
      <c r="K56" s="494">
        <v>0</v>
      </c>
      <c r="L56" s="253">
        <f t="shared" si="394"/>
        <v>1</v>
      </c>
      <c r="M56" s="253">
        <f t="shared" si="395"/>
        <v>1</v>
      </c>
      <c r="N56" s="253">
        <f t="shared" si="396"/>
        <v>0</v>
      </c>
      <c r="O56" s="253">
        <f t="shared" si="306"/>
        <v>7.18</v>
      </c>
      <c r="P56" s="495" t="s">
        <v>2392</v>
      </c>
      <c r="Q56" s="495" t="s">
        <v>2998</v>
      </c>
      <c r="R56" s="495"/>
      <c r="S56" s="495">
        <v>5</v>
      </c>
      <c r="T56" s="495">
        <v>5</v>
      </c>
      <c r="U56" s="253">
        <f t="shared" si="397"/>
        <v>0.05</v>
      </c>
      <c r="V56" s="246">
        <f t="shared" si="398"/>
        <v>0</v>
      </c>
      <c r="W56" s="246">
        <f t="shared" si="399"/>
        <v>13.472551999999903</v>
      </c>
      <c r="X56" s="247">
        <f t="shared" si="400"/>
        <v>0</v>
      </c>
      <c r="Y56" s="247">
        <f t="shared" si="401"/>
        <v>0</v>
      </c>
      <c r="Z56" s="247">
        <f t="shared" si="402"/>
        <v>1.8763999999999865</v>
      </c>
      <c r="AA56" s="247">
        <f t="shared" si="403"/>
        <v>0</v>
      </c>
      <c r="AB56" s="496">
        <f t="shared" si="404"/>
        <v>7.18</v>
      </c>
      <c r="AC56" s="251">
        <f t="shared" si="405"/>
        <v>0</v>
      </c>
      <c r="AD56" s="251">
        <f t="shared" si="406"/>
        <v>0</v>
      </c>
      <c r="AE56" s="251">
        <f t="shared" si="407"/>
        <v>0</v>
      </c>
      <c r="AF56" s="251">
        <f t="shared" si="408"/>
        <v>10.77</v>
      </c>
      <c r="AG56" s="251">
        <f t="shared" si="409"/>
        <v>2.702551999999903</v>
      </c>
      <c r="AH56" s="251">
        <f t="shared" si="410"/>
        <v>0</v>
      </c>
      <c r="AI56" s="497" t="str">
        <f t="shared" si="411"/>
        <v>NÃO</v>
      </c>
      <c r="AJ56" s="253">
        <f t="shared" si="412"/>
        <v>0</v>
      </c>
      <c r="AK56" s="253">
        <f t="shared" si="413"/>
        <v>0</v>
      </c>
      <c r="AL56" s="253">
        <f t="shared" si="414"/>
        <v>12.570286589888914</v>
      </c>
      <c r="AM56" s="241">
        <f t="shared" si="415"/>
        <v>0.35899999999999999</v>
      </c>
      <c r="AN56" s="246">
        <f t="shared" si="416"/>
        <v>0</v>
      </c>
      <c r="AO56" s="253">
        <f t="shared" si="417"/>
        <v>0</v>
      </c>
      <c r="AP56" s="253">
        <f t="shared" si="418"/>
        <v>0</v>
      </c>
      <c r="AQ56" s="253">
        <f t="shared" si="419"/>
        <v>0.7</v>
      </c>
      <c r="AR56" s="253">
        <f t="shared" si="420"/>
        <v>4.1237345898890112</v>
      </c>
      <c r="AS56" s="253">
        <f t="shared" si="421"/>
        <v>0</v>
      </c>
      <c r="AT56" s="253">
        <f t="shared" si="422"/>
        <v>1.077</v>
      </c>
      <c r="AU56" s="253">
        <f t="shared" si="423"/>
        <v>1.077</v>
      </c>
      <c r="AV56" s="253">
        <f t="shared" si="424"/>
        <v>0.21539999999999998</v>
      </c>
      <c r="AW56" s="253">
        <f t="shared" si="425"/>
        <v>5.9335519999999029</v>
      </c>
      <c r="AX56" s="253">
        <f t="shared" si="426"/>
        <v>8.2718174101108914</v>
      </c>
      <c r="AY56" s="253">
        <f t="shared" si="427"/>
        <v>5.9335519999999029</v>
      </c>
      <c r="AZ56" s="253">
        <f t="shared" si="428"/>
        <v>0</v>
      </c>
      <c r="BA56" s="253">
        <f t="shared" si="429"/>
        <v>0</v>
      </c>
      <c r="BB56" s="253">
        <f t="shared" si="430"/>
        <v>0</v>
      </c>
      <c r="BC56" s="253"/>
      <c r="BD56" s="253">
        <f t="shared" si="431"/>
        <v>4.308E-2</v>
      </c>
      <c r="BE56" s="496">
        <f t="shared" si="432"/>
        <v>1.8763999999999865</v>
      </c>
      <c r="BF56" s="498">
        <f t="shared" si="433"/>
        <v>0</v>
      </c>
      <c r="BG56" s="498">
        <f t="shared" si="434"/>
        <v>7.18</v>
      </c>
      <c r="BH56" s="495" t="str">
        <f>VLOOKUP(A56,'BOCA DE LOBO'!C:I,7,0)</f>
        <v>BOCA DE LOBO PROJETADA DUPLA</v>
      </c>
      <c r="BI56" s="253">
        <f t="shared" si="435"/>
        <v>0</v>
      </c>
      <c r="BJ56" s="253">
        <f t="shared" si="436"/>
        <v>0</v>
      </c>
      <c r="BK56" s="253">
        <f t="shared" si="437"/>
        <v>0</v>
      </c>
      <c r="BL56" s="253">
        <f t="shared" si="438"/>
        <v>0</v>
      </c>
      <c r="BM56" s="253">
        <f t="shared" si="439"/>
        <v>0</v>
      </c>
      <c r="BN56" s="253">
        <f t="shared" si="440"/>
        <v>1</v>
      </c>
      <c r="BO56" s="253">
        <f t="shared" si="441"/>
        <v>0</v>
      </c>
      <c r="BP56" s="500"/>
      <c r="BQ56" s="496">
        <f t="shared" si="442"/>
        <v>21.54</v>
      </c>
      <c r="BR56" s="496">
        <f t="shared" si="443"/>
        <v>5.4051039999998061</v>
      </c>
      <c r="BS56" s="496">
        <f t="shared" si="444"/>
        <v>0</v>
      </c>
      <c r="BV56" s="502">
        <f t="shared" si="445"/>
        <v>12.473951279999893</v>
      </c>
      <c r="BW56" s="502">
        <f t="shared" si="446"/>
        <v>7.7825999999999986</v>
      </c>
      <c r="BX56" s="502">
        <f t="shared" si="447"/>
        <v>3.0325999999999995</v>
      </c>
      <c r="BY56" s="502">
        <f t="shared" si="448"/>
        <v>1.6027999999999865</v>
      </c>
      <c r="BZ56" s="502">
        <f t="shared" si="449"/>
        <v>1.6027999999999865</v>
      </c>
      <c r="CA56" s="502">
        <f t="shared" si="450"/>
        <v>0</v>
      </c>
      <c r="CB56" s="502">
        <f t="shared" si="451"/>
        <v>0</v>
      </c>
      <c r="CC56" s="502">
        <f t="shared" si="452"/>
        <v>11.673899999999998</v>
      </c>
      <c r="CD56" s="502">
        <f t="shared" si="453"/>
        <v>0.80005127999989445</v>
      </c>
      <c r="CE56" s="502">
        <f t="shared" si="454"/>
        <v>0</v>
      </c>
      <c r="CF56" s="502">
        <f t="shared" si="455"/>
        <v>0</v>
      </c>
      <c r="CG56" s="502">
        <f t="shared" si="456"/>
        <v>0</v>
      </c>
      <c r="CH56" s="502">
        <f t="shared" si="457"/>
        <v>0</v>
      </c>
      <c r="CI56" s="253">
        <f t="shared" si="458"/>
        <v>0.53549999999999998</v>
      </c>
      <c r="CJ56" s="502">
        <f t="shared" si="459"/>
        <v>7.0777999999999341</v>
      </c>
      <c r="CK56" s="502">
        <f t="shared" si="460"/>
        <v>7.0777999999999341</v>
      </c>
      <c r="CL56" s="502">
        <f t="shared" si="461"/>
        <v>0</v>
      </c>
      <c r="CM56" s="502">
        <f t="shared" si="462"/>
        <v>0</v>
      </c>
      <c r="CN56" s="502">
        <f t="shared" si="463"/>
        <v>3.57</v>
      </c>
      <c r="CO56" s="502">
        <f t="shared" si="464"/>
        <v>1.6027999999999865</v>
      </c>
      <c r="CP56" s="502">
        <f t="shared" si="465"/>
        <v>10.709999999999999</v>
      </c>
      <c r="CQ56" s="502">
        <f t="shared" si="466"/>
        <v>0.73399199999990328</v>
      </c>
      <c r="CR56" s="220">
        <f t="shared" si="467"/>
        <v>0</v>
      </c>
      <c r="CS56" s="503">
        <f t="shared" si="468"/>
        <v>0</v>
      </c>
      <c r="CT56" s="503">
        <f t="shared" si="469"/>
        <v>0.33012999999999998</v>
      </c>
      <c r="CU56" s="504">
        <f t="shared" si="470"/>
        <v>8.3345599999999305</v>
      </c>
      <c r="CV56" s="504">
        <f t="shared" si="471"/>
        <v>1.1644067999999959</v>
      </c>
      <c r="CW56" s="502">
        <f t="shared" si="472"/>
        <v>16.357703999999895</v>
      </c>
      <c r="CX56" s="253">
        <f t="shared" si="473"/>
        <v>3.57</v>
      </c>
      <c r="CY56" s="505">
        <f t="shared" si="474"/>
        <v>1.7849999999999999</v>
      </c>
      <c r="CZ56" s="502">
        <f t="shared" si="475"/>
        <v>2.4513847475961154E-2</v>
      </c>
    </row>
    <row r="57" spans="1:104" s="501" customFormat="1" ht="25" x14ac:dyDescent="0.25">
      <c r="A57" s="291" t="str">
        <f>'BOCA DE LOBO'!C64</f>
        <v>BL54-&gt;PV1-93</v>
      </c>
      <c r="B57" s="291" t="str">
        <f>'BOCA DE LOBO'!A64</f>
        <v>PV1-93</v>
      </c>
      <c r="C57" s="413" t="str">
        <f>VLOOKUP(A57,'BOCA DE LOBO'!$C$1:$Q$76,3,0)</f>
        <v>EXISTENTE</v>
      </c>
      <c r="D57" s="291" t="str">
        <f>VLOOKUP(A57,'BOCA DE LOBO'!$C$1:$Q$76,10,0)</f>
        <v>PROJETADA</v>
      </c>
      <c r="E57" s="413">
        <f t="shared" si="391"/>
        <v>1.5408799999999763</v>
      </c>
      <c r="F57" s="291">
        <f>VLOOKUP(A57,'BOCA DE LOBO'!$C$1:$Q$76,2,0)</f>
        <v>1.7509999999999764</v>
      </c>
      <c r="G57" s="291">
        <f>VLOOKUP(A57,'BOCA DE LOBO'!$C$1:$Q$76,4,0)</f>
        <v>5.2530000000000001</v>
      </c>
      <c r="H57" s="238">
        <v>400</v>
      </c>
      <c r="I57" s="493">
        <f t="shared" si="392"/>
        <v>1.7759399999999765</v>
      </c>
      <c r="J57" s="241">
        <f t="shared" si="393"/>
        <v>0.46645064099999384</v>
      </c>
      <c r="K57" s="494">
        <v>0</v>
      </c>
      <c r="L57" s="253">
        <f t="shared" si="394"/>
        <v>1</v>
      </c>
      <c r="M57" s="253">
        <f t="shared" si="395"/>
        <v>1</v>
      </c>
      <c r="N57" s="253">
        <f t="shared" si="396"/>
        <v>0</v>
      </c>
      <c r="O57" s="253">
        <f t="shared" si="306"/>
        <v>5.2530000000000001</v>
      </c>
      <c r="P57" s="495" t="s">
        <v>2392</v>
      </c>
      <c r="Q57" s="495" t="s">
        <v>2978</v>
      </c>
      <c r="R57" s="495"/>
      <c r="S57" s="495">
        <v>5</v>
      </c>
      <c r="T57" s="495">
        <v>5</v>
      </c>
      <c r="U57" s="253">
        <f t="shared" si="397"/>
        <v>0.05</v>
      </c>
      <c r="V57" s="246">
        <f t="shared" si="398"/>
        <v>0</v>
      </c>
      <c r="W57" s="246">
        <f t="shared" si="399"/>
        <v>9.3290128199998765</v>
      </c>
      <c r="X57" s="247">
        <f t="shared" si="400"/>
        <v>0</v>
      </c>
      <c r="Y57" s="247">
        <f t="shared" si="401"/>
        <v>0</v>
      </c>
      <c r="Z57" s="247">
        <f t="shared" si="402"/>
        <v>1.7759399999999765</v>
      </c>
      <c r="AA57" s="247">
        <f t="shared" si="403"/>
        <v>0</v>
      </c>
      <c r="AB57" s="496">
        <f t="shared" si="404"/>
        <v>5.2530000000000001</v>
      </c>
      <c r="AC57" s="251">
        <f t="shared" si="405"/>
        <v>0</v>
      </c>
      <c r="AD57" s="251">
        <f t="shared" si="406"/>
        <v>0</v>
      </c>
      <c r="AE57" s="251">
        <f t="shared" si="407"/>
        <v>0</v>
      </c>
      <c r="AF57" s="251">
        <f t="shared" si="408"/>
        <v>7.8795000000000002</v>
      </c>
      <c r="AG57" s="251">
        <f t="shared" si="409"/>
        <v>1.4495128199998768</v>
      </c>
      <c r="AH57" s="251">
        <f t="shared" si="410"/>
        <v>0</v>
      </c>
      <c r="AI57" s="497" t="str">
        <f t="shared" si="411"/>
        <v>NÃO</v>
      </c>
      <c r="AJ57" s="253">
        <f t="shared" si="412"/>
        <v>0</v>
      </c>
      <c r="AK57" s="253">
        <f t="shared" si="413"/>
        <v>0</v>
      </c>
      <c r="AL57" s="253">
        <f t="shared" si="414"/>
        <v>8.6689013716275891</v>
      </c>
      <c r="AM57" s="241">
        <f t="shared" si="415"/>
        <v>0.26264999999999999</v>
      </c>
      <c r="AN57" s="246">
        <f t="shared" si="416"/>
        <v>0</v>
      </c>
      <c r="AO57" s="253">
        <f t="shared" si="417"/>
        <v>0</v>
      </c>
      <c r="AP57" s="253">
        <f t="shared" si="418"/>
        <v>0</v>
      </c>
      <c r="AQ57" s="253">
        <f t="shared" si="419"/>
        <v>0.7</v>
      </c>
      <c r="AR57" s="253">
        <f t="shared" si="420"/>
        <v>3.0169885516277124</v>
      </c>
      <c r="AS57" s="253">
        <f t="shared" si="421"/>
        <v>0</v>
      </c>
      <c r="AT57" s="253">
        <f t="shared" si="422"/>
        <v>0.78795000000000004</v>
      </c>
      <c r="AU57" s="253">
        <f t="shared" si="423"/>
        <v>0.78795000000000004</v>
      </c>
      <c r="AV57" s="253">
        <f t="shared" si="424"/>
        <v>0.15759000000000001</v>
      </c>
      <c r="AW57" s="253">
        <f t="shared" si="425"/>
        <v>3.8133628199998753</v>
      </c>
      <c r="AX57" s="253">
        <f t="shared" si="426"/>
        <v>5.5240742683721642</v>
      </c>
      <c r="AY57" s="253">
        <f t="shared" si="427"/>
        <v>3.8133628199998753</v>
      </c>
      <c r="AZ57" s="253">
        <f t="shared" si="428"/>
        <v>0</v>
      </c>
      <c r="BA57" s="253">
        <f t="shared" si="429"/>
        <v>0</v>
      </c>
      <c r="BB57" s="253">
        <f t="shared" si="430"/>
        <v>0</v>
      </c>
      <c r="BC57" s="253"/>
      <c r="BD57" s="253">
        <f t="shared" si="431"/>
        <v>3.1518000000000004E-2</v>
      </c>
      <c r="BE57" s="496">
        <f t="shared" si="432"/>
        <v>1.7759399999999765</v>
      </c>
      <c r="BF57" s="498">
        <f t="shared" si="433"/>
        <v>0</v>
      </c>
      <c r="BG57" s="498">
        <f t="shared" si="434"/>
        <v>5.2530000000000001</v>
      </c>
      <c r="BH57" s="495" t="str">
        <f>VLOOKUP(A57,'BOCA DE LOBO'!C:I,7,0)</f>
        <v>BOCA DE LOBO PROJETADA DUPLA</v>
      </c>
      <c r="BI57" s="253">
        <f t="shared" si="435"/>
        <v>0</v>
      </c>
      <c r="BJ57" s="253">
        <f t="shared" si="436"/>
        <v>0</v>
      </c>
      <c r="BK57" s="253">
        <f t="shared" si="437"/>
        <v>0</v>
      </c>
      <c r="BL57" s="253">
        <f t="shared" si="438"/>
        <v>0</v>
      </c>
      <c r="BM57" s="253">
        <f t="shared" si="439"/>
        <v>0</v>
      </c>
      <c r="BN57" s="253">
        <f t="shared" si="440"/>
        <v>1</v>
      </c>
      <c r="BO57" s="253">
        <f t="shared" si="441"/>
        <v>0</v>
      </c>
      <c r="BP57" s="500"/>
      <c r="BQ57" s="496">
        <f t="shared" si="442"/>
        <v>15.759</v>
      </c>
      <c r="BR57" s="496">
        <f t="shared" si="443"/>
        <v>2.8990256399997536</v>
      </c>
      <c r="BS57" s="496">
        <f t="shared" si="444"/>
        <v>0</v>
      </c>
      <c r="BV57" s="502">
        <f t="shared" si="445"/>
        <v>11.992052687999813</v>
      </c>
      <c r="BW57" s="502">
        <f t="shared" si="446"/>
        <v>7.7825999999999986</v>
      </c>
      <c r="BX57" s="502">
        <f t="shared" si="447"/>
        <v>3.0325999999999995</v>
      </c>
      <c r="BY57" s="502">
        <f t="shared" si="448"/>
        <v>1.5408799999999763</v>
      </c>
      <c r="BZ57" s="502">
        <f t="shared" si="449"/>
        <v>1.5408799999999763</v>
      </c>
      <c r="CA57" s="502">
        <f t="shared" si="450"/>
        <v>0</v>
      </c>
      <c r="CB57" s="502">
        <f t="shared" si="451"/>
        <v>0</v>
      </c>
      <c r="CC57" s="502">
        <f t="shared" si="452"/>
        <v>11.673899999999998</v>
      </c>
      <c r="CD57" s="502">
        <f t="shared" si="453"/>
        <v>0.31815268799981528</v>
      </c>
      <c r="CE57" s="502">
        <f t="shared" si="454"/>
        <v>0</v>
      </c>
      <c r="CF57" s="502">
        <f t="shared" si="455"/>
        <v>0</v>
      </c>
      <c r="CG57" s="502">
        <f t="shared" si="456"/>
        <v>0</v>
      </c>
      <c r="CH57" s="502">
        <f t="shared" si="457"/>
        <v>0</v>
      </c>
      <c r="CI57" s="253">
        <f t="shared" si="458"/>
        <v>0.53549999999999998</v>
      </c>
      <c r="CJ57" s="502">
        <f t="shared" si="459"/>
        <v>6.7836799999998858</v>
      </c>
      <c r="CK57" s="502">
        <f t="shared" si="460"/>
        <v>6.7836799999998858</v>
      </c>
      <c r="CL57" s="502">
        <f t="shared" si="461"/>
        <v>0</v>
      </c>
      <c r="CM57" s="502">
        <f t="shared" si="462"/>
        <v>0</v>
      </c>
      <c r="CN57" s="502">
        <f t="shared" si="463"/>
        <v>3.57</v>
      </c>
      <c r="CO57" s="502">
        <f t="shared" si="464"/>
        <v>1.5408799999999763</v>
      </c>
      <c r="CP57" s="502">
        <f t="shared" si="465"/>
        <v>10.709999999999999</v>
      </c>
      <c r="CQ57" s="502">
        <f t="shared" si="466"/>
        <v>0.29188319999983053</v>
      </c>
      <c r="CR57" s="220">
        <f t="shared" si="467"/>
        <v>0</v>
      </c>
      <c r="CS57" s="503">
        <f t="shared" si="468"/>
        <v>0</v>
      </c>
      <c r="CT57" s="503">
        <f t="shared" si="469"/>
        <v>0.33012999999999998</v>
      </c>
      <c r="CU57" s="504">
        <f t="shared" si="470"/>
        <v>8.0125759999998767</v>
      </c>
      <c r="CV57" s="504">
        <f t="shared" si="471"/>
        <v>1.1454592799999925</v>
      </c>
      <c r="CW57" s="502">
        <f t="shared" si="472"/>
        <v>15.882158399999819</v>
      </c>
      <c r="CX57" s="253">
        <f t="shared" si="473"/>
        <v>3.57</v>
      </c>
      <c r="CY57" s="505">
        <f t="shared" si="474"/>
        <v>1.7849999999999999</v>
      </c>
      <c r="CZ57" s="502">
        <f t="shared" si="475"/>
        <v>2.4513847475961154E-2</v>
      </c>
    </row>
    <row r="58" spans="1:104" s="501" customFormat="1" ht="25" x14ac:dyDescent="0.25">
      <c r="A58" s="291" t="str">
        <f>'BOCA DE LOBO'!C65</f>
        <v>BL55-&gt;PV2-93</v>
      </c>
      <c r="B58" s="291" t="str">
        <f>'BOCA DE LOBO'!A65</f>
        <v>PV2-93</v>
      </c>
      <c r="C58" s="413" t="str">
        <f>VLOOKUP(A58,'BOCA DE LOBO'!$C$1:$Q$76,3,0)</f>
        <v>EXISTENTE</v>
      </c>
      <c r="D58" s="291" t="str">
        <f>VLOOKUP(A58,'BOCA DE LOBO'!$C$1:$Q$76,10,0)</f>
        <v>PROJETADA</v>
      </c>
      <c r="E58" s="413">
        <f t="shared" si="391"/>
        <v>1.5620000000000227</v>
      </c>
      <c r="F58" s="291">
        <f>VLOOKUP(A58,'BOCA DE LOBO'!$C$1:$Q$76,2,0)</f>
        <v>1.8500000000000227</v>
      </c>
      <c r="G58" s="291">
        <f>VLOOKUP(A58,'BOCA DE LOBO'!$C$1:$Q$76,4,0)</f>
        <v>7.2</v>
      </c>
      <c r="H58" s="238">
        <v>400</v>
      </c>
      <c r="I58" s="493">
        <f t="shared" si="392"/>
        <v>1.8360000000000227</v>
      </c>
      <c r="J58" s="241">
        <f t="shared" si="393"/>
        <v>0.66096000000000821</v>
      </c>
      <c r="K58" s="494">
        <v>0</v>
      </c>
      <c r="L58" s="253">
        <f t="shared" si="394"/>
        <v>1</v>
      </c>
      <c r="M58" s="253">
        <f t="shared" si="395"/>
        <v>1</v>
      </c>
      <c r="N58" s="253">
        <f t="shared" si="396"/>
        <v>0</v>
      </c>
      <c r="O58" s="253">
        <f t="shared" si="306"/>
        <v>7.2</v>
      </c>
      <c r="P58" s="495" t="s">
        <v>2392</v>
      </c>
      <c r="Q58" s="495" t="s">
        <v>2978</v>
      </c>
      <c r="R58" s="495"/>
      <c r="S58" s="495">
        <v>5</v>
      </c>
      <c r="T58" s="495">
        <v>5</v>
      </c>
      <c r="U58" s="253">
        <f t="shared" si="397"/>
        <v>0.05</v>
      </c>
      <c r="V58" s="246">
        <f t="shared" si="398"/>
        <v>0</v>
      </c>
      <c r="W58" s="246">
        <f t="shared" si="399"/>
        <v>13.219200000000164</v>
      </c>
      <c r="X58" s="247">
        <f t="shared" si="400"/>
        <v>0</v>
      </c>
      <c r="Y58" s="247">
        <f t="shared" si="401"/>
        <v>0</v>
      </c>
      <c r="Z58" s="247">
        <f t="shared" si="402"/>
        <v>1.8360000000000227</v>
      </c>
      <c r="AA58" s="247">
        <f t="shared" si="403"/>
        <v>0</v>
      </c>
      <c r="AB58" s="496">
        <f t="shared" si="404"/>
        <v>7.2</v>
      </c>
      <c r="AC58" s="251">
        <f t="shared" si="405"/>
        <v>0</v>
      </c>
      <c r="AD58" s="251">
        <f t="shared" si="406"/>
        <v>0</v>
      </c>
      <c r="AE58" s="251">
        <f t="shared" si="407"/>
        <v>0</v>
      </c>
      <c r="AF58" s="251">
        <f t="shared" si="408"/>
        <v>10.8</v>
      </c>
      <c r="AG58" s="251">
        <f t="shared" si="409"/>
        <v>2.4192000000001639</v>
      </c>
      <c r="AH58" s="251">
        <f t="shared" si="410"/>
        <v>0</v>
      </c>
      <c r="AI58" s="497" t="str">
        <f t="shared" si="411"/>
        <v>NÃO</v>
      </c>
      <c r="AJ58" s="253">
        <f t="shared" si="412"/>
        <v>0</v>
      </c>
      <c r="AK58" s="253">
        <f t="shared" si="413"/>
        <v>0</v>
      </c>
      <c r="AL58" s="253">
        <f t="shared" si="414"/>
        <v>12.314421315766303</v>
      </c>
      <c r="AM58" s="241">
        <f t="shared" si="415"/>
        <v>0.36000000000000004</v>
      </c>
      <c r="AN58" s="246">
        <f t="shared" si="416"/>
        <v>0</v>
      </c>
      <c r="AO58" s="253">
        <f t="shared" si="417"/>
        <v>0</v>
      </c>
      <c r="AP58" s="253">
        <f t="shared" si="418"/>
        <v>0</v>
      </c>
      <c r="AQ58" s="253">
        <f t="shared" si="419"/>
        <v>0.7</v>
      </c>
      <c r="AR58" s="253">
        <f t="shared" si="420"/>
        <v>4.1352213157661399</v>
      </c>
      <c r="AS58" s="253">
        <f t="shared" si="421"/>
        <v>0</v>
      </c>
      <c r="AT58" s="253">
        <f t="shared" si="422"/>
        <v>1.08</v>
      </c>
      <c r="AU58" s="253">
        <f t="shared" si="423"/>
        <v>1.08</v>
      </c>
      <c r="AV58" s="253">
        <f t="shared" si="424"/>
        <v>0.216</v>
      </c>
      <c r="AW58" s="253">
        <f t="shared" si="425"/>
        <v>5.6592000000001637</v>
      </c>
      <c r="AX58" s="253">
        <f t="shared" si="426"/>
        <v>8.0039786842340241</v>
      </c>
      <c r="AY58" s="253">
        <f t="shared" si="427"/>
        <v>5.6592000000001637</v>
      </c>
      <c r="AZ58" s="253">
        <f t="shared" si="428"/>
        <v>0</v>
      </c>
      <c r="BA58" s="253">
        <f t="shared" si="429"/>
        <v>0</v>
      </c>
      <c r="BB58" s="253">
        <f t="shared" si="430"/>
        <v>0</v>
      </c>
      <c r="BC58" s="253"/>
      <c r="BD58" s="253">
        <f t="shared" si="431"/>
        <v>4.3200000000000002E-2</v>
      </c>
      <c r="BE58" s="496">
        <f t="shared" si="432"/>
        <v>1.8360000000000227</v>
      </c>
      <c r="BF58" s="498">
        <f t="shared" si="433"/>
        <v>0</v>
      </c>
      <c r="BG58" s="498">
        <f t="shared" si="434"/>
        <v>7.2</v>
      </c>
      <c r="BH58" s="495" t="str">
        <f>VLOOKUP(A58,'BOCA DE LOBO'!C:I,7,0)</f>
        <v>BOCA DE LOBO PROJETADA DUPLA</v>
      </c>
      <c r="BI58" s="253">
        <f t="shared" si="435"/>
        <v>0</v>
      </c>
      <c r="BJ58" s="253">
        <f t="shared" si="436"/>
        <v>0</v>
      </c>
      <c r="BK58" s="253">
        <f t="shared" si="437"/>
        <v>0</v>
      </c>
      <c r="BL58" s="253">
        <f t="shared" si="438"/>
        <v>0</v>
      </c>
      <c r="BM58" s="253">
        <f t="shared" si="439"/>
        <v>0</v>
      </c>
      <c r="BN58" s="253">
        <f t="shared" si="440"/>
        <v>1</v>
      </c>
      <c r="BO58" s="253">
        <f t="shared" si="441"/>
        <v>0</v>
      </c>
      <c r="BP58" s="500"/>
      <c r="BQ58" s="496">
        <f t="shared" si="442"/>
        <v>21.6</v>
      </c>
      <c r="BR58" s="496">
        <f t="shared" si="443"/>
        <v>4.8384000000003278</v>
      </c>
      <c r="BS58" s="496">
        <f t="shared" si="444"/>
        <v>0</v>
      </c>
      <c r="BV58" s="502">
        <f t="shared" si="445"/>
        <v>12.156421200000175</v>
      </c>
      <c r="BW58" s="502">
        <f t="shared" si="446"/>
        <v>7.7825999999999986</v>
      </c>
      <c r="BX58" s="502">
        <f t="shared" si="447"/>
        <v>3.0325999999999995</v>
      </c>
      <c r="BY58" s="502">
        <f t="shared" si="448"/>
        <v>1.5620000000000227</v>
      </c>
      <c r="BZ58" s="502">
        <f t="shared" si="449"/>
        <v>1.5620000000000227</v>
      </c>
      <c r="CA58" s="502">
        <f t="shared" si="450"/>
        <v>0</v>
      </c>
      <c r="CB58" s="502">
        <f t="shared" si="451"/>
        <v>0</v>
      </c>
      <c r="CC58" s="502">
        <f t="shared" si="452"/>
        <v>11.673899999999998</v>
      </c>
      <c r="CD58" s="502">
        <f t="shared" si="453"/>
        <v>0.48252120000017662</v>
      </c>
      <c r="CE58" s="502">
        <f t="shared" si="454"/>
        <v>0</v>
      </c>
      <c r="CF58" s="502">
        <f t="shared" si="455"/>
        <v>0</v>
      </c>
      <c r="CG58" s="502">
        <f t="shared" si="456"/>
        <v>0</v>
      </c>
      <c r="CH58" s="502">
        <f t="shared" si="457"/>
        <v>0</v>
      </c>
      <c r="CI58" s="253">
        <f t="shared" si="458"/>
        <v>0.53549999999999998</v>
      </c>
      <c r="CJ58" s="502">
        <f t="shared" si="459"/>
        <v>6.8840000000001069</v>
      </c>
      <c r="CK58" s="502">
        <f t="shared" si="460"/>
        <v>6.8840000000001069</v>
      </c>
      <c r="CL58" s="502">
        <f t="shared" si="461"/>
        <v>0</v>
      </c>
      <c r="CM58" s="502">
        <f t="shared" si="462"/>
        <v>0</v>
      </c>
      <c r="CN58" s="502">
        <f t="shared" si="463"/>
        <v>3.57</v>
      </c>
      <c r="CO58" s="502">
        <f t="shared" si="464"/>
        <v>1.5620000000000227</v>
      </c>
      <c r="CP58" s="502">
        <f t="shared" si="465"/>
        <v>10.709999999999999</v>
      </c>
      <c r="CQ58" s="502">
        <f t="shared" si="466"/>
        <v>0.44268000000016211</v>
      </c>
      <c r="CR58" s="220">
        <f t="shared" si="467"/>
        <v>0</v>
      </c>
      <c r="CS58" s="503">
        <f t="shared" si="468"/>
        <v>0</v>
      </c>
      <c r="CT58" s="503">
        <f t="shared" si="469"/>
        <v>0.33012999999999998</v>
      </c>
      <c r="CU58" s="504">
        <f t="shared" si="470"/>
        <v>8.122400000000118</v>
      </c>
      <c r="CV58" s="504">
        <f t="shared" si="471"/>
        <v>1.1519220000000068</v>
      </c>
      <c r="CW58" s="502">
        <f t="shared" si="472"/>
        <v>16.044360000000175</v>
      </c>
      <c r="CX58" s="253">
        <f t="shared" si="473"/>
        <v>3.57</v>
      </c>
      <c r="CY58" s="505">
        <f t="shared" si="474"/>
        <v>1.7849999999999999</v>
      </c>
      <c r="CZ58" s="502">
        <f t="shared" si="475"/>
        <v>2.4513847475961154E-2</v>
      </c>
    </row>
    <row r="59" spans="1:104" s="501" customFormat="1" ht="25" x14ac:dyDescent="0.25">
      <c r="A59" s="291" t="str">
        <f>'BOCA DE LOBO'!C66</f>
        <v>BL56-&gt;PV1-94</v>
      </c>
      <c r="B59" s="291" t="str">
        <f>'BOCA DE LOBO'!A66</f>
        <v>PV1-94</v>
      </c>
      <c r="C59" s="413" t="str">
        <f>VLOOKUP(A59,'BOCA DE LOBO'!$C$1:$Q$76,3,0)</f>
        <v>EXISTENTE</v>
      </c>
      <c r="D59" s="291" t="str">
        <f>VLOOKUP(A59,'BOCA DE LOBO'!$C$1:$Q$76,10,0)</f>
        <v>PROJETADA</v>
      </c>
      <c r="E59" s="413">
        <f t="shared" si="391"/>
        <v>1.5493999999999999</v>
      </c>
      <c r="F59" s="291">
        <f>VLOOKUP(A59,'BOCA DE LOBO'!$C$1:$Q$76,2,0)</f>
        <v>1.75</v>
      </c>
      <c r="G59" s="291">
        <f>VLOOKUP(A59,'BOCA DE LOBO'!$C$1:$Q$76,4,0)</f>
        <v>5.0149999999999997</v>
      </c>
      <c r="H59" s="238">
        <v>400</v>
      </c>
      <c r="I59" s="493">
        <f t="shared" si="392"/>
        <v>1.7797000000000001</v>
      </c>
      <c r="J59" s="241">
        <f t="shared" si="393"/>
        <v>0.44625977499999997</v>
      </c>
      <c r="K59" s="494">
        <v>0</v>
      </c>
      <c r="L59" s="253">
        <f t="shared" si="394"/>
        <v>1</v>
      </c>
      <c r="M59" s="253">
        <f t="shared" si="395"/>
        <v>1</v>
      </c>
      <c r="N59" s="253">
        <f t="shared" si="396"/>
        <v>0</v>
      </c>
      <c r="O59" s="253">
        <f t="shared" si="306"/>
        <v>5.0149999999999997</v>
      </c>
      <c r="P59" s="495" t="s">
        <v>2392</v>
      </c>
      <c r="Q59" s="495" t="s">
        <v>2999</v>
      </c>
      <c r="R59" s="495"/>
      <c r="S59" s="495">
        <v>5</v>
      </c>
      <c r="T59" s="495">
        <v>5</v>
      </c>
      <c r="U59" s="253">
        <f t="shared" si="397"/>
        <v>0.05</v>
      </c>
      <c r="V59" s="246">
        <f t="shared" si="398"/>
        <v>0</v>
      </c>
      <c r="W59" s="246">
        <f t="shared" si="399"/>
        <v>8.9251954999999992</v>
      </c>
      <c r="X59" s="247">
        <f t="shared" si="400"/>
        <v>0</v>
      </c>
      <c r="Y59" s="247">
        <f t="shared" si="401"/>
        <v>0</v>
      </c>
      <c r="Z59" s="247">
        <f t="shared" si="402"/>
        <v>1.7797000000000001</v>
      </c>
      <c r="AA59" s="247">
        <f t="shared" si="403"/>
        <v>0</v>
      </c>
      <c r="AB59" s="496">
        <f t="shared" si="404"/>
        <v>5.0149999999999997</v>
      </c>
      <c r="AC59" s="251">
        <f t="shared" si="405"/>
        <v>0</v>
      </c>
      <c r="AD59" s="251">
        <f t="shared" si="406"/>
        <v>0</v>
      </c>
      <c r="AE59" s="251">
        <f t="shared" si="407"/>
        <v>0</v>
      </c>
      <c r="AF59" s="251">
        <f t="shared" si="408"/>
        <v>7.5224999999999991</v>
      </c>
      <c r="AG59" s="251">
        <f t="shared" si="409"/>
        <v>1.4026955000000003</v>
      </c>
      <c r="AH59" s="251">
        <f t="shared" si="410"/>
        <v>0</v>
      </c>
      <c r="AI59" s="497" t="str">
        <f t="shared" si="411"/>
        <v>NÃO</v>
      </c>
      <c r="AJ59" s="253">
        <f t="shared" si="412"/>
        <v>0</v>
      </c>
      <c r="AK59" s="253">
        <f t="shared" si="413"/>
        <v>0</v>
      </c>
      <c r="AL59" s="253">
        <f t="shared" si="414"/>
        <v>8.2949920136898871</v>
      </c>
      <c r="AM59" s="241">
        <f t="shared" si="415"/>
        <v>0.25074999999999997</v>
      </c>
      <c r="AN59" s="246">
        <f t="shared" si="416"/>
        <v>0</v>
      </c>
      <c r="AO59" s="253">
        <f t="shared" si="417"/>
        <v>0</v>
      </c>
      <c r="AP59" s="253">
        <f t="shared" si="418"/>
        <v>0</v>
      </c>
      <c r="AQ59" s="253">
        <f t="shared" si="419"/>
        <v>0.7</v>
      </c>
      <c r="AR59" s="253">
        <f t="shared" si="420"/>
        <v>2.880296513689887</v>
      </c>
      <c r="AS59" s="253">
        <f t="shared" si="421"/>
        <v>0</v>
      </c>
      <c r="AT59" s="253">
        <f t="shared" si="422"/>
        <v>0.75224999999999997</v>
      </c>
      <c r="AU59" s="253">
        <f t="shared" si="423"/>
        <v>0.75224999999999997</v>
      </c>
      <c r="AV59" s="253">
        <f t="shared" si="424"/>
        <v>0.15044999999999997</v>
      </c>
      <c r="AW59" s="253">
        <f t="shared" si="425"/>
        <v>3.6594454999999999</v>
      </c>
      <c r="AX59" s="253">
        <f t="shared" si="426"/>
        <v>5.2926489863101125</v>
      </c>
      <c r="AY59" s="253">
        <f t="shared" si="427"/>
        <v>3.6594454999999999</v>
      </c>
      <c r="AZ59" s="253">
        <f t="shared" si="428"/>
        <v>0</v>
      </c>
      <c r="BA59" s="253">
        <f t="shared" si="429"/>
        <v>0</v>
      </c>
      <c r="BB59" s="253">
        <f t="shared" si="430"/>
        <v>0</v>
      </c>
      <c r="BC59" s="253"/>
      <c r="BD59" s="253">
        <f t="shared" si="431"/>
        <v>3.0089999999999999E-2</v>
      </c>
      <c r="BE59" s="496">
        <f t="shared" si="432"/>
        <v>1.7797000000000001</v>
      </c>
      <c r="BF59" s="498">
        <f t="shared" si="433"/>
        <v>0</v>
      </c>
      <c r="BG59" s="498">
        <f t="shared" si="434"/>
        <v>5.0149999999999997</v>
      </c>
      <c r="BH59" s="495" t="str">
        <f>VLOOKUP(A59,'BOCA DE LOBO'!C:I,7,0)</f>
        <v>BOCA DE LOBO PROJETADA DUPLA</v>
      </c>
      <c r="BI59" s="253">
        <f t="shared" si="435"/>
        <v>0</v>
      </c>
      <c r="BJ59" s="253">
        <f t="shared" si="436"/>
        <v>0</v>
      </c>
      <c r="BK59" s="253">
        <f t="shared" si="437"/>
        <v>0</v>
      </c>
      <c r="BL59" s="253">
        <f t="shared" si="438"/>
        <v>0</v>
      </c>
      <c r="BM59" s="253">
        <f t="shared" si="439"/>
        <v>0</v>
      </c>
      <c r="BN59" s="253">
        <f t="shared" si="440"/>
        <v>1</v>
      </c>
      <c r="BO59" s="253">
        <f t="shared" si="441"/>
        <v>0</v>
      </c>
      <c r="BP59" s="500"/>
      <c r="BQ59" s="496">
        <f t="shared" si="442"/>
        <v>15.044999999999998</v>
      </c>
      <c r="BR59" s="496">
        <f t="shared" si="443"/>
        <v>2.8053910000000006</v>
      </c>
      <c r="BS59" s="496">
        <f t="shared" si="444"/>
        <v>0</v>
      </c>
      <c r="BV59" s="502">
        <f t="shared" si="445"/>
        <v>12.058360439999998</v>
      </c>
      <c r="BW59" s="502">
        <f t="shared" si="446"/>
        <v>7.7825999999999986</v>
      </c>
      <c r="BX59" s="502">
        <f t="shared" si="447"/>
        <v>3.0325999999999995</v>
      </c>
      <c r="BY59" s="502">
        <f t="shared" si="448"/>
        <v>1.5493999999999999</v>
      </c>
      <c r="BZ59" s="502">
        <f t="shared" si="449"/>
        <v>1.5493999999999999</v>
      </c>
      <c r="CA59" s="502">
        <f t="shared" si="450"/>
        <v>0</v>
      </c>
      <c r="CB59" s="502">
        <f t="shared" si="451"/>
        <v>0</v>
      </c>
      <c r="CC59" s="502">
        <f t="shared" si="452"/>
        <v>11.673899999999998</v>
      </c>
      <c r="CD59" s="502">
        <f t="shared" si="453"/>
        <v>0.38446043999999907</v>
      </c>
      <c r="CE59" s="502">
        <f t="shared" si="454"/>
        <v>0</v>
      </c>
      <c r="CF59" s="502">
        <f t="shared" si="455"/>
        <v>0</v>
      </c>
      <c r="CG59" s="502">
        <f t="shared" si="456"/>
        <v>0</v>
      </c>
      <c r="CH59" s="502">
        <f t="shared" si="457"/>
        <v>0</v>
      </c>
      <c r="CI59" s="253">
        <f t="shared" si="458"/>
        <v>0.53549999999999998</v>
      </c>
      <c r="CJ59" s="502">
        <f t="shared" si="459"/>
        <v>6.8241499999999986</v>
      </c>
      <c r="CK59" s="502">
        <f t="shared" si="460"/>
        <v>6.8241499999999986</v>
      </c>
      <c r="CL59" s="502">
        <f t="shared" si="461"/>
        <v>0</v>
      </c>
      <c r="CM59" s="502">
        <f t="shared" si="462"/>
        <v>0</v>
      </c>
      <c r="CN59" s="502">
        <f t="shared" si="463"/>
        <v>3.57</v>
      </c>
      <c r="CO59" s="502">
        <f t="shared" si="464"/>
        <v>1.5493999999999999</v>
      </c>
      <c r="CP59" s="502">
        <f t="shared" si="465"/>
        <v>10.709999999999999</v>
      </c>
      <c r="CQ59" s="502">
        <f t="shared" si="466"/>
        <v>0.3527159999999992</v>
      </c>
      <c r="CR59" s="220">
        <f t="shared" si="467"/>
        <v>0</v>
      </c>
      <c r="CS59" s="503">
        <f t="shared" si="468"/>
        <v>0</v>
      </c>
      <c r="CT59" s="503">
        <f t="shared" si="469"/>
        <v>0.33012999999999998</v>
      </c>
      <c r="CU59" s="504">
        <f t="shared" si="470"/>
        <v>8.0568799999999996</v>
      </c>
      <c r="CV59" s="504">
        <f t="shared" si="471"/>
        <v>1.1480663999999998</v>
      </c>
      <c r="CW59" s="502">
        <f t="shared" si="472"/>
        <v>15.947591999999998</v>
      </c>
      <c r="CX59" s="253">
        <f t="shared" si="473"/>
        <v>3.57</v>
      </c>
      <c r="CY59" s="505">
        <f t="shared" si="474"/>
        <v>1.7849999999999999</v>
      </c>
      <c r="CZ59" s="502">
        <f t="shared" si="475"/>
        <v>2.4513847475961154E-2</v>
      </c>
    </row>
    <row r="60" spans="1:104" s="501" customFormat="1" ht="25" x14ac:dyDescent="0.25">
      <c r="A60" s="291" t="str">
        <f>'BOCA DE LOBO'!C67</f>
        <v>BL57-&gt;PV2-94</v>
      </c>
      <c r="B60" s="291" t="str">
        <f>'BOCA DE LOBO'!A67</f>
        <v>PV2-94</v>
      </c>
      <c r="C60" s="413" t="str">
        <f>VLOOKUP(A60,'BOCA DE LOBO'!$C$1:$Q$76,3,0)</f>
        <v>EXISTENTE</v>
      </c>
      <c r="D60" s="291" t="str">
        <f>VLOOKUP(A60,'BOCA DE LOBO'!$C$1:$Q$76,10,0)</f>
        <v>PROJETADA</v>
      </c>
      <c r="E60" s="413">
        <f t="shared" si="391"/>
        <v>1.6645200000000182</v>
      </c>
      <c r="F60" s="291">
        <f>VLOOKUP(A60,'BOCA DE LOBO'!$C$1:$Q$76,2,0)</f>
        <v>1.8550000000000182</v>
      </c>
      <c r="G60" s="291">
        <f>VLOOKUP(A60,'BOCA DE LOBO'!$C$1:$Q$76,4,0)</f>
        <v>4.7619999999999996</v>
      </c>
      <c r="H60" s="238">
        <v>400</v>
      </c>
      <c r="I60" s="493">
        <f t="shared" si="392"/>
        <v>1.8897600000000183</v>
      </c>
      <c r="J60" s="241">
        <f t="shared" si="393"/>
        <v>0.44995185600000431</v>
      </c>
      <c r="K60" s="494">
        <v>0</v>
      </c>
      <c r="L60" s="253">
        <f t="shared" si="394"/>
        <v>1</v>
      </c>
      <c r="M60" s="253">
        <f t="shared" si="395"/>
        <v>1</v>
      </c>
      <c r="N60" s="253">
        <f t="shared" si="396"/>
        <v>0</v>
      </c>
      <c r="O60" s="253">
        <f t="shared" si="306"/>
        <v>4.7619999999999996</v>
      </c>
      <c r="P60" s="495" t="s">
        <v>2392</v>
      </c>
      <c r="Q60" s="495" t="s">
        <v>2999</v>
      </c>
      <c r="R60" s="507"/>
      <c r="S60" s="495">
        <v>5</v>
      </c>
      <c r="T60" s="495">
        <v>5</v>
      </c>
      <c r="U60" s="253">
        <f t="shared" si="397"/>
        <v>0.05</v>
      </c>
      <c r="V60" s="246">
        <f t="shared" si="398"/>
        <v>0</v>
      </c>
      <c r="W60" s="246">
        <f t="shared" si="399"/>
        <v>8.9990371200000858</v>
      </c>
      <c r="X60" s="247">
        <f t="shared" si="400"/>
        <v>0</v>
      </c>
      <c r="Y60" s="247">
        <f t="shared" si="401"/>
        <v>0</v>
      </c>
      <c r="Z60" s="247">
        <f t="shared" si="402"/>
        <v>1.8897600000000183</v>
      </c>
      <c r="AA60" s="247">
        <f t="shared" si="403"/>
        <v>0</v>
      </c>
      <c r="AB60" s="496">
        <f t="shared" si="404"/>
        <v>4.7619999999999996</v>
      </c>
      <c r="AC60" s="251">
        <f t="shared" si="405"/>
        <v>0</v>
      </c>
      <c r="AD60" s="251">
        <f t="shared" si="406"/>
        <v>0</v>
      </c>
      <c r="AE60" s="251">
        <f t="shared" si="407"/>
        <v>0</v>
      </c>
      <c r="AF60" s="251">
        <f t="shared" si="408"/>
        <v>7.1429999999999989</v>
      </c>
      <c r="AG60" s="251">
        <f t="shared" si="409"/>
        <v>1.8560371200000871</v>
      </c>
      <c r="AH60" s="251">
        <f t="shared" si="410"/>
        <v>0</v>
      </c>
      <c r="AI60" s="497" t="str">
        <f t="shared" si="411"/>
        <v>NÃO</v>
      </c>
      <c r="AJ60" s="253">
        <f t="shared" si="412"/>
        <v>0</v>
      </c>
      <c r="AK60" s="253">
        <f t="shared" si="413"/>
        <v>0</v>
      </c>
      <c r="AL60" s="253">
        <f t="shared" si="414"/>
        <v>8.4006265513443026</v>
      </c>
      <c r="AM60" s="241">
        <f t="shared" si="415"/>
        <v>0.23809999999999998</v>
      </c>
      <c r="AN60" s="246">
        <f t="shared" si="416"/>
        <v>0</v>
      </c>
      <c r="AO60" s="253">
        <f t="shared" si="417"/>
        <v>0</v>
      </c>
      <c r="AP60" s="253">
        <f t="shared" si="418"/>
        <v>0</v>
      </c>
      <c r="AQ60" s="253">
        <f t="shared" si="419"/>
        <v>0.7</v>
      </c>
      <c r="AR60" s="253">
        <f t="shared" si="420"/>
        <v>2.734989431344216</v>
      </c>
      <c r="AS60" s="253">
        <f t="shared" si="421"/>
        <v>0</v>
      </c>
      <c r="AT60" s="253">
        <f t="shared" si="422"/>
        <v>0.71429999999999993</v>
      </c>
      <c r="AU60" s="253">
        <f t="shared" si="423"/>
        <v>0.71429999999999993</v>
      </c>
      <c r="AV60" s="253">
        <f t="shared" si="424"/>
        <v>0.14285999999999999</v>
      </c>
      <c r="AW60" s="253">
        <f t="shared" si="425"/>
        <v>3.9989371200000878</v>
      </c>
      <c r="AX60" s="253">
        <f t="shared" si="426"/>
        <v>5.5497476886558701</v>
      </c>
      <c r="AY60" s="253">
        <f t="shared" si="427"/>
        <v>3.9989371200000878</v>
      </c>
      <c r="AZ60" s="253">
        <f t="shared" si="428"/>
        <v>0</v>
      </c>
      <c r="BA60" s="253">
        <f t="shared" si="429"/>
        <v>0</v>
      </c>
      <c r="BB60" s="253">
        <f t="shared" si="430"/>
        <v>0</v>
      </c>
      <c r="BC60" s="253"/>
      <c r="BD60" s="253">
        <f t="shared" si="431"/>
        <v>2.8571999999999997E-2</v>
      </c>
      <c r="BE60" s="496">
        <f t="shared" si="432"/>
        <v>1.8897600000000183</v>
      </c>
      <c r="BF60" s="498">
        <f t="shared" si="433"/>
        <v>0</v>
      </c>
      <c r="BG60" s="498">
        <f t="shared" si="434"/>
        <v>4.7619999999999996</v>
      </c>
      <c r="BH60" s="495" t="str">
        <f>VLOOKUP(A60,'BOCA DE LOBO'!C:I,7,0)</f>
        <v>BOCA DE LOBO PROJETADA DUPLA</v>
      </c>
      <c r="BI60" s="253">
        <f t="shared" si="435"/>
        <v>0</v>
      </c>
      <c r="BJ60" s="253">
        <f t="shared" si="436"/>
        <v>0</v>
      </c>
      <c r="BK60" s="253">
        <f t="shared" si="437"/>
        <v>0</v>
      </c>
      <c r="BL60" s="253">
        <f t="shared" si="438"/>
        <v>0</v>
      </c>
      <c r="BM60" s="253">
        <f t="shared" si="439"/>
        <v>0</v>
      </c>
      <c r="BN60" s="253">
        <f t="shared" si="440"/>
        <v>1</v>
      </c>
      <c r="BO60" s="253">
        <f t="shared" si="441"/>
        <v>0</v>
      </c>
      <c r="BP60" s="500"/>
      <c r="BQ60" s="496">
        <f t="shared" si="442"/>
        <v>14.285999999999998</v>
      </c>
      <c r="BR60" s="496">
        <f t="shared" si="443"/>
        <v>3.7120742400001743</v>
      </c>
      <c r="BS60" s="496">
        <f t="shared" si="444"/>
        <v>0</v>
      </c>
      <c r="BV60" s="502">
        <f t="shared" si="445"/>
        <v>12.954293352000139</v>
      </c>
      <c r="BW60" s="502">
        <f t="shared" si="446"/>
        <v>7.7825999999999986</v>
      </c>
      <c r="BX60" s="502">
        <f t="shared" si="447"/>
        <v>3.0325999999999995</v>
      </c>
      <c r="BY60" s="502">
        <f t="shared" si="448"/>
        <v>1.6645200000000182</v>
      </c>
      <c r="BZ60" s="502">
        <f t="shared" si="449"/>
        <v>1.6645200000000182</v>
      </c>
      <c r="CA60" s="502">
        <f t="shared" si="450"/>
        <v>0</v>
      </c>
      <c r="CB60" s="502">
        <f t="shared" si="451"/>
        <v>0</v>
      </c>
      <c r="CC60" s="502">
        <f t="shared" si="452"/>
        <v>11.673899999999998</v>
      </c>
      <c r="CD60" s="502">
        <f t="shared" si="453"/>
        <v>1.2803933520001414</v>
      </c>
      <c r="CE60" s="502">
        <f t="shared" si="454"/>
        <v>0</v>
      </c>
      <c r="CF60" s="502">
        <f t="shared" si="455"/>
        <v>0</v>
      </c>
      <c r="CG60" s="502">
        <f t="shared" si="456"/>
        <v>0</v>
      </c>
      <c r="CH60" s="502">
        <f t="shared" si="457"/>
        <v>0</v>
      </c>
      <c r="CI60" s="253">
        <f t="shared" si="458"/>
        <v>0.53549999999999998</v>
      </c>
      <c r="CJ60" s="502">
        <f t="shared" si="459"/>
        <v>7.3709700000000851</v>
      </c>
      <c r="CK60" s="502">
        <f t="shared" si="460"/>
        <v>7.3709700000000851</v>
      </c>
      <c r="CL60" s="502">
        <f t="shared" si="461"/>
        <v>0</v>
      </c>
      <c r="CM60" s="502">
        <f t="shared" si="462"/>
        <v>0</v>
      </c>
      <c r="CN60" s="502">
        <f t="shared" si="463"/>
        <v>3.57</v>
      </c>
      <c r="CO60" s="502">
        <f t="shared" si="464"/>
        <v>1.6645200000000182</v>
      </c>
      <c r="CP60" s="502">
        <f t="shared" si="465"/>
        <v>10.709999999999999</v>
      </c>
      <c r="CQ60" s="502">
        <f t="shared" si="466"/>
        <v>1.1746728000001299</v>
      </c>
      <c r="CR60" s="220">
        <f t="shared" si="467"/>
        <v>0</v>
      </c>
      <c r="CS60" s="503">
        <f t="shared" si="468"/>
        <v>0</v>
      </c>
      <c r="CT60" s="503">
        <f t="shared" si="469"/>
        <v>0.33012999999999998</v>
      </c>
      <c r="CU60" s="504">
        <f t="shared" si="470"/>
        <v>8.6555040000000947</v>
      </c>
      <c r="CV60" s="504">
        <f t="shared" si="471"/>
        <v>1.1832931200000054</v>
      </c>
      <c r="CW60" s="502">
        <f t="shared" si="472"/>
        <v>16.831713600000139</v>
      </c>
      <c r="CX60" s="253">
        <f t="shared" si="473"/>
        <v>3.57</v>
      </c>
      <c r="CY60" s="505">
        <f t="shared" si="474"/>
        <v>1.7849999999999999</v>
      </c>
      <c r="CZ60" s="502">
        <f t="shared" si="475"/>
        <v>2.4513847475961154E-2</v>
      </c>
    </row>
    <row r="61" spans="1:104" s="501" customFormat="1" ht="25" x14ac:dyDescent="0.25">
      <c r="A61" s="291" t="str">
        <f>'BOCA DE LOBO'!C68</f>
        <v>BL58-&gt;PV1-95</v>
      </c>
      <c r="B61" s="291" t="str">
        <f>'BOCA DE LOBO'!A68</f>
        <v>PV1-95</v>
      </c>
      <c r="C61" s="413" t="str">
        <f>VLOOKUP(A61,'BOCA DE LOBO'!$C$1:$Q$76,3,0)</f>
        <v>EXISTENTE</v>
      </c>
      <c r="D61" s="291" t="str">
        <f>VLOOKUP(A61,'BOCA DE LOBO'!$C$1:$Q$76,10,0)</f>
        <v>PROJETADA</v>
      </c>
      <c r="E61" s="413">
        <f t="shared" si="391"/>
        <v>1.5287999999999999</v>
      </c>
      <c r="F61" s="291">
        <f>VLOOKUP(A61,'BOCA DE LOBO'!$C$1:$Q$76,2,0)</f>
        <v>1.75</v>
      </c>
      <c r="G61" s="291">
        <f>VLOOKUP(A61,'BOCA DE LOBO'!$C$1:$Q$76,4,0)</f>
        <v>5.53</v>
      </c>
      <c r="H61" s="238">
        <v>400</v>
      </c>
      <c r="I61" s="493">
        <f t="shared" si="392"/>
        <v>1.7694000000000001</v>
      </c>
      <c r="J61" s="241">
        <f t="shared" si="393"/>
        <v>0.48923910000000009</v>
      </c>
      <c r="K61" s="494">
        <v>0</v>
      </c>
      <c r="L61" s="253">
        <f t="shared" si="394"/>
        <v>1</v>
      </c>
      <c r="M61" s="253">
        <f t="shared" si="395"/>
        <v>1</v>
      </c>
      <c r="N61" s="253">
        <f t="shared" si="396"/>
        <v>0</v>
      </c>
      <c r="O61" s="253">
        <f t="shared" si="306"/>
        <v>5.53</v>
      </c>
      <c r="P61" s="495" t="s">
        <v>2392</v>
      </c>
      <c r="Q61" s="495" t="s">
        <v>3000</v>
      </c>
      <c r="R61" s="495"/>
      <c r="S61" s="495">
        <v>5</v>
      </c>
      <c r="T61" s="495">
        <v>4.8</v>
      </c>
      <c r="U61" s="253">
        <f t="shared" si="397"/>
        <v>0.05</v>
      </c>
      <c r="V61" s="246">
        <f t="shared" si="398"/>
        <v>0</v>
      </c>
      <c r="W61" s="246">
        <f t="shared" si="399"/>
        <v>9.7847820000000016</v>
      </c>
      <c r="X61" s="247">
        <f t="shared" si="400"/>
        <v>0</v>
      </c>
      <c r="Y61" s="247">
        <f t="shared" si="401"/>
        <v>0</v>
      </c>
      <c r="Z61" s="247">
        <f t="shared" si="402"/>
        <v>1.7694000000000001</v>
      </c>
      <c r="AA61" s="247">
        <f t="shared" si="403"/>
        <v>0</v>
      </c>
      <c r="AB61" s="496">
        <f t="shared" si="404"/>
        <v>5.53</v>
      </c>
      <c r="AC61" s="251">
        <f t="shared" si="405"/>
        <v>0</v>
      </c>
      <c r="AD61" s="251">
        <f t="shared" si="406"/>
        <v>0</v>
      </c>
      <c r="AE61" s="251">
        <f t="shared" si="407"/>
        <v>0</v>
      </c>
      <c r="AF61" s="251">
        <f t="shared" si="408"/>
        <v>8.2949999999999999</v>
      </c>
      <c r="AG61" s="251">
        <f t="shared" si="409"/>
        <v>1.4897820000000006</v>
      </c>
      <c r="AH61" s="251">
        <f t="shared" si="410"/>
        <v>0</v>
      </c>
      <c r="AI61" s="497" t="str">
        <f t="shared" si="411"/>
        <v>NÃO</v>
      </c>
      <c r="AJ61" s="253">
        <f t="shared" si="412"/>
        <v>0</v>
      </c>
      <c r="AK61" s="253">
        <f t="shared" si="413"/>
        <v>0</v>
      </c>
      <c r="AL61" s="253">
        <f t="shared" si="414"/>
        <v>9.0898617050259389</v>
      </c>
      <c r="AM61" s="241">
        <f t="shared" si="415"/>
        <v>0.27650000000000002</v>
      </c>
      <c r="AN61" s="246">
        <f t="shared" si="416"/>
        <v>0</v>
      </c>
      <c r="AO61" s="253">
        <f t="shared" si="417"/>
        <v>0</v>
      </c>
      <c r="AP61" s="253">
        <f t="shared" si="418"/>
        <v>0</v>
      </c>
      <c r="AQ61" s="253">
        <f t="shared" si="419"/>
        <v>0.7</v>
      </c>
      <c r="AR61" s="253">
        <f t="shared" si="420"/>
        <v>3.1760797050259377</v>
      </c>
      <c r="AS61" s="253">
        <f t="shared" si="421"/>
        <v>0</v>
      </c>
      <c r="AT61" s="253">
        <f t="shared" si="422"/>
        <v>0.82950000000000002</v>
      </c>
      <c r="AU61" s="253">
        <f t="shared" si="423"/>
        <v>0.82950000000000002</v>
      </c>
      <c r="AV61" s="253">
        <f t="shared" si="424"/>
        <v>0.16589999999999999</v>
      </c>
      <c r="AW61" s="253">
        <f t="shared" si="425"/>
        <v>3.9782820000000001</v>
      </c>
      <c r="AX61" s="253">
        <f t="shared" si="426"/>
        <v>5.7792022949740627</v>
      </c>
      <c r="AY61" s="253">
        <f t="shared" si="427"/>
        <v>3.9782820000000001</v>
      </c>
      <c r="AZ61" s="253">
        <f t="shared" si="428"/>
        <v>0</v>
      </c>
      <c r="BA61" s="253">
        <f t="shared" si="429"/>
        <v>0</v>
      </c>
      <c r="BB61" s="253">
        <f t="shared" si="430"/>
        <v>0</v>
      </c>
      <c r="BC61" s="253"/>
      <c r="BD61" s="253">
        <f t="shared" si="431"/>
        <v>3.3180000000000001E-2</v>
      </c>
      <c r="BE61" s="496">
        <f t="shared" si="432"/>
        <v>1.7694000000000001</v>
      </c>
      <c r="BF61" s="498">
        <f t="shared" si="433"/>
        <v>0</v>
      </c>
      <c r="BG61" s="498">
        <f t="shared" si="434"/>
        <v>5.53</v>
      </c>
      <c r="BH61" s="495" t="str">
        <f>VLOOKUP(A61,'BOCA DE LOBO'!C:I,7,0)</f>
        <v>BOCA DE LOBO PROJETADA DUPLA</v>
      </c>
      <c r="BI61" s="253">
        <f t="shared" si="435"/>
        <v>0</v>
      </c>
      <c r="BJ61" s="253">
        <f t="shared" si="436"/>
        <v>0</v>
      </c>
      <c r="BK61" s="253">
        <f t="shared" si="437"/>
        <v>0</v>
      </c>
      <c r="BL61" s="253">
        <f t="shared" si="438"/>
        <v>0</v>
      </c>
      <c r="BM61" s="253">
        <f t="shared" si="439"/>
        <v>0</v>
      </c>
      <c r="BN61" s="253">
        <f t="shared" si="440"/>
        <v>1</v>
      </c>
      <c r="BO61" s="253">
        <f t="shared" si="441"/>
        <v>0</v>
      </c>
      <c r="BP61" s="500"/>
      <c r="BQ61" s="496">
        <f t="shared" si="442"/>
        <v>16.59</v>
      </c>
      <c r="BR61" s="496">
        <f t="shared" si="443"/>
        <v>2.9795640000000012</v>
      </c>
      <c r="BS61" s="496">
        <f t="shared" si="444"/>
        <v>0</v>
      </c>
      <c r="BV61" s="502">
        <f t="shared" si="445"/>
        <v>11.898038879999998</v>
      </c>
      <c r="BW61" s="502">
        <f t="shared" si="446"/>
        <v>7.7825999999999986</v>
      </c>
      <c r="BX61" s="502">
        <f t="shared" si="447"/>
        <v>3.0325999999999995</v>
      </c>
      <c r="BY61" s="502">
        <f t="shared" si="448"/>
        <v>1.5287999999999999</v>
      </c>
      <c r="BZ61" s="502">
        <f t="shared" si="449"/>
        <v>1.5287999999999999</v>
      </c>
      <c r="CA61" s="502">
        <f t="shared" si="450"/>
        <v>0</v>
      </c>
      <c r="CB61" s="502">
        <f t="shared" si="451"/>
        <v>0</v>
      </c>
      <c r="CC61" s="502">
        <f t="shared" si="452"/>
        <v>11.673899999999998</v>
      </c>
      <c r="CD61" s="502">
        <f t="shared" si="453"/>
        <v>0.22413887999999946</v>
      </c>
      <c r="CE61" s="502">
        <f t="shared" si="454"/>
        <v>0</v>
      </c>
      <c r="CF61" s="502">
        <f t="shared" si="455"/>
        <v>0</v>
      </c>
      <c r="CG61" s="502">
        <f t="shared" si="456"/>
        <v>0</v>
      </c>
      <c r="CH61" s="502">
        <f t="shared" si="457"/>
        <v>0</v>
      </c>
      <c r="CI61" s="253">
        <f t="shared" si="458"/>
        <v>0.53549999999999998</v>
      </c>
      <c r="CJ61" s="502">
        <f t="shared" si="459"/>
        <v>6.7262999999999984</v>
      </c>
      <c r="CK61" s="502">
        <f t="shared" si="460"/>
        <v>6.7262999999999984</v>
      </c>
      <c r="CL61" s="502">
        <f t="shared" si="461"/>
        <v>0</v>
      </c>
      <c r="CM61" s="502">
        <f t="shared" si="462"/>
        <v>0</v>
      </c>
      <c r="CN61" s="502">
        <f t="shared" si="463"/>
        <v>3.57</v>
      </c>
      <c r="CO61" s="502">
        <f t="shared" si="464"/>
        <v>1.5287999999999999</v>
      </c>
      <c r="CP61" s="502">
        <f t="shared" si="465"/>
        <v>10.709999999999999</v>
      </c>
      <c r="CQ61" s="502">
        <f t="shared" si="466"/>
        <v>0.20563199999999954</v>
      </c>
      <c r="CR61" s="220">
        <f t="shared" si="467"/>
        <v>0</v>
      </c>
      <c r="CS61" s="503">
        <f t="shared" si="468"/>
        <v>0</v>
      </c>
      <c r="CT61" s="503">
        <f t="shared" si="469"/>
        <v>0.33012999999999998</v>
      </c>
      <c r="CU61" s="504">
        <f t="shared" si="470"/>
        <v>7.9497600000000004</v>
      </c>
      <c r="CV61" s="504">
        <f t="shared" si="471"/>
        <v>1.1417627999999997</v>
      </c>
      <c r="CW61" s="502">
        <f t="shared" si="472"/>
        <v>15.789384</v>
      </c>
      <c r="CX61" s="253">
        <f t="shared" si="473"/>
        <v>3.57</v>
      </c>
      <c r="CY61" s="505">
        <f t="shared" si="474"/>
        <v>1.7849999999999999</v>
      </c>
      <c r="CZ61" s="502">
        <f t="shared" si="475"/>
        <v>2.4513847475961154E-2</v>
      </c>
    </row>
    <row r="62" spans="1:104" s="501" customFormat="1" ht="25" x14ac:dyDescent="0.25">
      <c r="A62" s="291" t="str">
        <f>'BOCA DE LOBO'!C69</f>
        <v>BL59-&gt;PV2-95</v>
      </c>
      <c r="B62" s="291" t="str">
        <f>'BOCA DE LOBO'!A69</f>
        <v>PV2-95</v>
      </c>
      <c r="C62" s="413" t="str">
        <f>VLOOKUP(A62,'BOCA DE LOBO'!$C$1:$Q$76,3,0)</f>
        <v>EXISTENTE</v>
      </c>
      <c r="D62" s="291" t="str">
        <f>VLOOKUP(A62,'BOCA DE LOBO'!$C$1:$Q$76,10,0)</f>
        <v>PROJETADA</v>
      </c>
      <c r="E62" s="413">
        <f t="shared" si="391"/>
        <v>1.5820000000000909</v>
      </c>
      <c r="F62" s="291">
        <f>VLOOKUP(A62,'BOCA DE LOBO'!$C$1:$Q$76,2,0)</f>
        <v>1.9000000000000909</v>
      </c>
      <c r="G62" s="291">
        <f>VLOOKUP(A62,'BOCA DE LOBO'!$C$1:$Q$76,4,0)</f>
        <v>7.95</v>
      </c>
      <c r="H62" s="238">
        <v>400</v>
      </c>
      <c r="I62" s="493">
        <f t="shared" si="392"/>
        <v>1.871000000000091</v>
      </c>
      <c r="J62" s="241">
        <f t="shared" si="393"/>
        <v>0.74372250000003626</v>
      </c>
      <c r="K62" s="494">
        <v>0</v>
      </c>
      <c r="L62" s="253">
        <f t="shared" si="394"/>
        <v>1</v>
      </c>
      <c r="M62" s="253">
        <f t="shared" si="395"/>
        <v>1</v>
      </c>
      <c r="N62" s="253">
        <f t="shared" si="396"/>
        <v>0</v>
      </c>
      <c r="O62" s="253">
        <f t="shared" si="306"/>
        <v>7.95</v>
      </c>
      <c r="P62" s="495" t="s">
        <v>2392</v>
      </c>
      <c r="Q62" s="495" t="s">
        <v>3000</v>
      </c>
      <c r="R62" s="507"/>
      <c r="S62" s="495">
        <v>5</v>
      </c>
      <c r="T62" s="495">
        <v>4.8</v>
      </c>
      <c r="U62" s="253">
        <f t="shared" si="397"/>
        <v>0.05</v>
      </c>
      <c r="V62" s="246">
        <f t="shared" si="398"/>
        <v>0</v>
      </c>
      <c r="W62" s="246">
        <f t="shared" si="399"/>
        <v>14.874450000000724</v>
      </c>
      <c r="X62" s="247">
        <f t="shared" si="400"/>
        <v>0</v>
      </c>
      <c r="Y62" s="247">
        <f t="shared" si="401"/>
        <v>0</v>
      </c>
      <c r="Z62" s="247">
        <f t="shared" si="402"/>
        <v>1.871000000000091</v>
      </c>
      <c r="AA62" s="247">
        <f t="shared" si="403"/>
        <v>0</v>
      </c>
      <c r="AB62" s="496">
        <f t="shared" si="404"/>
        <v>7.95</v>
      </c>
      <c r="AC62" s="251">
        <f t="shared" si="405"/>
        <v>0</v>
      </c>
      <c r="AD62" s="251">
        <f t="shared" si="406"/>
        <v>0</v>
      </c>
      <c r="AE62" s="251">
        <f t="shared" si="407"/>
        <v>0</v>
      </c>
      <c r="AF62" s="251">
        <f t="shared" si="408"/>
        <v>11.925000000000001</v>
      </c>
      <c r="AG62" s="251">
        <f t="shared" si="409"/>
        <v>2.949450000000724</v>
      </c>
      <c r="AH62" s="251">
        <f t="shared" si="410"/>
        <v>0</v>
      </c>
      <c r="AI62" s="497" t="str">
        <f t="shared" si="411"/>
        <v>NÃO</v>
      </c>
      <c r="AJ62" s="253">
        <f t="shared" si="412"/>
        <v>0</v>
      </c>
      <c r="AK62" s="253">
        <f t="shared" si="413"/>
        <v>0</v>
      </c>
      <c r="AL62" s="253">
        <f t="shared" si="414"/>
        <v>13.87542353615917</v>
      </c>
      <c r="AM62" s="241">
        <f t="shared" si="415"/>
        <v>0.39750000000000002</v>
      </c>
      <c r="AN62" s="246">
        <f t="shared" si="416"/>
        <v>0</v>
      </c>
      <c r="AO62" s="253">
        <f t="shared" si="417"/>
        <v>0</v>
      </c>
      <c r="AP62" s="253">
        <f t="shared" si="418"/>
        <v>0</v>
      </c>
      <c r="AQ62" s="253">
        <f t="shared" si="419"/>
        <v>0.7</v>
      </c>
      <c r="AR62" s="253">
        <f t="shared" si="420"/>
        <v>4.5659735361584453</v>
      </c>
      <c r="AS62" s="253">
        <f t="shared" si="421"/>
        <v>0</v>
      </c>
      <c r="AT62" s="253">
        <f t="shared" si="422"/>
        <v>1.1924999999999999</v>
      </c>
      <c r="AU62" s="253">
        <f t="shared" si="423"/>
        <v>1.1924999999999999</v>
      </c>
      <c r="AV62" s="253">
        <f t="shared" si="424"/>
        <v>0.23849999999999999</v>
      </c>
      <c r="AW62" s="253">
        <f t="shared" si="425"/>
        <v>6.5269500000007241</v>
      </c>
      <c r="AX62" s="253">
        <f t="shared" si="426"/>
        <v>9.11597646384228</v>
      </c>
      <c r="AY62" s="253">
        <f t="shared" si="427"/>
        <v>6.5269500000007241</v>
      </c>
      <c r="AZ62" s="253">
        <f t="shared" si="428"/>
        <v>0</v>
      </c>
      <c r="BA62" s="253">
        <f t="shared" si="429"/>
        <v>0</v>
      </c>
      <c r="BB62" s="253">
        <f t="shared" si="430"/>
        <v>0</v>
      </c>
      <c r="BC62" s="253"/>
      <c r="BD62" s="253">
        <f t="shared" si="431"/>
        <v>4.7699999999999999E-2</v>
      </c>
      <c r="BE62" s="496">
        <f t="shared" si="432"/>
        <v>1.871000000000091</v>
      </c>
      <c r="BF62" s="498">
        <f t="shared" si="433"/>
        <v>0</v>
      </c>
      <c r="BG62" s="498">
        <f t="shared" si="434"/>
        <v>7.95</v>
      </c>
      <c r="BH62" s="495" t="str">
        <f>VLOOKUP(A62,'BOCA DE LOBO'!C:I,7,0)</f>
        <v>BOCA DE LOBO PROJETADA DUPLA</v>
      </c>
      <c r="BI62" s="253">
        <f t="shared" si="435"/>
        <v>0</v>
      </c>
      <c r="BJ62" s="253">
        <f t="shared" si="436"/>
        <v>0</v>
      </c>
      <c r="BK62" s="253">
        <f t="shared" si="437"/>
        <v>0</v>
      </c>
      <c r="BL62" s="253">
        <f t="shared" si="438"/>
        <v>0</v>
      </c>
      <c r="BM62" s="253">
        <f t="shared" si="439"/>
        <v>0</v>
      </c>
      <c r="BN62" s="253">
        <f t="shared" si="440"/>
        <v>1</v>
      </c>
      <c r="BO62" s="253">
        <f t="shared" si="441"/>
        <v>0</v>
      </c>
      <c r="BP62" s="500"/>
      <c r="BQ62" s="496">
        <f t="shared" si="442"/>
        <v>23.85</v>
      </c>
      <c r="BR62" s="496">
        <f t="shared" si="443"/>
        <v>5.898900000001448</v>
      </c>
      <c r="BS62" s="496">
        <f t="shared" si="444"/>
        <v>0</v>
      </c>
      <c r="BV62" s="502">
        <f t="shared" si="445"/>
        <v>12.312073200000706</v>
      </c>
      <c r="BW62" s="502">
        <f t="shared" si="446"/>
        <v>7.7825999999999986</v>
      </c>
      <c r="BX62" s="502">
        <f t="shared" si="447"/>
        <v>3.0325999999999995</v>
      </c>
      <c r="BY62" s="502">
        <f t="shared" si="448"/>
        <v>1.5820000000000909</v>
      </c>
      <c r="BZ62" s="502">
        <f t="shared" si="449"/>
        <v>1.5820000000000909</v>
      </c>
      <c r="CA62" s="502">
        <f t="shared" si="450"/>
        <v>0</v>
      </c>
      <c r="CB62" s="502">
        <f t="shared" si="451"/>
        <v>0</v>
      </c>
      <c r="CC62" s="502">
        <f t="shared" si="452"/>
        <v>11.673899999999998</v>
      </c>
      <c r="CD62" s="502">
        <f t="shared" si="453"/>
        <v>0.63817320000070721</v>
      </c>
      <c r="CE62" s="502">
        <f t="shared" si="454"/>
        <v>0</v>
      </c>
      <c r="CF62" s="502">
        <f t="shared" si="455"/>
        <v>0</v>
      </c>
      <c r="CG62" s="502">
        <f t="shared" si="456"/>
        <v>0</v>
      </c>
      <c r="CH62" s="502">
        <f t="shared" si="457"/>
        <v>0</v>
      </c>
      <c r="CI62" s="253">
        <f t="shared" si="458"/>
        <v>0.53549999999999998</v>
      </c>
      <c r="CJ62" s="502">
        <f t="shared" si="459"/>
        <v>6.9790000000004309</v>
      </c>
      <c r="CK62" s="502">
        <f t="shared" si="460"/>
        <v>6.9790000000004309</v>
      </c>
      <c r="CL62" s="502">
        <f t="shared" si="461"/>
        <v>0</v>
      </c>
      <c r="CM62" s="502">
        <f t="shared" si="462"/>
        <v>0</v>
      </c>
      <c r="CN62" s="502">
        <f t="shared" si="463"/>
        <v>3.57</v>
      </c>
      <c r="CO62" s="502">
        <f t="shared" si="464"/>
        <v>1.5820000000000909</v>
      </c>
      <c r="CP62" s="502">
        <f t="shared" si="465"/>
        <v>10.709999999999999</v>
      </c>
      <c r="CQ62" s="502">
        <f t="shared" si="466"/>
        <v>0.58548000000064893</v>
      </c>
      <c r="CR62" s="220">
        <f t="shared" si="467"/>
        <v>0</v>
      </c>
      <c r="CS62" s="503">
        <f t="shared" si="468"/>
        <v>0</v>
      </c>
      <c r="CT62" s="503">
        <f t="shared" si="469"/>
        <v>0.33012999999999998</v>
      </c>
      <c r="CU62" s="504">
        <f t="shared" si="470"/>
        <v>8.2264000000004724</v>
      </c>
      <c r="CV62" s="504">
        <f t="shared" si="471"/>
        <v>1.1580420000000278</v>
      </c>
      <c r="CW62" s="502">
        <f t="shared" si="472"/>
        <v>16.197960000000695</v>
      </c>
      <c r="CX62" s="253">
        <f t="shared" si="473"/>
        <v>3.57</v>
      </c>
      <c r="CY62" s="505">
        <f t="shared" si="474"/>
        <v>1.7849999999999999</v>
      </c>
      <c r="CZ62" s="502">
        <f t="shared" si="475"/>
        <v>2.4513847475961154E-2</v>
      </c>
    </row>
    <row r="63" spans="1:104" s="501" customFormat="1" ht="25" x14ac:dyDescent="0.25">
      <c r="A63" s="291" t="str">
        <f>'BOCA DE LOBO'!C70</f>
        <v>BL60-&gt;PV1-96</v>
      </c>
      <c r="B63" s="291" t="str">
        <f>'BOCA DE LOBO'!A70</f>
        <v>PV1-96</v>
      </c>
      <c r="C63" s="413" t="str">
        <f>VLOOKUP(A63,'BOCA DE LOBO'!$C$1:$Q$76,3,0)</f>
        <v>EXISTENTE</v>
      </c>
      <c r="D63" s="291" t="str">
        <f>VLOOKUP(A63,'BOCA DE LOBO'!$C$1:$Q$76,10,0)</f>
        <v>PROJETADA</v>
      </c>
      <c r="E63" s="413">
        <f t="shared" si="391"/>
        <v>1.4632000000000001</v>
      </c>
      <c r="F63" s="291">
        <f>VLOOKUP(A63,'BOCA DE LOBO'!$C$1:$Q$76,2,0)</f>
        <v>1.75</v>
      </c>
      <c r="G63" s="291">
        <f>VLOOKUP(A63,'BOCA DE LOBO'!$C$1:$Q$76,4,0)</f>
        <v>7.17</v>
      </c>
      <c r="H63" s="238">
        <v>400</v>
      </c>
      <c r="I63" s="493">
        <f t="shared" si="392"/>
        <v>1.7366000000000001</v>
      </c>
      <c r="J63" s="241">
        <f t="shared" si="393"/>
        <v>0.62257110000000004</v>
      </c>
      <c r="K63" s="494">
        <v>0</v>
      </c>
      <c r="L63" s="253">
        <f t="shared" si="394"/>
        <v>1</v>
      </c>
      <c r="M63" s="253">
        <f t="shared" si="395"/>
        <v>1</v>
      </c>
      <c r="N63" s="253">
        <f t="shared" si="396"/>
        <v>0</v>
      </c>
      <c r="O63" s="253">
        <f t="shared" si="306"/>
        <v>7.17</v>
      </c>
      <c r="P63" s="495" t="s">
        <v>2392</v>
      </c>
      <c r="Q63" s="495" t="s">
        <v>3001</v>
      </c>
      <c r="R63" s="495"/>
      <c r="S63" s="495">
        <v>4.2</v>
      </c>
      <c r="T63" s="495">
        <v>3.4</v>
      </c>
      <c r="U63" s="253">
        <f t="shared" si="397"/>
        <v>0.05</v>
      </c>
      <c r="V63" s="246">
        <f t="shared" si="398"/>
        <v>0</v>
      </c>
      <c r="W63" s="246">
        <f t="shared" si="399"/>
        <v>12.451422000000001</v>
      </c>
      <c r="X63" s="247">
        <f t="shared" si="400"/>
        <v>0</v>
      </c>
      <c r="Y63" s="247">
        <f t="shared" si="401"/>
        <v>0</v>
      </c>
      <c r="Z63" s="247">
        <f t="shared" si="402"/>
        <v>1.7366000000000001</v>
      </c>
      <c r="AA63" s="247">
        <f t="shared" si="403"/>
        <v>0</v>
      </c>
      <c r="AB63" s="496">
        <f t="shared" si="404"/>
        <v>7.17</v>
      </c>
      <c r="AC63" s="251">
        <f t="shared" si="405"/>
        <v>0</v>
      </c>
      <c r="AD63" s="251">
        <f t="shared" si="406"/>
        <v>0</v>
      </c>
      <c r="AE63" s="251">
        <f t="shared" si="407"/>
        <v>0</v>
      </c>
      <c r="AF63" s="251">
        <f t="shared" si="408"/>
        <v>10.754999999999999</v>
      </c>
      <c r="AG63" s="251">
        <f t="shared" si="409"/>
        <v>1.696422000000001</v>
      </c>
      <c r="AH63" s="251">
        <f t="shared" si="410"/>
        <v>0</v>
      </c>
      <c r="AI63" s="497" t="str">
        <f t="shared" si="411"/>
        <v>NÃO</v>
      </c>
      <c r="AJ63" s="253">
        <f t="shared" si="412"/>
        <v>0</v>
      </c>
      <c r="AK63" s="253">
        <f t="shared" si="413"/>
        <v>0</v>
      </c>
      <c r="AL63" s="253">
        <f t="shared" si="414"/>
        <v>11.550413226950448</v>
      </c>
      <c r="AM63" s="241">
        <f t="shared" si="415"/>
        <v>0.35850000000000004</v>
      </c>
      <c r="AN63" s="246">
        <f t="shared" si="416"/>
        <v>0</v>
      </c>
      <c r="AO63" s="253">
        <f t="shared" si="417"/>
        <v>0</v>
      </c>
      <c r="AP63" s="253">
        <f t="shared" si="418"/>
        <v>0</v>
      </c>
      <c r="AQ63" s="253">
        <f t="shared" si="419"/>
        <v>0.7</v>
      </c>
      <c r="AR63" s="253">
        <f t="shared" si="420"/>
        <v>4.1179912269504468</v>
      </c>
      <c r="AS63" s="253">
        <f t="shared" si="421"/>
        <v>0</v>
      </c>
      <c r="AT63" s="253">
        <f t="shared" si="422"/>
        <v>1.0754999999999999</v>
      </c>
      <c r="AU63" s="253">
        <f t="shared" si="423"/>
        <v>1.0754999999999999</v>
      </c>
      <c r="AV63" s="253">
        <f t="shared" si="424"/>
        <v>0.21509999999999999</v>
      </c>
      <c r="AW63" s="253">
        <f t="shared" si="425"/>
        <v>4.9229220000000025</v>
      </c>
      <c r="AX63" s="253">
        <f t="shared" si="426"/>
        <v>7.2579307730495541</v>
      </c>
      <c r="AY63" s="253">
        <f t="shared" si="427"/>
        <v>4.9229220000000025</v>
      </c>
      <c r="AZ63" s="253">
        <f t="shared" si="428"/>
        <v>0</v>
      </c>
      <c r="BA63" s="253">
        <f t="shared" si="429"/>
        <v>0</v>
      </c>
      <c r="BB63" s="253">
        <f t="shared" si="430"/>
        <v>0</v>
      </c>
      <c r="BC63" s="253"/>
      <c r="BD63" s="253">
        <f t="shared" si="431"/>
        <v>4.3019999999999996E-2</v>
      </c>
      <c r="BE63" s="496">
        <f t="shared" si="432"/>
        <v>1.7366000000000001</v>
      </c>
      <c r="BF63" s="498">
        <f t="shared" si="433"/>
        <v>7.17</v>
      </c>
      <c r="BG63" s="498">
        <f t="shared" si="434"/>
        <v>0</v>
      </c>
      <c r="BH63" s="495" t="str">
        <f>VLOOKUP(A63,'BOCA DE LOBO'!C:I,7,0)</f>
        <v>BOCA DE LOBO PROJETADA DUPLA</v>
      </c>
      <c r="BI63" s="253">
        <f t="shared" si="435"/>
        <v>0</v>
      </c>
      <c r="BJ63" s="253">
        <f t="shared" si="436"/>
        <v>0</v>
      </c>
      <c r="BK63" s="253">
        <f t="shared" si="437"/>
        <v>0</v>
      </c>
      <c r="BL63" s="253">
        <f t="shared" si="438"/>
        <v>0</v>
      </c>
      <c r="BM63" s="253">
        <f t="shared" si="439"/>
        <v>0</v>
      </c>
      <c r="BN63" s="253">
        <f t="shared" si="440"/>
        <v>1</v>
      </c>
      <c r="BO63" s="253">
        <f t="shared" si="441"/>
        <v>0</v>
      </c>
      <c r="BP63" s="500"/>
      <c r="BQ63" s="496">
        <f t="shared" si="442"/>
        <v>21.509999999999998</v>
      </c>
      <c r="BR63" s="496">
        <f t="shared" si="443"/>
        <v>3.392844000000002</v>
      </c>
      <c r="BS63" s="496">
        <f t="shared" si="444"/>
        <v>0</v>
      </c>
      <c r="BV63" s="502">
        <f t="shared" si="445"/>
        <v>11.387500319999999</v>
      </c>
      <c r="BW63" s="502">
        <f t="shared" si="446"/>
        <v>7.7825999999999986</v>
      </c>
      <c r="BX63" s="502">
        <f t="shared" si="447"/>
        <v>3.0325999999999995</v>
      </c>
      <c r="BY63" s="502">
        <f t="shared" si="448"/>
        <v>1.4632000000000001</v>
      </c>
      <c r="BZ63" s="502">
        <f t="shared" si="449"/>
        <v>1.4632000000000001</v>
      </c>
      <c r="CA63" s="502">
        <f t="shared" si="450"/>
        <v>0</v>
      </c>
      <c r="CB63" s="502">
        <f t="shared" si="451"/>
        <v>0</v>
      </c>
      <c r="CC63" s="502">
        <f t="shared" si="452"/>
        <v>11.387500319999999</v>
      </c>
      <c r="CD63" s="502">
        <f t="shared" si="453"/>
        <v>0</v>
      </c>
      <c r="CE63" s="502">
        <f t="shared" si="454"/>
        <v>0</v>
      </c>
      <c r="CF63" s="502">
        <f t="shared" si="455"/>
        <v>0</v>
      </c>
      <c r="CG63" s="502">
        <f t="shared" si="456"/>
        <v>0</v>
      </c>
      <c r="CH63" s="502">
        <f t="shared" si="457"/>
        <v>0</v>
      </c>
      <c r="CI63" s="253">
        <f t="shared" si="458"/>
        <v>0.53549999999999998</v>
      </c>
      <c r="CJ63" s="502">
        <f t="shared" si="459"/>
        <v>6.414699999999999</v>
      </c>
      <c r="CK63" s="502">
        <f t="shared" si="460"/>
        <v>6.414699999999999</v>
      </c>
      <c r="CL63" s="502">
        <f t="shared" si="461"/>
        <v>0</v>
      </c>
      <c r="CM63" s="502">
        <f t="shared" si="462"/>
        <v>0</v>
      </c>
      <c r="CN63" s="502">
        <f t="shared" si="463"/>
        <v>3.57</v>
      </c>
      <c r="CO63" s="502">
        <f t="shared" si="464"/>
        <v>1.4632000000000001</v>
      </c>
      <c r="CP63" s="502">
        <f t="shared" si="465"/>
        <v>10.447248</v>
      </c>
      <c r="CQ63" s="502">
        <f t="shared" si="466"/>
        <v>0</v>
      </c>
      <c r="CR63" s="220">
        <f t="shared" si="467"/>
        <v>0</v>
      </c>
      <c r="CS63" s="503">
        <f t="shared" si="468"/>
        <v>0</v>
      </c>
      <c r="CT63" s="503">
        <f t="shared" si="469"/>
        <v>0.33012999999999998</v>
      </c>
      <c r="CU63" s="504">
        <f t="shared" si="470"/>
        <v>7.6086400000000003</v>
      </c>
      <c r="CV63" s="504">
        <f t="shared" si="471"/>
        <v>1.1216891999999998</v>
      </c>
      <c r="CW63" s="502">
        <f t="shared" si="472"/>
        <v>15.285576000000001</v>
      </c>
      <c r="CX63" s="253">
        <f t="shared" si="473"/>
        <v>3.57</v>
      </c>
      <c r="CY63" s="505">
        <f t="shared" si="474"/>
        <v>1.7849999999999999</v>
      </c>
      <c r="CZ63" s="502">
        <f t="shared" si="475"/>
        <v>2.4513847475961154E-2</v>
      </c>
    </row>
    <row r="64" spans="1:104" s="501" customFormat="1" ht="25" x14ac:dyDescent="0.25">
      <c r="A64" s="291" t="str">
        <f>'BOCA DE LOBO'!C71</f>
        <v>BL61-&gt;PV2-96</v>
      </c>
      <c r="B64" s="291" t="str">
        <f>'BOCA DE LOBO'!A71</f>
        <v>PV2-96</v>
      </c>
      <c r="C64" s="413" t="str">
        <f>VLOOKUP(A64,'BOCA DE LOBO'!$C$1:$Q$76,3,0)</f>
        <v>EXISTENTE</v>
      </c>
      <c r="D64" s="291" t="str">
        <f>VLOOKUP(A64,'BOCA DE LOBO'!$C$1:$Q$76,10,0)</f>
        <v>PROJETADA</v>
      </c>
      <c r="E64" s="413">
        <f t="shared" si="391"/>
        <v>1.9315999999999682</v>
      </c>
      <c r="F64" s="291">
        <f>VLOOKUP(A64,'BOCA DE LOBO'!$C$1:$Q$76,2,0)</f>
        <v>2.1599999999999682</v>
      </c>
      <c r="G64" s="291">
        <f>VLOOKUP(A64,'BOCA DE LOBO'!$C$1:$Q$76,4,0)</f>
        <v>5.71</v>
      </c>
      <c r="H64" s="238">
        <v>400</v>
      </c>
      <c r="I64" s="493">
        <f t="shared" si="392"/>
        <v>2.1757999999999682</v>
      </c>
      <c r="J64" s="241">
        <f t="shared" si="393"/>
        <v>0.62119089999999089</v>
      </c>
      <c r="K64" s="494">
        <v>0</v>
      </c>
      <c r="L64" s="253">
        <f t="shared" si="394"/>
        <v>1</v>
      </c>
      <c r="M64" s="253">
        <f t="shared" si="395"/>
        <v>1</v>
      </c>
      <c r="N64" s="253">
        <f t="shared" si="396"/>
        <v>0</v>
      </c>
      <c r="O64" s="253">
        <f t="shared" si="306"/>
        <v>5.71</v>
      </c>
      <c r="P64" s="495" t="s">
        <v>2392</v>
      </c>
      <c r="Q64" s="495" t="s">
        <v>3001</v>
      </c>
      <c r="R64" s="507"/>
      <c r="S64" s="495">
        <v>4.2</v>
      </c>
      <c r="T64" s="495">
        <v>3.4</v>
      </c>
      <c r="U64" s="253">
        <f t="shared" si="397"/>
        <v>0.05</v>
      </c>
      <c r="V64" s="246">
        <f t="shared" si="398"/>
        <v>0</v>
      </c>
      <c r="W64" s="246">
        <f t="shared" si="399"/>
        <v>12.423817999999818</v>
      </c>
      <c r="X64" s="247">
        <f t="shared" si="400"/>
        <v>0</v>
      </c>
      <c r="Y64" s="247">
        <f t="shared" si="401"/>
        <v>0</v>
      </c>
      <c r="Z64" s="247">
        <f t="shared" si="402"/>
        <v>2.1757999999999682</v>
      </c>
      <c r="AA64" s="247">
        <f t="shared" si="403"/>
        <v>0</v>
      </c>
      <c r="AB64" s="496">
        <f t="shared" si="404"/>
        <v>5.71</v>
      </c>
      <c r="AC64" s="251">
        <f t="shared" si="405"/>
        <v>0</v>
      </c>
      <c r="AD64" s="251">
        <f t="shared" si="406"/>
        <v>0</v>
      </c>
      <c r="AE64" s="251">
        <f t="shared" si="407"/>
        <v>0</v>
      </c>
      <c r="AF64" s="251">
        <f t="shared" si="408"/>
        <v>8.5649999999999995</v>
      </c>
      <c r="AG64" s="251">
        <f t="shared" si="409"/>
        <v>3.8588179999998182</v>
      </c>
      <c r="AH64" s="251">
        <f t="shared" si="410"/>
        <v>0</v>
      </c>
      <c r="AI64" s="497" t="str">
        <f t="shared" si="411"/>
        <v>NÃO</v>
      </c>
      <c r="AJ64" s="253">
        <f t="shared" si="412"/>
        <v>0</v>
      </c>
      <c r="AK64" s="253">
        <f t="shared" si="413"/>
        <v>0</v>
      </c>
      <c r="AL64" s="253">
        <f t="shared" si="414"/>
        <v>11.706278237919909</v>
      </c>
      <c r="AM64" s="241">
        <f t="shared" si="415"/>
        <v>0.28550000000000003</v>
      </c>
      <c r="AN64" s="246">
        <f t="shared" si="416"/>
        <v>0</v>
      </c>
      <c r="AO64" s="253">
        <f t="shared" si="417"/>
        <v>0</v>
      </c>
      <c r="AP64" s="253">
        <f t="shared" si="418"/>
        <v>0</v>
      </c>
      <c r="AQ64" s="253">
        <f t="shared" si="419"/>
        <v>0.7</v>
      </c>
      <c r="AR64" s="253">
        <f t="shared" si="420"/>
        <v>3.279460237920091</v>
      </c>
      <c r="AS64" s="253">
        <f t="shared" si="421"/>
        <v>0</v>
      </c>
      <c r="AT64" s="253">
        <f t="shared" si="422"/>
        <v>0.85649999999999993</v>
      </c>
      <c r="AU64" s="253">
        <f t="shared" si="423"/>
        <v>0.85649999999999993</v>
      </c>
      <c r="AV64" s="253">
        <f t="shared" si="424"/>
        <v>0.17129999999999998</v>
      </c>
      <c r="AW64" s="253">
        <f t="shared" si="425"/>
        <v>6.4283179999998161</v>
      </c>
      <c r="AX64" s="253">
        <f t="shared" si="426"/>
        <v>8.2878577620797262</v>
      </c>
      <c r="AY64" s="253">
        <f t="shared" si="427"/>
        <v>6.4283179999998161</v>
      </c>
      <c r="AZ64" s="253">
        <f t="shared" si="428"/>
        <v>0</v>
      </c>
      <c r="BA64" s="253">
        <f t="shared" si="429"/>
        <v>0</v>
      </c>
      <c r="BB64" s="253">
        <f t="shared" si="430"/>
        <v>0</v>
      </c>
      <c r="BC64" s="253"/>
      <c r="BD64" s="253">
        <f t="shared" si="431"/>
        <v>3.4259999999999999E-2</v>
      </c>
      <c r="BE64" s="496">
        <f t="shared" si="432"/>
        <v>2.1757999999999682</v>
      </c>
      <c r="BF64" s="498">
        <f t="shared" si="433"/>
        <v>0</v>
      </c>
      <c r="BG64" s="498">
        <f t="shared" si="434"/>
        <v>5.71</v>
      </c>
      <c r="BH64" s="495" t="str">
        <f>VLOOKUP(A64,'BOCA DE LOBO'!C:I,7,0)</f>
        <v>BOCA DE LOBO PROJETADA DUPLA</v>
      </c>
      <c r="BI64" s="253">
        <f t="shared" si="435"/>
        <v>0</v>
      </c>
      <c r="BJ64" s="253">
        <f t="shared" si="436"/>
        <v>0</v>
      </c>
      <c r="BK64" s="253">
        <f t="shared" si="437"/>
        <v>0</v>
      </c>
      <c r="BL64" s="253">
        <f t="shared" si="438"/>
        <v>0</v>
      </c>
      <c r="BM64" s="253">
        <f t="shared" si="439"/>
        <v>0</v>
      </c>
      <c r="BN64" s="253">
        <f t="shared" si="440"/>
        <v>1</v>
      </c>
      <c r="BO64" s="253">
        <f t="shared" si="441"/>
        <v>0</v>
      </c>
      <c r="BP64" s="500"/>
      <c r="BQ64" s="496">
        <f t="shared" si="442"/>
        <v>17.13</v>
      </c>
      <c r="BR64" s="496">
        <f t="shared" si="443"/>
        <v>7.7176359999996365</v>
      </c>
      <c r="BS64" s="496">
        <f t="shared" si="444"/>
        <v>0</v>
      </c>
      <c r="BV64" s="502">
        <f t="shared" si="445"/>
        <v>15.032870159999749</v>
      </c>
      <c r="BW64" s="502">
        <f t="shared" si="446"/>
        <v>7.7825999999999986</v>
      </c>
      <c r="BX64" s="502">
        <f t="shared" si="447"/>
        <v>3.0325999999999995</v>
      </c>
      <c r="BY64" s="502">
        <f t="shared" si="448"/>
        <v>1.9315999999999682</v>
      </c>
      <c r="BZ64" s="502">
        <f t="shared" si="449"/>
        <v>1.9315999999999682</v>
      </c>
      <c r="CA64" s="502">
        <f t="shared" si="450"/>
        <v>0</v>
      </c>
      <c r="CB64" s="502">
        <f t="shared" si="451"/>
        <v>0</v>
      </c>
      <c r="CC64" s="502">
        <f t="shared" si="452"/>
        <v>11.673899999999998</v>
      </c>
      <c r="CD64" s="502">
        <f t="shared" si="453"/>
        <v>3.3589701599997523</v>
      </c>
      <c r="CE64" s="502">
        <f t="shared" si="454"/>
        <v>0</v>
      </c>
      <c r="CF64" s="502">
        <f t="shared" si="455"/>
        <v>0</v>
      </c>
      <c r="CG64" s="502">
        <f t="shared" si="456"/>
        <v>0</v>
      </c>
      <c r="CH64" s="502">
        <f t="shared" si="457"/>
        <v>0</v>
      </c>
      <c r="CI64" s="253">
        <f t="shared" si="458"/>
        <v>0.53549999999999998</v>
      </c>
      <c r="CJ64" s="502">
        <f t="shared" si="459"/>
        <v>8.639599999999847</v>
      </c>
      <c r="CK64" s="502">
        <f t="shared" si="460"/>
        <v>8.639599999999847</v>
      </c>
      <c r="CL64" s="502">
        <f t="shared" si="461"/>
        <v>0</v>
      </c>
      <c r="CM64" s="502">
        <f t="shared" si="462"/>
        <v>0</v>
      </c>
      <c r="CN64" s="502">
        <f t="shared" si="463"/>
        <v>3.57</v>
      </c>
      <c r="CO64" s="502">
        <f t="shared" si="464"/>
        <v>1.9315999999999682</v>
      </c>
      <c r="CP64" s="502">
        <f t="shared" si="465"/>
        <v>10.709999999999999</v>
      </c>
      <c r="CQ64" s="502">
        <f t="shared" si="466"/>
        <v>3.0816239999997732</v>
      </c>
      <c r="CR64" s="220">
        <f t="shared" si="467"/>
        <v>0</v>
      </c>
      <c r="CS64" s="503">
        <f t="shared" si="468"/>
        <v>0</v>
      </c>
      <c r="CT64" s="503">
        <f t="shared" si="469"/>
        <v>0.33012999999999998</v>
      </c>
      <c r="CU64" s="504">
        <f t="shared" si="470"/>
        <v>10.044319999999836</v>
      </c>
      <c r="CV64" s="504">
        <f t="shared" si="471"/>
        <v>1.26501959999999</v>
      </c>
      <c r="CW64" s="502">
        <f t="shared" si="472"/>
        <v>18.882887999999756</v>
      </c>
      <c r="CX64" s="253">
        <f t="shared" si="473"/>
        <v>3.57</v>
      </c>
      <c r="CY64" s="505">
        <f t="shared" si="474"/>
        <v>1.7849999999999999</v>
      </c>
      <c r="CZ64" s="502">
        <f t="shared" si="475"/>
        <v>2.4513847475961154E-2</v>
      </c>
    </row>
    <row r="65" spans="1:104" s="501" customFormat="1" ht="25" x14ac:dyDescent="0.25">
      <c r="A65" s="291" t="str">
        <f>'BOCA DE LOBO'!C72</f>
        <v>BL62-&gt;PV1-99</v>
      </c>
      <c r="B65" s="291" t="str">
        <f>'BOCA DE LOBO'!A72</f>
        <v>PV1-99</v>
      </c>
      <c r="C65" s="413" t="str">
        <f>VLOOKUP(A65,'BOCA DE LOBO'!$C$1:$Q$76,3,0)</f>
        <v>EXISTENTE</v>
      </c>
      <c r="D65" s="291" t="str">
        <f>VLOOKUP(A65,'BOCA DE LOBO'!$C$1:$Q$76,10,0)</f>
        <v>PROJETADA</v>
      </c>
      <c r="E65" s="413">
        <f t="shared" si="391"/>
        <v>1.518</v>
      </c>
      <c r="F65" s="291">
        <f>VLOOKUP(A65,'BOCA DE LOBO'!$C$1:$Q$76,2,0)</f>
        <v>1.75</v>
      </c>
      <c r="G65" s="291">
        <f>VLOOKUP(A65,'BOCA DE LOBO'!$C$1:$Q$76,4,0)</f>
        <v>5.8</v>
      </c>
      <c r="H65" s="238">
        <v>400</v>
      </c>
      <c r="I65" s="493">
        <f t="shared" si="392"/>
        <v>1.764</v>
      </c>
      <c r="J65" s="241">
        <f t="shared" si="393"/>
        <v>0.51156000000000001</v>
      </c>
      <c r="K65" s="494">
        <v>0</v>
      </c>
      <c r="L65" s="253">
        <f t="shared" si="394"/>
        <v>1</v>
      </c>
      <c r="M65" s="253">
        <f t="shared" si="395"/>
        <v>1</v>
      </c>
      <c r="N65" s="253">
        <f t="shared" si="396"/>
        <v>0</v>
      </c>
      <c r="O65" s="253">
        <f t="shared" si="306"/>
        <v>5.8</v>
      </c>
      <c r="P65" s="495" t="s">
        <v>2392</v>
      </c>
      <c r="Q65" s="495" t="s">
        <v>3002</v>
      </c>
      <c r="R65" s="495"/>
      <c r="S65" s="495">
        <v>3.4</v>
      </c>
      <c r="T65" s="495">
        <v>2.8</v>
      </c>
      <c r="U65" s="253">
        <f t="shared" si="397"/>
        <v>0.05</v>
      </c>
      <c r="V65" s="246">
        <f t="shared" si="398"/>
        <v>0</v>
      </c>
      <c r="W65" s="246">
        <f t="shared" si="399"/>
        <v>10.231199999999999</v>
      </c>
      <c r="X65" s="247">
        <f t="shared" si="400"/>
        <v>0</v>
      </c>
      <c r="Y65" s="247">
        <f t="shared" si="401"/>
        <v>0</v>
      </c>
      <c r="Z65" s="247">
        <f t="shared" si="402"/>
        <v>1.764</v>
      </c>
      <c r="AA65" s="247">
        <f t="shared" si="403"/>
        <v>0</v>
      </c>
      <c r="AB65" s="496">
        <f t="shared" si="404"/>
        <v>5.8</v>
      </c>
      <c r="AC65" s="251">
        <f t="shared" si="405"/>
        <v>0</v>
      </c>
      <c r="AD65" s="251">
        <f t="shared" si="406"/>
        <v>0</v>
      </c>
      <c r="AE65" s="251">
        <f t="shared" si="407"/>
        <v>0</v>
      </c>
      <c r="AF65" s="251">
        <f t="shared" si="408"/>
        <v>8.6999999999999993</v>
      </c>
      <c r="AG65" s="251">
        <f t="shared" si="409"/>
        <v>1.5312000000000001</v>
      </c>
      <c r="AH65" s="251">
        <f t="shared" si="410"/>
        <v>0</v>
      </c>
      <c r="AI65" s="497" t="str">
        <f t="shared" si="411"/>
        <v>NÃO</v>
      </c>
      <c r="AJ65" s="253">
        <f t="shared" si="412"/>
        <v>0</v>
      </c>
      <c r="AK65" s="253">
        <f t="shared" si="413"/>
        <v>0</v>
      </c>
      <c r="AL65" s="253">
        <f t="shared" si="414"/>
        <v>9.5023505043671666</v>
      </c>
      <c r="AM65" s="241">
        <f t="shared" si="415"/>
        <v>0.28999999999999998</v>
      </c>
      <c r="AN65" s="246">
        <f t="shared" si="416"/>
        <v>0</v>
      </c>
      <c r="AO65" s="253">
        <f t="shared" si="417"/>
        <v>0</v>
      </c>
      <c r="AP65" s="253">
        <f t="shared" si="418"/>
        <v>0</v>
      </c>
      <c r="AQ65" s="253">
        <f t="shared" si="419"/>
        <v>0.7</v>
      </c>
      <c r="AR65" s="253">
        <f t="shared" si="420"/>
        <v>3.3311505043671676</v>
      </c>
      <c r="AS65" s="253">
        <f t="shared" si="421"/>
        <v>0</v>
      </c>
      <c r="AT65" s="253">
        <f t="shared" si="422"/>
        <v>0.87</v>
      </c>
      <c r="AU65" s="253">
        <f t="shared" si="423"/>
        <v>0.87</v>
      </c>
      <c r="AV65" s="253">
        <f t="shared" si="424"/>
        <v>0.17399999999999999</v>
      </c>
      <c r="AW65" s="253">
        <f t="shared" si="425"/>
        <v>4.1412000000000004</v>
      </c>
      <c r="AX65" s="253">
        <f t="shared" si="426"/>
        <v>6.0300494956328325</v>
      </c>
      <c r="AY65" s="253">
        <f t="shared" si="427"/>
        <v>4.1412000000000004</v>
      </c>
      <c r="AZ65" s="253">
        <f t="shared" si="428"/>
        <v>0</v>
      </c>
      <c r="BA65" s="253">
        <f t="shared" si="429"/>
        <v>0</v>
      </c>
      <c r="BB65" s="253">
        <f t="shared" si="430"/>
        <v>0</v>
      </c>
      <c r="BC65" s="253"/>
      <c r="BD65" s="253">
        <f t="shared" si="431"/>
        <v>3.4799999999999998E-2</v>
      </c>
      <c r="BE65" s="496">
        <f t="shared" si="432"/>
        <v>1.764</v>
      </c>
      <c r="BF65" s="498">
        <f t="shared" si="433"/>
        <v>0</v>
      </c>
      <c r="BG65" s="498">
        <f t="shared" si="434"/>
        <v>5.8</v>
      </c>
      <c r="BH65" s="495" t="str">
        <f>VLOOKUP(A65,'BOCA DE LOBO'!C:I,7,0)</f>
        <v>BOCA DE LOBO PROJETADA DUPLA</v>
      </c>
      <c r="BI65" s="253">
        <f t="shared" si="435"/>
        <v>0</v>
      </c>
      <c r="BJ65" s="253">
        <f t="shared" si="436"/>
        <v>0</v>
      </c>
      <c r="BK65" s="253">
        <f t="shared" si="437"/>
        <v>0</v>
      </c>
      <c r="BL65" s="253">
        <f t="shared" si="438"/>
        <v>0</v>
      </c>
      <c r="BM65" s="253">
        <f t="shared" si="439"/>
        <v>0</v>
      </c>
      <c r="BN65" s="253">
        <f t="shared" si="440"/>
        <v>1</v>
      </c>
      <c r="BO65" s="253">
        <f t="shared" si="441"/>
        <v>0</v>
      </c>
      <c r="BP65" s="500"/>
      <c r="BQ65" s="496">
        <f t="shared" si="442"/>
        <v>17.399999999999999</v>
      </c>
      <c r="BR65" s="496">
        <f t="shared" si="443"/>
        <v>3.0624000000000002</v>
      </c>
      <c r="BS65" s="496">
        <f t="shared" si="444"/>
        <v>0</v>
      </c>
      <c r="BV65" s="502">
        <f t="shared" si="445"/>
        <v>11.813986799999999</v>
      </c>
      <c r="BW65" s="502">
        <f t="shared" si="446"/>
        <v>7.7825999999999986</v>
      </c>
      <c r="BX65" s="502">
        <f t="shared" si="447"/>
        <v>3.0325999999999995</v>
      </c>
      <c r="BY65" s="502">
        <f t="shared" si="448"/>
        <v>1.518</v>
      </c>
      <c r="BZ65" s="502">
        <f t="shared" si="449"/>
        <v>1.518</v>
      </c>
      <c r="CA65" s="502">
        <f t="shared" si="450"/>
        <v>0</v>
      </c>
      <c r="CB65" s="502">
        <f t="shared" si="451"/>
        <v>0</v>
      </c>
      <c r="CC65" s="502">
        <f t="shared" si="452"/>
        <v>11.673899999999998</v>
      </c>
      <c r="CD65" s="502">
        <f t="shared" si="453"/>
        <v>0.14008680000000009</v>
      </c>
      <c r="CE65" s="502">
        <f t="shared" si="454"/>
        <v>0</v>
      </c>
      <c r="CF65" s="502">
        <f t="shared" si="455"/>
        <v>0</v>
      </c>
      <c r="CG65" s="502">
        <f t="shared" si="456"/>
        <v>0</v>
      </c>
      <c r="CH65" s="502">
        <f t="shared" si="457"/>
        <v>0</v>
      </c>
      <c r="CI65" s="253">
        <f t="shared" si="458"/>
        <v>0.53549999999999998</v>
      </c>
      <c r="CJ65" s="502">
        <f t="shared" si="459"/>
        <v>6.6749999999999989</v>
      </c>
      <c r="CK65" s="502">
        <f t="shared" si="460"/>
        <v>6.6749999999999989</v>
      </c>
      <c r="CL65" s="502">
        <f t="shared" si="461"/>
        <v>0</v>
      </c>
      <c r="CM65" s="502">
        <f t="shared" si="462"/>
        <v>0</v>
      </c>
      <c r="CN65" s="502">
        <f t="shared" si="463"/>
        <v>3.57</v>
      </c>
      <c r="CO65" s="502">
        <f t="shared" si="464"/>
        <v>1.518</v>
      </c>
      <c r="CP65" s="502">
        <f t="shared" si="465"/>
        <v>10.709999999999999</v>
      </c>
      <c r="CQ65" s="502">
        <f t="shared" si="466"/>
        <v>0.12852000000000011</v>
      </c>
      <c r="CR65" s="220">
        <f t="shared" si="467"/>
        <v>0</v>
      </c>
      <c r="CS65" s="503">
        <f t="shared" si="468"/>
        <v>0</v>
      </c>
      <c r="CT65" s="503">
        <f t="shared" si="469"/>
        <v>0.33012999999999998</v>
      </c>
      <c r="CU65" s="504">
        <f t="shared" si="470"/>
        <v>7.8936000000000002</v>
      </c>
      <c r="CV65" s="504">
        <f t="shared" si="471"/>
        <v>1.138458</v>
      </c>
      <c r="CW65" s="502">
        <f t="shared" si="472"/>
        <v>15.706440000000002</v>
      </c>
      <c r="CX65" s="253">
        <f t="shared" si="473"/>
        <v>3.57</v>
      </c>
      <c r="CY65" s="505">
        <f t="shared" si="474"/>
        <v>1.7849999999999999</v>
      </c>
      <c r="CZ65" s="502">
        <f t="shared" si="475"/>
        <v>2.4513847475961154E-2</v>
      </c>
    </row>
    <row r="66" spans="1:104" s="501" customFormat="1" ht="25" x14ac:dyDescent="0.25">
      <c r="A66" s="291" t="str">
        <f>'BOCA DE LOBO'!C73</f>
        <v>BL63-&gt;PV1-100</v>
      </c>
      <c r="B66" s="291" t="str">
        <f>'BOCA DE LOBO'!A73</f>
        <v>PV1-100</v>
      </c>
      <c r="C66" s="413" t="str">
        <f>VLOOKUP(A66,'BOCA DE LOBO'!$C$1:$Q$76,3,0)</f>
        <v>EXISTENTE</v>
      </c>
      <c r="D66" s="291" t="str">
        <f>VLOOKUP(A66,'BOCA DE LOBO'!$C$1:$Q$76,10,0)</f>
        <v>PROJETADA</v>
      </c>
      <c r="E66" s="413">
        <f t="shared" si="391"/>
        <v>1.5216000000000001</v>
      </c>
      <c r="F66" s="291">
        <f>VLOOKUP(A66,'BOCA DE LOBO'!$C$1:$Q$76,2,0)</f>
        <v>1.75</v>
      </c>
      <c r="G66" s="291">
        <f>VLOOKUP(A66,'BOCA DE LOBO'!$C$1:$Q$76,4,0)</f>
        <v>5.71</v>
      </c>
      <c r="H66" s="238">
        <v>400</v>
      </c>
      <c r="I66" s="493">
        <f t="shared" si="392"/>
        <v>1.7658000000000003</v>
      </c>
      <c r="J66" s="241">
        <f t="shared" si="393"/>
        <v>0.50413590000000008</v>
      </c>
      <c r="K66" s="494">
        <v>0</v>
      </c>
      <c r="L66" s="253">
        <f t="shared" si="394"/>
        <v>1</v>
      </c>
      <c r="M66" s="253">
        <f t="shared" si="395"/>
        <v>1</v>
      </c>
      <c r="N66" s="253">
        <f t="shared" si="396"/>
        <v>0</v>
      </c>
      <c r="O66" s="253">
        <f t="shared" si="306"/>
        <v>5.71</v>
      </c>
      <c r="P66" s="495" t="s">
        <v>2392</v>
      </c>
      <c r="Q66" s="495" t="s">
        <v>2992</v>
      </c>
      <c r="R66" s="495">
        <v>1</v>
      </c>
      <c r="S66" s="495">
        <v>6.45</v>
      </c>
      <c r="T66" s="495">
        <v>1.8</v>
      </c>
      <c r="U66" s="253">
        <f t="shared" si="397"/>
        <v>0.05</v>
      </c>
      <c r="V66" s="246">
        <f t="shared" si="398"/>
        <v>0</v>
      </c>
      <c r="W66" s="246">
        <f t="shared" si="399"/>
        <v>12.366718000000002</v>
      </c>
      <c r="X66" s="247">
        <f t="shared" si="400"/>
        <v>0</v>
      </c>
      <c r="Y66" s="247">
        <f t="shared" si="401"/>
        <v>2.1658000000000004</v>
      </c>
      <c r="Z66" s="247">
        <f t="shared" si="402"/>
        <v>0</v>
      </c>
      <c r="AA66" s="247">
        <f t="shared" si="403"/>
        <v>1.7658000000000003</v>
      </c>
      <c r="AB66" s="496">
        <f t="shared" si="404"/>
        <v>5.71</v>
      </c>
      <c r="AC66" s="251">
        <f t="shared" si="405"/>
        <v>8.5649999999999995</v>
      </c>
      <c r="AD66" s="251">
        <f t="shared" si="406"/>
        <v>3.8017180000000024</v>
      </c>
      <c r="AE66" s="251">
        <f t="shared" si="407"/>
        <v>0</v>
      </c>
      <c r="AF66" s="251">
        <f t="shared" si="408"/>
        <v>0</v>
      </c>
      <c r="AG66" s="251">
        <f t="shared" si="409"/>
        <v>0</v>
      </c>
      <c r="AH66" s="251">
        <f t="shared" si="410"/>
        <v>0</v>
      </c>
      <c r="AI66" s="497" t="str">
        <f t="shared" si="411"/>
        <v>NÃO</v>
      </c>
      <c r="AJ66" s="253">
        <f t="shared" si="412"/>
        <v>0</v>
      </c>
      <c r="AK66" s="253">
        <f t="shared" si="413"/>
        <v>0</v>
      </c>
      <c r="AL66" s="253">
        <f t="shared" si="414"/>
        <v>11.649178237920093</v>
      </c>
      <c r="AM66" s="241">
        <f t="shared" si="415"/>
        <v>0.28550000000000003</v>
      </c>
      <c r="AN66" s="246">
        <f t="shared" si="416"/>
        <v>0</v>
      </c>
      <c r="AO66" s="253">
        <f t="shared" si="417"/>
        <v>2.2840000000000003</v>
      </c>
      <c r="AP66" s="253">
        <f t="shared" si="418"/>
        <v>2.2840000000000003</v>
      </c>
      <c r="AQ66" s="253">
        <f t="shared" si="419"/>
        <v>0.7</v>
      </c>
      <c r="AR66" s="253">
        <f t="shared" si="420"/>
        <v>3.279460237920091</v>
      </c>
      <c r="AS66" s="253">
        <f t="shared" si="421"/>
        <v>3.279460237920091</v>
      </c>
      <c r="AT66" s="253">
        <f t="shared" si="422"/>
        <v>0.85649999999999993</v>
      </c>
      <c r="AU66" s="253">
        <f t="shared" si="423"/>
        <v>0.85649999999999993</v>
      </c>
      <c r="AV66" s="253">
        <f t="shared" si="424"/>
        <v>0.17129999999999998</v>
      </c>
      <c r="AW66" s="253">
        <f t="shared" si="425"/>
        <v>4.0872180000000009</v>
      </c>
      <c r="AX66" s="253">
        <f t="shared" si="426"/>
        <v>-6.4199602379200913</v>
      </c>
      <c r="AY66" s="253">
        <f t="shared" si="427"/>
        <v>-6.4199602379200913</v>
      </c>
      <c r="AZ66" s="253">
        <f t="shared" si="428"/>
        <v>10.507178237920092</v>
      </c>
      <c r="BA66" s="253">
        <f t="shared" si="429"/>
        <v>5.6119207669499653</v>
      </c>
      <c r="BB66" s="253">
        <f t="shared" si="430"/>
        <v>4.8952574709701269</v>
      </c>
      <c r="BC66" s="253"/>
      <c r="BD66" s="253">
        <f t="shared" si="431"/>
        <v>0.12562000000000001</v>
      </c>
      <c r="BE66" s="496">
        <f t="shared" si="432"/>
        <v>1.7658000000000003</v>
      </c>
      <c r="BF66" s="498">
        <f t="shared" si="433"/>
        <v>0</v>
      </c>
      <c r="BG66" s="498">
        <f t="shared" si="434"/>
        <v>5.71</v>
      </c>
      <c r="BH66" s="495" t="str">
        <f>VLOOKUP(A66,'BOCA DE LOBO'!C:I,7,0)</f>
        <v>BOCA DE LOBO PROJETADA TRIPLA</v>
      </c>
      <c r="BI66" s="253">
        <f t="shared" si="435"/>
        <v>0</v>
      </c>
      <c r="BJ66" s="253">
        <f t="shared" si="436"/>
        <v>0</v>
      </c>
      <c r="BK66" s="253">
        <f t="shared" si="437"/>
        <v>0</v>
      </c>
      <c r="BL66" s="253">
        <f t="shared" si="438"/>
        <v>0</v>
      </c>
      <c r="BM66" s="253">
        <f t="shared" si="439"/>
        <v>0</v>
      </c>
      <c r="BN66" s="253">
        <f t="shared" si="440"/>
        <v>0</v>
      </c>
      <c r="BO66" s="253">
        <f t="shared" si="441"/>
        <v>1</v>
      </c>
      <c r="BP66" s="500"/>
      <c r="BQ66" s="496">
        <f t="shared" si="442"/>
        <v>17.13</v>
      </c>
      <c r="BR66" s="496">
        <f t="shared" si="443"/>
        <v>8.7454360000000051</v>
      </c>
      <c r="BS66" s="496">
        <f t="shared" si="444"/>
        <v>0</v>
      </c>
      <c r="BV66" s="502">
        <f t="shared" si="445"/>
        <v>20.977738879999997</v>
      </c>
      <c r="BW66" s="502">
        <f t="shared" si="446"/>
        <v>10.376799999999998</v>
      </c>
      <c r="BX66" s="502">
        <f t="shared" si="447"/>
        <v>4.4367999999999999</v>
      </c>
      <c r="BY66" s="502">
        <f t="shared" si="448"/>
        <v>1.5216000000000001</v>
      </c>
      <c r="BZ66" s="502">
        <f t="shared" si="449"/>
        <v>0</v>
      </c>
      <c r="CA66" s="502">
        <f t="shared" si="450"/>
        <v>1.9216000000000002</v>
      </c>
      <c r="CB66" s="502">
        <f t="shared" si="451"/>
        <v>0</v>
      </c>
      <c r="CC66" s="502">
        <f t="shared" si="452"/>
        <v>0</v>
      </c>
      <c r="CD66" s="502">
        <f t="shared" si="453"/>
        <v>0</v>
      </c>
      <c r="CE66" s="502">
        <f t="shared" si="454"/>
        <v>15.565199999999997</v>
      </c>
      <c r="CF66" s="502">
        <f t="shared" si="455"/>
        <v>4.3748588800000014</v>
      </c>
      <c r="CG66" s="502">
        <f t="shared" si="456"/>
        <v>1.0376799999999982</v>
      </c>
      <c r="CH66" s="502">
        <f t="shared" si="457"/>
        <v>0</v>
      </c>
      <c r="CI66" s="253">
        <f t="shared" si="458"/>
        <v>0.71399999999999997</v>
      </c>
      <c r="CJ66" s="502">
        <f t="shared" si="459"/>
        <v>10.700303999999996</v>
      </c>
      <c r="CK66" s="502">
        <f t="shared" si="460"/>
        <v>10.700303999999996</v>
      </c>
      <c r="CL66" s="502">
        <f t="shared" si="461"/>
        <v>0</v>
      </c>
      <c r="CM66" s="502">
        <f t="shared" si="462"/>
        <v>0.20753599999999994</v>
      </c>
      <c r="CN66" s="502">
        <f t="shared" si="463"/>
        <v>4.76</v>
      </c>
      <c r="CO66" s="502">
        <f t="shared" si="464"/>
        <v>2.0216000000000003</v>
      </c>
      <c r="CP66" s="502">
        <f t="shared" si="465"/>
        <v>14.28</v>
      </c>
      <c r="CQ66" s="502">
        <f t="shared" si="466"/>
        <v>4.9656320000000029</v>
      </c>
      <c r="CR66" s="220">
        <f t="shared" si="467"/>
        <v>0</v>
      </c>
      <c r="CS66" s="503">
        <f t="shared" si="468"/>
        <v>0</v>
      </c>
      <c r="CT66" s="503">
        <f t="shared" si="469"/>
        <v>0.45984000000000003</v>
      </c>
      <c r="CU66" s="504">
        <f t="shared" si="470"/>
        <v>10.95552</v>
      </c>
      <c r="CV66" s="504">
        <f t="shared" si="471"/>
        <v>1.5633720000000002</v>
      </c>
      <c r="CW66" s="502">
        <f t="shared" si="472"/>
        <v>20.22916</v>
      </c>
      <c r="CX66" s="253">
        <f t="shared" si="473"/>
        <v>4.76</v>
      </c>
      <c r="CY66" s="505">
        <f t="shared" si="474"/>
        <v>2.38</v>
      </c>
      <c r="CZ66" s="502">
        <f t="shared" si="475"/>
        <v>2.4513847475961154E-2</v>
      </c>
    </row>
    <row r="67" spans="1:104" s="501" customFormat="1" ht="25" x14ac:dyDescent="0.25">
      <c r="A67" s="291" t="str">
        <f>'BOCA DE LOBO'!C74</f>
        <v>BL64-&gt;PV1-101</v>
      </c>
      <c r="B67" s="291" t="str">
        <f>'BOCA DE LOBO'!A74</f>
        <v>PV1-101</v>
      </c>
      <c r="C67" s="413" t="str">
        <f>VLOOKUP(A67,'BOCA DE LOBO'!$C$1:$Q$76,3,0)</f>
        <v>EXISTENTE</v>
      </c>
      <c r="D67" s="291" t="str">
        <f>VLOOKUP(A67,'BOCA DE LOBO'!$C$1:$Q$76,10,0)</f>
        <v>PROJETADA</v>
      </c>
      <c r="E67" s="413">
        <f t="shared" si="391"/>
        <v>0.91279999999998096</v>
      </c>
      <c r="F67" s="291">
        <f>VLOOKUP(A67,'BOCA DE LOBO'!$C$1:$Q$76,2,0)</f>
        <v>1.2459999999999809</v>
      </c>
      <c r="G67" s="291">
        <f>VLOOKUP(A67,'BOCA DE LOBO'!$C$1:$Q$76,4,0)</f>
        <v>8.33</v>
      </c>
      <c r="H67" s="238">
        <v>400</v>
      </c>
      <c r="I67" s="493">
        <f t="shared" si="392"/>
        <v>1.2093999999999812</v>
      </c>
      <c r="J67" s="241">
        <f t="shared" si="393"/>
        <v>0</v>
      </c>
      <c r="K67" s="494">
        <v>0</v>
      </c>
      <c r="L67" s="253">
        <f t="shared" si="394"/>
        <v>1</v>
      </c>
      <c r="M67" s="253">
        <f t="shared" si="395"/>
        <v>1</v>
      </c>
      <c r="N67" s="253">
        <f t="shared" si="396"/>
        <v>0</v>
      </c>
      <c r="O67" s="253">
        <f t="shared" si="306"/>
        <v>8.33</v>
      </c>
      <c r="P67" s="495" t="s">
        <v>2392</v>
      </c>
      <c r="Q67" s="495" t="s">
        <v>3003</v>
      </c>
      <c r="R67" s="495"/>
      <c r="S67" s="495">
        <v>3.1</v>
      </c>
      <c r="T67" s="495">
        <v>1.3</v>
      </c>
      <c r="U67" s="253">
        <f t="shared" si="397"/>
        <v>0.05</v>
      </c>
      <c r="V67" s="246">
        <f t="shared" si="398"/>
        <v>0</v>
      </c>
      <c r="W67" s="246">
        <f t="shared" si="399"/>
        <v>10.074301999999843</v>
      </c>
      <c r="X67" s="247">
        <f t="shared" si="400"/>
        <v>0</v>
      </c>
      <c r="Y67" s="247">
        <f t="shared" si="401"/>
        <v>0</v>
      </c>
      <c r="Z67" s="247">
        <f t="shared" si="402"/>
        <v>1.2093999999999812</v>
      </c>
      <c r="AA67" s="247">
        <f t="shared" si="403"/>
        <v>0</v>
      </c>
      <c r="AB67" s="496">
        <f t="shared" si="404"/>
        <v>8.33</v>
      </c>
      <c r="AC67" s="251">
        <f t="shared" si="405"/>
        <v>0</v>
      </c>
      <c r="AD67" s="251">
        <f t="shared" si="406"/>
        <v>0</v>
      </c>
      <c r="AE67" s="251">
        <f t="shared" si="407"/>
        <v>0</v>
      </c>
      <c r="AF67" s="251">
        <f t="shared" si="408"/>
        <v>10.074301999999843</v>
      </c>
      <c r="AG67" s="251">
        <f t="shared" si="409"/>
        <v>0</v>
      </c>
      <c r="AH67" s="251">
        <f t="shared" si="410"/>
        <v>0</v>
      </c>
      <c r="AI67" s="497" t="str">
        <f t="shared" si="411"/>
        <v>NÃO</v>
      </c>
      <c r="AJ67" s="253">
        <f t="shared" si="412"/>
        <v>0</v>
      </c>
      <c r="AK67" s="253">
        <f t="shared" si="413"/>
        <v>0</v>
      </c>
      <c r="AL67" s="253">
        <f t="shared" si="414"/>
        <v>9.0275233278237241</v>
      </c>
      <c r="AM67" s="241">
        <f t="shared" si="415"/>
        <v>0.41650000000000004</v>
      </c>
      <c r="AN67" s="246">
        <f t="shared" si="416"/>
        <v>0</v>
      </c>
      <c r="AO67" s="253">
        <f t="shared" si="417"/>
        <v>0</v>
      </c>
      <c r="AP67" s="253">
        <f t="shared" si="418"/>
        <v>0</v>
      </c>
      <c r="AQ67" s="253">
        <f t="shared" si="419"/>
        <v>0.7</v>
      </c>
      <c r="AR67" s="253">
        <f t="shared" si="420"/>
        <v>4.7842213278238805</v>
      </c>
      <c r="AS67" s="253">
        <f t="shared" si="421"/>
        <v>0</v>
      </c>
      <c r="AT67" s="253">
        <f t="shared" si="422"/>
        <v>1.2495000000000001</v>
      </c>
      <c r="AU67" s="253">
        <f t="shared" si="423"/>
        <v>1.2495000000000001</v>
      </c>
      <c r="AV67" s="253">
        <f t="shared" si="424"/>
        <v>0.24989999999999998</v>
      </c>
      <c r="AW67" s="253">
        <f t="shared" si="425"/>
        <v>1.3278019999998438</v>
      </c>
      <c r="AX67" s="253">
        <f t="shared" si="426"/>
        <v>4.0405806721759632</v>
      </c>
      <c r="AY67" s="253">
        <f t="shared" si="427"/>
        <v>1.3278019999998438</v>
      </c>
      <c r="AZ67" s="253">
        <f t="shared" si="428"/>
        <v>0</v>
      </c>
      <c r="BA67" s="253">
        <f t="shared" si="429"/>
        <v>0</v>
      </c>
      <c r="BB67" s="253">
        <f t="shared" si="430"/>
        <v>0</v>
      </c>
      <c r="BC67" s="253"/>
      <c r="BD67" s="253">
        <f t="shared" si="431"/>
        <v>4.9980000000000004E-2</v>
      </c>
      <c r="BE67" s="496">
        <f t="shared" si="432"/>
        <v>1.2093999999999812</v>
      </c>
      <c r="BF67" s="498">
        <f t="shared" si="433"/>
        <v>8.33</v>
      </c>
      <c r="BG67" s="498">
        <f t="shared" si="434"/>
        <v>0</v>
      </c>
      <c r="BH67" s="495" t="str">
        <f>VLOOKUP(A67,'BOCA DE LOBO'!C:I,7,0)</f>
        <v>BOCA DE LOBO PROJETADA TRIPLA</v>
      </c>
      <c r="BI67" s="253">
        <f t="shared" si="435"/>
        <v>0</v>
      </c>
      <c r="BJ67" s="253">
        <f t="shared" si="436"/>
        <v>0</v>
      </c>
      <c r="BK67" s="253">
        <f t="shared" si="437"/>
        <v>0</v>
      </c>
      <c r="BL67" s="253">
        <f t="shared" si="438"/>
        <v>0</v>
      </c>
      <c r="BM67" s="253">
        <f t="shared" si="439"/>
        <v>0</v>
      </c>
      <c r="BN67" s="253">
        <f t="shared" si="440"/>
        <v>0</v>
      </c>
      <c r="BO67" s="253">
        <f t="shared" si="441"/>
        <v>1</v>
      </c>
      <c r="BP67" s="500"/>
      <c r="BQ67" s="496">
        <f t="shared" si="442"/>
        <v>20.148603999999686</v>
      </c>
      <c r="BR67" s="496">
        <f t="shared" si="443"/>
        <v>0</v>
      </c>
      <c r="BS67" s="496">
        <f t="shared" si="444"/>
        <v>0</v>
      </c>
      <c r="BV67" s="502">
        <f t="shared" si="445"/>
        <v>9.4719430399998004</v>
      </c>
      <c r="BW67" s="502">
        <f t="shared" si="446"/>
        <v>10.376799999999998</v>
      </c>
      <c r="BX67" s="502">
        <f t="shared" si="447"/>
        <v>4.4367999999999999</v>
      </c>
      <c r="BY67" s="502">
        <f t="shared" si="448"/>
        <v>0.91279999999998096</v>
      </c>
      <c r="BZ67" s="502">
        <f t="shared" si="449"/>
        <v>0.91279999999998096</v>
      </c>
      <c r="CA67" s="502">
        <f t="shared" si="450"/>
        <v>0</v>
      </c>
      <c r="CB67" s="502">
        <f t="shared" si="451"/>
        <v>0</v>
      </c>
      <c r="CC67" s="502">
        <f t="shared" si="452"/>
        <v>9.4719430399998004</v>
      </c>
      <c r="CD67" s="502">
        <f t="shared" si="453"/>
        <v>0</v>
      </c>
      <c r="CE67" s="502">
        <f t="shared" si="454"/>
        <v>0</v>
      </c>
      <c r="CF67" s="502">
        <f t="shared" si="455"/>
        <v>0</v>
      </c>
      <c r="CG67" s="502">
        <f t="shared" si="456"/>
        <v>0</v>
      </c>
      <c r="CH67" s="502">
        <f t="shared" si="457"/>
        <v>0</v>
      </c>
      <c r="CI67" s="253">
        <f t="shared" si="458"/>
        <v>0.71399999999999997</v>
      </c>
      <c r="CJ67" s="502">
        <f t="shared" si="459"/>
        <v>4.7080319999998856</v>
      </c>
      <c r="CK67" s="502">
        <f t="shared" si="460"/>
        <v>4.7080319999998856</v>
      </c>
      <c r="CL67" s="502">
        <f t="shared" si="461"/>
        <v>0</v>
      </c>
      <c r="CM67" s="502">
        <f t="shared" si="462"/>
        <v>0</v>
      </c>
      <c r="CN67" s="502">
        <f t="shared" si="463"/>
        <v>4.76</v>
      </c>
      <c r="CO67" s="502">
        <f t="shared" si="464"/>
        <v>0.91279999999998096</v>
      </c>
      <c r="CP67" s="502">
        <f t="shared" si="465"/>
        <v>8.6898559999998177</v>
      </c>
      <c r="CQ67" s="502">
        <f t="shared" si="466"/>
        <v>0</v>
      </c>
      <c r="CR67" s="220">
        <f t="shared" si="467"/>
        <v>0</v>
      </c>
      <c r="CS67" s="503">
        <f t="shared" si="468"/>
        <v>0</v>
      </c>
      <c r="CT67" s="503">
        <f t="shared" si="469"/>
        <v>0.45984000000000003</v>
      </c>
      <c r="CU67" s="504">
        <f t="shared" si="470"/>
        <v>6.5721599999998634</v>
      </c>
      <c r="CV67" s="504">
        <f t="shared" si="471"/>
        <v>1.3305059999999926</v>
      </c>
      <c r="CW67" s="502">
        <f t="shared" si="472"/>
        <v>14.384679999999817</v>
      </c>
      <c r="CX67" s="253">
        <f t="shared" si="473"/>
        <v>4.76</v>
      </c>
      <c r="CY67" s="505">
        <f t="shared" si="474"/>
        <v>2.38</v>
      </c>
      <c r="CZ67" s="502">
        <f t="shared" si="475"/>
        <v>2.4513847475961154E-2</v>
      </c>
    </row>
    <row r="68" spans="1:104" s="501" customFormat="1" ht="25" x14ac:dyDescent="0.25">
      <c r="A68" s="291" t="str">
        <f>'BOCA DE LOBO'!C75</f>
        <v>BL65-&gt;PV2-101</v>
      </c>
      <c r="B68" s="291" t="str">
        <f>'BOCA DE LOBO'!A75</f>
        <v>PV2-101</v>
      </c>
      <c r="C68" s="413" t="str">
        <f>VLOOKUP(A68,'BOCA DE LOBO'!$C$1:$Q$76,3,0)</f>
        <v>EXISTENTE</v>
      </c>
      <c r="D68" s="291" t="str">
        <f>VLOOKUP(A68,'BOCA DE LOBO'!$C$1:$Q$76,10,0)</f>
        <v>PROJETADA</v>
      </c>
      <c r="E68" s="413">
        <f t="shared" si="391"/>
        <v>1.1993999999999818</v>
      </c>
      <c r="F68" s="291">
        <f>VLOOKUP(A68,'BOCA DE LOBO'!$C$1:$Q$76,2,0)</f>
        <v>1.3949999999999818</v>
      </c>
      <c r="G68" s="291">
        <f>VLOOKUP(A68,'BOCA DE LOBO'!$C$1:$Q$76,4,0)</f>
        <v>4.8899999999999997</v>
      </c>
      <c r="H68" s="238">
        <v>400</v>
      </c>
      <c r="I68" s="493">
        <f t="shared" si="392"/>
        <v>1.427199999999982</v>
      </c>
      <c r="J68" s="241">
        <f t="shared" si="393"/>
        <v>0.34895039999999555</v>
      </c>
      <c r="K68" s="494">
        <v>0</v>
      </c>
      <c r="L68" s="253">
        <f t="shared" si="394"/>
        <v>1</v>
      </c>
      <c r="M68" s="253">
        <f t="shared" si="395"/>
        <v>1</v>
      </c>
      <c r="N68" s="253">
        <f t="shared" si="396"/>
        <v>0</v>
      </c>
      <c r="O68" s="253">
        <f t="shared" si="306"/>
        <v>4.8899999999999997</v>
      </c>
      <c r="P68" s="495" t="s">
        <v>2392</v>
      </c>
      <c r="Q68" s="495" t="s">
        <v>3004</v>
      </c>
      <c r="R68" s="495"/>
      <c r="S68" s="495">
        <v>3.2</v>
      </c>
      <c r="T68" s="495">
        <v>5</v>
      </c>
      <c r="U68" s="253">
        <f t="shared" si="397"/>
        <v>0.05</v>
      </c>
      <c r="V68" s="246">
        <f t="shared" si="398"/>
        <v>0</v>
      </c>
      <c r="W68" s="246">
        <f t="shared" si="399"/>
        <v>6.9790079999999115</v>
      </c>
      <c r="X68" s="247">
        <f t="shared" si="400"/>
        <v>0</v>
      </c>
      <c r="Y68" s="247">
        <f t="shared" si="401"/>
        <v>0</v>
      </c>
      <c r="Z68" s="247">
        <f t="shared" si="402"/>
        <v>1.427199999999982</v>
      </c>
      <c r="AA68" s="247">
        <f t="shared" si="403"/>
        <v>0</v>
      </c>
      <c r="AB68" s="496">
        <f t="shared" si="404"/>
        <v>4.8899999999999997</v>
      </c>
      <c r="AC68" s="251">
        <f t="shared" si="405"/>
        <v>0</v>
      </c>
      <c r="AD68" s="251">
        <f t="shared" si="406"/>
        <v>0</v>
      </c>
      <c r="AE68" s="251">
        <f t="shared" si="407"/>
        <v>0</v>
      </c>
      <c r="AF68" s="251">
        <f t="shared" si="408"/>
        <v>6.9790079999999115</v>
      </c>
      <c r="AG68" s="251">
        <f t="shared" si="409"/>
        <v>0</v>
      </c>
      <c r="AH68" s="251">
        <f t="shared" si="410"/>
        <v>0</v>
      </c>
      <c r="AI68" s="497" t="str">
        <f t="shared" si="411"/>
        <v>NÃO</v>
      </c>
      <c r="AJ68" s="253">
        <f t="shared" si="412"/>
        <v>0</v>
      </c>
      <c r="AK68" s="253">
        <f t="shared" si="413"/>
        <v>0</v>
      </c>
      <c r="AL68" s="253">
        <f t="shared" si="414"/>
        <v>6.3645124769577475</v>
      </c>
      <c r="AM68" s="241">
        <f t="shared" si="415"/>
        <v>0.2445</v>
      </c>
      <c r="AN68" s="246">
        <f t="shared" si="416"/>
        <v>0</v>
      </c>
      <c r="AO68" s="253">
        <f t="shared" si="417"/>
        <v>0</v>
      </c>
      <c r="AP68" s="253">
        <f t="shared" si="418"/>
        <v>0</v>
      </c>
      <c r="AQ68" s="253">
        <f t="shared" si="419"/>
        <v>0.7</v>
      </c>
      <c r="AR68" s="253">
        <f t="shared" si="420"/>
        <v>2.808504476957836</v>
      </c>
      <c r="AS68" s="253">
        <f t="shared" si="421"/>
        <v>0</v>
      </c>
      <c r="AT68" s="253">
        <f t="shared" si="422"/>
        <v>0.73349999999999993</v>
      </c>
      <c r="AU68" s="253">
        <f t="shared" si="423"/>
        <v>0.73349999999999993</v>
      </c>
      <c r="AV68" s="253">
        <f t="shared" si="424"/>
        <v>0.1467</v>
      </c>
      <c r="AW68" s="253">
        <f t="shared" si="425"/>
        <v>1.8445079999999106</v>
      </c>
      <c r="AX68" s="253">
        <f t="shared" si="426"/>
        <v>3.4370035230420752</v>
      </c>
      <c r="AY68" s="253">
        <f t="shared" si="427"/>
        <v>1.8445079999999106</v>
      </c>
      <c r="AZ68" s="253">
        <f t="shared" si="428"/>
        <v>0</v>
      </c>
      <c r="BA68" s="253">
        <f t="shared" si="429"/>
        <v>0</v>
      </c>
      <c r="BB68" s="253">
        <f t="shared" si="430"/>
        <v>0</v>
      </c>
      <c r="BC68" s="253"/>
      <c r="BD68" s="253">
        <f t="shared" si="431"/>
        <v>2.9339999999999998E-2</v>
      </c>
      <c r="BE68" s="496">
        <f t="shared" si="432"/>
        <v>1.427199999999982</v>
      </c>
      <c r="BF68" s="498">
        <f t="shared" si="433"/>
        <v>4.8899999999999997</v>
      </c>
      <c r="BG68" s="498">
        <f t="shared" si="434"/>
        <v>0</v>
      </c>
      <c r="BH68" s="495" t="str">
        <f>VLOOKUP(A68,'BOCA DE LOBO'!C:I,7,0)</f>
        <v>BOCA DE LOBO PROJETADA TRIPLA</v>
      </c>
      <c r="BI68" s="253">
        <f t="shared" si="435"/>
        <v>0</v>
      </c>
      <c r="BJ68" s="253">
        <f t="shared" si="436"/>
        <v>0</v>
      </c>
      <c r="BK68" s="253">
        <f t="shared" si="437"/>
        <v>0</v>
      </c>
      <c r="BL68" s="253">
        <f t="shared" si="438"/>
        <v>0</v>
      </c>
      <c r="BM68" s="253">
        <f t="shared" si="439"/>
        <v>0</v>
      </c>
      <c r="BN68" s="253">
        <f t="shared" si="440"/>
        <v>0</v>
      </c>
      <c r="BO68" s="253">
        <f t="shared" si="441"/>
        <v>1</v>
      </c>
      <c r="BP68" s="500"/>
      <c r="BQ68" s="496">
        <f t="shared" si="442"/>
        <v>13.958015999999823</v>
      </c>
      <c r="BR68" s="496">
        <f t="shared" si="443"/>
        <v>0</v>
      </c>
      <c r="BS68" s="496">
        <f t="shared" si="444"/>
        <v>0</v>
      </c>
      <c r="BV68" s="502">
        <f t="shared" si="445"/>
        <v>12.445933919999808</v>
      </c>
      <c r="BW68" s="502">
        <f t="shared" si="446"/>
        <v>10.376799999999998</v>
      </c>
      <c r="BX68" s="502">
        <f t="shared" si="447"/>
        <v>4.4367999999999999</v>
      </c>
      <c r="BY68" s="502">
        <f t="shared" si="448"/>
        <v>1.1993999999999818</v>
      </c>
      <c r="BZ68" s="502">
        <f t="shared" si="449"/>
        <v>1.1993999999999818</v>
      </c>
      <c r="CA68" s="502">
        <f t="shared" si="450"/>
        <v>0</v>
      </c>
      <c r="CB68" s="502">
        <f t="shared" si="451"/>
        <v>0</v>
      </c>
      <c r="CC68" s="502">
        <f t="shared" si="452"/>
        <v>12.445933919999808</v>
      </c>
      <c r="CD68" s="502">
        <f t="shared" si="453"/>
        <v>0</v>
      </c>
      <c r="CE68" s="502">
        <f t="shared" si="454"/>
        <v>0</v>
      </c>
      <c r="CF68" s="502">
        <f t="shared" si="455"/>
        <v>0</v>
      </c>
      <c r="CG68" s="502">
        <f t="shared" si="456"/>
        <v>0</v>
      </c>
      <c r="CH68" s="502">
        <f t="shared" si="457"/>
        <v>0</v>
      </c>
      <c r="CI68" s="253">
        <f t="shared" si="458"/>
        <v>0.71399999999999997</v>
      </c>
      <c r="CJ68" s="502">
        <f t="shared" si="459"/>
        <v>6.4104359999998888</v>
      </c>
      <c r="CK68" s="502">
        <f t="shared" si="460"/>
        <v>6.4104359999998888</v>
      </c>
      <c r="CL68" s="502">
        <f t="shared" si="461"/>
        <v>0</v>
      </c>
      <c r="CM68" s="502">
        <f t="shared" si="462"/>
        <v>0</v>
      </c>
      <c r="CN68" s="502">
        <f t="shared" si="463"/>
        <v>4.76</v>
      </c>
      <c r="CO68" s="502">
        <f t="shared" si="464"/>
        <v>1.1993999999999818</v>
      </c>
      <c r="CP68" s="502">
        <f t="shared" si="465"/>
        <v>11.418287999999826</v>
      </c>
      <c r="CQ68" s="502">
        <f t="shared" si="466"/>
        <v>0</v>
      </c>
      <c r="CR68" s="220">
        <f t="shared" si="467"/>
        <v>0</v>
      </c>
      <c r="CS68" s="503">
        <f t="shared" si="468"/>
        <v>0</v>
      </c>
      <c r="CT68" s="503">
        <f t="shared" si="469"/>
        <v>0.45984000000000003</v>
      </c>
      <c r="CU68" s="504">
        <f t="shared" si="470"/>
        <v>8.6356799999998692</v>
      </c>
      <c r="CV68" s="504">
        <f t="shared" si="471"/>
        <v>1.4401304999999931</v>
      </c>
      <c r="CW68" s="502">
        <f t="shared" si="472"/>
        <v>17.136039999999827</v>
      </c>
      <c r="CX68" s="253">
        <f t="shared" si="473"/>
        <v>4.76</v>
      </c>
      <c r="CY68" s="505">
        <f t="shared" si="474"/>
        <v>2.38</v>
      </c>
      <c r="CZ68" s="502">
        <f t="shared" si="475"/>
        <v>2.4513847475961154E-2</v>
      </c>
    </row>
    <row r="69" spans="1:104" s="265" customFormat="1" ht="13" x14ac:dyDescent="0.3">
      <c r="G69" s="266">
        <f>SUM(G6:G68)</f>
        <v>475.77999999999992</v>
      </c>
      <c r="H69" s="508"/>
      <c r="J69" s="266">
        <f>SUM(J6:J68)</f>
        <v>50.502417922000021</v>
      </c>
      <c r="O69" s="266">
        <f>SUM(O6:O68)</f>
        <v>431.92999999999989</v>
      </c>
      <c r="Q69" s="509"/>
      <c r="R69" s="509"/>
      <c r="S69" s="267"/>
      <c r="T69" s="267"/>
      <c r="X69" s="510" t="s">
        <v>2537</v>
      </c>
      <c r="AB69" s="266">
        <f t="shared" ref="AB69:AH69" si="476">SUM(AB6:AB68)</f>
        <v>431.92999999999989</v>
      </c>
      <c r="AC69" s="269">
        <f t="shared" si="476"/>
        <v>123.465</v>
      </c>
      <c r="AD69" s="269">
        <f t="shared" si="476"/>
        <v>106.84728199999999</v>
      </c>
      <c r="AE69" s="269">
        <f t="shared" si="476"/>
        <v>9.6700249999999084</v>
      </c>
      <c r="AF69" s="269">
        <f t="shared" si="476"/>
        <v>521.65330999999981</v>
      </c>
      <c r="AG69" s="269">
        <f t="shared" si="476"/>
        <v>279.39758344000006</v>
      </c>
      <c r="AH69" s="269">
        <f t="shared" si="476"/>
        <v>12.013460000000173</v>
      </c>
      <c r="AI69" s="269"/>
      <c r="AJ69" s="269">
        <f t="shared" ref="AJ69:AP69" si="477">SUM(AJ6:AJ68)</f>
        <v>0</v>
      </c>
      <c r="AK69" s="269">
        <f t="shared" si="477"/>
        <v>0.36659899999999879</v>
      </c>
      <c r="AL69" s="269">
        <f t="shared" si="477"/>
        <v>998.76873584539817</v>
      </c>
      <c r="AM69" s="269">
        <f t="shared" si="477"/>
        <v>21.596499999999995</v>
      </c>
      <c r="AN69" s="269">
        <f t="shared" si="477"/>
        <v>0</v>
      </c>
      <c r="AO69" s="269">
        <f t="shared" si="477"/>
        <v>32.923999999999999</v>
      </c>
      <c r="AP69" s="269">
        <f t="shared" si="477"/>
        <v>32.923999999999999</v>
      </c>
      <c r="AQ69" s="269"/>
      <c r="AR69" s="269">
        <f t="shared" ref="AR69:BB69" si="478">SUM(AR6:AR68)</f>
        <v>248.07307540539844</v>
      </c>
      <c r="AS69" s="269">
        <f t="shared" si="478"/>
        <v>47.273620347320957</v>
      </c>
      <c r="AT69" s="269">
        <f t="shared" si="478"/>
        <v>64.789500000000004</v>
      </c>
      <c r="AU69" s="269">
        <f t="shared" si="478"/>
        <v>64.789500000000004</v>
      </c>
      <c r="AV69" s="269">
        <f t="shared" si="478"/>
        <v>12.957900000000002</v>
      </c>
      <c r="AW69" s="269">
        <f t="shared" si="478"/>
        <v>566.59616043999984</v>
      </c>
      <c r="AX69" s="269">
        <f t="shared" si="478"/>
        <v>467.27777803460157</v>
      </c>
      <c r="AY69" s="269">
        <f t="shared" si="478"/>
        <v>353.41923309267918</v>
      </c>
      <c r="AZ69" s="269">
        <f t="shared" si="478"/>
        <v>213.17692734732088</v>
      </c>
      <c r="BA69" s="269">
        <f t="shared" si="478"/>
        <v>113.85854494192243</v>
      </c>
      <c r="BB69" s="269">
        <f t="shared" si="478"/>
        <v>99.318382405398438</v>
      </c>
      <c r="BC69" s="269">
        <f>SUM(AC69:AE69)+BA73+AJ69</f>
        <v>239.98230699999988</v>
      </c>
      <c r="BD69" s="269">
        <f>SUM(BD6:BD68)</f>
        <v>3.9085400000000003</v>
      </c>
      <c r="BE69" s="742">
        <v>400</v>
      </c>
      <c r="BF69" s="743"/>
      <c r="BG69" s="744"/>
      <c r="BH69" s="279">
        <f t="shared" ref="BH69:BO69" si="479">SUM(BH6:BH68)</f>
        <v>0</v>
      </c>
      <c r="BI69" s="265">
        <f t="shared" si="479"/>
        <v>0</v>
      </c>
      <c r="BJ69" s="265">
        <f t="shared" si="479"/>
        <v>0</v>
      </c>
      <c r="BK69" s="265">
        <f t="shared" si="479"/>
        <v>0</v>
      </c>
      <c r="BL69" s="265">
        <f t="shared" si="479"/>
        <v>0</v>
      </c>
      <c r="BM69" s="265">
        <f t="shared" si="479"/>
        <v>0</v>
      </c>
      <c r="BN69" s="265">
        <f t="shared" si="479"/>
        <v>49</v>
      </c>
      <c r="BO69" s="265">
        <f t="shared" si="479"/>
        <v>4</v>
      </c>
      <c r="BQ69" s="266">
        <f>SUM(BQ6:BQ68)</f>
        <v>1421.7866199999996</v>
      </c>
      <c r="BR69" s="266">
        <f>SUM(BR6:BR68)</f>
        <v>913.01957488000028</v>
      </c>
      <c r="BS69" s="266">
        <f>SUM(BS6:BS68)</f>
        <v>65.568826000000158</v>
      </c>
      <c r="CC69" s="279">
        <f>SUM(CC6:CC68)</f>
        <v>507.6408385999996</v>
      </c>
      <c r="CD69" s="279">
        <f>SUM(CD6:CD68)</f>
        <v>158.67891255999987</v>
      </c>
      <c r="CE69" s="279">
        <f>SUM(CE6:CE68)</f>
        <v>108.9564</v>
      </c>
      <c r="CF69" s="279">
        <f>SUM(CF6:CF68)</f>
        <v>70.611010959999987</v>
      </c>
      <c r="CG69" s="279">
        <f>SUM(CG6:CG68)</f>
        <v>7.2637599999999996</v>
      </c>
      <c r="CJ69" s="279">
        <f>SUM(CJ6:CJ68)</f>
        <v>484.6098219999995</v>
      </c>
      <c r="CK69" s="279">
        <f>SUM(CK6:CK68)</f>
        <v>484.6098219999995</v>
      </c>
      <c r="CL69" s="279">
        <f>SUM(CL6:CL68)</f>
        <v>0</v>
      </c>
      <c r="CM69" s="279">
        <f>SUM(CM6:CM68)</f>
        <v>1.4527519999999998</v>
      </c>
      <c r="CN69" s="501"/>
      <c r="CO69" s="501"/>
      <c r="CP69" s="279">
        <f t="shared" ref="CP69:CZ69" si="480">SUM(CP6:CP68)</f>
        <v>565.68553999999926</v>
      </c>
      <c r="CQ69" s="279">
        <f t="shared" si="480"/>
        <v>217.02172799999983</v>
      </c>
      <c r="CR69" s="279">
        <f t="shared" si="480"/>
        <v>0</v>
      </c>
      <c r="CS69" s="279">
        <f t="shared" si="480"/>
        <v>0</v>
      </c>
      <c r="CT69" s="279">
        <f t="shared" si="480"/>
        <v>18.015730000000005</v>
      </c>
      <c r="CU69" s="279">
        <f t="shared" si="480"/>
        <v>547.40791999999954</v>
      </c>
      <c r="CV69" s="279">
        <f t="shared" si="480"/>
        <v>68.909175299999944</v>
      </c>
      <c r="CW69" s="279">
        <f t="shared" si="480"/>
        <v>1022.9869839999993</v>
      </c>
      <c r="CX69" s="279">
        <f t="shared" si="480"/>
        <v>193.96999999999977</v>
      </c>
      <c r="CY69" s="279">
        <f t="shared" si="480"/>
        <v>96.984999999999886</v>
      </c>
      <c r="CZ69" s="279">
        <f t="shared" si="480"/>
        <v>0.83347081418267965</v>
      </c>
    </row>
    <row r="70" spans="1:104" s="265" customFormat="1" ht="13" x14ac:dyDescent="0.3">
      <c r="H70" s="508"/>
      <c r="Q70" s="509"/>
      <c r="R70" s="509"/>
      <c r="S70" s="267"/>
      <c r="T70" s="267"/>
      <c r="AB70" s="250">
        <f>IF(P70="ASFALTO",M70*G69,0)</f>
        <v>0</v>
      </c>
      <c r="AC70" s="511"/>
      <c r="AD70" s="511"/>
      <c r="AE70" s="511"/>
      <c r="AF70" s="259"/>
      <c r="AG70" s="259"/>
      <c r="AH70" s="259"/>
      <c r="AI70" s="270"/>
      <c r="AZ70" s="265" t="s">
        <v>2424</v>
      </c>
      <c r="BA70" s="272">
        <f>SUM(AF69:AH69)</f>
        <v>813.06435343999999</v>
      </c>
      <c r="BB70" s="512" t="s">
        <v>2425</v>
      </c>
      <c r="BC70" s="273">
        <f>SUM(AJ69)</f>
        <v>0</v>
      </c>
      <c r="BD70" s="259"/>
      <c r="BE70" s="217" t="s">
        <v>2426</v>
      </c>
      <c r="BF70" s="274" t="s">
        <v>2427</v>
      </c>
      <c r="BG70" s="274" t="s">
        <v>2428</v>
      </c>
      <c r="BH70" s="513"/>
    </row>
    <row r="71" spans="1:104" s="265" customFormat="1" ht="52" x14ac:dyDescent="0.3">
      <c r="H71" s="508"/>
      <c r="Q71" s="509"/>
      <c r="R71" s="509"/>
      <c r="S71" s="267"/>
      <c r="T71" s="267"/>
      <c r="AB71" s="250">
        <f>IF(P71="ASFALTO",M71*G71,0)</f>
        <v>0</v>
      </c>
      <c r="AC71" s="511"/>
      <c r="AD71" s="511"/>
      <c r="AE71" s="511"/>
      <c r="AF71" s="259"/>
      <c r="AG71" s="259"/>
      <c r="AH71" s="259"/>
      <c r="AZ71" s="279" t="s">
        <v>2432</v>
      </c>
      <c r="BA71" s="264">
        <f>BA70-AY69-AO69-AT69-AR69</f>
        <v>113.85854494192242</v>
      </c>
      <c r="BB71" s="271" t="s">
        <v>2433</v>
      </c>
      <c r="BC71" s="271">
        <f>BA73+SUM(AC69:AE69)</f>
        <v>239.98230699999988</v>
      </c>
      <c r="BD71" s="259"/>
      <c r="BE71" s="280"/>
      <c r="BF71" s="281">
        <f>SUM(BF6:BF68)</f>
        <v>80.11</v>
      </c>
      <c r="BG71" s="281">
        <f>SUM(BG6:BG68)</f>
        <v>263.34999999999997</v>
      </c>
      <c r="BH71" s="513"/>
      <c r="CJ71" s="279" t="s">
        <v>2538</v>
      </c>
      <c r="CK71" s="265">
        <f>SUM(CC69:CD69)</f>
        <v>666.31975115999944</v>
      </c>
      <c r="CL71" s="512" t="s">
        <v>2425</v>
      </c>
      <c r="CM71" s="265">
        <f>CG69</f>
        <v>7.2637599999999996</v>
      </c>
      <c r="CP71" s="501"/>
    </row>
    <row r="72" spans="1:104" s="265" customFormat="1" ht="13" x14ac:dyDescent="0.3">
      <c r="H72" s="508"/>
      <c r="Q72" s="509"/>
      <c r="R72" s="509"/>
      <c r="S72" s="267"/>
      <c r="T72" s="267"/>
      <c r="AB72" s="259"/>
      <c r="AC72" s="511"/>
      <c r="AD72" s="511"/>
      <c r="AE72" s="511"/>
      <c r="AF72" s="259"/>
      <c r="AG72" s="259"/>
      <c r="AH72" s="259"/>
      <c r="AZ72" s="279" t="s">
        <v>2539</v>
      </c>
      <c r="BA72" s="292">
        <f>BB69</f>
        <v>99.318382405398438</v>
      </c>
      <c r="BB72" s="271"/>
      <c r="BC72" s="259"/>
      <c r="BD72" s="259"/>
      <c r="BE72" s="280"/>
      <c r="BF72" s="283"/>
      <c r="BG72" s="284"/>
      <c r="BH72" s="513"/>
      <c r="CJ72" s="265" t="s">
        <v>2540</v>
      </c>
      <c r="CK72" s="265">
        <f>CL69</f>
        <v>0</v>
      </c>
      <c r="CL72" s="271" t="s">
        <v>2433</v>
      </c>
      <c r="CM72" s="265">
        <f>CK73+SUM(CE69:CF69)</f>
        <v>361.27734011999996</v>
      </c>
      <c r="CP72" s="501"/>
    </row>
    <row r="73" spans="1:104" s="265" customFormat="1" ht="13" x14ac:dyDescent="0.3">
      <c r="H73" s="508"/>
      <c r="P73" s="279"/>
      <c r="Q73" s="356"/>
      <c r="R73" s="356"/>
      <c r="S73" s="279"/>
      <c r="T73" s="279"/>
      <c r="AC73" s="293"/>
      <c r="AD73" s="293"/>
      <c r="AE73" s="511"/>
      <c r="AZ73" s="265" t="s">
        <v>2435</v>
      </c>
      <c r="BA73" s="268">
        <f>BA71-BA69</f>
        <v>0</v>
      </c>
      <c r="BE73" s="280"/>
      <c r="BF73" s="756">
        <f>SUM(BF71:BG71)</f>
        <v>343.46</v>
      </c>
      <c r="BG73" s="757"/>
      <c r="BH73" s="513"/>
      <c r="BJ73" s="265">
        <f>92-15</f>
        <v>77</v>
      </c>
      <c r="CJ73" s="265" t="s">
        <v>2435</v>
      </c>
      <c r="CK73" s="265">
        <f>CK71-CK69</f>
        <v>181.70992915999994</v>
      </c>
    </row>
    <row r="74" spans="1:104" s="265" customFormat="1" ht="13" x14ac:dyDescent="0.3">
      <c r="H74" s="508"/>
      <c r="P74" s="279"/>
      <c r="Q74" s="356"/>
      <c r="R74" s="356"/>
      <c r="S74" s="279"/>
      <c r="T74" s="279"/>
      <c r="AC74" s="293"/>
      <c r="AD74" s="293"/>
      <c r="AE74" s="511"/>
      <c r="AZ74" s="279"/>
      <c r="BA74" s="268"/>
      <c r="BH74" s="279"/>
      <c r="BJ74" s="265">
        <f>BJ73*0.9</f>
        <v>69.3</v>
      </c>
      <c r="BK74" s="265">
        <f>5.8*48</f>
        <v>278.39999999999998</v>
      </c>
      <c r="BL74" s="265">
        <f>6.14*24</f>
        <v>147.35999999999999</v>
      </c>
      <c r="BM74" s="287"/>
    </row>
    <row r="75" spans="1:104" s="265" customFormat="1" ht="13" x14ac:dyDescent="0.3">
      <c r="H75" s="508"/>
      <c r="P75" s="279"/>
      <c r="Q75" s="356"/>
      <c r="R75" s="356"/>
      <c r="S75" s="279"/>
      <c r="T75" s="279"/>
      <c r="AC75" s="293"/>
      <c r="AD75" s="293"/>
      <c r="AE75" s="511"/>
      <c r="BH75" s="279"/>
      <c r="BJ75" s="265">
        <f>BJ74/2</f>
        <v>34.65</v>
      </c>
      <c r="BK75" s="265">
        <f>BK74-20</f>
        <v>258.39999999999998</v>
      </c>
      <c r="BM75" s="288"/>
    </row>
    <row r="76" spans="1:104" s="265" customFormat="1" ht="13" x14ac:dyDescent="0.3">
      <c r="H76" s="508"/>
      <c r="P76" s="279"/>
      <c r="Q76" s="356"/>
      <c r="R76" s="356"/>
      <c r="S76" s="279"/>
      <c r="T76" s="279"/>
      <c r="AC76" s="293"/>
      <c r="AD76" s="293"/>
      <c r="AE76" s="511"/>
      <c r="BH76" s="279">
        <f>629.1*0.8</f>
        <v>503.28000000000003</v>
      </c>
      <c r="BK76" s="265">
        <f>BK75/48</f>
        <v>5.3833333333333329</v>
      </c>
      <c r="BL76" s="265">
        <f>BK76*0.9</f>
        <v>4.8449999999999998</v>
      </c>
    </row>
    <row r="77" spans="1:104" s="265" customFormat="1" ht="13" x14ac:dyDescent="0.3">
      <c r="H77" s="508"/>
      <c r="P77" s="279"/>
      <c r="Q77" s="356"/>
      <c r="R77" s="356"/>
      <c r="S77" s="279"/>
      <c r="T77" s="279"/>
      <c r="AC77" s="293"/>
      <c r="AD77" s="293"/>
      <c r="AE77" s="293"/>
      <c r="BH77" s="279"/>
    </row>
    <row r="78" spans="1:104" s="265" customFormat="1" ht="13" x14ac:dyDescent="0.3">
      <c r="H78" s="508"/>
      <c r="P78" s="279"/>
      <c r="Q78" s="356"/>
      <c r="R78" s="356"/>
      <c r="S78" s="279"/>
      <c r="T78" s="279"/>
      <c r="AC78" s="293"/>
      <c r="AD78" s="293"/>
      <c r="AE78" s="293"/>
      <c r="BH78" s="279"/>
    </row>
    <row r="84" spans="1:104" x14ac:dyDescent="0.25">
      <c r="H84" s="193"/>
      <c r="P84" s="193"/>
      <c r="Q84" s="294"/>
      <c r="R84" s="294"/>
      <c r="S84" s="193"/>
      <c r="T84" s="193"/>
      <c r="AC84" s="193"/>
      <c r="AD84" s="193"/>
      <c r="AE84" s="193"/>
      <c r="BH84" s="193"/>
    </row>
    <row r="85" spans="1:104" ht="16" thickBot="1" x14ac:dyDescent="0.35">
      <c r="A85" s="193" t="s">
        <v>2981</v>
      </c>
      <c r="F85" s="194"/>
      <c r="G85" s="194"/>
      <c r="H85" s="194"/>
      <c r="I85" s="194"/>
      <c r="J85" s="194"/>
      <c r="K85" s="194"/>
      <c r="L85" s="194"/>
      <c r="M85" s="194"/>
      <c r="N85" s="194"/>
      <c r="O85" s="194"/>
      <c r="P85" s="194"/>
      <c r="Q85" s="475"/>
      <c r="R85" s="475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5"/>
      <c r="AJ85" s="193" t="s">
        <v>2493</v>
      </c>
      <c r="BV85" s="765" t="s">
        <v>2144</v>
      </c>
      <c r="BW85" s="765"/>
      <c r="BX85" s="765"/>
      <c r="BY85" s="765"/>
      <c r="BZ85" s="765"/>
      <c r="CA85" s="765"/>
      <c r="CB85" s="765"/>
      <c r="CC85" s="765"/>
      <c r="CD85" s="765"/>
      <c r="CE85" s="765"/>
      <c r="CF85" s="765"/>
      <c r="CG85" s="765"/>
      <c r="CH85" s="765"/>
      <c r="CI85" s="765"/>
      <c r="CJ85" s="765"/>
      <c r="CK85" s="765"/>
      <c r="CL85" s="765"/>
      <c r="CM85" s="765"/>
      <c r="CN85" s="765"/>
      <c r="CO85" s="765"/>
      <c r="CP85" s="765"/>
      <c r="CQ85" s="765"/>
    </row>
    <row r="86" spans="1:104" ht="65.5" thickBot="1" x14ac:dyDescent="0.35">
      <c r="A86" s="196"/>
      <c r="B86" s="196"/>
      <c r="C86" s="196"/>
      <c r="D86" s="196"/>
      <c r="E86" s="196"/>
      <c r="F86" s="196"/>
      <c r="G86" s="196"/>
      <c r="H86" s="476"/>
      <c r="I86" s="196"/>
      <c r="J86" s="196"/>
      <c r="K86" s="196"/>
      <c r="L86" s="196"/>
      <c r="M86" s="196"/>
      <c r="N86" s="196"/>
      <c r="O86" s="196"/>
      <c r="P86" s="197"/>
      <c r="Q86" s="477"/>
      <c r="R86" s="477"/>
      <c r="S86" s="197"/>
      <c r="T86" s="197"/>
      <c r="U86" s="196"/>
      <c r="V86" s="196"/>
      <c r="W86" s="730" t="s">
        <v>2132</v>
      </c>
      <c r="X86" s="731"/>
      <c r="Y86" s="731"/>
      <c r="Z86" s="731"/>
      <c r="AA86" s="731"/>
      <c r="AB86" s="731"/>
      <c r="AC86" s="731"/>
      <c r="AD86" s="731"/>
      <c r="AE86" s="731"/>
      <c r="AF86" s="731"/>
      <c r="AG86" s="731"/>
      <c r="AH86" s="731"/>
      <c r="AI86" s="198"/>
      <c r="AJ86" s="198"/>
      <c r="AK86" s="198"/>
      <c r="AL86" s="198"/>
      <c r="AM86" s="196"/>
      <c r="AN86" s="196"/>
      <c r="AO86" s="198" t="s">
        <v>2494</v>
      </c>
      <c r="AP86" s="198"/>
      <c r="AQ86" s="196"/>
      <c r="AR86" s="196" t="s">
        <v>2980</v>
      </c>
      <c r="AS86" s="196"/>
      <c r="AT86" s="196"/>
      <c r="AU86" s="196"/>
      <c r="AV86" s="196"/>
      <c r="AW86" s="196"/>
      <c r="AX86" s="196"/>
      <c r="AY86" s="196"/>
      <c r="AZ86" s="196"/>
      <c r="BA86" s="196"/>
      <c r="BB86" s="196"/>
      <c r="BC86" s="196"/>
      <c r="BD86" s="196"/>
      <c r="BE86" s="743" t="s">
        <v>2334</v>
      </c>
      <c r="BF86" s="743"/>
      <c r="BG86" s="743"/>
      <c r="BH86" s="197"/>
      <c r="BI86" s="766" t="s">
        <v>295</v>
      </c>
      <c r="BJ86" s="731"/>
      <c r="BK86" s="731"/>
      <c r="BL86" s="731"/>
      <c r="BM86" s="731"/>
      <c r="BN86" s="731"/>
      <c r="BO86" s="731"/>
      <c r="BP86" s="196"/>
      <c r="BQ86" s="732" t="s">
        <v>2337</v>
      </c>
      <c r="BR86" s="733"/>
      <c r="BS86" s="733"/>
      <c r="BV86" s="280"/>
      <c r="BW86" s="280"/>
      <c r="BX86" s="280"/>
      <c r="BY86" s="280"/>
      <c r="BZ86" s="280"/>
      <c r="CA86" s="280"/>
      <c r="CB86" s="280"/>
      <c r="CC86" s="280"/>
      <c r="CD86" s="280"/>
      <c r="CE86" s="280"/>
      <c r="CF86" s="280"/>
      <c r="CG86" s="280"/>
      <c r="CH86" s="280"/>
      <c r="CI86" s="280"/>
      <c r="CJ86" s="280"/>
      <c r="CK86" s="280"/>
      <c r="CL86" s="280"/>
      <c r="CM86" s="280"/>
      <c r="CN86" s="280"/>
      <c r="CO86" s="280"/>
      <c r="CP86" s="774" t="s">
        <v>2337</v>
      </c>
      <c r="CQ86" s="774"/>
      <c r="CR86" s="770" t="s">
        <v>2979</v>
      </c>
      <c r="CS86" s="768" t="s">
        <v>2496</v>
      </c>
      <c r="CT86" s="479" t="s">
        <v>2497</v>
      </c>
      <c r="CU86" s="514" t="s">
        <v>2498</v>
      </c>
      <c r="CV86" s="514" t="s">
        <v>2499</v>
      </c>
      <c r="CW86" s="515" t="s">
        <v>2500</v>
      </c>
      <c r="CX86" s="373" t="s">
        <v>2501</v>
      </c>
      <c r="CY86" s="373" t="s">
        <v>2502</v>
      </c>
      <c r="CZ86" s="772" t="s">
        <v>2503</v>
      </c>
    </row>
    <row r="87" spans="1:104" ht="65" x14ac:dyDescent="0.25">
      <c r="A87" s="372" t="s">
        <v>2340</v>
      </c>
      <c r="B87" s="372" t="s">
        <v>2437</v>
      </c>
      <c r="C87" s="372" t="s">
        <v>2440</v>
      </c>
      <c r="D87" s="372" t="s">
        <v>2504</v>
      </c>
      <c r="E87" s="372" t="s">
        <v>2341</v>
      </c>
      <c r="F87" s="372" t="s">
        <v>2342</v>
      </c>
      <c r="G87" s="372" t="s">
        <v>2505</v>
      </c>
      <c r="H87" s="371" t="s">
        <v>2506</v>
      </c>
      <c r="I87" s="372" t="s">
        <v>2345</v>
      </c>
      <c r="J87" s="371" t="s">
        <v>2346</v>
      </c>
      <c r="K87" s="372" t="s">
        <v>2347</v>
      </c>
      <c r="L87" s="379" t="s">
        <v>2507</v>
      </c>
      <c r="M87" s="378" t="s">
        <v>2349</v>
      </c>
      <c r="N87" s="379" t="s">
        <v>2508</v>
      </c>
      <c r="O87" s="379" t="s">
        <v>2509</v>
      </c>
      <c r="P87" s="379" t="s">
        <v>2352</v>
      </c>
      <c r="Q87" s="516" t="s">
        <v>2353</v>
      </c>
      <c r="R87" s="516" t="s">
        <v>2354</v>
      </c>
      <c r="S87" s="379" t="s">
        <v>2355</v>
      </c>
      <c r="T87" s="379" t="s">
        <v>2356</v>
      </c>
      <c r="U87" s="378" t="s">
        <v>2357</v>
      </c>
      <c r="V87" s="377" t="s">
        <v>2358</v>
      </c>
      <c r="W87" s="376" t="s">
        <v>2359</v>
      </c>
      <c r="X87" s="376" t="s">
        <v>2360</v>
      </c>
      <c r="Y87" s="376" t="s">
        <v>2361</v>
      </c>
      <c r="Z87" s="376" t="s">
        <v>2362</v>
      </c>
      <c r="AA87" s="376" t="s">
        <v>2363</v>
      </c>
      <c r="AB87" s="207" t="s">
        <v>2364</v>
      </c>
      <c r="AC87" s="373" t="s">
        <v>2366</v>
      </c>
      <c r="AD87" s="373" t="s">
        <v>2367</v>
      </c>
      <c r="AE87" s="373" t="s">
        <v>2368</v>
      </c>
      <c r="AF87" s="373" t="s">
        <v>2373</v>
      </c>
      <c r="AG87" s="373" t="s">
        <v>2374</v>
      </c>
      <c r="AH87" s="373" t="s">
        <v>2511</v>
      </c>
      <c r="AI87" s="373" t="s">
        <v>2512</v>
      </c>
      <c r="AJ87" s="372" t="s">
        <v>2136</v>
      </c>
      <c r="AK87" s="372" t="s">
        <v>2381</v>
      </c>
      <c r="AL87" s="372" t="s">
        <v>2382</v>
      </c>
      <c r="AM87" s="371" t="s">
        <v>2383</v>
      </c>
      <c r="AN87" s="371" t="s">
        <v>2384</v>
      </c>
      <c r="AO87" s="371" t="s">
        <v>2385</v>
      </c>
      <c r="AP87" s="373" t="s">
        <v>2386</v>
      </c>
      <c r="AQ87" s="373" t="s">
        <v>2387</v>
      </c>
      <c r="AR87" s="375" t="s">
        <v>2388</v>
      </c>
      <c r="AS87" s="517" t="s">
        <v>2389</v>
      </c>
      <c r="AT87" s="373" t="s">
        <v>2390</v>
      </c>
      <c r="AU87" s="373" t="s">
        <v>2391</v>
      </c>
      <c r="AV87" s="373" t="s">
        <v>2392</v>
      </c>
      <c r="AW87" s="372" t="s">
        <v>2393</v>
      </c>
      <c r="AX87" s="371" t="s">
        <v>2394</v>
      </c>
      <c r="AY87" s="371" t="s">
        <v>2395</v>
      </c>
      <c r="AZ87" s="371" t="s">
        <v>2397</v>
      </c>
      <c r="BA87" s="371" t="s">
        <v>2513</v>
      </c>
      <c r="BB87" s="371" t="s">
        <v>2399</v>
      </c>
      <c r="BC87" s="371" t="s">
        <v>2133</v>
      </c>
      <c r="BD87" s="371" t="s">
        <v>2400</v>
      </c>
      <c r="BE87" s="753">
        <v>400</v>
      </c>
      <c r="BF87" s="753"/>
      <c r="BG87" s="753"/>
      <c r="BH87" s="371" t="s">
        <v>2144</v>
      </c>
      <c r="BI87" s="518" t="s">
        <v>2184</v>
      </c>
      <c r="BJ87" s="518" t="s">
        <v>2185</v>
      </c>
      <c r="BK87" s="518" t="s">
        <v>2187</v>
      </c>
      <c r="BL87" s="518" t="s">
        <v>2188</v>
      </c>
      <c r="BM87" s="518" t="s">
        <v>2193</v>
      </c>
      <c r="BN87" s="518" t="s">
        <v>2194</v>
      </c>
      <c r="BO87" s="482" t="s">
        <v>2195</v>
      </c>
      <c r="BP87" s="483"/>
      <c r="BQ87" s="218" t="s">
        <v>2402</v>
      </c>
      <c r="BR87" s="218" t="s">
        <v>2514</v>
      </c>
      <c r="BS87" s="218" t="s">
        <v>2515</v>
      </c>
      <c r="BT87" s="219"/>
      <c r="BU87" s="219"/>
      <c r="BV87" s="484" t="s">
        <v>2516</v>
      </c>
      <c r="BW87" s="484" t="s">
        <v>2517</v>
      </c>
      <c r="BX87" s="485" t="s">
        <v>2518</v>
      </c>
      <c r="BY87" s="484" t="s">
        <v>2519</v>
      </c>
      <c r="BZ87" s="207" t="s">
        <v>2520</v>
      </c>
      <c r="CA87" s="207" t="s">
        <v>2521</v>
      </c>
      <c r="CB87" s="207" t="s">
        <v>2522</v>
      </c>
      <c r="CC87" s="482" t="s">
        <v>2523</v>
      </c>
      <c r="CD87" s="482" t="s">
        <v>2524</v>
      </c>
      <c r="CE87" s="482" t="s">
        <v>2525</v>
      </c>
      <c r="CF87" s="482" t="s">
        <v>2526</v>
      </c>
      <c r="CG87" s="482" t="s">
        <v>2527</v>
      </c>
      <c r="CH87" s="486" t="s">
        <v>2360</v>
      </c>
      <c r="CI87" s="373" t="s">
        <v>2528</v>
      </c>
      <c r="CJ87" s="482" t="s">
        <v>2529</v>
      </c>
      <c r="CK87" s="482" t="s">
        <v>2530</v>
      </c>
      <c r="CL87" s="482" t="s">
        <v>2531</v>
      </c>
      <c r="CM87" s="482" t="s">
        <v>2400</v>
      </c>
      <c r="CN87" s="482" t="s">
        <v>2532</v>
      </c>
      <c r="CO87" s="482" t="s">
        <v>2533</v>
      </c>
      <c r="CP87" s="482" t="s">
        <v>2534</v>
      </c>
      <c r="CQ87" s="482" t="s">
        <v>2535</v>
      </c>
      <c r="CR87" s="771"/>
      <c r="CS87" s="769"/>
      <c r="CT87" s="519"/>
      <c r="CU87" s="519"/>
      <c r="CV87" s="519"/>
      <c r="CW87" s="487"/>
      <c r="CX87" s="373"/>
      <c r="CY87" s="373"/>
      <c r="CZ87" s="772"/>
    </row>
    <row r="88" spans="1:104" ht="14.5" x14ac:dyDescent="0.35">
      <c r="A88" s="520" t="str">
        <f>'BOCA DE LOBO'!A82</f>
        <v>RD-1</v>
      </c>
      <c r="B88" s="414"/>
      <c r="C88" s="414"/>
      <c r="D88" s="414"/>
      <c r="E88" s="521"/>
      <c r="F88" s="521"/>
      <c r="G88" s="521"/>
      <c r="H88" s="372"/>
      <c r="I88" s="372"/>
      <c r="J88" s="372"/>
      <c r="K88" s="372"/>
      <c r="L88" s="522"/>
      <c r="M88" s="523"/>
      <c r="N88" s="523"/>
      <c r="O88" s="523"/>
      <c r="P88" s="522"/>
      <c r="Q88" s="524"/>
      <c r="R88" s="524"/>
      <c r="S88" s="522"/>
      <c r="T88" s="522"/>
      <c r="U88" s="523"/>
      <c r="V88" s="525"/>
      <c r="W88" s="526" t="s">
        <v>2412</v>
      </c>
      <c r="X88" s="526"/>
      <c r="Y88" s="526"/>
      <c r="Z88" s="526"/>
      <c r="AA88" s="526"/>
      <c r="AB88" s="228" t="s">
        <v>2413</v>
      </c>
      <c r="AC88" s="229"/>
      <c r="AD88" s="229"/>
      <c r="AE88" s="229"/>
      <c r="AF88" s="229"/>
      <c r="AG88" s="229"/>
      <c r="AH88" s="229"/>
      <c r="AI88" s="217"/>
      <c r="AJ88" s="372"/>
      <c r="AK88" s="372"/>
      <c r="AL88" s="372"/>
      <c r="AM88" s="372"/>
      <c r="AN88" s="438"/>
      <c r="AO88" s="372"/>
      <c r="AP88" s="372"/>
      <c r="AQ88" s="372"/>
      <c r="AR88" s="372"/>
      <c r="AS88" s="372"/>
      <c r="AT88" s="372"/>
      <c r="AU88" s="372"/>
      <c r="AV88" s="372"/>
      <c r="AW88" s="372"/>
      <c r="AX88" s="372"/>
      <c r="AY88" s="372"/>
      <c r="AZ88" s="372"/>
      <c r="BA88" s="372"/>
      <c r="BB88" s="372"/>
      <c r="BC88" s="372"/>
      <c r="BD88" s="372"/>
      <c r="BE88" s="231"/>
      <c r="BF88" s="198"/>
      <c r="BG88" s="198"/>
      <c r="BH88" s="527"/>
      <c r="BI88" s="528"/>
      <c r="BJ88" s="528"/>
      <c r="BK88" s="528"/>
      <c r="BL88" s="528"/>
      <c r="BM88" s="528"/>
      <c r="BN88" s="529"/>
      <c r="BO88" s="490"/>
      <c r="BP88" s="491"/>
      <c r="BQ88" s="198"/>
      <c r="BR88" s="198"/>
      <c r="BS88" s="198"/>
      <c r="BV88" s="220"/>
      <c r="BW88" s="220"/>
      <c r="BX88" s="220"/>
      <c r="BY88" s="220"/>
      <c r="BZ88" s="220"/>
      <c r="CA88" s="220"/>
      <c r="CB88" s="220"/>
      <c r="CC88" s="220"/>
      <c r="CD88" s="220"/>
      <c r="CE88" s="220"/>
      <c r="CF88" s="220"/>
      <c r="CG88" s="220"/>
      <c r="CH88" s="220"/>
      <c r="CI88" s="220"/>
      <c r="CJ88" s="220"/>
      <c r="CK88" s="220"/>
      <c r="CL88" s="220"/>
      <c r="CM88" s="220"/>
      <c r="CN88" s="220"/>
      <c r="CO88" s="220"/>
      <c r="CP88" s="220"/>
      <c r="CQ88" s="220"/>
      <c r="CR88" s="220"/>
      <c r="CS88" s="492"/>
      <c r="CT88" s="492"/>
      <c r="CU88" s="492"/>
      <c r="CV88" s="492"/>
      <c r="CW88" s="220"/>
      <c r="CX88" s="372"/>
      <c r="CY88" s="373"/>
    </row>
    <row r="89" spans="1:104" ht="25" x14ac:dyDescent="0.25">
      <c r="A89" s="413" t="str">
        <f>'BOCA DE LOBO'!C83</f>
        <v>BL1-&gt;PV1.4</v>
      </c>
      <c r="B89" s="413" t="str">
        <f>'BOCA DE LOBO'!A83</f>
        <v>PV1.4</v>
      </c>
      <c r="C89" s="413" t="str">
        <f>VLOOKUP(A89,'BOCA DE LOBO'!$C$82:$Q$270,3,0)</f>
        <v>PROJETADO</v>
      </c>
      <c r="D89" s="413" t="str">
        <f>VLOOKUP(A89,'BOCA DE LOBO'!$C$82:$Q$270,10,0)</f>
        <v>PROJETADA</v>
      </c>
      <c r="E89" s="413">
        <f t="shared" ref="E89:E115" si="481">IF(F89-G89*4%&lt;2.5,F89-G89*4%,2.5)</f>
        <v>2.1604000000000001</v>
      </c>
      <c r="F89" s="413">
        <f>VLOOKUP(A89,'BOCA DE LOBO'!$C$82:$Q$270,2,0)</f>
        <v>2.4700000000000002</v>
      </c>
      <c r="G89" s="413">
        <f>VLOOKUP(A89,'BOCA DE LOBO'!$C$82:$Q$270,4,0)</f>
        <v>7.74</v>
      </c>
      <c r="H89" s="412">
        <v>400</v>
      </c>
      <c r="I89" s="493">
        <f t="shared" ref="I89:I115" si="482">IF(H89=400,((E89+F89)/2)+0.08+U89,IF(H89=500,((E89+F89)/2)+0.1+U89,IF(H89=600,((E89+F89)/2)+0.12+U89,IF(H89=800,((E89+F89)/2)+0.16+U89,IF(H89=1000,((E89+F89)/2)+0.2+U89,IF(H89=1200,((E89+F89)/2)+0.24+U89,IF(H89=1500,((E89+F89)/2)+0.3+U89,IF(H89&gt;1500,((E89+F89)/2)+0.4+U89))))))))</f>
        <v>2.4451999999999998</v>
      </c>
      <c r="J89" s="493">
        <f t="shared" ref="J89:J115" si="483">IF(L89=0,0,IF(I89&gt;=1.25,G89*I89/20,0))</f>
        <v>0.94629239999999992</v>
      </c>
      <c r="K89" s="530">
        <v>0</v>
      </c>
      <c r="L89" s="531">
        <f t="shared" ref="L89:L115" si="484">IF(D89&lt;&gt;"PROJETADA",0,IF(H89=400,1,0)+IF(H89=500,1.2,0)+IF(H89=600,1.4,0)+IF(H89=800,1.7,0)+IF(H89=1000,2,0)+IF(H89=1200,2.2,0)+IF(H89=1500,2.6,0)+IF(H89=1650,3,0)+IF(H89=1800,3.2,0)+IF(H89=2000,3.4,0)+IF(H89=2200,3.6,0)+IF(H89=2400,3.8,0)+IF(H89=2600,4,0)+IF(H89=3000,4.4,0))</f>
        <v>1</v>
      </c>
      <c r="M89" s="531">
        <f t="shared" ref="M89:M115" si="485">2*K89*I89+L89</f>
        <v>1</v>
      </c>
      <c r="N89" s="531">
        <f t="shared" ref="N89:N115" si="486">IF(OR(D89="EXISTENTE",D89="AMPLIADA"),400,0)</f>
        <v>0</v>
      </c>
      <c r="O89" s="531">
        <f t="shared" ref="O89:O115" si="487">IF(P89="TERRENO NATURAL",0,M89*G89)</f>
        <v>7.74</v>
      </c>
      <c r="P89" s="532" t="str">
        <f>VLOOKUP(B89,'Planilha Hidráulica'!$AG:$AR,12,0)</f>
        <v>ASFALTO</v>
      </c>
      <c r="Q89" s="533" t="s">
        <v>2739</v>
      </c>
      <c r="R89" s="534"/>
      <c r="S89" s="532">
        <f>VLOOKUP(Q89,Quantitativos!P:R,3,0)</f>
        <v>2.9</v>
      </c>
      <c r="T89" s="532">
        <f>VLOOKUP(Q89,Quantitativos!P:S,4,0)</f>
        <v>1.4</v>
      </c>
      <c r="U89" s="531">
        <f t="shared" ref="U89:U115" si="488">IF(H89=400,0.05,0)+IF(H89=500,0.05,0)+IF(H89=600,0.1,0)+IF(H89=800,0.1,0)+IF(H89=1000,0.15,0)+IF(H89=1200,0.15,0)+IF(H89=1500,0.2,0)+IF(H89=1650,0.2,0)+IF(H89=1800,0.2,0)+IF(H89=2000,0.25,0)+IF(H89=2200,0.25,0)+IF(H89=2400,0.25,0)+IF(H89=2600,0.25,0)+IF(H89=3000,0.25,0)</f>
        <v>0.05</v>
      </c>
      <c r="V89" s="535">
        <f t="shared" ref="V89:V115" si="489">IF(L89=0,0,IF("EXISTENTE"=C89,0,IFERROR((PI()*(N89/1000)*(N89/1000)/4)*G89,0)))</f>
        <v>0</v>
      </c>
      <c r="W89" s="535">
        <f t="shared" ref="W89:W115" si="490">IF(O89=0,0,((((K89*I89)*I89)/2)*2+L89*I89)*G89-V89+AO89)</f>
        <v>18.925847999999998</v>
      </c>
      <c r="X89" s="536">
        <f t="shared" ref="X89:X115" si="491">W89-SUM(AC89:AJ89)</f>
        <v>0</v>
      </c>
      <c r="Y89" s="536">
        <f t="shared" ref="Y89:Y115" si="492">IF(R89=1,IF(N89=0,I89+0.4,0.4),0)</f>
        <v>0</v>
      </c>
      <c r="Z89" s="536">
        <f t="shared" ref="Z89:Z115" si="493">IF(Y89&gt;0.5,0,IF(S89&lt;I89,S89,I89))</f>
        <v>2.4451999999999998</v>
      </c>
      <c r="AA89" s="536">
        <f t="shared" ref="AA89:AA115" si="494">I89-Z89</f>
        <v>0</v>
      </c>
      <c r="AB89" s="496">
        <f t="shared" ref="AB89:AB115" si="495">IF(P89="ASFALTO",IF(D89="PROJETADA",O89,IF(D89="EXISTENTE",0,O89/2)),0)</f>
        <v>7.74</v>
      </c>
      <c r="AC89" s="251">
        <f t="shared" ref="AC89:AC115" si="496">IF(Y89=0,0,IF(Y89=0.4,IF(L89&lt;=1.5,IF(Z89+0.4&gt;=1.5,0,L89*G89*0.4),0),IF(L89&lt;=1.5,IF(Y89&gt;=1.5,M89*G89*1.5,L89*G89*(Y89)),0)+IF(S89&lt;I89+0.4,0,IF(AND(Y89&lt;=1.5,L89&lt;=1.5),-V89,0))))</f>
        <v>0</v>
      </c>
      <c r="AD89" s="251">
        <f t="shared" ref="AD89:AD115" si="497">IF(Y89=0,0,IF(Y89=0.4,IF(L89&lt;=1.5,IF(OR(Z89+0.4&gt;=3,Z89+0.4&lt;1.5),0,L89*G89*0.4),0),IF(IF(L89&lt;=1.5,IF(Y89&gt;=3,M89*G89*1.5,L89*G89*(Y89-1.5)),0)&lt;0,0,IF(L89&lt;=1.5,IF(Y89&gt;=3,M89*G89*1.5,L89*G89*(Y89-1.5)),0))+IF(S89&lt;I89+0.4,0,IF(AND(Y89&lt;=3,L89&lt;=1.5),-V89,0))))</f>
        <v>0</v>
      </c>
      <c r="AE89" s="251">
        <f t="shared" ref="AE89:AE115" si="498">IF(Y89=0,0,IF(Y89=0.4,IF(L89&lt;=1.5,IF(OR(Z89+0.4&gt;=4.5,Z89+0.4&lt;3),0,L89*G89*0.4),0),IF(IF(L89&lt;=1.5,IF(Y89&gt;=4.5,M89*G89*1.5,L89*G89*(Y89-3)),0)&lt;0,0,IF(L89&lt;=1.5,IF(Y89&gt;=4.5,M89*G89*1.5,L89*G89*(Y89-3)),0))+IF(S89&lt;I89+0.4,0,IF(AND(Y89&lt;=4.5,L89&lt;=1.5),-V89,0))))</f>
        <v>0</v>
      </c>
      <c r="AF89" s="251">
        <f t="shared" ref="AF89:AF115" si="499">IF(L89&lt;=1.5,IF(Z89&gt;=1.5,M89*G89*1.5,L89*G89*Z89),0)+IF(S89&lt;I89,0,IF(AND(Z89&lt;=1.5,L89&lt;=1.5),-V89,0))</f>
        <v>11.61</v>
      </c>
      <c r="AG89" s="251">
        <f t="shared" ref="AG89:AG115" si="500">IF(IF(L89&lt;=1.5,IF(Z89&gt;=3,M89*G89*1.5,L89*G89*(Z89-1.5)),0)&lt;0,0,IF(L89&lt;=1.5,IF(Z89&gt;=3,M89*G89*1.5,L89*G89*(Z89-1.5)),0))+IF(S89&lt;I89,0,IF(AND(Z89&lt;=3,L89&lt;=1.5),-V89,0))</f>
        <v>7.315847999999999</v>
      </c>
      <c r="AH89" s="251">
        <f t="shared" ref="AH89:AH115" si="501">IF(IF(IF(L89&lt;=1.5,IF(Z89&gt;=4.5,M89*G89*1.5,L89*G89*(Z89-3)),0)&lt;0,0,IF(L89&lt;=1.5,IF(Z89&gt;=4.5,M89*G89*1.5,L89*G89*(Z89-3)),0))+IF(S89&lt;I89,0,IF(AND(Z89&lt;=4.5,L89&lt;=1.5),-V89,0))&lt;0,0,IF(IF(L89&lt;=1.5,IF(Z89&gt;=4.5,M89*G89*1.5,L89*G89*(Z89-3)),0)&lt;0,0,IF(L89&lt;=1.5,IF(Z89&gt;=4.5,M89*G89*1.5,L89*G89*(Z89-3)),0))+IF(S89&lt;I89,0,IF(AND(Z89&lt;=4.5,L89&lt;=1.5),-V89,0)))</f>
        <v>0</v>
      </c>
      <c r="AI89" s="497" t="str">
        <f t="shared" ref="AI89:AI115" si="502">IF(I89&gt;S89,"SIM","NÃO")</f>
        <v>NÃO</v>
      </c>
      <c r="AJ89" s="531">
        <f t="shared" ref="AJ89:AJ115" si="503">W89-SUM(AC89:AH89)</f>
        <v>0</v>
      </c>
      <c r="AK89" s="531">
        <f t="shared" ref="AK89:AK115" si="504">IF(I89-T89&lt;0,0,(I89-T89)*G89)/75</f>
        <v>0.10786464</v>
      </c>
      <c r="AL89" s="531">
        <f t="shared" ref="AL89:AL115" si="505">IF(L89=0,0,G89*L89*I89-PI()*(H89/1000)*(H89/1000)/4*G89+AO89)</f>
        <v>17.953210914448597</v>
      </c>
      <c r="AM89" s="493">
        <f t="shared" ref="AM89:AM115" si="506">IF(L89&lt;1.5,L89*G89*IF(H89&lt;=500,0.05,IF(H89&lt;=800,0.1,IF(H89&lt;=1200,0.15,IF(H89&gt;=1500,0.2)))),0)</f>
        <v>0.38700000000000001</v>
      </c>
      <c r="AN89" s="535">
        <f t="shared" ref="AN89:AN115" si="507">IF(L89&gt;=1.5,L89*G89*IF(H89&lt;=500,0.05,IF(H89&lt;=800,0.1,IF(H89&lt;=1200,0.15,IF(H89&gt;=1500,0.2)))),0)</f>
        <v>0</v>
      </c>
      <c r="AO89" s="531">
        <f t="shared" ref="AO89:AO115" si="508">IF(R89=1,0.4*G89*L89,0)</f>
        <v>0</v>
      </c>
      <c r="AP89" s="531">
        <f t="shared" ref="AP89:AP115" si="509">IF(AO89&lt;SUM(AF89:AH89),0,AO89)</f>
        <v>0</v>
      </c>
      <c r="AQ89" s="531">
        <f t="shared" ref="AQ89:AQ115" si="510">H89/1000+0.3</f>
        <v>0.7</v>
      </c>
      <c r="AR89" s="531">
        <f t="shared" ref="AR89:AR115" si="511">IF(D89&lt;&gt;"PROJETADA",0,AQ89*L89*G89-PI()*(H89/1000*H89/1000)/4*G89)</f>
        <v>4.4453629144485998</v>
      </c>
      <c r="AS89" s="531">
        <f t="shared" ref="AS89:AS115" si="512">IF(AR89&lt;SUM(AF89:AH89),0,AR89)</f>
        <v>0</v>
      </c>
      <c r="AT89" s="531">
        <f t="shared" ref="AT89:AT115" si="513">IF(P89="ASFALTO",0.15*G89*L89,0)</f>
        <v>1.161</v>
      </c>
      <c r="AU89" s="531">
        <f t="shared" ref="AU89:AU115" si="514">AT89</f>
        <v>1.161</v>
      </c>
      <c r="AV89" s="531">
        <f t="shared" ref="AV89:AV115" si="515">IF(P89="ASFALTO",0.03*G89*L89,0)</f>
        <v>0.23219999999999999</v>
      </c>
      <c r="AW89" s="531">
        <f t="shared" ref="AW89:AW115" si="516">AL89-AO89-SUM(AM89:AN89)-AT89-AU89-AR89</f>
        <v>10.798847999999996</v>
      </c>
      <c r="AX89" s="531">
        <f t="shared" ref="AX89:AX115" si="517">SUM(AF89:AH89)-AO89-AT89-AR89</f>
        <v>13.319485085551397</v>
      </c>
      <c r="AY89" s="531">
        <f t="shared" ref="AY89:AY115" si="518">SMALL(AW89:AX89,1)</f>
        <v>10.798847999999996</v>
      </c>
      <c r="AZ89" s="531">
        <f t="shared" ref="AZ89:AZ115" si="519">AW89-AY89</f>
        <v>0</v>
      </c>
      <c r="BA89" s="531">
        <f t="shared" ref="BA89:BA115" si="520">IF($AZ$221&gt;$BA$223,($BA$223/$AZ$221)*AZ89,AZ89)</f>
        <v>0</v>
      </c>
      <c r="BB89" s="531">
        <f t="shared" ref="BB89:BB115" si="521">AZ89-BA89</f>
        <v>0</v>
      </c>
      <c r="BC89" s="531"/>
      <c r="BD89" s="531">
        <f t="shared" ref="BD89:BD115" si="522">IF(AO89+AT89&gt;0,4%*(AO89+AT89),0)</f>
        <v>4.6440000000000002E-2</v>
      </c>
      <c r="BE89" s="496">
        <f t="shared" ref="BE89:BE115" si="523">IF(H89=400,I89,0)</f>
        <v>2.4451999999999998</v>
      </c>
      <c r="BF89" s="498">
        <f t="shared" ref="BF89:BF115" si="524">IF(BE89&lt;=1.75,AND(BE89&gt;0)*G89,0)</f>
        <v>0</v>
      </c>
      <c r="BG89" s="498">
        <f t="shared" ref="BG89:BG115" si="525">IF(BE89&lt;=3,AND(BE89&gt;1.75)*G89,0)</f>
        <v>7.74</v>
      </c>
      <c r="BH89" s="532" t="str">
        <f>VLOOKUP(A89,'BOCA DE LOBO'!C:I,7,0)</f>
        <v>BOCA DE LOBO PROJETADA DUPLA</v>
      </c>
      <c r="BI89" s="531">
        <f t="shared" ref="BI89:BI115" si="526">IF(BH89=$BI$87,1,0)</f>
        <v>0</v>
      </c>
      <c r="BJ89" s="531">
        <f t="shared" ref="BJ89:BJ115" si="527">IF(BH89=$BJ$87,1,0)</f>
        <v>0</v>
      </c>
      <c r="BK89" s="531">
        <f t="shared" ref="BK89:BK115" si="528">IF(BH89=$BK$87,1,0)</f>
        <v>0</v>
      </c>
      <c r="BL89" s="531">
        <f t="shared" ref="BL89:BL115" si="529">IF(BH89=$BL$87,1,0)</f>
        <v>0</v>
      </c>
      <c r="BM89" s="531">
        <f t="shared" ref="BM89:BM115" si="530">IF(BH89=$BM$87,1,0)</f>
        <v>0</v>
      </c>
      <c r="BN89" s="531">
        <f t="shared" ref="BN89:BN115" si="531">IF(BH89=$BN$87,1,0)</f>
        <v>1</v>
      </c>
      <c r="BO89" s="499">
        <f t="shared" ref="BO89:BO115" si="532">IF(BH89=$BO$87,1,0)</f>
        <v>0</v>
      </c>
      <c r="BP89" s="500"/>
      <c r="BQ89" s="496">
        <f t="shared" ref="BQ89:BQ115" si="533">IF(L89&lt;=1.5,IF(I89+IF(R89=1,0.5,0)&lt;1.5,(I89+IF(R89=1,0.5,0))*G89*2,G89*2*1.5),0)</f>
        <v>23.22</v>
      </c>
      <c r="BR89" s="496">
        <f t="shared" ref="BR89:BR115" si="534">IF(L89&lt;=1.5,IF(AND(I89+IF(R89=1,0.5,0)&lt;3,I89+IF(R89=1,0.5,0)&gt;1.5),(I89+IF(R89=1,0.5,0)-1.5)*G89*2,IF(I89+IF(R89=1,0.5,0)&gt;=3,(G89*2*1.5),0)),0)</f>
        <v>14.631695999999998</v>
      </c>
      <c r="BS89" s="496">
        <f t="shared" ref="BS89:BS115" si="535">IF(L89&lt;=1.5,IF(AND(I89+IF(R89=1,0.5,0)&lt;4.5,I89+IF(R89=1,0.5,0)&gt;3),(I89+IF(R89=1,0.5,0)-3)*G89*2,IF(I89+IF(R89=1,0.5,0)&gt;=4.5,(G89*2*1.5),0)),0)</f>
        <v>0</v>
      </c>
      <c r="BT89" s="501"/>
      <c r="BU89" s="501"/>
      <c r="BV89" s="502">
        <f t="shared" ref="BV89:BV115" si="536">IF(OR("BOCA DE LOBO EXISTENTE TRIPLA"=BH89,"BOCA DE LOBO EXISTENTE SIMPLES"=BH89,"BOCA DE LOBO EXISTENTE DUPLA"=BH89),0,IF("BOCA DE LOBO PROJETADA DUPLA"=BH89,(2.57+1)*(1.18+0.5),IF(OR("BOCA DE LOBO DUPLA EXISTENTE COM BOCA DE LOBO SIMPLES PROJETADA"=BH89,"BOCA DE LOBO SIMPLES EXISTENTE COM BOCA DE LOBO SIMPLES PROJETADA"=BH89),(1.18+0.5)*(1.18+0.5),IF(OR(BH89="BOCA DE LOBO DUPLA EXISTENTE COM BOCA DE LOBO DUPLA PROJETADA",BH89="BOCA DE LOBO SIMPLES EXISTENTE COM BOCA DE LOBO DUPLA PROJETADA"),(2.38+0.5)*(1.18+0.5),IF("BOCA DE LOBO PROJETADA TRIPLA"=BH89,(3.76+0.5*2)*(1.18+0.5),IF(""=BH89,(3.76+0.5*2)*(1.18+0.5),"X")))))*(E89+IF(CA89&gt;0,0.5,0)))</f>
        <v>12.957215039999999</v>
      </c>
      <c r="BW89" s="502">
        <f t="shared" ref="BW89:BW115" si="537">IF(OR("BOCA DE LOBO EXISTENTE TRIPLA"=BH89,"BOCA DE LOBO EXISTENTE SIMPLES"=BH89,"BOCA DE LOBO EXISTENTE DUPLA"=BH89),0,IF("BOCA DE LOBO PROJETADA DUPLA"=BH89,(2.57+1)*(1.18+0.5),IF(OR("BOCA DE LOBO DUPLA EXISTENTE COM BOCA DE LOBO SIMPLES PROJETADA"=BH89,"BOCA DE LOBO SIMPLES EXISTENTE COM BOCA DE LOBO SIMPLES PROJETADA"=BH89),(1.18+0.5)*(1.18+0.5),IF(OR(BH89="BOCA DE LOBO DUPLA EXISTENTE COM BOCA DE LOBO DUPLA PROJETADA",BH89="BOCA DE LOBO SIMPLES EXISTENTE COM BOCA DE LOBO DUPLA PROJETADA"),(2.38+0.5)*(1.18+0.5),IF("BOCA DE LOBO PROJETADA TRIPLA"=BH89,(3.76+0.5*2)*(1.18+0.5),"X")))))</f>
        <v>5.9975999999999994</v>
      </c>
      <c r="BX89" s="502">
        <f t="shared" ref="BX89:BX115" si="538">IF(OR("BOCA DE LOBO EXISTENTE TRIPLA"=BH89,"BOCA DE LOBO EXISTENTE SIMPLES"=BH89,"BOCA DE LOBO EXISTENTE DUPLA"=BH89),0,IF("BOCA DE LOBO PROJETADA DUPLA"=BH89,(2.57)*(1.18),IF(OR("BOCA DE LOBO DUPLA EXISTENTE COM BOCA DE LOBO SIMPLES PROJETADA"=BH89,"BOCA DE LOBO SIMPLES EXISTENTE COM BOCA DE LOBO SIMPLES PROJETADA"=BH89),(1.18)*(1.18),IF(OR(BH89="BOCA DE LOBO DUPLA EXISTENTE COM BOCA DE LOBO DUPLA PROJETADA",BH89="BOCA DE LOBO SIMPLES EXISTENTE COM BOCA DE LOBO DUPLA PROJETADA"),(2.38)*(1.18),IF("BOCA DE LOBO PROJETADA TRIPLA"=BH89,(3.76)*(1.18),"X")))))</f>
        <v>3.0325999999999995</v>
      </c>
      <c r="BY89" s="502">
        <f t="shared" ref="BY89:BY115" si="539">E89</f>
        <v>2.1604000000000001</v>
      </c>
      <c r="BZ89" s="502">
        <f t="shared" ref="BZ89:BZ115" si="540">IF(Y89&gt;0.5,0,IF(S89&lt;E89,S89,E89))</f>
        <v>2.1604000000000001</v>
      </c>
      <c r="CA89" s="502">
        <f t="shared" ref="CA89:CA115" si="541">IF(Y89&gt;0.5,BY89+0.5,Y89)</f>
        <v>0</v>
      </c>
      <c r="CB89" s="502">
        <f t="shared" ref="CB89:CB115" si="542">IF(S89&gt;E89,0,E89-S89)</f>
        <v>0</v>
      </c>
      <c r="CC89" s="502">
        <f t="shared" ref="CC89:CC115" si="543">IF(BZ89&gt;1.5,BW89*1.5,BW89*BZ89)</f>
        <v>8.9963999999999995</v>
      </c>
      <c r="CD89" s="502">
        <f t="shared" ref="CD89:CD115" si="544">IF(BZ89&gt;1.5,BW89*(BZ89-1.5),0)</f>
        <v>3.9608150400000004</v>
      </c>
      <c r="CE89" s="502">
        <f t="shared" ref="CE89:CE115" si="545">IF(CA89&gt;1.5,BW89*1.5,BW89*CA89)</f>
        <v>0</v>
      </c>
      <c r="CF89" s="502">
        <f t="shared" ref="CF89:CF115" si="546">IF(CA89&gt;1.5,BW89*(CA89-1.5),0)</f>
        <v>0</v>
      </c>
      <c r="CG89" s="502">
        <f t="shared" ref="CG89:CG115" si="547">BV89-SUM(CC89:CF89)</f>
        <v>0</v>
      </c>
      <c r="CH89" s="502">
        <f t="shared" ref="CH89:CH115" si="548">SUM(CC89:CG89)-BV89</f>
        <v>0</v>
      </c>
      <c r="CI89" s="531"/>
      <c r="CJ89" s="502">
        <f t="shared" ref="CJ89:CJ115" si="549">(BW89-BX89)*(BY89+IF(CA89&gt;=0.5,0.5,0))</f>
        <v>6.4055859999999996</v>
      </c>
      <c r="CK89" s="502">
        <f t="shared" ref="CK89:CK115" si="550">IF($CK$223&gt;$CJ$221,CJ89,CJ89*$CK$223/$CJ$221)</f>
        <v>6.4055859999999996</v>
      </c>
      <c r="CL89" s="502">
        <f t="shared" ref="CL89:CL115" si="551">CJ89-CK89</f>
        <v>0</v>
      </c>
      <c r="CM89" s="502">
        <f t="shared" ref="CM89:CM115" si="552">IF(CA89&gt;0,0.5*4%*BW89,0)</f>
        <v>0</v>
      </c>
      <c r="CN89" s="502">
        <f t="shared" ref="CN89:CN115" si="553">IF(OR("BOCA DE LOBO EXISTENTE TRIPLA"=BH89,"BOCA DE LOBO EXISTENTE SIMPLES"=BH89,"BOCA DE LOBO EXISTENTE DUPLA"=BH89),0,IF("BOCA DE LOBO PROJETADA DUPLA"=BH89,(2.57+1),IF(OR("BOCA DE LOBO DUPLA EXISTENTE COM BOCA DE LOBO SIMPLES PROJETADA"=BH89,"BOCA DE LOBO SIMPLES EXISTENTE COM BOCA DE LOBO SIMPLES PROJETADA"=BH89),(1.18+0.5),IF(OR(BH89="BOCA DE LOBO DUPLA EXISTENTE COM BOCA DE LOBO DUPLA PROJETADA",BH89="BOCA DE LOBO SIMPLES EXISTENTE COM BOCA DE LOBO DUPLA PROJETADA"),(2.38+0.5),IF("BOCA DE LOBO PROJETADA TRIPLA"=BH89,(3.76+0.5*2),"X")))))</f>
        <v>3.57</v>
      </c>
      <c r="CO89" s="502">
        <f t="shared" ref="CO89:CO115" si="554">IF(CA89&gt;0,BY89+0.5,BY89)</f>
        <v>2.1604000000000001</v>
      </c>
      <c r="CP89" s="502">
        <f t="shared" ref="CP89:CP115" si="555">IF(CO89&gt;=1.5,CN89*1.5*2,CN89*CO89*2)</f>
        <v>10.709999999999999</v>
      </c>
      <c r="CQ89" s="502">
        <f t="shared" ref="CQ89:CQ115" si="556">IF(CO89&lt;=1.5,0,IF(CO89&gt;=3,CN89*1.5*2,CN89*(CO89-1.5)*2))</f>
        <v>4.7152560000000001</v>
      </c>
      <c r="CR89" s="220">
        <f t="shared" ref="CR89:CR115" si="557">IF(D89="AMPLIADA",0.55*(E89-0.5),0)</f>
        <v>0</v>
      </c>
      <c r="CS89" s="503">
        <f t="shared" ref="CS89:CS115" si="558">IF(OR("BOCA DE LOBO EXISTENTE TRIPLA"=BH89,"BOCA DE LOBO EXISTENTE SIMPLES"=BH89,"BOCA DE LOBO EXISTENTE DUPLA"=BH89),0,IF("BOCA DE LOBO PROJETADA DUPLA"=BH89,(0),IF(OR("BOCA DE LOBO DUPLA EXISTENTE COM BOCA DE LOBO SIMPLES PROJETADA"=BH89,"BOCA DE LOBO SIMPLES EXISTENTE COM BOCA DE LOBO SIMPLES PROJETADA"=BH89),(0.8*0.15*0.17),IF(OR(BH89="BOCA DE LOBO DUPLA EXISTENTE COM BOCA DE LOBO DUPLA PROJETADA",BH89="BOCA DE LOBO SIMPLES EXISTENTE COM BOCA DE LOBO DUPLA PROJETADA"),(0.8*0.15*0.17),IF("BOCA DE LOBO PROJETADA TRIPLA"=BH89,(0),"X")))))*E89</f>
        <v>0</v>
      </c>
      <c r="CT89" s="503">
        <f t="shared" ref="CT89:CT115" si="559">IF(OR("BOCA DE LOBO EXISTENTE TRIPLA"=BH89,"BOCA DE LOBO EXISTENTE SIMPLES"=BH89,"BOCA DE LOBO EXISTENTE DUPLA"=BH89),0,IF("BOCA DE LOBO PROJETADA DUPLA"=BH89,(1.18*2.57*0.05),IF("BOCA DE LOBO DUPLA EXISTENTE COM BOCA DE LOBO SIMPLES PROJETADA"=BH89,(1.19*1.18*0.05),IF(OR(BH89="BOCA DE LOBO DUPLA EXISTENTE COM BOCA DE LOBO DUPLA PROJETADA",BH89="BOCA DE LOBO SIMPLES EXISTENTE COM BOCA DE LOBO DUPLA PROJETADA"),(2.38*1.18*0.056),IF("BOCA DE LOBO PROJETADA TRIPLA"=BH89,(3.76*1.18*0.05),"X")))))*E89</f>
        <v>0.327581452</v>
      </c>
      <c r="CU89" s="504">
        <f t="shared" ref="CU89:CU115" si="560">IF(OR("BOCA DE LOBO EXISTENTE TRIPLA"=BH89,"BOCA DE LOBO EXISTENTE SIMPLES"=BH89,"BOCA DE LOBO EXISTENTE DUPLA"=BH89),0,IF("BOCA DE LOBO PROJETADA DUPLA"=BH89,(1*4+0.6*2),IF("BOCA DE LOBO DUPLA EXISTENTE COM BOCA DE LOBO SIMPLES PROJETADA"=BH89,(1*2+0.6),IF(OR(BH89="BOCA DE LOBO DUPLA EXISTENTE COM BOCA DE LOBO DUPLA PROJETADA",BH89="BOCA DE LOBO SIMPLES EXISTENTE COM BOCA DE LOBO DUPLA PROJETADA"),(1*4+0.6),IF("BOCA DE LOBO PROJETADA TRIPLA"=BH89,(6*1+0.6*2),"X")))))*E89</f>
        <v>11.234080000000001</v>
      </c>
      <c r="CV89" s="504">
        <f t="shared" ref="CV89:CV115" si="561">IF(OR("BOCA DE LOBO EXISTENTE TRIPLA"=BH89,"BOCA DE LOBO EXISTENTE SIMPLES"=BH89,"BOCA DE LOBO EXISTENTE DUPLA"=BH89),0,IF("BOCA DE LOBO PROJETADA DUPLA"=BH89,(12*E89*0.17*0.15+1*0.17*0.15*5+1.09*0.6*0.07*2+2.57*1.18*0.15),IF("BOCA DE LOBO DUPLA EXISTENTE COM BOCA DE LOBO SIMPLES PROJETADA"=BH89,(8*E89*0.17*0.15+1*0.17*0.15*4+1.09*0.6*0.07*1+1.38*1.18*0.15),IF(OR(BH89="BOCA DE LOBO DUPLA EXISTENTE COM BOCA DE LOBO DUPLA PROJETADA",BH89="BOCA DE LOBO SIMPLES EXISTENTE COM BOCA DE LOBO DUPLA PROJETADA"),(7*E89*0.17*0.15+1*0.17*0.15*5+1.09*0.6*0.07*2+2.38*1.18*0.15),IF("BOCA DE LOBO PROJETADA TRIPLA"=BH89,(15*E89*0.17*0.15+1*0.17*0.15*7+1.09*0.6*0.07*3+3.76*1.18*0.15),"X")))))</f>
        <v>1.3350324</v>
      </c>
      <c r="CW89" s="502">
        <f t="shared" ref="CW89:CW115" si="562">IF(OR("BOCA DE LOBO EXISTENTE TRIPLA"=BH89,"BOCA DE LOBO EXISTENTE SIMPLES"=BH89,"BOCA DE LOBO EXISTENTE DUPLA"=BH89),0,IF("BOCA DE LOBO PROJETADA DUPLA"=BH89,(12*E89*2*(0.17+0.15)+1*(2*0.17+0.15)*5+2*(2.57+1.18)*0.15+(1.09+0.6)*2*0.07*2),IF("BOCA DE LOBO DUPLA EXISTENTE COM BOCA DE LOBO SIMPLES PROJETADA"=BH89,(8*E89*2*(0.17+0.15)+1*(2*0.17+0.15)*4+2*(1.38+1.18)*0.15+(1.09+0.6)*2*0.07*1),IF(OR(BH89="BOCA DE LOBO DUPLA EXISTENTE COM BOCA DE LOBO DUPLA PROJETADA",BH89="BOCA DE LOBO SIMPLES EXISTENTE COM BOCA DE LOBO DUPLA PROJETADA"),(7*E89*2*(0.17+0.15)+1*(2*0.17+0.15)*5+2*(2.38+1.18)*0.15+(1.09+0.6)*2*0.07*2),IF("BOCA DE LOBO PROJETADA TRIPLA"=BH89,(15*E89*2*(0.17+0.15)+1*(2*0.17+0.15)*7+2*(3.76+1.18)*0.15+(1.09+0.6)*2*0.07*3),"X")))))</f>
        <v>20.640072</v>
      </c>
      <c r="CX89" s="531">
        <f t="shared" ref="CX89:CX115" si="563">IF(OR("BOCA DE LOBO EXISTENTE TRIPLA"=BH89,"BOCA DE LOBO EXISTENTE SIMPLES"=BH89,"BOCA DE LOBO EXISTENTE DUPLA"=BH89),0,IF("BOCA DE LOBO PROJETADA DUPLA"=BH89,(2.57+1),IF(OR("BOCA DE LOBO DUPLA EXISTENTE COM BOCA DE LOBO SIMPLES PROJETADA"=BH89,"BOCA DE LOBO SIMPLES EXISTENTE COM BOCA DE LOBO SIMPLES PROJETADA"=BH89),(1.18+0.5),IF(OR(BH89="BOCA DE LOBO DUPLA EXISTENTE COM BOCA DE LOBO DUPLA PROJETADA",BH89="BOCA DE LOBO SIMPLES EXISTENTE COM BOCA DE LOBO DUPLA PROJETADA"),(2.38+0.5),IF("BOCA DE LOBO PROJETADA TRIPLA"=BH89,(3.76+1),"X")))))</f>
        <v>3.57</v>
      </c>
      <c r="CY89" s="537">
        <f t="shared" ref="CY89:CY115" si="564">CX89*0.5</f>
        <v>1.7849999999999999</v>
      </c>
      <c r="CZ89" s="502">
        <f t="shared" ref="CZ89:CZ115" si="565">IF(AND(C89="EXISTENTE",D89="PROJETADA"),PI()*0.51*0.51/4*0.12,0)</f>
        <v>0</v>
      </c>
    </row>
    <row r="90" spans="1:104" ht="25" x14ac:dyDescent="0.25">
      <c r="A90" s="413" t="str">
        <f>'BOCA DE LOBO'!C84</f>
        <v>BL2-&gt;PV2.4</v>
      </c>
      <c r="B90" s="413" t="str">
        <f>'BOCA DE LOBO'!A84</f>
        <v>PV2.4</v>
      </c>
      <c r="C90" s="413" t="str">
        <f>VLOOKUP(A90,'BOCA DE LOBO'!$C$82:$Q$270,3,0)</f>
        <v>PROJETADO</v>
      </c>
      <c r="D90" s="413" t="str">
        <f>VLOOKUP(A90,'BOCA DE LOBO'!$C$82:$Q$270,10,0)</f>
        <v>PROJETADA</v>
      </c>
      <c r="E90" s="413">
        <f t="shared" si="481"/>
        <v>2.1955999999999998</v>
      </c>
      <c r="F90" s="413">
        <f>VLOOKUP(A90,'BOCA DE LOBO'!$C$82:$Q$270,2,0)</f>
        <v>2.5</v>
      </c>
      <c r="G90" s="413">
        <f>VLOOKUP(A90,'BOCA DE LOBO'!$C$82:$Q$270,4,0)</f>
        <v>7.61</v>
      </c>
      <c r="H90" s="412">
        <v>400</v>
      </c>
      <c r="I90" s="493">
        <f t="shared" si="482"/>
        <v>2.4777999999999998</v>
      </c>
      <c r="J90" s="493">
        <f t="shared" si="483"/>
        <v>0.9428029</v>
      </c>
      <c r="K90" s="530">
        <v>0</v>
      </c>
      <c r="L90" s="531">
        <f t="shared" si="484"/>
        <v>1</v>
      </c>
      <c r="M90" s="531">
        <f t="shared" si="485"/>
        <v>1</v>
      </c>
      <c r="N90" s="531">
        <f t="shared" si="486"/>
        <v>0</v>
      </c>
      <c r="O90" s="531">
        <f t="shared" si="487"/>
        <v>7.61</v>
      </c>
      <c r="P90" s="532" t="str">
        <f>VLOOKUP(B90,'Planilha Hidráulica'!$AG:$AR,12,0)</f>
        <v>ASFALTO</v>
      </c>
      <c r="Q90" s="533" t="s">
        <v>2737</v>
      </c>
      <c r="R90" s="534">
        <v>1</v>
      </c>
      <c r="S90" s="532">
        <f>VLOOKUP(Q90,Quantitativos!P:R,3,0)</f>
        <v>8.7100000000000009</v>
      </c>
      <c r="T90" s="532">
        <f>VLOOKUP(Q90,Quantitativos!P:S,4,0)</f>
        <v>1.9</v>
      </c>
      <c r="U90" s="531">
        <f t="shared" si="488"/>
        <v>0.05</v>
      </c>
      <c r="V90" s="535">
        <f t="shared" si="489"/>
        <v>0</v>
      </c>
      <c r="W90" s="535">
        <f t="shared" si="490"/>
        <v>21.900058000000001</v>
      </c>
      <c r="X90" s="536">
        <f t="shared" si="491"/>
        <v>0</v>
      </c>
      <c r="Y90" s="536">
        <f t="shared" si="492"/>
        <v>2.8777999999999997</v>
      </c>
      <c r="Z90" s="536">
        <f t="shared" si="493"/>
        <v>0</v>
      </c>
      <c r="AA90" s="536">
        <f t="shared" si="494"/>
        <v>2.4777999999999998</v>
      </c>
      <c r="AB90" s="496">
        <f t="shared" si="495"/>
        <v>7.61</v>
      </c>
      <c r="AC90" s="251">
        <f t="shared" si="496"/>
        <v>11.415000000000001</v>
      </c>
      <c r="AD90" s="251">
        <f t="shared" si="497"/>
        <v>10.485057999999999</v>
      </c>
      <c r="AE90" s="251">
        <f t="shared" si="498"/>
        <v>0</v>
      </c>
      <c r="AF90" s="251">
        <f t="shared" si="499"/>
        <v>0</v>
      </c>
      <c r="AG90" s="251">
        <f t="shared" si="500"/>
        <v>0</v>
      </c>
      <c r="AH90" s="251">
        <f t="shared" si="501"/>
        <v>0</v>
      </c>
      <c r="AI90" s="497" t="str">
        <f t="shared" si="502"/>
        <v>NÃO</v>
      </c>
      <c r="AJ90" s="531">
        <f t="shared" si="503"/>
        <v>0</v>
      </c>
      <c r="AK90" s="531">
        <f t="shared" si="504"/>
        <v>5.8627439999999996E-2</v>
      </c>
      <c r="AL90" s="531">
        <f t="shared" si="505"/>
        <v>20.943757196247269</v>
      </c>
      <c r="AM90" s="493">
        <f t="shared" si="506"/>
        <v>0.38050000000000006</v>
      </c>
      <c r="AN90" s="535">
        <f t="shared" si="507"/>
        <v>0</v>
      </c>
      <c r="AO90" s="531">
        <f t="shared" si="508"/>
        <v>3.0440000000000005</v>
      </c>
      <c r="AP90" s="531">
        <f t="shared" si="509"/>
        <v>3.0440000000000005</v>
      </c>
      <c r="AQ90" s="531">
        <f t="shared" si="510"/>
        <v>0.7</v>
      </c>
      <c r="AR90" s="531">
        <f t="shared" si="511"/>
        <v>4.3706991962472665</v>
      </c>
      <c r="AS90" s="531">
        <f t="shared" si="512"/>
        <v>4.3706991962472665</v>
      </c>
      <c r="AT90" s="531">
        <f t="shared" si="513"/>
        <v>1.1415</v>
      </c>
      <c r="AU90" s="531">
        <f t="shared" si="514"/>
        <v>1.1415</v>
      </c>
      <c r="AV90" s="531">
        <f t="shared" si="515"/>
        <v>0.2283</v>
      </c>
      <c r="AW90" s="531">
        <f t="shared" si="516"/>
        <v>10.865558</v>
      </c>
      <c r="AX90" s="531">
        <f t="shared" si="517"/>
        <v>-8.5561991962472668</v>
      </c>
      <c r="AY90" s="531">
        <f t="shared" si="518"/>
        <v>-8.5561991962472668</v>
      </c>
      <c r="AZ90" s="531">
        <f t="shared" si="519"/>
        <v>19.421757196247267</v>
      </c>
      <c r="BA90" s="531">
        <f t="shared" si="520"/>
        <v>3.9218452915319197</v>
      </c>
      <c r="BB90" s="531">
        <f t="shared" si="521"/>
        <v>15.499911904715347</v>
      </c>
      <c r="BC90" s="531"/>
      <c r="BD90" s="531">
        <f t="shared" si="522"/>
        <v>0.16742000000000001</v>
      </c>
      <c r="BE90" s="496">
        <f t="shared" si="523"/>
        <v>2.4777999999999998</v>
      </c>
      <c r="BF90" s="498">
        <f t="shared" si="524"/>
        <v>0</v>
      </c>
      <c r="BG90" s="498">
        <f t="shared" si="525"/>
        <v>7.61</v>
      </c>
      <c r="BH90" s="532" t="str">
        <f>VLOOKUP(A90,'BOCA DE LOBO'!C:I,7,0)</f>
        <v>BOCA DE LOBO PROJETADA DUPLA</v>
      </c>
      <c r="BI90" s="531">
        <f t="shared" si="526"/>
        <v>0</v>
      </c>
      <c r="BJ90" s="531">
        <f t="shared" si="527"/>
        <v>0</v>
      </c>
      <c r="BK90" s="531">
        <f t="shared" si="528"/>
        <v>0</v>
      </c>
      <c r="BL90" s="531">
        <f t="shared" si="529"/>
        <v>0</v>
      </c>
      <c r="BM90" s="531">
        <f t="shared" si="530"/>
        <v>0</v>
      </c>
      <c r="BN90" s="531">
        <f t="shared" si="531"/>
        <v>1</v>
      </c>
      <c r="BO90" s="499">
        <f t="shared" si="532"/>
        <v>0</v>
      </c>
      <c r="BP90" s="500"/>
      <c r="BQ90" s="496">
        <f t="shared" si="533"/>
        <v>22.830000000000002</v>
      </c>
      <c r="BR90" s="496">
        <f t="shared" si="534"/>
        <v>22.492115999999999</v>
      </c>
      <c r="BS90" s="496">
        <f t="shared" si="535"/>
        <v>0</v>
      </c>
      <c r="BT90" s="501"/>
      <c r="BU90" s="501"/>
      <c r="BV90" s="502">
        <f t="shared" si="536"/>
        <v>16.167130559999997</v>
      </c>
      <c r="BW90" s="502">
        <f t="shared" si="537"/>
        <v>5.9975999999999994</v>
      </c>
      <c r="BX90" s="502">
        <f t="shared" si="538"/>
        <v>3.0325999999999995</v>
      </c>
      <c r="BY90" s="502">
        <f t="shared" si="539"/>
        <v>2.1955999999999998</v>
      </c>
      <c r="BZ90" s="502">
        <f t="shared" si="540"/>
        <v>0</v>
      </c>
      <c r="CA90" s="502">
        <f t="shared" si="541"/>
        <v>2.6955999999999998</v>
      </c>
      <c r="CB90" s="502">
        <f t="shared" si="542"/>
        <v>0</v>
      </c>
      <c r="CC90" s="502">
        <f t="shared" si="543"/>
        <v>0</v>
      </c>
      <c r="CD90" s="502">
        <f t="shared" si="544"/>
        <v>0</v>
      </c>
      <c r="CE90" s="502">
        <f t="shared" si="545"/>
        <v>8.9963999999999995</v>
      </c>
      <c r="CF90" s="502">
        <f t="shared" si="546"/>
        <v>7.1707305599999982</v>
      </c>
      <c r="CG90" s="502">
        <f t="shared" si="547"/>
        <v>0</v>
      </c>
      <c r="CH90" s="502">
        <f t="shared" si="548"/>
        <v>0</v>
      </c>
      <c r="CI90" s="531"/>
      <c r="CJ90" s="502">
        <f t="shared" si="549"/>
        <v>7.9924539999999986</v>
      </c>
      <c r="CK90" s="502">
        <f t="shared" si="550"/>
        <v>7.9924539999999986</v>
      </c>
      <c r="CL90" s="502">
        <f t="shared" si="551"/>
        <v>0</v>
      </c>
      <c r="CM90" s="502">
        <f t="shared" si="552"/>
        <v>0.11995199999999999</v>
      </c>
      <c r="CN90" s="502">
        <f t="shared" si="553"/>
        <v>3.57</v>
      </c>
      <c r="CO90" s="502">
        <f t="shared" si="554"/>
        <v>2.6955999999999998</v>
      </c>
      <c r="CP90" s="502">
        <f t="shared" si="555"/>
        <v>10.709999999999999</v>
      </c>
      <c r="CQ90" s="502">
        <f t="shared" si="556"/>
        <v>8.5365839999999977</v>
      </c>
      <c r="CR90" s="220">
        <f t="shared" si="557"/>
        <v>0</v>
      </c>
      <c r="CS90" s="503">
        <f t="shared" si="558"/>
        <v>0</v>
      </c>
      <c r="CT90" s="503">
        <f t="shared" si="559"/>
        <v>0.33291882799999994</v>
      </c>
      <c r="CU90" s="504">
        <f t="shared" si="560"/>
        <v>11.417119999999999</v>
      </c>
      <c r="CV90" s="504">
        <f t="shared" si="561"/>
        <v>1.3458035999999998</v>
      </c>
      <c r="CW90" s="502">
        <f t="shared" si="562"/>
        <v>20.910407999999997</v>
      </c>
      <c r="CX90" s="531">
        <f t="shared" si="563"/>
        <v>3.57</v>
      </c>
      <c r="CY90" s="537">
        <f t="shared" si="564"/>
        <v>1.7849999999999999</v>
      </c>
      <c r="CZ90" s="502">
        <f t="shared" si="565"/>
        <v>0</v>
      </c>
    </row>
    <row r="91" spans="1:104" ht="25" x14ac:dyDescent="0.25">
      <c r="A91" s="413" t="str">
        <f>'BOCA DE LOBO'!C85</f>
        <v>BL3-&gt;PV3.4</v>
      </c>
      <c r="B91" s="413" t="str">
        <f>'BOCA DE LOBO'!A85</f>
        <v>PV3.4</v>
      </c>
      <c r="C91" s="413" t="str">
        <f>VLOOKUP(A91,'BOCA DE LOBO'!$C$82:$Q$270,3,0)</f>
        <v>PROJETADO</v>
      </c>
      <c r="D91" s="413" t="str">
        <f>VLOOKUP(A91,'BOCA DE LOBO'!$C$82:$Q$270,10,0)</f>
        <v>PROJETADA</v>
      </c>
      <c r="E91" s="413">
        <f t="shared" si="481"/>
        <v>2.4316000000000004</v>
      </c>
      <c r="F91" s="413">
        <f>VLOOKUP(A91,'BOCA DE LOBO'!$C$82:$Q$270,2,0)</f>
        <v>2.72</v>
      </c>
      <c r="G91" s="413">
        <f>VLOOKUP(A91,'BOCA DE LOBO'!$C$82:$Q$270,4,0)</f>
        <v>7.21</v>
      </c>
      <c r="H91" s="412">
        <v>400</v>
      </c>
      <c r="I91" s="493">
        <f t="shared" si="482"/>
        <v>2.7058</v>
      </c>
      <c r="J91" s="493">
        <f t="shared" si="483"/>
        <v>0.97544090000000006</v>
      </c>
      <c r="K91" s="530">
        <v>0</v>
      </c>
      <c r="L91" s="531">
        <f t="shared" si="484"/>
        <v>1</v>
      </c>
      <c r="M91" s="531">
        <f t="shared" si="485"/>
        <v>1</v>
      </c>
      <c r="N91" s="531">
        <f t="shared" si="486"/>
        <v>0</v>
      </c>
      <c r="O91" s="531">
        <f t="shared" si="487"/>
        <v>7.21</v>
      </c>
      <c r="P91" s="532" t="str">
        <f>VLOOKUP(B91,'Planilha Hidráulica'!$AG:$AR,12,0)</f>
        <v>ASFALTO</v>
      </c>
      <c r="Q91" s="533" t="s">
        <v>2737</v>
      </c>
      <c r="R91" s="534">
        <v>1</v>
      </c>
      <c r="S91" s="532">
        <f>VLOOKUP(Q91,Quantitativos!P:R,3,0)</f>
        <v>8.7100000000000009</v>
      </c>
      <c r="T91" s="532">
        <f>VLOOKUP(Q91,Quantitativos!P:S,4,0)</f>
        <v>1.9</v>
      </c>
      <c r="U91" s="531">
        <f t="shared" si="488"/>
        <v>0.05</v>
      </c>
      <c r="V91" s="535">
        <f t="shared" si="489"/>
        <v>0</v>
      </c>
      <c r="W91" s="535">
        <f t="shared" si="490"/>
        <v>22.392818000000002</v>
      </c>
      <c r="X91" s="536">
        <f t="shared" si="491"/>
        <v>0</v>
      </c>
      <c r="Y91" s="536">
        <f t="shared" si="492"/>
        <v>3.1057999999999999</v>
      </c>
      <c r="Z91" s="536">
        <f t="shared" si="493"/>
        <v>0</v>
      </c>
      <c r="AA91" s="536">
        <f t="shared" si="494"/>
        <v>2.7058</v>
      </c>
      <c r="AB91" s="496">
        <f t="shared" si="495"/>
        <v>7.21</v>
      </c>
      <c r="AC91" s="251">
        <f t="shared" si="496"/>
        <v>10.815</v>
      </c>
      <c r="AD91" s="251">
        <f t="shared" si="497"/>
        <v>10.815</v>
      </c>
      <c r="AE91" s="251">
        <f t="shared" si="498"/>
        <v>0.76281799999999922</v>
      </c>
      <c r="AF91" s="251">
        <f t="shared" si="499"/>
        <v>0</v>
      </c>
      <c r="AG91" s="251">
        <f t="shared" si="500"/>
        <v>0</v>
      </c>
      <c r="AH91" s="251">
        <f t="shared" si="501"/>
        <v>0</v>
      </c>
      <c r="AI91" s="497" t="str">
        <f t="shared" si="502"/>
        <v>NÃO</v>
      </c>
      <c r="AJ91" s="531">
        <f t="shared" si="503"/>
        <v>0</v>
      </c>
      <c r="AK91" s="531">
        <f t="shared" si="504"/>
        <v>7.7464240000000018E-2</v>
      </c>
      <c r="AL91" s="531">
        <f t="shared" si="505"/>
        <v>21.486782678704706</v>
      </c>
      <c r="AM91" s="493">
        <f t="shared" si="506"/>
        <v>0.36050000000000004</v>
      </c>
      <c r="AN91" s="535">
        <f t="shared" si="507"/>
        <v>0</v>
      </c>
      <c r="AO91" s="531">
        <f t="shared" si="508"/>
        <v>2.8840000000000003</v>
      </c>
      <c r="AP91" s="531">
        <f t="shared" si="509"/>
        <v>2.8840000000000003</v>
      </c>
      <c r="AQ91" s="531">
        <f t="shared" si="510"/>
        <v>0.7</v>
      </c>
      <c r="AR91" s="531">
        <f t="shared" si="511"/>
        <v>4.1409646787047034</v>
      </c>
      <c r="AS91" s="531">
        <f t="shared" si="512"/>
        <v>4.1409646787047034</v>
      </c>
      <c r="AT91" s="531">
        <f t="shared" si="513"/>
        <v>1.0814999999999999</v>
      </c>
      <c r="AU91" s="531">
        <f t="shared" si="514"/>
        <v>1.0814999999999999</v>
      </c>
      <c r="AV91" s="531">
        <f t="shared" si="515"/>
        <v>0.21629999999999999</v>
      </c>
      <c r="AW91" s="531">
        <f t="shared" si="516"/>
        <v>11.938318000000004</v>
      </c>
      <c r="AX91" s="531">
        <f t="shared" si="517"/>
        <v>-8.1064646787047039</v>
      </c>
      <c r="AY91" s="531">
        <f t="shared" si="518"/>
        <v>-8.1064646787047039</v>
      </c>
      <c r="AZ91" s="531">
        <f t="shared" si="519"/>
        <v>20.044782678704706</v>
      </c>
      <c r="BA91" s="531">
        <f t="shared" si="520"/>
        <v>4.0476531435295868</v>
      </c>
      <c r="BB91" s="531">
        <f t="shared" si="521"/>
        <v>15.997129535175119</v>
      </c>
      <c r="BC91" s="531"/>
      <c r="BD91" s="531">
        <f t="shared" si="522"/>
        <v>0.15862000000000001</v>
      </c>
      <c r="BE91" s="496">
        <f t="shared" si="523"/>
        <v>2.7058</v>
      </c>
      <c r="BF91" s="498">
        <f t="shared" si="524"/>
        <v>0</v>
      </c>
      <c r="BG91" s="498">
        <f t="shared" si="525"/>
        <v>7.21</v>
      </c>
      <c r="BH91" s="532" t="str">
        <f>VLOOKUP(A91,'BOCA DE LOBO'!C:I,7,0)</f>
        <v>BOCA DE LOBO PROJETADA DUPLA</v>
      </c>
      <c r="BI91" s="531">
        <f t="shared" si="526"/>
        <v>0</v>
      </c>
      <c r="BJ91" s="531">
        <f t="shared" si="527"/>
        <v>0</v>
      </c>
      <c r="BK91" s="531">
        <f t="shared" si="528"/>
        <v>0</v>
      </c>
      <c r="BL91" s="531">
        <f t="shared" si="529"/>
        <v>0</v>
      </c>
      <c r="BM91" s="531">
        <f t="shared" si="530"/>
        <v>0</v>
      </c>
      <c r="BN91" s="531">
        <f t="shared" si="531"/>
        <v>1</v>
      </c>
      <c r="BO91" s="499">
        <f t="shared" si="532"/>
        <v>0</v>
      </c>
      <c r="BP91" s="500"/>
      <c r="BQ91" s="496">
        <f t="shared" si="533"/>
        <v>21.63</v>
      </c>
      <c r="BR91" s="496">
        <f t="shared" si="534"/>
        <v>21.63</v>
      </c>
      <c r="BS91" s="496">
        <f t="shared" si="535"/>
        <v>2.9676359999999997</v>
      </c>
      <c r="BT91" s="501"/>
      <c r="BU91" s="501"/>
      <c r="BV91" s="502">
        <f t="shared" si="536"/>
        <v>17.58256416</v>
      </c>
      <c r="BW91" s="502">
        <f t="shared" si="537"/>
        <v>5.9975999999999994</v>
      </c>
      <c r="BX91" s="502">
        <f t="shared" si="538"/>
        <v>3.0325999999999995</v>
      </c>
      <c r="BY91" s="502">
        <f t="shared" si="539"/>
        <v>2.4316000000000004</v>
      </c>
      <c r="BZ91" s="502">
        <f t="shared" si="540"/>
        <v>0</v>
      </c>
      <c r="CA91" s="502">
        <f t="shared" si="541"/>
        <v>2.9316000000000004</v>
      </c>
      <c r="CB91" s="502">
        <f t="shared" si="542"/>
        <v>0</v>
      </c>
      <c r="CC91" s="502">
        <f t="shared" si="543"/>
        <v>0</v>
      </c>
      <c r="CD91" s="502">
        <f t="shared" si="544"/>
        <v>0</v>
      </c>
      <c r="CE91" s="502">
        <f t="shared" si="545"/>
        <v>8.9963999999999995</v>
      </c>
      <c r="CF91" s="502">
        <f t="shared" si="546"/>
        <v>8.5861641600000009</v>
      </c>
      <c r="CG91" s="502">
        <f t="shared" si="547"/>
        <v>0</v>
      </c>
      <c r="CH91" s="502">
        <f t="shared" si="548"/>
        <v>0</v>
      </c>
      <c r="CI91" s="531"/>
      <c r="CJ91" s="502">
        <f t="shared" si="549"/>
        <v>8.6921940000000006</v>
      </c>
      <c r="CK91" s="502">
        <f t="shared" si="550"/>
        <v>8.6921940000000006</v>
      </c>
      <c r="CL91" s="502">
        <f t="shared" si="551"/>
        <v>0</v>
      </c>
      <c r="CM91" s="502">
        <f t="shared" si="552"/>
        <v>0.11995199999999999</v>
      </c>
      <c r="CN91" s="502">
        <f t="shared" si="553"/>
        <v>3.57</v>
      </c>
      <c r="CO91" s="502">
        <f t="shared" si="554"/>
        <v>2.9316000000000004</v>
      </c>
      <c r="CP91" s="502">
        <f t="shared" si="555"/>
        <v>10.709999999999999</v>
      </c>
      <c r="CQ91" s="502">
        <f t="shared" si="556"/>
        <v>10.221624000000002</v>
      </c>
      <c r="CR91" s="220">
        <f t="shared" si="557"/>
        <v>0</v>
      </c>
      <c r="CS91" s="503">
        <f t="shared" si="558"/>
        <v>0</v>
      </c>
      <c r="CT91" s="503">
        <f t="shared" si="559"/>
        <v>0.36870350800000001</v>
      </c>
      <c r="CU91" s="504">
        <f t="shared" si="560"/>
        <v>12.644320000000002</v>
      </c>
      <c r="CV91" s="504">
        <f t="shared" si="561"/>
        <v>1.4180196</v>
      </c>
      <c r="CW91" s="502">
        <f t="shared" si="562"/>
        <v>22.722888000000001</v>
      </c>
      <c r="CX91" s="531">
        <f t="shared" si="563"/>
        <v>3.57</v>
      </c>
      <c r="CY91" s="537">
        <f t="shared" si="564"/>
        <v>1.7849999999999999</v>
      </c>
      <c r="CZ91" s="502">
        <f t="shared" si="565"/>
        <v>0</v>
      </c>
    </row>
    <row r="92" spans="1:104" ht="25" x14ac:dyDescent="0.25">
      <c r="A92" s="413" t="str">
        <f>'BOCA DE LOBO'!C86</f>
        <v>BL4-&gt;PV23-87</v>
      </c>
      <c r="B92" s="413" t="str">
        <f>'BOCA DE LOBO'!A86</f>
        <v>PV23-87</v>
      </c>
      <c r="C92" s="413" t="str">
        <f>VLOOKUP(A92,'BOCA DE LOBO'!$C$82:$Q$270,3,0)</f>
        <v>PROJETADO</v>
      </c>
      <c r="D92" s="413" t="str">
        <f>VLOOKUP(A92,'BOCA DE LOBO'!$C$82:$Q$270,10,0)</f>
        <v>PROJETADA</v>
      </c>
      <c r="E92" s="413">
        <f t="shared" si="481"/>
        <v>2.4828000000000001</v>
      </c>
      <c r="F92" s="413">
        <f>VLOOKUP(A92,'BOCA DE LOBO'!$C$82:$Q$270,2,0)</f>
        <v>2.9</v>
      </c>
      <c r="G92" s="413">
        <f>VLOOKUP(A92,'BOCA DE LOBO'!$C$82:$Q$270,4,0)</f>
        <v>10.43</v>
      </c>
      <c r="H92" s="412">
        <v>400</v>
      </c>
      <c r="I92" s="493">
        <f t="shared" si="482"/>
        <v>2.8213999999999997</v>
      </c>
      <c r="J92" s="493">
        <f t="shared" si="483"/>
        <v>1.4713600999999998</v>
      </c>
      <c r="K92" s="530">
        <v>0</v>
      </c>
      <c r="L92" s="531">
        <f t="shared" si="484"/>
        <v>1</v>
      </c>
      <c r="M92" s="531">
        <f t="shared" si="485"/>
        <v>1</v>
      </c>
      <c r="N92" s="531">
        <f t="shared" si="486"/>
        <v>0</v>
      </c>
      <c r="O92" s="531">
        <f t="shared" si="487"/>
        <v>10.43</v>
      </c>
      <c r="P92" s="532" t="s">
        <v>2392</v>
      </c>
      <c r="Q92" s="533" t="s">
        <v>2737</v>
      </c>
      <c r="R92" s="534">
        <v>1</v>
      </c>
      <c r="S92" s="532">
        <f>VLOOKUP(Q92,Quantitativos!P:R,3,0)</f>
        <v>8.7100000000000009</v>
      </c>
      <c r="T92" s="532">
        <f>VLOOKUP(Q92,Quantitativos!P:S,4,0)</f>
        <v>1.9</v>
      </c>
      <c r="U92" s="531">
        <f t="shared" si="488"/>
        <v>0.05</v>
      </c>
      <c r="V92" s="535">
        <f t="shared" si="489"/>
        <v>0</v>
      </c>
      <c r="W92" s="535">
        <f t="shared" si="490"/>
        <v>33.599201999999998</v>
      </c>
      <c r="X92" s="536">
        <f t="shared" si="491"/>
        <v>0</v>
      </c>
      <c r="Y92" s="536">
        <f t="shared" si="492"/>
        <v>3.2213999999999996</v>
      </c>
      <c r="Z92" s="536">
        <f t="shared" si="493"/>
        <v>0</v>
      </c>
      <c r="AA92" s="536">
        <f t="shared" si="494"/>
        <v>2.8213999999999997</v>
      </c>
      <c r="AB92" s="496">
        <f t="shared" si="495"/>
        <v>10.43</v>
      </c>
      <c r="AC92" s="251">
        <f t="shared" si="496"/>
        <v>15.645</v>
      </c>
      <c r="AD92" s="251">
        <f t="shared" si="497"/>
        <v>15.645</v>
      </c>
      <c r="AE92" s="251">
        <f t="shared" si="498"/>
        <v>2.3092019999999955</v>
      </c>
      <c r="AF92" s="251">
        <f t="shared" si="499"/>
        <v>0</v>
      </c>
      <c r="AG92" s="251">
        <f t="shared" si="500"/>
        <v>0</v>
      </c>
      <c r="AH92" s="251">
        <f t="shared" si="501"/>
        <v>0</v>
      </c>
      <c r="AI92" s="497" t="str">
        <f t="shared" si="502"/>
        <v>NÃO</v>
      </c>
      <c r="AJ92" s="531">
        <f t="shared" si="503"/>
        <v>0</v>
      </c>
      <c r="AK92" s="531">
        <f t="shared" si="504"/>
        <v>0.12813602666666662</v>
      </c>
      <c r="AL92" s="531">
        <f t="shared" si="505"/>
        <v>32.288529544922334</v>
      </c>
      <c r="AM92" s="493">
        <f t="shared" si="506"/>
        <v>0.52149999999999996</v>
      </c>
      <c r="AN92" s="535">
        <f t="shared" si="507"/>
        <v>0</v>
      </c>
      <c r="AO92" s="531">
        <f t="shared" si="508"/>
        <v>4.1719999999999997</v>
      </c>
      <c r="AP92" s="531">
        <f t="shared" si="509"/>
        <v>4.1719999999999997</v>
      </c>
      <c r="AQ92" s="531">
        <f t="shared" si="510"/>
        <v>0.7</v>
      </c>
      <c r="AR92" s="531">
        <f t="shared" si="511"/>
        <v>5.9903275449223372</v>
      </c>
      <c r="AS92" s="531">
        <f t="shared" si="512"/>
        <v>5.9903275449223372</v>
      </c>
      <c r="AT92" s="531">
        <f t="shared" si="513"/>
        <v>1.5645</v>
      </c>
      <c r="AU92" s="531">
        <f t="shared" si="514"/>
        <v>1.5645</v>
      </c>
      <c r="AV92" s="531">
        <f t="shared" si="515"/>
        <v>0.31289999999999996</v>
      </c>
      <c r="AW92" s="531">
        <f t="shared" si="516"/>
        <v>18.475701999999998</v>
      </c>
      <c r="AX92" s="531">
        <f t="shared" si="517"/>
        <v>-11.726827544922337</v>
      </c>
      <c r="AY92" s="531">
        <f t="shared" si="518"/>
        <v>-11.726827544922337</v>
      </c>
      <c r="AZ92" s="531">
        <f t="shared" si="519"/>
        <v>30.202529544922335</v>
      </c>
      <c r="BA92" s="531">
        <f t="shared" si="520"/>
        <v>6.0988121255575454</v>
      </c>
      <c r="BB92" s="531">
        <f t="shared" si="521"/>
        <v>24.103717419364791</v>
      </c>
      <c r="BC92" s="531"/>
      <c r="BD92" s="531">
        <f t="shared" si="522"/>
        <v>0.22946</v>
      </c>
      <c r="BE92" s="496">
        <f t="shared" si="523"/>
        <v>2.8213999999999997</v>
      </c>
      <c r="BF92" s="498">
        <f t="shared" si="524"/>
        <v>0</v>
      </c>
      <c r="BG92" s="498">
        <f t="shared" si="525"/>
        <v>10.43</v>
      </c>
      <c r="BH92" s="532" t="str">
        <f>VLOOKUP(A92,'BOCA DE LOBO'!C:I,7,0)</f>
        <v>BOCA DE LOBO PROJETADA DUPLA</v>
      </c>
      <c r="BI92" s="531">
        <f t="shared" si="526"/>
        <v>0</v>
      </c>
      <c r="BJ92" s="531">
        <f t="shared" si="527"/>
        <v>0</v>
      </c>
      <c r="BK92" s="531">
        <f t="shared" si="528"/>
        <v>0</v>
      </c>
      <c r="BL92" s="531">
        <f t="shared" si="529"/>
        <v>0</v>
      </c>
      <c r="BM92" s="531">
        <f t="shared" si="530"/>
        <v>0</v>
      </c>
      <c r="BN92" s="531">
        <f t="shared" si="531"/>
        <v>1</v>
      </c>
      <c r="BO92" s="499">
        <f t="shared" si="532"/>
        <v>0</v>
      </c>
      <c r="BP92" s="500"/>
      <c r="BQ92" s="496">
        <f t="shared" si="533"/>
        <v>31.29</v>
      </c>
      <c r="BR92" s="496">
        <f t="shared" si="534"/>
        <v>31.29</v>
      </c>
      <c r="BS92" s="496">
        <f t="shared" si="535"/>
        <v>6.7044039999999931</v>
      </c>
      <c r="BT92" s="501"/>
      <c r="BU92" s="501"/>
      <c r="BV92" s="502">
        <f t="shared" si="536"/>
        <v>17.889641279999999</v>
      </c>
      <c r="BW92" s="502">
        <f t="shared" si="537"/>
        <v>5.9975999999999994</v>
      </c>
      <c r="BX92" s="502">
        <f t="shared" si="538"/>
        <v>3.0325999999999995</v>
      </c>
      <c r="BY92" s="502">
        <f t="shared" si="539"/>
        <v>2.4828000000000001</v>
      </c>
      <c r="BZ92" s="502">
        <f t="shared" si="540"/>
        <v>0</v>
      </c>
      <c r="CA92" s="502">
        <f t="shared" si="541"/>
        <v>2.9828000000000001</v>
      </c>
      <c r="CB92" s="502">
        <f t="shared" si="542"/>
        <v>0</v>
      </c>
      <c r="CC92" s="502">
        <f t="shared" si="543"/>
        <v>0</v>
      </c>
      <c r="CD92" s="502">
        <f t="shared" si="544"/>
        <v>0</v>
      </c>
      <c r="CE92" s="502">
        <f t="shared" si="545"/>
        <v>8.9963999999999995</v>
      </c>
      <c r="CF92" s="502">
        <f t="shared" si="546"/>
        <v>8.8932412799999998</v>
      </c>
      <c r="CG92" s="502">
        <f t="shared" si="547"/>
        <v>0</v>
      </c>
      <c r="CH92" s="502">
        <f t="shared" si="548"/>
        <v>0</v>
      </c>
      <c r="CI92" s="531"/>
      <c r="CJ92" s="502">
        <f t="shared" si="549"/>
        <v>8.8440019999999997</v>
      </c>
      <c r="CK92" s="502">
        <f t="shared" si="550"/>
        <v>8.8440019999999997</v>
      </c>
      <c r="CL92" s="502">
        <f t="shared" si="551"/>
        <v>0</v>
      </c>
      <c r="CM92" s="502">
        <f t="shared" si="552"/>
        <v>0.11995199999999999</v>
      </c>
      <c r="CN92" s="502">
        <f t="shared" si="553"/>
        <v>3.57</v>
      </c>
      <c r="CO92" s="502">
        <f t="shared" si="554"/>
        <v>2.9828000000000001</v>
      </c>
      <c r="CP92" s="502">
        <f t="shared" si="555"/>
        <v>10.709999999999999</v>
      </c>
      <c r="CQ92" s="502">
        <f t="shared" si="556"/>
        <v>10.587192</v>
      </c>
      <c r="CR92" s="220">
        <f t="shared" si="557"/>
        <v>0</v>
      </c>
      <c r="CS92" s="503">
        <f t="shared" si="558"/>
        <v>0</v>
      </c>
      <c r="CT92" s="503">
        <f t="shared" si="559"/>
        <v>0.37646696399999996</v>
      </c>
      <c r="CU92" s="504">
        <f t="shared" si="560"/>
        <v>12.91056</v>
      </c>
      <c r="CV92" s="504">
        <f t="shared" si="561"/>
        <v>1.4336868</v>
      </c>
      <c r="CW92" s="502">
        <f t="shared" si="562"/>
        <v>23.116104</v>
      </c>
      <c r="CX92" s="531">
        <f t="shared" si="563"/>
        <v>3.57</v>
      </c>
      <c r="CY92" s="537">
        <f t="shared" si="564"/>
        <v>1.7849999999999999</v>
      </c>
      <c r="CZ92" s="502">
        <f t="shared" si="565"/>
        <v>0</v>
      </c>
    </row>
    <row r="93" spans="1:104" ht="25" x14ac:dyDescent="0.25">
      <c r="A93" s="413" t="str">
        <f>'BOCA DE LOBO'!C87</f>
        <v>BL5-&gt;PV23-87</v>
      </c>
      <c r="B93" s="413" t="str">
        <f>'BOCA DE LOBO'!A87</f>
        <v>PV23-87</v>
      </c>
      <c r="C93" s="413" t="str">
        <f>VLOOKUP(A93,'BOCA DE LOBO'!$C$82:$Q$270,3,0)</f>
        <v>PROJETADO</v>
      </c>
      <c r="D93" s="413" t="str">
        <f>VLOOKUP(A93,'BOCA DE LOBO'!$C$82:$Q$270,10,0)</f>
        <v>PROJETADA</v>
      </c>
      <c r="E93" s="413">
        <f t="shared" si="481"/>
        <v>2.4752000000000001</v>
      </c>
      <c r="F93" s="413">
        <f>VLOOKUP(A93,'BOCA DE LOBO'!$C$82:$Q$270,2,0)</f>
        <v>2.9</v>
      </c>
      <c r="G93" s="413">
        <f>VLOOKUP(A93,'BOCA DE LOBO'!$C$82:$Q$270,4,0)</f>
        <v>10.62</v>
      </c>
      <c r="H93" s="412">
        <v>400</v>
      </c>
      <c r="I93" s="493">
        <f t="shared" si="482"/>
        <v>2.8175999999999997</v>
      </c>
      <c r="J93" s="493">
        <f t="shared" si="483"/>
        <v>1.4961455999999997</v>
      </c>
      <c r="K93" s="530">
        <v>0</v>
      </c>
      <c r="L93" s="531">
        <f t="shared" si="484"/>
        <v>1</v>
      </c>
      <c r="M93" s="531">
        <f t="shared" si="485"/>
        <v>1</v>
      </c>
      <c r="N93" s="531">
        <f t="shared" si="486"/>
        <v>0</v>
      </c>
      <c r="O93" s="531">
        <f t="shared" si="487"/>
        <v>10.62</v>
      </c>
      <c r="P93" s="532" t="s">
        <v>2392</v>
      </c>
      <c r="Q93" s="533" t="s">
        <v>2737</v>
      </c>
      <c r="R93" s="534">
        <v>1</v>
      </c>
      <c r="S93" s="532">
        <f>VLOOKUP(Q93,Quantitativos!P:R,3,0)</f>
        <v>8.7100000000000009</v>
      </c>
      <c r="T93" s="532">
        <f>VLOOKUP(Q93,Quantitativos!P:S,4,0)</f>
        <v>1.9</v>
      </c>
      <c r="U93" s="531">
        <f t="shared" si="488"/>
        <v>0.05</v>
      </c>
      <c r="V93" s="535">
        <f t="shared" si="489"/>
        <v>0</v>
      </c>
      <c r="W93" s="535">
        <f t="shared" si="490"/>
        <v>34.170911999999994</v>
      </c>
      <c r="X93" s="536">
        <f t="shared" si="491"/>
        <v>0</v>
      </c>
      <c r="Y93" s="536">
        <f t="shared" si="492"/>
        <v>3.2175999999999996</v>
      </c>
      <c r="Z93" s="536">
        <f t="shared" si="493"/>
        <v>0</v>
      </c>
      <c r="AA93" s="536">
        <f t="shared" si="494"/>
        <v>2.8175999999999997</v>
      </c>
      <c r="AB93" s="496">
        <f t="shared" si="495"/>
        <v>10.62</v>
      </c>
      <c r="AC93" s="251">
        <f t="shared" si="496"/>
        <v>15.93</v>
      </c>
      <c r="AD93" s="251">
        <f t="shared" si="497"/>
        <v>15.93</v>
      </c>
      <c r="AE93" s="251">
        <f t="shared" si="498"/>
        <v>2.3109119999999952</v>
      </c>
      <c r="AF93" s="251">
        <f t="shared" si="499"/>
        <v>0</v>
      </c>
      <c r="AG93" s="251">
        <f t="shared" si="500"/>
        <v>0</v>
      </c>
      <c r="AH93" s="251">
        <f t="shared" si="501"/>
        <v>0</v>
      </c>
      <c r="AI93" s="497" t="str">
        <f t="shared" si="502"/>
        <v>NÃO</v>
      </c>
      <c r="AJ93" s="531">
        <f t="shared" si="503"/>
        <v>0</v>
      </c>
      <c r="AK93" s="531">
        <f t="shared" si="504"/>
        <v>0.12993215999999994</v>
      </c>
      <c r="AL93" s="531">
        <f t="shared" si="505"/>
        <v>32.836363440755051</v>
      </c>
      <c r="AM93" s="493">
        <f t="shared" si="506"/>
        <v>0.53100000000000003</v>
      </c>
      <c r="AN93" s="535">
        <f t="shared" si="507"/>
        <v>0</v>
      </c>
      <c r="AO93" s="531">
        <f t="shared" si="508"/>
        <v>4.2480000000000002</v>
      </c>
      <c r="AP93" s="531">
        <f t="shared" si="509"/>
        <v>4.2480000000000002</v>
      </c>
      <c r="AQ93" s="531">
        <f t="shared" si="510"/>
        <v>0.7</v>
      </c>
      <c r="AR93" s="531">
        <f t="shared" si="511"/>
        <v>6.0994514407550549</v>
      </c>
      <c r="AS93" s="531">
        <f t="shared" si="512"/>
        <v>6.0994514407550549</v>
      </c>
      <c r="AT93" s="531">
        <f t="shared" si="513"/>
        <v>1.5929999999999997</v>
      </c>
      <c r="AU93" s="531">
        <f t="shared" si="514"/>
        <v>1.5929999999999997</v>
      </c>
      <c r="AV93" s="531">
        <f t="shared" si="515"/>
        <v>0.31859999999999994</v>
      </c>
      <c r="AW93" s="531">
        <f t="shared" si="516"/>
        <v>18.771911999999997</v>
      </c>
      <c r="AX93" s="531">
        <f t="shared" si="517"/>
        <v>-11.940451440755055</v>
      </c>
      <c r="AY93" s="531">
        <f t="shared" si="518"/>
        <v>-11.940451440755055</v>
      </c>
      <c r="AZ93" s="531">
        <f t="shared" si="519"/>
        <v>30.712363440755052</v>
      </c>
      <c r="BA93" s="531">
        <f t="shared" si="520"/>
        <v>6.2017631429979891</v>
      </c>
      <c r="BB93" s="531">
        <f t="shared" si="521"/>
        <v>24.510600297757062</v>
      </c>
      <c r="BC93" s="531"/>
      <c r="BD93" s="531">
        <f t="shared" si="522"/>
        <v>0.23364000000000001</v>
      </c>
      <c r="BE93" s="496">
        <f t="shared" si="523"/>
        <v>2.8175999999999997</v>
      </c>
      <c r="BF93" s="498">
        <f t="shared" si="524"/>
        <v>0</v>
      </c>
      <c r="BG93" s="498">
        <f t="shared" si="525"/>
        <v>10.62</v>
      </c>
      <c r="BH93" s="532" t="str">
        <f>VLOOKUP(A93,'BOCA DE LOBO'!C:I,7,0)</f>
        <v>BOCA DE LOBO PROJETADA DUPLA</v>
      </c>
      <c r="BI93" s="531">
        <f t="shared" si="526"/>
        <v>0</v>
      </c>
      <c r="BJ93" s="531">
        <f t="shared" si="527"/>
        <v>0</v>
      </c>
      <c r="BK93" s="531">
        <f t="shared" si="528"/>
        <v>0</v>
      </c>
      <c r="BL93" s="531">
        <f t="shared" si="529"/>
        <v>0</v>
      </c>
      <c r="BM93" s="531">
        <f t="shared" si="530"/>
        <v>0</v>
      </c>
      <c r="BN93" s="531">
        <f t="shared" si="531"/>
        <v>1</v>
      </c>
      <c r="BO93" s="499">
        <f t="shared" si="532"/>
        <v>0</v>
      </c>
      <c r="BP93" s="500"/>
      <c r="BQ93" s="496">
        <f t="shared" si="533"/>
        <v>31.86</v>
      </c>
      <c r="BR93" s="496">
        <f t="shared" si="534"/>
        <v>31.86</v>
      </c>
      <c r="BS93" s="496">
        <f t="shared" si="535"/>
        <v>6.7458239999999927</v>
      </c>
      <c r="BT93" s="501"/>
      <c r="BU93" s="501"/>
      <c r="BV93" s="502">
        <f t="shared" si="536"/>
        <v>17.844059519999998</v>
      </c>
      <c r="BW93" s="502">
        <f t="shared" si="537"/>
        <v>5.9975999999999994</v>
      </c>
      <c r="BX93" s="502">
        <f t="shared" si="538"/>
        <v>3.0325999999999995</v>
      </c>
      <c r="BY93" s="502">
        <f t="shared" si="539"/>
        <v>2.4752000000000001</v>
      </c>
      <c r="BZ93" s="502">
        <f t="shared" si="540"/>
        <v>0</v>
      </c>
      <c r="CA93" s="502">
        <f t="shared" si="541"/>
        <v>2.9752000000000001</v>
      </c>
      <c r="CB93" s="502">
        <f t="shared" si="542"/>
        <v>0</v>
      </c>
      <c r="CC93" s="502">
        <f t="shared" si="543"/>
        <v>0</v>
      </c>
      <c r="CD93" s="502">
        <f t="shared" si="544"/>
        <v>0</v>
      </c>
      <c r="CE93" s="502">
        <f t="shared" si="545"/>
        <v>8.9963999999999995</v>
      </c>
      <c r="CF93" s="502">
        <f t="shared" si="546"/>
        <v>8.8476595199999988</v>
      </c>
      <c r="CG93" s="502">
        <f t="shared" si="547"/>
        <v>0</v>
      </c>
      <c r="CH93" s="502">
        <f t="shared" si="548"/>
        <v>0</v>
      </c>
      <c r="CI93" s="531"/>
      <c r="CJ93" s="502">
        <f t="shared" si="549"/>
        <v>8.8214679999999994</v>
      </c>
      <c r="CK93" s="502">
        <f t="shared" si="550"/>
        <v>8.8214679999999994</v>
      </c>
      <c r="CL93" s="502">
        <f t="shared" si="551"/>
        <v>0</v>
      </c>
      <c r="CM93" s="502">
        <f t="shared" si="552"/>
        <v>0.11995199999999999</v>
      </c>
      <c r="CN93" s="502">
        <f t="shared" si="553"/>
        <v>3.57</v>
      </c>
      <c r="CO93" s="502">
        <f t="shared" si="554"/>
        <v>2.9752000000000001</v>
      </c>
      <c r="CP93" s="502">
        <f t="shared" si="555"/>
        <v>10.709999999999999</v>
      </c>
      <c r="CQ93" s="502">
        <f t="shared" si="556"/>
        <v>10.532928</v>
      </c>
      <c r="CR93" s="220">
        <f t="shared" si="557"/>
        <v>0</v>
      </c>
      <c r="CS93" s="503">
        <f t="shared" si="558"/>
        <v>0</v>
      </c>
      <c r="CT93" s="503">
        <f t="shared" si="559"/>
        <v>0.37531457599999996</v>
      </c>
      <c r="CU93" s="504">
        <f t="shared" si="560"/>
        <v>12.871040000000001</v>
      </c>
      <c r="CV93" s="504">
        <f t="shared" si="561"/>
        <v>1.4313612</v>
      </c>
      <c r="CW93" s="502">
        <f t="shared" si="562"/>
        <v>23.057735999999998</v>
      </c>
      <c r="CX93" s="531">
        <f t="shared" si="563"/>
        <v>3.57</v>
      </c>
      <c r="CY93" s="537">
        <f t="shared" si="564"/>
        <v>1.7849999999999999</v>
      </c>
      <c r="CZ93" s="502">
        <f t="shared" si="565"/>
        <v>0</v>
      </c>
    </row>
    <row r="94" spans="1:104" ht="25" x14ac:dyDescent="0.25">
      <c r="A94" s="413" t="str">
        <f>'BOCA DE LOBO'!C88</f>
        <v>BL6-&gt;PV2.1</v>
      </c>
      <c r="B94" s="413" t="str">
        <f>'BOCA DE LOBO'!A88</f>
        <v>PV2.1</v>
      </c>
      <c r="C94" s="413" t="str">
        <f>VLOOKUP(A94,'BOCA DE LOBO'!$C$82:$Q$270,3,0)</f>
        <v>PROJETADO</v>
      </c>
      <c r="D94" s="413" t="str">
        <f>VLOOKUP(A94,'BOCA DE LOBO'!$C$82:$Q$270,10,0)</f>
        <v>PROJETADA</v>
      </c>
      <c r="E94" s="413">
        <f t="shared" si="481"/>
        <v>2.2976000000000001</v>
      </c>
      <c r="F94" s="413">
        <f>VLOOKUP(A94,'BOCA DE LOBO'!$C$82:$Q$270,2,0)</f>
        <v>2.72</v>
      </c>
      <c r="G94" s="413">
        <f>VLOOKUP(A94,'BOCA DE LOBO'!$C$82:$Q$270,4,0)</f>
        <v>10.56</v>
      </c>
      <c r="H94" s="412">
        <v>400</v>
      </c>
      <c r="I94" s="493">
        <f t="shared" si="482"/>
        <v>2.6387999999999998</v>
      </c>
      <c r="J94" s="493">
        <f t="shared" si="483"/>
        <v>1.3932864</v>
      </c>
      <c r="K94" s="530">
        <v>0</v>
      </c>
      <c r="L94" s="531">
        <f t="shared" si="484"/>
        <v>1</v>
      </c>
      <c r="M94" s="531">
        <f t="shared" si="485"/>
        <v>1</v>
      </c>
      <c r="N94" s="531">
        <f t="shared" si="486"/>
        <v>0</v>
      </c>
      <c r="O94" s="531">
        <f t="shared" si="487"/>
        <v>10.56</v>
      </c>
      <c r="P94" s="532" t="str">
        <f>VLOOKUP(B94,'Planilha Hidráulica'!$AG:$AR,12,0)</f>
        <v>ASFALTO</v>
      </c>
      <c r="Q94" s="533" t="s">
        <v>2536</v>
      </c>
      <c r="R94" s="534"/>
      <c r="S94" s="532">
        <f>VLOOKUP(Q94,Quantitativos!P:R,3,0)</f>
        <v>3.2</v>
      </c>
      <c r="T94" s="532">
        <f>VLOOKUP(Q94,Quantitativos!P:S,4,0)</f>
        <v>1.6</v>
      </c>
      <c r="U94" s="531">
        <f t="shared" si="488"/>
        <v>0.05</v>
      </c>
      <c r="V94" s="535">
        <f t="shared" si="489"/>
        <v>0</v>
      </c>
      <c r="W94" s="535">
        <f t="shared" si="490"/>
        <v>27.865728000000001</v>
      </c>
      <c r="X94" s="536">
        <f t="shared" si="491"/>
        <v>0</v>
      </c>
      <c r="Y94" s="536">
        <f t="shared" si="492"/>
        <v>0</v>
      </c>
      <c r="Z94" s="536">
        <f t="shared" si="493"/>
        <v>2.6387999999999998</v>
      </c>
      <c r="AA94" s="536">
        <f t="shared" si="494"/>
        <v>0</v>
      </c>
      <c r="AB94" s="496">
        <f t="shared" si="495"/>
        <v>10.56</v>
      </c>
      <c r="AC94" s="251">
        <f t="shared" si="496"/>
        <v>0</v>
      </c>
      <c r="AD94" s="251">
        <f t="shared" si="497"/>
        <v>0</v>
      </c>
      <c r="AE94" s="251">
        <f t="shared" si="498"/>
        <v>0</v>
      </c>
      <c r="AF94" s="251">
        <f t="shared" si="499"/>
        <v>15.84</v>
      </c>
      <c r="AG94" s="251">
        <f t="shared" si="500"/>
        <v>12.025727999999999</v>
      </c>
      <c r="AH94" s="251">
        <f t="shared" si="501"/>
        <v>0</v>
      </c>
      <c r="AI94" s="497" t="str">
        <f t="shared" si="502"/>
        <v>NÃO</v>
      </c>
      <c r="AJ94" s="531">
        <f t="shared" si="503"/>
        <v>0</v>
      </c>
      <c r="AK94" s="531">
        <f t="shared" si="504"/>
        <v>0.14626303999999998</v>
      </c>
      <c r="AL94" s="531">
        <f t="shared" si="505"/>
        <v>26.538719263123671</v>
      </c>
      <c r="AM94" s="493">
        <f t="shared" si="506"/>
        <v>0.52800000000000002</v>
      </c>
      <c r="AN94" s="535">
        <f t="shared" si="507"/>
        <v>0</v>
      </c>
      <c r="AO94" s="531">
        <f t="shared" si="508"/>
        <v>0</v>
      </c>
      <c r="AP94" s="531">
        <f t="shared" si="509"/>
        <v>0</v>
      </c>
      <c r="AQ94" s="531">
        <f t="shared" si="510"/>
        <v>0.7</v>
      </c>
      <c r="AR94" s="531">
        <f t="shared" si="511"/>
        <v>6.0649912631236704</v>
      </c>
      <c r="AS94" s="531">
        <f t="shared" si="512"/>
        <v>0</v>
      </c>
      <c r="AT94" s="531">
        <f t="shared" si="513"/>
        <v>1.5840000000000001</v>
      </c>
      <c r="AU94" s="531">
        <f t="shared" si="514"/>
        <v>1.5840000000000001</v>
      </c>
      <c r="AV94" s="531">
        <f t="shared" si="515"/>
        <v>0.31680000000000003</v>
      </c>
      <c r="AW94" s="531">
        <f t="shared" si="516"/>
        <v>16.777728000000003</v>
      </c>
      <c r="AX94" s="531">
        <f t="shared" si="517"/>
        <v>20.216736736876328</v>
      </c>
      <c r="AY94" s="531">
        <f t="shared" si="518"/>
        <v>16.777728000000003</v>
      </c>
      <c r="AZ94" s="531">
        <f t="shared" si="519"/>
        <v>0</v>
      </c>
      <c r="BA94" s="531">
        <f t="shared" si="520"/>
        <v>0</v>
      </c>
      <c r="BB94" s="531">
        <f t="shared" si="521"/>
        <v>0</v>
      </c>
      <c r="BC94" s="531"/>
      <c r="BD94" s="531">
        <f t="shared" si="522"/>
        <v>6.336E-2</v>
      </c>
      <c r="BE94" s="496">
        <f t="shared" si="523"/>
        <v>2.6387999999999998</v>
      </c>
      <c r="BF94" s="498">
        <f t="shared" si="524"/>
        <v>0</v>
      </c>
      <c r="BG94" s="498">
        <f t="shared" si="525"/>
        <v>10.56</v>
      </c>
      <c r="BH94" s="532" t="str">
        <f>VLOOKUP(A94,'BOCA DE LOBO'!C:I,7,0)</f>
        <v>BOCA DE LOBO PROJETADA DUPLA</v>
      </c>
      <c r="BI94" s="531">
        <f t="shared" si="526"/>
        <v>0</v>
      </c>
      <c r="BJ94" s="531">
        <f t="shared" si="527"/>
        <v>0</v>
      </c>
      <c r="BK94" s="531">
        <f t="shared" si="528"/>
        <v>0</v>
      </c>
      <c r="BL94" s="531">
        <f t="shared" si="529"/>
        <v>0</v>
      </c>
      <c r="BM94" s="531">
        <f t="shared" si="530"/>
        <v>0</v>
      </c>
      <c r="BN94" s="531">
        <f t="shared" si="531"/>
        <v>1</v>
      </c>
      <c r="BO94" s="499">
        <f t="shared" si="532"/>
        <v>0</v>
      </c>
      <c r="BP94" s="500"/>
      <c r="BQ94" s="496">
        <f t="shared" si="533"/>
        <v>31.68</v>
      </c>
      <c r="BR94" s="496">
        <f t="shared" si="534"/>
        <v>24.051455999999998</v>
      </c>
      <c r="BS94" s="496">
        <f t="shared" si="535"/>
        <v>0</v>
      </c>
      <c r="BT94" s="501"/>
      <c r="BU94" s="501"/>
      <c r="BV94" s="502">
        <f t="shared" si="536"/>
        <v>13.780085759999999</v>
      </c>
      <c r="BW94" s="502">
        <f t="shared" si="537"/>
        <v>5.9975999999999994</v>
      </c>
      <c r="BX94" s="502">
        <f t="shared" si="538"/>
        <v>3.0325999999999995</v>
      </c>
      <c r="BY94" s="502">
        <f t="shared" si="539"/>
        <v>2.2976000000000001</v>
      </c>
      <c r="BZ94" s="502">
        <f t="shared" si="540"/>
        <v>2.2976000000000001</v>
      </c>
      <c r="CA94" s="502">
        <f t="shared" si="541"/>
        <v>0</v>
      </c>
      <c r="CB94" s="502">
        <f t="shared" si="542"/>
        <v>0</v>
      </c>
      <c r="CC94" s="502">
        <f t="shared" si="543"/>
        <v>8.9963999999999995</v>
      </c>
      <c r="CD94" s="502">
        <f t="shared" si="544"/>
        <v>4.78368576</v>
      </c>
      <c r="CE94" s="502">
        <f t="shared" si="545"/>
        <v>0</v>
      </c>
      <c r="CF94" s="502">
        <f t="shared" si="546"/>
        <v>0</v>
      </c>
      <c r="CG94" s="502">
        <f t="shared" si="547"/>
        <v>0</v>
      </c>
      <c r="CH94" s="502">
        <f t="shared" si="548"/>
        <v>0</v>
      </c>
      <c r="CI94" s="531"/>
      <c r="CJ94" s="502">
        <f t="shared" si="549"/>
        <v>6.8123839999999998</v>
      </c>
      <c r="CK94" s="502">
        <f t="shared" si="550"/>
        <v>6.8123839999999998</v>
      </c>
      <c r="CL94" s="502">
        <f t="shared" si="551"/>
        <v>0</v>
      </c>
      <c r="CM94" s="502">
        <f t="shared" si="552"/>
        <v>0</v>
      </c>
      <c r="CN94" s="502">
        <f t="shared" si="553"/>
        <v>3.57</v>
      </c>
      <c r="CO94" s="502">
        <f t="shared" si="554"/>
        <v>2.2976000000000001</v>
      </c>
      <c r="CP94" s="502">
        <f t="shared" si="555"/>
        <v>10.709999999999999</v>
      </c>
      <c r="CQ94" s="502">
        <f t="shared" si="556"/>
        <v>5.6948639999999999</v>
      </c>
      <c r="CR94" s="220">
        <f t="shared" si="557"/>
        <v>0</v>
      </c>
      <c r="CS94" s="503">
        <f t="shared" si="558"/>
        <v>0</v>
      </c>
      <c r="CT94" s="503">
        <f t="shared" si="559"/>
        <v>0.34838508800000001</v>
      </c>
      <c r="CU94" s="504">
        <f t="shared" si="560"/>
        <v>11.947520000000001</v>
      </c>
      <c r="CV94" s="504">
        <f t="shared" si="561"/>
        <v>1.3770156</v>
      </c>
      <c r="CW94" s="502">
        <f t="shared" si="562"/>
        <v>21.693767999999999</v>
      </c>
      <c r="CX94" s="531">
        <f t="shared" si="563"/>
        <v>3.57</v>
      </c>
      <c r="CY94" s="537">
        <f t="shared" si="564"/>
        <v>1.7849999999999999</v>
      </c>
      <c r="CZ94" s="502">
        <f t="shared" si="565"/>
        <v>0</v>
      </c>
    </row>
    <row r="95" spans="1:104" ht="25" x14ac:dyDescent="0.25">
      <c r="A95" s="413" t="str">
        <f>'BOCA DE LOBO'!C89</f>
        <v>BL7-&gt;PV2.1</v>
      </c>
      <c r="B95" s="413" t="str">
        <f>'BOCA DE LOBO'!A89</f>
        <v>PV2.1</v>
      </c>
      <c r="C95" s="413" t="str">
        <f>VLOOKUP(A95,'BOCA DE LOBO'!$C$82:$Q$270,3,0)</f>
        <v>PROJETADO</v>
      </c>
      <c r="D95" s="413" t="str">
        <f>VLOOKUP(A95,'BOCA DE LOBO'!$C$82:$Q$270,10,0)</f>
        <v>PROJETADA</v>
      </c>
      <c r="E95" s="413">
        <f t="shared" si="481"/>
        <v>2.3820000000000001</v>
      </c>
      <c r="F95" s="413">
        <f>VLOOKUP(A95,'BOCA DE LOBO'!$C$82:$Q$270,2,0)</f>
        <v>2.72</v>
      </c>
      <c r="G95" s="413">
        <f>VLOOKUP(A95,'BOCA DE LOBO'!$C$82:$Q$270,4,0)</f>
        <v>8.4499999999999993</v>
      </c>
      <c r="H95" s="412">
        <v>400</v>
      </c>
      <c r="I95" s="493">
        <f t="shared" si="482"/>
        <v>2.681</v>
      </c>
      <c r="J95" s="493">
        <f t="shared" si="483"/>
        <v>1.1327224999999999</v>
      </c>
      <c r="K95" s="530">
        <v>0</v>
      </c>
      <c r="L95" s="531">
        <f t="shared" si="484"/>
        <v>1</v>
      </c>
      <c r="M95" s="531">
        <f t="shared" si="485"/>
        <v>1</v>
      </c>
      <c r="N95" s="531">
        <f t="shared" si="486"/>
        <v>0</v>
      </c>
      <c r="O95" s="531">
        <f t="shared" si="487"/>
        <v>8.4499999999999993</v>
      </c>
      <c r="P95" s="532" t="str">
        <f>VLOOKUP(B95,'Planilha Hidráulica'!$AG:$AR,12,0)</f>
        <v>ASFALTO</v>
      </c>
      <c r="Q95" s="533" t="s">
        <v>2536</v>
      </c>
      <c r="R95" s="534"/>
      <c r="S95" s="532">
        <f>VLOOKUP(Q95,Quantitativos!P:R,3,0)</f>
        <v>3.2</v>
      </c>
      <c r="T95" s="532">
        <f>VLOOKUP(Q95,Quantitativos!P:S,4,0)</f>
        <v>1.6</v>
      </c>
      <c r="U95" s="531">
        <f t="shared" si="488"/>
        <v>0.05</v>
      </c>
      <c r="V95" s="535">
        <f t="shared" si="489"/>
        <v>0</v>
      </c>
      <c r="W95" s="535">
        <f t="shared" si="490"/>
        <v>22.654449999999997</v>
      </c>
      <c r="X95" s="536">
        <f t="shared" si="491"/>
        <v>0</v>
      </c>
      <c r="Y95" s="536">
        <f t="shared" si="492"/>
        <v>0</v>
      </c>
      <c r="Z95" s="536">
        <f t="shared" si="493"/>
        <v>2.681</v>
      </c>
      <c r="AA95" s="536">
        <f t="shared" si="494"/>
        <v>0</v>
      </c>
      <c r="AB95" s="496">
        <f t="shared" si="495"/>
        <v>8.4499999999999993</v>
      </c>
      <c r="AC95" s="251">
        <f t="shared" si="496"/>
        <v>0</v>
      </c>
      <c r="AD95" s="251">
        <f t="shared" si="497"/>
        <v>0</v>
      </c>
      <c r="AE95" s="251">
        <f t="shared" si="498"/>
        <v>0</v>
      </c>
      <c r="AF95" s="251">
        <f t="shared" si="499"/>
        <v>12.674999999999999</v>
      </c>
      <c r="AG95" s="251">
        <f t="shared" si="500"/>
        <v>9.9794499999999999</v>
      </c>
      <c r="AH95" s="251">
        <f t="shared" si="501"/>
        <v>0</v>
      </c>
      <c r="AI95" s="497" t="str">
        <f t="shared" si="502"/>
        <v>NÃO</v>
      </c>
      <c r="AJ95" s="531">
        <f t="shared" si="503"/>
        <v>0</v>
      </c>
      <c r="AK95" s="531">
        <f t="shared" si="504"/>
        <v>0.12179266666666666</v>
      </c>
      <c r="AL95" s="531">
        <f t="shared" si="505"/>
        <v>21.592591683086646</v>
      </c>
      <c r="AM95" s="493">
        <f t="shared" si="506"/>
        <v>0.42249999999999999</v>
      </c>
      <c r="AN95" s="535">
        <f t="shared" si="507"/>
        <v>0</v>
      </c>
      <c r="AO95" s="531">
        <f t="shared" si="508"/>
        <v>0</v>
      </c>
      <c r="AP95" s="531">
        <f t="shared" si="509"/>
        <v>0</v>
      </c>
      <c r="AQ95" s="531">
        <f t="shared" si="510"/>
        <v>0.7</v>
      </c>
      <c r="AR95" s="531">
        <f t="shared" si="511"/>
        <v>4.8531416830866494</v>
      </c>
      <c r="AS95" s="531">
        <f t="shared" si="512"/>
        <v>0</v>
      </c>
      <c r="AT95" s="531">
        <f t="shared" si="513"/>
        <v>1.2674999999999998</v>
      </c>
      <c r="AU95" s="531">
        <f t="shared" si="514"/>
        <v>1.2674999999999998</v>
      </c>
      <c r="AV95" s="531">
        <f t="shared" si="515"/>
        <v>0.25349999999999995</v>
      </c>
      <c r="AW95" s="531">
        <f t="shared" si="516"/>
        <v>13.78195</v>
      </c>
      <c r="AX95" s="531">
        <f t="shared" si="517"/>
        <v>16.533808316913351</v>
      </c>
      <c r="AY95" s="531">
        <f t="shared" si="518"/>
        <v>13.78195</v>
      </c>
      <c r="AZ95" s="531">
        <f t="shared" si="519"/>
        <v>0</v>
      </c>
      <c r="BA95" s="531">
        <f t="shared" si="520"/>
        <v>0</v>
      </c>
      <c r="BB95" s="531">
        <f t="shared" si="521"/>
        <v>0</v>
      </c>
      <c r="BC95" s="531"/>
      <c r="BD95" s="531">
        <f t="shared" si="522"/>
        <v>5.0699999999999995E-2</v>
      </c>
      <c r="BE95" s="496">
        <f t="shared" si="523"/>
        <v>2.681</v>
      </c>
      <c r="BF95" s="498">
        <f t="shared" si="524"/>
        <v>0</v>
      </c>
      <c r="BG95" s="498">
        <f t="shared" si="525"/>
        <v>8.4499999999999993</v>
      </c>
      <c r="BH95" s="532" t="str">
        <f>VLOOKUP(A95,'BOCA DE LOBO'!C:I,7,0)</f>
        <v>BOCA DE LOBO PROJETADA DUPLA</v>
      </c>
      <c r="BI95" s="531">
        <f t="shared" si="526"/>
        <v>0</v>
      </c>
      <c r="BJ95" s="531">
        <f t="shared" si="527"/>
        <v>0</v>
      </c>
      <c r="BK95" s="531">
        <f t="shared" si="528"/>
        <v>0</v>
      </c>
      <c r="BL95" s="531">
        <f t="shared" si="529"/>
        <v>0</v>
      </c>
      <c r="BM95" s="531">
        <f t="shared" si="530"/>
        <v>0</v>
      </c>
      <c r="BN95" s="531">
        <f t="shared" si="531"/>
        <v>1</v>
      </c>
      <c r="BO95" s="499">
        <f t="shared" si="532"/>
        <v>0</v>
      </c>
      <c r="BP95" s="500"/>
      <c r="BQ95" s="496">
        <f t="shared" si="533"/>
        <v>25.349999999999998</v>
      </c>
      <c r="BR95" s="496">
        <f t="shared" si="534"/>
        <v>19.9589</v>
      </c>
      <c r="BS95" s="496">
        <f t="shared" si="535"/>
        <v>0</v>
      </c>
      <c r="BT95" s="501"/>
      <c r="BU95" s="501"/>
      <c r="BV95" s="502">
        <f t="shared" si="536"/>
        <v>14.2862832</v>
      </c>
      <c r="BW95" s="502">
        <f t="shared" si="537"/>
        <v>5.9975999999999994</v>
      </c>
      <c r="BX95" s="502">
        <f t="shared" si="538"/>
        <v>3.0325999999999995</v>
      </c>
      <c r="BY95" s="502">
        <f t="shared" si="539"/>
        <v>2.3820000000000001</v>
      </c>
      <c r="BZ95" s="502">
        <f t="shared" si="540"/>
        <v>2.3820000000000001</v>
      </c>
      <c r="CA95" s="502">
        <f t="shared" si="541"/>
        <v>0</v>
      </c>
      <c r="CB95" s="502">
        <f t="shared" si="542"/>
        <v>0</v>
      </c>
      <c r="CC95" s="502">
        <f t="shared" si="543"/>
        <v>8.9963999999999995</v>
      </c>
      <c r="CD95" s="502">
        <f t="shared" si="544"/>
        <v>5.2898832000000002</v>
      </c>
      <c r="CE95" s="502">
        <f t="shared" si="545"/>
        <v>0</v>
      </c>
      <c r="CF95" s="502">
        <f t="shared" si="546"/>
        <v>0</v>
      </c>
      <c r="CG95" s="502">
        <f t="shared" si="547"/>
        <v>0</v>
      </c>
      <c r="CH95" s="502">
        <f t="shared" si="548"/>
        <v>0</v>
      </c>
      <c r="CI95" s="531"/>
      <c r="CJ95" s="502">
        <f t="shared" si="549"/>
        <v>7.0626300000000004</v>
      </c>
      <c r="CK95" s="502">
        <f t="shared" si="550"/>
        <v>7.0626300000000004</v>
      </c>
      <c r="CL95" s="502">
        <f t="shared" si="551"/>
        <v>0</v>
      </c>
      <c r="CM95" s="502">
        <f t="shared" si="552"/>
        <v>0</v>
      </c>
      <c r="CN95" s="502">
        <f t="shared" si="553"/>
        <v>3.57</v>
      </c>
      <c r="CO95" s="502">
        <f t="shared" si="554"/>
        <v>2.3820000000000001</v>
      </c>
      <c r="CP95" s="502">
        <f t="shared" si="555"/>
        <v>10.709999999999999</v>
      </c>
      <c r="CQ95" s="502">
        <f t="shared" si="556"/>
        <v>6.2974800000000002</v>
      </c>
      <c r="CR95" s="220">
        <f t="shared" si="557"/>
        <v>0</v>
      </c>
      <c r="CS95" s="503">
        <f t="shared" si="558"/>
        <v>0</v>
      </c>
      <c r="CT95" s="503">
        <f t="shared" si="559"/>
        <v>0.36118265999999999</v>
      </c>
      <c r="CU95" s="504">
        <f t="shared" si="560"/>
        <v>12.386400000000002</v>
      </c>
      <c r="CV95" s="504">
        <f t="shared" si="561"/>
        <v>1.4028419999999999</v>
      </c>
      <c r="CW95" s="502">
        <f t="shared" si="562"/>
        <v>22.34196</v>
      </c>
      <c r="CX95" s="531">
        <f t="shared" si="563"/>
        <v>3.57</v>
      </c>
      <c r="CY95" s="537">
        <f t="shared" si="564"/>
        <v>1.7849999999999999</v>
      </c>
      <c r="CZ95" s="502">
        <f t="shared" si="565"/>
        <v>0</v>
      </c>
    </row>
    <row r="96" spans="1:104" ht="25" x14ac:dyDescent="0.25">
      <c r="A96" s="413" t="str">
        <f>'BOCA DE LOBO'!C90</f>
        <v>BL8-&gt;PV3.1</v>
      </c>
      <c r="B96" s="413" t="str">
        <f>'BOCA DE LOBO'!A90</f>
        <v>PV3.1</v>
      </c>
      <c r="C96" s="413" t="str">
        <f>VLOOKUP(A96,'BOCA DE LOBO'!$C$82:$Q$270,3,0)</f>
        <v>PROJETADO</v>
      </c>
      <c r="D96" s="413" t="str">
        <f>VLOOKUP(A96,'BOCA DE LOBO'!$C$82:$Q$270,10,0)</f>
        <v>PROJETADA</v>
      </c>
      <c r="E96" s="413">
        <f t="shared" si="481"/>
        <v>2.4744000000000002</v>
      </c>
      <c r="F96" s="413">
        <f>VLOOKUP(A96,'BOCA DE LOBO'!$C$82:$Q$270,2,0)</f>
        <v>2.94</v>
      </c>
      <c r="G96" s="413">
        <f>VLOOKUP(A96,'BOCA DE LOBO'!$C$82:$Q$270,4,0)</f>
        <v>11.64</v>
      </c>
      <c r="H96" s="412">
        <v>400</v>
      </c>
      <c r="I96" s="493">
        <f t="shared" si="482"/>
        <v>2.8372000000000002</v>
      </c>
      <c r="J96" s="493">
        <f t="shared" si="483"/>
        <v>1.6512504000000003</v>
      </c>
      <c r="K96" s="530">
        <v>0</v>
      </c>
      <c r="L96" s="531">
        <f t="shared" si="484"/>
        <v>1</v>
      </c>
      <c r="M96" s="531">
        <f t="shared" si="485"/>
        <v>1</v>
      </c>
      <c r="N96" s="531">
        <f t="shared" si="486"/>
        <v>0</v>
      </c>
      <c r="O96" s="531">
        <f t="shared" si="487"/>
        <v>11.64</v>
      </c>
      <c r="P96" s="532" t="str">
        <f>VLOOKUP(B96,'Planilha Hidráulica'!$AG:$AR,12,0)</f>
        <v>ASFALTO</v>
      </c>
      <c r="Q96" s="533" t="s">
        <v>2536</v>
      </c>
      <c r="R96" s="534"/>
      <c r="S96" s="532">
        <f>VLOOKUP(Q96,Quantitativos!P:R,3,0)</f>
        <v>3.2</v>
      </c>
      <c r="T96" s="532">
        <f>VLOOKUP(Q96,Quantitativos!P:S,4,0)</f>
        <v>1.6</v>
      </c>
      <c r="U96" s="531">
        <f t="shared" si="488"/>
        <v>0.05</v>
      </c>
      <c r="V96" s="535">
        <f t="shared" si="489"/>
        <v>0</v>
      </c>
      <c r="W96" s="535">
        <f t="shared" si="490"/>
        <v>33.025008000000007</v>
      </c>
      <c r="X96" s="536">
        <f t="shared" si="491"/>
        <v>0</v>
      </c>
      <c r="Y96" s="536">
        <f t="shared" si="492"/>
        <v>0</v>
      </c>
      <c r="Z96" s="536">
        <f t="shared" si="493"/>
        <v>2.8372000000000002</v>
      </c>
      <c r="AA96" s="536">
        <f t="shared" si="494"/>
        <v>0</v>
      </c>
      <c r="AB96" s="496">
        <f t="shared" si="495"/>
        <v>11.64</v>
      </c>
      <c r="AC96" s="251">
        <f t="shared" si="496"/>
        <v>0</v>
      </c>
      <c r="AD96" s="251">
        <f t="shared" si="497"/>
        <v>0</v>
      </c>
      <c r="AE96" s="251">
        <f t="shared" si="498"/>
        <v>0</v>
      </c>
      <c r="AF96" s="251">
        <f t="shared" si="499"/>
        <v>17.46</v>
      </c>
      <c r="AG96" s="251">
        <f t="shared" si="500"/>
        <v>15.565008000000002</v>
      </c>
      <c r="AH96" s="251">
        <f t="shared" si="501"/>
        <v>0</v>
      </c>
      <c r="AI96" s="497" t="str">
        <f t="shared" si="502"/>
        <v>NÃO</v>
      </c>
      <c r="AJ96" s="531">
        <f t="shared" si="503"/>
        <v>0</v>
      </c>
      <c r="AK96" s="531">
        <f t="shared" si="504"/>
        <v>0.19201344000000001</v>
      </c>
      <c r="AL96" s="531">
        <f t="shared" si="505"/>
        <v>31.5622824604886</v>
      </c>
      <c r="AM96" s="493">
        <f t="shared" si="506"/>
        <v>0.58200000000000007</v>
      </c>
      <c r="AN96" s="535">
        <f t="shared" si="507"/>
        <v>0</v>
      </c>
      <c r="AO96" s="531">
        <f t="shared" si="508"/>
        <v>0</v>
      </c>
      <c r="AP96" s="531">
        <f t="shared" si="509"/>
        <v>0</v>
      </c>
      <c r="AQ96" s="531">
        <f t="shared" si="510"/>
        <v>0.7</v>
      </c>
      <c r="AR96" s="531">
        <f t="shared" si="511"/>
        <v>6.6852744604885919</v>
      </c>
      <c r="AS96" s="531">
        <f t="shared" si="512"/>
        <v>0</v>
      </c>
      <c r="AT96" s="531">
        <f t="shared" si="513"/>
        <v>1.746</v>
      </c>
      <c r="AU96" s="531">
        <f t="shared" si="514"/>
        <v>1.746</v>
      </c>
      <c r="AV96" s="531">
        <f t="shared" si="515"/>
        <v>0.34920000000000001</v>
      </c>
      <c r="AW96" s="531">
        <f t="shared" si="516"/>
        <v>20.803008000000009</v>
      </c>
      <c r="AX96" s="531">
        <f t="shared" si="517"/>
        <v>24.593733539511408</v>
      </c>
      <c r="AY96" s="531">
        <f t="shared" si="518"/>
        <v>20.803008000000009</v>
      </c>
      <c r="AZ96" s="531">
        <f t="shared" si="519"/>
        <v>0</v>
      </c>
      <c r="BA96" s="531">
        <f t="shared" si="520"/>
        <v>0</v>
      </c>
      <c r="BB96" s="531">
        <f t="shared" si="521"/>
        <v>0</v>
      </c>
      <c r="BC96" s="531"/>
      <c r="BD96" s="531">
        <f t="shared" si="522"/>
        <v>6.9839999999999999E-2</v>
      </c>
      <c r="BE96" s="496">
        <f t="shared" si="523"/>
        <v>2.8372000000000002</v>
      </c>
      <c r="BF96" s="498">
        <f t="shared" si="524"/>
        <v>0</v>
      </c>
      <c r="BG96" s="498">
        <f t="shared" si="525"/>
        <v>11.64</v>
      </c>
      <c r="BH96" s="532" t="str">
        <f>VLOOKUP(A96,'BOCA DE LOBO'!C:I,7,0)</f>
        <v>BOCA DE LOBO PROJETADA DUPLA</v>
      </c>
      <c r="BI96" s="531">
        <f t="shared" si="526"/>
        <v>0</v>
      </c>
      <c r="BJ96" s="531">
        <f t="shared" si="527"/>
        <v>0</v>
      </c>
      <c r="BK96" s="531">
        <f t="shared" si="528"/>
        <v>0</v>
      </c>
      <c r="BL96" s="531">
        <f t="shared" si="529"/>
        <v>0</v>
      </c>
      <c r="BM96" s="531">
        <f t="shared" si="530"/>
        <v>0</v>
      </c>
      <c r="BN96" s="531">
        <f t="shared" si="531"/>
        <v>1</v>
      </c>
      <c r="BO96" s="499">
        <f t="shared" si="532"/>
        <v>0</v>
      </c>
      <c r="BP96" s="500"/>
      <c r="BQ96" s="496">
        <f t="shared" si="533"/>
        <v>34.92</v>
      </c>
      <c r="BR96" s="496">
        <f t="shared" si="534"/>
        <v>31.130016000000005</v>
      </c>
      <c r="BS96" s="496">
        <f t="shared" si="535"/>
        <v>0</v>
      </c>
      <c r="BT96" s="501"/>
      <c r="BU96" s="501"/>
      <c r="BV96" s="502">
        <f t="shared" si="536"/>
        <v>14.840461439999999</v>
      </c>
      <c r="BW96" s="502">
        <f t="shared" si="537"/>
        <v>5.9975999999999994</v>
      </c>
      <c r="BX96" s="502">
        <f t="shared" si="538"/>
        <v>3.0325999999999995</v>
      </c>
      <c r="BY96" s="502">
        <f t="shared" si="539"/>
        <v>2.4744000000000002</v>
      </c>
      <c r="BZ96" s="502">
        <f t="shared" si="540"/>
        <v>2.4744000000000002</v>
      </c>
      <c r="CA96" s="502">
        <f t="shared" si="541"/>
        <v>0</v>
      </c>
      <c r="CB96" s="502">
        <f t="shared" si="542"/>
        <v>0</v>
      </c>
      <c r="CC96" s="502">
        <f t="shared" si="543"/>
        <v>8.9963999999999995</v>
      </c>
      <c r="CD96" s="502">
        <f t="shared" si="544"/>
        <v>5.8440614399999999</v>
      </c>
      <c r="CE96" s="502">
        <f t="shared" si="545"/>
        <v>0</v>
      </c>
      <c r="CF96" s="502">
        <f t="shared" si="546"/>
        <v>0</v>
      </c>
      <c r="CG96" s="502">
        <f t="shared" si="547"/>
        <v>0</v>
      </c>
      <c r="CH96" s="502">
        <f t="shared" si="548"/>
        <v>0</v>
      </c>
      <c r="CI96" s="531"/>
      <c r="CJ96" s="502">
        <f t="shared" si="549"/>
        <v>7.3365960000000001</v>
      </c>
      <c r="CK96" s="502">
        <f t="shared" si="550"/>
        <v>7.3365960000000001</v>
      </c>
      <c r="CL96" s="502">
        <f t="shared" si="551"/>
        <v>0</v>
      </c>
      <c r="CM96" s="502">
        <f t="shared" si="552"/>
        <v>0</v>
      </c>
      <c r="CN96" s="502">
        <f t="shared" si="553"/>
        <v>3.57</v>
      </c>
      <c r="CO96" s="502">
        <f t="shared" si="554"/>
        <v>2.4744000000000002</v>
      </c>
      <c r="CP96" s="502">
        <f t="shared" si="555"/>
        <v>10.709999999999999</v>
      </c>
      <c r="CQ96" s="502">
        <f t="shared" si="556"/>
        <v>6.9572160000000007</v>
      </c>
      <c r="CR96" s="220">
        <f t="shared" si="557"/>
        <v>0</v>
      </c>
      <c r="CS96" s="503">
        <f t="shared" si="558"/>
        <v>0</v>
      </c>
      <c r="CT96" s="503">
        <f t="shared" si="559"/>
        <v>0.37519327199999997</v>
      </c>
      <c r="CU96" s="504">
        <f t="shared" si="560"/>
        <v>12.866880000000002</v>
      </c>
      <c r="CV96" s="504">
        <f t="shared" si="561"/>
        <v>1.4311164000000001</v>
      </c>
      <c r="CW96" s="502">
        <f t="shared" si="562"/>
        <v>23.051591999999999</v>
      </c>
      <c r="CX96" s="531">
        <f t="shared" si="563"/>
        <v>3.57</v>
      </c>
      <c r="CY96" s="537">
        <f t="shared" si="564"/>
        <v>1.7849999999999999</v>
      </c>
      <c r="CZ96" s="502">
        <f t="shared" si="565"/>
        <v>0</v>
      </c>
    </row>
    <row r="97" spans="1:104" ht="25" x14ac:dyDescent="0.25">
      <c r="A97" s="413" t="str">
        <f>'BOCA DE LOBO'!C91</f>
        <v>BL9-&gt;PV3.1</v>
      </c>
      <c r="B97" s="413" t="str">
        <f>'BOCA DE LOBO'!A91</f>
        <v>PV3.1</v>
      </c>
      <c r="C97" s="413" t="str">
        <f>VLOOKUP(A97,'BOCA DE LOBO'!$C$82:$Q$270,3,0)</f>
        <v>PROJETADO</v>
      </c>
      <c r="D97" s="413" t="str">
        <f>VLOOKUP(A97,'BOCA DE LOBO'!$C$82:$Q$270,10,0)</f>
        <v>PROJETADA</v>
      </c>
      <c r="E97" s="413">
        <f t="shared" si="481"/>
        <v>2.5</v>
      </c>
      <c r="F97" s="413">
        <f>VLOOKUP(A97,'BOCA DE LOBO'!$C$82:$Q$270,2,0)</f>
        <v>2.94</v>
      </c>
      <c r="G97" s="413">
        <f>VLOOKUP(A97,'BOCA DE LOBO'!$C$82:$Q$270,4,0)</f>
        <v>9.24</v>
      </c>
      <c r="H97" s="412">
        <v>400</v>
      </c>
      <c r="I97" s="493">
        <f t="shared" si="482"/>
        <v>2.8499999999999996</v>
      </c>
      <c r="J97" s="493">
        <f t="shared" si="483"/>
        <v>1.3166999999999998</v>
      </c>
      <c r="K97" s="530">
        <v>0</v>
      </c>
      <c r="L97" s="531">
        <f t="shared" si="484"/>
        <v>1</v>
      </c>
      <c r="M97" s="531">
        <f t="shared" si="485"/>
        <v>1</v>
      </c>
      <c r="N97" s="531">
        <f t="shared" si="486"/>
        <v>0</v>
      </c>
      <c r="O97" s="531">
        <f t="shared" si="487"/>
        <v>9.24</v>
      </c>
      <c r="P97" s="532" t="str">
        <f>VLOOKUP(B97,'Planilha Hidráulica'!$AG:$AR,12,0)</f>
        <v>ASFALTO</v>
      </c>
      <c r="Q97" s="533" t="s">
        <v>2536</v>
      </c>
      <c r="R97" s="534"/>
      <c r="S97" s="532">
        <f>VLOOKUP(Q97,Quantitativos!P:R,3,0)</f>
        <v>3.2</v>
      </c>
      <c r="T97" s="532">
        <f>VLOOKUP(Q97,Quantitativos!P:S,4,0)</f>
        <v>1.6</v>
      </c>
      <c r="U97" s="531">
        <f t="shared" si="488"/>
        <v>0.05</v>
      </c>
      <c r="V97" s="535">
        <f t="shared" si="489"/>
        <v>0</v>
      </c>
      <c r="W97" s="535">
        <f t="shared" si="490"/>
        <v>26.333999999999996</v>
      </c>
      <c r="X97" s="536">
        <f t="shared" si="491"/>
        <v>0</v>
      </c>
      <c r="Y97" s="536">
        <f t="shared" si="492"/>
        <v>0</v>
      </c>
      <c r="Z97" s="536">
        <f t="shared" si="493"/>
        <v>2.8499999999999996</v>
      </c>
      <c r="AA97" s="536">
        <f t="shared" si="494"/>
        <v>0</v>
      </c>
      <c r="AB97" s="496">
        <f t="shared" si="495"/>
        <v>9.24</v>
      </c>
      <c r="AC97" s="251">
        <f t="shared" si="496"/>
        <v>0</v>
      </c>
      <c r="AD97" s="251">
        <f t="shared" si="497"/>
        <v>0</v>
      </c>
      <c r="AE97" s="251">
        <f t="shared" si="498"/>
        <v>0</v>
      </c>
      <c r="AF97" s="251">
        <f t="shared" si="499"/>
        <v>13.86</v>
      </c>
      <c r="AG97" s="251">
        <f t="shared" si="500"/>
        <v>12.473999999999997</v>
      </c>
      <c r="AH97" s="251">
        <f t="shared" si="501"/>
        <v>0</v>
      </c>
      <c r="AI97" s="497" t="str">
        <f t="shared" si="502"/>
        <v>NÃO</v>
      </c>
      <c r="AJ97" s="531">
        <f t="shared" si="503"/>
        <v>0</v>
      </c>
      <c r="AK97" s="531">
        <f t="shared" si="504"/>
        <v>0.15399999999999994</v>
      </c>
      <c r="AL97" s="531">
        <f t="shared" si="505"/>
        <v>25.172867355233208</v>
      </c>
      <c r="AM97" s="493">
        <f t="shared" si="506"/>
        <v>0.46200000000000002</v>
      </c>
      <c r="AN97" s="535">
        <f t="shared" si="507"/>
        <v>0</v>
      </c>
      <c r="AO97" s="531">
        <f t="shared" si="508"/>
        <v>0</v>
      </c>
      <c r="AP97" s="531">
        <f t="shared" si="509"/>
        <v>0</v>
      </c>
      <c r="AQ97" s="531">
        <f t="shared" si="510"/>
        <v>0.7</v>
      </c>
      <c r="AR97" s="531">
        <f t="shared" si="511"/>
        <v>5.3068673552332122</v>
      </c>
      <c r="AS97" s="531">
        <f t="shared" si="512"/>
        <v>0</v>
      </c>
      <c r="AT97" s="531">
        <f t="shared" si="513"/>
        <v>1.3859999999999999</v>
      </c>
      <c r="AU97" s="531">
        <f t="shared" si="514"/>
        <v>1.3859999999999999</v>
      </c>
      <c r="AV97" s="531">
        <f t="shared" si="515"/>
        <v>0.2772</v>
      </c>
      <c r="AW97" s="531">
        <f t="shared" si="516"/>
        <v>16.631999999999998</v>
      </c>
      <c r="AX97" s="531">
        <f t="shared" si="517"/>
        <v>19.641132644766785</v>
      </c>
      <c r="AY97" s="531">
        <f t="shared" si="518"/>
        <v>16.631999999999998</v>
      </c>
      <c r="AZ97" s="531">
        <f t="shared" si="519"/>
        <v>0</v>
      </c>
      <c r="BA97" s="531">
        <f t="shared" si="520"/>
        <v>0</v>
      </c>
      <c r="BB97" s="531">
        <f t="shared" si="521"/>
        <v>0</v>
      </c>
      <c r="BC97" s="531"/>
      <c r="BD97" s="531">
        <f t="shared" si="522"/>
        <v>5.5439999999999996E-2</v>
      </c>
      <c r="BE97" s="496">
        <f t="shared" si="523"/>
        <v>2.8499999999999996</v>
      </c>
      <c r="BF97" s="498">
        <f t="shared" si="524"/>
        <v>0</v>
      </c>
      <c r="BG97" s="498">
        <f t="shared" si="525"/>
        <v>9.24</v>
      </c>
      <c r="BH97" s="532" t="str">
        <f>VLOOKUP(A97,'BOCA DE LOBO'!C:I,7,0)</f>
        <v>BOCA DE LOBO PROJETADA DUPLA</v>
      </c>
      <c r="BI97" s="531">
        <f t="shared" si="526"/>
        <v>0</v>
      </c>
      <c r="BJ97" s="531">
        <f t="shared" si="527"/>
        <v>0</v>
      </c>
      <c r="BK97" s="531">
        <f t="shared" si="528"/>
        <v>0</v>
      </c>
      <c r="BL97" s="531">
        <f t="shared" si="529"/>
        <v>0</v>
      </c>
      <c r="BM97" s="531">
        <f t="shared" si="530"/>
        <v>0</v>
      </c>
      <c r="BN97" s="531">
        <f t="shared" si="531"/>
        <v>1</v>
      </c>
      <c r="BO97" s="499">
        <f t="shared" si="532"/>
        <v>0</v>
      </c>
      <c r="BP97" s="500"/>
      <c r="BQ97" s="496">
        <f t="shared" si="533"/>
        <v>27.72</v>
      </c>
      <c r="BR97" s="496">
        <f t="shared" si="534"/>
        <v>24.947999999999993</v>
      </c>
      <c r="BS97" s="496">
        <f t="shared" si="535"/>
        <v>0</v>
      </c>
      <c r="BT97" s="501"/>
      <c r="BU97" s="501"/>
      <c r="BV97" s="502">
        <f t="shared" si="536"/>
        <v>14.993999999999998</v>
      </c>
      <c r="BW97" s="502">
        <f t="shared" si="537"/>
        <v>5.9975999999999994</v>
      </c>
      <c r="BX97" s="502">
        <f t="shared" si="538"/>
        <v>3.0325999999999995</v>
      </c>
      <c r="BY97" s="502">
        <f t="shared" si="539"/>
        <v>2.5</v>
      </c>
      <c r="BZ97" s="502">
        <f t="shared" si="540"/>
        <v>2.5</v>
      </c>
      <c r="CA97" s="502">
        <f t="shared" si="541"/>
        <v>0</v>
      </c>
      <c r="CB97" s="502">
        <f t="shared" si="542"/>
        <v>0</v>
      </c>
      <c r="CC97" s="502">
        <f t="shared" si="543"/>
        <v>8.9963999999999995</v>
      </c>
      <c r="CD97" s="502">
        <f t="shared" si="544"/>
        <v>5.9975999999999994</v>
      </c>
      <c r="CE97" s="502">
        <f t="shared" si="545"/>
        <v>0</v>
      </c>
      <c r="CF97" s="502">
        <f t="shared" si="546"/>
        <v>0</v>
      </c>
      <c r="CG97" s="502">
        <f t="shared" si="547"/>
        <v>0</v>
      </c>
      <c r="CH97" s="502">
        <f t="shared" si="548"/>
        <v>0</v>
      </c>
      <c r="CI97" s="531"/>
      <c r="CJ97" s="502">
        <f t="shared" si="549"/>
        <v>7.4124999999999996</v>
      </c>
      <c r="CK97" s="502">
        <f t="shared" si="550"/>
        <v>7.4124999999999996</v>
      </c>
      <c r="CL97" s="502">
        <f t="shared" si="551"/>
        <v>0</v>
      </c>
      <c r="CM97" s="502">
        <f t="shared" si="552"/>
        <v>0</v>
      </c>
      <c r="CN97" s="502">
        <f t="shared" si="553"/>
        <v>3.57</v>
      </c>
      <c r="CO97" s="502">
        <f t="shared" si="554"/>
        <v>2.5</v>
      </c>
      <c r="CP97" s="502">
        <f t="shared" si="555"/>
        <v>10.709999999999999</v>
      </c>
      <c r="CQ97" s="502">
        <f t="shared" si="556"/>
        <v>7.14</v>
      </c>
      <c r="CR97" s="220">
        <f t="shared" si="557"/>
        <v>0</v>
      </c>
      <c r="CS97" s="503">
        <f t="shared" si="558"/>
        <v>0</v>
      </c>
      <c r="CT97" s="503">
        <f t="shared" si="559"/>
        <v>0.37907499999999994</v>
      </c>
      <c r="CU97" s="504">
        <f t="shared" si="560"/>
        <v>13</v>
      </c>
      <c r="CV97" s="504">
        <f t="shared" si="561"/>
        <v>1.43895</v>
      </c>
      <c r="CW97" s="502">
        <f t="shared" si="562"/>
        <v>23.248199999999997</v>
      </c>
      <c r="CX97" s="531">
        <f t="shared" si="563"/>
        <v>3.57</v>
      </c>
      <c r="CY97" s="537">
        <f t="shared" si="564"/>
        <v>1.7849999999999999</v>
      </c>
      <c r="CZ97" s="502">
        <f t="shared" si="565"/>
        <v>0</v>
      </c>
    </row>
    <row r="98" spans="1:104" ht="25" x14ac:dyDescent="0.25">
      <c r="A98" s="413" t="str">
        <f>'BOCA DE LOBO'!C92</f>
        <v>BL10-&gt;PV4.1</v>
      </c>
      <c r="B98" s="413" t="str">
        <f>'BOCA DE LOBO'!A92</f>
        <v>PV4.1</v>
      </c>
      <c r="C98" s="413" t="str">
        <f>VLOOKUP(A98,'BOCA DE LOBO'!$C$82:$Q$270,3,0)</f>
        <v>PROJETADO</v>
      </c>
      <c r="D98" s="413" t="str">
        <f>VLOOKUP(A98,'BOCA DE LOBO'!$C$82:$Q$270,10,0)</f>
        <v>PROJETADA</v>
      </c>
      <c r="E98" s="413">
        <f t="shared" si="481"/>
        <v>2.5</v>
      </c>
      <c r="F98" s="413">
        <f>VLOOKUP(A98,'BOCA DE LOBO'!$C$82:$Q$270,2,0)</f>
        <v>3.17</v>
      </c>
      <c r="G98" s="413">
        <f>VLOOKUP(A98,'BOCA DE LOBO'!$C$82:$Q$270,4,0)</f>
        <v>10.34</v>
      </c>
      <c r="H98" s="412">
        <v>400</v>
      </c>
      <c r="I98" s="493">
        <f t="shared" si="482"/>
        <v>2.9649999999999999</v>
      </c>
      <c r="J98" s="493">
        <f t="shared" si="483"/>
        <v>1.532905</v>
      </c>
      <c r="K98" s="530">
        <v>0</v>
      </c>
      <c r="L98" s="531">
        <f t="shared" si="484"/>
        <v>1</v>
      </c>
      <c r="M98" s="531">
        <f t="shared" si="485"/>
        <v>1</v>
      </c>
      <c r="N98" s="531">
        <f t="shared" si="486"/>
        <v>0</v>
      </c>
      <c r="O98" s="531">
        <f t="shared" si="487"/>
        <v>10.34</v>
      </c>
      <c r="P98" s="532" t="str">
        <f>VLOOKUP(B98,'Planilha Hidráulica'!$AG:$AR,12,0)</f>
        <v>ASFALTO</v>
      </c>
      <c r="Q98" s="533" t="s">
        <v>2737</v>
      </c>
      <c r="R98" s="534">
        <v>1</v>
      </c>
      <c r="S98" s="532">
        <f>VLOOKUP(Q98,Quantitativos!P:R,3,0)</f>
        <v>8.7100000000000009</v>
      </c>
      <c r="T98" s="532">
        <f>VLOOKUP(Q98,Quantitativos!P:S,4,0)</f>
        <v>1.9</v>
      </c>
      <c r="U98" s="531">
        <f t="shared" si="488"/>
        <v>0.05</v>
      </c>
      <c r="V98" s="535">
        <f t="shared" si="489"/>
        <v>0</v>
      </c>
      <c r="W98" s="535">
        <f t="shared" si="490"/>
        <v>34.7941</v>
      </c>
      <c r="X98" s="536">
        <f t="shared" si="491"/>
        <v>0</v>
      </c>
      <c r="Y98" s="536">
        <f t="shared" si="492"/>
        <v>3.3649999999999998</v>
      </c>
      <c r="Z98" s="536">
        <f t="shared" si="493"/>
        <v>0</v>
      </c>
      <c r="AA98" s="536">
        <f t="shared" si="494"/>
        <v>2.9649999999999999</v>
      </c>
      <c r="AB98" s="496">
        <f t="shared" si="495"/>
        <v>10.34</v>
      </c>
      <c r="AC98" s="251">
        <f t="shared" si="496"/>
        <v>15.51</v>
      </c>
      <c r="AD98" s="251">
        <f t="shared" si="497"/>
        <v>15.51</v>
      </c>
      <c r="AE98" s="251">
        <f t="shared" si="498"/>
        <v>3.7740999999999976</v>
      </c>
      <c r="AF98" s="251">
        <f t="shared" si="499"/>
        <v>0</v>
      </c>
      <c r="AG98" s="251">
        <f t="shared" si="500"/>
        <v>0</v>
      </c>
      <c r="AH98" s="251">
        <f t="shared" si="501"/>
        <v>0</v>
      </c>
      <c r="AI98" s="497" t="str">
        <f t="shared" si="502"/>
        <v>NÃO</v>
      </c>
      <c r="AJ98" s="531">
        <f t="shared" si="503"/>
        <v>0</v>
      </c>
      <c r="AK98" s="531">
        <f t="shared" si="504"/>
        <v>0.14682799999999999</v>
      </c>
      <c r="AL98" s="531">
        <f t="shared" si="505"/>
        <v>33.494737278475263</v>
      </c>
      <c r="AM98" s="493">
        <f t="shared" si="506"/>
        <v>0.51700000000000002</v>
      </c>
      <c r="AN98" s="535">
        <f t="shared" si="507"/>
        <v>0</v>
      </c>
      <c r="AO98" s="531">
        <f t="shared" si="508"/>
        <v>4.1360000000000001</v>
      </c>
      <c r="AP98" s="531">
        <f t="shared" si="509"/>
        <v>4.1360000000000001</v>
      </c>
      <c r="AQ98" s="531">
        <f t="shared" si="510"/>
        <v>0.7</v>
      </c>
      <c r="AR98" s="531">
        <f t="shared" si="511"/>
        <v>5.9386372784752606</v>
      </c>
      <c r="AS98" s="531">
        <f t="shared" si="512"/>
        <v>5.9386372784752606</v>
      </c>
      <c r="AT98" s="531">
        <f t="shared" si="513"/>
        <v>1.5509999999999999</v>
      </c>
      <c r="AU98" s="531">
        <f t="shared" si="514"/>
        <v>1.5509999999999999</v>
      </c>
      <c r="AV98" s="531">
        <f t="shared" si="515"/>
        <v>0.31019999999999998</v>
      </c>
      <c r="AW98" s="531">
        <f t="shared" si="516"/>
        <v>19.801100000000005</v>
      </c>
      <c r="AX98" s="531">
        <f t="shared" si="517"/>
        <v>-11.62563727847526</v>
      </c>
      <c r="AY98" s="531">
        <f t="shared" si="518"/>
        <v>-11.62563727847526</v>
      </c>
      <c r="AZ98" s="531">
        <f t="shared" si="519"/>
        <v>31.426737278475265</v>
      </c>
      <c r="BA98" s="531">
        <f t="shared" si="520"/>
        <v>6.3460170147536283</v>
      </c>
      <c r="BB98" s="531">
        <f t="shared" si="521"/>
        <v>25.080720263721638</v>
      </c>
      <c r="BC98" s="531"/>
      <c r="BD98" s="531">
        <f t="shared" si="522"/>
        <v>0.22748000000000002</v>
      </c>
      <c r="BE98" s="496">
        <f t="shared" si="523"/>
        <v>2.9649999999999999</v>
      </c>
      <c r="BF98" s="498">
        <f t="shared" si="524"/>
        <v>0</v>
      </c>
      <c r="BG98" s="498">
        <f t="shared" si="525"/>
        <v>10.34</v>
      </c>
      <c r="BH98" s="532" t="str">
        <f>VLOOKUP(A98,'BOCA DE LOBO'!C:I,7,0)</f>
        <v>BOCA DE LOBO PROJETADA DUPLA</v>
      </c>
      <c r="BI98" s="531">
        <f t="shared" si="526"/>
        <v>0</v>
      </c>
      <c r="BJ98" s="531">
        <f t="shared" si="527"/>
        <v>0</v>
      </c>
      <c r="BK98" s="531">
        <f t="shared" si="528"/>
        <v>0</v>
      </c>
      <c r="BL98" s="531">
        <f t="shared" si="529"/>
        <v>0</v>
      </c>
      <c r="BM98" s="531">
        <f t="shared" si="530"/>
        <v>0</v>
      </c>
      <c r="BN98" s="531">
        <f t="shared" si="531"/>
        <v>1</v>
      </c>
      <c r="BO98" s="499">
        <f t="shared" si="532"/>
        <v>0</v>
      </c>
      <c r="BP98" s="500"/>
      <c r="BQ98" s="496">
        <f t="shared" si="533"/>
        <v>31.02</v>
      </c>
      <c r="BR98" s="496">
        <f t="shared" si="534"/>
        <v>31.02</v>
      </c>
      <c r="BS98" s="496">
        <f t="shared" si="535"/>
        <v>9.6161999999999974</v>
      </c>
      <c r="BT98" s="501"/>
      <c r="BU98" s="501"/>
      <c r="BV98" s="502">
        <f t="shared" si="536"/>
        <v>17.992799999999999</v>
      </c>
      <c r="BW98" s="502">
        <f t="shared" si="537"/>
        <v>5.9975999999999994</v>
      </c>
      <c r="BX98" s="502">
        <f t="shared" si="538"/>
        <v>3.0325999999999995</v>
      </c>
      <c r="BY98" s="502">
        <f t="shared" si="539"/>
        <v>2.5</v>
      </c>
      <c r="BZ98" s="502">
        <f t="shared" si="540"/>
        <v>0</v>
      </c>
      <c r="CA98" s="502">
        <f t="shared" si="541"/>
        <v>3</v>
      </c>
      <c r="CB98" s="502">
        <f t="shared" si="542"/>
        <v>0</v>
      </c>
      <c r="CC98" s="502">
        <f t="shared" si="543"/>
        <v>0</v>
      </c>
      <c r="CD98" s="502">
        <f t="shared" si="544"/>
        <v>0</v>
      </c>
      <c r="CE98" s="502">
        <f t="shared" si="545"/>
        <v>8.9963999999999995</v>
      </c>
      <c r="CF98" s="502">
        <f t="shared" si="546"/>
        <v>8.9963999999999995</v>
      </c>
      <c r="CG98" s="502">
        <f t="shared" si="547"/>
        <v>0</v>
      </c>
      <c r="CH98" s="502">
        <f t="shared" si="548"/>
        <v>0</v>
      </c>
      <c r="CI98" s="531"/>
      <c r="CJ98" s="502">
        <f t="shared" si="549"/>
        <v>8.8949999999999996</v>
      </c>
      <c r="CK98" s="502">
        <f t="shared" si="550"/>
        <v>8.8949999999999996</v>
      </c>
      <c r="CL98" s="502">
        <f t="shared" si="551"/>
        <v>0</v>
      </c>
      <c r="CM98" s="502">
        <f t="shared" si="552"/>
        <v>0.11995199999999999</v>
      </c>
      <c r="CN98" s="502">
        <f t="shared" si="553"/>
        <v>3.57</v>
      </c>
      <c r="CO98" s="502">
        <f t="shared" si="554"/>
        <v>3</v>
      </c>
      <c r="CP98" s="502">
        <f t="shared" si="555"/>
        <v>10.709999999999999</v>
      </c>
      <c r="CQ98" s="502">
        <f t="shared" si="556"/>
        <v>10.709999999999999</v>
      </c>
      <c r="CR98" s="220">
        <f t="shared" si="557"/>
        <v>0</v>
      </c>
      <c r="CS98" s="503">
        <f t="shared" si="558"/>
        <v>0</v>
      </c>
      <c r="CT98" s="503">
        <f t="shared" si="559"/>
        <v>0.37907499999999994</v>
      </c>
      <c r="CU98" s="504">
        <f t="shared" si="560"/>
        <v>13</v>
      </c>
      <c r="CV98" s="504">
        <f t="shared" si="561"/>
        <v>1.43895</v>
      </c>
      <c r="CW98" s="502">
        <f t="shared" si="562"/>
        <v>23.248199999999997</v>
      </c>
      <c r="CX98" s="531">
        <f t="shared" si="563"/>
        <v>3.57</v>
      </c>
      <c r="CY98" s="537">
        <f t="shared" si="564"/>
        <v>1.7849999999999999</v>
      </c>
      <c r="CZ98" s="502">
        <f t="shared" si="565"/>
        <v>0</v>
      </c>
    </row>
    <row r="99" spans="1:104" ht="25" x14ac:dyDescent="0.25">
      <c r="A99" s="413" t="str">
        <f>'BOCA DE LOBO'!C93</f>
        <v>BL11-&gt;PV4.1</v>
      </c>
      <c r="B99" s="413" t="str">
        <f>'BOCA DE LOBO'!A93</f>
        <v>PV4.1</v>
      </c>
      <c r="C99" s="413" t="str">
        <f>VLOOKUP(A99,'BOCA DE LOBO'!$C$82:$Q$270,3,0)</f>
        <v>PROJETADO</v>
      </c>
      <c r="D99" s="413" t="str">
        <f>VLOOKUP(A99,'BOCA DE LOBO'!$C$82:$Q$270,10,0)</f>
        <v>PROJETADA</v>
      </c>
      <c r="E99" s="413">
        <f t="shared" si="481"/>
        <v>2.5</v>
      </c>
      <c r="F99" s="413">
        <f>VLOOKUP(A99,'BOCA DE LOBO'!$C$82:$Q$270,2,0)</f>
        <v>3.17</v>
      </c>
      <c r="G99" s="413">
        <f>VLOOKUP(A99,'BOCA DE LOBO'!$C$82:$Q$270,4,0)</f>
        <v>9.39</v>
      </c>
      <c r="H99" s="412">
        <v>400</v>
      </c>
      <c r="I99" s="493">
        <f t="shared" si="482"/>
        <v>2.9649999999999999</v>
      </c>
      <c r="J99" s="493">
        <f t="shared" si="483"/>
        <v>1.3920675</v>
      </c>
      <c r="K99" s="530">
        <v>0</v>
      </c>
      <c r="L99" s="531">
        <f t="shared" si="484"/>
        <v>1</v>
      </c>
      <c r="M99" s="531">
        <f t="shared" si="485"/>
        <v>1</v>
      </c>
      <c r="N99" s="531">
        <f t="shared" si="486"/>
        <v>0</v>
      </c>
      <c r="O99" s="531">
        <f t="shared" si="487"/>
        <v>9.39</v>
      </c>
      <c r="P99" s="532" t="str">
        <f>VLOOKUP(B99,'Planilha Hidráulica'!$AG:$AR,12,0)</f>
        <v>ASFALTO</v>
      </c>
      <c r="Q99" s="533" t="s">
        <v>2737</v>
      </c>
      <c r="R99" s="534">
        <v>1</v>
      </c>
      <c r="S99" s="532">
        <f>VLOOKUP(Q99,Quantitativos!P:R,3,0)</f>
        <v>8.7100000000000009</v>
      </c>
      <c r="T99" s="532">
        <f>VLOOKUP(Q99,Quantitativos!P:S,4,0)</f>
        <v>1.9</v>
      </c>
      <c r="U99" s="531">
        <f t="shared" si="488"/>
        <v>0.05</v>
      </c>
      <c r="V99" s="535">
        <f t="shared" si="489"/>
        <v>0</v>
      </c>
      <c r="W99" s="535">
        <f t="shared" si="490"/>
        <v>31.597350000000002</v>
      </c>
      <c r="X99" s="536">
        <f t="shared" si="491"/>
        <v>0</v>
      </c>
      <c r="Y99" s="536">
        <f t="shared" si="492"/>
        <v>3.3649999999999998</v>
      </c>
      <c r="Z99" s="536">
        <f t="shared" si="493"/>
        <v>0</v>
      </c>
      <c r="AA99" s="536">
        <f t="shared" si="494"/>
        <v>2.9649999999999999</v>
      </c>
      <c r="AB99" s="496">
        <f t="shared" si="495"/>
        <v>9.39</v>
      </c>
      <c r="AC99" s="251">
        <f t="shared" si="496"/>
        <v>14.085000000000001</v>
      </c>
      <c r="AD99" s="251">
        <f t="shared" si="497"/>
        <v>14.085000000000001</v>
      </c>
      <c r="AE99" s="251">
        <f t="shared" si="498"/>
        <v>3.4273499999999979</v>
      </c>
      <c r="AF99" s="251">
        <f t="shared" si="499"/>
        <v>0</v>
      </c>
      <c r="AG99" s="251">
        <f t="shared" si="500"/>
        <v>0</v>
      </c>
      <c r="AH99" s="251">
        <f t="shared" si="501"/>
        <v>0</v>
      </c>
      <c r="AI99" s="497" t="str">
        <f t="shared" si="502"/>
        <v>NÃO</v>
      </c>
      <c r="AJ99" s="531">
        <f t="shared" si="503"/>
        <v>0</v>
      </c>
      <c r="AK99" s="531">
        <f t="shared" si="504"/>
        <v>0.13333800000000001</v>
      </c>
      <c r="AL99" s="531">
        <f t="shared" si="505"/>
        <v>30.417367799311677</v>
      </c>
      <c r="AM99" s="493">
        <f t="shared" si="506"/>
        <v>0.46950000000000003</v>
      </c>
      <c r="AN99" s="535">
        <f t="shared" si="507"/>
        <v>0</v>
      </c>
      <c r="AO99" s="531">
        <f t="shared" si="508"/>
        <v>3.7560000000000002</v>
      </c>
      <c r="AP99" s="531">
        <f t="shared" si="509"/>
        <v>3.7560000000000002</v>
      </c>
      <c r="AQ99" s="531">
        <f t="shared" si="510"/>
        <v>0.7</v>
      </c>
      <c r="AR99" s="531">
        <f t="shared" si="511"/>
        <v>5.3930177993116741</v>
      </c>
      <c r="AS99" s="531">
        <f t="shared" si="512"/>
        <v>5.3930177993116741</v>
      </c>
      <c r="AT99" s="531">
        <f t="shared" si="513"/>
        <v>1.4085000000000001</v>
      </c>
      <c r="AU99" s="531">
        <f t="shared" si="514"/>
        <v>1.4085000000000001</v>
      </c>
      <c r="AV99" s="531">
        <f t="shared" si="515"/>
        <v>0.28170000000000001</v>
      </c>
      <c r="AW99" s="531">
        <f t="shared" si="516"/>
        <v>17.981850000000001</v>
      </c>
      <c r="AX99" s="531">
        <f t="shared" si="517"/>
        <v>-10.557517799311675</v>
      </c>
      <c r="AY99" s="531">
        <f t="shared" si="518"/>
        <v>-10.557517799311675</v>
      </c>
      <c r="AZ99" s="531">
        <f t="shared" si="519"/>
        <v>28.539367799311677</v>
      </c>
      <c r="BA99" s="531">
        <f t="shared" si="520"/>
        <v>5.7629690298391267</v>
      </c>
      <c r="BB99" s="531">
        <f t="shared" si="521"/>
        <v>22.77639876947255</v>
      </c>
      <c r="BC99" s="531"/>
      <c r="BD99" s="531">
        <f t="shared" si="522"/>
        <v>0.20658000000000001</v>
      </c>
      <c r="BE99" s="496">
        <f t="shared" si="523"/>
        <v>2.9649999999999999</v>
      </c>
      <c r="BF99" s="498">
        <f t="shared" si="524"/>
        <v>0</v>
      </c>
      <c r="BG99" s="498">
        <f t="shared" si="525"/>
        <v>9.39</v>
      </c>
      <c r="BH99" s="532" t="str">
        <f>VLOOKUP(A99,'BOCA DE LOBO'!C:I,7,0)</f>
        <v>BOCA DE LOBO PROJETADA DUPLA</v>
      </c>
      <c r="BI99" s="531">
        <f t="shared" si="526"/>
        <v>0</v>
      </c>
      <c r="BJ99" s="531">
        <f t="shared" si="527"/>
        <v>0</v>
      </c>
      <c r="BK99" s="531">
        <f t="shared" si="528"/>
        <v>0</v>
      </c>
      <c r="BL99" s="531">
        <f t="shared" si="529"/>
        <v>0</v>
      </c>
      <c r="BM99" s="531">
        <f t="shared" si="530"/>
        <v>0</v>
      </c>
      <c r="BN99" s="531">
        <f t="shared" si="531"/>
        <v>1</v>
      </c>
      <c r="BO99" s="499">
        <f t="shared" si="532"/>
        <v>0</v>
      </c>
      <c r="BP99" s="500"/>
      <c r="BQ99" s="496">
        <f t="shared" si="533"/>
        <v>28.17</v>
      </c>
      <c r="BR99" s="496">
        <f t="shared" si="534"/>
        <v>28.17</v>
      </c>
      <c r="BS99" s="496">
        <f t="shared" si="535"/>
        <v>8.7326999999999977</v>
      </c>
      <c r="BT99" s="501"/>
      <c r="BU99" s="501"/>
      <c r="BV99" s="502">
        <f t="shared" si="536"/>
        <v>17.992799999999999</v>
      </c>
      <c r="BW99" s="502">
        <f t="shared" si="537"/>
        <v>5.9975999999999994</v>
      </c>
      <c r="BX99" s="502">
        <f t="shared" si="538"/>
        <v>3.0325999999999995</v>
      </c>
      <c r="BY99" s="502">
        <f t="shared" si="539"/>
        <v>2.5</v>
      </c>
      <c r="BZ99" s="502">
        <f t="shared" si="540"/>
        <v>0</v>
      </c>
      <c r="CA99" s="502">
        <f t="shared" si="541"/>
        <v>3</v>
      </c>
      <c r="CB99" s="502">
        <f t="shared" si="542"/>
        <v>0</v>
      </c>
      <c r="CC99" s="502">
        <f t="shared" si="543"/>
        <v>0</v>
      </c>
      <c r="CD99" s="502">
        <f t="shared" si="544"/>
        <v>0</v>
      </c>
      <c r="CE99" s="502">
        <f t="shared" si="545"/>
        <v>8.9963999999999995</v>
      </c>
      <c r="CF99" s="502">
        <f t="shared" si="546"/>
        <v>8.9963999999999995</v>
      </c>
      <c r="CG99" s="502">
        <f t="shared" si="547"/>
        <v>0</v>
      </c>
      <c r="CH99" s="502">
        <f t="shared" si="548"/>
        <v>0</v>
      </c>
      <c r="CI99" s="531"/>
      <c r="CJ99" s="502">
        <f t="shared" si="549"/>
        <v>8.8949999999999996</v>
      </c>
      <c r="CK99" s="502">
        <f t="shared" si="550"/>
        <v>8.8949999999999996</v>
      </c>
      <c r="CL99" s="502">
        <f t="shared" si="551"/>
        <v>0</v>
      </c>
      <c r="CM99" s="502">
        <f t="shared" si="552"/>
        <v>0.11995199999999999</v>
      </c>
      <c r="CN99" s="502">
        <f t="shared" si="553"/>
        <v>3.57</v>
      </c>
      <c r="CO99" s="502">
        <f t="shared" si="554"/>
        <v>3</v>
      </c>
      <c r="CP99" s="502">
        <f t="shared" si="555"/>
        <v>10.709999999999999</v>
      </c>
      <c r="CQ99" s="502">
        <f t="shared" si="556"/>
        <v>10.709999999999999</v>
      </c>
      <c r="CR99" s="220">
        <f t="shared" si="557"/>
        <v>0</v>
      </c>
      <c r="CS99" s="503">
        <f t="shared" si="558"/>
        <v>0</v>
      </c>
      <c r="CT99" s="503">
        <f t="shared" si="559"/>
        <v>0.37907499999999994</v>
      </c>
      <c r="CU99" s="504">
        <f t="shared" si="560"/>
        <v>13</v>
      </c>
      <c r="CV99" s="504">
        <f t="shared" si="561"/>
        <v>1.43895</v>
      </c>
      <c r="CW99" s="502">
        <f t="shared" si="562"/>
        <v>23.248199999999997</v>
      </c>
      <c r="CX99" s="531">
        <f t="shared" si="563"/>
        <v>3.57</v>
      </c>
      <c r="CY99" s="537">
        <f t="shared" si="564"/>
        <v>1.7849999999999999</v>
      </c>
      <c r="CZ99" s="502">
        <f t="shared" si="565"/>
        <v>0</v>
      </c>
    </row>
    <row r="100" spans="1:104" ht="25" x14ac:dyDescent="0.25">
      <c r="A100" s="413" t="str">
        <f>'BOCA DE LOBO'!C94</f>
        <v>BL12-&gt;PV5.1</v>
      </c>
      <c r="B100" s="413" t="str">
        <f>'BOCA DE LOBO'!A94</f>
        <v>PV5.1</v>
      </c>
      <c r="C100" s="413" t="str">
        <f>VLOOKUP(A100,'BOCA DE LOBO'!$C$82:$Q$270,3,0)</f>
        <v>PROJETADO</v>
      </c>
      <c r="D100" s="413" t="str">
        <f>VLOOKUP(A100,'BOCA DE LOBO'!$C$82:$Q$270,10,0)</f>
        <v>PROJETADA</v>
      </c>
      <c r="E100" s="413">
        <f t="shared" si="481"/>
        <v>2.5</v>
      </c>
      <c r="F100" s="413">
        <f>VLOOKUP(A100,'BOCA DE LOBO'!$C$82:$Q$270,2,0)</f>
        <v>3.47</v>
      </c>
      <c r="G100" s="413">
        <f>VLOOKUP(A100,'BOCA DE LOBO'!$C$82:$Q$270,4,0)</f>
        <v>12.52</v>
      </c>
      <c r="H100" s="412">
        <v>400</v>
      </c>
      <c r="I100" s="493">
        <f t="shared" si="482"/>
        <v>3.1150000000000002</v>
      </c>
      <c r="J100" s="493">
        <f t="shared" si="483"/>
        <v>1.9499900000000001</v>
      </c>
      <c r="K100" s="530">
        <v>0</v>
      </c>
      <c r="L100" s="531">
        <f t="shared" si="484"/>
        <v>1</v>
      </c>
      <c r="M100" s="531">
        <f t="shared" si="485"/>
        <v>1</v>
      </c>
      <c r="N100" s="531">
        <f t="shared" si="486"/>
        <v>0</v>
      </c>
      <c r="O100" s="531">
        <f t="shared" si="487"/>
        <v>12.52</v>
      </c>
      <c r="P100" s="532" t="str">
        <f>VLOOKUP(B100,'Planilha Hidráulica'!$AG:$AR,12,0)</f>
        <v>ASFALTO</v>
      </c>
      <c r="Q100" s="533" t="s">
        <v>2737</v>
      </c>
      <c r="R100" s="534">
        <v>1</v>
      </c>
      <c r="S100" s="532">
        <f>VLOOKUP(Q100,Quantitativos!P:R,3,0)</f>
        <v>8.7100000000000009</v>
      </c>
      <c r="T100" s="532">
        <f>VLOOKUP(Q100,Quantitativos!P:S,4,0)</f>
        <v>1.9</v>
      </c>
      <c r="U100" s="531">
        <f t="shared" si="488"/>
        <v>0.05</v>
      </c>
      <c r="V100" s="535">
        <f t="shared" si="489"/>
        <v>0</v>
      </c>
      <c r="W100" s="535">
        <f t="shared" si="490"/>
        <v>44.007800000000003</v>
      </c>
      <c r="X100" s="536">
        <f t="shared" si="491"/>
        <v>0</v>
      </c>
      <c r="Y100" s="536">
        <f t="shared" si="492"/>
        <v>3.5150000000000001</v>
      </c>
      <c r="Z100" s="536">
        <f t="shared" si="493"/>
        <v>0</v>
      </c>
      <c r="AA100" s="536">
        <f t="shared" si="494"/>
        <v>3.1150000000000002</v>
      </c>
      <c r="AB100" s="496">
        <f t="shared" si="495"/>
        <v>12.52</v>
      </c>
      <c r="AC100" s="251">
        <f t="shared" si="496"/>
        <v>18.78</v>
      </c>
      <c r="AD100" s="251">
        <f t="shared" si="497"/>
        <v>18.78</v>
      </c>
      <c r="AE100" s="251">
        <f t="shared" si="498"/>
        <v>6.4478000000000018</v>
      </c>
      <c r="AF100" s="251">
        <f t="shared" si="499"/>
        <v>0</v>
      </c>
      <c r="AG100" s="251">
        <f t="shared" si="500"/>
        <v>0</v>
      </c>
      <c r="AH100" s="251">
        <f t="shared" si="501"/>
        <v>0</v>
      </c>
      <c r="AI100" s="497" t="str">
        <f t="shared" si="502"/>
        <v>NÃO</v>
      </c>
      <c r="AJ100" s="531">
        <f t="shared" si="503"/>
        <v>0</v>
      </c>
      <c r="AK100" s="531">
        <f t="shared" si="504"/>
        <v>0.20282400000000006</v>
      </c>
      <c r="AL100" s="531">
        <f t="shared" si="505"/>
        <v>42.434490399082236</v>
      </c>
      <c r="AM100" s="493">
        <f t="shared" si="506"/>
        <v>0.626</v>
      </c>
      <c r="AN100" s="535">
        <f t="shared" si="507"/>
        <v>0</v>
      </c>
      <c r="AO100" s="531">
        <f t="shared" si="508"/>
        <v>5.008</v>
      </c>
      <c r="AP100" s="531">
        <f t="shared" si="509"/>
        <v>5.008</v>
      </c>
      <c r="AQ100" s="531">
        <f t="shared" si="510"/>
        <v>0.7</v>
      </c>
      <c r="AR100" s="531">
        <f t="shared" si="511"/>
        <v>7.1906903990822304</v>
      </c>
      <c r="AS100" s="531">
        <f t="shared" si="512"/>
        <v>7.1906903990822304</v>
      </c>
      <c r="AT100" s="531">
        <f t="shared" si="513"/>
        <v>1.8779999999999999</v>
      </c>
      <c r="AU100" s="531">
        <f t="shared" si="514"/>
        <v>1.8779999999999999</v>
      </c>
      <c r="AV100" s="531">
        <f t="shared" si="515"/>
        <v>0.37559999999999999</v>
      </c>
      <c r="AW100" s="531">
        <f t="shared" si="516"/>
        <v>25.853800000000007</v>
      </c>
      <c r="AX100" s="531">
        <f t="shared" si="517"/>
        <v>-14.076690399082231</v>
      </c>
      <c r="AY100" s="531">
        <f t="shared" si="518"/>
        <v>-14.076690399082231</v>
      </c>
      <c r="AZ100" s="531">
        <f t="shared" si="519"/>
        <v>39.930490399082238</v>
      </c>
      <c r="BA100" s="531">
        <f t="shared" si="520"/>
        <v>8.0631841999579823</v>
      </c>
      <c r="BB100" s="531">
        <f t="shared" si="521"/>
        <v>31.867306199124258</v>
      </c>
      <c r="BC100" s="531"/>
      <c r="BD100" s="531">
        <f t="shared" si="522"/>
        <v>0.27544000000000002</v>
      </c>
      <c r="BE100" s="496">
        <f t="shared" si="523"/>
        <v>3.1150000000000002</v>
      </c>
      <c r="BF100" s="498">
        <f t="shared" si="524"/>
        <v>0</v>
      </c>
      <c r="BG100" s="498">
        <f t="shared" si="525"/>
        <v>0</v>
      </c>
      <c r="BH100" s="532" t="str">
        <f>VLOOKUP(A100,'BOCA DE LOBO'!C:I,7,0)</f>
        <v>BOCA DE LOBO PROJETADA DUPLA</v>
      </c>
      <c r="BI100" s="531">
        <f t="shared" si="526"/>
        <v>0</v>
      </c>
      <c r="BJ100" s="531">
        <f t="shared" si="527"/>
        <v>0</v>
      </c>
      <c r="BK100" s="531">
        <f t="shared" si="528"/>
        <v>0</v>
      </c>
      <c r="BL100" s="531">
        <f t="shared" si="529"/>
        <v>0</v>
      </c>
      <c r="BM100" s="531">
        <f t="shared" si="530"/>
        <v>0</v>
      </c>
      <c r="BN100" s="531">
        <f t="shared" si="531"/>
        <v>1</v>
      </c>
      <c r="BO100" s="499">
        <f t="shared" si="532"/>
        <v>0</v>
      </c>
      <c r="BP100" s="500"/>
      <c r="BQ100" s="496">
        <f t="shared" si="533"/>
        <v>37.56</v>
      </c>
      <c r="BR100" s="496">
        <f t="shared" si="534"/>
        <v>37.56</v>
      </c>
      <c r="BS100" s="496">
        <f t="shared" si="535"/>
        <v>15.399600000000005</v>
      </c>
      <c r="BT100" s="501"/>
      <c r="BU100" s="501"/>
      <c r="BV100" s="502">
        <f t="shared" si="536"/>
        <v>17.992799999999999</v>
      </c>
      <c r="BW100" s="502">
        <f t="shared" si="537"/>
        <v>5.9975999999999994</v>
      </c>
      <c r="BX100" s="502">
        <f t="shared" si="538"/>
        <v>3.0325999999999995</v>
      </c>
      <c r="BY100" s="502">
        <f t="shared" si="539"/>
        <v>2.5</v>
      </c>
      <c r="BZ100" s="502">
        <f t="shared" si="540"/>
        <v>0</v>
      </c>
      <c r="CA100" s="502">
        <f t="shared" si="541"/>
        <v>3</v>
      </c>
      <c r="CB100" s="502">
        <f t="shared" si="542"/>
        <v>0</v>
      </c>
      <c r="CC100" s="502">
        <f t="shared" si="543"/>
        <v>0</v>
      </c>
      <c r="CD100" s="502">
        <f t="shared" si="544"/>
        <v>0</v>
      </c>
      <c r="CE100" s="502">
        <f t="shared" si="545"/>
        <v>8.9963999999999995</v>
      </c>
      <c r="CF100" s="502">
        <f t="shared" si="546"/>
        <v>8.9963999999999995</v>
      </c>
      <c r="CG100" s="502">
        <f t="shared" si="547"/>
        <v>0</v>
      </c>
      <c r="CH100" s="502">
        <f t="shared" si="548"/>
        <v>0</v>
      </c>
      <c r="CI100" s="531"/>
      <c r="CJ100" s="502">
        <f t="shared" si="549"/>
        <v>8.8949999999999996</v>
      </c>
      <c r="CK100" s="502">
        <f t="shared" si="550"/>
        <v>8.8949999999999996</v>
      </c>
      <c r="CL100" s="502">
        <f t="shared" si="551"/>
        <v>0</v>
      </c>
      <c r="CM100" s="502">
        <f t="shared" si="552"/>
        <v>0.11995199999999999</v>
      </c>
      <c r="CN100" s="502">
        <f t="shared" si="553"/>
        <v>3.57</v>
      </c>
      <c r="CO100" s="502">
        <f t="shared" si="554"/>
        <v>3</v>
      </c>
      <c r="CP100" s="502">
        <f t="shared" si="555"/>
        <v>10.709999999999999</v>
      </c>
      <c r="CQ100" s="502">
        <f t="shared" si="556"/>
        <v>10.709999999999999</v>
      </c>
      <c r="CR100" s="220">
        <f t="shared" si="557"/>
        <v>0</v>
      </c>
      <c r="CS100" s="503">
        <f t="shared" si="558"/>
        <v>0</v>
      </c>
      <c r="CT100" s="503">
        <f t="shared" si="559"/>
        <v>0.37907499999999994</v>
      </c>
      <c r="CU100" s="504">
        <f t="shared" si="560"/>
        <v>13</v>
      </c>
      <c r="CV100" s="504">
        <f t="shared" si="561"/>
        <v>1.43895</v>
      </c>
      <c r="CW100" s="502">
        <f t="shared" si="562"/>
        <v>23.248199999999997</v>
      </c>
      <c r="CX100" s="531">
        <f t="shared" si="563"/>
        <v>3.57</v>
      </c>
      <c r="CY100" s="537">
        <f t="shared" si="564"/>
        <v>1.7849999999999999</v>
      </c>
      <c r="CZ100" s="502">
        <f t="shared" si="565"/>
        <v>0</v>
      </c>
    </row>
    <row r="101" spans="1:104" ht="25" x14ac:dyDescent="0.25">
      <c r="A101" s="413" t="str">
        <f>'BOCA DE LOBO'!C95</f>
        <v>BL13-&gt;PV5.1</v>
      </c>
      <c r="B101" s="413" t="str">
        <f>'BOCA DE LOBO'!A95</f>
        <v>PV5.1</v>
      </c>
      <c r="C101" s="413" t="str">
        <f>VLOOKUP(A101,'BOCA DE LOBO'!$C$82:$Q$270,3,0)</f>
        <v>PROJETADO</v>
      </c>
      <c r="D101" s="413" t="str">
        <f>VLOOKUP(A101,'BOCA DE LOBO'!$C$82:$Q$270,10,0)</f>
        <v>PROJETADA</v>
      </c>
      <c r="E101" s="413">
        <f t="shared" si="481"/>
        <v>2.5</v>
      </c>
      <c r="F101" s="413">
        <f>VLOOKUP(A101,'BOCA DE LOBO'!$C$82:$Q$270,2,0)</f>
        <v>3.47</v>
      </c>
      <c r="G101" s="413">
        <f>VLOOKUP(A101,'BOCA DE LOBO'!$C$82:$Q$270,4,0)</f>
        <v>8.5399999999999991</v>
      </c>
      <c r="H101" s="412">
        <v>400</v>
      </c>
      <c r="I101" s="493">
        <f t="shared" si="482"/>
        <v>3.1150000000000002</v>
      </c>
      <c r="J101" s="493">
        <f t="shared" si="483"/>
        <v>1.3301050000000001</v>
      </c>
      <c r="K101" s="530">
        <v>0</v>
      </c>
      <c r="L101" s="531">
        <f t="shared" si="484"/>
        <v>1</v>
      </c>
      <c r="M101" s="531">
        <f t="shared" si="485"/>
        <v>1</v>
      </c>
      <c r="N101" s="531">
        <f t="shared" si="486"/>
        <v>0</v>
      </c>
      <c r="O101" s="531">
        <f t="shared" si="487"/>
        <v>8.5399999999999991</v>
      </c>
      <c r="P101" s="532" t="str">
        <f>VLOOKUP(B101,'Planilha Hidráulica'!$AG:$AR,12,0)</f>
        <v>ASFALTO</v>
      </c>
      <c r="Q101" s="533" t="s">
        <v>2737</v>
      </c>
      <c r="R101" s="534">
        <v>1</v>
      </c>
      <c r="S101" s="532">
        <f>VLOOKUP(Q101,Quantitativos!P:R,3,0)</f>
        <v>8.7100000000000009</v>
      </c>
      <c r="T101" s="532">
        <f>VLOOKUP(Q101,Quantitativos!P:S,4,0)</f>
        <v>1.9</v>
      </c>
      <c r="U101" s="531">
        <f t="shared" si="488"/>
        <v>0.05</v>
      </c>
      <c r="V101" s="535">
        <f t="shared" si="489"/>
        <v>0</v>
      </c>
      <c r="W101" s="535">
        <f t="shared" si="490"/>
        <v>30.0181</v>
      </c>
      <c r="X101" s="536">
        <f t="shared" si="491"/>
        <v>0</v>
      </c>
      <c r="Y101" s="536">
        <f t="shared" si="492"/>
        <v>3.5150000000000001</v>
      </c>
      <c r="Z101" s="536">
        <f t="shared" si="493"/>
        <v>0</v>
      </c>
      <c r="AA101" s="536">
        <f t="shared" si="494"/>
        <v>3.1150000000000002</v>
      </c>
      <c r="AB101" s="496">
        <f t="shared" si="495"/>
        <v>8.5399999999999991</v>
      </c>
      <c r="AC101" s="251">
        <f t="shared" si="496"/>
        <v>12.809999999999999</v>
      </c>
      <c r="AD101" s="251">
        <f t="shared" si="497"/>
        <v>12.809999999999999</v>
      </c>
      <c r="AE101" s="251">
        <f t="shared" si="498"/>
        <v>4.3981000000000003</v>
      </c>
      <c r="AF101" s="251">
        <f t="shared" si="499"/>
        <v>0</v>
      </c>
      <c r="AG101" s="251">
        <f t="shared" si="500"/>
        <v>0</v>
      </c>
      <c r="AH101" s="251">
        <f t="shared" si="501"/>
        <v>0</v>
      </c>
      <c r="AI101" s="497" t="str">
        <f t="shared" si="502"/>
        <v>NÃO</v>
      </c>
      <c r="AJ101" s="531">
        <f t="shared" si="503"/>
        <v>0</v>
      </c>
      <c r="AK101" s="531">
        <f t="shared" si="504"/>
        <v>0.13834800000000003</v>
      </c>
      <c r="AL101" s="531">
        <f t="shared" si="505"/>
        <v>28.944931949533728</v>
      </c>
      <c r="AM101" s="493">
        <f t="shared" si="506"/>
        <v>0.42699999999999999</v>
      </c>
      <c r="AN101" s="535">
        <f t="shared" si="507"/>
        <v>0</v>
      </c>
      <c r="AO101" s="531">
        <f t="shared" si="508"/>
        <v>3.4159999999999999</v>
      </c>
      <c r="AP101" s="531">
        <f t="shared" si="509"/>
        <v>3.4159999999999999</v>
      </c>
      <c r="AQ101" s="531">
        <f t="shared" si="510"/>
        <v>0.7</v>
      </c>
      <c r="AR101" s="531">
        <f t="shared" si="511"/>
        <v>4.904831949533726</v>
      </c>
      <c r="AS101" s="531">
        <f t="shared" si="512"/>
        <v>4.904831949533726</v>
      </c>
      <c r="AT101" s="531">
        <f t="shared" si="513"/>
        <v>1.2809999999999999</v>
      </c>
      <c r="AU101" s="531">
        <f t="shared" si="514"/>
        <v>1.2809999999999999</v>
      </c>
      <c r="AV101" s="531">
        <f t="shared" si="515"/>
        <v>0.25619999999999998</v>
      </c>
      <c r="AW101" s="531">
        <f t="shared" si="516"/>
        <v>17.635100000000005</v>
      </c>
      <c r="AX101" s="531">
        <f t="shared" si="517"/>
        <v>-9.6018319495337252</v>
      </c>
      <c r="AY101" s="531">
        <f t="shared" si="518"/>
        <v>-9.6018319495337252</v>
      </c>
      <c r="AZ101" s="531">
        <f t="shared" si="519"/>
        <v>27.23693194953373</v>
      </c>
      <c r="BA101" s="531">
        <f t="shared" si="520"/>
        <v>5.4999674974154287</v>
      </c>
      <c r="BB101" s="531">
        <f t="shared" si="521"/>
        <v>21.736964452118301</v>
      </c>
      <c r="BC101" s="531"/>
      <c r="BD101" s="531">
        <f t="shared" si="522"/>
        <v>0.18788000000000002</v>
      </c>
      <c r="BE101" s="496">
        <f t="shared" si="523"/>
        <v>3.1150000000000002</v>
      </c>
      <c r="BF101" s="498">
        <f t="shared" si="524"/>
        <v>0</v>
      </c>
      <c r="BG101" s="498">
        <f t="shared" si="525"/>
        <v>0</v>
      </c>
      <c r="BH101" s="532" t="str">
        <f>VLOOKUP(A101,'BOCA DE LOBO'!C:I,7,0)</f>
        <v>BOCA DE LOBO PROJETADA DUPLA</v>
      </c>
      <c r="BI101" s="531">
        <f t="shared" si="526"/>
        <v>0</v>
      </c>
      <c r="BJ101" s="531">
        <f t="shared" si="527"/>
        <v>0</v>
      </c>
      <c r="BK101" s="531">
        <f t="shared" si="528"/>
        <v>0</v>
      </c>
      <c r="BL101" s="531">
        <f t="shared" si="529"/>
        <v>0</v>
      </c>
      <c r="BM101" s="531">
        <f t="shared" si="530"/>
        <v>0</v>
      </c>
      <c r="BN101" s="531">
        <f t="shared" si="531"/>
        <v>1</v>
      </c>
      <c r="BO101" s="499">
        <f t="shared" si="532"/>
        <v>0</v>
      </c>
      <c r="BP101" s="500"/>
      <c r="BQ101" s="496">
        <f t="shared" si="533"/>
        <v>25.619999999999997</v>
      </c>
      <c r="BR101" s="496">
        <f t="shared" si="534"/>
        <v>25.619999999999997</v>
      </c>
      <c r="BS101" s="496">
        <f t="shared" si="535"/>
        <v>10.504200000000003</v>
      </c>
      <c r="BT101" s="501"/>
      <c r="BU101" s="501"/>
      <c r="BV101" s="502">
        <f t="shared" si="536"/>
        <v>17.992799999999999</v>
      </c>
      <c r="BW101" s="502">
        <f t="shared" si="537"/>
        <v>5.9975999999999994</v>
      </c>
      <c r="BX101" s="502">
        <f t="shared" si="538"/>
        <v>3.0325999999999995</v>
      </c>
      <c r="BY101" s="502">
        <f t="shared" si="539"/>
        <v>2.5</v>
      </c>
      <c r="BZ101" s="502">
        <f t="shared" si="540"/>
        <v>0</v>
      </c>
      <c r="CA101" s="502">
        <f t="shared" si="541"/>
        <v>3</v>
      </c>
      <c r="CB101" s="502">
        <f t="shared" si="542"/>
        <v>0</v>
      </c>
      <c r="CC101" s="502">
        <f t="shared" si="543"/>
        <v>0</v>
      </c>
      <c r="CD101" s="502">
        <f t="shared" si="544"/>
        <v>0</v>
      </c>
      <c r="CE101" s="502">
        <f t="shared" si="545"/>
        <v>8.9963999999999995</v>
      </c>
      <c r="CF101" s="502">
        <f t="shared" si="546"/>
        <v>8.9963999999999995</v>
      </c>
      <c r="CG101" s="502">
        <f t="shared" si="547"/>
        <v>0</v>
      </c>
      <c r="CH101" s="502">
        <f t="shared" si="548"/>
        <v>0</v>
      </c>
      <c r="CI101" s="531"/>
      <c r="CJ101" s="502">
        <f t="shared" si="549"/>
        <v>8.8949999999999996</v>
      </c>
      <c r="CK101" s="502">
        <f t="shared" si="550"/>
        <v>8.8949999999999996</v>
      </c>
      <c r="CL101" s="502">
        <f t="shared" si="551"/>
        <v>0</v>
      </c>
      <c r="CM101" s="502">
        <f t="shared" si="552"/>
        <v>0.11995199999999999</v>
      </c>
      <c r="CN101" s="502">
        <f t="shared" si="553"/>
        <v>3.57</v>
      </c>
      <c r="CO101" s="502">
        <f t="shared" si="554"/>
        <v>3</v>
      </c>
      <c r="CP101" s="502">
        <f t="shared" si="555"/>
        <v>10.709999999999999</v>
      </c>
      <c r="CQ101" s="502">
        <f t="shared" si="556"/>
        <v>10.709999999999999</v>
      </c>
      <c r="CR101" s="220">
        <f t="shared" si="557"/>
        <v>0</v>
      </c>
      <c r="CS101" s="503">
        <f t="shared" si="558"/>
        <v>0</v>
      </c>
      <c r="CT101" s="503">
        <f t="shared" si="559"/>
        <v>0.37907499999999994</v>
      </c>
      <c r="CU101" s="504">
        <f t="shared" si="560"/>
        <v>13</v>
      </c>
      <c r="CV101" s="504">
        <f t="shared" si="561"/>
        <v>1.43895</v>
      </c>
      <c r="CW101" s="502">
        <f t="shared" si="562"/>
        <v>23.248199999999997</v>
      </c>
      <c r="CX101" s="531">
        <f t="shared" si="563"/>
        <v>3.57</v>
      </c>
      <c r="CY101" s="537">
        <f t="shared" si="564"/>
        <v>1.7849999999999999</v>
      </c>
      <c r="CZ101" s="502">
        <f t="shared" si="565"/>
        <v>0</v>
      </c>
    </row>
    <row r="102" spans="1:104" ht="25" x14ac:dyDescent="0.25">
      <c r="A102" s="413" t="str">
        <f>'BOCA DE LOBO'!C96</f>
        <v>BL14-&gt;PV7.1</v>
      </c>
      <c r="B102" s="413" t="str">
        <f>'BOCA DE LOBO'!A96</f>
        <v>PV7.1</v>
      </c>
      <c r="C102" s="413" t="str">
        <f>VLOOKUP(A102,'BOCA DE LOBO'!$C$82:$Q$270,3,0)</f>
        <v>PROJETADO</v>
      </c>
      <c r="D102" s="413" t="str">
        <f>VLOOKUP(A102,'BOCA DE LOBO'!$C$82:$Q$270,10,0)</f>
        <v>PROJETADA</v>
      </c>
      <c r="E102" s="413">
        <f t="shared" si="481"/>
        <v>2.5</v>
      </c>
      <c r="F102" s="413">
        <f>VLOOKUP(A102,'BOCA DE LOBO'!$C$82:$Q$270,2,0)</f>
        <v>4.1500000000000004</v>
      </c>
      <c r="G102" s="413">
        <f>VLOOKUP(A102,'BOCA DE LOBO'!$C$82:$Q$270,4,0)</f>
        <v>6.16</v>
      </c>
      <c r="H102" s="412">
        <v>400</v>
      </c>
      <c r="I102" s="493">
        <f t="shared" si="482"/>
        <v>3.4550000000000001</v>
      </c>
      <c r="J102" s="493">
        <f t="shared" si="483"/>
        <v>1.0641400000000001</v>
      </c>
      <c r="K102" s="530">
        <v>0</v>
      </c>
      <c r="L102" s="531">
        <f t="shared" si="484"/>
        <v>1</v>
      </c>
      <c r="M102" s="531">
        <f t="shared" si="485"/>
        <v>1</v>
      </c>
      <c r="N102" s="531">
        <f t="shared" si="486"/>
        <v>0</v>
      </c>
      <c r="O102" s="531">
        <f t="shared" si="487"/>
        <v>6.16</v>
      </c>
      <c r="P102" s="532" t="str">
        <f>VLOOKUP(B102,'Planilha Hidráulica'!$AG:$AR,12,0)</f>
        <v>ASFALTO</v>
      </c>
      <c r="Q102" s="533" t="s">
        <v>2737</v>
      </c>
      <c r="R102" s="534">
        <v>1</v>
      </c>
      <c r="S102" s="532">
        <f>VLOOKUP(Q102,Quantitativos!P:R,3,0)</f>
        <v>8.7100000000000009</v>
      </c>
      <c r="T102" s="532">
        <f>VLOOKUP(Q102,Quantitativos!P:S,4,0)</f>
        <v>1.9</v>
      </c>
      <c r="U102" s="531">
        <f t="shared" si="488"/>
        <v>0.05</v>
      </c>
      <c r="V102" s="535">
        <f t="shared" si="489"/>
        <v>0</v>
      </c>
      <c r="W102" s="535">
        <f t="shared" si="490"/>
        <v>23.7468</v>
      </c>
      <c r="X102" s="536">
        <f t="shared" si="491"/>
        <v>0</v>
      </c>
      <c r="Y102" s="536">
        <f t="shared" si="492"/>
        <v>3.855</v>
      </c>
      <c r="Z102" s="536">
        <f t="shared" si="493"/>
        <v>0</v>
      </c>
      <c r="AA102" s="536">
        <f t="shared" si="494"/>
        <v>3.4550000000000001</v>
      </c>
      <c r="AB102" s="496">
        <f t="shared" si="495"/>
        <v>6.16</v>
      </c>
      <c r="AC102" s="251">
        <f t="shared" si="496"/>
        <v>9.24</v>
      </c>
      <c r="AD102" s="251">
        <f t="shared" si="497"/>
        <v>9.24</v>
      </c>
      <c r="AE102" s="251">
        <f t="shared" si="498"/>
        <v>5.2667999999999999</v>
      </c>
      <c r="AF102" s="251">
        <f t="shared" si="499"/>
        <v>0</v>
      </c>
      <c r="AG102" s="251">
        <f t="shared" si="500"/>
        <v>0</v>
      </c>
      <c r="AH102" s="251">
        <f t="shared" si="501"/>
        <v>0</v>
      </c>
      <c r="AI102" s="497" t="str">
        <f t="shared" si="502"/>
        <v>NÃO</v>
      </c>
      <c r="AJ102" s="531">
        <f t="shared" si="503"/>
        <v>0</v>
      </c>
      <c r="AK102" s="531">
        <f t="shared" si="504"/>
        <v>0.12771733333333335</v>
      </c>
      <c r="AL102" s="531">
        <f t="shared" si="505"/>
        <v>22.972711570155475</v>
      </c>
      <c r="AM102" s="493">
        <f t="shared" si="506"/>
        <v>0.30800000000000005</v>
      </c>
      <c r="AN102" s="535">
        <f t="shared" si="507"/>
        <v>0</v>
      </c>
      <c r="AO102" s="531">
        <f t="shared" si="508"/>
        <v>2.4640000000000004</v>
      </c>
      <c r="AP102" s="531">
        <f t="shared" si="509"/>
        <v>2.4640000000000004</v>
      </c>
      <c r="AQ102" s="531">
        <f t="shared" si="510"/>
        <v>0.7</v>
      </c>
      <c r="AR102" s="531">
        <f t="shared" si="511"/>
        <v>3.5379115701554742</v>
      </c>
      <c r="AS102" s="531">
        <f t="shared" si="512"/>
        <v>3.5379115701554742</v>
      </c>
      <c r="AT102" s="531">
        <f t="shared" si="513"/>
        <v>0.92399999999999993</v>
      </c>
      <c r="AU102" s="531">
        <f t="shared" si="514"/>
        <v>0.92399999999999993</v>
      </c>
      <c r="AV102" s="531">
        <f t="shared" si="515"/>
        <v>0.18479999999999999</v>
      </c>
      <c r="AW102" s="531">
        <f t="shared" si="516"/>
        <v>14.814800000000004</v>
      </c>
      <c r="AX102" s="531">
        <f t="shared" si="517"/>
        <v>-6.9259115701554741</v>
      </c>
      <c r="AY102" s="531">
        <f t="shared" si="518"/>
        <v>-6.9259115701554741</v>
      </c>
      <c r="AZ102" s="531">
        <f t="shared" si="519"/>
        <v>21.740711570155476</v>
      </c>
      <c r="BA102" s="531">
        <f t="shared" si="520"/>
        <v>4.3901129256441687</v>
      </c>
      <c r="BB102" s="531">
        <f t="shared" si="521"/>
        <v>17.350598644511308</v>
      </c>
      <c r="BC102" s="531"/>
      <c r="BD102" s="531">
        <f t="shared" si="522"/>
        <v>0.13552000000000003</v>
      </c>
      <c r="BE102" s="496">
        <f t="shared" si="523"/>
        <v>3.4550000000000001</v>
      </c>
      <c r="BF102" s="498">
        <f t="shared" si="524"/>
        <v>0</v>
      </c>
      <c r="BG102" s="498">
        <f t="shared" si="525"/>
        <v>0</v>
      </c>
      <c r="BH102" s="532" t="str">
        <f>VLOOKUP(A102,'BOCA DE LOBO'!C:I,7,0)</f>
        <v>BOCA DE LOBO PROJETADA DUPLA</v>
      </c>
      <c r="BI102" s="531">
        <f t="shared" si="526"/>
        <v>0</v>
      </c>
      <c r="BJ102" s="531">
        <f t="shared" si="527"/>
        <v>0</v>
      </c>
      <c r="BK102" s="531">
        <f t="shared" si="528"/>
        <v>0</v>
      </c>
      <c r="BL102" s="531">
        <f t="shared" si="529"/>
        <v>0</v>
      </c>
      <c r="BM102" s="531">
        <f t="shared" si="530"/>
        <v>0</v>
      </c>
      <c r="BN102" s="531">
        <f t="shared" si="531"/>
        <v>1</v>
      </c>
      <c r="BO102" s="499">
        <f t="shared" si="532"/>
        <v>0</v>
      </c>
      <c r="BP102" s="500"/>
      <c r="BQ102" s="496">
        <f t="shared" si="533"/>
        <v>18.48</v>
      </c>
      <c r="BR102" s="496">
        <f t="shared" si="534"/>
        <v>18.48</v>
      </c>
      <c r="BS102" s="496">
        <f t="shared" si="535"/>
        <v>11.765600000000001</v>
      </c>
      <c r="BT102" s="501"/>
      <c r="BU102" s="501"/>
      <c r="BV102" s="502">
        <f t="shared" si="536"/>
        <v>17.992799999999999</v>
      </c>
      <c r="BW102" s="502">
        <f t="shared" si="537"/>
        <v>5.9975999999999994</v>
      </c>
      <c r="BX102" s="502">
        <f t="shared" si="538"/>
        <v>3.0325999999999995</v>
      </c>
      <c r="BY102" s="502">
        <f t="shared" si="539"/>
        <v>2.5</v>
      </c>
      <c r="BZ102" s="502">
        <f t="shared" si="540"/>
        <v>0</v>
      </c>
      <c r="CA102" s="502">
        <f t="shared" si="541"/>
        <v>3</v>
      </c>
      <c r="CB102" s="502">
        <f t="shared" si="542"/>
        <v>0</v>
      </c>
      <c r="CC102" s="502">
        <f t="shared" si="543"/>
        <v>0</v>
      </c>
      <c r="CD102" s="502">
        <f t="shared" si="544"/>
        <v>0</v>
      </c>
      <c r="CE102" s="502">
        <f t="shared" si="545"/>
        <v>8.9963999999999995</v>
      </c>
      <c r="CF102" s="502">
        <f t="shared" si="546"/>
        <v>8.9963999999999995</v>
      </c>
      <c r="CG102" s="502">
        <f t="shared" si="547"/>
        <v>0</v>
      </c>
      <c r="CH102" s="502">
        <f t="shared" si="548"/>
        <v>0</v>
      </c>
      <c r="CI102" s="531"/>
      <c r="CJ102" s="502">
        <f t="shared" si="549"/>
        <v>8.8949999999999996</v>
      </c>
      <c r="CK102" s="502">
        <f t="shared" si="550"/>
        <v>8.8949999999999996</v>
      </c>
      <c r="CL102" s="502">
        <f t="shared" si="551"/>
        <v>0</v>
      </c>
      <c r="CM102" s="502">
        <f t="shared" si="552"/>
        <v>0.11995199999999999</v>
      </c>
      <c r="CN102" s="502">
        <f t="shared" si="553"/>
        <v>3.57</v>
      </c>
      <c r="CO102" s="502">
        <f t="shared" si="554"/>
        <v>3</v>
      </c>
      <c r="CP102" s="502">
        <f t="shared" si="555"/>
        <v>10.709999999999999</v>
      </c>
      <c r="CQ102" s="502">
        <f t="shared" si="556"/>
        <v>10.709999999999999</v>
      </c>
      <c r="CR102" s="220">
        <f t="shared" si="557"/>
        <v>0</v>
      </c>
      <c r="CS102" s="503">
        <f t="shared" si="558"/>
        <v>0</v>
      </c>
      <c r="CT102" s="503">
        <f t="shared" si="559"/>
        <v>0.37907499999999994</v>
      </c>
      <c r="CU102" s="504">
        <f t="shared" si="560"/>
        <v>13</v>
      </c>
      <c r="CV102" s="504">
        <f t="shared" si="561"/>
        <v>1.43895</v>
      </c>
      <c r="CW102" s="502">
        <f t="shared" si="562"/>
        <v>23.248199999999997</v>
      </c>
      <c r="CX102" s="531">
        <f t="shared" si="563"/>
        <v>3.57</v>
      </c>
      <c r="CY102" s="537">
        <f t="shared" si="564"/>
        <v>1.7849999999999999</v>
      </c>
      <c r="CZ102" s="502">
        <f t="shared" si="565"/>
        <v>0</v>
      </c>
    </row>
    <row r="103" spans="1:104" ht="25" x14ac:dyDescent="0.25">
      <c r="A103" s="413" t="str">
        <f>'BOCA DE LOBO'!C97</f>
        <v>BL15-&gt;PV8.1</v>
      </c>
      <c r="B103" s="413" t="str">
        <f>'BOCA DE LOBO'!A97</f>
        <v>PV8.1</v>
      </c>
      <c r="C103" s="413" t="str">
        <f>VLOOKUP(A103,'BOCA DE LOBO'!$C$82:$Q$270,3,0)</f>
        <v>PROJETADO</v>
      </c>
      <c r="D103" s="413" t="str">
        <f>VLOOKUP(A103,'BOCA DE LOBO'!$C$82:$Q$270,10,0)</f>
        <v>PROJETADA</v>
      </c>
      <c r="E103" s="413">
        <f t="shared" si="481"/>
        <v>2.5</v>
      </c>
      <c r="F103" s="413">
        <f>VLOOKUP(A103,'BOCA DE LOBO'!$C$82:$Q$270,2,0)</f>
        <v>3.8</v>
      </c>
      <c r="G103" s="413">
        <f>VLOOKUP(A103,'BOCA DE LOBO'!$C$82:$Q$270,4,0)</f>
        <v>5.96</v>
      </c>
      <c r="H103" s="412">
        <v>400</v>
      </c>
      <c r="I103" s="493">
        <f t="shared" si="482"/>
        <v>3.28</v>
      </c>
      <c r="J103" s="493">
        <f t="shared" si="483"/>
        <v>0.97743999999999998</v>
      </c>
      <c r="K103" s="530">
        <v>0</v>
      </c>
      <c r="L103" s="531">
        <f t="shared" si="484"/>
        <v>1</v>
      </c>
      <c r="M103" s="531">
        <f t="shared" si="485"/>
        <v>1</v>
      </c>
      <c r="N103" s="531">
        <f t="shared" si="486"/>
        <v>0</v>
      </c>
      <c r="O103" s="531">
        <f t="shared" si="487"/>
        <v>5.96</v>
      </c>
      <c r="P103" s="532" t="s">
        <v>2392</v>
      </c>
      <c r="Q103" s="533" t="s">
        <v>2737</v>
      </c>
      <c r="R103" s="534">
        <v>1</v>
      </c>
      <c r="S103" s="532">
        <f>VLOOKUP(Q103,Quantitativos!P:R,3,0)</f>
        <v>8.7100000000000009</v>
      </c>
      <c r="T103" s="532">
        <f>VLOOKUP(Q103,Quantitativos!P:S,4,0)</f>
        <v>1.9</v>
      </c>
      <c r="U103" s="531">
        <f t="shared" si="488"/>
        <v>0.05</v>
      </c>
      <c r="V103" s="535">
        <f t="shared" si="489"/>
        <v>0</v>
      </c>
      <c r="W103" s="535">
        <f t="shared" si="490"/>
        <v>21.9328</v>
      </c>
      <c r="X103" s="536">
        <f t="shared" si="491"/>
        <v>0</v>
      </c>
      <c r="Y103" s="536">
        <f t="shared" si="492"/>
        <v>3.6799999999999997</v>
      </c>
      <c r="Z103" s="536">
        <f t="shared" si="493"/>
        <v>0</v>
      </c>
      <c r="AA103" s="536">
        <f t="shared" si="494"/>
        <v>3.28</v>
      </c>
      <c r="AB103" s="496">
        <f t="shared" si="495"/>
        <v>5.96</v>
      </c>
      <c r="AC103" s="251">
        <f t="shared" si="496"/>
        <v>8.94</v>
      </c>
      <c r="AD103" s="251">
        <f t="shared" si="497"/>
        <v>8.94</v>
      </c>
      <c r="AE103" s="251">
        <f t="shared" si="498"/>
        <v>4.0527999999999986</v>
      </c>
      <c r="AF103" s="251">
        <f t="shared" si="499"/>
        <v>0</v>
      </c>
      <c r="AG103" s="251">
        <f t="shared" si="500"/>
        <v>0</v>
      </c>
      <c r="AH103" s="251">
        <f t="shared" si="501"/>
        <v>0</v>
      </c>
      <c r="AI103" s="497" t="str">
        <f t="shared" si="502"/>
        <v>NÃO</v>
      </c>
      <c r="AJ103" s="531">
        <f t="shared" si="503"/>
        <v>0</v>
      </c>
      <c r="AK103" s="531">
        <f t="shared" si="504"/>
        <v>0.109664</v>
      </c>
      <c r="AL103" s="531">
        <f t="shared" si="505"/>
        <v>21.183844311384192</v>
      </c>
      <c r="AM103" s="493">
        <f t="shared" si="506"/>
        <v>0.29799999999999999</v>
      </c>
      <c r="AN103" s="535">
        <f t="shared" si="507"/>
        <v>0</v>
      </c>
      <c r="AO103" s="531">
        <f t="shared" si="508"/>
        <v>2.3839999999999999</v>
      </c>
      <c r="AP103" s="531">
        <f t="shared" si="509"/>
        <v>2.3839999999999999</v>
      </c>
      <c r="AQ103" s="531">
        <f t="shared" si="510"/>
        <v>0.7</v>
      </c>
      <c r="AR103" s="531">
        <f t="shared" si="511"/>
        <v>3.4230443113841931</v>
      </c>
      <c r="AS103" s="531">
        <f t="shared" si="512"/>
        <v>3.4230443113841931</v>
      </c>
      <c r="AT103" s="531">
        <f t="shared" si="513"/>
        <v>0.89400000000000002</v>
      </c>
      <c r="AU103" s="531">
        <f t="shared" si="514"/>
        <v>0.89400000000000002</v>
      </c>
      <c r="AV103" s="531">
        <f t="shared" si="515"/>
        <v>0.17879999999999999</v>
      </c>
      <c r="AW103" s="531">
        <f t="shared" si="516"/>
        <v>13.290800000000004</v>
      </c>
      <c r="AX103" s="531">
        <f t="shared" si="517"/>
        <v>-6.7010443113841927</v>
      </c>
      <c r="AY103" s="531">
        <f t="shared" si="518"/>
        <v>-6.7010443113841927</v>
      </c>
      <c r="AZ103" s="531">
        <f t="shared" si="519"/>
        <v>19.991844311384199</v>
      </c>
      <c r="BA103" s="531">
        <f t="shared" si="520"/>
        <v>4.0369632721384736</v>
      </c>
      <c r="BB103" s="531">
        <f t="shared" si="521"/>
        <v>15.954881039245725</v>
      </c>
      <c r="BC103" s="531"/>
      <c r="BD103" s="531">
        <f t="shared" si="522"/>
        <v>0.13112000000000001</v>
      </c>
      <c r="BE103" s="496">
        <f t="shared" si="523"/>
        <v>3.28</v>
      </c>
      <c r="BF103" s="498">
        <f t="shared" si="524"/>
        <v>0</v>
      </c>
      <c r="BG103" s="498">
        <f t="shared" si="525"/>
        <v>0</v>
      </c>
      <c r="BH103" s="532" t="str">
        <f>VLOOKUP(A103,'BOCA DE LOBO'!C:I,7,0)</f>
        <v>BOCA DE LOBO PROJETADA DUPLA</v>
      </c>
      <c r="BI103" s="531">
        <f t="shared" si="526"/>
        <v>0</v>
      </c>
      <c r="BJ103" s="531">
        <f t="shared" si="527"/>
        <v>0</v>
      </c>
      <c r="BK103" s="531">
        <f t="shared" si="528"/>
        <v>0</v>
      </c>
      <c r="BL103" s="531">
        <f t="shared" si="529"/>
        <v>0</v>
      </c>
      <c r="BM103" s="531">
        <f t="shared" si="530"/>
        <v>0</v>
      </c>
      <c r="BN103" s="531">
        <f t="shared" si="531"/>
        <v>1</v>
      </c>
      <c r="BO103" s="499">
        <f t="shared" si="532"/>
        <v>0</v>
      </c>
      <c r="BP103" s="500"/>
      <c r="BQ103" s="496">
        <f t="shared" si="533"/>
        <v>17.88</v>
      </c>
      <c r="BR103" s="496">
        <f t="shared" si="534"/>
        <v>17.88</v>
      </c>
      <c r="BS103" s="496">
        <f t="shared" si="535"/>
        <v>9.2975999999999974</v>
      </c>
      <c r="BT103" s="501"/>
      <c r="BU103" s="501"/>
      <c r="BV103" s="502">
        <f t="shared" si="536"/>
        <v>17.992799999999999</v>
      </c>
      <c r="BW103" s="502">
        <f t="shared" si="537"/>
        <v>5.9975999999999994</v>
      </c>
      <c r="BX103" s="502">
        <f t="shared" si="538"/>
        <v>3.0325999999999995</v>
      </c>
      <c r="BY103" s="502">
        <f t="shared" si="539"/>
        <v>2.5</v>
      </c>
      <c r="BZ103" s="502">
        <f t="shared" si="540"/>
        <v>0</v>
      </c>
      <c r="CA103" s="502">
        <f t="shared" si="541"/>
        <v>3</v>
      </c>
      <c r="CB103" s="502">
        <f t="shared" si="542"/>
        <v>0</v>
      </c>
      <c r="CC103" s="502">
        <f t="shared" si="543"/>
        <v>0</v>
      </c>
      <c r="CD103" s="502">
        <f t="shared" si="544"/>
        <v>0</v>
      </c>
      <c r="CE103" s="502">
        <f t="shared" si="545"/>
        <v>8.9963999999999995</v>
      </c>
      <c r="CF103" s="502">
        <f t="shared" si="546"/>
        <v>8.9963999999999995</v>
      </c>
      <c r="CG103" s="502">
        <f t="shared" si="547"/>
        <v>0</v>
      </c>
      <c r="CH103" s="502">
        <f t="shared" si="548"/>
        <v>0</v>
      </c>
      <c r="CI103" s="531"/>
      <c r="CJ103" s="502">
        <f t="shared" si="549"/>
        <v>8.8949999999999996</v>
      </c>
      <c r="CK103" s="502">
        <f t="shared" si="550"/>
        <v>8.8949999999999996</v>
      </c>
      <c r="CL103" s="502">
        <f t="shared" si="551"/>
        <v>0</v>
      </c>
      <c r="CM103" s="502">
        <f t="shared" si="552"/>
        <v>0.11995199999999999</v>
      </c>
      <c r="CN103" s="502">
        <f t="shared" si="553"/>
        <v>3.57</v>
      </c>
      <c r="CO103" s="502">
        <f t="shared" si="554"/>
        <v>3</v>
      </c>
      <c r="CP103" s="502">
        <f t="shared" si="555"/>
        <v>10.709999999999999</v>
      </c>
      <c r="CQ103" s="502">
        <f t="shared" si="556"/>
        <v>10.709999999999999</v>
      </c>
      <c r="CR103" s="220">
        <f t="shared" si="557"/>
        <v>0</v>
      </c>
      <c r="CS103" s="503">
        <f t="shared" si="558"/>
        <v>0</v>
      </c>
      <c r="CT103" s="503">
        <f t="shared" si="559"/>
        <v>0.37907499999999994</v>
      </c>
      <c r="CU103" s="504">
        <f t="shared" si="560"/>
        <v>13</v>
      </c>
      <c r="CV103" s="504">
        <f t="shared" si="561"/>
        <v>1.43895</v>
      </c>
      <c r="CW103" s="502">
        <f t="shared" si="562"/>
        <v>23.248199999999997</v>
      </c>
      <c r="CX103" s="531">
        <f t="shared" si="563"/>
        <v>3.57</v>
      </c>
      <c r="CY103" s="537">
        <f t="shared" si="564"/>
        <v>1.7849999999999999</v>
      </c>
      <c r="CZ103" s="502">
        <f t="shared" si="565"/>
        <v>0</v>
      </c>
    </row>
    <row r="104" spans="1:104" ht="25" x14ac:dyDescent="0.25">
      <c r="A104" s="413" t="str">
        <f>'BOCA DE LOBO'!C98</f>
        <v>BL16-&gt;PV8.1</v>
      </c>
      <c r="B104" s="413" t="str">
        <f>'BOCA DE LOBO'!A98</f>
        <v>PV8.1</v>
      </c>
      <c r="C104" s="413" t="str">
        <f>VLOOKUP(A104,'BOCA DE LOBO'!$C$82:$Q$270,3,0)</f>
        <v>PROJETADO</v>
      </c>
      <c r="D104" s="413" t="str">
        <f>VLOOKUP(A104,'BOCA DE LOBO'!$C$82:$Q$270,10,0)</f>
        <v>PROJETADA</v>
      </c>
      <c r="E104" s="413">
        <f t="shared" si="481"/>
        <v>2.5</v>
      </c>
      <c r="F104" s="413">
        <f>VLOOKUP(A104,'BOCA DE LOBO'!$C$82:$Q$270,2,0)</f>
        <v>3.8</v>
      </c>
      <c r="G104" s="413">
        <f>VLOOKUP(A104,'BOCA DE LOBO'!$C$82:$Q$270,4,0)</f>
        <v>6.7</v>
      </c>
      <c r="H104" s="412">
        <v>400</v>
      </c>
      <c r="I104" s="493">
        <f t="shared" si="482"/>
        <v>3.28</v>
      </c>
      <c r="J104" s="493">
        <f t="shared" si="483"/>
        <v>1.0988</v>
      </c>
      <c r="K104" s="530">
        <v>0</v>
      </c>
      <c r="L104" s="531">
        <f t="shared" si="484"/>
        <v>1</v>
      </c>
      <c r="M104" s="531">
        <f t="shared" si="485"/>
        <v>1</v>
      </c>
      <c r="N104" s="531">
        <f t="shared" si="486"/>
        <v>0</v>
      </c>
      <c r="O104" s="531">
        <f t="shared" si="487"/>
        <v>6.7</v>
      </c>
      <c r="P104" s="532" t="s">
        <v>2392</v>
      </c>
      <c r="Q104" s="533" t="s">
        <v>2737</v>
      </c>
      <c r="R104" s="534">
        <v>1</v>
      </c>
      <c r="S104" s="532">
        <f>VLOOKUP(Q104,Quantitativos!P:R,3,0)</f>
        <v>8.7100000000000009</v>
      </c>
      <c r="T104" s="532">
        <f>VLOOKUP(Q104,Quantitativos!P:S,4,0)</f>
        <v>1.9</v>
      </c>
      <c r="U104" s="531">
        <f t="shared" si="488"/>
        <v>0.05</v>
      </c>
      <c r="V104" s="535">
        <f t="shared" si="489"/>
        <v>0</v>
      </c>
      <c r="W104" s="535">
        <f t="shared" si="490"/>
        <v>24.655999999999999</v>
      </c>
      <c r="X104" s="536">
        <f t="shared" si="491"/>
        <v>0</v>
      </c>
      <c r="Y104" s="536">
        <f t="shared" si="492"/>
        <v>3.6799999999999997</v>
      </c>
      <c r="Z104" s="536">
        <f t="shared" si="493"/>
        <v>0</v>
      </c>
      <c r="AA104" s="536">
        <f t="shared" si="494"/>
        <v>3.28</v>
      </c>
      <c r="AB104" s="496">
        <f t="shared" si="495"/>
        <v>6.7</v>
      </c>
      <c r="AC104" s="251">
        <f t="shared" si="496"/>
        <v>10.050000000000001</v>
      </c>
      <c r="AD104" s="251">
        <f t="shared" si="497"/>
        <v>10.050000000000001</v>
      </c>
      <c r="AE104" s="251">
        <f t="shared" si="498"/>
        <v>4.5559999999999983</v>
      </c>
      <c r="AF104" s="251">
        <f t="shared" si="499"/>
        <v>0</v>
      </c>
      <c r="AG104" s="251">
        <f t="shared" si="500"/>
        <v>0</v>
      </c>
      <c r="AH104" s="251">
        <f t="shared" si="501"/>
        <v>0</v>
      </c>
      <c r="AI104" s="497" t="str">
        <f t="shared" si="502"/>
        <v>NÃO</v>
      </c>
      <c r="AJ104" s="531">
        <f t="shared" si="503"/>
        <v>0</v>
      </c>
      <c r="AK104" s="531">
        <f t="shared" si="504"/>
        <v>0.12327999999999999</v>
      </c>
      <c r="AL104" s="531">
        <f t="shared" si="505"/>
        <v>23.814053168837933</v>
      </c>
      <c r="AM104" s="493">
        <f t="shared" si="506"/>
        <v>0.33500000000000002</v>
      </c>
      <c r="AN104" s="535">
        <f t="shared" si="507"/>
        <v>0</v>
      </c>
      <c r="AO104" s="531">
        <f t="shared" si="508"/>
        <v>2.68</v>
      </c>
      <c r="AP104" s="531">
        <f t="shared" si="509"/>
        <v>2.68</v>
      </c>
      <c r="AQ104" s="531">
        <f t="shared" si="510"/>
        <v>0.7</v>
      </c>
      <c r="AR104" s="531">
        <f t="shared" si="511"/>
        <v>3.8480531688379349</v>
      </c>
      <c r="AS104" s="531">
        <f t="shared" si="512"/>
        <v>3.8480531688379349</v>
      </c>
      <c r="AT104" s="531">
        <f t="shared" si="513"/>
        <v>1.0049999999999999</v>
      </c>
      <c r="AU104" s="531">
        <f t="shared" si="514"/>
        <v>1.0049999999999999</v>
      </c>
      <c r="AV104" s="531">
        <f t="shared" si="515"/>
        <v>0.20099999999999998</v>
      </c>
      <c r="AW104" s="531">
        <f t="shared" si="516"/>
        <v>14.940999999999999</v>
      </c>
      <c r="AX104" s="531">
        <f t="shared" si="517"/>
        <v>-7.5330531688379345</v>
      </c>
      <c r="AY104" s="531">
        <f t="shared" si="518"/>
        <v>-7.5330531688379345</v>
      </c>
      <c r="AZ104" s="531">
        <f t="shared" si="519"/>
        <v>22.474053168837933</v>
      </c>
      <c r="BA104" s="531">
        <f t="shared" si="520"/>
        <v>4.5381969670013023</v>
      </c>
      <c r="BB104" s="531">
        <f t="shared" si="521"/>
        <v>17.935856201836632</v>
      </c>
      <c r="BC104" s="531"/>
      <c r="BD104" s="531">
        <f t="shared" si="522"/>
        <v>0.1474</v>
      </c>
      <c r="BE104" s="496">
        <f t="shared" si="523"/>
        <v>3.28</v>
      </c>
      <c r="BF104" s="498">
        <f t="shared" si="524"/>
        <v>0</v>
      </c>
      <c r="BG104" s="498">
        <f t="shared" si="525"/>
        <v>0</v>
      </c>
      <c r="BH104" s="532" t="str">
        <f>VLOOKUP(A104,'BOCA DE LOBO'!C:I,7,0)</f>
        <v>BOCA DE LOBO PROJETADA DUPLA</v>
      </c>
      <c r="BI104" s="531">
        <f t="shared" si="526"/>
        <v>0</v>
      </c>
      <c r="BJ104" s="531">
        <f t="shared" si="527"/>
        <v>0</v>
      </c>
      <c r="BK104" s="531">
        <f t="shared" si="528"/>
        <v>0</v>
      </c>
      <c r="BL104" s="531">
        <f t="shared" si="529"/>
        <v>0</v>
      </c>
      <c r="BM104" s="531">
        <f t="shared" si="530"/>
        <v>0</v>
      </c>
      <c r="BN104" s="531">
        <f t="shared" si="531"/>
        <v>1</v>
      </c>
      <c r="BO104" s="499">
        <f t="shared" si="532"/>
        <v>0</v>
      </c>
      <c r="BP104" s="500"/>
      <c r="BQ104" s="496">
        <f t="shared" si="533"/>
        <v>20.100000000000001</v>
      </c>
      <c r="BR104" s="496">
        <f t="shared" si="534"/>
        <v>20.100000000000001</v>
      </c>
      <c r="BS104" s="496">
        <f t="shared" si="535"/>
        <v>10.451999999999998</v>
      </c>
      <c r="BT104" s="501"/>
      <c r="BU104" s="501"/>
      <c r="BV104" s="502">
        <f t="shared" si="536"/>
        <v>17.992799999999999</v>
      </c>
      <c r="BW104" s="502">
        <f t="shared" si="537"/>
        <v>5.9975999999999994</v>
      </c>
      <c r="BX104" s="502">
        <f t="shared" si="538"/>
        <v>3.0325999999999995</v>
      </c>
      <c r="BY104" s="502">
        <f t="shared" si="539"/>
        <v>2.5</v>
      </c>
      <c r="BZ104" s="502">
        <f t="shared" si="540"/>
        <v>0</v>
      </c>
      <c r="CA104" s="502">
        <f t="shared" si="541"/>
        <v>3</v>
      </c>
      <c r="CB104" s="502">
        <f t="shared" si="542"/>
        <v>0</v>
      </c>
      <c r="CC104" s="502">
        <f t="shared" si="543"/>
        <v>0</v>
      </c>
      <c r="CD104" s="502">
        <f t="shared" si="544"/>
        <v>0</v>
      </c>
      <c r="CE104" s="502">
        <f t="shared" si="545"/>
        <v>8.9963999999999995</v>
      </c>
      <c r="CF104" s="502">
        <f t="shared" si="546"/>
        <v>8.9963999999999995</v>
      </c>
      <c r="CG104" s="502">
        <f t="shared" si="547"/>
        <v>0</v>
      </c>
      <c r="CH104" s="502">
        <f t="shared" si="548"/>
        <v>0</v>
      </c>
      <c r="CI104" s="531"/>
      <c r="CJ104" s="502">
        <f t="shared" si="549"/>
        <v>8.8949999999999996</v>
      </c>
      <c r="CK104" s="502">
        <f t="shared" si="550"/>
        <v>8.8949999999999996</v>
      </c>
      <c r="CL104" s="502">
        <f t="shared" si="551"/>
        <v>0</v>
      </c>
      <c r="CM104" s="502">
        <f t="shared" si="552"/>
        <v>0.11995199999999999</v>
      </c>
      <c r="CN104" s="502">
        <f t="shared" si="553"/>
        <v>3.57</v>
      </c>
      <c r="CO104" s="502">
        <f t="shared" si="554"/>
        <v>3</v>
      </c>
      <c r="CP104" s="502">
        <f t="shared" si="555"/>
        <v>10.709999999999999</v>
      </c>
      <c r="CQ104" s="502">
        <f t="shared" si="556"/>
        <v>10.709999999999999</v>
      </c>
      <c r="CR104" s="220">
        <f t="shared" si="557"/>
        <v>0</v>
      </c>
      <c r="CS104" s="503">
        <f t="shared" si="558"/>
        <v>0</v>
      </c>
      <c r="CT104" s="503">
        <f t="shared" si="559"/>
        <v>0.37907499999999994</v>
      </c>
      <c r="CU104" s="504">
        <f t="shared" si="560"/>
        <v>13</v>
      </c>
      <c r="CV104" s="504">
        <f t="shared" si="561"/>
        <v>1.43895</v>
      </c>
      <c r="CW104" s="502">
        <f t="shared" si="562"/>
        <v>23.248199999999997</v>
      </c>
      <c r="CX104" s="531">
        <f t="shared" si="563"/>
        <v>3.57</v>
      </c>
      <c r="CY104" s="537">
        <f t="shared" si="564"/>
        <v>1.7849999999999999</v>
      </c>
      <c r="CZ104" s="502">
        <f t="shared" si="565"/>
        <v>0</v>
      </c>
    </row>
    <row r="105" spans="1:104" ht="25" x14ac:dyDescent="0.25">
      <c r="A105" s="413" t="str">
        <f>'BOCA DE LOBO'!C99</f>
        <v>BL17-&gt;PV1.2</v>
      </c>
      <c r="B105" s="413" t="str">
        <f>'BOCA DE LOBO'!A99</f>
        <v>PV1.2</v>
      </c>
      <c r="C105" s="413" t="str">
        <f>VLOOKUP(A105,'BOCA DE LOBO'!$C$82:$Q$270,3,0)</f>
        <v>PROJETADO</v>
      </c>
      <c r="D105" s="413" t="str">
        <f>VLOOKUP(A105,'BOCA DE LOBO'!$C$82:$Q$270,10,0)</f>
        <v>PROJETADA</v>
      </c>
      <c r="E105" s="413">
        <f t="shared" si="481"/>
        <v>2.5</v>
      </c>
      <c r="F105" s="413">
        <f>VLOOKUP(A105,'BOCA DE LOBO'!$C$82:$Q$270,2,0)</f>
        <v>3.64</v>
      </c>
      <c r="G105" s="413">
        <f>VLOOKUP(A105,'BOCA DE LOBO'!$C$82:$Q$270,4,0)</f>
        <v>5.67</v>
      </c>
      <c r="H105" s="412">
        <v>400</v>
      </c>
      <c r="I105" s="493">
        <f t="shared" si="482"/>
        <v>3.2</v>
      </c>
      <c r="J105" s="493">
        <f t="shared" si="483"/>
        <v>0.90720000000000012</v>
      </c>
      <c r="K105" s="530">
        <v>0</v>
      </c>
      <c r="L105" s="531">
        <f t="shared" si="484"/>
        <v>1</v>
      </c>
      <c r="M105" s="531">
        <f t="shared" si="485"/>
        <v>1</v>
      </c>
      <c r="N105" s="531">
        <f t="shared" si="486"/>
        <v>0</v>
      </c>
      <c r="O105" s="531">
        <f t="shared" si="487"/>
        <v>5.67</v>
      </c>
      <c r="P105" s="532" t="str">
        <f>VLOOKUP(B105,'Planilha Hidráulica'!$AG:$AR,12,0)</f>
        <v>ASFALTO</v>
      </c>
      <c r="Q105" s="533" t="s">
        <v>2746</v>
      </c>
      <c r="R105" s="534"/>
      <c r="S105" s="532">
        <f>VLOOKUP(Q105,Quantitativos!P:R,3,0)</f>
        <v>5</v>
      </c>
      <c r="T105" s="532">
        <f>VLOOKUP(Q105,Quantitativos!P:S,4,0)</f>
        <v>4.8</v>
      </c>
      <c r="U105" s="531">
        <f t="shared" si="488"/>
        <v>0.05</v>
      </c>
      <c r="V105" s="535">
        <f t="shared" si="489"/>
        <v>0</v>
      </c>
      <c r="W105" s="535">
        <f t="shared" si="490"/>
        <v>18.144000000000002</v>
      </c>
      <c r="X105" s="536">
        <f t="shared" si="491"/>
        <v>0</v>
      </c>
      <c r="Y105" s="536">
        <f t="shared" si="492"/>
        <v>0</v>
      </c>
      <c r="Z105" s="536">
        <f t="shared" si="493"/>
        <v>3.2</v>
      </c>
      <c r="AA105" s="536">
        <f t="shared" si="494"/>
        <v>0</v>
      </c>
      <c r="AB105" s="496">
        <f t="shared" si="495"/>
        <v>5.67</v>
      </c>
      <c r="AC105" s="251">
        <f t="shared" si="496"/>
        <v>0</v>
      </c>
      <c r="AD105" s="251">
        <f t="shared" si="497"/>
        <v>0</v>
      </c>
      <c r="AE105" s="251">
        <f t="shared" si="498"/>
        <v>0</v>
      </c>
      <c r="AF105" s="251">
        <f t="shared" si="499"/>
        <v>8.504999999999999</v>
      </c>
      <c r="AG105" s="251">
        <f t="shared" si="500"/>
        <v>8.504999999999999</v>
      </c>
      <c r="AH105" s="251">
        <f t="shared" si="501"/>
        <v>1.134000000000001</v>
      </c>
      <c r="AI105" s="497" t="str">
        <f t="shared" si="502"/>
        <v>NÃO</v>
      </c>
      <c r="AJ105" s="531">
        <f t="shared" si="503"/>
        <v>0</v>
      </c>
      <c r="AK105" s="531">
        <f t="shared" si="504"/>
        <v>0</v>
      </c>
      <c r="AL105" s="531">
        <f t="shared" si="505"/>
        <v>17.431486786165838</v>
      </c>
      <c r="AM105" s="493">
        <f t="shared" si="506"/>
        <v>0.28350000000000003</v>
      </c>
      <c r="AN105" s="535">
        <f t="shared" si="507"/>
        <v>0</v>
      </c>
      <c r="AO105" s="531">
        <f t="shared" si="508"/>
        <v>0</v>
      </c>
      <c r="AP105" s="531">
        <f t="shared" si="509"/>
        <v>0</v>
      </c>
      <c r="AQ105" s="531">
        <f t="shared" si="510"/>
        <v>0.7</v>
      </c>
      <c r="AR105" s="531">
        <f t="shared" si="511"/>
        <v>3.2564867861658349</v>
      </c>
      <c r="AS105" s="531">
        <f t="shared" si="512"/>
        <v>0</v>
      </c>
      <c r="AT105" s="531">
        <f t="shared" si="513"/>
        <v>0.85049999999999992</v>
      </c>
      <c r="AU105" s="531">
        <f t="shared" si="514"/>
        <v>0.85049999999999992</v>
      </c>
      <c r="AV105" s="531">
        <f t="shared" si="515"/>
        <v>0.1701</v>
      </c>
      <c r="AW105" s="531">
        <f t="shared" si="516"/>
        <v>12.190500000000002</v>
      </c>
      <c r="AX105" s="531">
        <f t="shared" si="517"/>
        <v>14.037013213834163</v>
      </c>
      <c r="AY105" s="531">
        <f t="shared" si="518"/>
        <v>12.190500000000002</v>
      </c>
      <c r="AZ105" s="531">
        <f t="shared" si="519"/>
        <v>0</v>
      </c>
      <c r="BA105" s="531">
        <f t="shared" si="520"/>
        <v>0</v>
      </c>
      <c r="BB105" s="531">
        <f t="shared" si="521"/>
        <v>0</v>
      </c>
      <c r="BC105" s="531"/>
      <c r="BD105" s="531">
        <f t="shared" si="522"/>
        <v>3.4019999999999995E-2</v>
      </c>
      <c r="BE105" s="496">
        <f t="shared" si="523"/>
        <v>3.2</v>
      </c>
      <c r="BF105" s="498">
        <f t="shared" si="524"/>
        <v>0</v>
      </c>
      <c r="BG105" s="498">
        <f t="shared" si="525"/>
        <v>0</v>
      </c>
      <c r="BH105" s="532" t="str">
        <f>VLOOKUP(A105,'BOCA DE LOBO'!C:I,7,0)</f>
        <v>BOCA DE LOBO PROJETADA DUPLA</v>
      </c>
      <c r="BI105" s="531">
        <f t="shared" si="526"/>
        <v>0</v>
      </c>
      <c r="BJ105" s="531">
        <f t="shared" si="527"/>
        <v>0</v>
      </c>
      <c r="BK105" s="531">
        <f t="shared" si="528"/>
        <v>0</v>
      </c>
      <c r="BL105" s="531">
        <f t="shared" si="529"/>
        <v>0</v>
      </c>
      <c r="BM105" s="531">
        <f t="shared" si="530"/>
        <v>0</v>
      </c>
      <c r="BN105" s="531">
        <f t="shared" si="531"/>
        <v>1</v>
      </c>
      <c r="BO105" s="499">
        <f t="shared" si="532"/>
        <v>0</v>
      </c>
      <c r="BP105" s="500"/>
      <c r="BQ105" s="496">
        <f t="shared" si="533"/>
        <v>17.009999999999998</v>
      </c>
      <c r="BR105" s="496">
        <f t="shared" si="534"/>
        <v>17.009999999999998</v>
      </c>
      <c r="BS105" s="496">
        <f t="shared" si="535"/>
        <v>2.268000000000002</v>
      </c>
      <c r="BT105" s="501"/>
      <c r="BU105" s="501"/>
      <c r="BV105" s="502">
        <f t="shared" si="536"/>
        <v>14.993999999999998</v>
      </c>
      <c r="BW105" s="502">
        <f t="shared" si="537"/>
        <v>5.9975999999999994</v>
      </c>
      <c r="BX105" s="502">
        <f t="shared" si="538"/>
        <v>3.0325999999999995</v>
      </c>
      <c r="BY105" s="502">
        <f t="shared" si="539"/>
        <v>2.5</v>
      </c>
      <c r="BZ105" s="502">
        <f t="shared" si="540"/>
        <v>2.5</v>
      </c>
      <c r="CA105" s="502">
        <f t="shared" si="541"/>
        <v>0</v>
      </c>
      <c r="CB105" s="502">
        <f t="shared" si="542"/>
        <v>0</v>
      </c>
      <c r="CC105" s="502">
        <f t="shared" si="543"/>
        <v>8.9963999999999995</v>
      </c>
      <c r="CD105" s="502">
        <f t="shared" si="544"/>
        <v>5.9975999999999994</v>
      </c>
      <c r="CE105" s="502">
        <f t="shared" si="545"/>
        <v>0</v>
      </c>
      <c r="CF105" s="502">
        <f t="shared" si="546"/>
        <v>0</v>
      </c>
      <c r="CG105" s="502">
        <f t="shared" si="547"/>
        <v>0</v>
      </c>
      <c r="CH105" s="502">
        <f t="shared" si="548"/>
        <v>0</v>
      </c>
      <c r="CI105" s="531"/>
      <c r="CJ105" s="502">
        <f t="shared" si="549"/>
        <v>7.4124999999999996</v>
      </c>
      <c r="CK105" s="502">
        <f t="shared" si="550"/>
        <v>7.4124999999999996</v>
      </c>
      <c r="CL105" s="502">
        <f t="shared" si="551"/>
        <v>0</v>
      </c>
      <c r="CM105" s="502">
        <f t="shared" si="552"/>
        <v>0</v>
      </c>
      <c r="CN105" s="502">
        <f t="shared" si="553"/>
        <v>3.57</v>
      </c>
      <c r="CO105" s="502">
        <f t="shared" si="554"/>
        <v>2.5</v>
      </c>
      <c r="CP105" s="502">
        <f t="shared" si="555"/>
        <v>10.709999999999999</v>
      </c>
      <c r="CQ105" s="502">
        <f t="shared" si="556"/>
        <v>7.14</v>
      </c>
      <c r="CR105" s="220">
        <f t="shared" si="557"/>
        <v>0</v>
      </c>
      <c r="CS105" s="503">
        <f t="shared" si="558"/>
        <v>0</v>
      </c>
      <c r="CT105" s="503">
        <f t="shared" si="559"/>
        <v>0.37907499999999994</v>
      </c>
      <c r="CU105" s="504">
        <f t="shared" si="560"/>
        <v>13</v>
      </c>
      <c r="CV105" s="504">
        <f t="shared" si="561"/>
        <v>1.43895</v>
      </c>
      <c r="CW105" s="502">
        <f t="shared" si="562"/>
        <v>23.248199999999997</v>
      </c>
      <c r="CX105" s="531">
        <f t="shared" si="563"/>
        <v>3.57</v>
      </c>
      <c r="CY105" s="537">
        <f t="shared" si="564"/>
        <v>1.7849999999999999</v>
      </c>
      <c r="CZ105" s="502">
        <f t="shared" si="565"/>
        <v>0</v>
      </c>
    </row>
    <row r="106" spans="1:104" ht="25" x14ac:dyDescent="0.25">
      <c r="A106" s="413" t="str">
        <f>'BOCA DE LOBO'!C100</f>
        <v>BL18-&gt;PV2.2</v>
      </c>
      <c r="B106" s="413" t="str">
        <f>'BOCA DE LOBO'!A100</f>
        <v>PV2.2</v>
      </c>
      <c r="C106" s="413" t="str">
        <f>VLOOKUP(A106,'BOCA DE LOBO'!$C$82:$Q$270,3,0)</f>
        <v>PROJETADO</v>
      </c>
      <c r="D106" s="413" t="str">
        <f>VLOOKUP(A106,'BOCA DE LOBO'!$C$82:$Q$270,10,0)</f>
        <v>PROJETADA</v>
      </c>
      <c r="E106" s="413">
        <f t="shared" si="481"/>
        <v>2.5</v>
      </c>
      <c r="F106" s="413">
        <f>VLOOKUP(A106,'BOCA DE LOBO'!$C$82:$Q$270,2,0)</f>
        <v>3.05</v>
      </c>
      <c r="G106" s="413">
        <f>VLOOKUP(A106,'BOCA DE LOBO'!$C$82:$Q$270,4,0)</f>
        <v>5.45</v>
      </c>
      <c r="H106" s="412">
        <v>400</v>
      </c>
      <c r="I106" s="493">
        <f t="shared" si="482"/>
        <v>2.9049999999999998</v>
      </c>
      <c r="J106" s="493">
        <f t="shared" si="483"/>
        <v>0.79161250000000005</v>
      </c>
      <c r="K106" s="530">
        <v>0</v>
      </c>
      <c r="L106" s="531">
        <f t="shared" si="484"/>
        <v>1</v>
      </c>
      <c r="M106" s="531">
        <f t="shared" si="485"/>
        <v>1</v>
      </c>
      <c r="N106" s="531">
        <f t="shared" si="486"/>
        <v>0</v>
      </c>
      <c r="O106" s="531">
        <f t="shared" si="487"/>
        <v>5.45</v>
      </c>
      <c r="P106" s="532" t="str">
        <f>VLOOKUP(B106,'Planilha Hidráulica'!$AG:$AR,12,0)</f>
        <v>ASFALTO</v>
      </c>
      <c r="Q106" s="533" t="s">
        <v>2746</v>
      </c>
      <c r="R106" s="534"/>
      <c r="S106" s="532">
        <f>VLOOKUP(Q106,Quantitativos!P:R,3,0)</f>
        <v>5</v>
      </c>
      <c r="T106" s="532">
        <f>VLOOKUP(Q106,Quantitativos!P:S,4,0)</f>
        <v>4.8</v>
      </c>
      <c r="U106" s="531">
        <f t="shared" si="488"/>
        <v>0.05</v>
      </c>
      <c r="V106" s="535">
        <f t="shared" si="489"/>
        <v>0</v>
      </c>
      <c r="W106" s="535">
        <f t="shared" si="490"/>
        <v>15.83225</v>
      </c>
      <c r="X106" s="536">
        <f t="shared" si="491"/>
        <v>0</v>
      </c>
      <c r="Y106" s="536">
        <f t="shared" si="492"/>
        <v>0</v>
      </c>
      <c r="Z106" s="536">
        <f t="shared" si="493"/>
        <v>2.9049999999999998</v>
      </c>
      <c r="AA106" s="536">
        <f t="shared" si="494"/>
        <v>0</v>
      </c>
      <c r="AB106" s="496">
        <f t="shared" si="495"/>
        <v>5.45</v>
      </c>
      <c r="AC106" s="251">
        <f t="shared" si="496"/>
        <v>0</v>
      </c>
      <c r="AD106" s="251">
        <f t="shared" si="497"/>
        <v>0</v>
      </c>
      <c r="AE106" s="251">
        <f t="shared" si="498"/>
        <v>0</v>
      </c>
      <c r="AF106" s="251">
        <f t="shared" si="499"/>
        <v>8.1750000000000007</v>
      </c>
      <c r="AG106" s="251">
        <f t="shared" si="500"/>
        <v>7.6572499999999994</v>
      </c>
      <c r="AH106" s="251">
        <f t="shared" si="501"/>
        <v>0</v>
      </c>
      <c r="AI106" s="497" t="str">
        <f t="shared" si="502"/>
        <v>NÃO</v>
      </c>
      <c r="AJ106" s="531">
        <f t="shared" si="503"/>
        <v>0</v>
      </c>
      <c r="AK106" s="531">
        <f t="shared" si="504"/>
        <v>0</v>
      </c>
      <c r="AL106" s="531">
        <f t="shared" si="505"/>
        <v>15.147382801517425</v>
      </c>
      <c r="AM106" s="493">
        <f t="shared" si="506"/>
        <v>0.27250000000000002</v>
      </c>
      <c r="AN106" s="535">
        <f t="shared" si="507"/>
        <v>0</v>
      </c>
      <c r="AO106" s="531">
        <f t="shared" si="508"/>
        <v>0</v>
      </c>
      <c r="AP106" s="531">
        <f t="shared" si="509"/>
        <v>0</v>
      </c>
      <c r="AQ106" s="531">
        <f t="shared" si="510"/>
        <v>0.7</v>
      </c>
      <c r="AR106" s="531">
        <f t="shared" si="511"/>
        <v>3.130132801517425</v>
      </c>
      <c r="AS106" s="531">
        <f t="shared" si="512"/>
        <v>0</v>
      </c>
      <c r="AT106" s="531">
        <f t="shared" si="513"/>
        <v>0.8175</v>
      </c>
      <c r="AU106" s="531">
        <f t="shared" si="514"/>
        <v>0.8175</v>
      </c>
      <c r="AV106" s="531">
        <f t="shared" si="515"/>
        <v>0.16350000000000001</v>
      </c>
      <c r="AW106" s="531">
        <f t="shared" si="516"/>
        <v>10.109749999999998</v>
      </c>
      <c r="AX106" s="531">
        <f t="shared" si="517"/>
        <v>11.884617198482575</v>
      </c>
      <c r="AY106" s="531">
        <f t="shared" si="518"/>
        <v>10.109749999999998</v>
      </c>
      <c r="AZ106" s="531">
        <f t="shared" si="519"/>
        <v>0</v>
      </c>
      <c r="BA106" s="531">
        <f t="shared" si="520"/>
        <v>0</v>
      </c>
      <c r="BB106" s="531">
        <f t="shared" si="521"/>
        <v>0</v>
      </c>
      <c r="BC106" s="531"/>
      <c r="BD106" s="531">
        <f t="shared" si="522"/>
        <v>3.27E-2</v>
      </c>
      <c r="BE106" s="496">
        <f t="shared" si="523"/>
        <v>2.9049999999999998</v>
      </c>
      <c r="BF106" s="498">
        <f t="shared" si="524"/>
        <v>0</v>
      </c>
      <c r="BG106" s="498">
        <f t="shared" si="525"/>
        <v>5.45</v>
      </c>
      <c r="BH106" s="532" t="str">
        <f>VLOOKUP(A106,'BOCA DE LOBO'!C:I,7,0)</f>
        <v>BOCA DE LOBO PROJETADA DUPLA</v>
      </c>
      <c r="BI106" s="531">
        <f t="shared" si="526"/>
        <v>0</v>
      </c>
      <c r="BJ106" s="531">
        <f t="shared" si="527"/>
        <v>0</v>
      </c>
      <c r="BK106" s="531">
        <f t="shared" si="528"/>
        <v>0</v>
      </c>
      <c r="BL106" s="531">
        <f t="shared" si="529"/>
        <v>0</v>
      </c>
      <c r="BM106" s="531">
        <f t="shared" si="530"/>
        <v>0</v>
      </c>
      <c r="BN106" s="531">
        <f t="shared" si="531"/>
        <v>1</v>
      </c>
      <c r="BO106" s="499">
        <f t="shared" si="532"/>
        <v>0</v>
      </c>
      <c r="BP106" s="500"/>
      <c r="BQ106" s="496">
        <f t="shared" si="533"/>
        <v>16.350000000000001</v>
      </c>
      <c r="BR106" s="496">
        <f t="shared" si="534"/>
        <v>15.314499999999999</v>
      </c>
      <c r="BS106" s="496">
        <f t="shared" si="535"/>
        <v>0</v>
      </c>
      <c r="BT106" s="501"/>
      <c r="BU106" s="501"/>
      <c r="BV106" s="502">
        <f t="shared" si="536"/>
        <v>14.993999999999998</v>
      </c>
      <c r="BW106" s="502">
        <f t="shared" si="537"/>
        <v>5.9975999999999994</v>
      </c>
      <c r="BX106" s="502">
        <f t="shared" si="538"/>
        <v>3.0325999999999995</v>
      </c>
      <c r="BY106" s="502">
        <f t="shared" si="539"/>
        <v>2.5</v>
      </c>
      <c r="BZ106" s="502">
        <f t="shared" si="540"/>
        <v>2.5</v>
      </c>
      <c r="CA106" s="502">
        <f t="shared" si="541"/>
        <v>0</v>
      </c>
      <c r="CB106" s="502">
        <f t="shared" si="542"/>
        <v>0</v>
      </c>
      <c r="CC106" s="502">
        <f t="shared" si="543"/>
        <v>8.9963999999999995</v>
      </c>
      <c r="CD106" s="502">
        <f t="shared" si="544"/>
        <v>5.9975999999999994</v>
      </c>
      <c r="CE106" s="502">
        <f t="shared" si="545"/>
        <v>0</v>
      </c>
      <c r="CF106" s="502">
        <f t="shared" si="546"/>
        <v>0</v>
      </c>
      <c r="CG106" s="502">
        <f t="shared" si="547"/>
        <v>0</v>
      </c>
      <c r="CH106" s="502">
        <f t="shared" si="548"/>
        <v>0</v>
      </c>
      <c r="CI106" s="531"/>
      <c r="CJ106" s="502">
        <f t="shared" si="549"/>
        <v>7.4124999999999996</v>
      </c>
      <c r="CK106" s="502">
        <f t="shared" si="550"/>
        <v>7.4124999999999996</v>
      </c>
      <c r="CL106" s="502">
        <f t="shared" si="551"/>
        <v>0</v>
      </c>
      <c r="CM106" s="502">
        <f t="shared" si="552"/>
        <v>0</v>
      </c>
      <c r="CN106" s="502">
        <f t="shared" si="553"/>
        <v>3.57</v>
      </c>
      <c r="CO106" s="502">
        <f t="shared" si="554"/>
        <v>2.5</v>
      </c>
      <c r="CP106" s="502">
        <f t="shared" si="555"/>
        <v>10.709999999999999</v>
      </c>
      <c r="CQ106" s="502">
        <f t="shared" si="556"/>
        <v>7.14</v>
      </c>
      <c r="CR106" s="220">
        <f t="shared" si="557"/>
        <v>0</v>
      </c>
      <c r="CS106" s="503">
        <f t="shared" si="558"/>
        <v>0</v>
      </c>
      <c r="CT106" s="503">
        <f t="shared" si="559"/>
        <v>0.37907499999999994</v>
      </c>
      <c r="CU106" s="504">
        <f t="shared" si="560"/>
        <v>13</v>
      </c>
      <c r="CV106" s="504">
        <f t="shared" si="561"/>
        <v>1.43895</v>
      </c>
      <c r="CW106" s="502">
        <f t="shared" si="562"/>
        <v>23.248199999999997</v>
      </c>
      <c r="CX106" s="531">
        <f t="shared" si="563"/>
        <v>3.57</v>
      </c>
      <c r="CY106" s="537">
        <f t="shared" si="564"/>
        <v>1.7849999999999999</v>
      </c>
      <c r="CZ106" s="502">
        <f t="shared" si="565"/>
        <v>0</v>
      </c>
    </row>
    <row r="107" spans="1:104" ht="25" x14ac:dyDescent="0.25">
      <c r="A107" s="413" t="str">
        <f>'BOCA DE LOBO'!C101</f>
        <v>BL19-&gt;PV3.2</v>
      </c>
      <c r="B107" s="413" t="str">
        <f>'BOCA DE LOBO'!A101</f>
        <v>PV3.2</v>
      </c>
      <c r="C107" s="413" t="str">
        <f>VLOOKUP(A107,'BOCA DE LOBO'!$C$82:$Q$270,3,0)</f>
        <v>PROJETADO</v>
      </c>
      <c r="D107" s="413" t="str">
        <f>VLOOKUP(A107,'BOCA DE LOBO'!$C$82:$Q$270,10,0)</f>
        <v>PROJETADA</v>
      </c>
      <c r="E107" s="413">
        <f t="shared" si="481"/>
        <v>2.5</v>
      </c>
      <c r="F107" s="413">
        <f>VLOOKUP(A107,'BOCA DE LOBO'!$C$82:$Q$270,2,0)</f>
        <v>3.02</v>
      </c>
      <c r="G107" s="413">
        <f>VLOOKUP(A107,'BOCA DE LOBO'!$C$82:$Q$270,4,0)</f>
        <v>5.6</v>
      </c>
      <c r="H107" s="412">
        <v>400</v>
      </c>
      <c r="I107" s="493">
        <f t="shared" si="482"/>
        <v>2.8899999999999997</v>
      </c>
      <c r="J107" s="493">
        <f t="shared" si="483"/>
        <v>0.80919999999999992</v>
      </c>
      <c r="K107" s="530">
        <v>0</v>
      </c>
      <c r="L107" s="531">
        <f t="shared" si="484"/>
        <v>1</v>
      </c>
      <c r="M107" s="531">
        <f t="shared" si="485"/>
        <v>1</v>
      </c>
      <c r="N107" s="531">
        <f t="shared" si="486"/>
        <v>0</v>
      </c>
      <c r="O107" s="531">
        <f t="shared" si="487"/>
        <v>5.6</v>
      </c>
      <c r="P107" s="532" t="str">
        <f>VLOOKUP(B107,'Planilha Hidráulica'!$AG:$AR,12,0)</f>
        <v>ASFALTO</v>
      </c>
      <c r="Q107" s="533" t="s">
        <v>2746</v>
      </c>
      <c r="R107" s="534"/>
      <c r="S107" s="532">
        <f>VLOOKUP(Q107,Quantitativos!P:R,3,0)</f>
        <v>5</v>
      </c>
      <c r="T107" s="532">
        <f>VLOOKUP(Q107,Quantitativos!P:S,4,0)</f>
        <v>4.8</v>
      </c>
      <c r="U107" s="531">
        <f t="shared" si="488"/>
        <v>0.05</v>
      </c>
      <c r="V107" s="535">
        <f t="shared" si="489"/>
        <v>0</v>
      </c>
      <c r="W107" s="535">
        <f t="shared" si="490"/>
        <v>16.183999999999997</v>
      </c>
      <c r="X107" s="536">
        <f t="shared" si="491"/>
        <v>0</v>
      </c>
      <c r="Y107" s="536">
        <f t="shared" si="492"/>
        <v>0</v>
      </c>
      <c r="Z107" s="536">
        <f t="shared" si="493"/>
        <v>2.8899999999999997</v>
      </c>
      <c r="AA107" s="536">
        <f t="shared" si="494"/>
        <v>0</v>
      </c>
      <c r="AB107" s="496">
        <f t="shared" si="495"/>
        <v>5.6</v>
      </c>
      <c r="AC107" s="251">
        <f t="shared" si="496"/>
        <v>0</v>
      </c>
      <c r="AD107" s="251">
        <f t="shared" si="497"/>
        <v>0</v>
      </c>
      <c r="AE107" s="251">
        <f t="shared" si="498"/>
        <v>0</v>
      </c>
      <c r="AF107" s="251">
        <f t="shared" si="499"/>
        <v>8.3999999999999986</v>
      </c>
      <c r="AG107" s="251">
        <f t="shared" si="500"/>
        <v>7.783999999999998</v>
      </c>
      <c r="AH107" s="251">
        <f t="shared" si="501"/>
        <v>0</v>
      </c>
      <c r="AI107" s="497" t="str">
        <f t="shared" si="502"/>
        <v>NÃO</v>
      </c>
      <c r="AJ107" s="531">
        <f t="shared" si="503"/>
        <v>0</v>
      </c>
      <c r="AK107" s="531">
        <f t="shared" si="504"/>
        <v>0</v>
      </c>
      <c r="AL107" s="531">
        <f t="shared" si="505"/>
        <v>15.480283245595883</v>
      </c>
      <c r="AM107" s="493">
        <f t="shared" si="506"/>
        <v>0.27999999999999997</v>
      </c>
      <c r="AN107" s="535">
        <f t="shared" si="507"/>
        <v>0</v>
      </c>
      <c r="AO107" s="531">
        <f t="shared" si="508"/>
        <v>0</v>
      </c>
      <c r="AP107" s="531">
        <f t="shared" si="509"/>
        <v>0</v>
      </c>
      <c r="AQ107" s="531">
        <f t="shared" si="510"/>
        <v>0.7</v>
      </c>
      <c r="AR107" s="531">
        <f t="shared" si="511"/>
        <v>3.2162832455958856</v>
      </c>
      <c r="AS107" s="531">
        <f t="shared" si="512"/>
        <v>0</v>
      </c>
      <c r="AT107" s="531">
        <f t="shared" si="513"/>
        <v>0.84</v>
      </c>
      <c r="AU107" s="531">
        <f t="shared" si="514"/>
        <v>0.84</v>
      </c>
      <c r="AV107" s="531">
        <f t="shared" si="515"/>
        <v>0.16799999999999998</v>
      </c>
      <c r="AW107" s="531">
        <f t="shared" si="516"/>
        <v>10.303999999999998</v>
      </c>
      <c r="AX107" s="531">
        <f t="shared" si="517"/>
        <v>12.127716754404112</v>
      </c>
      <c r="AY107" s="531">
        <f t="shared" si="518"/>
        <v>10.303999999999998</v>
      </c>
      <c r="AZ107" s="531">
        <f t="shared" si="519"/>
        <v>0</v>
      </c>
      <c r="BA107" s="531">
        <f t="shared" si="520"/>
        <v>0</v>
      </c>
      <c r="BB107" s="531">
        <f t="shared" si="521"/>
        <v>0</v>
      </c>
      <c r="BC107" s="531"/>
      <c r="BD107" s="531">
        <f t="shared" si="522"/>
        <v>3.3599999999999998E-2</v>
      </c>
      <c r="BE107" s="496">
        <f t="shared" si="523"/>
        <v>2.8899999999999997</v>
      </c>
      <c r="BF107" s="498">
        <f t="shared" si="524"/>
        <v>0</v>
      </c>
      <c r="BG107" s="498">
        <f t="shared" si="525"/>
        <v>5.6</v>
      </c>
      <c r="BH107" s="532" t="str">
        <f>VLOOKUP(A107,'BOCA DE LOBO'!C:I,7,0)</f>
        <v>BOCA DE LOBO PROJETADA DUPLA</v>
      </c>
      <c r="BI107" s="531">
        <f t="shared" si="526"/>
        <v>0</v>
      </c>
      <c r="BJ107" s="531">
        <f t="shared" si="527"/>
        <v>0</v>
      </c>
      <c r="BK107" s="531">
        <f t="shared" si="528"/>
        <v>0</v>
      </c>
      <c r="BL107" s="531">
        <f t="shared" si="529"/>
        <v>0</v>
      </c>
      <c r="BM107" s="531">
        <f t="shared" si="530"/>
        <v>0</v>
      </c>
      <c r="BN107" s="531">
        <f t="shared" si="531"/>
        <v>1</v>
      </c>
      <c r="BO107" s="499">
        <f t="shared" si="532"/>
        <v>0</v>
      </c>
      <c r="BP107" s="500"/>
      <c r="BQ107" s="496">
        <f t="shared" si="533"/>
        <v>16.799999999999997</v>
      </c>
      <c r="BR107" s="496">
        <f t="shared" si="534"/>
        <v>15.567999999999996</v>
      </c>
      <c r="BS107" s="496">
        <f t="shared" si="535"/>
        <v>0</v>
      </c>
      <c r="BT107" s="501"/>
      <c r="BU107" s="501"/>
      <c r="BV107" s="502">
        <f t="shared" si="536"/>
        <v>14.993999999999998</v>
      </c>
      <c r="BW107" s="502">
        <f t="shared" si="537"/>
        <v>5.9975999999999994</v>
      </c>
      <c r="BX107" s="502">
        <f t="shared" si="538"/>
        <v>3.0325999999999995</v>
      </c>
      <c r="BY107" s="502">
        <f t="shared" si="539"/>
        <v>2.5</v>
      </c>
      <c r="BZ107" s="502">
        <f t="shared" si="540"/>
        <v>2.5</v>
      </c>
      <c r="CA107" s="502">
        <f t="shared" si="541"/>
        <v>0</v>
      </c>
      <c r="CB107" s="502">
        <f t="shared" si="542"/>
        <v>0</v>
      </c>
      <c r="CC107" s="502">
        <f t="shared" si="543"/>
        <v>8.9963999999999995</v>
      </c>
      <c r="CD107" s="502">
        <f t="shared" si="544"/>
        <v>5.9975999999999994</v>
      </c>
      <c r="CE107" s="502">
        <f t="shared" si="545"/>
        <v>0</v>
      </c>
      <c r="CF107" s="502">
        <f t="shared" si="546"/>
        <v>0</v>
      </c>
      <c r="CG107" s="502">
        <f t="shared" si="547"/>
        <v>0</v>
      </c>
      <c r="CH107" s="502">
        <f t="shared" si="548"/>
        <v>0</v>
      </c>
      <c r="CI107" s="531"/>
      <c r="CJ107" s="502">
        <f t="shared" si="549"/>
        <v>7.4124999999999996</v>
      </c>
      <c r="CK107" s="502">
        <f t="shared" si="550"/>
        <v>7.4124999999999996</v>
      </c>
      <c r="CL107" s="502">
        <f t="shared" si="551"/>
        <v>0</v>
      </c>
      <c r="CM107" s="502">
        <f t="shared" si="552"/>
        <v>0</v>
      </c>
      <c r="CN107" s="502">
        <f t="shared" si="553"/>
        <v>3.57</v>
      </c>
      <c r="CO107" s="502">
        <f t="shared" si="554"/>
        <v>2.5</v>
      </c>
      <c r="CP107" s="502">
        <f t="shared" si="555"/>
        <v>10.709999999999999</v>
      </c>
      <c r="CQ107" s="502">
        <f t="shared" si="556"/>
        <v>7.14</v>
      </c>
      <c r="CR107" s="220">
        <f t="shared" si="557"/>
        <v>0</v>
      </c>
      <c r="CS107" s="503">
        <f t="shared" si="558"/>
        <v>0</v>
      </c>
      <c r="CT107" s="503">
        <f t="shared" si="559"/>
        <v>0.37907499999999994</v>
      </c>
      <c r="CU107" s="504">
        <f t="shared" si="560"/>
        <v>13</v>
      </c>
      <c r="CV107" s="504">
        <f t="shared" si="561"/>
        <v>1.43895</v>
      </c>
      <c r="CW107" s="502">
        <f t="shared" si="562"/>
        <v>23.248199999999997</v>
      </c>
      <c r="CX107" s="531">
        <f t="shared" si="563"/>
        <v>3.57</v>
      </c>
      <c r="CY107" s="537">
        <f t="shared" si="564"/>
        <v>1.7849999999999999</v>
      </c>
      <c r="CZ107" s="502">
        <f t="shared" si="565"/>
        <v>0</v>
      </c>
    </row>
    <row r="108" spans="1:104" ht="25" x14ac:dyDescent="0.25">
      <c r="A108" s="413" t="str">
        <f>'BOCA DE LOBO'!C102</f>
        <v>BL20-&gt;PV1.3</v>
      </c>
      <c r="B108" s="413" t="str">
        <f>'BOCA DE LOBO'!A102</f>
        <v>PV1.3</v>
      </c>
      <c r="C108" s="413" t="str">
        <f>VLOOKUP(A108,'BOCA DE LOBO'!$C$82:$Q$270,3,0)</f>
        <v>PROJETADO</v>
      </c>
      <c r="D108" s="413" t="str">
        <f>VLOOKUP(A108,'BOCA DE LOBO'!$C$82:$Q$270,10,0)</f>
        <v>PROJETADA</v>
      </c>
      <c r="E108" s="413">
        <f t="shared" si="481"/>
        <v>2.3616000000000001</v>
      </c>
      <c r="F108" s="413">
        <f>VLOOKUP(A108,'BOCA DE LOBO'!$C$82:$Q$270,2,0)</f>
        <v>2.72</v>
      </c>
      <c r="G108" s="413">
        <f>VLOOKUP(A108,'BOCA DE LOBO'!$C$82:$Q$270,4,0)</f>
        <v>8.9600000000000009</v>
      </c>
      <c r="H108" s="412">
        <v>400</v>
      </c>
      <c r="I108" s="493">
        <f t="shared" si="482"/>
        <v>2.6707999999999998</v>
      </c>
      <c r="J108" s="493">
        <f t="shared" si="483"/>
        <v>1.1965184</v>
      </c>
      <c r="K108" s="530">
        <v>0</v>
      </c>
      <c r="L108" s="531">
        <f t="shared" si="484"/>
        <v>1</v>
      </c>
      <c r="M108" s="531">
        <f t="shared" si="485"/>
        <v>1</v>
      </c>
      <c r="N108" s="531">
        <f t="shared" si="486"/>
        <v>0</v>
      </c>
      <c r="O108" s="531">
        <f t="shared" si="487"/>
        <v>8.9600000000000009</v>
      </c>
      <c r="P108" s="532" t="str">
        <f>VLOOKUP(B108,'Planilha Hidráulica'!$AG:$AR,12,0)</f>
        <v>ASFALTO</v>
      </c>
      <c r="Q108" s="533" t="s">
        <v>2743</v>
      </c>
      <c r="R108" s="534"/>
      <c r="S108" s="532">
        <f>VLOOKUP(Q108,Quantitativos!P:R,3,0)</f>
        <v>2</v>
      </c>
      <c r="T108" s="532">
        <f>VLOOKUP(Q108,Quantitativos!P:S,4,0)</f>
        <v>5</v>
      </c>
      <c r="U108" s="531">
        <f t="shared" si="488"/>
        <v>0.05</v>
      </c>
      <c r="V108" s="535">
        <f t="shared" si="489"/>
        <v>0</v>
      </c>
      <c r="W108" s="535">
        <f t="shared" si="490"/>
        <v>23.930368000000001</v>
      </c>
      <c r="X108" s="536">
        <f t="shared" si="491"/>
        <v>0</v>
      </c>
      <c r="Y108" s="536">
        <f t="shared" si="492"/>
        <v>0</v>
      </c>
      <c r="Z108" s="536">
        <f t="shared" si="493"/>
        <v>2</v>
      </c>
      <c r="AA108" s="536">
        <f t="shared" si="494"/>
        <v>0.67079999999999984</v>
      </c>
      <c r="AB108" s="496">
        <f t="shared" si="495"/>
        <v>8.9600000000000009</v>
      </c>
      <c r="AC108" s="251">
        <f t="shared" si="496"/>
        <v>0</v>
      </c>
      <c r="AD108" s="251">
        <f t="shared" si="497"/>
        <v>0</v>
      </c>
      <c r="AE108" s="251">
        <f t="shared" si="498"/>
        <v>0</v>
      </c>
      <c r="AF108" s="251">
        <f t="shared" si="499"/>
        <v>13.440000000000001</v>
      </c>
      <c r="AG108" s="251">
        <f t="shared" si="500"/>
        <v>4.4800000000000004</v>
      </c>
      <c r="AH108" s="251">
        <f t="shared" si="501"/>
        <v>0</v>
      </c>
      <c r="AI108" s="497" t="str">
        <f t="shared" si="502"/>
        <v>SIM</v>
      </c>
      <c r="AJ108" s="531">
        <f t="shared" si="503"/>
        <v>6.0103679999999997</v>
      </c>
      <c r="AK108" s="531">
        <f t="shared" si="504"/>
        <v>0</v>
      </c>
      <c r="AL108" s="531">
        <f t="shared" si="505"/>
        <v>22.80442119295342</v>
      </c>
      <c r="AM108" s="493">
        <f t="shared" si="506"/>
        <v>0.44800000000000006</v>
      </c>
      <c r="AN108" s="535">
        <f t="shared" si="507"/>
        <v>0</v>
      </c>
      <c r="AO108" s="531">
        <f t="shared" si="508"/>
        <v>0</v>
      </c>
      <c r="AP108" s="531">
        <f t="shared" si="509"/>
        <v>0</v>
      </c>
      <c r="AQ108" s="531">
        <f t="shared" si="510"/>
        <v>0.7</v>
      </c>
      <c r="AR108" s="531">
        <f t="shared" si="511"/>
        <v>5.1460531929534179</v>
      </c>
      <c r="AS108" s="531">
        <f t="shared" si="512"/>
        <v>0</v>
      </c>
      <c r="AT108" s="531">
        <f t="shared" si="513"/>
        <v>1.3440000000000001</v>
      </c>
      <c r="AU108" s="531">
        <f t="shared" si="514"/>
        <v>1.3440000000000001</v>
      </c>
      <c r="AV108" s="531">
        <f t="shared" si="515"/>
        <v>0.26880000000000004</v>
      </c>
      <c r="AW108" s="531">
        <f t="shared" si="516"/>
        <v>14.522368</v>
      </c>
      <c r="AX108" s="531">
        <f t="shared" si="517"/>
        <v>11.429946807046584</v>
      </c>
      <c r="AY108" s="531">
        <f t="shared" si="518"/>
        <v>11.429946807046584</v>
      </c>
      <c r="AZ108" s="531">
        <f t="shared" si="519"/>
        <v>3.0924211929534167</v>
      </c>
      <c r="BA108" s="531">
        <f t="shared" si="520"/>
        <v>0.62445418158977339</v>
      </c>
      <c r="BB108" s="531">
        <f t="shared" si="521"/>
        <v>2.4679670113636432</v>
      </c>
      <c r="BC108" s="531"/>
      <c r="BD108" s="531">
        <f t="shared" si="522"/>
        <v>5.3760000000000002E-2</v>
      </c>
      <c r="BE108" s="496">
        <f t="shared" si="523"/>
        <v>2.6707999999999998</v>
      </c>
      <c r="BF108" s="498">
        <f t="shared" si="524"/>
        <v>0</v>
      </c>
      <c r="BG108" s="498">
        <f t="shared" si="525"/>
        <v>8.9600000000000009</v>
      </c>
      <c r="BH108" s="532" t="str">
        <f>VLOOKUP(A108,'BOCA DE LOBO'!C:I,7,0)</f>
        <v>BOCA DE LOBO PROJETADA DUPLA</v>
      </c>
      <c r="BI108" s="531">
        <f t="shared" si="526"/>
        <v>0</v>
      </c>
      <c r="BJ108" s="531">
        <f t="shared" si="527"/>
        <v>0</v>
      </c>
      <c r="BK108" s="531">
        <f t="shared" si="528"/>
        <v>0</v>
      </c>
      <c r="BL108" s="531">
        <f t="shared" si="529"/>
        <v>0</v>
      </c>
      <c r="BM108" s="531">
        <f t="shared" si="530"/>
        <v>0</v>
      </c>
      <c r="BN108" s="531">
        <f t="shared" si="531"/>
        <v>1</v>
      </c>
      <c r="BO108" s="499">
        <f t="shared" si="532"/>
        <v>0</v>
      </c>
      <c r="BP108" s="500"/>
      <c r="BQ108" s="496">
        <f t="shared" si="533"/>
        <v>26.880000000000003</v>
      </c>
      <c r="BR108" s="496">
        <f t="shared" si="534"/>
        <v>20.980736</v>
      </c>
      <c r="BS108" s="496">
        <f t="shared" si="535"/>
        <v>0</v>
      </c>
      <c r="BT108" s="501"/>
      <c r="BU108" s="501"/>
      <c r="BV108" s="502">
        <f t="shared" si="536"/>
        <v>14.16393216</v>
      </c>
      <c r="BW108" s="502">
        <f t="shared" si="537"/>
        <v>5.9975999999999994</v>
      </c>
      <c r="BX108" s="502">
        <f t="shared" si="538"/>
        <v>3.0325999999999995</v>
      </c>
      <c r="BY108" s="502">
        <f t="shared" si="539"/>
        <v>2.3616000000000001</v>
      </c>
      <c r="BZ108" s="502">
        <f t="shared" si="540"/>
        <v>2</v>
      </c>
      <c r="CA108" s="502">
        <f t="shared" si="541"/>
        <v>0</v>
      </c>
      <c r="CB108" s="502">
        <f t="shared" si="542"/>
        <v>0.36160000000000014</v>
      </c>
      <c r="CC108" s="502">
        <f t="shared" si="543"/>
        <v>8.9963999999999995</v>
      </c>
      <c r="CD108" s="502">
        <f t="shared" si="544"/>
        <v>2.9987999999999997</v>
      </c>
      <c r="CE108" s="502">
        <f t="shared" si="545"/>
        <v>0</v>
      </c>
      <c r="CF108" s="502">
        <f t="shared" si="546"/>
        <v>0</v>
      </c>
      <c r="CG108" s="502">
        <f t="shared" si="547"/>
        <v>2.1687321600000011</v>
      </c>
      <c r="CH108" s="502">
        <f t="shared" si="548"/>
        <v>0</v>
      </c>
      <c r="CI108" s="531"/>
      <c r="CJ108" s="502">
        <f t="shared" si="549"/>
        <v>7.0021440000000004</v>
      </c>
      <c r="CK108" s="502">
        <f t="shared" si="550"/>
        <v>7.0021440000000004</v>
      </c>
      <c r="CL108" s="502">
        <f t="shared" si="551"/>
        <v>0</v>
      </c>
      <c r="CM108" s="502">
        <f t="shared" si="552"/>
        <v>0</v>
      </c>
      <c r="CN108" s="502">
        <f t="shared" si="553"/>
        <v>3.57</v>
      </c>
      <c r="CO108" s="502">
        <f t="shared" si="554"/>
        <v>2.3616000000000001</v>
      </c>
      <c r="CP108" s="502">
        <f t="shared" si="555"/>
        <v>10.709999999999999</v>
      </c>
      <c r="CQ108" s="502">
        <f t="shared" si="556"/>
        <v>6.1518240000000004</v>
      </c>
      <c r="CR108" s="220">
        <f t="shared" si="557"/>
        <v>0</v>
      </c>
      <c r="CS108" s="503">
        <f t="shared" si="558"/>
        <v>0</v>
      </c>
      <c r="CT108" s="503">
        <f t="shared" si="559"/>
        <v>0.358089408</v>
      </c>
      <c r="CU108" s="504">
        <f t="shared" si="560"/>
        <v>12.280320000000001</v>
      </c>
      <c r="CV108" s="504">
        <f t="shared" si="561"/>
        <v>1.3965996000000001</v>
      </c>
      <c r="CW108" s="502">
        <f t="shared" si="562"/>
        <v>22.185288</v>
      </c>
      <c r="CX108" s="531">
        <f t="shared" si="563"/>
        <v>3.57</v>
      </c>
      <c r="CY108" s="537">
        <f t="shared" si="564"/>
        <v>1.7849999999999999</v>
      </c>
      <c r="CZ108" s="502">
        <f t="shared" si="565"/>
        <v>0</v>
      </c>
    </row>
    <row r="109" spans="1:104" ht="25" x14ac:dyDescent="0.25">
      <c r="A109" s="413" t="str">
        <f>'BOCA DE LOBO'!C103</f>
        <v>BL21-&gt;PV1.3</v>
      </c>
      <c r="B109" s="413" t="str">
        <f>'BOCA DE LOBO'!A103</f>
        <v>PV1.3</v>
      </c>
      <c r="C109" s="413" t="str">
        <f>VLOOKUP(A109,'BOCA DE LOBO'!$C$82:$Q$270,3,0)</f>
        <v>PROJETADO</v>
      </c>
      <c r="D109" s="413" t="str">
        <f>VLOOKUP(A109,'BOCA DE LOBO'!$C$82:$Q$270,10,0)</f>
        <v>PROJETADA</v>
      </c>
      <c r="E109" s="413">
        <f t="shared" si="481"/>
        <v>2.4988000000000001</v>
      </c>
      <c r="F109" s="413">
        <f>VLOOKUP(A109,'BOCA DE LOBO'!$C$82:$Q$270,2,0)</f>
        <v>2.72</v>
      </c>
      <c r="G109" s="413">
        <f>VLOOKUP(A109,'BOCA DE LOBO'!$C$82:$Q$270,4,0)</f>
        <v>5.53</v>
      </c>
      <c r="H109" s="412">
        <v>400</v>
      </c>
      <c r="I109" s="493">
        <f t="shared" si="482"/>
        <v>2.7393999999999998</v>
      </c>
      <c r="J109" s="493">
        <f t="shared" si="483"/>
        <v>0.75744410000000006</v>
      </c>
      <c r="K109" s="530">
        <v>0</v>
      </c>
      <c r="L109" s="531">
        <f t="shared" si="484"/>
        <v>1</v>
      </c>
      <c r="M109" s="531">
        <f t="shared" si="485"/>
        <v>1</v>
      </c>
      <c r="N109" s="531">
        <f t="shared" si="486"/>
        <v>0</v>
      </c>
      <c r="O109" s="531">
        <f t="shared" si="487"/>
        <v>5.53</v>
      </c>
      <c r="P109" s="532" t="str">
        <f>VLOOKUP(B109,'Planilha Hidráulica'!$AG:$AR,12,0)</f>
        <v>ASFALTO</v>
      </c>
      <c r="Q109" s="533" t="s">
        <v>2743</v>
      </c>
      <c r="R109" s="534"/>
      <c r="S109" s="532">
        <f>VLOOKUP(Q109,Quantitativos!P:R,3,0)</f>
        <v>2</v>
      </c>
      <c r="T109" s="532">
        <f>VLOOKUP(Q109,Quantitativos!P:S,4,0)</f>
        <v>5</v>
      </c>
      <c r="U109" s="531">
        <f t="shared" si="488"/>
        <v>0.05</v>
      </c>
      <c r="V109" s="535">
        <f t="shared" si="489"/>
        <v>0</v>
      </c>
      <c r="W109" s="535">
        <f t="shared" si="490"/>
        <v>15.148882</v>
      </c>
      <c r="X109" s="536">
        <f t="shared" si="491"/>
        <v>0</v>
      </c>
      <c r="Y109" s="536">
        <f t="shared" si="492"/>
        <v>0</v>
      </c>
      <c r="Z109" s="536">
        <f t="shared" si="493"/>
        <v>2</v>
      </c>
      <c r="AA109" s="536">
        <f t="shared" si="494"/>
        <v>0.73939999999999984</v>
      </c>
      <c r="AB109" s="496">
        <f t="shared" si="495"/>
        <v>5.53</v>
      </c>
      <c r="AC109" s="251">
        <f t="shared" si="496"/>
        <v>0</v>
      </c>
      <c r="AD109" s="251">
        <f t="shared" si="497"/>
        <v>0</v>
      </c>
      <c r="AE109" s="251">
        <f t="shared" si="498"/>
        <v>0</v>
      </c>
      <c r="AF109" s="251">
        <f t="shared" si="499"/>
        <v>8.2949999999999999</v>
      </c>
      <c r="AG109" s="251">
        <f t="shared" si="500"/>
        <v>2.7650000000000001</v>
      </c>
      <c r="AH109" s="251">
        <f t="shared" si="501"/>
        <v>0</v>
      </c>
      <c r="AI109" s="497" t="str">
        <f t="shared" si="502"/>
        <v>SIM</v>
      </c>
      <c r="AJ109" s="531">
        <f t="shared" si="503"/>
        <v>4.0888819999999999</v>
      </c>
      <c r="AK109" s="531">
        <f t="shared" si="504"/>
        <v>0</v>
      </c>
      <c r="AL109" s="531">
        <f t="shared" si="505"/>
        <v>14.453961705025938</v>
      </c>
      <c r="AM109" s="493">
        <f t="shared" si="506"/>
        <v>0.27650000000000002</v>
      </c>
      <c r="AN109" s="535">
        <f t="shared" si="507"/>
        <v>0</v>
      </c>
      <c r="AO109" s="531">
        <f t="shared" si="508"/>
        <v>0</v>
      </c>
      <c r="AP109" s="531">
        <f t="shared" si="509"/>
        <v>0</v>
      </c>
      <c r="AQ109" s="531">
        <f t="shared" si="510"/>
        <v>0.7</v>
      </c>
      <c r="AR109" s="531">
        <f t="shared" si="511"/>
        <v>3.1760797050259377</v>
      </c>
      <c r="AS109" s="531">
        <f t="shared" si="512"/>
        <v>0</v>
      </c>
      <c r="AT109" s="531">
        <f t="shared" si="513"/>
        <v>0.82950000000000002</v>
      </c>
      <c r="AU109" s="531">
        <f t="shared" si="514"/>
        <v>0.82950000000000002</v>
      </c>
      <c r="AV109" s="531">
        <f t="shared" si="515"/>
        <v>0.16589999999999999</v>
      </c>
      <c r="AW109" s="531">
        <f t="shared" si="516"/>
        <v>9.3423820000000006</v>
      </c>
      <c r="AX109" s="531">
        <f t="shared" si="517"/>
        <v>7.0544202949740633</v>
      </c>
      <c r="AY109" s="531">
        <f t="shared" si="518"/>
        <v>7.0544202949740633</v>
      </c>
      <c r="AZ109" s="531">
        <f t="shared" si="519"/>
        <v>2.2879617050259373</v>
      </c>
      <c r="BA109" s="531">
        <f t="shared" si="520"/>
        <v>0.46200926874912807</v>
      </c>
      <c r="BB109" s="531">
        <f t="shared" si="521"/>
        <v>1.8259524362768094</v>
      </c>
      <c r="BC109" s="531"/>
      <c r="BD109" s="531">
        <f t="shared" si="522"/>
        <v>3.3180000000000001E-2</v>
      </c>
      <c r="BE109" s="496">
        <f t="shared" si="523"/>
        <v>2.7393999999999998</v>
      </c>
      <c r="BF109" s="498">
        <f t="shared" si="524"/>
        <v>0</v>
      </c>
      <c r="BG109" s="498">
        <f t="shared" si="525"/>
        <v>5.53</v>
      </c>
      <c r="BH109" s="532" t="str">
        <f>VLOOKUP(A109,'BOCA DE LOBO'!C:I,7,0)</f>
        <v>BOCA DE LOBO PROJETADA DUPLA</v>
      </c>
      <c r="BI109" s="531">
        <f t="shared" si="526"/>
        <v>0</v>
      </c>
      <c r="BJ109" s="531">
        <f t="shared" si="527"/>
        <v>0</v>
      </c>
      <c r="BK109" s="531">
        <f t="shared" si="528"/>
        <v>0</v>
      </c>
      <c r="BL109" s="531">
        <f t="shared" si="529"/>
        <v>0</v>
      </c>
      <c r="BM109" s="531">
        <f t="shared" si="530"/>
        <v>0</v>
      </c>
      <c r="BN109" s="531">
        <f t="shared" si="531"/>
        <v>1</v>
      </c>
      <c r="BO109" s="499">
        <f t="shared" si="532"/>
        <v>0</v>
      </c>
      <c r="BP109" s="500"/>
      <c r="BQ109" s="496">
        <f t="shared" si="533"/>
        <v>16.59</v>
      </c>
      <c r="BR109" s="496">
        <f t="shared" si="534"/>
        <v>13.707763999999999</v>
      </c>
      <c r="BS109" s="496">
        <f t="shared" si="535"/>
        <v>0</v>
      </c>
      <c r="BT109" s="501"/>
      <c r="BU109" s="501"/>
      <c r="BV109" s="502">
        <f t="shared" si="536"/>
        <v>14.986802879999999</v>
      </c>
      <c r="BW109" s="502">
        <f t="shared" si="537"/>
        <v>5.9975999999999994</v>
      </c>
      <c r="BX109" s="502">
        <f t="shared" si="538"/>
        <v>3.0325999999999995</v>
      </c>
      <c r="BY109" s="502">
        <f t="shared" si="539"/>
        <v>2.4988000000000001</v>
      </c>
      <c r="BZ109" s="502">
        <f t="shared" si="540"/>
        <v>2</v>
      </c>
      <c r="CA109" s="502">
        <f t="shared" si="541"/>
        <v>0</v>
      </c>
      <c r="CB109" s="502">
        <f t="shared" si="542"/>
        <v>0.49880000000000013</v>
      </c>
      <c r="CC109" s="502">
        <f t="shared" si="543"/>
        <v>8.9963999999999995</v>
      </c>
      <c r="CD109" s="502">
        <f t="shared" si="544"/>
        <v>2.9987999999999997</v>
      </c>
      <c r="CE109" s="502">
        <f t="shared" si="545"/>
        <v>0</v>
      </c>
      <c r="CF109" s="502">
        <f t="shared" si="546"/>
        <v>0</v>
      </c>
      <c r="CG109" s="502">
        <f t="shared" si="547"/>
        <v>2.9916028800000003</v>
      </c>
      <c r="CH109" s="502">
        <f t="shared" si="548"/>
        <v>0</v>
      </c>
      <c r="CI109" s="531"/>
      <c r="CJ109" s="502">
        <f t="shared" si="549"/>
        <v>7.4089419999999997</v>
      </c>
      <c r="CK109" s="502">
        <f t="shared" si="550"/>
        <v>7.4089419999999997</v>
      </c>
      <c r="CL109" s="502">
        <f t="shared" si="551"/>
        <v>0</v>
      </c>
      <c r="CM109" s="502">
        <f t="shared" si="552"/>
        <v>0</v>
      </c>
      <c r="CN109" s="502">
        <f t="shared" si="553"/>
        <v>3.57</v>
      </c>
      <c r="CO109" s="502">
        <f t="shared" si="554"/>
        <v>2.4988000000000001</v>
      </c>
      <c r="CP109" s="502">
        <f t="shared" si="555"/>
        <v>10.709999999999999</v>
      </c>
      <c r="CQ109" s="502">
        <f t="shared" si="556"/>
        <v>7.1314320000000002</v>
      </c>
      <c r="CR109" s="220">
        <f t="shared" si="557"/>
        <v>0</v>
      </c>
      <c r="CS109" s="503">
        <f t="shared" si="558"/>
        <v>0</v>
      </c>
      <c r="CT109" s="503">
        <f t="shared" si="559"/>
        <v>0.37889304400000001</v>
      </c>
      <c r="CU109" s="504">
        <f t="shared" si="560"/>
        <v>12.993760000000002</v>
      </c>
      <c r="CV109" s="504">
        <f t="shared" si="561"/>
        <v>1.4385827999999998</v>
      </c>
      <c r="CW109" s="502">
        <f t="shared" si="562"/>
        <v>23.238983999999999</v>
      </c>
      <c r="CX109" s="531">
        <f t="shared" si="563"/>
        <v>3.57</v>
      </c>
      <c r="CY109" s="537">
        <f t="shared" si="564"/>
        <v>1.7849999999999999</v>
      </c>
      <c r="CZ109" s="502">
        <f t="shared" si="565"/>
        <v>0</v>
      </c>
    </row>
    <row r="110" spans="1:104" ht="25" x14ac:dyDescent="0.25">
      <c r="A110" s="413" t="str">
        <f>'BOCA DE LOBO'!C104</f>
        <v>BL22-&gt;PV2.3</v>
      </c>
      <c r="B110" s="413" t="str">
        <f>'BOCA DE LOBO'!A104</f>
        <v>PV2.3</v>
      </c>
      <c r="C110" s="413" t="str">
        <f>VLOOKUP(A110,'BOCA DE LOBO'!$C$82:$Q$270,3,0)</f>
        <v>PROJETADO</v>
      </c>
      <c r="D110" s="413" t="str">
        <f>VLOOKUP(A110,'BOCA DE LOBO'!$C$82:$Q$270,10,0)</f>
        <v>PROJETADA</v>
      </c>
      <c r="E110" s="413">
        <f t="shared" si="481"/>
        <v>2.5</v>
      </c>
      <c r="F110" s="413">
        <f>VLOOKUP(A110,'BOCA DE LOBO'!$C$82:$Q$270,2,0)</f>
        <v>3.73</v>
      </c>
      <c r="G110" s="413">
        <f>VLOOKUP(A110,'BOCA DE LOBO'!$C$82:$Q$270,4,0)</f>
        <v>8.44</v>
      </c>
      <c r="H110" s="412">
        <v>400</v>
      </c>
      <c r="I110" s="493">
        <f t="shared" si="482"/>
        <v>3.2450000000000001</v>
      </c>
      <c r="J110" s="493">
        <f t="shared" si="483"/>
        <v>1.3693899999999999</v>
      </c>
      <c r="K110" s="530">
        <v>0</v>
      </c>
      <c r="L110" s="531">
        <f t="shared" si="484"/>
        <v>1</v>
      </c>
      <c r="M110" s="531">
        <f t="shared" si="485"/>
        <v>1</v>
      </c>
      <c r="N110" s="531">
        <f t="shared" si="486"/>
        <v>0</v>
      </c>
      <c r="O110" s="531">
        <f t="shared" si="487"/>
        <v>8.44</v>
      </c>
      <c r="P110" s="532" t="str">
        <f>VLOOKUP(B110,'Planilha Hidráulica'!$AG:$AR,12,0)</f>
        <v>ASFALTO</v>
      </c>
      <c r="Q110" s="533" t="s">
        <v>2737</v>
      </c>
      <c r="R110" s="534">
        <v>1</v>
      </c>
      <c r="S110" s="532">
        <f>VLOOKUP(Q110,Quantitativos!P:R,3,0)</f>
        <v>8.7100000000000009</v>
      </c>
      <c r="T110" s="532">
        <f>VLOOKUP(Q110,Quantitativos!P:S,4,0)</f>
        <v>1.9</v>
      </c>
      <c r="U110" s="531">
        <f t="shared" si="488"/>
        <v>0.05</v>
      </c>
      <c r="V110" s="535">
        <f t="shared" si="489"/>
        <v>0</v>
      </c>
      <c r="W110" s="535">
        <f t="shared" si="490"/>
        <v>30.7638</v>
      </c>
      <c r="X110" s="536">
        <f t="shared" si="491"/>
        <v>0</v>
      </c>
      <c r="Y110" s="536">
        <f t="shared" si="492"/>
        <v>3.645</v>
      </c>
      <c r="Z110" s="536">
        <f t="shared" si="493"/>
        <v>0</v>
      </c>
      <c r="AA110" s="536">
        <f t="shared" si="494"/>
        <v>3.2450000000000001</v>
      </c>
      <c r="AB110" s="496">
        <f t="shared" si="495"/>
        <v>8.44</v>
      </c>
      <c r="AC110" s="251">
        <f t="shared" si="496"/>
        <v>12.66</v>
      </c>
      <c r="AD110" s="251">
        <f t="shared" si="497"/>
        <v>12.66</v>
      </c>
      <c r="AE110" s="251">
        <f t="shared" si="498"/>
        <v>5.4437999999999995</v>
      </c>
      <c r="AF110" s="251">
        <f t="shared" si="499"/>
        <v>0</v>
      </c>
      <c r="AG110" s="251">
        <f t="shared" si="500"/>
        <v>0</v>
      </c>
      <c r="AH110" s="251">
        <f t="shared" si="501"/>
        <v>0</v>
      </c>
      <c r="AI110" s="497" t="str">
        <f t="shared" si="502"/>
        <v>NÃO</v>
      </c>
      <c r="AJ110" s="531">
        <f t="shared" si="503"/>
        <v>0</v>
      </c>
      <c r="AK110" s="531">
        <f t="shared" si="504"/>
        <v>0.15135733333333334</v>
      </c>
      <c r="AL110" s="531">
        <f t="shared" si="505"/>
        <v>29.703198320148086</v>
      </c>
      <c r="AM110" s="493">
        <f t="shared" si="506"/>
        <v>0.42199999999999999</v>
      </c>
      <c r="AN110" s="535">
        <f t="shared" si="507"/>
        <v>0</v>
      </c>
      <c r="AO110" s="531">
        <f t="shared" si="508"/>
        <v>3.3759999999999999</v>
      </c>
      <c r="AP110" s="531">
        <f t="shared" si="509"/>
        <v>3.3759999999999999</v>
      </c>
      <c r="AQ110" s="531">
        <f t="shared" si="510"/>
        <v>0.7</v>
      </c>
      <c r="AR110" s="531">
        <f t="shared" si="511"/>
        <v>4.847398320148085</v>
      </c>
      <c r="AS110" s="531">
        <f t="shared" si="512"/>
        <v>4.847398320148085</v>
      </c>
      <c r="AT110" s="531">
        <f t="shared" si="513"/>
        <v>1.2659999999999998</v>
      </c>
      <c r="AU110" s="531">
        <f t="shared" si="514"/>
        <v>1.2659999999999998</v>
      </c>
      <c r="AV110" s="531">
        <f t="shared" si="515"/>
        <v>0.25319999999999998</v>
      </c>
      <c r="AW110" s="531">
        <f t="shared" si="516"/>
        <v>18.525800000000004</v>
      </c>
      <c r="AX110" s="531">
        <f t="shared" si="517"/>
        <v>-9.4893983201480836</v>
      </c>
      <c r="AY110" s="531">
        <f t="shared" si="518"/>
        <v>-9.4893983201480836</v>
      </c>
      <c r="AZ110" s="531">
        <f t="shared" si="519"/>
        <v>28.015198320148087</v>
      </c>
      <c r="BA110" s="531">
        <f t="shared" si="520"/>
        <v>5.6571232207781588</v>
      </c>
      <c r="BB110" s="531">
        <f t="shared" si="521"/>
        <v>22.358075099369927</v>
      </c>
      <c r="BC110" s="531"/>
      <c r="BD110" s="531">
        <f t="shared" si="522"/>
        <v>0.18567999999999998</v>
      </c>
      <c r="BE110" s="496">
        <f t="shared" si="523"/>
        <v>3.2450000000000001</v>
      </c>
      <c r="BF110" s="498">
        <f t="shared" si="524"/>
        <v>0</v>
      </c>
      <c r="BG110" s="498">
        <f t="shared" si="525"/>
        <v>0</v>
      </c>
      <c r="BH110" s="532" t="str">
        <f>VLOOKUP(A110,'BOCA DE LOBO'!C:I,7,0)</f>
        <v>BOCA DE LOBO PROJETADA DUPLA</v>
      </c>
      <c r="BI110" s="531">
        <f t="shared" si="526"/>
        <v>0</v>
      </c>
      <c r="BJ110" s="531">
        <f t="shared" si="527"/>
        <v>0</v>
      </c>
      <c r="BK110" s="531">
        <f t="shared" si="528"/>
        <v>0</v>
      </c>
      <c r="BL110" s="531">
        <f t="shared" si="529"/>
        <v>0</v>
      </c>
      <c r="BM110" s="531">
        <f t="shared" si="530"/>
        <v>0</v>
      </c>
      <c r="BN110" s="531">
        <f t="shared" si="531"/>
        <v>1</v>
      </c>
      <c r="BO110" s="499">
        <f t="shared" si="532"/>
        <v>0</v>
      </c>
      <c r="BP110" s="500"/>
      <c r="BQ110" s="496">
        <f t="shared" si="533"/>
        <v>25.32</v>
      </c>
      <c r="BR110" s="496">
        <f t="shared" si="534"/>
        <v>25.32</v>
      </c>
      <c r="BS110" s="496">
        <f t="shared" si="535"/>
        <v>12.575600000000001</v>
      </c>
      <c r="BT110" s="501"/>
      <c r="BU110" s="501"/>
      <c r="BV110" s="502">
        <f t="shared" si="536"/>
        <v>17.992799999999999</v>
      </c>
      <c r="BW110" s="502">
        <f t="shared" si="537"/>
        <v>5.9975999999999994</v>
      </c>
      <c r="BX110" s="502">
        <f t="shared" si="538"/>
        <v>3.0325999999999995</v>
      </c>
      <c r="BY110" s="502">
        <f t="shared" si="539"/>
        <v>2.5</v>
      </c>
      <c r="BZ110" s="502">
        <f t="shared" si="540"/>
        <v>0</v>
      </c>
      <c r="CA110" s="502">
        <f t="shared" si="541"/>
        <v>3</v>
      </c>
      <c r="CB110" s="502">
        <f t="shared" si="542"/>
        <v>0</v>
      </c>
      <c r="CC110" s="502">
        <f t="shared" si="543"/>
        <v>0</v>
      </c>
      <c r="CD110" s="502">
        <f t="shared" si="544"/>
        <v>0</v>
      </c>
      <c r="CE110" s="502">
        <f t="shared" si="545"/>
        <v>8.9963999999999995</v>
      </c>
      <c r="CF110" s="502">
        <f t="shared" si="546"/>
        <v>8.9963999999999995</v>
      </c>
      <c r="CG110" s="502">
        <f t="shared" si="547"/>
        <v>0</v>
      </c>
      <c r="CH110" s="502">
        <f t="shared" si="548"/>
        <v>0</v>
      </c>
      <c r="CI110" s="531"/>
      <c r="CJ110" s="502">
        <f t="shared" si="549"/>
        <v>8.8949999999999996</v>
      </c>
      <c r="CK110" s="502">
        <f t="shared" si="550"/>
        <v>8.8949999999999996</v>
      </c>
      <c r="CL110" s="502">
        <f t="shared" si="551"/>
        <v>0</v>
      </c>
      <c r="CM110" s="502">
        <f t="shared" si="552"/>
        <v>0.11995199999999999</v>
      </c>
      <c r="CN110" s="502">
        <f t="shared" si="553"/>
        <v>3.57</v>
      </c>
      <c r="CO110" s="502">
        <f t="shared" si="554"/>
        <v>3</v>
      </c>
      <c r="CP110" s="502">
        <f t="shared" si="555"/>
        <v>10.709999999999999</v>
      </c>
      <c r="CQ110" s="502">
        <f t="shared" si="556"/>
        <v>10.709999999999999</v>
      </c>
      <c r="CR110" s="220">
        <f t="shared" si="557"/>
        <v>0</v>
      </c>
      <c r="CS110" s="503">
        <f t="shared" si="558"/>
        <v>0</v>
      </c>
      <c r="CT110" s="503">
        <f t="shared" si="559"/>
        <v>0.37907499999999994</v>
      </c>
      <c r="CU110" s="504">
        <f t="shared" si="560"/>
        <v>13</v>
      </c>
      <c r="CV110" s="504">
        <f t="shared" si="561"/>
        <v>1.43895</v>
      </c>
      <c r="CW110" s="502">
        <f t="shared" si="562"/>
        <v>23.248199999999997</v>
      </c>
      <c r="CX110" s="531">
        <f t="shared" si="563"/>
        <v>3.57</v>
      </c>
      <c r="CY110" s="537">
        <f t="shared" si="564"/>
        <v>1.7849999999999999</v>
      </c>
      <c r="CZ110" s="502">
        <f t="shared" si="565"/>
        <v>0</v>
      </c>
    </row>
    <row r="111" spans="1:104" ht="25" x14ac:dyDescent="0.25">
      <c r="A111" s="413" t="str">
        <f>'BOCA DE LOBO'!C105</f>
        <v>BL23-&gt;PV2.3</v>
      </c>
      <c r="B111" s="413" t="str">
        <f>'BOCA DE LOBO'!A105</f>
        <v>PV2.3</v>
      </c>
      <c r="C111" s="413" t="str">
        <f>VLOOKUP(A111,'BOCA DE LOBO'!$C$82:$Q$270,3,0)</f>
        <v>PROJETADO</v>
      </c>
      <c r="D111" s="413" t="str">
        <f>VLOOKUP(A111,'BOCA DE LOBO'!$C$82:$Q$270,10,0)</f>
        <v>PROJETADA</v>
      </c>
      <c r="E111" s="413">
        <f t="shared" si="481"/>
        <v>2.5</v>
      </c>
      <c r="F111" s="413">
        <f>VLOOKUP(A111,'BOCA DE LOBO'!$C$82:$Q$270,2,0)</f>
        <v>3.73</v>
      </c>
      <c r="G111" s="413">
        <f>VLOOKUP(A111,'BOCA DE LOBO'!$C$82:$Q$270,4,0)</f>
        <v>5.15</v>
      </c>
      <c r="H111" s="412">
        <v>400</v>
      </c>
      <c r="I111" s="493">
        <f t="shared" si="482"/>
        <v>3.2450000000000001</v>
      </c>
      <c r="J111" s="493">
        <f t="shared" si="483"/>
        <v>0.83558750000000015</v>
      </c>
      <c r="K111" s="530">
        <v>0</v>
      </c>
      <c r="L111" s="531">
        <f t="shared" si="484"/>
        <v>1</v>
      </c>
      <c r="M111" s="531">
        <f t="shared" si="485"/>
        <v>1</v>
      </c>
      <c r="N111" s="531">
        <f t="shared" si="486"/>
        <v>0</v>
      </c>
      <c r="O111" s="531">
        <f t="shared" si="487"/>
        <v>5.15</v>
      </c>
      <c r="P111" s="532" t="str">
        <f>VLOOKUP(B111,'Planilha Hidráulica'!$AG:$AR,12,0)</f>
        <v>ASFALTO</v>
      </c>
      <c r="Q111" s="533" t="s">
        <v>2737</v>
      </c>
      <c r="R111" s="534">
        <v>1</v>
      </c>
      <c r="S111" s="532">
        <f>VLOOKUP(Q111,Quantitativos!P:R,3,0)</f>
        <v>8.7100000000000009</v>
      </c>
      <c r="T111" s="532">
        <f>VLOOKUP(Q111,Quantitativos!P:S,4,0)</f>
        <v>1.9</v>
      </c>
      <c r="U111" s="531">
        <f t="shared" si="488"/>
        <v>0.05</v>
      </c>
      <c r="V111" s="535">
        <f t="shared" si="489"/>
        <v>0</v>
      </c>
      <c r="W111" s="535">
        <f t="shared" si="490"/>
        <v>18.771750000000001</v>
      </c>
      <c r="X111" s="536">
        <f t="shared" si="491"/>
        <v>0</v>
      </c>
      <c r="Y111" s="536">
        <f t="shared" si="492"/>
        <v>3.645</v>
      </c>
      <c r="Z111" s="536">
        <f t="shared" si="493"/>
        <v>0</v>
      </c>
      <c r="AA111" s="536">
        <f t="shared" si="494"/>
        <v>3.2450000000000001</v>
      </c>
      <c r="AB111" s="496">
        <f t="shared" si="495"/>
        <v>5.15</v>
      </c>
      <c r="AC111" s="251">
        <f t="shared" si="496"/>
        <v>7.7250000000000005</v>
      </c>
      <c r="AD111" s="251">
        <f t="shared" si="497"/>
        <v>7.7250000000000005</v>
      </c>
      <c r="AE111" s="251">
        <f t="shared" si="498"/>
        <v>3.3217500000000002</v>
      </c>
      <c r="AF111" s="251">
        <f t="shared" si="499"/>
        <v>0</v>
      </c>
      <c r="AG111" s="251">
        <f t="shared" si="500"/>
        <v>0</v>
      </c>
      <c r="AH111" s="251">
        <f t="shared" si="501"/>
        <v>0</v>
      </c>
      <c r="AI111" s="497" t="str">
        <f t="shared" si="502"/>
        <v>NÃO</v>
      </c>
      <c r="AJ111" s="531">
        <f t="shared" si="503"/>
        <v>0</v>
      </c>
      <c r="AK111" s="531">
        <f t="shared" si="504"/>
        <v>9.2356666666666684E-2</v>
      </c>
      <c r="AL111" s="531">
        <f t="shared" si="505"/>
        <v>18.124581913360505</v>
      </c>
      <c r="AM111" s="493">
        <f t="shared" si="506"/>
        <v>0.25750000000000001</v>
      </c>
      <c r="AN111" s="535">
        <f t="shared" si="507"/>
        <v>0</v>
      </c>
      <c r="AO111" s="531">
        <f t="shared" si="508"/>
        <v>2.06</v>
      </c>
      <c r="AP111" s="531">
        <f t="shared" si="509"/>
        <v>2.06</v>
      </c>
      <c r="AQ111" s="531">
        <f t="shared" si="510"/>
        <v>0.7</v>
      </c>
      <c r="AR111" s="531">
        <f t="shared" si="511"/>
        <v>2.9578319133605024</v>
      </c>
      <c r="AS111" s="531">
        <f t="shared" si="512"/>
        <v>2.9578319133605024</v>
      </c>
      <c r="AT111" s="531">
        <f t="shared" si="513"/>
        <v>0.77250000000000008</v>
      </c>
      <c r="AU111" s="531">
        <f t="shared" si="514"/>
        <v>0.77250000000000008</v>
      </c>
      <c r="AV111" s="531">
        <f t="shared" si="515"/>
        <v>0.1545</v>
      </c>
      <c r="AW111" s="531">
        <f t="shared" si="516"/>
        <v>11.304250000000001</v>
      </c>
      <c r="AX111" s="531">
        <f t="shared" si="517"/>
        <v>-5.790331913360502</v>
      </c>
      <c r="AY111" s="531">
        <f t="shared" si="518"/>
        <v>-5.790331913360502</v>
      </c>
      <c r="AZ111" s="531">
        <f t="shared" si="519"/>
        <v>17.094581913360503</v>
      </c>
      <c r="BA111" s="531">
        <f t="shared" si="520"/>
        <v>3.4519176050956775</v>
      </c>
      <c r="BB111" s="531">
        <f t="shared" si="521"/>
        <v>13.642664308264827</v>
      </c>
      <c r="BC111" s="531"/>
      <c r="BD111" s="531">
        <f t="shared" si="522"/>
        <v>0.1133</v>
      </c>
      <c r="BE111" s="496">
        <f t="shared" si="523"/>
        <v>3.2450000000000001</v>
      </c>
      <c r="BF111" s="498">
        <f t="shared" si="524"/>
        <v>0</v>
      </c>
      <c r="BG111" s="498">
        <f t="shared" si="525"/>
        <v>0</v>
      </c>
      <c r="BH111" s="532" t="str">
        <f>VLOOKUP(A111,'BOCA DE LOBO'!C:I,7,0)</f>
        <v>BOCA DE LOBO PROJETADA DUPLA</v>
      </c>
      <c r="BI111" s="531">
        <f t="shared" si="526"/>
        <v>0</v>
      </c>
      <c r="BJ111" s="531">
        <f t="shared" si="527"/>
        <v>0</v>
      </c>
      <c r="BK111" s="531">
        <f t="shared" si="528"/>
        <v>0</v>
      </c>
      <c r="BL111" s="531">
        <f t="shared" si="529"/>
        <v>0</v>
      </c>
      <c r="BM111" s="531">
        <f t="shared" si="530"/>
        <v>0</v>
      </c>
      <c r="BN111" s="531">
        <f t="shared" si="531"/>
        <v>1</v>
      </c>
      <c r="BO111" s="499">
        <f t="shared" si="532"/>
        <v>0</v>
      </c>
      <c r="BP111" s="500"/>
      <c r="BQ111" s="496">
        <f t="shared" si="533"/>
        <v>15.450000000000001</v>
      </c>
      <c r="BR111" s="496">
        <f t="shared" si="534"/>
        <v>15.450000000000001</v>
      </c>
      <c r="BS111" s="496">
        <f t="shared" si="535"/>
        <v>7.6735000000000015</v>
      </c>
      <c r="BT111" s="501"/>
      <c r="BU111" s="501"/>
      <c r="BV111" s="502">
        <f t="shared" si="536"/>
        <v>17.992799999999999</v>
      </c>
      <c r="BW111" s="502">
        <f t="shared" si="537"/>
        <v>5.9975999999999994</v>
      </c>
      <c r="BX111" s="502">
        <f t="shared" si="538"/>
        <v>3.0325999999999995</v>
      </c>
      <c r="BY111" s="502">
        <f t="shared" si="539"/>
        <v>2.5</v>
      </c>
      <c r="BZ111" s="502">
        <f t="shared" si="540"/>
        <v>0</v>
      </c>
      <c r="CA111" s="502">
        <f t="shared" si="541"/>
        <v>3</v>
      </c>
      <c r="CB111" s="502">
        <f t="shared" si="542"/>
        <v>0</v>
      </c>
      <c r="CC111" s="502">
        <f t="shared" si="543"/>
        <v>0</v>
      </c>
      <c r="CD111" s="502">
        <f t="shared" si="544"/>
        <v>0</v>
      </c>
      <c r="CE111" s="502">
        <f t="shared" si="545"/>
        <v>8.9963999999999995</v>
      </c>
      <c r="CF111" s="502">
        <f t="shared" si="546"/>
        <v>8.9963999999999995</v>
      </c>
      <c r="CG111" s="502">
        <f t="shared" si="547"/>
        <v>0</v>
      </c>
      <c r="CH111" s="502">
        <f t="shared" si="548"/>
        <v>0</v>
      </c>
      <c r="CI111" s="531"/>
      <c r="CJ111" s="502">
        <f t="shared" si="549"/>
        <v>8.8949999999999996</v>
      </c>
      <c r="CK111" s="502">
        <f t="shared" si="550"/>
        <v>8.8949999999999996</v>
      </c>
      <c r="CL111" s="502">
        <f t="shared" si="551"/>
        <v>0</v>
      </c>
      <c r="CM111" s="502">
        <f t="shared" si="552"/>
        <v>0.11995199999999999</v>
      </c>
      <c r="CN111" s="502">
        <f t="shared" si="553"/>
        <v>3.57</v>
      </c>
      <c r="CO111" s="502">
        <f t="shared" si="554"/>
        <v>3</v>
      </c>
      <c r="CP111" s="502">
        <f t="shared" si="555"/>
        <v>10.709999999999999</v>
      </c>
      <c r="CQ111" s="502">
        <f t="shared" si="556"/>
        <v>10.709999999999999</v>
      </c>
      <c r="CR111" s="220">
        <f t="shared" si="557"/>
        <v>0</v>
      </c>
      <c r="CS111" s="503">
        <f t="shared" si="558"/>
        <v>0</v>
      </c>
      <c r="CT111" s="503">
        <f t="shared" si="559"/>
        <v>0.37907499999999994</v>
      </c>
      <c r="CU111" s="504">
        <f t="shared" si="560"/>
        <v>13</v>
      </c>
      <c r="CV111" s="504">
        <f t="shared" si="561"/>
        <v>1.43895</v>
      </c>
      <c r="CW111" s="502">
        <f t="shared" si="562"/>
        <v>23.248199999999997</v>
      </c>
      <c r="CX111" s="531">
        <f t="shared" si="563"/>
        <v>3.57</v>
      </c>
      <c r="CY111" s="537">
        <f t="shared" si="564"/>
        <v>1.7849999999999999</v>
      </c>
      <c r="CZ111" s="502">
        <f t="shared" si="565"/>
        <v>0</v>
      </c>
    </row>
    <row r="112" spans="1:104" ht="25" x14ac:dyDescent="0.25">
      <c r="A112" s="413" t="str">
        <f>'BOCA DE LOBO'!C106</f>
        <v>BL24-&gt;PV3.3</v>
      </c>
      <c r="B112" s="413" t="str">
        <f>'BOCA DE LOBO'!A106</f>
        <v>PV3.3</v>
      </c>
      <c r="C112" s="413" t="str">
        <f>VLOOKUP(A112,'BOCA DE LOBO'!$C$82:$Q$270,3,0)</f>
        <v>PROJETADO</v>
      </c>
      <c r="D112" s="413" t="str">
        <f>VLOOKUP(A112,'BOCA DE LOBO'!$C$82:$Q$270,10,0)</f>
        <v>PROJETADA</v>
      </c>
      <c r="E112" s="413">
        <f t="shared" si="481"/>
        <v>2.5</v>
      </c>
      <c r="F112" s="413">
        <f>VLOOKUP(A112,'BOCA DE LOBO'!$C$82:$Q$270,2,0)</f>
        <v>4.4000000000000004</v>
      </c>
      <c r="G112" s="413">
        <f>VLOOKUP(A112,'BOCA DE LOBO'!$C$82:$Q$270,4,0)</f>
        <v>9.1</v>
      </c>
      <c r="H112" s="412">
        <v>400</v>
      </c>
      <c r="I112" s="493">
        <f t="shared" si="482"/>
        <v>3.58</v>
      </c>
      <c r="J112" s="493">
        <f t="shared" si="483"/>
        <v>1.6288999999999998</v>
      </c>
      <c r="K112" s="530">
        <v>0</v>
      </c>
      <c r="L112" s="531">
        <f t="shared" si="484"/>
        <v>1</v>
      </c>
      <c r="M112" s="531">
        <f t="shared" si="485"/>
        <v>1</v>
      </c>
      <c r="N112" s="531">
        <f t="shared" si="486"/>
        <v>0</v>
      </c>
      <c r="O112" s="531">
        <f t="shared" si="487"/>
        <v>9.1</v>
      </c>
      <c r="P112" s="532" t="str">
        <f>VLOOKUP(B112,'Planilha Hidráulica'!$AG:$AR,12,0)</f>
        <v>ASFALTO</v>
      </c>
      <c r="Q112" s="533" t="s">
        <v>2737</v>
      </c>
      <c r="R112" s="534">
        <v>1</v>
      </c>
      <c r="S112" s="532">
        <f>VLOOKUP(Q112,Quantitativos!P:R,3,0)</f>
        <v>8.7100000000000009</v>
      </c>
      <c r="T112" s="532">
        <f>VLOOKUP(Q112,Quantitativos!P:S,4,0)</f>
        <v>1.9</v>
      </c>
      <c r="U112" s="531">
        <f t="shared" si="488"/>
        <v>0.05</v>
      </c>
      <c r="V112" s="535">
        <f t="shared" si="489"/>
        <v>0</v>
      </c>
      <c r="W112" s="535">
        <f t="shared" si="490"/>
        <v>36.217999999999996</v>
      </c>
      <c r="X112" s="536">
        <f t="shared" si="491"/>
        <v>0</v>
      </c>
      <c r="Y112" s="536">
        <f t="shared" si="492"/>
        <v>3.98</v>
      </c>
      <c r="Z112" s="536">
        <f t="shared" si="493"/>
        <v>0</v>
      </c>
      <c r="AA112" s="536">
        <f t="shared" si="494"/>
        <v>3.58</v>
      </c>
      <c r="AB112" s="496">
        <f t="shared" si="495"/>
        <v>9.1</v>
      </c>
      <c r="AC112" s="251">
        <f t="shared" si="496"/>
        <v>13.649999999999999</v>
      </c>
      <c r="AD112" s="251">
        <f t="shared" si="497"/>
        <v>13.649999999999999</v>
      </c>
      <c r="AE112" s="251">
        <f t="shared" si="498"/>
        <v>8.9179999999999993</v>
      </c>
      <c r="AF112" s="251">
        <f t="shared" si="499"/>
        <v>0</v>
      </c>
      <c r="AG112" s="251">
        <f t="shared" si="500"/>
        <v>0</v>
      </c>
      <c r="AH112" s="251">
        <f t="shared" si="501"/>
        <v>0</v>
      </c>
      <c r="AI112" s="497" t="str">
        <f t="shared" si="502"/>
        <v>NÃO</v>
      </c>
      <c r="AJ112" s="531">
        <f t="shared" si="503"/>
        <v>0</v>
      </c>
      <c r="AK112" s="531">
        <f t="shared" si="504"/>
        <v>0.20383999999999999</v>
      </c>
      <c r="AL112" s="531">
        <f t="shared" si="505"/>
        <v>35.074460274093312</v>
      </c>
      <c r="AM112" s="493">
        <f t="shared" si="506"/>
        <v>0.45500000000000002</v>
      </c>
      <c r="AN112" s="535">
        <f t="shared" si="507"/>
        <v>0</v>
      </c>
      <c r="AO112" s="531">
        <f t="shared" si="508"/>
        <v>3.64</v>
      </c>
      <c r="AP112" s="531">
        <f t="shared" si="509"/>
        <v>3.64</v>
      </c>
      <c r="AQ112" s="531">
        <f t="shared" si="510"/>
        <v>0.7</v>
      </c>
      <c r="AR112" s="531">
        <f t="shared" si="511"/>
        <v>5.2264602740933146</v>
      </c>
      <c r="AS112" s="531">
        <f t="shared" si="512"/>
        <v>5.2264602740933146</v>
      </c>
      <c r="AT112" s="531">
        <f t="shared" si="513"/>
        <v>1.365</v>
      </c>
      <c r="AU112" s="531">
        <f t="shared" si="514"/>
        <v>1.365</v>
      </c>
      <c r="AV112" s="531">
        <f t="shared" si="515"/>
        <v>0.27299999999999996</v>
      </c>
      <c r="AW112" s="531">
        <f t="shared" si="516"/>
        <v>23.023000000000003</v>
      </c>
      <c r="AX112" s="531">
        <f t="shared" si="517"/>
        <v>-10.231460274093315</v>
      </c>
      <c r="AY112" s="531">
        <f t="shared" si="518"/>
        <v>-10.231460274093315</v>
      </c>
      <c r="AZ112" s="531">
        <f t="shared" si="519"/>
        <v>33.254460274093319</v>
      </c>
      <c r="BA112" s="531">
        <f t="shared" si="520"/>
        <v>6.7150900472377488</v>
      </c>
      <c r="BB112" s="531">
        <f t="shared" si="521"/>
        <v>26.539370226855571</v>
      </c>
      <c r="BC112" s="531"/>
      <c r="BD112" s="531">
        <f t="shared" si="522"/>
        <v>0.20019999999999999</v>
      </c>
      <c r="BE112" s="496">
        <f t="shared" si="523"/>
        <v>3.58</v>
      </c>
      <c r="BF112" s="498">
        <f t="shared" si="524"/>
        <v>0</v>
      </c>
      <c r="BG112" s="498">
        <f t="shared" si="525"/>
        <v>0</v>
      </c>
      <c r="BH112" s="532" t="str">
        <f>VLOOKUP(A112,'BOCA DE LOBO'!C:I,7,0)</f>
        <v>BOCA DE LOBO PROJETADA DUPLA</v>
      </c>
      <c r="BI112" s="531">
        <f t="shared" si="526"/>
        <v>0</v>
      </c>
      <c r="BJ112" s="531">
        <f t="shared" si="527"/>
        <v>0</v>
      </c>
      <c r="BK112" s="531">
        <f t="shared" si="528"/>
        <v>0</v>
      </c>
      <c r="BL112" s="531">
        <f t="shared" si="529"/>
        <v>0</v>
      </c>
      <c r="BM112" s="531">
        <f t="shared" si="530"/>
        <v>0</v>
      </c>
      <c r="BN112" s="531">
        <f t="shared" si="531"/>
        <v>1</v>
      </c>
      <c r="BO112" s="499">
        <f t="shared" si="532"/>
        <v>0</v>
      </c>
      <c r="BP112" s="500"/>
      <c r="BQ112" s="496">
        <f t="shared" si="533"/>
        <v>27.299999999999997</v>
      </c>
      <c r="BR112" s="496">
        <f t="shared" si="534"/>
        <v>27.299999999999997</v>
      </c>
      <c r="BS112" s="496">
        <f t="shared" si="535"/>
        <v>19.655999999999999</v>
      </c>
      <c r="BT112" s="501"/>
      <c r="BU112" s="501"/>
      <c r="BV112" s="502">
        <f t="shared" si="536"/>
        <v>17.992799999999999</v>
      </c>
      <c r="BW112" s="502">
        <f t="shared" si="537"/>
        <v>5.9975999999999994</v>
      </c>
      <c r="BX112" s="502">
        <f t="shared" si="538"/>
        <v>3.0325999999999995</v>
      </c>
      <c r="BY112" s="502">
        <f t="shared" si="539"/>
        <v>2.5</v>
      </c>
      <c r="BZ112" s="502">
        <f t="shared" si="540"/>
        <v>0</v>
      </c>
      <c r="CA112" s="502">
        <f t="shared" si="541"/>
        <v>3</v>
      </c>
      <c r="CB112" s="502">
        <f t="shared" si="542"/>
        <v>0</v>
      </c>
      <c r="CC112" s="502">
        <f t="shared" si="543"/>
        <v>0</v>
      </c>
      <c r="CD112" s="502">
        <f t="shared" si="544"/>
        <v>0</v>
      </c>
      <c r="CE112" s="502">
        <f t="shared" si="545"/>
        <v>8.9963999999999995</v>
      </c>
      <c r="CF112" s="502">
        <f t="shared" si="546"/>
        <v>8.9963999999999995</v>
      </c>
      <c r="CG112" s="502">
        <f t="shared" si="547"/>
        <v>0</v>
      </c>
      <c r="CH112" s="502">
        <f t="shared" si="548"/>
        <v>0</v>
      </c>
      <c r="CI112" s="531"/>
      <c r="CJ112" s="502">
        <f t="shared" si="549"/>
        <v>8.8949999999999996</v>
      </c>
      <c r="CK112" s="502">
        <f t="shared" si="550"/>
        <v>8.8949999999999996</v>
      </c>
      <c r="CL112" s="502">
        <f t="shared" si="551"/>
        <v>0</v>
      </c>
      <c r="CM112" s="502">
        <f t="shared" si="552"/>
        <v>0.11995199999999999</v>
      </c>
      <c r="CN112" s="502">
        <f t="shared" si="553"/>
        <v>3.57</v>
      </c>
      <c r="CO112" s="502">
        <f t="shared" si="554"/>
        <v>3</v>
      </c>
      <c r="CP112" s="502">
        <f t="shared" si="555"/>
        <v>10.709999999999999</v>
      </c>
      <c r="CQ112" s="502">
        <f t="shared" si="556"/>
        <v>10.709999999999999</v>
      </c>
      <c r="CR112" s="220">
        <f t="shared" si="557"/>
        <v>0</v>
      </c>
      <c r="CS112" s="503">
        <f t="shared" si="558"/>
        <v>0</v>
      </c>
      <c r="CT112" s="503">
        <f t="shared" si="559"/>
        <v>0.37907499999999994</v>
      </c>
      <c r="CU112" s="504">
        <f t="shared" si="560"/>
        <v>13</v>
      </c>
      <c r="CV112" s="504">
        <f t="shared" si="561"/>
        <v>1.43895</v>
      </c>
      <c r="CW112" s="502">
        <f t="shared" si="562"/>
        <v>23.248199999999997</v>
      </c>
      <c r="CX112" s="531">
        <f t="shared" si="563"/>
        <v>3.57</v>
      </c>
      <c r="CY112" s="537">
        <f t="shared" si="564"/>
        <v>1.7849999999999999</v>
      </c>
      <c r="CZ112" s="502">
        <f t="shared" si="565"/>
        <v>0</v>
      </c>
    </row>
    <row r="113" spans="1:104" ht="25" x14ac:dyDescent="0.25">
      <c r="A113" s="413" t="str">
        <f>'BOCA DE LOBO'!C107</f>
        <v>BL25-&gt;PV3.3</v>
      </c>
      <c r="B113" s="413" t="str">
        <f>'BOCA DE LOBO'!A107</f>
        <v>PV3.3</v>
      </c>
      <c r="C113" s="413" t="str">
        <f>VLOOKUP(A113,'BOCA DE LOBO'!$C$82:$Q$270,3,0)</f>
        <v>PROJETADO</v>
      </c>
      <c r="D113" s="413" t="str">
        <f>VLOOKUP(A113,'BOCA DE LOBO'!$C$82:$Q$270,10,0)</f>
        <v>PROJETADA</v>
      </c>
      <c r="E113" s="413">
        <f t="shared" si="481"/>
        <v>2.5</v>
      </c>
      <c r="F113" s="413">
        <f>VLOOKUP(A113,'BOCA DE LOBO'!$C$82:$Q$270,2,0)</f>
        <v>4.4000000000000004</v>
      </c>
      <c r="G113" s="413">
        <f>VLOOKUP(A113,'BOCA DE LOBO'!$C$82:$Q$270,4,0)</f>
        <v>4.51</v>
      </c>
      <c r="H113" s="412">
        <v>400</v>
      </c>
      <c r="I113" s="493">
        <f t="shared" si="482"/>
        <v>3.58</v>
      </c>
      <c r="J113" s="493">
        <f t="shared" si="483"/>
        <v>0.80729000000000006</v>
      </c>
      <c r="K113" s="530">
        <v>0</v>
      </c>
      <c r="L113" s="531">
        <f t="shared" si="484"/>
        <v>1</v>
      </c>
      <c r="M113" s="531">
        <f t="shared" si="485"/>
        <v>1</v>
      </c>
      <c r="N113" s="531">
        <f t="shared" si="486"/>
        <v>0</v>
      </c>
      <c r="O113" s="531">
        <f t="shared" si="487"/>
        <v>4.51</v>
      </c>
      <c r="P113" s="532" t="str">
        <f>VLOOKUP(B113,'Planilha Hidráulica'!$AG:$AR,12,0)</f>
        <v>ASFALTO</v>
      </c>
      <c r="Q113" s="533" t="s">
        <v>2737</v>
      </c>
      <c r="R113" s="534">
        <v>1</v>
      </c>
      <c r="S113" s="532">
        <f>VLOOKUP(Q113,Quantitativos!P:R,3,0)</f>
        <v>8.7100000000000009</v>
      </c>
      <c r="T113" s="532">
        <f>VLOOKUP(Q113,Quantitativos!P:S,4,0)</f>
        <v>1.9</v>
      </c>
      <c r="U113" s="531">
        <f t="shared" si="488"/>
        <v>0.05</v>
      </c>
      <c r="V113" s="535">
        <f t="shared" si="489"/>
        <v>0</v>
      </c>
      <c r="W113" s="535">
        <f t="shared" si="490"/>
        <v>17.9498</v>
      </c>
      <c r="X113" s="536">
        <f t="shared" si="491"/>
        <v>0</v>
      </c>
      <c r="Y113" s="536">
        <f t="shared" si="492"/>
        <v>3.98</v>
      </c>
      <c r="Z113" s="536">
        <f t="shared" si="493"/>
        <v>0</v>
      </c>
      <c r="AA113" s="536">
        <f t="shared" si="494"/>
        <v>3.58</v>
      </c>
      <c r="AB113" s="496">
        <f t="shared" si="495"/>
        <v>4.51</v>
      </c>
      <c r="AC113" s="251">
        <f t="shared" si="496"/>
        <v>6.7649999999999997</v>
      </c>
      <c r="AD113" s="251">
        <f t="shared" si="497"/>
        <v>6.7649999999999997</v>
      </c>
      <c r="AE113" s="251">
        <f t="shared" si="498"/>
        <v>4.4197999999999995</v>
      </c>
      <c r="AF113" s="251">
        <f t="shared" si="499"/>
        <v>0</v>
      </c>
      <c r="AG113" s="251">
        <f t="shared" si="500"/>
        <v>0</v>
      </c>
      <c r="AH113" s="251">
        <f t="shared" si="501"/>
        <v>0</v>
      </c>
      <c r="AI113" s="497" t="str">
        <f t="shared" si="502"/>
        <v>NÃO</v>
      </c>
      <c r="AJ113" s="531">
        <f t="shared" si="503"/>
        <v>0</v>
      </c>
      <c r="AK113" s="531">
        <f t="shared" si="504"/>
        <v>0.101024</v>
      </c>
      <c r="AL113" s="531">
        <f t="shared" si="505"/>
        <v>17.383056685292402</v>
      </c>
      <c r="AM113" s="493">
        <f t="shared" si="506"/>
        <v>0.22550000000000001</v>
      </c>
      <c r="AN113" s="535">
        <f t="shared" si="507"/>
        <v>0</v>
      </c>
      <c r="AO113" s="531">
        <f t="shared" si="508"/>
        <v>1.804</v>
      </c>
      <c r="AP113" s="531">
        <f t="shared" si="509"/>
        <v>1.804</v>
      </c>
      <c r="AQ113" s="531">
        <f t="shared" si="510"/>
        <v>0.7</v>
      </c>
      <c r="AR113" s="531">
        <f t="shared" si="511"/>
        <v>2.5902566852924007</v>
      </c>
      <c r="AS113" s="531">
        <f t="shared" si="512"/>
        <v>2.5902566852924007</v>
      </c>
      <c r="AT113" s="531">
        <f t="shared" si="513"/>
        <v>0.67649999999999999</v>
      </c>
      <c r="AU113" s="531">
        <f t="shared" si="514"/>
        <v>0.67649999999999999</v>
      </c>
      <c r="AV113" s="531">
        <f t="shared" si="515"/>
        <v>0.13529999999999998</v>
      </c>
      <c r="AW113" s="531">
        <f t="shared" si="516"/>
        <v>11.410299999999999</v>
      </c>
      <c r="AX113" s="531">
        <f t="shared" si="517"/>
        <v>-5.0707566852924009</v>
      </c>
      <c r="AY113" s="531">
        <f t="shared" si="518"/>
        <v>-5.0707566852924009</v>
      </c>
      <c r="AZ113" s="531">
        <f t="shared" si="519"/>
        <v>16.481056685292401</v>
      </c>
      <c r="BA113" s="531">
        <f t="shared" si="520"/>
        <v>3.3280281442903568</v>
      </c>
      <c r="BB113" s="531">
        <f t="shared" si="521"/>
        <v>13.153028541002044</v>
      </c>
      <c r="BC113" s="531"/>
      <c r="BD113" s="531">
        <f t="shared" si="522"/>
        <v>9.9220000000000003E-2</v>
      </c>
      <c r="BE113" s="496">
        <f t="shared" si="523"/>
        <v>3.58</v>
      </c>
      <c r="BF113" s="498">
        <f t="shared" si="524"/>
        <v>0</v>
      </c>
      <c r="BG113" s="498">
        <f t="shared" si="525"/>
        <v>0</v>
      </c>
      <c r="BH113" s="532" t="str">
        <f>VLOOKUP(A113,'BOCA DE LOBO'!C:I,7,0)</f>
        <v>BOCA DE LOBO PROJETADA DUPLA</v>
      </c>
      <c r="BI113" s="531">
        <f t="shared" si="526"/>
        <v>0</v>
      </c>
      <c r="BJ113" s="531">
        <f t="shared" si="527"/>
        <v>0</v>
      </c>
      <c r="BK113" s="531">
        <f t="shared" si="528"/>
        <v>0</v>
      </c>
      <c r="BL113" s="531">
        <f t="shared" si="529"/>
        <v>0</v>
      </c>
      <c r="BM113" s="531">
        <f t="shared" si="530"/>
        <v>0</v>
      </c>
      <c r="BN113" s="531">
        <f t="shared" si="531"/>
        <v>1</v>
      </c>
      <c r="BO113" s="499">
        <f t="shared" si="532"/>
        <v>0</v>
      </c>
      <c r="BP113" s="500"/>
      <c r="BQ113" s="496">
        <f t="shared" si="533"/>
        <v>13.53</v>
      </c>
      <c r="BR113" s="496">
        <f t="shared" si="534"/>
        <v>13.53</v>
      </c>
      <c r="BS113" s="496">
        <f t="shared" si="535"/>
        <v>9.7416</v>
      </c>
      <c r="BT113" s="501"/>
      <c r="BU113" s="501"/>
      <c r="BV113" s="502">
        <f t="shared" si="536"/>
        <v>17.992799999999999</v>
      </c>
      <c r="BW113" s="502">
        <f t="shared" si="537"/>
        <v>5.9975999999999994</v>
      </c>
      <c r="BX113" s="502">
        <f t="shared" si="538"/>
        <v>3.0325999999999995</v>
      </c>
      <c r="BY113" s="502">
        <f t="shared" si="539"/>
        <v>2.5</v>
      </c>
      <c r="BZ113" s="502">
        <f t="shared" si="540"/>
        <v>0</v>
      </c>
      <c r="CA113" s="502">
        <f t="shared" si="541"/>
        <v>3</v>
      </c>
      <c r="CB113" s="502">
        <f t="shared" si="542"/>
        <v>0</v>
      </c>
      <c r="CC113" s="502">
        <f t="shared" si="543"/>
        <v>0</v>
      </c>
      <c r="CD113" s="502">
        <f t="shared" si="544"/>
        <v>0</v>
      </c>
      <c r="CE113" s="502">
        <f t="shared" si="545"/>
        <v>8.9963999999999995</v>
      </c>
      <c r="CF113" s="502">
        <f t="shared" si="546"/>
        <v>8.9963999999999995</v>
      </c>
      <c r="CG113" s="502">
        <f t="shared" si="547"/>
        <v>0</v>
      </c>
      <c r="CH113" s="502">
        <f t="shared" si="548"/>
        <v>0</v>
      </c>
      <c r="CI113" s="531"/>
      <c r="CJ113" s="502">
        <f t="shared" si="549"/>
        <v>8.8949999999999996</v>
      </c>
      <c r="CK113" s="502">
        <f t="shared" si="550"/>
        <v>8.8949999999999996</v>
      </c>
      <c r="CL113" s="502">
        <f t="shared" si="551"/>
        <v>0</v>
      </c>
      <c r="CM113" s="502">
        <f t="shared" si="552"/>
        <v>0.11995199999999999</v>
      </c>
      <c r="CN113" s="502">
        <f t="shared" si="553"/>
        <v>3.57</v>
      </c>
      <c r="CO113" s="502">
        <f t="shared" si="554"/>
        <v>3</v>
      </c>
      <c r="CP113" s="502">
        <f t="shared" si="555"/>
        <v>10.709999999999999</v>
      </c>
      <c r="CQ113" s="502">
        <f t="shared" si="556"/>
        <v>10.709999999999999</v>
      </c>
      <c r="CR113" s="220">
        <f t="shared" si="557"/>
        <v>0</v>
      </c>
      <c r="CS113" s="503">
        <f t="shared" si="558"/>
        <v>0</v>
      </c>
      <c r="CT113" s="503">
        <f t="shared" si="559"/>
        <v>0.37907499999999994</v>
      </c>
      <c r="CU113" s="504">
        <f t="shared" si="560"/>
        <v>13</v>
      </c>
      <c r="CV113" s="504">
        <f t="shared" si="561"/>
        <v>1.43895</v>
      </c>
      <c r="CW113" s="502">
        <f t="shared" si="562"/>
        <v>23.248199999999997</v>
      </c>
      <c r="CX113" s="531">
        <f t="shared" si="563"/>
        <v>3.57</v>
      </c>
      <c r="CY113" s="537">
        <f t="shared" si="564"/>
        <v>1.7849999999999999</v>
      </c>
      <c r="CZ113" s="502">
        <f t="shared" si="565"/>
        <v>0</v>
      </c>
    </row>
    <row r="114" spans="1:104" ht="25" x14ac:dyDescent="0.25">
      <c r="A114" s="413" t="str">
        <f>'BOCA DE LOBO'!C108</f>
        <v>BL26-&gt;PV4.3</v>
      </c>
      <c r="B114" s="413" t="str">
        <f>'BOCA DE LOBO'!A108</f>
        <v>PV4.3</v>
      </c>
      <c r="C114" s="413" t="str">
        <f>VLOOKUP(A114,'BOCA DE LOBO'!$C$82:$Q$270,3,0)</f>
        <v>PROJETADO</v>
      </c>
      <c r="D114" s="413" t="str">
        <f>VLOOKUP(A114,'BOCA DE LOBO'!$C$82:$Q$270,10,0)</f>
        <v>PROJETADA</v>
      </c>
      <c r="E114" s="413">
        <f t="shared" si="481"/>
        <v>2.5</v>
      </c>
      <c r="F114" s="413">
        <f>VLOOKUP(A114,'BOCA DE LOBO'!$C$82:$Q$270,2,0)</f>
        <v>4.5</v>
      </c>
      <c r="G114" s="413">
        <f>VLOOKUP(A114,'BOCA DE LOBO'!$C$82:$Q$270,4,0)</f>
        <v>3.91</v>
      </c>
      <c r="H114" s="412">
        <v>400</v>
      </c>
      <c r="I114" s="493">
        <f t="shared" si="482"/>
        <v>3.63</v>
      </c>
      <c r="J114" s="493">
        <f t="shared" si="483"/>
        <v>0.70966499999999999</v>
      </c>
      <c r="K114" s="530">
        <v>0</v>
      </c>
      <c r="L114" s="531">
        <f t="shared" si="484"/>
        <v>1</v>
      </c>
      <c r="M114" s="531">
        <f t="shared" si="485"/>
        <v>1</v>
      </c>
      <c r="N114" s="531">
        <f t="shared" si="486"/>
        <v>0</v>
      </c>
      <c r="O114" s="531">
        <f t="shared" si="487"/>
        <v>3.91</v>
      </c>
      <c r="P114" s="532" t="str">
        <f>VLOOKUP(B114,'Planilha Hidráulica'!$AG:$AR,12,0)</f>
        <v>ASFALTO</v>
      </c>
      <c r="Q114" s="533" t="s">
        <v>2737</v>
      </c>
      <c r="R114" s="534">
        <v>1</v>
      </c>
      <c r="S114" s="532">
        <f>VLOOKUP(Q114,Quantitativos!P:R,3,0)</f>
        <v>8.7100000000000009</v>
      </c>
      <c r="T114" s="532">
        <f>VLOOKUP(Q114,Quantitativos!P:S,4,0)</f>
        <v>1.9</v>
      </c>
      <c r="U114" s="531">
        <f t="shared" si="488"/>
        <v>0.05</v>
      </c>
      <c r="V114" s="535">
        <f t="shared" si="489"/>
        <v>0</v>
      </c>
      <c r="W114" s="535">
        <f t="shared" si="490"/>
        <v>15.757300000000001</v>
      </c>
      <c r="X114" s="536">
        <f t="shared" si="491"/>
        <v>0</v>
      </c>
      <c r="Y114" s="536">
        <f t="shared" si="492"/>
        <v>4.03</v>
      </c>
      <c r="Z114" s="536">
        <f t="shared" si="493"/>
        <v>0</v>
      </c>
      <c r="AA114" s="536">
        <f t="shared" si="494"/>
        <v>3.63</v>
      </c>
      <c r="AB114" s="496">
        <f t="shared" si="495"/>
        <v>3.91</v>
      </c>
      <c r="AC114" s="251">
        <f t="shared" si="496"/>
        <v>5.8650000000000002</v>
      </c>
      <c r="AD114" s="251">
        <f t="shared" si="497"/>
        <v>5.8650000000000002</v>
      </c>
      <c r="AE114" s="251">
        <f t="shared" si="498"/>
        <v>4.0273000000000012</v>
      </c>
      <c r="AF114" s="251">
        <f t="shared" si="499"/>
        <v>0</v>
      </c>
      <c r="AG114" s="251">
        <f t="shared" si="500"/>
        <v>0</v>
      </c>
      <c r="AH114" s="251">
        <f t="shared" si="501"/>
        <v>0</v>
      </c>
      <c r="AI114" s="497" t="str">
        <f t="shared" si="502"/>
        <v>NÃO</v>
      </c>
      <c r="AJ114" s="531">
        <f t="shared" si="503"/>
        <v>0</v>
      </c>
      <c r="AK114" s="531">
        <f t="shared" si="504"/>
        <v>9.0190666666666669E-2</v>
      </c>
      <c r="AL114" s="531">
        <f t="shared" si="505"/>
        <v>15.265954908978557</v>
      </c>
      <c r="AM114" s="493">
        <f t="shared" si="506"/>
        <v>0.19550000000000001</v>
      </c>
      <c r="AN114" s="535">
        <f t="shared" si="507"/>
        <v>0</v>
      </c>
      <c r="AO114" s="531">
        <f t="shared" si="508"/>
        <v>1.5640000000000001</v>
      </c>
      <c r="AP114" s="531">
        <f t="shared" si="509"/>
        <v>1.5640000000000001</v>
      </c>
      <c r="AQ114" s="531">
        <f t="shared" si="510"/>
        <v>0.7</v>
      </c>
      <c r="AR114" s="531">
        <f t="shared" si="511"/>
        <v>2.2456549089785565</v>
      </c>
      <c r="AS114" s="531">
        <f t="shared" si="512"/>
        <v>2.2456549089785565</v>
      </c>
      <c r="AT114" s="531">
        <f t="shared" si="513"/>
        <v>0.58650000000000002</v>
      </c>
      <c r="AU114" s="531">
        <f t="shared" si="514"/>
        <v>0.58650000000000002</v>
      </c>
      <c r="AV114" s="531">
        <f t="shared" si="515"/>
        <v>0.1173</v>
      </c>
      <c r="AW114" s="531">
        <f t="shared" si="516"/>
        <v>10.0878</v>
      </c>
      <c r="AX114" s="531">
        <f t="shared" si="517"/>
        <v>-4.3961549089785565</v>
      </c>
      <c r="AY114" s="531">
        <f t="shared" si="518"/>
        <v>-4.3961549089785565</v>
      </c>
      <c r="AZ114" s="531">
        <f t="shared" si="519"/>
        <v>14.483954908978557</v>
      </c>
      <c r="BA114" s="531">
        <f t="shared" si="520"/>
        <v>2.92475236862265</v>
      </c>
      <c r="BB114" s="531">
        <f t="shared" si="521"/>
        <v>11.559202540355907</v>
      </c>
      <c r="BC114" s="531"/>
      <c r="BD114" s="531">
        <f t="shared" si="522"/>
        <v>8.6019999999999999E-2</v>
      </c>
      <c r="BE114" s="496">
        <f t="shared" si="523"/>
        <v>3.63</v>
      </c>
      <c r="BF114" s="498">
        <f t="shared" si="524"/>
        <v>0</v>
      </c>
      <c r="BG114" s="498">
        <f t="shared" si="525"/>
        <v>0</v>
      </c>
      <c r="BH114" s="532" t="str">
        <f>VLOOKUP(A114,'BOCA DE LOBO'!C:I,7,0)</f>
        <v>BOCA DE LOBO PROJETADA DUPLA</v>
      </c>
      <c r="BI114" s="531">
        <f t="shared" si="526"/>
        <v>0</v>
      </c>
      <c r="BJ114" s="531">
        <f t="shared" si="527"/>
        <v>0</v>
      </c>
      <c r="BK114" s="531">
        <f t="shared" si="528"/>
        <v>0</v>
      </c>
      <c r="BL114" s="531">
        <f t="shared" si="529"/>
        <v>0</v>
      </c>
      <c r="BM114" s="531">
        <f t="shared" si="530"/>
        <v>0</v>
      </c>
      <c r="BN114" s="531">
        <f t="shared" si="531"/>
        <v>1</v>
      </c>
      <c r="BO114" s="499">
        <f t="shared" si="532"/>
        <v>0</v>
      </c>
      <c r="BP114" s="500"/>
      <c r="BQ114" s="496">
        <f t="shared" si="533"/>
        <v>11.73</v>
      </c>
      <c r="BR114" s="496">
        <f t="shared" si="534"/>
        <v>11.73</v>
      </c>
      <c r="BS114" s="496">
        <f t="shared" si="535"/>
        <v>8.8365999999999989</v>
      </c>
      <c r="BT114" s="501"/>
      <c r="BU114" s="501"/>
      <c r="BV114" s="502">
        <f t="shared" si="536"/>
        <v>17.992799999999999</v>
      </c>
      <c r="BW114" s="502">
        <f t="shared" si="537"/>
        <v>5.9975999999999994</v>
      </c>
      <c r="BX114" s="502">
        <f t="shared" si="538"/>
        <v>3.0325999999999995</v>
      </c>
      <c r="BY114" s="502">
        <f t="shared" si="539"/>
        <v>2.5</v>
      </c>
      <c r="BZ114" s="502">
        <f t="shared" si="540"/>
        <v>0</v>
      </c>
      <c r="CA114" s="502">
        <f t="shared" si="541"/>
        <v>3</v>
      </c>
      <c r="CB114" s="502">
        <f t="shared" si="542"/>
        <v>0</v>
      </c>
      <c r="CC114" s="502">
        <f t="shared" si="543"/>
        <v>0</v>
      </c>
      <c r="CD114" s="502">
        <f t="shared" si="544"/>
        <v>0</v>
      </c>
      <c r="CE114" s="502">
        <f t="shared" si="545"/>
        <v>8.9963999999999995</v>
      </c>
      <c r="CF114" s="502">
        <f t="shared" si="546"/>
        <v>8.9963999999999995</v>
      </c>
      <c r="CG114" s="502">
        <f t="shared" si="547"/>
        <v>0</v>
      </c>
      <c r="CH114" s="502">
        <f t="shared" si="548"/>
        <v>0</v>
      </c>
      <c r="CI114" s="531"/>
      <c r="CJ114" s="502">
        <f t="shared" si="549"/>
        <v>8.8949999999999996</v>
      </c>
      <c r="CK114" s="502">
        <f t="shared" si="550"/>
        <v>8.8949999999999996</v>
      </c>
      <c r="CL114" s="502">
        <f t="shared" si="551"/>
        <v>0</v>
      </c>
      <c r="CM114" s="502">
        <f t="shared" si="552"/>
        <v>0.11995199999999999</v>
      </c>
      <c r="CN114" s="502">
        <f t="shared" si="553"/>
        <v>3.57</v>
      </c>
      <c r="CO114" s="502">
        <f t="shared" si="554"/>
        <v>3</v>
      </c>
      <c r="CP114" s="502">
        <f t="shared" si="555"/>
        <v>10.709999999999999</v>
      </c>
      <c r="CQ114" s="502">
        <f t="shared" si="556"/>
        <v>10.709999999999999</v>
      </c>
      <c r="CR114" s="220">
        <f t="shared" si="557"/>
        <v>0</v>
      </c>
      <c r="CS114" s="503">
        <f t="shared" si="558"/>
        <v>0</v>
      </c>
      <c r="CT114" s="503">
        <f t="shared" si="559"/>
        <v>0.37907499999999994</v>
      </c>
      <c r="CU114" s="504">
        <f t="shared" si="560"/>
        <v>13</v>
      </c>
      <c r="CV114" s="504">
        <f t="shared" si="561"/>
        <v>1.43895</v>
      </c>
      <c r="CW114" s="502">
        <f t="shared" si="562"/>
        <v>23.248199999999997</v>
      </c>
      <c r="CX114" s="531">
        <f t="shared" si="563"/>
        <v>3.57</v>
      </c>
      <c r="CY114" s="537">
        <f t="shared" si="564"/>
        <v>1.7849999999999999</v>
      </c>
      <c r="CZ114" s="502">
        <f t="shared" si="565"/>
        <v>0</v>
      </c>
    </row>
    <row r="115" spans="1:104" ht="25" x14ac:dyDescent="0.25">
      <c r="A115" s="413" t="str">
        <f>'BOCA DE LOBO'!C109</f>
        <v>BL27-&gt;PV4.3</v>
      </c>
      <c r="B115" s="413" t="str">
        <f>'BOCA DE LOBO'!A109</f>
        <v>PV4.3</v>
      </c>
      <c r="C115" s="413" t="str">
        <f>VLOOKUP(A115,'BOCA DE LOBO'!$C$82:$Q$270,3,0)</f>
        <v>PROJETADO</v>
      </c>
      <c r="D115" s="413" t="str">
        <f>VLOOKUP(A115,'BOCA DE LOBO'!$C$82:$Q$270,10,0)</f>
        <v>PROJETADA</v>
      </c>
      <c r="E115" s="413">
        <f t="shared" si="481"/>
        <v>2.5</v>
      </c>
      <c r="F115" s="413">
        <f>VLOOKUP(A115,'BOCA DE LOBO'!$C$82:$Q$270,2,0)</f>
        <v>4.5</v>
      </c>
      <c r="G115" s="413">
        <f>VLOOKUP(A115,'BOCA DE LOBO'!$C$82:$Q$270,4,0)</f>
        <v>9.4</v>
      </c>
      <c r="H115" s="412">
        <v>400</v>
      </c>
      <c r="I115" s="493">
        <f t="shared" si="482"/>
        <v>3.63</v>
      </c>
      <c r="J115" s="493">
        <f t="shared" si="483"/>
        <v>1.7060999999999999</v>
      </c>
      <c r="K115" s="530">
        <v>0</v>
      </c>
      <c r="L115" s="531">
        <f t="shared" si="484"/>
        <v>1</v>
      </c>
      <c r="M115" s="531">
        <f t="shared" si="485"/>
        <v>1</v>
      </c>
      <c r="N115" s="531">
        <f t="shared" si="486"/>
        <v>0</v>
      </c>
      <c r="O115" s="531">
        <f t="shared" si="487"/>
        <v>9.4</v>
      </c>
      <c r="P115" s="532" t="str">
        <f>VLOOKUP(B115,'Planilha Hidráulica'!$AG:$AR,12,0)</f>
        <v>ASFALTO</v>
      </c>
      <c r="Q115" s="533" t="s">
        <v>2737</v>
      </c>
      <c r="R115" s="534">
        <v>1</v>
      </c>
      <c r="S115" s="532">
        <f>VLOOKUP(Q115,Quantitativos!P:R,3,0)</f>
        <v>8.7100000000000009</v>
      </c>
      <c r="T115" s="532">
        <f>VLOOKUP(Q115,Quantitativos!P:S,4,0)</f>
        <v>1.9</v>
      </c>
      <c r="U115" s="531">
        <f t="shared" si="488"/>
        <v>0.05</v>
      </c>
      <c r="V115" s="535">
        <f t="shared" si="489"/>
        <v>0</v>
      </c>
      <c r="W115" s="535">
        <f t="shared" si="490"/>
        <v>37.881999999999998</v>
      </c>
      <c r="X115" s="536">
        <f t="shared" si="491"/>
        <v>0</v>
      </c>
      <c r="Y115" s="536">
        <f t="shared" si="492"/>
        <v>4.03</v>
      </c>
      <c r="Z115" s="536">
        <f t="shared" si="493"/>
        <v>0</v>
      </c>
      <c r="AA115" s="536">
        <f t="shared" si="494"/>
        <v>3.63</v>
      </c>
      <c r="AB115" s="496">
        <f t="shared" si="495"/>
        <v>9.4</v>
      </c>
      <c r="AC115" s="251">
        <f t="shared" si="496"/>
        <v>14.100000000000001</v>
      </c>
      <c r="AD115" s="251">
        <f t="shared" si="497"/>
        <v>14.100000000000001</v>
      </c>
      <c r="AE115" s="251">
        <f t="shared" si="498"/>
        <v>9.6820000000000022</v>
      </c>
      <c r="AF115" s="251">
        <f t="shared" si="499"/>
        <v>0</v>
      </c>
      <c r="AG115" s="251">
        <f t="shared" si="500"/>
        <v>0</v>
      </c>
      <c r="AH115" s="251">
        <f t="shared" si="501"/>
        <v>0</v>
      </c>
      <c r="AI115" s="497" t="str">
        <f t="shared" si="502"/>
        <v>NÃO</v>
      </c>
      <c r="AJ115" s="531">
        <f t="shared" si="503"/>
        <v>0</v>
      </c>
      <c r="AK115" s="531">
        <f t="shared" si="504"/>
        <v>0.21682666666666667</v>
      </c>
      <c r="AL115" s="531">
        <f t="shared" si="505"/>
        <v>36.700761162250238</v>
      </c>
      <c r="AM115" s="493">
        <f t="shared" si="506"/>
        <v>0.47000000000000003</v>
      </c>
      <c r="AN115" s="535">
        <f t="shared" si="507"/>
        <v>0</v>
      </c>
      <c r="AO115" s="531">
        <f t="shared" si="508"/>
        <v>3.7600000000000002</v>
      </c>
      <c r="AP115" s="531">
        <f t="shared" si="509"/>
        <v>3.7600000000000002</v>
      </c>
      <c r="AQ115" s="531">
        <f t="shared" si="510"/>
        <v>0.7</v>
      </c>
      <c r="AR115" s="531">
        <f t="shared" si="511"/>
        <v>5.3987611622502376</v>
      </c>
      <c r="AS115" s="531">
        <f t="shared" si="512"/>
        <v>5.3987611622502376</v>
      </c>
      <c r="AT115" s="531">
        <f t="shared" si="513"/>
        <v>1.41</v>
      </c>
      <c r="AU115" s="531">
        <f t="shared" si="514"/>
        <v>1.41</v>
      </c>
      <c r="AV115" s="531">
        <f t="shared" si="515"/>
        <v>0.28199999999999997</v>
      </c>
      <c r="AW115" s="531">
        <f t="shared" si="516"/>
        <v>24.252000000000002</v>
      </c>
      <c r="AX115" s="531">
        <f t="shared" si="517"/>
        <v>-10.568761162250237</v>
      </c>
      <c r="AY115" s="531">
        <f t="shared" si="518"/>
        <v>-10.568761162250237</v>
      </c>
      <c r="AZ115" s="531">
        <f t="shared" si="519"/>
        <v>34.820761162250236</v>
      </c>
      <c r="BA115" s="531">
        <f t="shared" si="520"/>
        <v>7.0313739808319449</v>
      </c>
      <c r="BB115" s="531">
        <f t="shared" si="521"/>
        <v>27.789387181418292</v>
      </c>
      <c r="BC115" s="531"/>
      <c r="BD115" s="531">
        <f t="shared" si="522"/>
        <v>0.20680000000000001</v>
      </c>
      <c r="BE115" s="496">
        <f t="shared" si="523"/>
        <v>3.63</v>
      </c>
      <c r="BF115" s="498">
        <f t="shared" si="524"/>
        <v>0</v>
      </c>
      <c r="BG115" s="498">
        <f t="shared" si="525"/>
        <v>0</v>
      </c>
      <c r="BH115" s="532" t="str">
        <f>VLOOKUP(A115,'BOCA DE LOBO'!C:I,7,0)</f>
        <v>BOCA DE LOBO PROJETADA DUPLA</v>
      </c>
      <c r="BI115" s="531">
        <f t="shared" si="526"/>
        <v>0</v>
      </c>
      <c r="BJ115" s="531">
        <f t="shared" si="527"/>
        <v>0</v>
      </c>
      <c r="BK115" s="531">
        <f t="shared" si="528"/>
        <v>0</v>
      </c>
      <c r="BL115" s="531">
        <f t="shared" si="529"/>
        <v>0</v>
      </c>
      <c r="BM115" s="531">
        <f t="shared" si="530"/>
        <v>0</v>
      </c>
      <c r="BN115" s="531">
        <f t="shared" si="531"/>
        <v>1</v>
      </c>
      <c r="BO115" s="499">
        <f t="shared" si="532"/>
        <v>0</v>
      </c>
      <c r="BP115" s="500"/>
      <c r="BQ115" s="496">
        <f t="shared" si="533"/>
        <v>28.200000000000003</v>
      </c>
      <c r="BR115" s="496">
        <f t="shared" si="534"/>
        <v>28.200000000000003</v>
      </c>
      <c r="BS115" s="496">
        <f t="shared" si="535"/>
        <v>21.244</v>
      </c>
      <c r="BT115" s="501"/>
      <c r="BU115" s="501"/>
      <c r="BV115" s="502">
        <f t="shared" si="536"/>
        <v>17.992799999999999</v>
      </c>
      <c r="BW115" s="502">
        <f t="shared" si="537"/>
        <v>5.9975999999999994</v>
      </c>
      <c r="BX115" s="502">
        <f t="shared" si="538"/>
        <v>3.0325999999999995</v>
      </c>
      <c r="BY115" s="502">
        <f t="shared" si="539"/>
        <v>2.5</v>
      </c>
      <c r="BZ115" s="502">
        <f t="shared" si="540"/>
        <v>0</v>
      </c>
      <c r="CA115" s="502">
        <f t="shared" si="541"/>
        <v>3</v>
      </c>
      <c r="CB115" s="502">
        <f t="shared" si="542"/>
        <v>0</v>
      </c>
      <c r="CC115" s="502">
        <f t="shared" si="543"/>
        <v>0</v>
      </c>
      <c r="CD115" s="502">
        <f t="shared" si="544"/>
        <v>0</v>
      </c>
      <c r="CE115" s="502">
        <f t="shared" si="545"/>
        <v>8.9963999999999995</v>
      </c>
      <c r="CF115" s="502">
        <f t="shared" si="546"/>
        <v>8.9963999999999995</v>
      </c>
      <c r="CG115" s="502">
        <f t="shared" si="547"/>
        <v>0</v>
      </c>
      <c r="CH115" s="502">
        <f t="shared" si="548"/>
        <v>0</v>
      </c>
      <c r="CI115" s="531"/>
      <c r="CJ115" s="502">
        <f t="shared" si="549"/>
        <v>8.8949999999999996</v>
      </c>
      <c r="CK115" s="502">
        <f t="shared" si="550"/>
        <v>8.8949999999999996</v>
      </c>
      <c r="CL115" s="502">
        <f t="shared" si="551"/>
        <v>0</v>
      </c>
      <c r="CM115" s="502">
        <f t="shared" si="552"/>
        <v>0.11995199999999999</v>
      </c>
      <c r="CN115" s="502">
        <f t="shared" si="553"/>
        <v>3.57</v>
      </c>
      <c r="CO115" s="502">
        <f t="shared" si="554"/>
        <v>3</v>
      </c>
      <c r="CP115" s="502">
        <f t="shared" si="555"/>
        <v>10.709999999999999</v>
      </c>
      <c r="CQ115" s="502">
        <f t="shared" si="556"/>
        <v>10.709999999999999</v>
      </c>
      <c r="CR115" s="220">
        <f t="shared" si="557"/>
        <v>0</v>
      </c>
      <c r="CS115" s="503">
        <f t="shared" si="558"/>
        <v>0</v>
      </c>
      <c r="CT115" s="503">
        <f t="shared" si="559"/>
        <v>0.37907499999999994</v>
      </c>
      <c r="CU115" s="504">
        <f t="shared" si="560"/>
        <v>13</v>
      </c>
      <c r="CV115" s="504">
        <f t="shared" si="561"/>
        <v>1.43895</v>
      </c>
      <c r="CW115" s="502">
        <f t="shared" si="562"/>
        <v>23.248199999999997</v>
      </c>
      <c r="CX115" s="531">
        <f t="shared" si="563"/>
        <v>3.57</v>
      </c>
      <c r="CY115" s="537">
        <f t="shared" si="564"/>
        <v>1.7849999999999999</v>
      </c>
      <c r="CZ115" s="502">
        <f t="shared" si="565"/>
        <v>0</v>
      </c>
    </row>
    <row r="116" spans="1:104" ht="14.5" x14ac:dyDescent="0.35">
      <c r="A116" s="520" t="str">
        <f>'BOCA DE LOBO'!A110</f>
        <v>RD-2</v>
      </c>
      <c r="B116" s="414"/>
      <c r="C116" s="414"/>
      <c r="D116" s="414"/>
      <c r="E116" s="521"/>
      <c r="F116" s="521"/>
      <c r="G116" s="521"/>
      <c r="H116" s="372"/>
      <c r="I116" s="372"/>
      <c r="J116" s="372"/>
      <c r="K116" s="372"/>
      <c r="L116" s="522"/>
      <c r="M116" s="523"/>
      <c r="N116" s="523"/>
      <c r="O116" s="523"/>
      <c r="P116" s="532"/>
      <c r="Q116" s="524"/>
      <c r="R116" s="524"/>
      <c r="S116" s="522"/>
      <c r="T116" s="522"/>
      <c r="U116" s="523"/>
      <c r="V116" s="525"/>
      <c r="W116" s="526" t="s">
        <v>2412</v>
      </c>
      <c r="X116" s="526"/>
      <c r="Y116" s="526"/>
      <c r="Z116" s="526"/>
      <c r="AA116" s="526"/>
      <c r="AB116" s="228" t="s">
        <v>2413</v>
      </c>
      <c r="AC116" s="229"/>
      <c r="AD116" s="229"/>
      <c r="AE116" s="229"/>
      <c r="AF116" s="229"/>
      <c r="AG116" s="229"/>
      <c r="AH116" s="229"/>
      <c r="AI116" s="217"/>
      <c r="AJ116" s="372"/>
      <c r="AK116" s="372"/>
      <c r="AL116" s="372"/>
      <c r="AM116" s="372"/>
      <c r="AN116" s="438"/>
      <c r="AO116" s="372"/>
      <c r="AP116" s="372"/>
      <c r="AQ116" s="198"/>
      <c r="AR116" s="538"/>
      <c r="AS116" s="538"/>
      <c r="AT116" s="538"/>
      <c r="AU116" s="538"/>
      <c r="AV116" s="538"/>
      <c r="AW116" s="372"/>
      <c r="AX116" s="372"/>
      <c r="AY116" s="372"/>
      <c r="AZ116" s="372"/>
      <c r="BA116" s="372"/>
      <c r="BB116" s="372"/>
      <c r="BC116" s="372"/>
      <c r="BD116" s="372"/>
      <c r="BE116" s="231"/>
      <c r="BF116" s="198"/>
      <c r="BG116" s="198"/>
      <c r="BH116" s="527"/>
      <c r="BI116" s="528"/>
      <c r="BJ116" s="528"/>
      <c r="BK116" s="528"/>
      <c r="BL116" s="528"/>
      <c r="BM116" s="528"/>
      <c r="BN116" s="529"/>
      <c r="BO116" s="490"/>
      <c r="BP116" s="491"/>
      <c r="BQ116" s="198"/>
      <c r="BR116" s="198"/>
      <c r="BS116" s="198"/>
      <c r="BV116" s="220"/>
      <c r="BW116" s="220"/>
      <c r="BX116" s="220"/>
      <c r="BY116" s="220"/>
      <c r="BZ116" s="220"/>
      <c r="CA116" s="220"/>
      <c r="CB116" s="220"/>
      <c r="CC116" s="220"/>
      <c r="CD116" s="220"/>
      <c r="CE116" s="220"/>
      <c r="CF116" s="220"/>
      <c r="CG116" s="220"/>
      <c r="CH116" s="220"/>
      <c r="CI116" s="220"/>
      <c r="CJ116" s="220"/>
      <c r="CK116" s="220"/>
      <c r="CL116" s="220"/>
      <c r="CM116" s="220"/>
      <c r="CN116" s="220"/>
      <c r="CO116" s="220"/>
      <c r="CP116" s="220"/>
      <c r="CQ116" s="220"/>
      <c r="CR116" s="220"/>
    </row>
    <row r="117" spans="1:104" ht="25" x14ac:dyDescent="0.25">
      <c r="A117" s="413" t="str">
        <f>'BOCA DE LOBO'!C111</f>
        <v>BL28-&gt;PV1.4</v>
      </c>
      <c r="B117" s="413" t="str">
        <f>'BOCA DE LOBO'!A111</f>
        <v>PV1.4</v>
      </c>
      <c r="C117" s="413" t="str">
        <f>VLOOKUP(A117,'BOCA DE LOBO'!$C$82:$Q$270,3,0)</f>
        <v>PROJETADO</v>
      </c>
      <c r="D117" s="413" t="str">
        <f>VLOOKUP(A117,'BOCA DE LOBO'!$C$82:$Q$270,10,0)</f>
        <v>PROJETADA</v>
      </c>
      <c r="E117" s="413">
        <f t="shared" ref="E117:E140" si="566">IF(F117-G117*4%&lt;2.5,F117-G117*4%,2.5)</f>
        <v>1.266</v>
      </c>
      <c r="F117" s="413">
        <f>VLOOKUP(A117,'BOCA DE LOBO'!$C$82:$Q$270,2,0)</f>
        <v>1.6</v>
      </c>
      <c r="G117" s="413">
        <f>VLOOKUP(A117,'BOCA DE LOBO'!$C$82:$Q$270,4,0)</f>
        <v>8.35</v>
      </c>
      <c r="H117" s="412">
        <v>400</v>
      </c>
      <c r="I117" s="493">
        <f t="shared" ref="I117:I140" si="567">IF(H117=400,((E117+F117)/2)+0.08+U117,IF(H117=500,((E117+F117)/2)+0.1+U117,IF(H117=600,((E117+F117)/2)+0.12+U117,IF(H117=800,((E117+F117)/2)+0.16+U117,IF(H117=1000,((E117+F117)/2)+0.2+U117,IF(H117=1200,((E117+F117)/2)+0.24+U117,IF(H117=1500,((E117+F117)/2)+0.3+U117,IF(H117&gt;1500,((E117+F117)/2)+0.4+U117))))))))</f>
        <v>1.5630000000000002</v>
      </c>
      <c r="J117" s="493">
        <f t="shared" ref="J117:J140" si="568">IF(L117=0,0,IF(I117&gt;=1.25,G117*I117/20,0))</f>
        <v>0.65255249999999998</v>
      </c>
      <c r="K117" s="530">
        <v>0</v>
      </c>
      <c r="L117" s="531">
        <f t="shared" ref="L117:L140" si="569">IF(D117&lt;&gt;"PROJETADA",0,IF(H117=400,1,0)+IF(H117=500,1.2,0)+IF(H117=600,1.4,0)+IF(H117=800,1.7,0)+IF(H117=1000,2,0)+IF(H117=1200,2.2,0)+IF(H117=1500,2.6,0)+IF(H117=1650,3,0)+IF(H117=1800,3.2,0)+IF(H117=2000,3.4,0)+IF(H117=2200,3.6,0)+IF(H117=2400,3.8,0)+IF(H117=2600,4,0)+IF(H117=3000,4.4,0))</f>
        <v>1</v>
      </c>
      <c r="M117" s="531">
        <f t="shared" ref="M117:M140" si="570">2*K117*I117+L117</f>
        <v>1</v>
      </c>
      <c r="N117" s="531">
        <f t="shared" ref="N117:N140" si="571">IF(OR(D117="EXISTENTE",D117="AMPLIADA"),400,0)</f>
        <v>0</v>
      </c>
      <c r="O117" s="531">
        <f t="shared" ref="O117:O140" si="572">IF(P117="TERRENO NATURAL",0,M117*G117)</f>
        <v>8.35</v>
      </c>
      <c r="P117" s="532" t="str">
        <f>VLOOKUP(B117,'Planilha Hidráulica'!$AG:$AR,12,0)</f>
        <v>ASFALTO</v>
      </c>
      <c r="Q117" s="533" t="s">
        <v>2419</v>
      </c>
      <c r="R117" s="534"/>
      <c r="S117" s="532">
        <f>VLOOKUP(Q117,Quantitativos!P:R,3,0)</f>
        <v>5</v>
      </c>
      <c r="T117" s="532">
        <f>VLOOKUP(Q117,Quantitativos!P:S,4,0)</f>
        <v>5</v>
      </c>
      <c r="U117" s="531">
        <f t="shared" ref="U117:U140" si="573">IF(H117=400,0.05,0)+IF(H117=500,0.05,0)+IF(H117=600,0.1,0)+IF(H117=800,0.1,0)+IF(H117=1000,0.15,0)+IF(H117=1200,0.15,0)+IF(H117=1500,0.2,0)+IF(H117=1650,0.2,0)+IF(H117=1800,0.2,0)+IF(H117=2000,0.25,0)+IF(H117=2200,0.25,0)+IF(H117=2400,0.25,0)+IF(H117=2600,0.25,0)+IF(H117=3000,0.25,0)</f>
        <v>0.05</v>
      </c>
      <c r="V117" s="535">
        <f t="shared" ref="V117:V140" si="574">IF(L117=0,0,IF("EXISTENTE"=C117,0,IFERROR((PI()*(N117/1000)*(N117/1000)/4)*G117,0)))</f>
        <v>0</v>
      </c>
      <c r="W117" s="535">
        <f t="shared" ref="W117:W140" si="575">IF(O117=0,0,((((K117*I117)*I117)/2)*2+L117*I117)*G117-V117+AO117)</f>
        <v>13.05105</v>
      </c>
      <c r="X117" s="536">
        <f t="shared" ref="X117:X140" si="576">W117-SUM(AC117:AJ117)</f>
        <v>0</v>
      </c>
      <c r="Y117" s="536">
        <f t="shared" ref="Y117:Y140" si="577">IF(R117=1,IF(N117=0,I117+0.4,0.4),0)</f>
        <v>0</v>
      </c>
      <c r="Z117" s="536">
        <f t="shared" ref="Z117:Z140" si="578">IF(Y117&gt;0.5,0,IF(S117&lt;I117,S117,I117))</f>
        <v>1.5630000000000002</v>
      </c>
      <c r="AA117" s="536">
        <f t="shared" ref="AA117:AA140" si="579">I117-Z117</f>
        <v>0</v>
      </c>
      <c r="AB117" s="496">
        <f t="shared" ref="AB117:AB140" si="580">IF(P117="ASFALTO",IF(D117="PROJETADA",O117,IF(D117="EXISTENTE",0,O117/2)),0)</f>
        <v>8.35</v>
      </c>
      <c r="AC117" s="251">
        <f t="shared" ref="AC117:AC140" si="581">IF(Y117=0,0,IF(Y117=0.4,IF(L117&lt;=1.5,IF(Z117+0.4&gt;=1.5,0,L117*G117*0.4),0),IF(L117&lt;=1.5,IF(Y117&gt;=1.5,M117*G117*1.5,L117*G117*(Y117)),0)+IF(S117&lt;I117+0.4,0,IF(AND(Y117&lt;=1.5,L117&lt;=1.5),-V117,0))))</f>
        <v>0</v>
      </c>
      <c r="AD117" s="251">
        <f t="shared" ref="AD117:AD140" si="582">IF(Y117=0,0,IF(Y117=0.4,IF(L117&lt;=1.5,IF(OR(Z117+0.4&gt;=3,Z117+0.4&lt;1.5),0,L117*G117*0.4),0),IF(IF(L117&lt;=1.5,IF(Y117&gt;=3,M117*G117*1.5,L117*G117*(Y117-1.5)),0)&lt;0,0,IF(L117&lt;=1.5,IF(Y117&gt;=3,M117*G117*1.5,L117*G117*(Y117-1.5)),0))+IF(S117&lt;I117+0.4,0,IF(AND(Y117&lt;=3,L117&lt;=1.5),-V117,0))))</f>
        <v>0</v>
      </c>
      <c r="AE117" s="251">
        <f t="shared" ref="AE117:AE140" si="583">IF(Y117=0,0,IF(Y117=0.4,IF(L117&lt;=1.5,IF(OR(Z117+0.4&gt;=4.5,Z117+0.4&lt;3),0,L117*G117*0.4),0),IF(IF(L117&lt;=1.5,IF(Y117&gt;=4.5,M117*G117*1.5,L117*G117*(Y117-3)),0)&lt;0,0,IF(L117&lt;=1.5,IF(Y117&gt;=4.5,M117*G117*1.5,L117*G117*(Y117-3)),0))+IF(S117&lt;I117+0.4,0,IF(AND(Y117&lt;=4.5,L117&lt;=1.5),-V117,0))))</f>
        <v>0</v>
      </c>
      <c r="AF117" s="251">
        <f t="shared" ref="AF117:AF140" si="584">IF(L117&lt;=1.5,IF(Z117&gt;=1.5,M117*G117*1.5,L117*G117*Z117),0)+IF(S117&lt;I117,0,IF(AND(Z117&lt;=1.5,L117&lt;=1.5),-V117,0))</f>
        <v>12.524999999999999</v>
      </c>
      <c r="AG117" s="251">
        <f t="shared" ref="AG117:AG140" si="585">IF(IF(L117&lt;=1.5,IF(Z117&gt;=3,M117*G117*1.5,L117*G117*(Z117-1.5)),0)&lt;0,0,IF(L117&lt;=1.5,IF(Z117&gt;=3,M117*G117*1.5,L117*G117*(Z117-1.5)),0))+IF(S117&lt;I117,0,IF(AND(Z117&lt;=3,L117&lt;=1.5),-V117,0))</f>
        <v>0.52605000000000135</v>
      </c>
      <c r="AH117" s="251">
        <f t="shared" ref="AH117:AH140" si="586">IF(IF(IF(L117&lt;=1.5,IF(Z117&gt;=4.5,M117*G117*1.5,L117*G117*(Z117-3)),0)&lt;0,0,IF(L117&lt;=1.5,IF(Z117&gt;=4.5,M117*G117*1.5,L117*G117*(Z117-3)),0))+IF(S117&lt;I117,0,IF(AND(Z117&lt;=4.5,L117&lt;=1.5),-V117,0))&lt;0,0,IF(IF(L117&lt;=1.5,IF(Z117&gt;=4.5,M117*G117*1.5,L117*G117*(Z117-3)),0)&lt;0,0,IF(L117&lt;=1.5,IF(Z117&gt;=4.5,M117*G117*1.5,L117*G117*(Z117-3)),0))+IF(S117&lt;I117,0,IF(AND(Z117&lt;=4.5,L117&lt;=1.5),-V117,0)))</f>
        <v>0</v>
      </c>
      <c r="AI117" s="497" t="str">
        <f t="shared" ref="AI117:AI140" si="587">IF(I117&gt;S117,"SIM","NÃO")</f>
        <v>NÃO</v>
      </c>
      <c r="AJ117" s="531">
        <f t="shared" ref="AJ117:AJ140" si="588">W117-SUM(AC117:AH117)</f>
        <v>0</v>
      </c>
      <c r="AK117" s="531">
        <f t="shared" ref="AK117:AK140" si="589">IF(I117-T117&lt;0,0,(I117-T117)*G117)/75</f>
        <v>0</v>
      </c>
      <c r="AL117" s="531">
        <f t="shared" ref="AL117:AL140" si="590">IF(L117=0,0,G117*L117*I117-PI()*(H117/1000)*(H117/1000)/4*G117+AO117)</f>
        <v>12.001758053701009</v>
      </c>
      <c r="AM117" s="493">
        <f t="shared" ref="AM117:AM140" si="591">IF(L117&lt;1.5,L117*G117*IF(H117&lt;=500,0.05,IF(H117&lt;=800,0.1,IF(H117&lt;=1200,0.15,IF(H117&gt;=1500,0.2)))),0)</f>
        <v>0.41749999999999998</v>
      </c>
      <c r="AN117" s="535">
        <f t="shared" ref="AN117:AN140" si="592">IF(L117&gt;=1.5,L117*G117*IF(H117&lt;=500,0.05,IF(H117&lt;=800,0.1,IF(H117&lt;=1200,0.15,IF(H117&gt;=1500,0.2)))),0)</f>
        <v>0</v>
      </c>
      <c r="AO117" s="531">
        <f t="shared" ref="AO117:AO140" si="593">IF(R117=1,0.4*G117*L117,0)</f>
        <v>0</v>
      </c>
      <c r="AP117" s="531">
        <f t="shared" ref="AP117:AP140" si="594">IF(AO117&lt;SUM(AF117:AH117),0,AO117)</f>
        <v>0</v>
      </c>
      <c r="AQ117" s="531">
        <f t="shared" ref="AQ117:AQ140" si="595">H117/1000+0.3</f>
        <v>0.7</v>
      </c>
      <c r="AR117" s="531">
        <f t="shared" ref="AR117:AR140" si="596">IF(D117&lt;&gt;"PROJETADA",0,AQ117*L117*G117-PI()*(H117/1000*H117/1000)/4*G117)</f>
        <v>4.7957080537010093</v>
      </c>
      <c r="AS117" s="531">
        <f t="shared" ref="AS117:AS140" si="597">IF(AR117&lt;SUM(AF117:AH117),0,AR117)</f>
        <v>0</v>
      </c>
      <c r="AT117" s="531">
        <f t="shared" ref="AT117:AT140" si="598">IF(P117="ASFALTO",0.15*G117*L117,0)</f>
        <v>1.2524999999999999</v>
      </c>
      <c r="AU117" s="531">
        <f t="shared" ref="AU117:AU140" si="599">AT117</f>
        <v>1.2524999999999999</v>
      </c>
      <c r="AV117" s="531">
        <f t="shared" ref="AV117:AV140" si="600">IF(P117="ASFALTO",0.03*G117*L117,0)</f>
        <v>0.2505</v>
      </c>
      <c r="AW117" s="531">
        <f t="shared" ref="AW117:AW140" si="601">AL117-AO117-SUM(AM117:AN117)-AT117-AU117-AR117</f>
        <v>4.28355</v>
      </c>
      <c r="AX117" s="531">
        <f t="shared" ref="AX117:AX140" si="602">SUM(AF117:AH117)-AO117-AT117-AR117</f>
        <v>7.0028419462989913</v>
      </c>
      <c r="AY117" s="531">
        <f t="shared" ref="AY117:AY140" si="603">SMALL(AW117:AX117,1)</f>
        <v>4.28355</v>
      </c>
      <c r="AZ117" s="531">
        <f t="shared" ref="AZ117:AZ140" si="604">AW117-AY117</f>
        <v>0</v>
      </c>
      <c r="BA117" s="531">
        <f t="shared" ref="BA117:BA140" si="605">IF($AZ$221&gt;$BA$223,($BA$223/$AZ$221)*AZ117,AZ117)</f>
        <v>0</v>
      </c>
      <c r="BB117" s="531">
        <f t="shared" ref="BB117:BB140" si="606">AZ117-BA117</f>
        <v>0</v>
      </c>
      <c r="BC117" s="531"/>
      <c r="BD117" s="531">
        <f t="shared" ref="BD117:BD140" si="607">IF(AO117+AT117&gt;0,4%*(AO117+AT117),0)</f>
        <v>5.0099999999999999E-2</v>
      </c>
      <c r="BE117" s="496">
        <f t="shared" ref="BE117:BE140" si="608">IF(H117=400,I117,0)</f>
        <v>1.5630000000000002</v>
      </c>
      <c r="BF117" s="498">
        <f t="shared" ref="BF117:BF140" si="609">IF(BE117&lt;=1.75,AND(BE117&gt;0)*G117,0)</f>
        <v>8.35</v>
      </c>
      <c r="BG117" s="498">
        <f t="shared" ref="BG117:BG140" si="610">IF(BE117&lt;=3,AND(BE117&gt;1.75)*G117,0)</f>
        <v>0</v>
      </c>
      <c r="BH117" s="532" t="str">
        <f>VLOOKUP(A117,'BOCA DE LOBO'!C:I,7,0)</f>
        <v>BOCA DE LOBO PROJETADA DUPLA</v>
      </c>
      <c r="BI117" s="531">
        <f t="shared" ref="BI117:BI140" si="611">IF(BH117=$BI$87,1,0)</f>
        <v>0</v>
      </c>
      <c r="BJ117" s="531">
        <f t="shared" ref="BJ117:BJ140" si="612">IF(BH117=$BJ$87,1,0)</f>
        <v>0</v>
      </c>
      <c r="BK117" s="531">
        <f t="shared" ref="BK117:BK140" si="613">IF(BH117=$BK$87,1,0)</f>
        <v>0</v>
      </c>
      <c r="BL117" s="531">
        <f t="shared" ref="BL117:BL140" si="614">IF(BH117=$BL$87,1,0)</f>
        <v>0</v>
      </c>
      <c r="BM117" s="531">
        <f t="shared" ref="BM117:BM140" si="615">IF(BH117=$BM$87,1,0)</f>
        <v>0</v>
      </c>
      <c r="BN117" s="531">
        <f t="shared" ref="BN117:BN140" si="616">IF(BH117=$BN$87,1,0)</f>
        <v>1</v>
      </c>
      <c r="BO117" s="499">
        <f t="shared" ref="BO117:BO140" si="617">IF(BH117=$BO$87,1,0)</f>
        <v>0</v>
      </c>
      <c r="BP117" s="500"/>
      <c r="BQ117" s="496">
        <f t="shared" ref="BQ117:BQ140" si="618">IF(L117&lt;=1.5,IF(I117+IF(R117=1,0.5,0)&lt;1.5,(I117+IF(R117=1,0.5,0))*G117*2,G117*2*1.5),0)</f>
        <v>25.049999999999997</v>
      </c>
      <c r="BR117" s="496">
        <f t="shared" ref="BR117:BR140" si="619">IF(L117&lt;=1.5,IF(AND(I117+IF(R117=1,0.5,0)&lt;3,I117+IF(R117=1,0.5,0)&gt;1.5),(I117+IF(R117=1,0.5,0)-1.5)*G117*2,IF(I117+IF(R117=1,0.5,0)&gt;=3,(G117*2*1.5),0)),0)</f>
        <v>1.0521000000000027</v>
      </c>
      <c r="BS117" s="496">
        <f t="shared" ref="BS117:BS140" si="620">IF(L117&lt;=1.5,IF(AND(I117+IF(R117=1,0.5,0)&lt;4.5,I117+IF(R117=1,0.5,0)&gt;3),(I117+IF(R117=1,0.5,0)-3)*G117*2,IF(I117+IF(R117=1,0.5,0)&gt;=4.5,(G117*2*1.5),0)),0)</f>
        <v>0</v>
      </c>
      <c r="BT117" s="501"/>
      <c r="BU117" s="501"/>
      <c r="BV117" s="502">
        <f t="shared" ref="BV117:BV140" si="621">IF(OR("BOCA DE LOBO EXISTENTE TRIPLA"=BH117,"BOCA DE LOBO EXISTENTE SIMPLES"=BH117,"BOCA DE LOBO EXISTENTE DUPLA"=BH117),0,IF("BOCA DE LOBO PROJETADA DUPLA"=BH117,(2.57+1)*(1.18+1),IF(OR("BOCA DE LOBO DUPLA EXISTENTE COM BOCA DE LOBO SIMPLES PROJETADA"=BH117,"BOCA DE LOBO SIMPLES EXISTENTE COM BOCA DE LOBO SIMPLES PROJETADA"=BH117),(1.18+0.5)*(1.18+1),IF(OR(BH117="BOCA DE LOBO DUPLA EXISTENTE COM BOCA DE LOBO DUPLA PROJETADA",BH117="BOCA DE LOBO SIMPLES EXISTENTE COM BOCA DE LOBO DUPLA PROJETADA"),(2.38+0.5)*(1.18+1),IF("BOCA DE LOBO PROJETADA TRIPLA"=BH117,(3.76+1)*(1.18+1),"X")))))*(E117+IF(CA117&gt;0,0.5,0))</f>
        <v>9.8527715999999987</v>
      </c>
      <c r="BW117" s="502">
        <f t="shared" ref="BW117:BW140" si="622">IF(OR("BOCA DE LOBO EXISTENTE TRIPLA"=BH117,"BOCA DE LOBO EXISTENTE SIMPLES"=BH117,"BOCA DE LOBO EXISTENTE DUPLA"=BH117),0,IF("BOCA DE LOBO PROJETADA DUPLA"=BH117,(2.57+1)*(1.18+1),IF(OR("BOCA DE LOBO DUPLA EXISTENTE COM BOCA DE LOBO SIMPLES PROJETADA"=BH117,"BOCA DE LOBO SIMPLES EXISTENTE COM BOCA DE LOBO SIMPLES PROJETADA"=BH117),(1.18+1)*(1.18+0.5),IF(OR(BH117="BOCA DE LOBO DUPLA EXISTENTE COM BOCA DE LOBO DUPLA PROJETADA",BH117="BOCA DE LOBO SIMPLES EXISTENTE COM BOCA DE LOBO DUPLA PROJETADA"),(2.38+0.5)*(1.18+1),IF("BOCA DE LOBO PROJETADA TRIPLA"=BH117,(3.76+0.5*2)*(1.18+1),"X")))))</f>
        <v>7.7825999999999986</v>
      </c>
      <c r="BX117" s="502">
        <f t="shared" ref="BX117:BX140" si="623">IF(OR("BOCA DE LOBO EXISTENTE TRIPLA"=BH117,"BOCA DE LOBO EXISTENTE SIMPLES"=BH117,"BOCA DE LOBO EXISTENTE DUPLA"=BH117),0,IF("BOCA DE LOBO PROJETADA DUPLA"=BH117,(2.57)*(1.18),IF(OR("BOCA DE LOBO DUPLA EXISTENTE COM BOCA DE LOBO SIMPLES PROJETADA"=BH117,"BOCA DE LOBO SIMPLES EXISTENTE COM BOCA DE LOBO SIMPLES PROJETADA"=BH117),(1.18)*(1.18),IF(OR(BH117="BOCA DE LOBO DUPLA EXISTENTE COM BOCA DE LOBO DUPLA PROJETADA",BH117="BOCA DE LOBO SIMPLES EXISTENTE COM BOCA DE LOBO DUPLA PROJETADA"),(2.38)*(1.18),IF("BOCA DE LOBO PROJETADA TRIPLA"=BH117,(3.76)*(1.18),"X")))))</f>
        <v>3.0325999999999995</v>
      </c>
      <c r="BY117" s="502">
        <f t="shared" ref="BY117:BY140" si="624">E117</f>
        <v>1.266</v>
      </c>
      <c r="BZ117" s="502">
        <f t="shared" ref="BZ117:BZ140" si="625">IF(Y117&gt;0.5,0,IF(S117&lt;E117,S117,E117))</f>
        <v>1.266</v>
      </c>
      <c r="CA117" s="502">
        <f t="shared" ref="CA117:CA140" si="626">IF(Y117&gt;0.4,BY117+0.4,Y117)</f>
        <v>0</v>
      </c>
      <c r="CB117" s="502">
        <f t="shared" ref="CB117:CB140" si="627">IF(S117&gt;E117,0,E117-S117)</f>
        <v>0</v>
      </c>
      <c r="CC117" s="502">
        <f t="shared" ref="CC117:CC140" si="628">IF(BZ117&gt;1.5,BW117*1.5,BW117*BZ117)</f>
        <v>9.8527715999999987</v>
      </c>
      <c r="CD117" s="502">
        <f t="shared" ref="CD117:CD140" si="629">IF(BZ117&gt;1.5,BW117*(BZ117-1.5),0)</f>
        <v>0</v>
      </c>
      <c r="CE117" s="502">
        <f t="shared" ref="CE117:CE140" si="630">IF(CA117=0.4,IF(BZ117+CA117&gt;1.5,0,CA117*BW117),IF(CA117&gt;1.5,BW117*1.5,BW117*CA117))</f>
        <v>0</v>
      </c>
      <c r="CF117" s="502">
        <f t="shared" ref="CF117:CF140" si="631">IF(CA117=0.4,IF(BZ117+CA117&lt;=1.5,0,CA117*BW117),IF(CA117&gt;1.5,BW117*(CA117-1.5),0))</f>
        <v>0</v>
      </c>
      <c r="CG117" s="502">
        <f t="shared" ref="CG117:CG140" si="632">BV117-SUM(CC117:CF117)</f>
        <v>0</v>
      </c>
      <c r="CH117" s="502">
        <f t="shared" ref="CH117:CH140" si="633">SUM(CC117:CG117)-BV117</f>
        <v>0</v>
      </c>
      <c r="CI117" s="531">
        <f t="shared" ref="CI117:CI140" si="634">IF(OR("BOCA DE LOBO EXISTENTE TRIPLA"=BH117,"BOCA DE LOBO EXISTENTE SIMPLES"=BH117,"BOCA DE LOBO EXISTENTE DUPLA"=BH117),0,IF("BOCA DE LOBO PROJETADA DUPLA"=BH117,(2.57+1)*(0.5),IF(OR("BOCA DE LOBO DUPLA EXISTENTE COM BOCA DE LOBO SIMPLES PROJETADA"=BH117,"BOCA DE LOBO SIMPLES EXISTENTE COM BOCA DE LOBO SIMPLES PROJETADA"=BH117),(1.18+0.5)*(0.5),IF(OR(BH117="BOCA DE LOBO DUPLA EXISTENTE COM BOCA DE LOBO DUPLA PROJETADA",BH117="BOCA DE LOBO SIMPLES EXISTENTE COM BOCA DE LOBO DUPLA PROJETADA"),(2.38+0.5)*(0.5),IF("BOCA DE LOBO PROJETADA TRIPLA"=BH117,(3.76+1)*(0.5),"X")))))*0.3</f>
        <v>0.53549999999999998</v>
      </c>
      <c r="CJ117" s="502">
        <f t="shared" ref="CJ117:CJ140" si="635">(BW117-BX117)*(BY117+IF(CA117&gt;=0.4,0.4,0))-CI117</f>
        <v>5.4779999999999989</v>
      </c>
      <c r="CK117" s="502">
        <f t="shared" ref="CK117:CK140" si="636">IF($CK$223&gt;$CJ$221,CJ117,CJ117*$CK$223/$CJ$221)</f>
        <v>5.4779999999999989</v>
      </c>
      <c r="CL117" s="502">
        <f t="shared" ref="CL117:CL140" si="637">CJ117-CK117</f>
        <v>0</v>
      </c>
      <c r="CM117" s="502">
        <f t="shared" ref="CM117:CM140" si="638">IF(CA117&gt;0,0.5*4%*BW117,0)</f>
        <v>0</v>
      </c>
      <c r="CN117" s="502">
        <f t="shared" ref="CN117:CN140" si="639">IF(OR("BOCA DE LOBO EXISTENTE TRIPLA"=BH117,"BOCA DE LOBO EXISTENTE SIMPLES"=BH117,"BOCA DE LOBO EXISTENTE DUPLA"=BH117),0,IF("BOCA DE LOBO PROJETADA DUPLA"=BH117,(2.57+1),IF(OR("BOCA DE LOBO DUPLA EXISTENTE COM BOCA DE LOBO SIMPLES PROJETADA"=BH117,"BOCA DE LOBO SIMPLES EXISTENTE COM BOCA DE LOBO SIMPLES PROJETADA"=BH117),(1.18+0.5),IF(OR(BH117="BOCA DE LOBO DUPLA EXISTENTE COM BOCA DE LOBO DUPLA PROJETADA",BH117="BOCA DE LOBO SIMPLES EXISTENTE COM BOCA DE LOBO DUPLA PROJETADA"),(2.38+0.5),IF("BOCA DE LOBO PROJETADA TRIPLA"=BH117,(3.76+0.5*2),"X")))))</f>
        <v>3.57</v>
      </c>
      <c r="CO117" s="502">
        <f t="shared" ref="CO117:CO140" si="640">IF(CA117&gt;0,BY117+0.5,BY117)</f>
        <v>1.266</v>
      </c>
      <c r="CP117" s="502">
        <f t="shared" ref="CP117:CP140" si="641">IF(CO117&gt;=1.5,CN117*1.5*2,CN117*CO117*2)</f>
        <v>9.0392399999999995</v>
      </c>
      <c r="CQ117" s="502">
        <f t="shared" ref="CQ117:CQ140" si="642">IF(CO117&lt;=1.5,0,IF(CO117&gt;=3,CN117*1.5*2,CN117*(CO117-1.5)*2))</f>
        <v>0</v>
      </c>
      <c r="CR117" s="220">
        <f t="shared" ref="CR117:CR140" si="643">IF(D117="AMPLIADA",0.55*(E117-0.5),0)</f>
        <v>0</v>
      </c>
      <c r="CS117" s="503">
        <f t="shared" ref="CS117:CS140" si="644">IF(OR("BOCA DE LOBO EXISTENTE TRIPLA"=BH117,"BOCA DE LOBO EXISTENTE SIMPLES"=BH117,"BOCA DE LOBO EXISTENTE DUPLA"=BH117),0,IF("BOCA DE LOBO PROJETADA DUPLA"=BH117,(0),IF(OR("BOCA DE LOBO DUPLA EXISTENTE COM BOCA DE LOBO SIMPLES PROJETADA"=BH117,"BOCA DE LOBO SIMPLES EXISTENTE COM BOCA DE LOBO SIMPLES PROJETADA"=BH117),(0.8*0.15*0.17),IF(OR(BH117="BOCA DE LOBO DUPLA EXISTENTE COM BOCA DE LOBO DUPLA PROJETADA",BH117="BOCA DE LOBO SIMPLES EXISTENTE COM BOCA DE LOBO DUPLA PROJETADA"),(0.8*0.15*0.17),IF("BOCA DE LOBO PROJETADA TRIPLA"=BH117,(0),"X")))))*E117</f>
        <v>0</v>
      </c>
      <c r="CT117" s="503">
        <f t="shared" ref="CT117:CT140" si="645">IF(OR("BOCA DE LOBO EXISTENTE TRIPLA"=BH117,"BOCA DE LOBO EXISTENTE SIMPLES"=BH117,"BOCA DE LOBO EXISTENTE DUPLA"=BH117),0,IF("BOCA DE LOBO PROJETADA DUPLA"=BH117,(1.18*2.57*0.05),IF(OR("BOCA DE LOBO DUPLA EXISTENTE COM BOCA DE LOBO SIMPLES PROJETADA"=BH117,"BOCA DE LOBO SIMPLES EXISTENTE COM BOCA DE LOBO SIMPLES PROJETADA"=BH117),(1.19*1.18*0.05),IF(OR(BH117="BOCA DE LOBO DUPLA EXISTENTE COM BOCA DE LOBO DUPLA PROJETADA",BH117="BOCA DE LOBO SIMPLES EXISTENTE COM BOCA DE LOBO DUPLA PROJETADA"),(2.38*1.18*0.056),IF("BOCA DE LOBO PROJETADA TRIPLA"=BH117,(3.76*1.18*0.05),"X")))))+CI117/3</f>
        <v>0.33012999999999998</v>
      </c>
      <c r="CU117" s="504">
        <f t="shared" ref="CU117:CU140" si="646">IF(OR("BOCA DE LOBO EXISTENTE TRIPLA"=BH117,"BOCA DE LOBO EXISTENTE SIMPLES"=BH117,"BOCA DE LOBO EXISTENTE DUPLA"=BH117),0,IF("BOCA DE LOBO PROJETADA DUPLA"=BH117,(1*4+0.6*2),IF("BOCA DE LOBO DUPLA EXISTENTE COM BOCA DE LOBO SIMPLES PROJETADA"=BH117,(1*2+0.6),IF(OR(BH117="BOCA DE LOBO DUPLA EXISTENTE COM BOCA DE LOBO DUPLA PROJETADA",BH117="BOCA DE LOBO SIMPLES EXISTENTE COM BOCA DE LOBO DUPLA PROJETADA"),(1*4+0.6),IF("BOCA DE LOBO PROJETADA TRIPLA"=BH117,(6*1+0.6*2),"X")))))*E117</f>
        <v>6.5832000000000006</v>
      </c>
      <c r="CV117" s="504">
        <f t="shared" ref="CV117:CV140" si="647">IF(OR("BOCA DE LOBO EXISTENTE TRIPLA"=BH117,"BOCA DE LOBO EXISTENTE SIMPLES"=BH117,"BOCA DE LOBO EXISTENTE DUPLA"=BH117),0,IF("BOCA DE LOBO PROJETADA DUPLA"=BH117,(12*E117*0.17*0.15+1*0.17*0.15*5+1.09*0.6*0.07*2+2.57*1.18*0.15),IF("BOCA DE LOBO DUPLA EXISTENTE COM BOCA DE LOBO SIMPLES PROJETADA"=BH117,(8*E117*0.17*0.15+1*0.17*0.15*4+1.09*0.6*0.07*1+1.38*1.18*0.15),IF(OR(BH117="BOCA DE LOBO DUPLA EXISTENTE COM BOCA DE LOBO DUPLA PROJETADA",BH117="BOCA DE LOBO SIMPLES EXISTENTE COM BOCA DE LOBO DUPLA PROJETADA"),(7*E117*0.17*0.15+1*0.17*0.15*5+1.09*0.6*0.07*2+2.38*1.18*0.15),IF("BOCA DE LOBO PROJETADA TRIPLA"=BH117,(15*E117*0.17*0.15+1*0.17*0.15*7+1.09*0.6*0.07*3+3.76*1.18*0.15),"X")))))</f>
        <v>1.0613459999999999</v>
      </c>
      <c r="CW117" s="502">
        <f t="shared" ref="CW117:CW140" si="648">IF(OR("BOCA DE LOBO EXISTENTE TRIPLA"=BH117,"BOCA DE LOBO EXISTENTE SIMPLES"=BH117,"BOCA DE LOBO EXISTENTE DUPLA"=BH117),0,IF("BOCA DE LOBO PROJETADA DUPLA"=BH117,(12*E117*2*(0.17+0.15)+1*(2*0.17+0.15)*5+2*(2.57+1.18)*0.15+(1.09+0.6)*2*0.07*2),IF("BOCA DE LOBO DUPLA EXISTENTE COM BOCA DE LOBO SIMPLES PROJETADA"=BH117,(8*E117*2*(0.17+0.15)+1*(2*0.17+0.15)*4+2*(1.38+1.18)*0.15+(1.09+0.6)*2*0.07*1),IF(OR(BH117="BOCA DE LOBO DUPLA EXISTENTE COM BOCA DE LOBO DUPLA PROJETADA",BH117="BOCA DE LOBO SIMPLES EXISTENTE COM BOCA DE LOBO DUPLA PROJETADA"),(7*E117*2*(0.17+0.15)+1*(2*0.17+0.15)*5+2*(2.38+1.18)*0.15+(1.09+0.6)*2*0.07*2),IF("BOCA DE LOBO PROJETADA TRIPLA"=BH117,(15*E117*2*(0.17+0.15)+1*(2*0.17+0.15)*7+2*(3.76+1.18)*0.15+(1.09+0.6)*2*0.07*3),"X")))))</f>
        <v>13.77108</v>
      </c>
      <c r="CX117" s="531">
        <f t="shared" ref="CX117:CX140" si="649">IF(OR("BOCA DE LOBO EXISTENTE TRIPLA"=BH117,"BOCA DE LOBO EXISTENTE SIMPLES"=BH117,"BOCA DE LOBO EXISTENTE DUPLA"=BH117),0,IF("BOCA DE LOBO PROJETADA DUPLA"=BH117,(2.57+1),IF(OR("BOCA DE LOBO DUPLA EXISTENTE COM BOCA DE LOBO SIMPLES PROJETADA"=BH117,"BOCA DE LOBO SIMPLES EXISTENTE COM BOCA DE LOBO SIMPLES PROJETADA"=BH117),(1.18+0.5),IF(OR(BH117="BOCA DE LOBO DUPLA EXISTENTE COM BOCA DE LOBO DUPLA PROJETADA",BH117="BOCA DE LOBO SIMPLES EXISTENTE COM BOCA DE LOBO DUPLA PROJETADA"),(2.38+0.5),IF("BOCA DE LOBO PROJETADA TRIPLA"=BH117,(3.76+1),"X")))))</f>
        <v>3.57</v>
      </c>
      <c r="CY117" s="537">
        <f t="shared" ref="CY117:CY140" si="650">CX117*0.5</f>
        <v>1.7849999999999999</v>
      </c>
      <c r="CZ117" s="502">
        <f t="shared" ref="CZ117:CZ140" si="651">IF(AND(C117="EXISTENTE",D117="PROJETADA"),PI()*0.51*0.51/4*0.12,0)</f>
        <v>0</v>
      </c>
    </row>
    <row r="118" spans="1:104" ht="25" x14ac:dyDescent="0.25">
      <c r="A118" s="413" t="str">
        <f>'BOCA DE LOBO'!C112</f>
        <v>BL29-&gt;PV2.4</v>
      </c>
      <c r="B118" s="413" t="str">
        <f>'BOCA DE LOBO'!A112</f>
        <v>PV2.4</v>
      </c>
      <c r="C118" s="413" t="str">
        <f>VLOOKUP(A118,'BOCA DE LOBO'!$C$82:$Q$270,3,0)</f>
        <v>PROJETADO</v>
      </c>
      <c r="D118" s="413" t="str">
        <f>VLOOKUP(A118,'BOCA DE LOBO'!$C$82:$Q$270,10,0)</f>
        <v>PROJETADA</v>
      </c>
      <c r="E118" s="413">
        <f t="shared" si="566"/>
        <v>1.3164</v>
      </c>
      <c r="F118" s="413">
        <f>VLOOKUP(A118,'BOCA DE LOBO'!$C$82:$Q$270,2,0)</f>
        <v>1.6</v>
      </c>
      <c r="G118" s="413">
        <f>VLOOKUP(A118,'BOCA DE LOBO'!$C$82:$Q$270,4,0)</f>
        <v>7.09</v>
      </c>
      <c r="H118" s="412">
        <v>400</v>
      </c>
      <c r="I118" s="493">
        <f t="shared" si="567"/>
        <v>1.5882000000000003</v>
      </c>
      <c r="J118" s="493">
        <f t="shared" si="568"/>
        <v>0.56301690000000015</v>
      </c>
      <c r="K118" s="530">
        <v>0</v>
      </c>
      <c r="L118" s="531">
        <f t="shared" si="569"/>
        <v>1</v>
      </c>
      <c r="M118" s="531">
        <f t="shared" si="570"/>
        <v>1</v>
      </c>
      <c r="N118" s="531">
        <f t="shared" si="571"/>
        <v>0</v>
      </c>
      <c r="O118" s="531">
        <f t="shared" si="572"/>
        <v>7.09</v>
      </c>
      <c r="P118" s="532" t="str">
        <f>VLOOKUP(B118,'Planilha Hidráulica'!$AG:$AR,12,0)</f>
        <v>ASFALTO</v>
      </c>
      <c r="Q118" s="533" t="s">
        <v>2419</v>
      </c>
      <c r="R118" s="534"/>
      <c r="S118" s="532">
        <f>VLOOKUP(Q118,Quantitativos!P:R,3,0)</f>
        <v>5</v>
      </c>
      <c r="T118" s="532">
        <f>VLOOKUP(Q118,Quantitativos!P:S,4,0)</f>
        <v>5</v>
      </c>
      <c r="U118" s="531">
        <f t="shared" si="573"/>
        <v>0.05</v>
      </c>
      <c r="V118" s="535">
        <f t="shared" si="574"/>
        <v>0</v>
      </c>
      <c r="W118" s="535">
        <f t="shared" si="575"/>
        <v>11.260338000000003</v>
      </c>
      <c r="X118" s="536">
        <f t="shared" si="576"/>
        <v>0</v>
      </c>
      <c r="Y118" s="536">
        <f t="shared" si="577"/>
        <v>0</v>
      </c>
      <c r="Z118" s="536">
        <f t="shared" si="578"/>
        <v>1.5882000000000003</v>
      </c>
      <c r="AA118" s="536">
        <f t="shared" si="579"/>
        <v>0</v>
      </c>
      <c r="AB118" s="496">
        <f t="shared" si="580"/>
        <v>7.09</v>
      </c>
      <c r="AC118" s="251">
        <f t="shared" si="581"/>
        <v>0</v>
      </c>
      <c r="AD118" s="251">
        <f t="shared" si="582"/>
        <v>0</v>
      </c>
      <c r="AE118" s="251">
        <f t="shared" si="583"/>
        <v>0</v>
      </c>
      <c r="AF118" s="251">
        <f t="shared" si="584"/>
        <v>10.635</v>
      </c>
      <c r="AG118" s="251">
        <f t="shared" si="585"/>
        <v>0.62533800000000195</v>
      </c>
      <c r="AH118" s="251">
        <f t="shared" si="586"/>
        <v>0</v>
      </c>
      <c r="AI118" s="497" t="str">
        <f t="shared" si="587"/>
        <v>NÃO</v>
      </c>
      <c r="AJ118" s="531">
        <f t="shared" si="588"/>
        <v>0</v>
      </c>
      <c r="AK118" s="531">
        <f t="shared" si="589"/>
        <v>0</v>
      </c>
      <c r="AL118" s="531">
        <f t="shared" si="590"/>
        <v>10.369382323441938</v>
      </c>
      <c r="AM118" s="493">
        <f t="shared" si="591"/>
        <v>0.35450000000000004</v>
      </c>
      <c r="AN118" s="535">
        <f t="shared" si="592"/>
        <v>0</v>
      </c>
      <c r="AO118" s="531">
        <f t="shared" si="593"/>
        <v>0</v>
      </c>
      <c r="AP118" s="531">
        <f t="shared" si="594"/>
        <v>0</v>
      </c>
      <c r="AQ118" s="531">
        <f t="shared" si="595"/>
        <v>0.7</v>
      </c>
      <c r="AR118" s="531">
        <f t="shared" si="596"/>
        <v>4.0720443234419337</v>
      </c>
      <c r="AS118" s="531">
        <f t="shared" si="597"/>
        <v>0</v>
      </c>
      <c r="AT118" s="531">
        <f t="shared" si="598"/>
        <v>1.0634999999999999</v>
      </c>
      <c r="AU118" s="531">
        <f t="shared" si="599"/>
        <v>1.0634999999999999</v>
      </c>
      <c r="AV118" s="531">
        <f t="shared" si="600"/>
        <v>0.2127</v>
      </c>
      <c r="AW118" s="531">
        <f t="shared" si="601"/>
        <v>3.8158380000000056</v>
      </c>
      <c r="AX118" s="531">
        <f t="shared" si="602"/>
        <v>6.1247936765580677</v>
      </c>
      <c r="AY118" s="531">
        <f t="shared" si="603"/>
        <v>3.8158380000000056</v>
      </c>
      <c r="AZ118" s="531">
        <f t="shared" si="604"/>
        <v>0</v>
      </c>
      <c r="BA118" s="531">
        <f t="shared" si="605"/>
        <v>0</v>
      </c>
      <c r="BB118" s="531">
        <f t="shared" si="606"/>
        <v>0</v>
      </c>
      <c r="BC118" s="531"/>
      <c r="BD118" s="531">
        <f t="shared" si="607"/>
        <v>4.2539999999999994E-2</v>
      </c>
      <c r="BE118" s="496">
        <f t="shared" si="608"/>
        <v>1.5882000000000003</v>
      </c>
      <c r="BF118" s="498">
        <f t="shared" si="609"/>
        <v>7.09</v>
      </c>
      <c r="BG118" s="498">
        <f t="shared" si="610"/>
        <v>0</v>
      </c>
      <c r="BH118" s="532" t="str">
        <f>VLOOKUP(A118,'BOCA DE LOBO'!C:I,7,0)</f>
        <v>BOCA DE LOBO PROJETADA DUPLA</v>
      </c>
      <c r="BI118" s="531">
        <f t="shared" si="611"/>
        <v>0</v>
      </c>
      <c r="BJ118" s="531">
        <f t="shared" si="612"/>
        <v>0</v>
      </c>
      <c r="BK118" s="531">
        <f t="shared" si="613"/>
        <v>0</v>
      </c>
      <c r="BL118" s="531">
        <f t="shared" si="614"/>
        <v>0</v>
      </c>
      <c r="BM118" s="531">
        <f t="shared" si="615"/>
        <v>0</v>
      </c>
      <c r="BN118" s="531">
        <f t="shared" si="616"/>
        <v>1</v>
      </c>
      <c r="BO118" s="499">
        <f t="shared" si="617"/>
        <v>0</v>
      </c>
      <c r="BP118" s="500"/>
      <c r="BQ118" s="496">
        <f t="shared" si="618"/>
        <v>21.27</v>
      </c>
      <c r="BR118" s="496">
        <f t="shared" si="619"/>
        <v>1.2506760000000039</v>
      </c>
      <c r="BS118" s="496">
        <f t="shared" si="620"/>
        <v>0</v>
      </c>
      <c r="BT118" s="501"/>
      <c r="BU118" s="501"/>
      <c r="BV118" s="502">
        <f t="shared" si="621"/>
        <v>10.245014639999999</v>
      </c>
      <c r="BW118" s="502">
        <f t="shared" si="622"/>
        <v>7.7825999999999986</v>
      </c>
      <c r="BX118" s="502">
        <f t="shared" si="623"/>
        <v>3.0325999999999995</v>
      </c>
      <c r="BY118" s="502">
        <f t="shared" si="624"/>
        <v>1.3164</v>
      </c>
      <c r="BZ118" s="502">
        <f t="shared" si="625"/>
        <v>1.3164</v>
      </c>
      <c r="CA118" s="502">
        <f t="shared" si="626"/>
        <v>0</v>
      </c>
      <c r="CB118" s="502">
        <f t="shared" si="627"/>
        <v>0</v>
      </c>
      <c r="CC118" s="502">
        <f t="shared" si="628"/>
        <v>10.245014639999999</v>
      </c>
      <c r="CD118" s="502">
        <f t="shared" si="629"/>
        <v>0</v>
      </c>
      <c r="CE118" s="502">
        <f t="shared" si="630"/>
        <v>0</v>
      </c>
      <c r="CF118" s="502">
        <f t="shared" si="631"/>
        <v>0</v>
      </c>
      <c r="CG118" s="502">
        <f t="shared" si="632"/>
        <v>0</v>
      </c>
      <c r="CH118" s="502">
        <f t="shared" si="633"/>
        <v>0</v>
      </c>
      <c r="CI118" s="531">
        <f t="shared" si="634"/>
        <v>0.53549999999999998</v>
      </c>
      <c r="CJ118" s="502">
        <f t="shared" si="635"/>
        <v>5.7173999999999987</v>
      </c>
      <c r="CK118" s="502">
        <f t="shared" si="636"/>
        <v>5.7173999999999987</v>
      </c>
      <c r="CL118" s="502">
        <f t="shared" si="637"/>
        <v>0</v>
      </c>
      <c r="CM118" s="502">
        <f t="shared" si="638"/>
        <v>0</v>
      </c>
      <c r="CN118" s="502">
        <f t="shared" si="639"/>
        <v>3.57</v>
      </c>
      <c r="CO118" s="502">
        <f t="shared" si="640"/>
        <v>1.3164</v>
      </c>
      <c r="CP118" s="502">
        <f t="shared" si="641"/>
        <v>9.3990960000000001</v>
      </c>
      <c r="CQ118" s="502">
        <f t="shared" si="642"/>
        <v>0</v>
      </c>
      <c r="CR118" s="220">
        <f t="shared" si="643"/>
        <v>0</v>
      </c>
      <c r="CS118" s="503">
        <f t="shared" si="644"/>
        <v>0</v>
      </c>
      <c r="CT118" s="503">
        <f t="shared" si="645"/>
        <v>0.33012999999999998</v>
      </c>
      <c r="CU118" s="504">
        <f t="shared" si="646"/>
        <v>6.8452800000000007</v>
      </c>
      <c r="CV118" s="504">
        <f t="shared" si="647"/>
        <v>1.0767684</v>
      </c>
      <c r="CW118" s="502">
        <f t="shared" si="648"/>
        <v>14.158152000000003</v>
      </c>
      <c r="CX118" s="531">
        <f t="shared" si="649"/>
        <v>3.57</v>
      </c>
      <c r="CY118" s="537">
        <f t="shared" si="650"/>
        <v>1.7849999999999999</v>
      </c>
      <c r="CZ118" s="502">
        <f t="shared" si="651"/>
        <v>0</v>
      </c>
    </row>
    <row r="119" spans="1:104" ht="25" x14ac:dyDescent="0.25">
      <c r="A119" s="413" t="str">
        <f>'BOCA DE LOBO'!C113</f>
        <v>BL30-&gt;PV3.4</v>
      </c>
      <c r="B119" s="413" t="str">
        <f>'BOCA DE LOBO'!A113</f>
        <v>PV3.4</v>
      </c>
      <c r="C119" s="413" t="str">
        <f>VLOOKUP(A119,'BOCA DE LOBO'!$C$82:$Q$270,3,0)</f>
        <v>PROJETADO</v>
      </c>
      <c r="D119" s="413" t="str">
        <f>VLOOKUP(A119,'BOCA DE LOBO'!$C$82:$Q$270,10,0)</f>
        <v>PROJETADA</v>
      </c>
      <c r="E119" s="413">
        <f t="shared" si="566"/>
        <v>1.3240000000000001</v>
      </c>
      <c r="F119" s="413">
        <f>VLOOKUP(A119,'BOCA DE LOBO'!$C$82:$Q$270,2,0)</f>
        <v>1.6</v>
      </c>
      <c r="G119" s="413">
        <f>VLOOKUP(A119,'BOCA DE LOBO'!$C$82:$Q$270,4,0)</f>
        <v>6.9</v>
      </c>
      <c r="H119" s="412">
        <v>400</v>
      </c>
      <c r="I119" s="493">
        <f t="shared" si="567"/>
        <v>1.5920000000000003</v>
      </c>
      <c r="J119" s="493">
        <f t="shared" si="568"/>
        <v>0.54924000000000017</v>
      </c>
      <c r="K119" s="530">
        <v>0</v>
      </c>
      <c r="L119" s="531">
        <f t="shared" si="569"/>
        <v>1</v>
      </c>
      <c r="M119" s="531">
        <f t="shared" si="570"/>
        <v>1</v>
      </c>
      <c r="N119" s="531">
        <f t="shared" si="571"/>
        <v>0</v>
      </c>
      <c r="O119" s="531">
        <f t="shared" si="572"/>
        <v>6.9</v>
      </c>
      <c r="P119" s="532" t="str">
        <f>VLOOKUP(B119,'Planilha Hidráulica'!$AG:$AR,12,0)</f>
        <v>ASFALTO</v>
      </c>
      <c r="Q119" s="533" t="s">
        <v>2720</v>
      </c>
      <c r="R119" s="534">
        <v>1</v>
      </c>
      <c r="S119" s="532">
        <f>VLOOKUP(Q119,Quantitativos!P:R,3,0)</f>
        <v>5</v>
      </c>
      <c r="T119" s="532">
        <f>VLOOKUP(Q119,Quantitativos!P:S,4,0)</f>
        <v>5</v>
      </c>
      <c r="U119" s="531">
        <f t="shared" si="573"/>
        <v>0.05</v>
      </c>
      <c r="V119" s="535">
        <f t="shared" si="574"/>
        <v>0</v>
      </c>
      <c r="W119" s="535">
        <f t="shared" si="575"/>
        <v>13.744800000000003</v>
      </c>
      <c r="X119" s="536">
        <f t="shared" si="576"/>
        <v>0</v>
      </c>
      <c r="Y119" s="536">
        <f t="shared" si="577"/>
        <v>1.9920000000000004</v>
      </c>
      <c r="Z119" s="536">
        <f t="shared" si="578"/>
        <v>0</v>
      </c>
      <c r="AA119" s="536">
        <f t="shared" si="579"/>
        <v>1.5920000000000003</v>
      </c>
      <c r="AB119" s="496">
        <f t="shared" si="580"/>
        <v>6.9</v>
      </c>
      <c r="AC119" s="251">
        <f t="shared" si="581"/>
        <v>10.350000000000001</v>
      </c>
      <c r="AD119" s="251">
        <f t="shared" si="582"/>
        <v>3.3948000000000031</v>
      </c>
      <c r="AE119" s="251">
        <f t="shared" si="583"/>
        <v>0</v>
      </c>
      <c r="AF119" s="251">
        <f t="shared" si="584"/>
        <v>0</v>
      </c>
      <c r="AG119" s="251">
        <f t="shared" si="585"/>
        <v>0</v>
      </c>
      <c r="AH119" s="251">
        <f t="shared" si="586"/>
        <v>0</v>
      </c>
      <c r="AI119" s="497" t="str">
        <f t="shared" si="587"/>
        <v>NÃO</v>
      </c>
      <c r="AJ119" s="531">
        <f t="shared" si="588"/>
        <v>0</v>
      </c>
      <c r="AK119" s="531">
        <f t="shared" si="589"/>
        <v>0</v>
      </c>
      <c r="AL119" s="531">
        <f t="shared" si="590"/>
        <v>12.877720427609221</v>
      </c>
      <c r="AM119" s="493">
        <f t="shared" si="591"/>
        <v>0.34500000000000003</v>
      </c>
      <c r="AN119" s="535">
        <f t="shared" si="592"/>
        <v>0</v>
      </c>
      <c r="AO119" s="531">
        <f t="shared" si="593"/>
        <v>2.7600000000000002</v>
      </c>
      <c r="AP119" s="531">
        <f t="shared" si="594"/>
        <v>2.7600000000000002</v>
      </c>
      <c r="AQ119" s="531">
        <f t="shared" si="595"/>
        <v>0.7</v>
      </c>
      <c r="AR119" s="531">
        <f t="shared" si="596"/>
        <v>3.9629204276092169</v>
      </c>
      <c r="AS119" s="531">
        <f t="shared" si="597"/>
        <v>3.9629204276092169</v>
      </c>
      <c r="AT119" s="531">
        <f t="shared" si="598"/>
        <v>1.0349999999999999</v>
      </c>
      <c r="AU119" s="531">
        <f t="shared" si="599"/>
        <v>1.0349999999999999</v>
      </c>
      <c r="AV119" s="531">
        <f t="shared" si="600"/>
        <v>0.20699999999999999</v>
      </c>
      <c r="AW119" s="531">
        <f t="shared" si="601"/>
        <v>3.7398000000000033</v>
      </c>
      <c r="AX119" s="531">
        <f t="shared" si="602"/>
        <v>-7.7579204276092169</v>
      </c>
      <c r="AY119" s="531">
        <f t="shared" si="603"/>
        <v>-7.7579204276092169</v>
      </c>
      <c r="AZ119" s="531">
        <f t="shared" si="604"/>
        <v>11.49772042760922</v>
      </c>
      <c r="BA119" s="531">
        <f t="shared" si="605"/>
        <v>2.3217405236165995</v>
      </c>
      <c r="BB119" s="531">
        <f t="shared" si="606"/>
        <v>9.1759799039926211</v>
      </c>
      <c r="BC119" s="531"/>
      <c r="BD119" s="531">
        <f t="shared" si="607"/>
        <v>0.15179999999999999</v>
      </c>
      <c r="BE119" s="496">
        <f t="shared" si="608"/>
        <v>1.5920000000000003</v>
      </c>
      <c r="BF119" s="498">
        <f t="shared" si="609"/>
        <v>6.9</v>
      </c>
      <c r="BG119" s="498">
        <f t="shared" si="610"/>
        <v>0</v>
      </c>
      <c r="BH119" s="532" t="str">
        <f>VLOOKUP(A119,'BOCA DE LOBO'!C:I,7,0)</f>
        <v>BOCA DE LOBO PROJETADA DUPLA</v>
      </c>
      <c r="BI119" s="531">
        <f t="shared" si="611"/>
        <v>0</v>
      </c>
      <c r="BJ119" s="531">
        <f t="shared" si="612"/>
        <v>0</v>
      </c>
      <c r="BK119" s="531">
        <f t="shared" si="613"/>
        <v>0</v>
      </c>
      <c r="BL119" s="531">
        <f t="shared" si="614"/>
        <v>0</v>
      </c>
      <c r="BM119" s="531">
        <f t="shared" si="615"/>
        <v>0</v>
      </c>
      <c r="BN119" s="531">
        <f t="shared" si="616"/>
        <v>1</v>
      </c>
      <c r="BO119" s="499">
        <f t="shared" si="617"/>
        <v>0</v>
      </c>
      <c r="BP119" s="500"/>
      <c r="BQ119" s="496">
        <f t="shared" si="618"/>
        <v>20.700000000000003</v>
      </c>
      <c r="BR119" s="496">
        <f t="shared" si="619"/>
        <v>8.169600000000008</v>
      </c>
      <c r="BS119" s="496">
        <f t="shared" si="620"/>
        <v>0</v>
      </c>
      <c r="BT119" s="501"/>
      <c r="BU119" s="501"/>
      <c r="BV119" s="502">
        <f t="shared" si="621"/>
        <v>14.195462399999998</v>
      </c>
      <c r="BW119" s="502">
        <f t="shared" si="622"/>
        <v>7.7825999999999986</v>
      </c>
      <c r="BX119" s="502">
        <f t="shared" si="623"/>
        <v>3.0325999999999995</v>
      </c>
      <c r="BY119" s="502">
        <f t="shared" si="624"/>
        <v>1.3240000000000001</v>
      </c>
      <c r="BZ119" s="502">
        <f t="shared" si="625"/>
        <v>0</v>
      </c>
      <c r="CA119" s="502">
        <f t="shared" si="626"/>
        <v>1.7240000000000002</v>
      </c>
      <c r="CB119" s="502">
        <f t="shared" si="627"/>
        <v>0</v>
      </c>
      <c r="CC119" s="502">
        <f t="shared" si="628"/>
        <v>0</v>
      </c>
      <c r="CD119" s="502">
        <f t="shared" si="629"/>
        <v>0</v>
      </c>
      <c r="CE119" s="502">
        <f t="shared" si="630"/>
        <v>11.673899999999998</v>
      </c>
      <c r="CF119" s="502">
        <f t="shared" si="631"/>
        <v>1.7433024000000013</v>
      </c>
      <c r="CG119" s="502">
        <f t="shared" si="632"/>
        <v>0.77825999999999951</v>
      </c>
      <c r="CH119" s="502">
        <f t="shared" si="633"/>
        <v>0</v>
      </c>
      <c r="CI119" s="531">
        <f t="shared" si="634"/>
        <v>0.53549999999999998</v>
      </c>
      <c r="CJ119" s="502">
        <f t="shared" si="635"/>
        <v>7.6535000000000002</v>
      </c>
      <c r="CK119" s="502">
        <f t="shared" si="636"/>
        <v>7.6535000000000002</v>
      </c>
      <c r="CL119" s="502">
        <f t="shared" si="637"/>
        <v>0</v>
      </c>
      <c r="CM119" s="502">
        <f t="shared" si="638"/>
        <v>0.15565199999999998</v>
      </c>
      <c r="CN119" s="502">
        <f t="shared" si="639"/>
        <v>3.57</v>
      </c>
      <c r="CO119" s="502">
        <f t="shared" si="640"/>
        <v>1.8240000000000001</v>
      </c>
      <c r="CP119" s="502">
        <f t="shared" si="641"/>
        <v>10.709999999999999</v>
      </c>
      <c r="CQ119" s="502">
        <f t="shared" si="642"/>
        <v>2.3133600000000003</v>
      </c>
      <c r="CR119" s="220">
        <f t="shared" si="643"/>
        <v>0</v>
      </c>
      <c r="CS119" s="503">
        <f t="shared" si="644"/>
        <v>0</v>
      </c>
      <c r="CT119" s="503">
        <f t="shared" si="645"/>
        <v>0.33012999999999998</v>
      </c>
      <c r="CU119" s="504">
        <f t="shared" si="646"/>
        <v>6.8848000000000003</v>
      </c>
      <c r="CV119" s="504">
        <f t="shared" si="647"/>
        <v>1.079094</v>
      </c>
      <c r="CW119" s="502">
        <f t="shared" si="648"/>
        <v>14.216520000000001</v>
      </c>
      <c r="CX119" s="531">
        <f t="shared" si="649"/>
        <v>3.57</v>
      </c>
      <c r="CY119" s="537">
        <f t="shared" si="650"/>
        <v>1.7849999999999999</v>
      </c>
      <c r="CZ119" s="502">
        <f t="shared" si="651"/>
        <v>0</v>
      </c>
    </row>
    <row r="120" spans="1:104" ht="25" x14ac:dyDescent="0.25">
      <c r="A120" s="413" t="str">
        <f>'BOCA DE LOBO'!C114</f>
        <v>BL31-&gt;PV4.4</v>
      </c>
      <c r="B120" s="413" t="str">
        <f>'BOCA DE LOBO'!A114</f>
        <v>PV4.4</v>
      </c>
      <c r="C120" s="413" t="str">
        <f>VLOOKUP(A120,'BOCA DE LOBO'!$C$82:$Q$270,3,0)</f>
        <v>PROJETADO</v>
      </c>
      <c r="D120" s="413" t="str">
        <f>VLOOKUP(A120,'BOCA DE LOBO'!$C$82:$Q$270,10,0)</f>
        <v>PROJETADA</v>
      </c>
      <c r="E120" s="413">
        <f t="shared" si="566"/>
        <v>1.2188000000000001</v>
      </c>
      <c r="F120" s="413">
        <f>VLOOKUP(A120,'BOCA DE LOBO'!$C$82:$Q$270,2,0)</f>
        <v>1.6</v>
      </c>
      <c r="G120" s="413">
        <f>VLOOKUP(A120,'BOCA DE LOBO'!$C$82:$Q$270,4,0)</f>
        <v>9.5299999999999994</v>
      </c>
      <c r="H120" s="412">
        <v>400</v>
      </c>
      <c r="I120" s="493">
        <f t="shared" si="567"/>
        <v>1.5394000000000003</v>
      </c>
      <c r="J120" s="493">
        <f t="shared" si="568"/>
        <v>0.73352410000000012</v>
      </c>
      <c r="K120" s="530">
        <v>0</v>
      </c>
      <c r="L120" s="531">
        <f t="shared" si="569"/>
        <v>1</v>
      </c>
      <c r="M120" s="531">
        <f t="shared" si="570"/>
        <v>1</v>
      </c>
      <c r="N120" s="531">
        <f t="shared" si="571"/>
        <v>0</v>
      </c>
      <c r="O120" s="531">
        <f t="shared" si="572"/>
        <v>9.5299999999999994</v>
      </c>
      <c r="P120" s="532" t="str">
        <f>VLOOKUP(B120,'Planilha Hidráulica'!$AG:$AR,12,0)</f>
        <v>ASFALTO</v>
      </c>
      <c r="Q120" s="533" t="s">
        <v>2720</v>
      </c>
      <c r="R120" s="534"/>
      <c r="S120" s="532">
        <f>VLOOKUP(Q120,Quantitativos!P:R,3,0)</f>
        <v>5</v>
      </c>
      <c r="T120" s="532">
        <f>VLOOKUP(Q120,Quantitativos!P:S,4,0)</f>
        <v>5</v>
      </c>
      <c r="U120" s="531">
        <f t="shared" si="573"/>
        <v>0.05</v>
      </c>
      <c r="V120" s="535">
        <f t="shared" si="574"/>
        <v>0</v>
      </c>
      <c r="W120" s="535">
        <f t="shared" si="575"/>
        <v>14.670482000000002</v>
      </c>
      <c r="X120" s="536">
        <f t="shared" si="576"/>
        <v>0</v>
      </c>
      <c r="Y120" s="536">
        <f t="shared" si="577"/>
        <v>0</v>
      </c>
      <c r="Z120" s="536">
        <f t="shared" si="578"/>
        <v>1.5394000000000003</v>
      </c>
      <c r="AA120" s="536">
        <f t="shared" si="579"/>
        <v>0</v>
      </c>
      <c r="AB120" s="496">
        <f t="shared" si="580"/>
        <v>9.5299999999999994</v>
      </c>
      <c r="AC120" s="251">
        <f t="shared" si="581"/>
        <v>0</v>
      </c>
      <c r="AD120" s="251">
        <f t="shared" si="582"/>
        <v>0</v>
      </c>
      <c r="AE120" s="251">
        <f t="shared" si="583"/>
        <v>0</v>
      </c>
      <c r="AF120" s="251">
        <f t="shared" si="584"/>
        <v>14.294999999999998</v>
      </c>
      <c r="AG120" s="251">
        <f t="shared" si="585"/>
        <v>0.37548200000000304</v>
      </c>
      <c r="AH120" s="251">
        <f t="shared" si="586"/>
        <v>0</v>
      </c>
      <c r="AI120" s="497" t="str">
        <f t="shared" si="587"/>
        <v>NÃO</v>
      </c>
      <c r="AJ120" s="531">
        <f t="shared" si="588"/>
        <v>0</v>
      </c>
      <c r="AK120" s="531">
        <f t="shared" si="589"/>
        <v>0</v>
      </c>
      <c r="AL120" s="531">
        <f t="shared" si="590"/>
        <v>13.472906880451573</v>
      </c>
      <c r="AM120" s="493">
        <f t="shared" si="591"/>
        <v>0.47649999999999998</v>
      </c>
      <c r="AN120" s="535">
        <f t="shared" si="592"/>
        <v>0</v>
      </c>
      <c r="AO120" s="531">
        <f t="shared" si="593"/>
        <v>0</v>
      </c>
      <c r="AP120" s="531">
        <f t="shared" si="594"/>
        <v>0</v>
      </c>
      <c r="AQ120" s="531">
        <f t="shared" si="595"/>
        <v>0.7</v>
      </c>
      <c r="AR120" s="531">
        <f t="shared" si="596"/>
        <v>5.4734248804515699</v>
      </c>
      <c r="AS120" s="531">
        <f t="shared" si="597"/>
        <v>0</v>
      </c>
      <c r="AT120" s="531">
        <f t="shared" si="598"/>
        <v>1.4294999999999998</v>
      </c>
      <c r="AU120" s="531">
        <f t="shared" si="599"/>
        <v>1.4294999999999998</v>
      </c>
      <c r="AV120" s="531">
        <f t="shared" si="600"/>
        <v>0.28589999999999999</v>
      </c>
      <c r="AW120" s="531">
        <f t="shared" si="601"/>
        <v>4.6639820000000052</v>
      </c>
      <c r="AX120" s="531">
        <f t="shared" si="602"/>
        <v>7.7675571195484325</v>
      </c>
      <c r="AY120" s="531">
        <f t="shared" si="603"/>
        <v>4.6639820000000052</v>
      </c>
      <c r="AZ120" s="531">
        <f t="shared" si="604"/>
        <v>0</v>
      </c>
      <c r="BA120" s="531">
        <f t="shared" si="605"/>
        <v>0</v>
      </c>
      <c r="BB120" s="531">
        <f t="shared" si="606"/>
        <v>0</v>
      </c>
      <c r="BC120" s="531"/>
      <c r="BD120" s="531">
        <f t="shared" si="607"/>
        <v>5.7179999999999995E-2</v>
      </c>
      <c r="BE120" s="496">
        <f t="shared" si="608"/>
        <v>1.5394000000000003</v>
      </c>
      <c r="BF120" s="498">
        <f t="shared" si="609"/>
        <v>9.5299999999999994</v>
      </c>
      <c r="BG120" s="498">
        <f t="shared" si="610"/>
        <v>0</v>
      </c>
      <c r="BH120" s="532" t="str">
        <f>VLOOKUP(A120,'BOCA DE LOBO'!C:I,7,0)</f>
        <v>BOCA DE LOBO PROJETADA DUPLA</v>
      </c>
      <c r="BI120" s="531">
        <f t="shared" si="611"/>
        <v>0</v>
      </c>
      <c r="BJ120" s="531">
        <f t="shared" si="612"/>
        <v>0</v>
      </c>
      <c r="BK120" s="531">
        <f t="shared" si="613"/>
        <v>0</v>
      </c>
      <c r="BL120" s="531">
        <f t="shared" si="614"/>
        <v>0</v>
      </c>
      <c r="BM120" s="531">
        <f t="shared" si="615"/>
        <v>0</v>
      </c>
      <c r="BN120" s="531">
        <f t="shared" si="616"/>
        <v>1</v>
      </c>
      <c r="BO120" s="499">
        <f t="shared" si="617"/>
        <v>0</v>
      </c>
      <c r="BP120" s="500"/>
      <c r="BQ120" s="496">
        <f t="shared" si="618"/>
        <v>28.589999999999996</v>
      </c>
      <c r="BR120" s="496">
        <f t="shared" si="619"/>
        <v>0.75096400000000607</v>
      </c>
      <c r="BS120" s="496">
        <f t="shared" si="620"/>
        <v>0</v>
      </c>
      <c r="BT120" s="501"/>
      <c r="BU120" s="501"/>
      <c r="BV120" s="502">
        <f t="shared" si="621"/>
        <v>9.4854328799999994</v>
      </c>
      <c r="BW120" s="502">
        <f t="shared" si="622"/>
        <v>7.7825999999999986</v>
      </c>
      <c r="BX120" s="502">
        <f t="shared" si="623"/>
        <v>3.0325999999999995</v>
      </c>
      <c r="BY120" s="502">
        <f t="shared" si="624"/>
        <v>1.2188000000000001</v>
      </c>
      <c r="BZ120" s="502">
        <f t="shared" si="625"/>
        <v>1.2188000000000001</v>
      </c>
      <c r="CA120" s="502">
        <f t="shared" si="626"/>
        <v>0</v>
      </c>
      <c r="CB120" s="502">
        <f t="shared" si="627"/>
        <v>0</v>
      </c>
      <c r="CC120" s="502">
        <f t="shared" si="628"/>
        <v>9.4854328799999994</v>
      </c>
      <c r="CD120" s="502">
        <f t="shared" si="629"/>
        <v>0</v>
      </c>
      <c r="CE120" s="502">
        <f t="shared" si="630"/>
        <v>0</v>
      </c>
      <c r="CF120" s="502">
        <f t="shared" si="631"/>
        <v>0</v>
      </c>
      <c r="CG120" s="502">
        <f t="shared" si="632"/>
        <v>0</v>
      </c>
      <c r="CH120" s="502">
        <f t="shared" si="633"/>
        <v>0</v>
      </c>
      <c r="CI120" s="531">
        <f t="shared" si="634"/>
        <v>0.53549999999999998</v>
      </c>
      <c r="CJ120" s="502">
        <f t="shared" si="635"/>
        <v>5.2537999999999991</v>
      </c>
      <c r="CK120" s="502">
        <f t="shared" si="636"/>
        <v>5.2537999999999991</v>
      </c>
      <c r="CL120" s="502">
        <f t="shared" si="637"/>
        <v>0</v>
      </c>
      <c r="CM120" s="502">
        <f t="shared" si="638"/>
        <v>0</v>
      </c>
      <c r="CN120" s="502">
        <f t="shared" si="639"/>
        <v>3.57</v>
      </c>
      <c r="CO120" s="502">
        <f t="shared" si="640"/>
        <v>1.2188000000000001</v>
      </c>
      <c r="CP120" s="502">
        <f t="shared" si="641"/>
        <v>8.7022320000000004</v>
      </c>
      <c r="CQ120" s="502">
        <f t="shared" si="642"/>
        <v>0</v>
      </c>
      <c r="CR120" s="220">
        <f t="shared" si="643"/>
        <v>0</v>
      </c>
      <c r="CS120" s="503">
        <f t="shared" si="644"/>
        <v>0</v>
      </c>
      <c r="CT120" s="503">
        <f t="shared" si="645"/>
        <v>0.33012999999999998</v>
      </c>
      <c r="CU120" s="504">
        <f t="shared" si="646"/>
        <v>6.3377600000000012</v>
      </c>
      <c r="CV120" s="504">
        <f t="shared" si="647"/>
        <v>1.0469028</v>
      </c>
      <c r="CW120" s="502">
        <f t="shared" si="648"/>
        <v>13.408584000000003</v>
      </c>
      <c r="CX120" s="531">
        <f t="shared" si="649"/>
        <v>3.57</v>
      </c>
      <c r="CY120" s="537">
        <f t="shared" si="650"/>
        <v>1.7849999999999999</v>
      </c>
      <c r="CZ120" s="502">
        <f t="shared" si="651"/>
        <v>0</v>
      </c>
    </row>
    <row r="121" spans="1:104" ht="25" x14ac:dyDescent="0.25">
      <c r="A121" s="413" t="str">
        <f>'BOCA DE LOBO'!C115</f>
        <v>BL32-&gt;PV1.1</v>
      </c>
      <c r="B121" s="413" t="str">
        <f>'BOCA DE LOBO'!A115</f>
        <v>PV1.1</v>
      </c>
      <c r="C121" s="413" t="str">
        <f>VLOOKUP(A121,'BOCA DE LOBO'!$C$82:$Q$270,3,0)</f>
        <v>PROJETADO</v>
      </c>
      <c r="D121" s="413" t="str">
        <f>VLOOKUP(A121,'BOCA DE LOBO'!$C$82:$Q$270,10,0)</f>
        <v>PROJETADA</v>
      </c>
      <c r="E121" s="413">
        <f t="shared" si="566"/>
        <v>1.5236000000000001</v>
      </c>
      <c r="F121" s="413">
        <f>VLOOKUP(A121,'BOCA DE LOBO'!$C$82:$Q$270,2,0)</f>
        <v>1.6</v>
      </c>
      <c r="G121" s="413">
        <f>VLOOKUP(A121,'BOCA DE LOBO'!$C$82:$Q$270,4,0)</f>
        <v>1.91</v>
      </c>
      <c r="H121" s="412">
        <v>400</v>
      </c>
      <c r="I121" s="493">
        <f t="shared" si="567"/>
        <v>1.6918000000000002</v>
      </c>
      <c r="J121" s="493">
        <f t="shared" si="568"/>
        <v>0.16156690000000001</v>
      </c>
      <c r="K121" s="530">
        <v>0</v>
      </c>
      <c r="L121" s="531">
        <f t="shared" si="569"/>
        <v>1</v>
      </c>
      <c r="M121" s="531">
        <f t="shared" si="570"/>
        <v>1</v>
      </c>
      <c r="N121" s="531">
        <f t="shared" si="571"/>
        <v>0</v>
      </c>
      <c r="O121" s="531">
        <f t="shared" si="572"/>
        <v>1.91</v>
      </c>
      <c r="P121" s="532" t="str">
        <f>VLOOKUP(B121,'Planilha Hidráulica'!$AG:$AR,12,0)</f>
        <v>ASFALTO</v>
      </c>
      <c r="Q121" s="533" t="s">
        <v>2736</v>
      </c>
      <c r="R121" s="534"/>
      <c r="S121" s="532">
        <f>VLOOKUP(Q121,Quantitativos!P:R,3,0)</f>
        <v>2.4</v>
      </c>
      <c r="T121" s="532">
        <f>VLOOKUP(Q121,Quantitativos!P:S,4,0)</f>
        <v>5</v>
      </c>
      <c r="U121" s="531">
        <f t="shared" si="573"/>
        <v>0.05</v>
      </c>
      <c r="V121" s="535">
        <f t="shared" si="574"/>
        <v>0</v>
      </c>
      <c r="W121" s="535">
        <f t="shared" si="575"/>
        <v>3.231338</v>
      </c>
      <c r="X121" s="536">
        <f t="shared" si="576"/>
        <v>0</v>
      </c>
      <c r="Y121" s="536">
        <f t="shared" si="577"/>
        <v>0</v>
      </c>
      <c r="Z121" s="536">
        <f t="shared" si="578"/>
        <v>1.6918000000000002</v>
      </c>
      <c r="AA121" s="536">
        <f t="shared" si="579"/>
        <v>0</v>
      </c>
      <c r="AB121" s="496">
        <f t="shared" si="580"/>
        <v>1.91</v>
      </c>
      <c r="AC121" s="251">
        <f t="shared" si="581"/>
        <v>0</v>
      </c>
      <c r="AD121" s="251">
        <f t="shared" si="582"/>
        <v>0</v>
      </c>
      <c r="AE121" s="251">
        <f t="shared" si="583"/>
        <v>0</v>
      </c>
      <c r="AF121" s="251">
        <f t="shared" si="584"/>
        <v>2.8649999999999998</v>
      </c>
      <c r="AG121" s="251">
        <f t="shared" si="585"/>
        <v>0.36633800000000033</v>
      </c>
      <c r="AH121" s="251">
        <f t="shared" si="586"/>
        <v>0</v>
      </c>
      <c r="AI121" s="497" t="str">
        <f t="shared" si="587"/>
        <v>NÃO</v>
      </c>
      <c r="AJ121" s="531">
        <f t="shared" si="588"/>
        <v>0</v>
      </c>
      <c r="AK121" s="531">
        <f t="shared" si="589"/>
        <v>0</v>
      </c>
      <c r="AL121" s="531">
        <f t="shared" si="590"/>
        <v>2.9913203212657398</v>
      </c>
      <c r="AM121" s="493">
        <f t="shared" si="591"/>
        <v>9.5500000000000002E-2</v>
      </c>
      <c r="AN121" s="535">
        <f t="shared" si="592"/>
        <v>0</v>
      </c>
      <c r="AO121" s="531">
        <f t="shared" si="593"/>
        <v>0</v>
      </c>
      <c r="AP121" s="531">
        <f t="shared" si="594"/>
        <v>0</v>
      </c>
      <c r="AQ121" s="531">
        <f t="shared" si="595"/>
        <v>0.7</v>
      </c>
      <c r="AR121" s="531">
        <f t="shared" si="596"/>
        <v>1.0969823212657397</v>
      </c>
      <c r="AS121" s="531">
        <f t="shared" si="597"/>
        <v>0</v>
      </c>
      <c r="AT121" s="531">
        <f t="shared" si="598"/>
        <v>0.28649999999999998</v>
      </c>
      <c r="AU121" s="531">
        <f t="shared" si="599"/>
        <v>0.28649999999999998</v>
      </c>
      <c r="AV121" s="531">
        <f t="shared" si="600"/>
        <v>5.7299999999999997E-2</v>
      </c>
      <c r="AW121" s="531">
        <f t="shared" si="601"/>
        <v>1.2258379999999998</v>
      </c>
      <c r="AX121" s="531">
        <f t="shared" si="602"/>
        <v>1.8478556787342602</v>
      </c>
      <c r="AY121" s="531">
        <f t="shared" si="603"/>
        <v>1.2258379999999998</v>
      </c>
      <c r="AZ121" s="531">
        <f t="shared" si="604"/>
        <v>0</v>
      </c>
      <c r="BA121" s="531">
        <f t="shared" si="605"/>
        <v>0</v>
      </c>
      <c r="BB121" s="531">
        <f t="shared" si="606"/>
        <v>0</v>
      </c>
      <c r="BC121" s="531"/>
      <c r="BD121" s="531">
        <f t="shared" si="607"/>
        <v>1.146E-2</v>
      </c>
      <c r="BE121" s="496">
        <f t="shared" si="608"/>
        <v>1.6918000000000002</v>
      </c>
      <c r="BF121" s="498">
        <f t="shared" si="609"/>
        <v>1.91</v>
      </c>
      <c r="BG121" s="498">
        <f t="shared" si="610"/>
        <v>0</v>
      </c>
      <c r="BH121" s="532" t="str">
        <f>VLOOKUP(A121,'BOCA DE LOBO'!C:I,7,0)</f>
        <v>BOCA DE LOBO PROJETADA DUPLA</v>
      </c>
      <c r="BI121" s="531">
        <f t="shared" si="611"/>
        <v>0</v>
      </c>
      <c r="BJ121" s="531">
        <f t="shared" si="612"/>
        <v>0</v>
      </c>
      <c r="BK121" s="531">
        <f t="shared" si="613"/>
        <v>0</v>
      </c>
      <c r="BL121" s="531">
        <f t="shared" si="614"/>
        <v>0</v>
      </c>
      <c r="BM121" s="531">
        <f t="shared" si="615"/>
        <v>0</v>
      </c>
      <c r="BN121" s="531">
        <f t="shared" si="616"/>
        <v>1</v>
      </c>
      <c r="BO121" s="499">
        <f t="shared" si="617"/>
        <v>0</v>
      </c>
      <c r="BP121" s="500"/>
      <c r="BQ121" s="496">
        <f t="shared" si="618"/>
        <v>5.7299999999999995</v>
      </c>
      <c r="BR121" s="496">
        <f t="shared" si="619"/>
        <v>0.73267600000000066</v>
      </c>
      <c r="BS121" s="496">
        <f t="shared" si="620"/>
        <v>0</v>
      </c>
      <c r="BT121" s="501"/>
      <c r="BU121" s="501"/>
      <c r="BV121" s="502">
        <f t="shared" si="621"/>
        <v>11.857569359999998</v>
      </c>
      <c r="BW121" s="502">
        <f t="shared" si="622"/>
        <v>7.7825999999999986</v>
      </c>
      <c r="BX121" s="502">
        <f t="shared" si="623"/>
        <v>3.0325999999999995</v>
      </c>
      <c r="BY121" s="502">
        <f t="shared" si="624"/>
        <v>1.5236000000000001</v>
      </c>
      <c r="BZ121" s="502">
        <f t="shared" si="625"/>
        <v>1.5236000000000001</v>
      </c>
      <c r="CA121" s="502">
        <f t="shared" si="626"/>
        <v>0</v>
      </c>
      <c r="CB121" s="502">
        <f t="shared" si="627"/>
        <v>0</v>
      </c>
      <c r="CC121" s="502">
        <f t="shared" si="628"/>
        <v>11.673899999999998</v>
      </c>
      <c r="CD121" s="502">
        <f t="shared" si="629"/>
        <v>0.18366936000000048</v>
      </c>
      <c r="CE121" s="502">
        <f t="shared" si="630"/>
        <v>0</v>
      </c>
      <c r="CF121" s="502">
        <f t="shared" si="631"/>
        <v>0</v>
      </c>
      <c r="CG121" s="502">
        <f t="shared" si="632"/>
        <v>0</v>
      </c>
      <c r="CH121" s="502">
        <f t="shared" si="633"/>
        <v>0</v>
      </c>
      <c r="CI121" s="531">
        <f t="shared" si="634"/>
        <v>0.53549999999999998</v>
      </c>
      <c r="CJ121" s="502">
        <f t="shared" si="635"/>
        <v>6.7015999999999991</v>
      </c>
      <c r="CK121" s="502">
        <f t="shared" si="636"/>
        <v>6.7015999999999991</v>
      </c>
      <c r="CL121" s="502">
        <f t="shared" si="637"/>
        <v>0</v>
      </c>
      <c r="CM121" s="502">
        <f t="shared" si="638"/>
        <v>0</v>
      </c>
      <c r="CN121" s="502">
        <f t="shared" si="639"/>
        <v>3.57</v>
      </c>
      <c r="CO121" s="502">
        <f t="shared" si="640"/>
        <v>1.5236000000000001</v>
      </c>
      <c r="CP121" s="502">
        <f t="shared" si="641"/>
        <v>10.709999999999999</v>
      </c>
      <c r="CQ121" s="502">
        <f t="shared" si="642"/>
        <v>0.16850400000000046</v>
      </c>
      <c r="CR121" s="220">
        <f t="shared" si="643"/>
        <v>0</v>
      </c>
      <c r="CS121" s="503">
        <f t="shared" si="644"/>
        <v>0</v>
      </c>
      <c r="CT121" s="503">
        <f t="shared" si="645"/>
        <v>0.33012999999999998</v>
      </c>
      <c r="CU121" s="504">
        <f t="shared" si="646"/>
        <v>7.9227200000000009</v>
      </c>
      <c r="CV121" s="504">
        <f t="shared" si="647"/>
        <v>1.1401716</v>
      </c>
      <c r="CW121" s="502">
        <f t="shared" si="648"/>
        <v>15.749448000000003</v>
      </c>
      <c r="CX121" s="531">
        <f t="shared" si="649"/>
        <v>3.57</v>
      </c>
      <c r="CY121" s="537">
        <f t="shared" si="650"/>
        <v>1.7849999999999999</v>
      </c>
      <c r="CZ121" s="502">
        <f t="shared" si="651"/>
        <v>0</v>
      </c>
    </row>
    <row r="122" spans="1:104" ht="25" x14ac:dyDescent="0.25">
      <c r="A122" s="413" t="str">
        <f>'BOCA DE LOBO'!C116</f>
        <v>BL33-&gt;PV2.1</v>
      </c>
      <c r="B122" s="413" t="str">
        <f>'BOCA DE LOBO'!A116</f>
        <v>PV2.1</v>
      </c>
      <c r="C122" s="413" t="str">
        <f>VLOOKUP(A122,'BOCA DE LOBO'!$C$82:$Q$270,3,0)</f>
        <v>PROJETADO</v>
      </c>
      <c r="D122" s="413" t="str">
        <f>VLOOKUP(A122,'BOCA DE LOBO'!$C$82:$Q$270,10,0)</f>
        <v>PROJETADA</v>
      </c>
      <c r="E122" s="413">
        <f t="shared" si="566"/>
        <v>1.4996</v>
      </c>
      <c r="F122" s="413">
        <f>VLOOKUP(A122,'BOCA DE LOBO'!$C$82:$Q$270,2,0)</f>
        <v>1.6</v>
      </c>
      <c r="G122" s="413">
        <f>VLOOKUP(A122,'BOCA DE LOBO'!$C$82:$Q$270,4,0)</f>
        <v>2.5099999999999998</v>
      </c>
      <c r="H122" s="412">
        <v>400</v>
      </c>
      <c r="I122" s="493">
        <f t="shared" si="567"/>
        <v>1.6798000000000002</v>
      </c>
      <c r="J122" s="493">
        <f t="shared" si="568"/>
        <v>0.2108149</v>
      </c>
      <c r="K122" s="530">
        <v>0</v>
      </c>
      <c r="L122" s="531">
        <f t="shared" si="569"/>
        <v>1</v>
      </c>
      <c r="M122" s="531">
        <f t="shared" si="570"/>
        <v>1</v>
      </c>
      <c r="N122" s="531">
        <f t="shared" si="571"/>
        <v>0</v>
      </c>
      <c r="O122" s="531">
        <f t="shared" si="572"/>
        <v>2.5099999999999998</v>
      </c>
      <c r="P122" s="532" t="str">
        <f>VLOOKUP(B122,'Planilha Hidráulica'!$AG:$AR,12,0)</f>
        <v>ASFALTO</v>
      </c>
      <c r="Q122" s="533" t="s">
        <v>2734</v>
      </c>
      <c r="R122" s="534"/>
      <c r="S122" s="532">
        <f>VLOOKUP(Q122,Quantitativos!P:R,3,0)</f>
        <v>4</v>
      </c>
      <c r="T122" s="532">
        <f>VLOOKUP(Q122,Quantitativos!P:S,4,0)</f>
        <v>4</v>
      </c>
      <c r="U122" s="531">
        <f t="shared" si="573"/>
        <v>0.05</v>
      </c>
      <c r="V122" s="535">
        <f t="shared" si="574"/>
        <v>0</v>
      </c>
      <c r="W122" s="535">
        <f t="shared" si="575"/>
        <v>4.2162980000000001</v>
      </c>
      <c r="X122" s="536">
        <f t="shared" si="576"/>
        <v>0</v>
      </c>
      <c r="Y122" s="536">
        <f t="shared" si="577"/>
        <v>0</v>
      </c>
      <c r="Z122" s="536">
        <f t="shared" si="578"/>
        <v>1.6798000000000002</v>
      </c>
      <c r="AA122" s="536">
        <f t="shared" si="579"/>
        <v>0</v>
      </c>
      <c r="AB122" s="496">
        <f t="shared" si="580"/>
        <v>2.5099999999999998</v>
      </c>
      <c r="AC122" s="251">
        <f t="shared" si="581"/>
        <v>0</v>
      </c>
      <c r="AD122" s="251">
        <f t="shared" si="582"/>
        <v>0</v>
      </c>
      <c r="AE122" s="251">
        <f t="shared" si="583"/>
        <v>0</v>
      </c>
      <c r="AF122" s="251">
        <f t="shared" si="584"/>
        <v>3.7649999999999997</v>
      </c>
      <c r="AG122" s="251">
        <f t="shared" si="585"/>
        <v>0.45129800000000042</v>
      </c>
      <c r="AH122" s="251">
        <f t="shared" si="586"/>
        <v>0</v>
      </c>
      <c r="AI122" s="497" t="str">
        <f t="shared" si="587"/>
        <v>NÃO</v>
      </c>
      <c r="AJ122" s="531">
        <f t="shared" si="588"/>
        <v>0</v>
      </c>
      <c r="AK122" s="531">
        <f t="shared" si="589"/>
        <v>0</v>
      </c>
      <c r="AL122" s="531">
        <f t="shared" si="590"/>
        <v>3.900882097579585</v>
      </c>
      <c r="AM122" s="493">
        <f t="shared" si="591"/>
        <v>0.1255</v>
      </c>
      <c r="AN122" s="535">
        <f t="shared" si="592"/>
        <v>0</v>
      </c>
      <c r="AO122" s="531">
        <f t="shared" si="593"/>
        <v>0</v>
      </c>
      <c r="AP122" s="531">
        <f t="shared" si="594"/>
        <v>0</v>
      </c>
      <c r="AQ122" s="531">
        <f t="shared" si="595"/>
        <v>0.7</v>
      </c>
      <c r="AR122" s="531">
        <f t="shared" si="596"/>
        <v>1.4415840975795844</v>
      </c>
      <c r="AS122" s="531">
        <f t="shared" si="597"/>
        <v>0</v>
      </c>
      <c r="AT122" s="531">
        <f t="shared" si="598"/>
        <v>0.37649999999999995</v>
      </c>
      <c r="AU122" s="531">
        <f t="shared" si="599"/>
        <v>0.37649999999999995</v>
      </c>
      <c r="AV122" s="531">
        <f t="shared" si="600"/>
        <v>7.5299999999999992E-2</v>
      </c>
      <c r="AW122" s="531">
        <f t="shared" si="601"/>
        <v>1.5807980000000004</v>
      </c>
      <c r="AX122" s="531">
        <f t="shared" si="602"/>
        <v>2.3982139024204159</v>
      </c>
      <c r="AY122" s="531">
        <f t="shared" si="603"/>
        <v>1.5807980000000004</v>
      </c>
      <c r="AZ122" s="531">
        <f t="shared" si="604"/>
        <v>0</v>
      </c>
      <c r="BA122" s="531">
        <f t="shared" si="605"/>
        <v>0</v>
      </c>
      <c r="BB122" s="531">
        <f t="shared" si="606"/>
        <v>0</v>
      </c>
      <c r="BC122" s="531"/>
      <c r="BD122" s="531">
        <f t="shared" si="607"/>
        <v>1.5059999999999999E-2</v>
      </c>
      <c r="BE122" s="496">
        <f t="shared" si="608"/>
        <v>1.6798000000000002</v>
      </c>
      <c r="BF122" s="498">
        <f t="shared" si="609"/>
        <v>2.5099999999999998</v>
      </c>
      <c r="BG122" s="498">
        <f t="shared" si="610"/>
        <v>0</v>
      </c>
      <c r="BH122" s="532" t="str">
        <f>VLOOKUP(A122,'BOCA DE LOBO'!C:I,7,0)</f>
        <v>BOCA DE LOBO PROJETADA DUPLA</v>
      </c>
      <c r="BI122" s="531">
        <f t="shared" si="611"/>
        <v>0</v>
      </c>
      <c r="BJ122" s="531">
        <f t="shared" si="612"/>
        <v>0</v>
      </c>
      <c r="BK122" s="531">
        <f t="shared" si="613"/>
        <v>0</v>
      </c>
      <c r="BL122" s="531">
        <f t="shared" si="614"/>
        <v>0</v>
      </c>
      <c r="BM122" s="531">
        <f t="shared" si="615"/>
        <v>0</v>
      </c>
      <c r="BN122" s="531">
        <f t="shared" si="616"/>
        <v>1</v>
      </c>
      <c r="BO122" s="499">
        <f t="shared" si="617"/>
        <v>0</v>
      </c>
      <c r="BP122" s="500"/>
      <c r="BQ122" s="496">
        <f t="shared" si="618"/>
        <v>7.5299999999999994</v>
      </c>
      <c r="BR122" s="496">
        <f t="shared" si="619"/>
        <v>0.90259600000000084</v>
      </c>
      <c r="BS122" s="496">
        <f t="shared" si="620"/>
        <v>0</v>
      </c>
      <c r="BT122" s="501"/>
      <c r="BU122" s="501"/>
      <c r="BV122" s="502">
        <f t="shared" si="621"/>
        <v>11.670786959999999</v>
      </c>
      <c r="BW122" s="502">
        <f t="shared" si="622"/>
        <v>7.7825999999999986</v>
      </c>
      <c r="BX122" s="502">
        <f t="shared" si="623"/>
        <v>3.0325999999999995</v>
      </c>
      <c r="BY122" s="502">
        <f t="shared" si="624"/>
        <v>1.4996</v>
      </c>
      <c r="BZ122" s="502">
        <f t="shared" si="625"/>
        <v>1.4996</v>
      </c>
      <c r="CA122" s="502">
        <f t="shared" si="626"/>
        <v>0</v>
      </c>
      <c r="CB122" s="502">
        <f t="shared" si="627"/>
        <v>0</v>
      </c>
      <c r="CC122" s="502">
        <f t="shared" si="628"/>
        <v>11.670786959999999</v>
      </c>
      <c r="CD122" s="502">
        <f t="shared" si="629"/>
        <v>0</v>
      </c>
      <c r="CE122" s="502">
        <f t="shared" si="630"/>
        <v>0</v>
      </c>
      <c r="CF122" s="502">
        <f t="shared" si="631"/>
        <v>0</v>
      </c>
      <c r="CG122" s="502">
        <f t="shared" si="632"/>
        <v>0</v>
      </c>
      <c r="CH122" s="502">
        <f t="shared" si="633"/>
        <v>0</v>
      </c>
      <c r="CI122" s="531">
        <f t="shared" si="634"/>
        <v>0.53549999999999998</v>
      </c>
      <c r="CJ122" s="502">
        <f t="shared" si="635"/>
        <v>6.5875999999999992</v>
      </c>
      <c r="CK122" s="502">
        <f t="shared" si="636"/>
        <v>6.5875999999999992</v>
      </c>
      <c r="CL122" s="502">
        <f t="shared" si="637"/>
        <v>0</v>
      </c>
      <c r="CM122" s="502">
        <f t="shared" si="638"/>
        <v>0</v>
      </c>
      <c r="CN122" s="502">
        <f t="shared" si="639"/>
        <v>3.57</v>
      </c>
      <c r="CO122" s="502">
        <f t="shared" si="640"/>
        <v>1.4996</v>
      </c>
      <c r="CP122" s="502">
        <f t="shared" si="641"/>
        <v>10.707144</v>
      </c>
      <c r="CQ122" s="502">
        <f t="shared" si="642"/>
        <v>0</v>
      </c>
      <c r="CR122" s="220">
        <f t="shared" si="643"/>
        <v>0</v>
      </c>
      <c r="CS122" s="503">
        <f t="shared" si="644"/>
        <v>0</v>
      </c>
      <c r="CT122" s="503">
        <f t="shared" si="645"/>
        <v>0.33012999999999998</v>
      </c>
      <c r="CU122" s="504">
        <f t="shared" si="646"/>
        <v>7.7979200000000004</v>
      </c>
      <c r="CV122" s="504">
        <f t="shared" si="647"/>
        <v>1.1328275999999999</v>
      </c>
      <c r="CW122" s="502">
        <f t="shared" si="648"/>
        <v>15.565128</v>
      </c>
      <c r="CX122" s="531">
        <f t="shared" si="649"/>
        <v>3.57</v>
      </c>
      <c r="CY122" s="537">
        <f t="shared" si="650"/>
        <v>1.7849999999999999</v>
      </c>
      <c r="CZ122" s="502">
        <f t="shared" si="651"/>
        <v>0</v>
      </c>
    </row>
    <row r="123" spans="1:104" ht="25" x14ac:dyDescent="0.25">
      <c r="A123" s="413" t="str">
        <f>'BOCA DE LOBO'!C117</f>
        <v>BL34-&gt;PV3.1</v>
      </c>
      <c r="B123" s="413" t="str">
        <f>'BOCA DE LOBO'!A117</f>
        <v>PV3.1</v>
      </c>
      <c r="C123" s="413" t="str">
        <f>VLOOKUP(A123,'BOCA DE LOBO'!$C$82:$Q$270,3,0)</f>
        <v>PROJETADO</v>
      </c>
      <c r="D123" s="413" t="str">
        <f>VLOOKUP(A123,'BOCA DE LOBO'!$C$82:$Q$270,10,0)</f>
        <v>PROJETADA</v>
      </c>
      <c r="E123" s="413">
        <f t="shared" si="566"/>
        <v>1.496</v>
      </c>
      <c r="F123" s="413">
        <f>VLOOKUP(A123,'BOCA DE LOBO'!$C$82:$Q$270,2,0)</f>
        <v>1.6</v>
      </c>
      <c r="G123" s="413">
        <f>VLOOKUP(A123,'BOCA DE LOBO'!$C$82:$Q$270,4,0)</f>
        <v>2.6</v>
      </c>
      <c r="H123" s="412">
        <v>400</v>
      </c>
      <c r="I123" s="493">
        <f t="shared" si="567"/>
        <v>1.6780000000000002</v>
      </c>
      <c r="J123" s="493">
        <f t="shared" si="568"/>
        <v>0.21814000000000006</v>
      </c>
      <c r="K123" s="530">
        <v>0</v>
      </c>
      <c r="L123" s="531">
        <f t="shared" si="569"/>
        <v>1</v>
      </c>
      <c r="M123" s="531">
        <f t="shared" si="570"/>
        <v>1</v>
      </c>
      <c r="N123" s="531">
        <f t="shared" si="571"/>
        <v>0</v>
      </c>
      <c r="O123" s="531">
        <f t="shared" si="572"/>
        <v>2.6</v>
      </c>
      <c r="P123" s="532" t="str">
        <f>VLOOKUP(B123,'Planilha Hidráulica'!$AG:$AR,12,0)</f>
        <v>ASFALTO</v>
      </c>
      <c r="Q123" s="533" t="s">
        <v>2734</v>
      </c>
      <c r="R123" s="534"/>
      <c r="S123" s="532">
        <f>VLOOKUP(Q123,Quantitativos!P:R,3,0)</f>
        <v>4</v>
      </c>
      <c r="T123" s="532">
        <f>VLOOKUP(Q123,Quantitativos!P:S,4,0)</f>
        <v>4</v>
      </c>
      <c r="U123" s="531">
        <f t="shared" si="573"/>
        <v>0.05</v>
      </c>
      <c r="V123" s="535">
        <f t="shared" si="574"/>
        <v>0</v>
      </c>
      <c r="W123" s="535">
        <f t="shared" si="575"/>
        <v>4.3628000000000009</v>
      </c>
      <c r="X123" s="536">
        <f t="shared" si="576"/>
        <v>0</v>
      </c>
      <c r="Y123" s="536">
        <f t="shared" si="577"/>
        <v>0</v>
      </c>
      <c r="Z123" s="536">
        <f t="shared" si="578"/>
        <v>1.6780000000000002</v>
      </c>
      <c r="AA123" s="536">
        <f t="shared" si="579"/>
        <v>0</v>
      </c>
      <c r="AB123" s="496">
        <f t="shared" si="580"/>
        <v>2.6</v>
      </c>
      <c r="AC123" s="251">
        <f t="shared" si="581"/>
        <v>0</v>
      </c>
      <c r="AD123" s="251">
        <f t="shared" si="582"/>
        <v>0</v>
      </c>
      <c r="AE123" s="251">
        <f t="shared" si="583"/>
        <v>0</v>
      </c>
      <c r="AF123" s="251">
        <f t="shared" si="584"/>
        <v>3.9000000000000004</v>
      </c>
      <c r="AG123" s="251">
        <f t="shared" si="585"/>
        <v>0.46280000000000043</v>
      </c>
      <c r="AH123" s="251">
        <f t="shared" si="586"/>
        <v>0</v>
      </c>
      <c r="AI123" s="497" t="str">
        <f t="shared" si="587"/>
        <v>NÃO</v>
      </c>
      <c r="AJ123" s="531">
        <f t="shared" si="588"/>
        <v>0</v>
      </c>
      <c r="AK123" s="531">
        <f t="shared" si="589"/>
        <v>0</v>
      </c>
      <c r="AL123" s="531">
        <f t="shared" si="590"/>
        <v>4.0360743640266623</v>
      </c>
      <c r="AM123" s="493">
        <f t="shared" si="591"/>
        <v>0.13</v>
      </c>
      <c r="AN123" s="535">
        <f t="shared" si="592"/>
        <v>0</v>
      </c>
      <c r="AO123" s="531">
        <f t="shared" si="593"/>
        <v>0</v>
      </c>
      <c r="AP123" s="531">
        <f t="shared" si="594"/>
        <v>0</v>
      </c>
      <c r="AQ123" s="531">
        <f t="shared" si="595"/>
        <v>0.7</v>
      </c>
      <c r="AR123" s="531">
        <f t="shared" si="596"/>
        <v>1.4932743640266612</v>
      </c>
      <c r="AS123" s="531">
        <f t="shared" si="597"/>
        <v>0</v>
      </c>
      <c r="AT123" s="531">
        <f t="shared" si="598"/>
        <v>0.39</v>
      </c>
      <c r="AU123" s="531">
        <f t="shared" si="599"/>
        <v>0.39</v>
      </c>
      <c r="AV123" s="531">
        <f t="shared" si="600"/>
        <v>7.8E-2</v>
      </c>
      <c r="AW123" s="531">
        <f t="shared" si="601"/>
        <v>1.6328000000000009</v>
      </c>
      <c r="AX123" s="531">
        <f t="shared" si="602"/>
        <v>2.4795256359733395</v>
      </c>
      <c r="AY123" s="531">
        <f t="shared" si="603"/>
        <v>1.6328000000000009</v>
      </c>
      <c r="AZ123" s="531">
        <f t="shared" si="604"/>
        <v>0</v>
      </c>
      <c r="BA123" s="531">
        <f t="shared" si="605"/>
        <v>0</v>
      </c>
      <c r="BB123" s="531">
        <f t="shared" si="606"/>
        <v>0</v>
      </c>
      <c r="BC123" s="531"/>
      <c r="BD123" s="531">
        <f t="shared" si="607"/>
        <v>1.5600000000000001E-2</v>
      </c>
      <c r="BE123" s="496">
        <f t="shared" si="608"/>
        <v>1.6780000000000002</v>
      </c>
      <c r="BF123" s="498">
        <f t="shared" si="609"/>
        <v>2.6</v>
      </c>
      <c r="BG123" s="498">
        <f t="shared" si="610"/>
        <v>0</v>
      </c>
      <c r="BH123" s="532" t="str">
        <f>VLOOKUP(A123,'BOCA DE LOBO'!C:I,7,0)</f>
        <v>BOCA DE LOBO PROJETADA DUPLA</v>
      </c>
      <c r="BI123" s="531">
        <f t="shared" si="611"/>
        <v>0</v>
      </c>
      <c r="BJ123" s="531">
        <f t="shared" si="612"/>
        <v>0</v>
      </c>
      <c r="BK123" s="531">
        <f t="shared" si="613"/>
        <v>0</v>
      </c>
      <c r="BL123" s="531">
        <f t="shared" si="614"/>
        <v>0</v>
      </c>
      <c r="BM123" s="531">
        <f t="shared" si="615"/>
        <v>0</v>
      </c>
      <c r="BN123" s="531">
        <f t="shared" si="616"/>
        <v>1</v>
      </c>
      <c r="BO123" s="499">
        <f t="shared" si="617"/>
        <v>0</v>
      </c>
      <c r="BP123" s="500"/>
      <c r="BQ123" s="496">
        <f t="shared" si="618"/>
        <v>7.8000000000000007</v>
      </c>
      <c r="BR123" s="496">
        <f t="shared" si="619"/>
        <v>0.92560000000000087</v>
      </c>
      <c r="BS123" s="496">
        <f t="shared" si="620"/>
        <v>0</v>
      </c>
      <c r="BT123" s="501"/>
      <c r="BU123" s="501"/>
      <c r="BV123" s="502">
        <f t="shared" si="621"/>
        <v>11.642769599999998</v>
      </c>
      <c r="BW123" s="502">
        <f t="shared" si="622"/>
        <v>7.7825999999999986</v>
      </c>
      <c r="BX123" s="502">
        <f t="shared" si="623"/>
        <v>3.0325999999999995</v>
      </c>
      <c r="BY123" s="502">
        <f t="shared" si="624"/>
        <v>1.496</v>
      </c>
      <c r="BZ123" s="502">
        <f t="shared" si="625"/>
        <v>1.496</v>
      </c>
      <c r="CA123" s="502">
        <f t="shared" si="626"/>
        <v>0</v>
      </c>
      <c r="CB123" s="502">
        <f t="shared" si="627"/>
        <v>0</v>
      </c>
      <c r="CC123" s="502">
        <f t="shared" si="628"/>
        <v>11.642769599999998</v>
      </c>
      <c r="CD123" s="502">
        <f t="shared" si="629"/>
        <v>0</v>
      </c>
      <c r="CE123" s="502">
        <f t="shared" si="630"/>
        <v>0</v>
      </c>
      <c r="CF123" s="502">
        <f t="shared" si="631"/>
        <v>0</v>
      </c>
      <c r="CG123" s="502">
        <f t="shared" si="632"/>
        <v>0</v>
      </c>
      <c r="CH123" s="502">
        <f t="shared" si="633"/>
        <v>0</v>
      </c>
      <c r="CI123" s="531">
        <f t="shared" si="634"/>
        <v>0.53549999999999998</v>
      </c>
      <c r="CJ123" s="502">
        <f t="shared" si="635"/>
        <v>6.5704999999999991</v>
      </c>
      <c r="CK123" s="502">
        <f t="shared" si="636"/>
        <v>6.5704999999999991</v>
      </c>
      <c r="CL123" s="502">
        <f t="shared" si="637"/>
        <v>0</v>
      </c>
      <c r="CM123" s="502">
        <f t="shared" si="638"/>
        <v>0</v>
      </c>
      <c r="CN123" s="502">
        <f t="shared" si="639"/>
        <v>3.57</v>
      </c>
      <c r="CO123" s="502">
        <f t="shared" si="640"/>
        <v>1.496</v>
      </c>
      <c r="CP123" s="502">
        <f t="shared" si="641"/>
        <v>10.68144</v>
      </c>
      <c r="CQ123" s="502">
        <f t="shared" si="642"/>
        <v>0</v>
      </c>
      <c r="CR123" s="220">
        <f t="shared" si="643"/>
        <v>0</v>
      </c>
      <c r="CS123" s="503">
        <f t="shared" si="644"/>
        <v>0</v>
      </c>
      <c r="CT123" s="503">
        <f t="shared" si="645"/>
        <v>0.33012999999999998</v>
      </c>
      <c r="CU123" s="504">
        <f t="shared" si="646"/>
        <v>7.7792000000000003</v>
      </c>
      <c r="CV123" s="504">
        <f t="shared" si="647"/>
        <v>1.1317259999999998</v>
      </c>
      <c r="CW123" s="502">
        <f t="shared" si="648"/>
        <v>15.53748</v>
      </c>
      <c r="CX123" s="531">
        <f t="shared" si="649"/>
        <v>3.57</v>
      </c>
      <c r="CY123" s="537">
        <f t="shared" si="650"/>
        <v>1.7849999999999999</v>
      </c>
      <c r="CZ123" s="502">
        <f t="shared" si="651"/>
        <v>0</v>
      </c>
    </row>
    <row r="124" spans="1:104" ht="25" x14ac:dyDescent="0.25">
      <c r="A124" s="413" t="str">
        <f>'BOCA DE LOBO'!C118</f>
        <v>BL35-&gt;PV4.1</v>
      </c>
      <c r="B124" s="413" t="str">
        <f>'BOCA DE LOBO'!A118</f>
        <v>PV4.1</v>
      </c>
      <c r="C124" s="413" t="str">
        <f>VLOOKUP(A124,'BOCA DE LOBO'!$C$82:$Q$270,3,0)</f>
        <v>PROJETADO</v>
      </c>
      <c r="D124" s="413" t="str">
        <f>VLOOKUP(A124,'BOCA DE LOBO'!$C$82:$Q$270,10,0)</f>
        <v>PROJETADA</v>
      </c>
      <c r="E124" s="413">
        <f t="shared" si="566"/>
        <v>1.7092000000000001</v>
      </c>
      <c r="F124" s="413">
        <f>VLOOKUP(A124,'BOCA DE LOBO'!$C$82:$Q$270,2,0)</f>
        <v>1.81</v>
      </c>
      <c r="G124" s="413">
        <f>VLOOKUP(A124,'BOCA DE LOBO'!$C$82:$Q$270,4,0)</f>
        <v>2.52</v>
      </c>
      <c r="H124" s="412">
        <v>400</v>
      </c>
      <c r="I124" s="493">
        <f t="shared" si="567"/>
        <v>1.8896000000000002</v>
      </c>
      <c r="J124" s="493">
        <f t="shared" si="568"/>
        <v>0.23808960000000004</v>
      </c>
      <c r="K124" s="530">
        <v>0</v>
      </c>
      <c r="L124" s="531">
        <f t="shared" si="569"/>
        <v>1</v>
      </c>
      <c r="M124" s="531">
        <f t="shared" si="570"/>
        <v>1</v>
      </c>
      <c r="N124" s="531">
        <f t="shared" si="571"/>
        <v>0</v>
      </c>
      <c r="O124" s="531">
        <f t="shared" si="572"/>
        <v>2.52</v>
      </c>
      <c r="P124" s="532" t="str">
        <f>VLOOKUP(B124,'Planilha Hidráulica'!$AG:$AR,12,0)</f>
        <v>ASFALTO</v>
      </c>
      <c r="Q124" s="533" t="s">
        <v>2734</v>
      </c>
      <c r="R124" s="534">
        <v>1</v>
      </c>
      <c r="S124" s="532">
        <f>VLOOKUP(Q124,Quantitativos!P:R,3,0)</f>
        <v>4</v>
      </c>
      <c r="T124" s="532">
        <f>VLOOKUP(Q124,Quantitativos!P:S,4,0)</f>
        <v>4</v>
      </c>
      <c r="U124" s="531">
        <f t="shared" si="573"/>
        <v>0.05</v>
      </c>
      <c r="V124" s="535">
        <f t="shared" si="574"/>
        <v>0</v>
      </c>
      <c r="W124" s="535">
        <f t="shared" si="575"/>
        <v>5.7697920000000007</v>
      </c>
      <c r="X124" s="536">
        <f t="shared" si="576"/>
        <v>0</v>
      </c>
      <c r="Y124" s="536">
        <f t="shared" si="577"/>
        <v>2.2896000000000001</v>
      </c>
      <c r="Z124" s="536">
        <f t="shared" si="578"/>
        <v>0</v>
      </c>
      <c r="AA124" s="536">
        <f t="shared" si="579"/>
        <v>1.8896000000000002</v>
      </c>
      <c r="AB124" s="496">
        <f t="shared" si="580"/>
        <v>2.52</v>
      </c>
      <c r="AC124" s="251">
        <f t="shared" si="581"/>
        <v>3.7800000000000002</v>
      </c>
      <c r="AD124" s="251">
        <f t="shared" si="582"/>
        <v>1.9897920000000002</v>
      </c>
      <c r="AE124" s="251">
        <f t="shared" si="583"/>
        <v>0</v>
      </c>
      <c r="AF124" s="251">
        <f t="shared" si="584"/>
        <v>0</v>
      </c>
      <c r="AG124" s="251">
        <f t="shared" si="585"/>
        <v>0</v>
      </c>
      <c r="AH124" s="251">
        <f t="shared" si="586"/>
        <v>0</v>
      </c>
      <c r="AI124" s="497" t="str">
        <f t="shared" si="587"/>
        <v>NÃO</v>
      </c>
      <c r="AJ124" s="531">
        <f t="shared" si="588"/>
        <v>0</v>
      </c>
      <c r="AK124" s="531">
        <f t="shared" si="589"/>
        <v>0</v>
      </c>
      <c r="AL124" s="531">
        <f t="shared" si="590"/>
        <v>5.4531194605181499</v>
      </c>
      <c r="AM124" s="493">
        <f t="shared" si="591"/>
        <v>0.126</v>
      </c>
      <c r="AN124" s="535">
        <f t="shared" si="592"/>
        <v>0</v>
      </c>
      <c r="AO124" s="531">
        <f t="shared" si="593"/>
        <v>1.008</v>
      </c>
      <c r="AP124" s="531">
        <f t="shared" si="594"/>
        <v>1.008</v>
      </c>
      <c r="AQ124" s="531">
        <f t="shared" si="595"/>
        <v>0.7</v>
      </c>
      <c r="AR124" s="531">
        <f t="shared" si="596"/>
        <v>1.4473274605181485</v>
      </c>
      <c r="AS124" s="531">
        <f t="shared" si="597"/>
        <v>1.4473274605181485</v>
      </c>
      <c r="AT124" s="531">
        <f t="shared" si="598"/>
        <v>0.378</v>
      </c>
      <c r="AU124" s="531">
        <f t="shared" si="599"/>
        <v>0.378</v>
      </c>
      <c r="AV124" s="531">
        <f t="shared" si="600"/>
        <v>7.5600000000000001E-2</v>
      </c>
      <c r="AW124" s="531">
        <f t="shared" si="601"/>
        <v>2.1157920000000008</v>
      </c>
      <c r="AX124" s="531">
        <f t="shared" si="602"/>
        <v>-2.8333274605181487</v>
      </c>
      <c r="AY124" s="531">
        <f t="shared" si="603"/>
        <v>-2.8333274605181487</v>
      </c>
      <c r="AZ124" s="531">
        <f t="shared" si="604"/>
        <v>4.9491194605181494</v>
      </c>
      <c r="BA124" s="531">
        <f t="shared" si="605"/>
        <v>0.99937820544953049</v>
      </c>
      <c r="BB124" s="531">
        <f t="shared" si="606"/>
        <v>3.9497412550686191</v>
      </c>
      <c r="BC124" s="531"/>
      <c r="BD124" s="531">
        <f t="shared" si="607"/>
        <v>5.5440000000000003E-2</v>
      </c>
      <c r="BE124" s="496">
        <f t="shared" si="608"/>
        <v>1.8896000000000002</v>
      </c>
      <c r="BF124" s="498">
        <f t="shared" si="609"/>
        <v>0</v>
      </c>
      <c r="BG124" s="498">
        <f t="shared" si="610"/>
        <v>2.52</v>
      </c>
      <c r="BH124" s="532" t="str">
        <f>VLOOKUP(A124,'BOCA DE LOBO'!C:I,7,0)</f>
        <v>BOCA DE LOBO PROJETADA DUPLA</v>
      </c>
      <c r="BI124" s="531">
        <f t="shared" si="611"/>
        <v>0</v>
      </c>
      <c r="BJ124" s="531">
        <f t="shared" si="612"/>
        <v>0</v>
      </c>
      <c r="BK124" s="531">
        <f t="shared" si="613"/>
        <v>0</v>
      </c>
      <c r="BL124" s="531">
        <f t="shared" si="614"/>
        <v>0</v>
      </c>
      <c r="BM124" s="531">
        <f t="shared" si="615"/>
        <v>0</v>
      </c>
      <c r="BN124" s="531">
        <f t="shared" si="616"/>
        <v>1</v>
      </c>
      <c r="BO124" s="499">
        <f t="shared" si="617"/>
        <v>0</v>
      </c>
      <c r="BP124" s="500"/>
      <c r="BQ124" s="496">
        <f t="shared" si="618"/>
        <v>7.5600000000000005</v>
      </c>
      <c r="BR124" s="496">
        <f t="shared" si="619"/>
        <v>4.4835840000000005</v>
      </c>
      <c r="BS124" s="496">
        <f t="shared" si="620"/>
        <v>0</v>
      </c>
      <c r="BT124" s="501"/>
      <c r="BU124" s="501"/>
      <c r="BV124" s="502">
        <f t="shared" si="621"/>
        <v>17.193319919999997</v>
      </c>
      <c r="BW124" s="502">
        <f t="shared" si="622"/>
        <v>7.7825999999999986</v>
      </c>
      <c r="BX124" s="502">
        <f t="shared" si="623"/>
        <v>3.0325999999999995</v>
      </c>
      <c r="BY124" s="502">
        <f t="shared" si="624"/>
        <v>1.7092000000000001</v>
      </c>
      <c r="BZ124" s="502">
        <f t="shared" si="625"/>
        <v>0</v>
      </c>
      <c r="CA124" s="502">
        <f t="shared" si="626"/>
        <v>2.1092</v>
      </c>
      <c r="CB124" s="502">
        <f t="shared" si="627"/>
        <v>0</v>
      </c>
      <c r="CC124" s="502">
        <f t="shared" si="628"/>
        <v>0</v>
      </c>
      <c r="CD124" s="502">
        <f t="shared" si="629"/>
        <v>0</v>
      </c>
      <c r="CE124" s="502">
        <f t="shared" si="630"/>
        <v>11.673899999999998</v>
      </c>
      <c r="CF124" s="502">
        <f t="shared" si="631"/>
        <v>4.7411599199999985</v>
      </c>
      <c r="CG124" s="502">
        <f t="shared" si="632"/>
        <v>0.77825999999999951</v>
      </c>
      <c r="CH124" s="502">
        <f t="shared" si="633"/>
        <v>0</v>
      </c>
      <c r="CI124" s="531">
        <f t="shared" si="634"/>
        <v>0.53549999999999998</v>
      </c>
      <c r="CJ124" s="502">
        <f t="shared" si="635"/>
        <v>9.4831999999999965</v>
      </c>
      <c r="CK124" s="502">
        <f t="shared" si="636"/>
        <v>9.4831999999999965</v>
      </c>
      <c r="CL124" s="502">
        <f t="shared" si="637"/>
        <v>0</v>
      </c>
      <c r="CM124" s="502">
        <f t="shared" si="638"/>
        <v>0.15565199999999998</v>
      </c>
      <c r="CN124" s="502">
        <f t="shared" si="639"/>
        <v>3.57</v>
      </c>
      <c r="CO124" s="502">
        <f t="shared" si="640"/>
        <v>2.2092000000000001</v>
      </c>
      <c r="CP124" s="502">
        <f t="shared" si="641"/>
        <v>10.709999999999999</v>
      </c>
      <c r="CQ124" s="502">
        <f t="shared" si="642"/>
        <v>5.063688</v>
      </c>
      <c r="CR124" s="220">
        <f t="shared" si="643"/>
        <v>0</v>
      </c>
      <c r="CS124" s="503">
        <f t="shared" si="644"/>
        <v>0</v>
      </c>
      <c r="CT124" s="503">
        <f t="shared" si="645"/>
        <v>0.33012999999999998</v>
      </c>
      <c r="CU124" s="504">
        <f t="shared" si="646"/>
        <v>8.8878400000000006</v>
      </c>
      <c r="CV124" s="504">
        <f t="shared" si="647"/>
        <v>1.1969652</v>
      </c>
      <c r="CW124" s="502">
        <f t="shared" si="648"/>
        <v>17.174855999999998</v>
      </c>
      <c r="CX124" s="531">
        <f t="shared" si="649"/>
        <v>3.57</v>
      </c>
      <c r="CY124" s="537">
        <f t="shared" si="650"/>
        <v>1.7849999999999999</v>
      </c>
      <c r="CZ124" s="502">
        <f t="shared" si="651"/>
        <v>0</v>
      </c>
    </row>
    <row r="125" spans="1:104" ht="25" x14ac:dyDescent="0.25">
      <c r="A125" s="413" t="str">
        <f>'BOCA DE LOBO'!C119</f>
        <v>BL36-&gt;PV5.1</v>
      </c>
      <c r="B125" s="413" t="str">
        <f>'BOCA DE LOBO'!A119</f>
        <v>PV5.1</v>
      </c>
      <c r="C125" s="413" t="str">
        <f>VLOOKUP(A125,'BOCA DE LOBO'!$C$82:$Q$270,3,0)</f>
        <v>PROJETADO</v>
      </c>
      <c r="D125" s="413" t="str">
        <f>VLOOKUP(A125,'BOCA DE LOBO'!$C$82:$Q$270,10,0)</f>
        <v>PROJETADA</v>
      </c>
      <c r="E125" s="413">
        <f t="shared" si="566"/>
        <v>1.7148000000000001</v>
      </c>
      <c r="F125" s="413">
        <f>VLOOKUP(A125,'BOCA DE LOBO'!$C$82:$Q$270,2,0)</f>
        <v>1.81</v>
      </c>
      <c r="G125" s="413">
        <f>VLOOKUP(A125,'BOCA DE LOBO'!$C$82:$Q$270,4,0)</f>
        <v>2.38</v>
      </c>
      <c r="H125" s="412">
        <v>400</v>
      </c>
      <c r="I125" s="493">
        <f t="shared" si="567"/>
        <v>1.8924000000000001</v>
      </c>
      <c r="J125" s="493">
        <f t="shared" si="568"/>
        <v>0.2251956</v>
      </c>
      <c r="K125" s="530">
        <v>0</v>
      </c>
      <c r="L125" s="531">
        <f t="shared" si="569"/>
        <v>1</v>
      </c>
      <c r="M125" s="531">
        <f t="shared" si="570"/>
        <v>1</v>
      </c>
      <c r="N125" s="531">
        <f t="shared" si="571"/>
        <v>0</v>
      </c>
      <c r="O125" s="531">
        <f t="shared" si="572"/>
        <v>2.38</v>
      </c>
      <c r="P125" s="532" t="str">
        <f>VLOOKUP(B125,'Planilha Hidráulica'!$AG:$AR,12,0)</f>
        <v>ASFALTO</v>
      </c>
      <c r="Q125" s="533" t="s">
        <v>2734</v>
      </c>
      <c r="R125" s="534">
        <v>1</v>
      </c>
      <c r="S125" s="532">
        <f>VLOOKUP(Q125,Quantitativos!P:R,3,0)</f>
        <v>4</v>
      </c>
      <c r="T125" s="532">
        <f>VLOOKUP(Q125,Quantitativos!P:S,4,0)</f>
        <v>4</v>
      </c>
      <c r="U125" s="531">
        <f t="shared" si="573"/>
        <v>0.05</v>
      </c>
      <c r="V125" s="535">
        <f t="shared" si="574"/>
        <v>0</v>
      </c>
      <c r="W125" s="535">
        <f t="shared" si="575"/>
        <v>5.4559119999999997</v>
      </c>
      <c r="X125" s="536">
        <f t="shared" si="576"/>
        <v>0</v>
      </c>
      <c r="Y125" s="536">
        <f t="shared" si="577"/>
        <v>2.2924000000000002</v>
      </c>
      <c r="Z125" s="536">
        <f t="shared" si="578"/>
        <v>0</v>
      </c>
      <c r="AA125" s="536">
        <f t="shared" si="579"/>
        <v>1.8924000000000001</v>
      </c>
      <c r="AB125" s="496">
        <f t="shared" si="580"/>
        <v>2.38</v>
      </c>
      <c r="AC125" s="251">
        <f t="shared" si="581"/>
        <v>3.57</v>
      </c>
      <c r="AD125" s="251">
        <f t="shared" si="582"/>
        <v>1.8859120000000005</v>
      </c>
      <c r="AE125" s="251">
        <f t="shared" si="583"/>
        <v>0</v>
      </c>
      <c r="AF125" s="251">
        <f t="shared" si="584"/>
        <v>0</v>
      </c>
      <c r="AG125" s="251">
        <f t="shared" si="585"/>
        <v>0</v>
      </c>
      <c r="AH125" s="251">
        <f t="shared" si="586"/>
        <v>0</v>
      </c>
      <c r="AI125" s="497" t="str">
        <f t="shared" si="587"/>
        <v>NÃO</v>
      </c>
      <c r="AJ125" s="531">
        <f t="shared" si="588"/>
        <v>0</v>
      </c>
      <c r="AK125" s="531">
        <f t="shared" si="589"/>
        <v>0</v>
      </c>
      <c r="AL125" s="531">
        <f t="shared" si="590"/>
        <v>5.1568323793782511</v>
      </c>
      <c r="AM125" s="493">
        <f t="shared" si="591"/>
        <v>0.11899999999999999</v>
      </c>
      <c r="AN125" s="535">
        <f t="shared" si="592"/>
        <v>0</v>
      </c>
      <c r="AO125" s="531">
        <f t="shared" si="593"/>
        <v>0.95199999999999996</v>
      </c>
      <c r="AP125" s="531">
        <f t="shared" si="594"/>
        <v>0.95199999999999996</v>
      </c>
      <c r="AQ125" s="531">
        <f t="shared" si="595"/>
        <v>0.7</v>
      </c>
      <c r="AR125" s="531">
        <f t="shared" si="596"/>
        <v>1.3669203793782516</v>
      </c>
      <c r="AS125" s="531">
        <f t="shared" si="597"/>
        <v>1.3669203793782516</v>
      </c>
      <c r="AT125" s="531">
        <f t="shared" si="598"/>
        <v>0.35699999999999998</v>
      </c>
      <c r="AU125" s="531">
        <f t="shared" si="599"/>
        <v>0.35699999999999998</v>
      </c>
      <c r="AV125" s="531">
        <f t="shared" si="600"/>
        <v>7.1399999999999991E-2</v>
      </c>
      <c r="AW125" s="531">
        <f t="shared" si="601"/>
        <v>2.0049119999999991</v>
      </c>
      <c r="AX125" s="531">
        <f t="shared" si="602"/>
        <v>-2.6759203793782516</v>
      </c>
      <c r="AY125" s="531">
        <f t="shared" si="603"/>
        <v>-2.6759203793782516</v>
      </c>
      <c r="AZ125" s="531">
        <f t="shared" si="604"/>
        <v>4.6808323793782503</v>
      </c>
      <c r="BA125" s="531">
        <f t="shared" si="605"/>
        <v>0.94520285893914058</v>
      </c>
      <c r="BB125" s="531">
        <f t="shared" si="606"/>
        <v>3.7356295204391099</v>
      </c>
      <c r="BC125" s="531"/>
      <c r="BD125" s="531">
        <f t="shared" si="607"/>
        <v>5.2359999999999997E-2</v>
      </c>
      <c r="BE125" s="496">
        <f t="shared" si="608"/>
        <v>1.8924000000000001</v>
      </c>
      <c r="BF125" s="498">
        <f t="shared" si="609"/>
        <v>0</v>
      </c>
      <c r="BG125" s="498">
        <f t="shared" si="610"/>
        <v>2.38</v>
      </c>
      <c r="BH125" s="532" t="str">
        <f>VLOOKUP(A125,'BOCA DE LOBO'!C:I,7,0)</f>
        <v>BOCA DE LOBO PROJETADA DUPLA</v>
      </c>
      <c r="BI125" s="531">
        <f t="shared" si="611"/>
        <v>0</v>
      </c>
      <c r="BJ125" s="531">
        <f t="shared" si="612"/>
        <v>0</v>
      </c>
      <c r="BK125" s="531">
        <f t="shared" si="613"/>
        <v>0</v>
      </c>
      <c r="BL125" s="531">
        <f t="shared" si="614"/>
        <v>0</v>
      </c>
      <c r="BM125" s="531">
        <f t="shared" si="615"/>
        <v>0</v>
      </c>
      <c r="BN125" s="531">
        <f t="shared" si="616"/>
        <v>1</v>
      </c>
      <c r="BO125" s="499">
        <f t="shared" si="617"/>
        <v>0</v>
      </c>
      <c r="BP125" s="500"/>
      <c r="BQ125" s="496">
        <f t="shared" si="618"/>
        <v>7.14</v>
      </c>
      <c r="BR125" s="496">
        <f t="shared" si="619"/>
        <v>4.2478240000000014</v>
      </c>
      <c r="BS125" s="496">
        <f t="shared" si="620"/>
        <v>0</v>
      </c>
      <c r="BT125" s="501"/>
      <c r="BU125" s="501"/>
      <c r="BV125" s="502">
        <f t="shared" si="621"/>
        <v>17.236902480000001</v>
      </c>
      <c r="BW125" s="502">
        <f t="shared" si="622"/>
        <v>7.7825999999999986</v>
      </c>
      <c r="BX125" s="502">
        <f t="shared" si="623"/>
        <v>3.0325999999999995</v>
      </c>
      <c r="BY125" s="502">
        <f t="shared" si="624"/>
        <v>1.7148000000000001</v>
      </c>
      <c r="BZ125" s="502">
        <f t="shared" si="625"/>
        <v>0</v>
      </c>
      <c r="CA125" s="502">
        <f t="shared" si="626"/>
        <v>2.1148000000000002</v>
      </c>
      <c r="CB125" s="502">
        <f t="shared" si="627"/>
        <v>0</v>
      </c>
      <c r="CC125" s="502">
        <f t="shared" si="628"/>
        <v>0</v>
      </c>
      <c r="CD125" s="502">
        <f t="shared" si="629"/>
        <v>0</v>
      </c>
      <c r="CE125" s="502">
        <f t="shared" si="630"/>
        <v>11.673899999999998</v>
      </c>
      <c r="CF125" s="502">
        <f t="shared" si="631"/>
        <v>4.7847424800000011</v>
      </c>
      <c r="CG125" s="502">
        <f t="shared" si="632"/>
        <v>0.77826000000000306</v>
      </c>
      <c r="CH125" s="502">
        <f t="shared" si="633"/>
        <v>0</v>
      </c>
      <c r="CI125" s="531">
        <f t="shared" si="634"/>
        <v>0.53549999999999998</v>
      </c>
      <c r="CJ125" s="502">
        <f t="shared" si="635"/>
        <v>9.5097999999999985</v>
      </c>
      <c r="CK125" s="502">
        <f t="shared" si="636"/>
        <v>9.5097999999999985</v>
      </c>
      <c r="CL125" s="502">
        <f t="shared" si="637"/>
        <v>0</v>
      </c>
      <c r="CM125" s="502">
        <f t="shared" si="638"/>
        <v>0.15565199999999998</v>
      </c>
      <c r="CN125" s="502">
        <f t="shared" si="639"/>
        <v>3.57</v>
      </c>
      <c r="CO125" s="502">
        <f t="shared" si="640"/>
        <v>2.2148000000000003</v>
      </c>
      <c r="CP125" s="502">
        <f t="shared" si="641"/>
        <v>10.709999999999999</v>
      </c>
      <c r="CQ125" s="502">
        <f t="shared" si="642"/>
        <v>5.1036720000000022</v>
      </c>
      <c r="CR125" s="220">
        <f t="shared" si="643"/>
        <v>0</v>
      </c>
      <c r="CS125" s="503">
        <f t="shared" si="644"/>
        <v>0</v>
      </c>
      <c r="CT125" s="503">
        <f t="shared" si="645"/>
        <v>0.33012999999999998</v>
      </c>
      <c r="CU125" s="504">
        <f t="shared" si="646"/>
        <v>8.9169600000000013</v>
      </c>
      <c r="CV125" s="504">
        <f t="shared" si="647"/>
        <v>1.1986787999999999</v>
      </c>
      <c r="CW125" s="502">
        <f t="shared" si="648"/>
        <v>17.217863999999999</v>
      </c>
      <c r="CX125" s="531">
        <f t="shared" si="649"/>
        <v>3.57</v>
      </c>
      <c r="CY125" s="537">
        <f t="shared" si="650"/>
        <v>1.7849999999999999</v>
      </c>
      <c r="CZ125" s="502">
        <f t="shared" si="651"/>
        <v>0</v>
      </c>
    </row>
    <row r="126" spans="1:104" ht="25" x14ac:dyDescent="0.25">
      <c r="A126" s="413" t="str">
        <f>'BOCA DE LOBO'!C120</f>
        <v>BL37-&gt;PV6.1</v>
      </c>
      <c r="B126" s="413" t="str">
        <f>'BOCA DE LOBO'!A120</f>
        <v>PV6.1</v>
      </c>
      <c r="C126" s="413" t="str">
        <f>VLOOKUP(A126,'BOCA DE LOBO'!$C$82:$Q$270,3,0)</f>
        <v>PROJETADO</v>
      </c>
      <c r="D126" s="413" t="str">
        <f>VLOOKUP(A126,'BOCA DE LOBO'!$C$82:$Q$270,10,0)</f>
        <v>PROJETADA</v>
      </c>
      <c r="E126" s="413">
        <f t="shared" si="566"/>
        <v>1.7152000000000001</v>
      </c>
      <c r="F126" s="413">
        <f>VLOOKUP(A126,'BOCA DE LOBO'!$C$82:$Q$270,2,0)</f>
        <v>1.81</v>
      </c>
      <c r="G126" s="413">
        <f>VLOOKUP(A126,'BOCA DE LOBO'!$C$82:$Q$270,4,0)</f>
        <v>2.37</v>
      </c>
      <c r="H126" s="412">
        <v>400</v>
      </c>
      <c r="I126" s="493">
        <f t="shared" si="567"/>
        <v>1.8926000000000001</v>
      </c>
      <c r="J126" s="493">
        <f t="shared" si="568"/>
        <v>0.2242731</v>
      </c>
      <c r="K126" s="530">
        <v>0</v>
      </c>
      <c r="L126" s="531">
        <f t="shared" si="569"/>
        <v>1</v>
      </c>
      <c r="M126" s="531">
        <f t="shared" si="570"/>
        <v>1</v>
      </c>
      <c r="N126" s="531">
        <f t="shared" si="571"/>
        <v>0</v>
      </c>
      <c r="O126" s="531">
        <f t="shared" si="572"/>
        <v>2.37</v>
      </c>
      <c r="P126" s="532" t="str">
        <f>VLOOKUP(B126,'Planilha Hidráulica'!$AG:$AR,12,0)</f>
        <v>ASFALTO</v>
      </c>
      <c r="Q126" s="533" t="s">
        <v>2734</v>
      </c>
      <c r="R126" s="534">
        <v>1</v>
      </c>
      <c r="S126" s="532">
        <f>VLOOKUP(Q126,Quantitativos!P:R,3,0)</f>
        <v>4</v>
      </c>
      <c r="T126" s="532">
        <f>VLOOKUP(Q126,Quantitativos!P:S,4,0)</f>
        <v>4</v>
      </c>
      <c r="U126" s="531">
        <f t="shared" si="573"/>
        <v>0.05</v>
      </c>
      <c r="V126" s="535">
        <f t="shared" si="574"/>
        <v>0</v>
      </c>
      <c r="W126" s="535">
        <f t="shared" si="575"/>
        <v>5.4334620000000005</v>
      </c>
      <c r="X126" s="536">
        <f t="shared" si="576"/>
        <v>0</v>
      </c>
      <c r="Y126" s="536">
        <f t="shared" si="577"/>
        <v>2.2926000000000002</v>
      </c>
      <c r="Z126" s="536">
        <f t="shared" si="578"/>
        <v>0</v>
      </c>
      <c r="AA126" s="536">
        <f t="shared" si="579"/>
        <v>1.8926000000000001</v>
      </c>
      <c r="AB126" s="496">
        <f t="shared" si="580"/>
        <v>2.37</v>
      </c>
      <c r="AC126" s="251">
        <f t="shared" si="581"/>
        <v>3.5550000000000002</v>
      </c>
      <c r="AD126" s="251">
        <f t="shared" si="582"/>
        <v>1.8784620000000005</v>
      </c>
      <c r="AE126" s="251">
        <f t="shared" si="583"/>
        <v>0</v>
      </c>
      <c r="AF126" s="251">
        <f t="shared" si="584"/>
        <v>0</v>
      </c>
      <c r="AG126" s="251">
        <f t="shared" si="585"/>
        <v>0</v>
      </c>
      <c r="AH126" s="251">
        <f t="shared" si="586"/>
        <v>0</v>
      </c>
      <c r="AI126" s="497" t="str">
        <f t="shared" si="587"/>
        <v>NÃO</v>
      </c>
      <c r="AJ126" s="531">
        <f t="shared" si="588"/>
        <v>0</v>
      </c>
      <c r="AK126" s="531">
        <f t="shared" si="589"/>
        <v>0</v>
      </c>
      <c r="AL126" s="531">
        <f t="shared" si="590"/>
        <v>5.1356390164396881</v>
      </c>
      <c r="AM126" s="493">
        <f t="shared" si="591"/>
        <v>0.11850000000000001</v>
      </c>
      <c r="AN126" s="535">
        <f t="shared" si="592"/>
        <v>0</v>
      </c>
      <c r="AO126" s="531">
        <f t="shared" si="593"/>
        <v>0.94800000000000006</v>
      </c>
      <c r="AP126" s="531">
        <f t="shared" si="594"/>
        <v>0.94800000000000006</v>
      </c>
      <c r="AQ126" s="531">
        <f t="shared" si="595"/>
        <v>0.7</v>
      </c>
      <c r="AR126" s="531">
        <f t="shared" si="596"/>
        <v>1.3611770164396875</v>
      </c>
      <c r="AS126" s="531">
        <f t="shared" si="597"/>
        <v>1.3611770164396875</v>
      </c>
      <c r="AT126" s="531">
        <f t="shared" si="598"/>
        <v>0.35549999999999998</v>
      </c>
      <c r="AU126" s="531">
        <f t="shared" si="599"/>
        <v>0.35549999999999998</v>
      </c>
      <c r="AV126" s="531">
        <f t="shared" si="600"/>
        <v>7.1099999999999997E-2</v>
      </c>
      <c r="AW126" s="531">
        <f t="shared" si="601"/>
        <v>1.9969619999999999</v>
      </c>
      <c r="AX126" s="531">
        <f t="shared" si="602"/>
        <v>-2.6646770164396876</v>
      </c>
      <c r="AY126" s="531">
        <f t="shared" si="603"/>
        <v>-2.6646770164396876</v>
      </c>
      <c r="AZ126" s="531">
        <f t="shared" si="604"/>
        <v>4.6616390164396879</v>
      </c>
      <c r="BA126" s="531">
        <f t="shared" si="605"/>
        <v>0.94132713341602414</v>
      </c>
      <c r="BB126" s="531">
        <f t="shared" si="606"/>
        <v>3.7203118830236637</v>
      </c>
      <c r="BC126" s="531"/>
      <c r="BD126" s="531">
        <f t="shared" si="607"/>
        <v>5.2140000000000006E-2</v>
      </c>
      <c r="BE126" s="496">
        <f t="shared" si="608"/>
        <v>1.8926000000000001</v>
      </c>
      <c r="BF126" s="498">
        <f t="shared" si="609"/>
        <v>0</v>
      </c>
      <c r="BG126" s="498">
        <f t="shared" si="610"/>
        <v>2.37</v>
      </c>
      <c r="BH126" s="532" t="str">
        <f>VLOOKUP(A126,'BOCA DE LOBO'!C:I,7,0)</f>
        <v>BOCA DE LOBO PROJETADA DUPLA</v>
      </c>
      <c r="BI126" s="531">
        <f t="shared" si="611"/>
        <v>0</v>
      </c>
      <c r="BJ126" s="531">
        <f t="shared" si="612"/>
        <v>0</v>
      </c>
      <c r="BK126" s="531">
        <f t="shared" si="613"/>
        <v>0</v>
      </c>
      <c r="BL126" s="531">
        <f t="shared" si="614"/>
        <v>0</v>
      </c>
      <c r="BM126" s="531">
        <f t="shared" si="615"/>
        <v>0</v>
      </c>
      <c r="BN126" s="531">
        <f t="shared" si="616"/>
        <v>1</v>
      </c>
      <c r="BO126" s="499">
        <f t="shared" si="617"/>
        <v>0</v>
      </c>
      <c r="BP126" s="500"/>
      <c r="BQ126" s="496">
        <f t="shared" si="618"/>
        <v>7.11</v>
      </c>
      <c r="BR126" s="496">
        <f t="shared" si="619"/>
        <v>4.230923999999999</v>
      </c>
      <c r="BS126" s="496">
        <f t="shared" si="620"/>
        <v>0</v>
      </c>
      <c r="BT126" s="501"/>
      <c r="BU126" s="501"/>
      <c r="BV126" s="502">
        <f t="shared" si="621"/>
        <v>17.24001552</v>
      </c>
      <c r="BW126" s="502">
        <f t="shared" si="622"/>
        <v>7.7825999999999986</v>
      </c>
      <c r="BX126" s="502">
        <f t="shared" si="623"/>
        <v>3.0325999999999995</v>
      </c>
      <c r="BY126" s="502">
        <f t="shared" si="624"/>
        <v>1.7152000000000001</v>
      </c>
      <c r="BZ126" s="502">
        <f t="shared" si="625"/>
        <v>0</v>
      </c>
      <c r="CA126" s="502">
        <f t="shared" si="626"/>
        <v>2.1152000000000002</v>
      </c>
      <c r="CB126" s="502">
        <f t="shared" si="627"/>
        <v>0</v>
      </c>
      <c r="CC126" s="502">
        <f t="shared" si="628"/>
        <v>0</v>
      </c>
      <c r="CD126" s="502">
        <f t="shared" si="629"/>
        <v>0</v>
      </c>
      <c r="CE126" s="502">
        <f t="shared" si="630"/>
        <v>11.673899999999998</v>
      </c>
      <c r="CF126" s="502">
        <f t="shared" si="631"/>
        <v>4.7878555200000008</v>
      </c>
      <c r="CG126" s="502">
        <f t="shared" si="632"/>
        <v>0.77826000000000306</v>
      </c>
      <c r="CH126" s="502">
        <f t="shared" si="633"/>
        <v>0</v>
      </c>
      <c r="CI126" s="531">
        <f t="shared" si="634"/>
        <v>0.53549999999999998</v>
      </c>
      <c r="CJ126" s="502">
        <f t="shared" si="635"/>
        <v>9.5116999999999976</v>
      </c>
      <c r="CK126" s="502">
        <f t="shared" si="636"/>
        <v>9.5116999999999976</v>
      </c>
      <c r="CL126" s="502">
        <f t="shared" si="637"/>
        <v>0</v>
      </c>
      <c r="CM126" s="502">
        <f t="shared" si="638"/>
        <v>0.15565199999999998</v>
      </c>
      <c r="CN126" s="502">
        <f t="shared" si="639"/>
        <v>3.57</v>
      </c>
      <c r="CO126" s="502">
        <f t="shared" si="640"/>
        <v>2.2152000000000003</v>
      </c>
      <c r="CP126" s="502">
        <f t="shared" si="641"/>
        <v>10.709999999999999</v>
      </c>
      <c r="CQ126" s="502">
        <f t="shared" si="642"/>
        <v>5.1065280000000017</v>
      </c>
      <c r="CR126" s="220">
        <f t="shared" si="643"/>
        <v>0</v>
      </c>
      <c r="CS126" s="503">
        <f t="shared" si="644"/>
        <v>0</v>
      </c>
      <c r="CT126" s="503">
        <f t="shared" si="645"/>
        <v>0.33012999999999998</v>
      </c>
      <c r="CU126" s="504">
        <f t="shared" si="646"/>
        <v>8.9190400000000007</v>
      </c>
      <c r="CV126" s="504">
        <f t="shared" si="647"/>
        <v>1.1988011999999999</v>
      </c>
      <c r="CW126" s="502">
        <f t="shared" si="648"/>
        <v>17.220935999999998</v>
      </c>
      <c r="CX126" s="531">
        <f t="shared" si="649"/>
        <v>3.57</v>
      </c>
      <c r="CY126" s="537">
        <f t="shared" si="650"/>
        <v>1.7849999999999999</v>
      </c>
      <c r="CZ126" s="502">
        <f t="shared" si="651"/>
        <v>0</v>
      </c>
    </row>
    <row r="127" spans="1:104" ht="25" x14ac:dyDescent="0.25">
      <c r="A127" s="413" t="str">
        <f>'BOCA DE LOBO'!C121</f>
        <v>BL38-&gt;PV7.1</v>
      </c>
      <c r="B127" s="413" t="str">
        <f>'BOCA DE LOBO'!A121</f>
        <v>PV7.1</v>
      </c>
      <c r="C127" s="413" t="str">
        <f>VLOOKUP(A127,'BOCA DE LOBO'!$C$82:$Q$270,3,0)</f>
        <v>PROJETADO</v>
      </c>
      <c r="D127" s="413" t="str">
        <f>VLOOKUP(A127,'BOCA DE LOBO'!$C$82:$Q$270,10,0)</f>
        <v>PROJETADA</v>
      </c>
      <c r="E127" s="413">
        <f t="shared" si="566"/>
        <v>1.7104000000000001</v>
      </c>
      <c r="F127" s="413">
        <f>VLOOKUP(A127,'BOCA DE LOBO'!$C$82:$Q$270,2,0)</f>
        <v>1.81</v>
      </c>
      <c r="G127" s="413">
        <f>VLOOKUP(A127,'BOCA DE LOBO'!$C$82:$Q$270,4,0)</f>
        <v>2.4900000000000002</v>
      </c>
      <c r="H127" s="412">
        <v>400</v>
      </c>
      <c r="I127" s="493">
        <f t="shared" si="567"/>
        <v>1.8902000000000003</v>
      </c>
      <c r="J127" s="493">
        <f t="shared" si="568"/>
        <v>0.23532990000000006</v>
      </c>
      <c r="K127" s="530">
        <v>0</v>
      </c>
      <c r="L127" s="531">
        <f t="shared" si="569"/>
        <v>1</v>
      </c>
      <c r="M127" s="531">
        <f t="shared" si="570"/>
        <v>1</v>
      </c>
      <c r="N127" s="531">
        <f t="shared" si="571"/>
        <v>0</v>
      </c>
      <c r="O127" s="531">
        <f t="shared" si="572"/>
        <v>2.4900000000000002</v>
      </c>
      <c r="P127" s="532" t="str">
        <f>VLOOKUP(B127,'Planilha Hidráulica'!$AG:$AR,12,0)</f>
        <v>ASFALTO</v>
      </c>
      <c r="Q127" s="533" t="s">
        <v>2729</v>
      </c>
      <c r="R127" s="534">
        <v>1</v>
      </c>
      <c r="S127" s="532">
        <f>VLOOKUP(Q127,Quantitativos!P:R,3,0)</f>
        <v>4.2</v>
      </c>
      <c r="T127" s="532">
        <f>VLOOKUP(Q127,Quantitativos!P:S,4,0)</f>
        <v>5</v>
      </c>
      <c r="U127" s="531">
        <f t="shared" si="573"/>
        <v>0.05</v>
      </c>
      <c r="V127" s="535">
        <f t="shared" si="574"/>
        <v>0</v>
      </c>
      <c r="W127" s="535">
        <f t="shared" si="575"/>
        <v>5.7025980000000018</v>
      </c>
      <c r="X127" s="536">
        <f t="shared" si="576"/>
        <v>0</v>
      </c>
      <c r="Y127" s="536">
        <f t="shared" si="577"/>
        <v>2.2902000000000005</v>
      </c>
      <c r="Z127" s="536">
        <f t="shared" si="578"/>
        <v>0</v>
      </c>
      <c r="AA127" s="536">
        <f t="shared" si="579"/>
        <v>1.8902000000000003</v>
      </c>
      <c r="AB127" s="496">
        <f t="shared" si="580"/>
        <v>2.4900000000000002</v>
      </c>
      <c r="AC127" s="251">
        <f t="shared" si="581"/>
        <v>3.7350000000000003</v>
      </c>
      <c r="AD127" s="251">
        <f t="shared" si="582"/>
        <v>1.9675980000000013</v>
      </c>
      <c r="AE127" s="251">
        <f t="shared" si="583"/>
        <v>0</v>
      </c>
      <c r="AF127" s="251">
        <f t="shared" si="584"/>
        <v>0</v>
      </c>
      <c r="AG127" s="251">
        <f t="shared" si="585"/>
        <v>0</v>
      </c>
      <c r="AH127" s="251">
        <f t="shared" si="586"/>
        <v>0</v>
      </c>
      <c r="AI127" s="497" t="str">
        <f t="shared" si="587"/>
        <v>NÃO</v>
      </c>
      <c r="AJ127" s="531">
        <f t="shared" si="588"/>
        <v>0</v>
      </c>
      <c r="AK127" s="531">
        <f t="shared" si="589"/>
        <v>0</v>
      </c>
      <c r="AL127" s="531">
        <f t="shared" si="590"/>
        <v>5.3896953717024587</v>
      </c>
      <c r="AM127" s="493">
        <f t="shared" si="591"/>
        <v>0.12450000000000001</v>
      </c>
      <c r="AN127" s="535">
        <f t="shared" si="592"/>
        <v>0</v>
      </c>
      <c r="AO127" s="531">
        <f t="shared" si="593"/>
        <v>0.99600000000000011</v>
      </c>
      <c r="AP127" s="531">
        <f t="shared" si="594"/>
        <v>0.99600000000000011</v>
      </c>
      <c r="AQ127" s="531">
        <f t="shared" si="595"/>
        <v>0.7</v>
      </c>
      <c r="AR127" s="531">
        <f t="shared" si="596"/>
        <v>1.4300973717024568</v>
      </c>
      <c r="AS127" s="531">
        <f t="shared" si="597"/>
        <v>1.4300973717024568</v>
      </c>
      <c r="AT127" s="531">
        <f t="shared" si="598"/>
        <v>0.3735</v>
      </c>
      <c r="AU127" s="531">
        <f t="shared" si="599"/>
        <v>0.3735</v>
      </c>
      <c r="AV127" s="531">
        <f t="shared" si="600"/>
        <v>7.4700000000000003E-2</v>
      </c>
      <c r="AW127" s="531">
        <f t="shared" si="601"/>
        <v>2.0920980000000013</v>
      </c>
      <c r="AX127" s="531">
        <f t="shared" si="602"/>
        <v>-2.7995973717024567</v>
      </c>
      <c r="AY127" s="531">
        <f t="shared" si="603"/>
        <v>-2.7995973717024567</v>
      </c>
      <c r="AZ127" s="531">
        <f t="shared" si="604"/>
        <v>4.8916953717024576</v>
      </c>
      <c r="BA127" s="531">
        <f t="shared" si="605"/>
        <v>0.98778253003938543</v>
      </c>
      <c r="BB127" s="531">
        <f t="shared" si="606"/>
        <v>3.9039128416630722</v>
      </c>
      <c r="BC127" s="531"/>
      <c r="BD127" s="531">
        <f t="shared" si="607"/>
        <v>5.4780000000000009E-2</v>
      </c>
      <c r="BE127" s="496">
        <f t="shared" si="608"/>
        <v>1.8902000000000003</v>
      </c>
      <c r="BF127" s="498">
        <f t="shared" si="609"/>
        <v>0</v>
      </c>
      <c r="BG127" s="498">
        <f t="shared" si="610"/>
        <v>2.4900000000000002</v>
      </c>
      <c r="BH127" s="532" t="str">
        <f>VLOOKUP(A127,'BOCA DE LOBO'!C:I,7,0)</f>
        <v>BOCA DE LOBO PROJETADA DUPLA</v>
      </c>
      <c r="BI127" s="531">
        <f t="shared" si="611"/>
        <v>0</v>
      </c>
      <c r="BJ127" s="531">
        <f t="shared" si="612"/>
        <v>0</v>
      </c>
      <c r="BK127" s="531">
        <f t="shared" si="613"/>
        <v>0</v>
      </c>
      <c r="BL127" s="531">
        <f t="shared" si="614"/>
        <v>0</v>
      </c>
      <c r="BM127" s="531">
        <f t="shared" si="615"/>
        <v>0</v>
      </c>
      <c r="BN127" s="531">
        <f t="shared" si="616"/>
        <v>1</v>
      </c>
      <c r="BO127" s="499">
        <f t="shared" si="617"/>
        <v>0</v>
      </c>
      <c r="BP127" s="500"/>
      <c r="BQ127" s="496">
        <f t="shared" si="618"/>
        <v>7.4700000000000006</v>
      </c>
      <c r="BR127" s="496">
        <f t="shared" si="619"/>
        <v>4.4331960000000006</v>
      </c>
      <c r="BS127" s="496">
        <f t="shared" si="620"/>
        <v>0</v>
      </c>
      <c r="BT127" s="501"/>
      <c r="BU127" s="501"/>
      <c r="BV127" s="502">
        <f t="shared" si="621"/>
        <v>17.202659039999997</v>
      </c>
      <c r="BW127" s="502">
        <f t="shared" si="622"/>
        <v>7.7825999999999986</v>
      </c>
      <c r="BX127" s="502">
        <f t="shared" si="623"/>
        <v>3.0325999999999995</v>
      </c>
      <c r="BY127" s="502">
        <f t="shared" si="624"/>
        <v>1.7104000000000001</v>
      </c>
      <c r="BZ127" s="502">
        <f t="shared" si="625"/>
        <v>0</v>
      </c>
      <c r="CA127" s="502">
        <f t="shared" si="626"/>
        <v>2.1104000000000003</v>
      </c>
      <c r="CB127" s="502">
        <f t="shared" si="627"/>
        <v>0</v>
      </c>
      <c r="CC127" s="502">
        <f t="shared" si="628"/>
        <v>0</v>
      </c>
      <c r="CD127" s="502">
        <f t="shared" si="629"/>
        <v>0</v>
      </c>
      <c r="CE127" s="502">
        <f t="shared" si="630"/>
        <v>11.673899999999998</v>
      </c>
      <c r="CF127" s="502">
        <f t="shared" si="631"/>
        <v>4.7504990400000011</v>
      </c>
      <c r="CG127" s="502">
        <f t="shared" si="632"/>
        <v>0.77825999999999951</v>
      </c>
      <c r="CH127" s="502">
        <f t="shared" si="633"/>
        <v>0</v>
      </c>
      <c r="CI127" s="531">
        <f t="shared" si="634"/>
        <v>0.53549999999999998</v>
      </c>
      <c r="CJ127" s="502">
        <f t="shared" si="635"/>
        <v>9.4888999999999992</v>
      </c>
      <c r="CK127" s="502">
        <f t="shared" si="636"/>
        <v>9.4888999999999992</v>
      </c>
      <c r="CL127" s="502">
        <f t="shared" si="637"/>
        <v>0</v>
      </c>
      <c r="CM127" s="502">
        <f t="shared" si="638"/>
        <v>0.15565199999999998</v>
      </c>
      <c r="CN127" s="502">
        <f t="shared" si="639"/>
        <v>3.57</v>
      </c>
      <c r="CO127" s="502">
        <f t="shared" si="640"/>
        <v>2.2103999999999999</v>
      </c>
      <c r="CP127" s="502">
        <f t="shared" si="641"/>
        <v>10.709999999999999</v>
      </c>
      <c r="CQ127" s="502">
        <f t="shared" si="642"/>
        <v>5.0722559999999994</v>
      </c>
      <c r="CR127" s="220">
        <f t="shared" si="643"/>
        <v>0</v>
      </c>
      <c r="CS127" s="503">
        <f t="shared" si="644"/>
        <v>0</v>
      </c>
      <c r="CT127" s="503">
        <f t="shared" si="645"/>
        <v>0.33012999999999998</v>
      </c>
      <c r="CU127" s="504">
        <f t="shared" si="646"/>
        <v>8.8940800000000007</v>
      </c>
      <c r="CV127" s="504">
        <f t="shared" si="647"/>
        <v>1.1973324000000001</v>
      </c>
      <c r="CW127" s="502">
        <f t="shared" si="648"/>
        <v>17.184072</v>
      </c>
      <c r="CX127" s="531">
        <f t="shared" si="649"/>
        <v>3.57</v>
      </c>
      <c r="CY127" s="537">
        <f t="shared" si="650"/>
        <v>1.7849999999999999</v>
      </c>
      <c r="CZ127" s="502">
        <f t="shared" si="651"/>
        <v>0</v>
      </c>
    </row>
    <row r="128" spans="1:104" ht="25" x14ac:dyDescent="0.25">
      <c r="A128" s="413" t="str">
        <f>'BOCA DE LOBO'!C122</f>
        <v>BL39-&gt;PV8.1</v>
      </c>
      <c r="B128" s="413" t="str">
        <f>'BOCA DE LOBO'!A122</f>
        <v>PV8.1</v>
      </c>
      <c r="C128" s="413" t="str">
        <f>VLOOKUP(A128,'BOCA DE LOBO'!$C$82:$Q$270,3,0)</f>
        <v>PROJETADO</v>
      </c>
      <c r="D128" s="413" t="str">
        <f>VLOOKUP(A128,'BOCA DE LOBO'!$C$82:$Q$270,10,0)</f>
        <v>PROJETADA</v>
      </c>
      <c r="E128" s="413">
        <f t="shared" si="566"/>
        <v>1.7112000000000001</v>
      </c>
      <c r="F128" s="413">
        <f>VLOOKUP(A128,'BOCA DE LOBO'!$C$82:$Q$270,2,0)</f>
        <v>1.81</v>
      </c>
      <c r="G128" s="413">
        <f>VLOOKUP(A128,'BOCA DE LOBO'!$C$82:$Q$270,4,0)</f>
        <v>2.4700000000000002</v>
      </c>
      <c r="H128" s="412">
        <v>400</v>
      </c>
      <c r="I128" s="493">
        <f t="shared" si="567"/>
        <v>1.8906000000000003</v>
      </c>
      <c r="J128" s="493">
        <f t="shared" si="568"/>
        <v>0.23348910000000006</v>
      </c>
      <c r="K128" s="530">
        <v>0</v>
      </c>
      <c r="L128" s="531">
        <f t="shared" si="569"/>
        <v>1</v>
      </c>
      <c r="M128" s="531">
        <f t="shared" si="570"/>
        <v>1</v>
      </c>
      <c r="N128" s="531">
        <f t="shared" si="571"/>
        <v>0</v>
      </c>
      <c r="O128" s="531">
        <f t="shared" si="572"/>
        <v>2.4700000000000002</v>
      </c>
      <c r="P128" s="532" t="s">
        <v>2392</v>
      </c>
      <c r="Q128" s="533" t="s">
        <v>2729</v>
      </c>
      <c r="R128" s="534">
        <v>1</v>
      </c>
      <c r="S128" s="532">
        <f>VLOOKUP(Q128,Quantitativos!P:R,3,0)</f>
        <v>4.2</v>
      </c>
      <c r="T128" s="532">
        <f>VLOOKUP(Q128,Quantitativos!P:S,4,0)</f>
        <v>5</v>
      </c>
      <c r="U128" s="531">
        <f t="shared" si="573"/>
        <v>0.05</v>
      </c>
      <c r="V128" s="535">
        <f t="shared" si="574"/>
        <v>0</v>
      </c>
      <c r="W128" s="535">
        <f t="shared" si="575"/>
        <v>5.6577820000000019</v>
      </c>
      <c r="X128" s="536">
        <f t="shared" si="576"/>
        <v>0</v>
      </c>
      <c r="Y128" s="536">
        <f t="shared" si="577"/>
        <v>2.2906000000000004</v>
      </c>
      <c r="Z128" s="536">
        <f t="shared" si="578"/>
        <v>0</v>
      </c>
      <c r="AA128" s="536">
        <f t="shared" si="579"/>
        <v>1.8906000000000003</v>
      </c>
      <c r="AB128" s="496">
        <f t="shared" si="580"/>
        <v>2.4700000000000002</v>
      </c>
      <c r="AC128" s="251">
        <f t="shared" si="581"/>
        <v>3.7050000000000001</v>
      </c>
      <c r="AD128" s="251">
        <f t="shared" si="582"/>
        <v>1.9527820000000011</v>
      </c>
      <c r="AE128" s="251">
        <f t="shared" si="583"/>
        <v>0</v>
      </c>
      <c r="AF128" s="251">
        <f t="shared" si="584"/>
        <v>0</v>
      </c>
      <c r="AG128" s="251">
        <f t="shared" si="585"/>
        <v>0</v>
      </c>
      <c r="AH128" s="251">
        <f t="shared" si="586"/>
        <v>0</v>
      </c>
      <c r="AI128" s="497" t="str">
        <f t="shared" si="587"/>
        <v>NÃO</v>
      </c>
      <c r="AJ128" s="531">
        <f t="shared" si="588"/>
        <v>0</v>
      </c>
      <c r="AK128" s="531">
        <f t="shared" si="589"/>
        <v>0</v>
      </c>
      <c r="AL128" s="531">
        <f t="shared" si="590"/>
        <v>5.3473926458253302</v>
      </c>
      <c r="AM128" s="493">
        <f t="shared" si="591"/>
        <v>0.12350000000000001</v>
      </c>
      <c r="AN128" s="535">
        <f t="shared" si="592"/>
        <v>0</v>
      </c>
      <c r="AO128" s="531">
        <f t="shared" si="593"/>
        <v>0.9880000000000001</v>
      </c>
      <c r="AP128" s="531">
        <f t="shared" si="594"/>
        <v>0.9880000000000001</v>
      </c>
      <c r="AQ128" s="531">
        <f t="shared" si="595"/>
        <v>0.7</v>
      </c>
      <c r="AR128" s="531">
        <f t="shared" si="596"/>
        <v>1.4186106458253285</v>
      </c>
      <c r="AS128" s="531">
        <f t="shared" si="597"/>
        <v>1.4186106458253285</v>
      </c>
      <c r="AT128" s="531">
        <f t="shared" si="598"/>
        <v>0.3705</v>
      </c>
      <c r="AU128" s="531">
        <f t="shared" si="599"/>
        <v>0.3705</v>
      </c>
      <c r="AV128" s="531">
        <f t="shared" si="600"/>
        <v>7.4099999999999999E-2</v>
      </c>
      <c r="AW128" s="531">
        <f t="shared" si="601"/>
        <v>2.0762820000000017</v>
      </c>
      <c r="AX128" s="531">
        <f t="shared" si="602"/>
        <v>-2.7771106458253287</v>
      </c>
      <c r="AY128" s="531">
        <f t="shared" si="603"/>
        <v>-2.7771106458253287</v>
      </c>
      <c r="AZ128" s="531">
        <f t="shared" si="604"/>
        <v>4.8533926458253305</v>
      </c>
      <c r="BA128" s="531">
        <f t="shared" si="605"/>
        <v>0.98004804115580113</v>
      </c>
      <c r="BB128" s="531">
        <f t="shared" si="606"/>
        <v>3.8733446046695295</v>
      </c>
      <c r="BC128" s="531"/>
      <c r="BD128" s="531">
        <f t="shared" si="607"/>
        <v>5.4339999999999999E-2</v>
      </c>
      <c r="BE128" s="496">
        <f t="shared" si="608"/>
        <v>1.8906000000000003</v>
      </c>
      <c r="BF128" s="498">
        <f t="shared" si="609"/>
        <v>0</v>
      </c>
      <c r="BG128" s="498">
        <f t="shared" si="610"/>
        <v>2.4700000000000002</v>
      </c>
      <c r="BH128" s="532" t="str">
        <f>VLOOKUP(A128,'BOCA DE LOBO'!C:I,7,0)</f>
        <v>BOCA DE LOBO PROJETADA DUPLA</v>
      </c>
      <c r="BI128" s="531">
        <f t="shared" si="611"/>
        <v>0</v>
      </c>
      <c r="BJ128" s="531">
        <f t="shared" si="612"/>
        <v>0</v>
      </c>
      <c r="BK128" s="531">
        <f t="shared" si="613"/>
        <v>0</v>
      </c>
      <c r="BL128" s="531">
        <f t="shared" si="614"/>
        <v>0</v>
      </c>
      <c r="BM128" s="531">
        <f t="shared" si="615"/>
        <v>0</v>
      </c>
      <c r="BN128" s="531">
        <f t="shared" si="616"/>
        <v>1</v>
      </c>
      <c r="BO128" s="499">
        <f t="shared" si="617"/>
        <v>0</v>
      </c>
      <c r="BP128" s="500"/>
      <c r="BQ128" s="496">
        <f t="shared" si="618"/>
        <v>7.41</v>
      </c>
      <c r="BR128" s="496">
        <f t="shared" si="619"/>
        <v>4.3995640000000007</v>
      </c>
      <c r="BS128" s="496">
        <f t="shared" si="620"/>
        <v>0</v>
      </c>
      <c r="BT128" s="501"/>
      <c r="BU128" s="501"/>
      <c r="BV128" s="502">
        <f t="shared" si="621"/>
        <v>17.208885119999994</v>
      </c>
      <c r="BW128" s="502">
        <f t="shared" si="622"/>
        <v>7.7825999999999986</v>
      </c>
      <c r="BX128" s="502">
        <f t="shared" si="623"/>
        <v>3.0325999999999995</v>
      </c>
      <c r="BY128" s="502">
        <f t="shared" si="624"/>
        <v>1.7112000000000001</v>
      </c>
      <c r="BZ128" s="502">
        <f t="shared" si="625"/>
        <v>0</v>
      </c>
      <c r="CA128" s="502">
        <f t="shared" si="626"/>
        <v>2.1112000000000002</v>
      </c>
      <c r="CB128" s="502">
        <f t="shared" si="627"/>
        <v>0</v>
      </c>
      <c r="CC128" s="502">
        <f t="shared" si="628"/>
        <v>0</v>
      </c>
      <c r="CD128" s="502">
        <f t="shared" si="629"/>
        <v>0</v>
      </c>
      <c r="CE128" s="502">
        <f t="shared" si="630"/>
        <v>11.673899999999998</v>
      </c>
      <c r="CF128" s="502">
        <f t="shared" si="631"/>
        <v>4.7567251200000005</v>
      </c>
      <c r="CG128" s="502">
        <f t="shared" si="632"/>
        <v>0.77825999999999596</v>
      </c>
      <c r="CH128" s="502">
        <f t="shared" si="633"/>
        <v>0</v>
      </c>
      <c r="CI128" s="531">
        <f t="shared" si="634"/>
        <v>0.53549999999999998</v>
      </c>
      <c r="CJ128" s="502">
        <f t="shared" si="635"/>
        <v>9.4926999999999975</v>
      </c>
      <c r="CK128" s="502">
        <f t="shared" si="636"/>
        <v>9.4926999999999975</v>
      </c>
      <c r="CL128" s="502">
        <f t="shared" si="637"/>
        <v>0</v>
      </c>
      <c r="CM128" s="502">
        <f t="shared" si="638"/>
        <v>0.15565199999999998</v>
      </c>
      <c r="CN128" s="502">
        <f t="shared" si="639"/>
        <v>3.57</v>
      </c>
      <c r="CO128" s="502">
        <f t="shared" si="640"/>
        <v>2.2111999999999998</v>
      </c>
      <c r="CP128" s="502">
        <f t="shared" si="641"/>
        <v>10.709999999999999</v>
      </c>
      <c r="CQ128" s="502">
        <f t="shared" si="642"/>
        <v>5.0779679999999985</v>
      </c>
      <c r="CR128" s="220">
        <f t="shared" si="643"/>
        <v>0</v>
      </c>
      <c r="CS128" s="503">
        <f t="shared" si="644"/>
        <v>0</v>
      </c>
      <c r="CT128" s="503">
        <f t="shared" si="645"/>
        <v>0.33012999999999998</v>
      </c>
      <c r="CU128" s="504">
        <f t="shared" si="646"/>
        <v>8.8982400000000013</v>
      </c>
      <c r="CV128" s="504">
        <f t="shared" si="647"/>
        <v>1.1975772</v>
      </c>
      <c r="CW128" s="502">
        <f t="shared" si="648"/>
        <v>17.190215999999999</v>
      </c>
      <c r="CX128" s="531">
        <f t="shared" si="649"/>
        <v>3.57</v>
      </c>
      <c r="CY128" s="537">
        <f t="shared" si="650"/>
        <v>1.7849999999999999</v>
      </c>
      <c r="CZ128" s="502">
        <f t="shared" si="651"/>
        <v>0</v>
      </c>
    </row>
    <row r="129" spans="1:104" ht="25" x14ac:dyDescent="0.25">
      <c r="A129" s="413" t="str">
        <f>'BOCA DE LOBO'!C123</f>
        <v>BL40-&gt;PV9.1</v>
      </c>
      <c r="B129" s="413" t="str">
        <f>'BOCA DE LOBO'!A123</f>
        <v>PV9.1</v>
      </c>
      <c r="C129" s="413" t="str">
        <f>VLOOKUP(A129,'BOCA DE LOBO'!$C$82:$Q$270,3,0)</f>
        <v>PROJETADO</v>
      </c>
      <c r="D129" s="413" t="str">
        <f>VLOOKUP(A129,'BOCA DE LOBO'!$C$82:$Q$270,10,0)</f>
        <v>PROJETADA</v>
      </c>
      <c r="E129" s="413">
        <f t="shared" si="566"/>
        <v>1.7008000000000001</v>
      </c>
      <c r="F129" s="413">
        <f>VLOOKUP(A129,'BOCA DE LOBO'!$C$82:$Q$270,2,0)</f>
        <v>1.81</v>
      </c>
      <c r="G129" s="413">
        <f>VLOOKUP(A129,'BOCA DE LOBO'!$C$82:$Q$270,4,0)</f>
        <v>2.73</v>
      </c>
      <c r="H129" s="412">
        <v>400</v>
      </c>
      <c r="I129" s="493">
        <f t="shared" si="567"/>
        <v>1.8854000000000002</v>
      </c>
      <c r="J129" s="493">
        <f t="shared" si="568"/>
        <v>0.25735710000000001</v>
      </c>
      <c r="K129" s="530">
        <v>0</v>
      </c>
      <c r="L129" s="531">
        <f t="shared" si="569"/>
        <v>1</v>
      </c>
      <c r="M129" s="531">
        <f t="shared" si="570"/>
        <v>1</v>
      </c>
      <c r="N129" s="531">
        <f t="shared" si="571"/>
        <v>0</v>
      </c>
      <c r="O129" s="531">
        <f t="shared" si="572"/>
        <v>2.73</v>
      </c>
      <c r="P129" s="532" t="s">
        <v>2392</v>
      </c>
      <c r="Q129" s="533" t="s">
        <v>2729</v>
      </c>
      <c r="R129" s="534">
        <v>1</v>
      </c>
      <c r="S129" s="532">
        <f>VLOOKUP(Q129,Quantitativos!P:R,3,0)</f>
        <v>4.2</v>
      </c>
      <c r="T129" s="532">
        <f>VLOOKUP(Q129,Quantitativos!P:S,4,0)</f>
        <v>5</v>
      </c>
      <c r="U129" s="531">
        <f t="shared" si="573"/>
        <v>0.05</v>
      </c>
      <c r="V129" s="535">
        <f t="shared" si="574"/>
        <v>0</v>
      </c>
      <c r="W129" s="535">
        <f t="shared" si="575"/>
        <v>6.2391420000000011</v>
      </c>
      <c r="X129" s="536">
        <f t="shared" si="576"/>
        <v>0</v>
      </c>
      <c r="Y129" s="536">
        <f t="shared" si="577"/>
        <v>2.2854000000000001</v>
      </c>
      <c r="Z129" s="536">
        <f t="shared" si="578"/>
        <v>0</v>
      </c>
      <c r="AA129" s="536">
        <f t="shared" si="579"/>
        <v>1.8854000000000002</v>
      </c>
      <c r="AB129" s="496">
        <f t="shared" si="580"/>
        <v>2.73</v>
      </c>
      <c r="AC129" s="251">
        <f t="shared" si="581"/>
        <v>4.0949999999999998</v>
      </c>
      <c r="AD129" s="251">
        <f t="shared" si="582"/>
        <v>2.1441420000000004</v>
      </c>
      <c r="AE129" s="251">
        <f t="shared" si="583"/>
        <v>0</v>
      </c>
      <c r="AF129" s="251">
        <f t="shared" si="584"/>
        <v>0</v>
      </c>
      <c r="AG129" s="251">
        <f t="shared" si="585"/>
        <v>0</v>
      </c>
      <c r="AH129" s="251">
        <f t="shared" si="586"/>
        <v>0</v>
      </c>
      <c r="AI129" s="497" t="str">
        <f t="shared" si="587"/>
        <v>NÃO</v>
      </c>
      <c r="AJ129" s="531">
        <f t="shared" si="588"/>
        <v>0</v>
      </c>
      <c r="AK129" s="531">
        <f t="shared" si="589"/>
        <v>0</v>
      </c>
      <c r="AL129" s="531">
        <f t="shared" si="590"/>
        <v>5.8960800822279946</v>
      </c>
      <c r="AM129" s="493">
        <f t="shared" si="591"/>
        <v>0.13650000000000001</v>
      </c>
      <c r="AN129" s="535">
        <f t="shared" si="592"/>
        <v>0</v>
      </c>
      <c r="AO129" s="531">
        <f t="shared" si="593"/>
        <v>1.0920000000000001</v>
      </c>
      <c r="AP129" s="531">
        <f t="shared" si="594"/>
        <v>1.0920000000000001</v>
      </c>
      <c r="AQ129" s="531">
        <f t="shared" si="595"/>
        <v>0.7</v>
      </c>
      <c r="AR129" s="531">
        <f t="shared" si="596"/>
        <v>1.5679380822279945</v>
      </c>
      <c r="AS129" s="531">
        <f t="shared" si="597"/>
        <v>1.5679380822279945</v>
      </c>
      <c r="AT129" s="531">
        <f t="shared" si="598"/>
        <v>0.40949999999999998</v>
      </c>
      <c r="AU129" s="531">
        <f t="shared" si="599"/>
        <v>0.40949999999999998</v>
      </c>
      <c r="AV129" s="531">
        <f t="shared" si="600"/>
        <v>8.1900000000000001E-2</v>
      </c>
      <c r="AW129" s="531">
        <f t="shared" si="601"/>
        <v>2.2806420000000003</v>
      </c>
      <c r="AX129" s="531">
        <f t="shared" si="602"/>
        <v>-3.0694380822279945</v>
      </c>
      <c r="AY129" s="531">
        <f t="shared" si="603"/>
        <v>-3.0694380822279945</v>
      </c>
      <c r="AZ129" s="531">
        <f t="shared" si="604"/>
        <v>5.3500800822279952</v>
      </c>
      <c r="BA129" s="531">
        <f t="shared" si="605"/>
        <v>1.0803443873687604</v>
      </c>
      <c r="BB129" s="531">
        <f t="shared" si="606"/>
        <v>4.2697356948592349</v>
      </c>
      <c r="BC129" s="531"/>
      <c r="BD129" s="531">
        <f t="shared" si="607"/>
        <v>6.0060000000000002E-2</v>
      </c>
      <c r="BE129" s="496">
        <f t="shared" si="608"/>
        <v>1.8854000000000002</v>
      </c>
      <c r="BF129" s="498">
        <f t="shared" si="609"/>
        <v>0</v>
      </c>
      <c r="BG129" s="498">
        <f t="shared" si="610"/>
        <v>2.73</v>
      </c>
      <c r="BH129" s="532" t="str">
        <f>VLOOKUP(A129,'BOCA DE LOBO'!C:I,7,0)</f>
        <v>BOCA DE LOBO PROJETADA DUPLA</v>
      </c>
      <c r="BI129" s="531">
        <f t="shared" si="611"/>
        <v>0</v>
      </c>
      <c r="BJ129" s="531">
        <f t="shared" si="612"/>
        <v>0</v>
      </c>
      <c r="BK129" s="531">
        <f t="shared" si="613"/>
        <v>0</v>
      </c>
      <c r="BL129" s="531">
        <f t="shared" si="614"/>
        <v>0</v>
      </c>
      <c r="BM129" s="531">
        <f t="shared" si="615"/>
        <v>0</v>
      </c>
      <c r="BN129" s="531">
        <f t="shared" si="616"/>
        <v>1</v>
      </c>
      <c r="BO129" s="499">
        <f t="shared" si="617"/>
        <v>0</v>
      </c>
      <c r="BP129" s="500"/>
      <c r="BQ129" s="496">
        <f t="shared" si="618"/>
        <v>8.19</v>
      </c>
      <c r="BR129" s="496">
        <f t="shared" si="619"/>
        <v>4.8342840000000011</v>
      </c>
      <c r="BS129" s="496">
        <f t="shared" si="620"/>
        <v>0</v>
      </c>
      <c r="BT129" s="501"/>
      <c r="BU129" s="501"/>
      <c r="BV129" s="502">
        <f t="shared" si="621"/>
        <v>17.127946079999997</v>
      </c>
      <c r="BW129" s="502">
        <f t="shared" si="622"/>
        <v>7.7825999999999986</v>
      </c>
      <c r="BX129" s="502">
        <f t="shared" si="623"/>
        <v>3.0325999999999995</v>
      </c>
      <c r="BY129" s="502">
        <f t="shared" si="624"/>
        <v>1.7008000000000001</v>
      </c>
      <c r="BZ129" s="502">
        <f t="shared" si="625"/>
        <v>0</v>
      </c>
      <c r="CA129" s="502">
        <f t="shared" si="626"/>
        <v>2.1008</v>
      </c>
      <c r="CB129" s="502">
        <f t="shared" si="627"/>
        <v>0</v>
      </c>
      <c r="CC129" s="502">
        <f t="shared" si="628"/>
        <v>0</v>
      </c>
      <c r="CD129" s="502">
        <f t="shared" si="629"/>
        <v>0</v>
      </c>
      <c r="CE129" s="502">
        <f t="shared" si="630"/>
        <v>11.673899999999998</v>
      </c>
      <c r="CF129" s="502">
        <f t="shared" si="631"/>
        <v>4.6757860799999991</v>
      </c>
      <c r="CG129" s="502">
        <f t="shared" si="632"/>
        <v>0.77825999999999951</v>
      </c>
      <c r="CH129" s="502">
        <f t="shared" si="633"/>
        <v>0</v>
      </c>
      <c r="CI129" s="531">
        <f t="shared" si="634"/>
        <v>0.53549999999999998</v>
      </c>
      <c r="CJ129" s="502">
        <f t="shared" si="635"/>
        <v>9.4432999999999971</v>
      </c>
      <c r="CK129" s="502">
        <f t="shared" si="636"/>
        <v>9.4432999999999971</v>
      </c>
      <c r="CL129" s="502">
        <f t="shared" si="637"/>
        <v>0</v>
      </c>
      <c r="CM129" s="502">
        <f t="shared" si="638"/>
        <v>0.15565199999999998</v>
      </c>
      <c r="CN129" s="502">
        <f t="shared" si="639"/>
        <v>3.57</v>
      </c>
      <c r="CO129" s="502">
        <f t="shared" si="640"/>
        <v>2.2008000000000001</v>
      </c>
      <c r="CP129" s="502">
        <f t="shared" si="641"/>
        <v>10.709999999999999</v>
      </c>
      <c r="CQ129" s="502">
        <f t="shared" si="642"/>
        <v>5.0037120000000002</v>
      </c>
      <c r="CR129" s="220">
        <f t="shared" si="643"/>
        <v>0</v>
      </c>
      <c r="CS129" s="503">
        <f t="shared" si="644"/>
        <v>0</v>
      </c>
      <c r="CT129" s="503">
        <f t="shared" si="645"/>
        <v>0.33012999999999998</v>
      </c>
      <c r="CU129" s="504">
        <f t="shared" si="646"/>
        <v>8.8441600000000005</v>
      </c>
      <c r="CV129" s="504">
        <f t="shared" si="647"/>
        <v>1.1943948</v>
      </c>
      <c r="CW129" s="502">
        <f t="shared" si="648"/>
        <v>17.110344000000001</v>
      </c>
      <c r="CX129" s="531">
        <f t="shared" si="649"/>
        <v>3.57</v>
      </c>
      <c r="CY129" s="537">
        <f t="shared" si="650"/>
        <v>1.7849999999999999</v>
      </c>
      <c r="CZ129" s="502">
        <f t="shared" si="651"/>
        <v>0</v>
      </c>
    </row>
    <row r="130" spans="1:104" ht="25" x14ac:dyDescent="0.25">
      <c r="A130" s="413" t="str">
        <f>'BOCA DE LOBO'!C124</f>
        <v>BL41-&gt;PV10.1</v>
      </c>
      <c r="B130" s="413" t="str">
        <f>'BOCA DE LOBO'!A124</f>
        <v>PV10.1</v>
      </c>
      <c r="C130" s="413" t="str">
        <f>VLOOKUP(A130,'BOCA DE LOBO'!$C$82:$Q$270,3,0)</f>
        <v>PROJETADO</v>
      </c>
      <c r="D130" s="413" t="str">
        <f>VLOOKUP(A130,'BOCA DE LOBO'!$C$82:$Q$270,10,0)</f>
        <v>PROJETADA</v>
      </c>
      <c r="E130" s="413">
        <f t="shared" si="566"/>
        <v>1.7704</v>
      </c>
      <c r="F130" s="413">
        <f>VLOOKUP(A130,'BOCA DE LOBO'!$C$82:$Q$270,2,0)</f>
        <v>1.81</v>
      </c>
      <c r="G130" s="413">
        <f>VLOOKUP(A130,'BOCA DE LOBO'!$C$82:$Q$270,4,0)</f>
        <v>0.99</v>
      </c>
      <c r="H130" s="412">
        <v>400</v>
      </c>
      <c r="I130" s="493">
        <f t="shared" si="567"/>
        <v>1.9202000000000001</v>
      </c>
      <c r="J130" s="493">
        <f t="shared" si="568"/>
        <v>9.5049900000000007E-2</v>
      </c>
      <c r="K130" s="530">
        <v>0</v>
      </c>
      <c r="L130" s="531">
        <f t="shared" si="569"/>
        <v>1</v>
      </c>
      <c r="M130" s="531">
        <f t="shared" si="570"/>
        <v>1</v>
      </c>
      <c r="N130" s="531">
        <f t="shared" si="571"/>
        <v>0</v>
      </c>
      <c r="O130" s="531">
        <f t="shared" si="572"/>
        <v>0.99</v>
      </c>
      <c r="P130" s="532" t="s">
        <v>2392</v>
      </c>
      <c r="Q130" s="533" t="s">
        <v>2729</v>
      </c>
      <c r="R130" s="534">
        <v>1</v>
      </c>
      <c r="S130" s="532">
        <f>VLOOKUP(Q130,Quantitativos!P:R,3,0)</f>
        <v>4.2</v>
      </c>
      <c r="T130" s="532">
        <f>VLOOKUP(Q130,Quantitativos!P:S,4,0)</f>
        <v>5</v>
      </c>
      <c r="U130" s="531">
        <f t="shared" si="573"/>
        <v>0.05</v>
      </c>
      <c r="V130" s="535">
        <f t="shared" si="574"/>
        <v>0</v>
      </c>
      <c r="W130" s="535">
        <f t="shared" si="575"/>
        <v>2.2969980000000003</v>
      </c>
      <c r="X130" s="536">
        <f t="shared" si="576"/>
        <v>0</v>
      </c>
      <c r="Y130" s="536">
        <f t="shared" si="577"/>
        <v>2.3202000000000003</v>
      </c>
      <c r="Z130" s="536">
        <f t="shared" si="578"/>
        <v>0</v>
      </c>
      <c r="AA130" s="536">
        <f t="shared" si="579"/>
        <v>1.9202000000000001</v>
      </c>
      <c r="AB130" s="496">
        <f t="shared" si="580"/>
        <v>0.99</v>
      </c>
      <c r="AC130" s="251">
        <f t="shared" si="581"/>
        <v>1.4849999999999999</v>
      </c>
      <c r="AD130" s="251">
        <f t="shared" si="582"/>
        <v>0.81199800000000022</v>
      </c>
      <c r="AE130" s="251">
        <f t="shared" si="583"/>
        <v>0</v>
      </c>
      <c r="AF130" s="251">
        <f t="shared" si="584"/>
        <v>0</v>
      </c>
      <c r="AG130" s="251">
        <f t="shared" si="585"/>
        <v>0</v>
      </c>
      <c r="AH130" s="251">
        <f t="shared" si="586"/>
        <v>0</v>
      </c>
      <c r="AI130" s="497" t="str">
        <f t="shared" si="587"/>
        <v>NÃO</v>
      </c>
      <c r="AJ130" s="531">
        <f t="shared" si="588"/>
        <v>0</v>
      </c>
      <c r="AK130" s="531">
        <f t="shared" si="589"/>
        <v>0</v>
      </c>
      <c r="AL130" s="531">
        <f t="shared" si="590"/>
        <v>2.1725909309178442</v>
      </c>
      <c r="AM130" s="493">
        <f t="shared" si="591"/>
        <v>4.9500000000000002E-2</v>
      </c>
      <c r="AN130" s="535">
        <f t="shared" si="592"/>
        <v>0</v>
      </c>
      <c r="AO130" s="531">
        <f t="shared" si="593"/>
        <v>0.39600000000000002</v>
      </c>
      <c r="AP130" s="531">
        <f t="shared" si="594"/>
        <v>0.39600000000000002</v>
      </c>
      <c r="AQ130" s="531">
        <f t="shared" si="595"/>
        <v>0.7</v>
      </c>
      <c r="AR130" s="531">
        <f t="shared" si="596"/>
        <v>0.56859293091784413</v>
      </c>
      <c r="AS130" s="531">
        <f t="shared" si="597"/>
        <v>0.56859293091784413</v>
      </c>
      <c r="AT130" s="531">
        <f t="shared" si="598"/>
        <v>0.14849999999999999</v>
      </c>
      <c r="AU130" s="531">
        <f t="shared" si="599"/>
        <v>0.14849999999999999</v>
      </c>
      <c r="AV130" s="531">
        <f t="shared" si="600"/>
        <v>2.9699999999999997E-2</v>
      </c>
      <c r="AW130" s="531">
        <f t="shared" si="601"/>
        <v>0.86149799999999987</v>
      </c>
      <c r="AX130" s="531">
        <f t="shared" si="602"/>
        <v>-1.1130929309178441</v>
      </c>
      <c r="AY130" s="531">
        <f t="shared" si="603"/>
        <v>-1.1130929309178441</v>
      </c>
      <c r="AZ130" s="531">
        <f t="shared" si="604"/>
        <v>1.974590930917844</v>
      </c>
      <c r="BA130" s="531">
        <f t="shared" si="605"/>
        <v>0.39873014922759431</v>
      </c>
      <c r="BB130" s="531">
        <f t="shared" si="606"/>
        <v>1.5758607816902497</v>
      </c>
      <c r="BC130" s="531"/>
      <c r="BD130" s="531">
        <f t="shared" si="607"/>
        <v>2.1780000000000001E-2</v>
      </c>
      <c r="BE130" s="496">
        <f t="shared" si="608"/>
        <v>1.9202000000000001</v>
      </c>
      <c r="BF130" s="498">
        <f t="shared" si="609"/>
        <v>0</v>
      </c>
      <c r="BG130" s="498">
        <f t="shared" si="610"/>
        <v>0.99</v>
      </c>
      <c r="BH130" s="532" t="str">
        <f>VLOOKUP(A130,'BOCA DE LOBO'!C:I,7,0)</f>
        <v>BOCA DE LOBO PROJETADA DUPLA</v>
      </c>
      <c r="BI130" s="531">
        <f t="shared" si="611"/>
        <v>0</v>
      </c>
      <c r="BJ130" s="531">
        <f t="shared" si="612"/>
        <v>0</v>
      </c>
      <c r="BK130" s="531">
        <f t="shared" si="613"/>
        <v>0</v>
      </c>
      <c r="BL130" s="531">
        <f t="shared" si="614"/>
        <v>0</v>
      </c>
      <c r="BM130" s="531">
        <f t="shared" si="615"/>
        <v>0</v>
      </c>
      <c r="BN130" s="531">
        <f t="shared" si="616"/>
        <v>1</v>
      </c>
      <c r="BO130" s="499">
        <f t="shared" si="617"/>
        <v>0</v>
      </c>
      <c r="BP130" s="500"/>
      <c r="BQ130" s="496">
        <f t="shared" si="618"/>
        <v>2.9699999999999998</v>
      </c>
      <c r="BR130" s="496">
        <f t="shared" si="619"/>
        <v>1.8219960000000006</v>
      </c>
      <c r="BS130" s="496">
        <f t="shared" si="620"/>
        <v>0</v>
      </c>
      <c r="BT130" s="501"/>
      <c r="BU130" s="501"/>
      <c r="BV130" s="502">
        <f t="shared" si="621"/>
        <v>17.669615039999996</v>
      </c>
      <c r="BW130" s="502">
        <f t="shared" si="622"/>
        <v>7.7825999999999986</v>
      </c>
      <c r="BX130" s="502">
        <f t="shared" si="623"/>
        <v>3.0325999999999995</v>
      </c>
      <c r="BY130" s="502">
        <f t="shared" si="624"/>
        <v>1.7704</v>
      </c>
      <c r="BZ130" s="502">
        <f t="shared" si="625"/>
        <v>0</v>
      </c>
      <c r="CA130" s="502">
        <f t="shared" si="626"/>
        <v>2.1703999999999999</v>
      </c>
      <c r="CB130" s="502">
        <f t="shared" si="627"/>
        <v>0</v>
      </c>
      <c r="CC130" s="502">
        <f t="shared" si="628"/>
        <v>0</v>
      </c>
      <c r="CD130" s="502">
        <f t="shared" si="629"/>
        <v>0</v>
      </c>
      <c r="CE130" s="502">
        <f t="shared" si="630"/>
        <v>11.673899999999998</v>
      </c>
      <c r="CF130" s="502">
        <f t="shared" si="631"/>
        <v>5.2174550399999982</v>
      </c>
      <c r="CG130" s="502">
        <f t="shared" si="632"/>
        <v>0.77825999999999951</v>
      </c>
      <c r="CH130" s="502">
        <f t="shared" si="633"/>
        <v>0</v>
      </c>
      <c r="CI130" s="531">
        <f t="shared" si="634"/>
        <v>0.53549999999999998</v>
      </c>
      <c r="CJ130" s="502">
        <f t="shared" si="635"/>
        <v>9.7738999999999976</v>
      </c>
      <c r="CK130" s="502">
        <f t="shared" si="636"/>
        <v>9.7738999999999976</v>
      </c>
      <c r="CL130" s="502">
        <f t="shared" si="637"/>
        <v>0</v>
      </c>
      <c r="CM130" s="502">
        <f t="shared" si="638"/>
        <v>0.15565199999999998</v>
      </c>
      <c r="CN130" s="502">
        <f t="shared" si="639"/>
        <v>3.57</v>
      </c>
      <c r="CO130" s="502">
        <f t="shared" si="640"/>
        <v>2.2704</v>
      </c>
      <c r="CP130" s="502">
        <f t="shared" si="641"/>
        <v>10.709999999999999</v>
      </c>
      <c r="CQ130" s="502">
        <f t="shared" si="642"/>
        <v>5.5006559999999993</v>
      </c>
      <c r="CR130" s="220">
        <f t="shared" si="643"/>
        <v>0</v>
      </c>
      <c r="CS130" s="503">
        <f t="shared" si="644"/>
        <v>0</v>
      </c>
      <c r="CT130" s="503">
        <f t="shared" si="645"/>
        <v>0.33012999999999998</v>
      </c>
      <c r="CU130" s="504">
        <f t="shared" si="646"/>
        <v>9.20608</v>
      </c>
      <c r="CV130" s="504">
        <f t="shared" si="647"/>
        <v>1.2156923999999998</v>
      </c>
      <c r="CW130" s="502">
        <f t="shared" si="648"/>
        <v>17.644871999999996</v>
      </c>
      <c r="CX130" s="531">
        <f t="shared" si="649"/>
        <v>3.57</v>
      </c>
      <c r="CY130" s="537">
        <f t="shared" si="650"/>
        <v>1.7849999999999999</v>
      </c>
      <c r="CZ130" s="502">
        <f t="shared" si="651"/>
        <v>0</v>
      </c>
    </row>
    <row r="131" spans="1:104" ht="25" x14ac:dyDescent="0.25">
      <c r="A131" s="413" t="str">
        <f>'BOCA DE LOBO'!C125</f>
        <v>BL42-&gt;PV11.1</v>
      </c>
      <c r="B131" s="413" t="str">
        <f>'BOCA DE LOBO'!A125</f>
        <v>PV11.1</v>
      </c>
      <c r="C131" s="413" t="str">
        <f>VLOOKUP(A131,'BOCA DE LOBO'!$C$82:$Q$270,3,0)</f>
        <v>PROJETADO</v>
      </c>
      <c r="D131" s="413" t="str">
        <f>VLOOKUP(A131,'BOCA DE LOBO'!$C$82:$Q$270,10,0)</f>
        <v>PROJETADA</v>
      </c>
      <c r="E131" s="413">
        <f t="shared" si="566"/>
        <v>2.3231999999999999</v>
      </c>
      <c r="F131" s="413">
        <f>VLOOKUP(A131,'BOCA DE LOBO'!$C$82:$Q$270,2,0)</f>
        <v>2.42</v>
      </c>
      <c r="G131" s="413">
        <f>VLOOKUP(A131,'BOCA DE LOBO'!$C$82:$Q$270,4,0)</f>
        <v>2.42</v>
      </c>
      <c r="H131" s="412">
        <v>400</v>
      </c>
      <c r="I131" s="493">
        <f t="shared" si="567"/>
        <v>2.5015999999999998</v>
      </c>
      <c r="J131" s="493">
        <f t="shared" si="568"/>
        <v>0.30269359999999995</v>
      </c>
      <c r="K131" s="530">
        <v>0</v>
      </c>
      <c r="L131" s="531">
        <f t="shared" si="569"/>
        <v>1</v>
      </c>
      <c r="M131" s="531">
        <f t="shared" si="570"/>
        <v>1</v>
      </c>
      <c r="N131" s="531">
        <f t="shared" si="571"/>
        <v>0</v>
      </c>
      <c r="O131" s="531">
        <f t="shared" si="572"/>
        <v>2.42</v>
      </c>
      <c r="P131" s="532" t="s">
        <v>2392</v>
      </c>
      <c r="Q131" s="533" t="s">
        <v>2720</v>
      </c>
      <c r="R131" s="534">
        <v>1</v>
      </c>
      <c r="S131" s="532">
        <f>VLOOKUP(Q131,Quantitativos!P:R,3,0)</f>
        <v>5</v>
      </c>
      <c r="T131" s="532">
        <f>VLOOKUP(Q131,Quantitativos!P:S,4,0)</f>
        <v>5</v>
      </c>
      <c r="U131" s="531">
        <f t="shared" si="573"/>
        <v>0.05</v>
      </c>
      <c r="V131" s="535">
        <f t="shared" si="574"/>
        <v>0</v>
      </c>
      <c r="W131" s="535">
        <f t="shared" si="575"/>
        <v>7.0218719999999992</v>
      </c>
      <c r="X131" s="536">
        <f t="shared" si="576"/>
        <v>0</v>
      </c>
      <c r="Y131" s="536">
        <f t="shared" si="577"/>
        <v>2.9015999999999997</v>
      </c>
      <c r="Z131" s="536">
        <f t="shared" si="578"/>
        <v>0</v>
      </c>
      <c r="AA131" s="536">
        <f t="shared" si="579"/>
        <v>2.5015999999999998</v>
      </c>
      <c r="AB131" s="496">
        <f t="shared" si="580"/>
        <v>2.42</v>
      </c>
      <c r="AC131" s="251">
        <f t="shared" si="581"/>
        <v>3.63</v>
      </c>
      <c r="AD131" s="251">
        <f t="shared" si="582"/>
        <v>3.3918719999999993</v>
      </c>
      <c r="AE131" s="251">
        <f t="shared" si="583"/>
        <v>0</v>
      </c>
      <c r="AF131" s="251">
        <f t="shared" si="584"/>
        <v>0</v>
      </c>
      <c r="AG131" s="251">
        <f t="shared" si="585"/>
        <v>0</v>
      </c>
      <c r="AH131" s="251">
        <f t="shared" si="586"/>
        <v>0</v>
      </c>
      <c r="AI131" s="497" t="str">
        <f t="shared" si="587"/>
        <v>NÃO</v>
      </c>
      <c r="AJ131" s="531">
        <f t="shared" si="588"/>
        <v>0</v>
      </c>
      <c r="AK131" s="531">
        <f t="shared" si="589"/>
        <v>0</v>
      </c>
      <c r="AL131" s="531">
        <f t="shared" si="590"/>
        <v>6.7177658311325068</v>
      </c>
      <c r="AM131" s="493">
        <f t="shared" si="591"/>
        <v>0.121</v>
      </c>
      <c r="AN131" s="535">
        <f t="shared" si="592"/>
        <v>0</v>
      </c>
      <c r="AO131" s="531">
        <f t="shared" si="593"/>
        <v>0.96799999999999997</v>
      </c>
      <c r="AP131" s="531">
        <f t="shared" si="594"/>
        <v>0.96799999999999997</v>
      </c>
      <c r="AQ131" s="531">
        <f t="shared" si="595"/>
        <v>0.7</v>
      </c>
      <c r="AR131" s="531">
        <f t="shared" si="596"/>
        <v>1.389893831132508</v>
      </c>
      <c r="AS131" s="531">
        <f t="shared" si="597"/>
        <v>1.389893831132508</v>
      </c>
      <c r="AT131" s="531">
        <f t="shared" si="598"/>
        <v>0.36299999999999999</v>
      </c>
      <c r="AU131" s="531">
        <f t="shared" si="599"/>
        <v>0.36299999999999999</v>
      </c>
      <c r="AV131" s="531">
        <f t="shared" si="600"/>
        <v>7.2599999999999998E-2</v>
      </c>
      <c r="AW131" s="531">
        <f t="shared" si="601"/>
        <v>3.5128719999999993</v>
      </c>
      <c r="AX131" s="531">
        <f t="shared" si="602"/>
        <v>-2.7208938311325079</v>
      </c>
      <c r="AY131" s="531">
        <f t="shared" si="603"/>
        <v>-2.7208938311325079</v>
      </c>
      <c r="AZ131" s="531">
        <f t="shared" si="604"/>
        <v>6.2337658311325068</v>
      </c>
      <c r="BA131" s="531">
        <f t="shared" si="605"/>
        <v>1.2587874993135779</v>
      </c>
      <c r="BB131" s="531">
        <f t="shared" si="606"/>
        <v>4.9749783318189289</v>
      </c>
      <c r="BC131" s="531"/>
      <c r="BD131" s="531">
        <f t="shared" si="607"/>
        <v>5.3240000000000003E-2</v>
      </c>
      <c r="BE131" s="496">
        <f t="shared" si="608"/>
        <v>2.5015999999999998</v>
      </c>
      <c r="BF131" s="498">
        <f t="shared" si="609"/>
        <v>0</v>
      </c>
      <c r="BG131" s="498">
        <f t="shared" si="610"/>
        <v>2.42</v>
      </c>
      <c r="BH131" s="532" t="str">
        <f>VLOOKUP(A131,'BOCA DE LOBO'!C:I,7,0)</f>
        <v>BOCA DE LOBO PROJETADA DUPLA</v>
      </c>
      <c r="BI131" s="531">
        <f t="shared" si="611"/>
        <v>0</v>
      </c>
      <c r="BJ131" s="531">
        <f t="shared" si="612"/>
        <v>0</v>
      </c>
      <c r="BK131" s="531">
        <f t="shared" si="613"/>
        <v>0</v>
      </c>
      <c r="BL131" s="531">
        <f t="shared" si="614"/>
        <v>0</v>
      </c>
      <c r="BM131" s="531">
        <f t="shared" si="615"/>
        <v>0</v>
      </c>
      <c r="BN131" s="531">
        <f t="shared" si="616"/>
        <v>1</v>
      </c>
      <c r="BO131" s="499">
        <f t="shared" si="617"/>
        <v>0</v>
      </c>
      <c r="BP131" s="500"/>
      <c r="BQ131" s="496">
        <f t="shared" si="618"/>
        <v>7.26</v>
      </c>
      <c r="BR131" s="496">
        <f t="shared" si="619"/>
        <v>7.26</v>
      </c>
      <c r="BS131" s="496">
        <f t="shared" si="620"/>
        <v>7.7439999999991465E-3</v>
      </c>
      <c r="BT131" s="501"/>
      <c r="BU131" s="501"/>
      <c r="BV131" s="502">
        <f t="shared" si="621"/>
        <v>21.971836319999994</v>
      </c>
      <c r="BW131" s="502">
        <f t="shared" si="622"/>
        <v>7.7825999999999986</v>
      </c>
      <c r="BX131" s="502">
        <f t="shared" si="623"/>
        <v>3.0325999999999995</v>
      </c>
      <c r="BY131" s="502">
        <f t="shared" si="624"/>
        <v>2.3231999999999999</v>
      </c>
      <c r="BZ131" s="502">
        <f t="shared" si="625"/>
        <v>0</v>
      </c>
      <c r="CA131" s="502">
        <f t="shared" si="626"/>
        <v>2.7231999999999998</v>
      </c>
      <c r="CB131" s="502">
        <f t="shared" si="627"/>
        <v>0</v>
      </c>
      <c r="CC131" s="502">
        <f t="shared" si="628"/>
        <v>0</v>
      </c>
      <c r="CD131" s="502">
        <f t="shared" si="629"/>
        <v>0</v>
      </c>
      <c r="CE131" s="502">
        <f t="shared" si="630"/>
        <v>11.673899999999998</v>
      </c>
      <c r="CF131" s="502">
        <f t="shared" si="631"/>
        <v>9.5196763199999967</v>
      </c>
      <c r="CG131" s="502">
        <f t="shared" si="632"/>
        <v>0.77825999999999951</v>
      </c>
      <c r="CH131" s="502">
        <f t="shared" si="633"/>
        <v>0</v>
      </c>
      <c r="CI131" s="531">
        <f t="shared" si="634"/>
        <v>0.53549999999999998</v>
      </c>
      <c r="CJ131" s="502">
        <f t="shared" si="635"/>
        <v>12.399699999999996</v>
      </c>
      <c r="CK131" s="502">
        <f t="shared" si="636"/>
        <v>12.399699999999996</v>
      </c>
      <c r="CL131" s="502">
        <f t="shared" si="637"/>
        <v>0</v>
      </c>
      <c r="CM131" s="502">
        <f t="shared" si="638"/>
        <v>0.15565199999999998</v>
      </c>
      <c r="CN131" s="502">
        <f t="shared" si="639"/>
        <v>3.57</v>
      </c>
      <c r="CO131" s="502">
        <f t="shared" si="640"/>
        <v>2.8231999999999999</v>
      </c>
      <c r="CP131" s="502">
        <f t="shared" si="641"/>
        <v>10.709999999999999</v>
      </c>
      <c r="CQ131" s="502">
        <f t="shared" si="642"/>
        <v>9.4476479999999992</v>
      </c>
      <c r="CR131" s="220">
        <f t="shared" si="643"/>
        <v>0</v>
      </c>
      <c r="CS131" s="503">
        <f t="shared" si="644"/>
        <v>0</v>
      </c>
      <c r="CT131" s="503">
        <f t="shared" si="645"/>
        <v>0.33012999999999998</v>
      </c>
      <c r="CU131" s="504">
        <f t="shared" si="646"/>
        <v>12.080640000000001</v>
      </c>
      <c r="CV131" s="504">
        <f t="shared" si="647"/>
        <v>1.3848491999999999</v>
      </c>
      <c r="CW131" s="502">
        <f t="shared" si="648"/>
        <v>21.890375999999996</v>
      </c>
      <c r="CX131" s="531">
        <f t="shared" si="649"/>
        <v>3.57</v>
      </c>
      <c r="CY131" s="537">
        <f t="shared" si="650"/>
        <v>1.7849999999999999</v>
      </c>
      <c r="CZ131" s="502">
        <f t="shared" si="651"/>
        <v>0</v>
      </c>
    </row>
    <row r="132" spans="1:104" ht="25" x14ac:dyDescent="0.25">
      <c r="A132" s="413" t="str">
        <f>'BOCA DE LOBO'!C126</f>
        <v>BL43-&gt;PV12.1</v>
      </c>
      <c r="B132" s="413" t="str">
        <f>'BOCA DE LOBO'!A126</f>
        <v>PV12.1</v>
      </c>
      <c r="C132" s="413" t="str">
        <f>VLOOKUP(A132,'BOCA DE LOBO'!$C$82:$Q$270,3,0)</f>
        <v>PROJETADO</v>
      </c>
      <c r="D132" s="413" t="str">
        <f>VLOOKUP(A132,'BOCA DE LOBO'!$C$82:$Q$270,10,0)</f>
        <v>PROJETADA</v>
      </c>
      <c r="E132" s="413">
        <f t="shared" si="566"/>
        <v>2.0855999999999999</v>
      </c>
      <c r="F132" s="413">
        <f>VLOOKUP(A132,'BOCA DE LOBO'!$C$82:$Q$270,2,0)</f>
        <v>2.42</v>
      </c>
      <c r="G132" s="413">
        <f>VLOOKUP(A132,'BOCA DE LOBO'!$C$82:$Q$270,4,0)</f>
        <v>8.36</v>
      </c>
      <c r="H132" s="412">
        <v>400</v>
      </c>
      <c r="I132" s="493">
        <f t="shared" si="567"/>
        <v>2.3827999999999996</v>
      </c>
      <c r="J132" s="493">
        <f t="shared" si="568"/>
        <v>0.99601039999999974</v>
      </c>
      <c r="K132" s="530">
        <v>0</v>
      </c>
      <c r="L132" s="531">
        <f t="shared" si="569"/>
        <v>1</v>
      </c>
      <c r="M132" s="531">
        <f t="shared" si="570"/>
        <v>1</v>
      </c>
      <c r="N132" s="531">
        <f t="shared" si="571"/>
        <v>0</v>
      </c>
      <c r="O132" s="531">
        <f t="shared" si="572"/>
        <v>8.36</v>
      </c>
      <c r="P132" s="532" t="s">
        <v>2392</v>
      </c>
      <c r="Q132" s="533" t="s">
        <v>2720</v>
      </c>
      <c r="R132" s="534"/>
      <c r="S132" s="532">
        <f>VLOOKUP(Q132,Quantitativos!P:R,3,0)</f>
        <v>5</v>
      </c>
      <c r="T132" s="532">
        <f>VLOOKUP(Q132,Quantitativos!P:S,4,0)</f>
        <v>5</v>
      </c>
      <c r="U132" s="531">
        <f t="shared" si="573"/>
        <v>0.05</v>
      </c>
      <c r="V132" s="535">
        <f t="shared" si="574"/>
        <v>0</v>
      </c>
      <c r="W132" s="535">
        <f t="shared" si="575"/>
        <v>19.920207999999995</v>
      </c>
      <c r="X132" s="536">
        <f t="shared" si="576"/>
        <v>0</v>
      </c>
      <c r="Y132" s="536">
        <f t="shared" si="577"/>
        <v>0</v>
      </c>
      <c r="Z132" s="536">
        <f t="shared" si="578"/>
        <v>2.3827999999999996</v>
      </c>
      <c r="AA132" s="536">
        <f t="shared" si="579"/>
        <v>0</v>
      </c>
      <c r="AB132" s="496">
        <f t="shared" si="580"/>
        <v>8.36</v>
      </c>
      <c r="AC132" s="251">
        <f t="shared" si="581"/>
        <v>0</v>
      </c>
      <c r="AD132" s="251">
        <f t="shared" si="582"/>
        <v>0</v>
      </c>
      <c r="AE132" s="251">
        <f t="shared" si="583"/>
        <v>0</v>
      </c>
      <c r="AF132" s="251">
        <f t="shared" si="584"/>
        <v>12.54</v>
      </c>
      <c r="AG132" s="251">
        <f t="shared" si="585"/>
        <v>7.3802079999999961</v>
      </c>
      <c r="AH132" s="251">
        <f t="shared" si="586"/>
        <v>0</v>
      </c>
      <c r="AI132" s="497" t="str">
        <f t="shared" si="587"/>
        <v>NÃO</v>
      </c>
      <c r="AJ132" s="531">
        <f t="shared" si="588"/>
        <v>0</v>
      </c>
      <c r="AK132" s="531">
        <f t="shared" si="589"/>
        <v>0</v>
      </c>
      <c r="AL132" s="531">
        <f t="shared" si="590"/>
        <v>18.869659416639568</v>
      </c>
      <c r="AM132" s="493">
        <f t="shared" si="591"/>
        <v>0.41799999999999998</v>
      </c>
      <c r="AN132" s="535">
        <f t="shared" si="592"/>
        <v>0</v>
      </c>
      <c r="AO132" s="531">
        <f t="shared" si="593"/>
        <v>0</v>
      </c>
      <c r="AP132" s="531">
        <f t="shared" si="594"/>
        <v>0</v>
      </c>
      <c r="AQ132" s="531">
        <f t="shared" si="595"/>
        <v>0.7</v>
      </c>
      <c r="AR132" s="531">
        <f t="shared" si="596"/>
        <v>4.8014514166395728</v>
      </c>
      <c r="AS132" s="531">
        <f t="shared" si="597"/>
        <v>0</v>
      </c>
      <c r="AT132" s="531">
        <f t="shared" si="598"/>
        <v>1.2539999999999998</v>
      </c>
      <c r="AU132" s="531">
        <f t="shared" si="599"/>
        <v>1.2539999999999998</v>
      </c>
      <c r="AV132" s="531">
        <f t="shared" si="600"/>
        <v>0.25079999999999997</v>
      </c>
      <c r="AW132" s="531">
        <f t="shared" si="601"/>
        <v>11.142207999999995</v>
      </c>
      <c r="AX132" s="531">
        <f t="shared" si="602"/>
        <v>13.864756583360421</v>
      </c>
      <c r="AY132" s="531">
        <f t="shared" si="603"/>
        <v>11.142207999999995</v>
      </c>
      <c r="AZ132" s="531">
        <f t="shared" si="604"/>
        <v>0</v>
      </c>
      <c r="BA132" s="531">
        <f t="shared" si="605"/>
        <v>0</v>
      </c>
      <c r="BB132" s="531">
        <f t="shared" si="606"/>
        <v>0</v>
      </c>
      <c r="BC132" s="531"/>
      <c r="BD132" s="531">
        <f t="shared" si="607"/>
        <v>5.0159999999999989E-2</v>
      </c>
      <c r="BE132" s="496">
        <f t="shared" si="608"/>
        <v>2.3827999999999996</v>
      </c>
      <c r="BF132" s="498">
        <f t="shared" si="609"/>
        <v>0</v>
      </c>
      <c r="BG132" s="498">
        <f t="shared" si="610"/>
        <v>8.36</v>
      </c>
      <c r="BH132" s="532" t="str">
        <f>VLOOKUP(A132,'BOCA DE LOBO'!C:I,7,0)</f>
        <v>BOCA DE LOBO PROJETADA DUPLA</v>
      </c>
      <c r="BI132" s="531">
        <f t="shared" si="611"/>
        <v>0</v>
      </c>
      <c r="BJ132" s="531">
        <f t="shared" si="612"/>
        <v>0</v>
      </c>
      <c r="BK132" s="531">
        <f t="shared" si="613"/>
        <v>0</v>
      </c>
      <c r="BL132" s="531">
        <f t="shared" si="614"/>
        <v>0</v>
      </c>
      <c r="BM132" s="531">
        <f t="shared" si="615"/>
        <v>0</v>
      </c>
      <c r="BN132" s="531">
        <f t="shared" si="616"/>
        <v>1</v>
      </c>
      <c r="BO132" s="499">
        <f t="shared" si="617"/>
        <v>0</v>
      </c>
      <c r="BP132" s="500"/>
      <c r="BQ132" s="496">
        <f t="shared" si="618"/>
        <v>25.08</v>
      </c>
      <c r="BR132" s="496">
        <f t="shared" si="619"/>
        <v>14.760415999999992</v>
      </c>
      <c r="BS132" s="496">
        <f t="shared" si="620"/>
        <v>0</v>
      </c>
      <c r="BT132" s="501"/>
      <c r="BU132" s="501"/>
      <c r="BV132" s="502">
        <f t="shared" si="621"/>
        <v>16.231390559999998</v>
      </c>
      <c r="BW132" s="502">
        <f t="shared" si="622"/>
        <v>7.7825999999999986</v>
      </c>
      <c r="BX132" s="502">
        <f t="shared" si="623"/>
        <v>3.0325999999999995</v>
      </c>
      <c r="BY132" s="502">
        <f t="shared" si="624"/>
        <v>2.0855999999999999</v>
      </c>
      <c r="BZ132" s="502">
        <f t="shared" si="625"/>
        <v>2.0855999999999999</v>
      </c>
      <c r="CA132" s="502">
        <f t="shared" si="626"/>
        <v>0</v>
      </c>
      <c r="CB132" s="502">
        <f t="shared" si="627"/>
        <v>0</v>
      </c>
      <c r="CC132" s="502">
        <f t="shared" si="628"/>
        <v>11.673899999999998</v>
      </c>
      <c r="CD132" s="502">
        <f t="shared" si="629"/>
        <v>4.557490559999998</v>
      </c>
      <c r="CE132" s="502">
        <f t="shared" si="630"/>
        <v>0</v>
      </c>
      <c r="CF132" s="502">
        <f t="shared" si="631"/>
        <v>0</v>
      </c>
      <c r="CG132" s="502">
        <f t="shared" si="632"/>
        <v>0</v>
      </c>
      <c r="CH132" s="502">
        <f t="shared" si="633"/>
        <v>0</v>
      </c>
      <c r="CI132" s="531">
        <f t="shared" si="634"/>
        <v>0.53549999999999998</v>
      </c>
      <c r="CJ132" s="502">
        <f t="shared" si="635"/>
        <v>9.3710999999999967</v>
      </c>
      <c r="CK132" s="502">
        <f t="shared" si="636"/>
        <v>9.3710999999999967</v>
      </c>
      <c r="CL132" s="502">
        <f t="shared" si="637"/>
        <v>0</v>
      </c>
      <c r="CM132" s="502">
        <f t="shared" si="638"/>
        <v>0</v>
      </c>
      <c r="CN132" s="502">
        <f t="shared" si="639"/>
        <v>3.57</v>
      </c>
      <c r="CO132" s="502">
        <f t="shared" si="640"/>
        <v>2.0855999999999999</v>
      </c>
      <c r="CP132" s="502">
        <f t="shared" si="641"/>
        <v>10.709999999999999</v>
      </c>
      <c r="CQ132" s="502">
        <f t="shared" si="642"/>
        <v>4.1811839999999991</v>
      </c>
      <c r="CR132" s="220">
        <f t="shared" si="643"/>
        <v>0</v>
      </c>
      <c r="CS132" s="503">
        <f t="shared" si="644"/>
        <v>0</v>
      </c>
      <c r="CT132" s="503">
        <f t="shared" si="645"/>
        <v>0.33012999999999998</v>
      </c>
      <c r="CU132" s="504">
        <f t="shared" si="646"/>
        <v>10.84512</v>
      </c>
      <c r="CV132" s="504">
        <f t="shared" si="647"/>
        <v>1.3121436</v>
      </c>
      <c r="CW132" s="502">
        <f t="shared" si="648"/>
        <v>20.065607999999997</v>
      </c>
      <c r="CX132" s="531">
        <f t="shared" si="649"/>
        <v>3.57</v>
      </c>
      <c r="CY132" s="537">
        <f t="shared" si="650"/>
        <v>1.7849999999999999</v>
      </c>
      <c r="CZ132" s="502">
        <f t="shared" si="651"/>
        <v>0</v>
      </c>
    </row>
    <row r="133" spans="1:104" ht="25" x14ac:dyDescent="0.25">
      <c r="A133" s="413" t="str">
        <f>'BOCA DE LOBO'!C127</f>
        <v>BL44-&gt;PV13.1</v>
      </c>
      <c r="B133" s="413" t="str">
        <f>'BOCA DE LOBO'!A127</f>
        <v>PV13.1</v>
      </c>
      <c r="C133" s="413" t="str">
        <f>VLOOKUP(A133,'BOCA DE LOBO'!$C$82:$Q$270,3,0)</f>
        <v>PROJETADO</v>
      </c>
      <c r="D133" s="413" t="str">
        <f>VLOOKUP(A133,'BOCA DE LOBO'!$C$82:$Q$270,10,0)</f>
        <v>PROJETADA</v>
      </c>
      <c r="E133" s="413">
        <f t="shared" si="566"/>
        <v>1.8803999999999998</v>
      </c>
      <c r="F133" s="413">
        <f>VLOOKUP(A133,'BOCA DE LOBO'!$C$82:$Q$270,2,0)</f>
        <v>2.25</v>
      </c>
      <c r="G133" s="413">
        <f>VLOOKUP(A133,'BOCA DE LOBO'!$C$82:$Q$270,4,0)</f>
        <v>9.24</v>
      </c>
      <c r="H133" s="412">
        <v>400</v>
      </c>
      <c r="I133" s="493">
        <f t="shared" si="567"/>
        <v>2.1951999999999998</v>
      </c>
      <c r="J133" s="493">
        <f t="shared" si="568"/>
        <v>1.0141823999999999</v>
      </c>
      <c r="K133" s="530">
        <v>0</v>
      </c>
      <c r="L133" s="531">
        <f t="shared" si="569"/>
        <v>1</v>
      </c>
      <c r="M133" s="531">
        <f t="shared" si="570"/>
        <v>1</v>
      </c>
      <c r="N133" s="531">
        <f t="shared" si="571"/>
        <v>0</v>
      </c>
      <c r="O133" s="531">
        <f t="shared" si="572"/>
        <v>9.24</v>
      </c>
      <c r="P133" s="532" t="str">
        <f>VLOOKUP(B133,'Planilha Hidráulica'!$AG:$AR,12,0)</f>
        <v>ASFALTO</v>
      </c>
      <c r="Q133" s="533" t="s">
        <v>2720</v>
      </c>
      <c r="R133" s="534"/>
      <c r="S133" s="532">
        <f>VLOOKUP(Q133,Quantitativos!P:R,3,0)</f>
        <v>5</v>
      </c>
      <c r="T133" s="532">
        <f>VLOOKUP(Q133,Quantitativos!P:S,4,0)</f>
        <v>5</v>
      </c>
      <c r="U133" s="531">
        <f t="shared" si="573"/>
        <v>0.05</v>
      </c>
      <c r="V133" s="535">
        <f t="shared" si="574"/>
        <v>0</v>
      </c>
      <c r="W133" s="535">
        <f t="shared" si="575"/>
        <v>20.283647999999999</v>
      </c>
      <c r="X133" s="536">
        <f t="shared" si="576"/>
        <v>0</v>
      </c>
      <c r="Y133" s="536">
        <f t="shared" si="577"/>
        <v>0</v>
      </c>
      <c r="Z133" s="536">
        <f t="shared" si="578"/>
        <v>2.1951999999999998</v>
      </c>
      <c r="AA133" s="536">
        <f t="shared" si="579"/>
        <v>0</v>
      </c>
      <c r="AB133" s="496">
        <f t="shared" si="580"/>
        <v>9.24</v>
      </c>
      <c r="AC133" s="251">
        <f t="shared" si="581"/>
        <v>0</v>
      </c>
      <c r="AD133" s="251">
        <f t="shared" si="582"/>
        <v>0</v>
      </c>
      <c r="AE133" s="251">
        <f t="shared" si="583"/>
        <v>0</v>
      </c>
      <c r="AF133" s="251">
        <f t="shared" si="584"/>
        <v>13.86</v>
      </c>
      <c r="AG133" s="251">
        <f t="shared" si="585"/>
        <v>6.4236479999999982</v>
      </c>
      <c r="AH133" s="251">
        <f t="shared" si="586"/>
        <v>0</v>
      </c>
      <c r="AI133" s="497" t="str">
        <f t="shared" si="587"/>
        <v>NÃO</v>
      </c>
      <c r="AJ133" s="531">
        <f t="shared" si="588"/>
        <v>0</v>
      </c>
      <c r="AK133" s="531">
        <f t="shared" si="589"/>
        <v>0</v>
      </c>
      <c r="AL133" s="531">
        <f t="shared" si="590"/>
        <v>19.122515355233212</v>
      </c>
      <c r="AM133" s="493">
        <f t="shared" si="591"/>
        <v>0.46200000000000002</v>
      </c>
      <c r="AN133" s="535">
        <f t="shared" si="592"/>
        <v>0</v>
      </c>
      <c r="AO133" s="531">
        <f t="shared" si="593"/>
        <v>0</v>
      </c>
      <c r="AP133" s="531">
        <f t="shared" si="594"/>
        <v>0</v>
      </c>
      <c r="AQ133" s="531">
        <f t="shared" si="595"/>
        <v>0.7</v>
      </c>
      <c r="AR133" s="531">
        <f t="shared" si="596"/>
        <v>5.3068673552332122</v>
      </c>
      <c r="AS133" s="531">
        <f t="shared" si="597"/>
        <v>0</v>
      </c>
      <c r="AT133" s="531">
        <f t="shared" si="598"/>
        <v>1.3859999999999999</v>
      </c>
      <c r="AU133" s="531">
        <f t="shared" si="599"/>
        <v>1.3859999999999999</v>
      </c>
      <c r="AV133" s="531">
        <f t="shared" si="600"/>
        <v>0.2772</v>
      </c>
      <c r="AW133" s="531">
        <f t="shared" si="601"/>
        <v>10.581648000000001</v>
      </c>
      <c r="AX133" s="531">
        <f t="shared" si="602"/>
        <v>13.590780644766788</v>
      </c>
      <c r="AY133" s="531">
        <f t="shared" si="603"/>
        <v>10.581648000000001</v>
      </c>
      <c r="AZ133" s="531">
        <f t="shared" si="604"/>
        <v>0</v>
      </c>
      <c r="BA133" s="531">
        <f t="shared" si="605"/>
        <v>0</v>
      </c>
      <c r="BB133" s="531">
        <f t="shared" si="606"/>
        <v>0</v>
      </c>
      <c r="BC133" s="531"/>
      <c r="BD133" s="531">
        <f t="shared" si="607"/>
        <v>5.5439999999999996E-2</v>
      </c>
      <c r="BE133" s="496">
        <f t="shared" si="608"/>
        <v>2.1951999999999998</v>
      </c>
      <c r="BF133" s="498">
        <f t="shared" si="609"/>
        <v>0</v>
      </c>
      <c r="BG133" s="498">
        <f t="shared" si="610"/>
        <v>9.24</v>
      </c>
      <c r="BH133" s="532" t="str">
        <f>VLOOKUP(A133,'BOCA DE LOBO'!C:I,7,0)</f>
        <v>BOCA DE LOBO PROJETADA DUPLA</v>
      </c>
      <c r="BI133" s="531">
        <f t="shared" si="611"/>
        <v>0</v>
      </c>
      <c r="BJ133" s="531">
        <f t="shared" si="612"/>
        <v>0</v>
      </c>
      <c r="BK133" s="531">
        <f t="shared" si="613"/>
        <v>0</v>
      </c>
      <c r="BL133" s="531">
        <f t="shared" si="614"/>
        <v>0</v>
      </c>
      <c r="BM133" s="531">
        <f t="shared" si="615"/>
        <v>0</v>
      </c>
      <c r="BN133" s="531">
        <f t="shared" si="616"/>
        <v>1</v>
      </c>
      <c r="BO133" s="499">
        <f t="shared" si="617"/>
        <v>0</v>
      </c>
      <c r="BP133" s="500"/>
      <c r="BQ133" s="496">
        <f t="shared" si="618"/>
        <v>27.72</v>
      </c>
      <c r="BR133" s="496">
        <f t="shared" si="619"/>
        <v>12.847295999999996</v>
      </c>
      <c r="BS133" s="496">
        <f t="shared" si="620"/>
        <v>0</v>
      </c>
      <c r="BT133" s="501"/>
      <c r="BU133" s="501"/>
      <c r="BV133" s="502">
        <f t="shared" si="621"/>
        <v>14.634401039999997</v>
      </c>
      <c r="BW133" s="502">
        <f t="shared" si="622"/>
        <v>7.7825999999999986</v>
      </c>
      <c r="BX133" s="502">
        <f t="shared" si="623"/>
        <v>3.0325999999999995</v>
      </c>
      <c r="BY133" s="502">
        <f t="shared" si="624"/>
        <v>1.8803999999999998</v>
      </c>
      <c r="BZ133" s="502">
        <f t="shared" si="625"/>
        <v>1.8803999999999998</v>
      </c>
      <c r="CA133" s="502">
        <f t="shared" si="626"/>
        <v>0</v>
      </c>
      <c r="CB133" s="502">
        <f t="shared" si="627"/>
        <v>0</v>
      </c>
      <c r="CC133" s="502">
        <f t="shared" si="628"/>
        <v>11.673899999999998</v>
      </c>
      <c r="CD133" s="502">
        <f t="shared" si="629"/>
        <v>2.9605010399999983</v>
      </c>
      <c r="CE133" s="502">
        <f t="shared" si="630"/>
        <v>0</v>
      </c>
      <c r="CF133" s="502">
        <f t="shared" si="631"/>
        <v>0</v>
      </c>
      <c r="CG133" s="502">
        <f t="shared" si="632"/>
        <v>0</v>
      </c>
      <c r="CH133" s="502">
        <f t="shared" si="633"/>
        <v>0</v>
      </c>
      <c r="CI133" s="531">
        <f t="shared" si="634"/>
        <v>0.53549999999999998</v>
      </c>
      <c r="CJ133" s="502">
        <f t="shared" si="635"/>
        <v>8.3963999999999963</v>
      </c>
      <c r="CK133" s="502">
        <f t="shared" si="636"/>
        <v>8.3963999999999963</v>
      </c>
      <c r="CL133" s="502">
        <f t="shared" si="637"/>
        <v>0</v>
      </c>
      <c r="CM133" s="502">
        <f t="shared" si="638"/>
        <v>0</v>
      </c>
      <c r="CN133" s="502">
        <f t="shared" si="639"/>
        <v>3.57</v>
      </c>
      <c r="CO133" s="502">
        <f t="shared" si="640"/>
        <v>1.8803999999999998</v>
      </c>
      <c r="CP133" s="502">
        <f t="shared" si="641"/>
        <v>10.709999999999999</v>
      </c>
      <c r="CQ133" s="502">
        <f t="shared" si="642"/>
        <v>2.7160559999999987</v>
      </c>
      <c r="CR133" s="220">
        <f t="shared" si="643"/>
        <v>0</v>
      </c>
      <c r="CS133" s="503">
        <f t="shared" si="644"/>
        <v>0</v>
      </c>
      <c r="CT133" s="503">
        <f t="shared" si="645"/>
        <v>0.33012999999999998</v>
      </c>
      <c r="CU133" s="504">
        <f t="shared" si="646"/>
        <v>9.7780799999999992</v>
      </c>
      <c r="CV133" s="504">
        <f t="shared" si="647"/>
        <v>1.2493523999999998</v>
      </c>
      <c r="CW133" s="502">
        <f t="shared" si="648"/>
        <v>18.489671999999999</v>
      </c>
      <c r="CX133" s="531">
        <f t="shared" si="649"/>
        <v>3.57</v>
      </c>
      <c r="CY133" s="537">
        <f t="shared" si="650"/>
        <v>1.7849999999999999</v>
      </c>
      <c r="CZ133" s="502">
        <f t="shared" si="651"/>
        <v>0</v>
      </c>
    </row>
    <row r="134" spans="1:104" ht="25" x14ac:dyDescent="0.25">
      <c r="A134" s="413" t="str">
        <f>'BOCA DE LOBO'!C128</f>
        <v>BL45-&gt;PV14.1</v>
      </c>
      <c r="B134" s="413" t="str">
        <f>'BOCA DE LOBO'!A128</f>
        <v>PV14.1</v>
      </c>
      <c r="C134" s="413" t="str">
        <f>VLOOKUP(A134,'BOCA DE LOBO'!$C$82:$Q$270,3,0)</f>
        <v>PROJETADO</v>
      </c>
      <c r="D134" s="413" t="str">
        <f>VLOOKUP(A134,'BOCA DE LOBO'!$C$82:$Q$270,10,0)</f>
        <v>PROJETADA</v>
      </c>
      <c r="E134" s="413">
        <f t="shared" si="566"/>
        <v>1.8632000000000002</v>
      </c>
      <c r="F134" s="413">
        <f>VLOOKUP(A134,'BOCA DE LOBO'!$C$82:$Q$270,2,0)</f>
        <v>2.2000000000000002</v>
      </c>
      <c r="G134" s="413">
        <f>VLOOKUP(A134,'BOCA DE LOBO'!$C$82:$Q$270,4,0)</f>
        <v>8.42</v>
      </c>
      <c r="H134" s="412">
        <v>400</v>
      </c>
      <c r="I134" s="493">
        <f t="shared" si="567"/>
        <v>2.1616</v>
      </c>
      <c r="J134" s="493">
        <f t="shared" si="568"/>
        <v>0.9100336</v>
      </c>
      <c r="K134" s="530">
        <v>0</v>
      </c>
      <c r="L134" s="531">
        <f t="shared" si="569"/>
        <v>1</v>
      </c>
      <c r="M134" s="531">
        <f t="shared" si="570"/>
        <v>1</v>
      </c>
      <c r="N134" s="531">
        <f t="shared" si="571"/>
        <v>0</v>
      </c>
      <c r="O134" s="531">
        <f t="shared" si="572"/>
        <v>8.42</v>
      </c>
      <c r="P134" s="532" t="str">
        <f>VLOOKUP(B134,'Planilha Hidráulica'!$AG:$AR,12,0)</f>
        <v>ASFALTO</v>
      </c>
      <c r="Q134" s="533" t="s">
        <v>2720</v>
      </c>
      <c r="R134" s="534"/>
      <c r="S134" s="532">
        <f>VLOOKUP(Q134,Quantitativos!P:R,3,0)</f>
        <v>5</v>
      </c>
      <c r="T134" s="532">
        <f>VLOOKUP(Q134,Quantitativos!P:S,4,0)</f>
        <v>5</v>
      </c>
      <c r="U134" s="531">
        <f t="shared" si="573"/>
        <v>0.05</v>
      </c>
      <c r="V134" s="535">
        <f t="shared" si="574"/>
        <v>0</v>
      </c>
      <c r="W134" s="535">
        <f t="shared" si="575"/>
        <v>18.200672000000001</v>
      </c>
      <c r="X134" s="536">
        <f t="shared" si="576"/>
        <v>0</v>
      </c>
      <c r="Y134" s="536">
        <f t="shared" si="577"/>
        <v>0</v>
      </c>
      <c r="Z134" s="536">
        <f t="shared" si="578"/>
        <v>2.1616</v>
      </c>
      <c r="AA134" s="536">
        <f t="shared" si="579"/>
        <v>0</v>
      </c>
      <c r="AB134" s="496">
        <f t="shared" si="580"/>
        <v>8.42</v>
      </c>
      <c r="AC134" s="251">
        <f t="shared" si="581"/>
        <v>0</v>
      </c>
      <c r="AD134" s="251">
        <f t="shared" si="582"/>
        <v>0</v>
      </c>
      <c r="AE134" s="251">
        <f t="shared" si="583"/>
        <v>0</v>
      </c>
      <c r="AF134" s="251">
        <f t="shared" si="584"/>
        <v>12.629999999999999</v>
      </c>
      <c r="AG134" s="251">
        <f t="shared" si="585"/>
        <v>5.5706720000000001</v>
      </c>
      <c r="AH134" s="251">
        <f t="shared" si="586"/>
        <v>0</v>
      </c>
      <c r="AI134" s="497" t="str">
        <f t="shared" si="587"/>
        <v>NÃO</v>
      </c>
      <c r="AJ134" s="531">
        <f t="shared" si="588"/>
        <v>0</v>
      </c>
      <c r="AK134" s="531">
        <f t="shared" si="589"/>
        <v>0</v>
      </c>
      <c r="AL134" s="531">
        <f t="shared" si="590"/>
        <v>17.14258359427096</v>
      </c>
      <c r="AM134" s="493">
        <f t="shared" si="591"/>
        <v>0.42100000000000004</v>
      </c>
      <c r="AN134" s="535">
        <f t="shared" si="592"/>
        <v>0</v>
      </c>
      <c r="AO134" s="531">
        <f t="shared" si="593"/>
        <v>0</v>
      </c>
      <c r="AP134" s="531">
        <f t="shared" si="594"/>
        <v>0</v>
      </c>
      <c r="AQ134" s="531">
        <f t="shared" si="595"/>
        <v>0.7</v>
      </c>
      <c r="AR134" s="531">
        <f t="shared" si="596"/>
        <v>4.8359115942709572</v>
      </c>
      <c r="AS134" s="531">
        <f t="shared" si="597"/>
        <v>0</v>
      </c>
      <c r="AT134" s="531">
        <f t="shared" si="598"/>
        <v>1.2629999999999999</v>
      </c>
      <c r="AU134" s="531">
        <f t="shared" si="599"/>
        <v>1.2629999999999999</v>
      </c>
      <c r="AV134" s="531">
        <f t="shared" si="600"/>
        <v>0.25259999999999999</v>
      </c>
      <c r="AW134" s="531">
        <f t="shared" si="601"/>
        <v>9.3596720000000033</v>
      </c>
      <c r="AX134" s="531">
        <f t="shared" si="602"/>
        <v>12.101760405729042</v>
      </c>
      <c r="AY134" s="531">
        <f t="shared" si="603"/>
        <v>9.3596720000000033</v>
      </c>
      <c r="AZ134" s="531">
        <f t="shared" si="604"/>
        <v>0</v>
      </c>
      <c r="BA134" s="531">
        <f t="shared" si="605"/>
        <v>0</v>
      </c>
      <c r="BB134" s="531">
        <f t="shared" si="606"/>
        <v>0</v>
      </c>
      <c r="BC134" s="531"/>
      <c r="BD134" s="531">
        <f t="shared" si="607"/>
        <v>5.0519999999999995E-2</v>
      </c>
      <c r="BE134" s="496">
        <f t="shared" si="608"/>
        <v>2.1616</v>
      </c>
      <c r="BF134" s="498">
        <f t="shared" si="609"/>
        <v>0</v>
      </c>
      <c r="BG134" s="498">
        <f t="shared" si="610"/>
        <v>8.42</v>
      </c>
      <c r="BH134" s="532" t="str">
        <f>VLOOKUP(A134,'BOCA DE LOBO'!C:I,7,0)</f>
        <v>BOCA DE LOBO PROJETADA DUPLA</v>
      </c>
      <c r="BI134" s="531">
        <f t="shared" si="611"/>
        <v>0</v>
      </c>
      <c r="BJ134" s="531">
        <f t="shared" si="612"/>
        <v>0</v>
      </c>
      <c r="BK134" s="531">
        <f t="shared" si="613"/>
        <v>0</v>
      </c>
      <c r="BL134" s="531">
        <f t="shared" si="614"/>
        <v>0</v>
      </c>
      <c r="BM134" s="531">
        <f t="shared" si="615"/>
        <v>0</v>
      </c>
      <c r="BN134" s="531">
        <f t="shared" si="616"/>
        <v>1</v>
      </c>
      <c r="BO134" s="499">
        <f t="shared" si="617"/>
        <v>0</v>
      </c>
      <c r="BP134" s="500"/>
      <c r="BQ134" s="496">
        <f t="shared" si="618"/>
        <v>25.259999999999998</v>
      </c>
      <c r="BR134" s="496">
        <f t="shared" si="619"/>
        <v>11.141344</v>
      </c>
      <c r="BS134" s="496">
        <f t="shared" si="620"/>
        <v>0</v>
      </c>
      <c r="BT134" s="501"/>
      <c r="BU134" s="501"/>
      <c r="BV134" s="502">
        <f t="shared" si="621"/>
        <v>14.500540319999999</v>
      </c>
      <c r="BW134" s="502">
        <f t="shared" si="622"/>
        <v>7.7825999999999986</v>
      </c>
      <c r="BX134" s="502">
        <f t="shared" si="623"/>
        <v>3.0325999999999995</v>
      </c>
      <c r="BY134" s="502">
        <f t="shared" si="624"/>
        <v>1.8632000000000002</v>
      </c>
      <c r="BZ134" s="502">
        <f t="shared" si="625"/>
        <v>1.8632000000000002</v>
      </c>
      <c r="CA134" s="502">
        <f t="shared" si="626"/>
        <v>0</v>
      </c>
      <c r="CB134" s="502">
        <f t="shared" si="627"/>
        <v>0</v>
      </c>
      <c r="CC134" s="502">
        <f t="shared" si="628"/>
        <v>11.673899999999998</v>
      </c>
      <c r="CD134" s="502">
        <f t="shared" si="629"/>
        <v>2.826640320000001</v>
      </c>
      <c r="CE134" s="502">
        <f t="shared" si="630"/>
        <v>0</v>
      </c>
      <c r="CF134" s="502">
        <f t="shared" si="631"/>
        <v>0</v>
      </c>
      <c r="CG134" s="502">
        <f t="shared" si="632"/>
        <v>0</v>
      </c>
      <c r="CH134" s="502">
        <f t="shared" si="633"/>
        <v>0</v>
      </c>
      <c r="CI134" s="531">
        <f t="shared" si="634"/>
        <v>0.53549999999999998</v>
      </c>
      <c r="CJ134" s="502">
        <f t="shared" si="635"/>
        <v>8.3146999999999984</v>
      </c>
      <c r="CK134" s="502">
        <f t="shared" si="636"/>
        <v>8.3146999999999984</v>
      </c>
      <c r="CL134" s="502">
        <f t="shared" si="637"/>
        <v>0</v>
      </c>
      <c r="CM134" s="502">
        <f t="shared" si="638"/>
        <v>0</v>
      </c>
      <c r="CN134" s="502">
        <f t="shared" si="639"/>
        <v>3.57</v>
      </c>
      <c r="CO134" s="502">
        <f t="shared" si="640"/>
        <v>1.8632000000000002</v>
      </c>
      <c r="CP134" s="502">
        <f t="shared" si="641"/>
        <v>10.709999999999999</v>
      </c>
      <c r="CQ134" s="502">
        <f t="shared" si="642"/>
        <v>2.5932480000000013</v>
      </c>
      <c r="CR134" s="220">
        <f t="shared" si="643"/>
        <v>0</v>
      </c>
      <c r="CS134" s="503">
        <f t="shared" si="644"/>
        <v>0</v>
      </c>
      <c r="CT134" s="503">
        <f t="shared" si="645"/>
        <v>0.33012999999999998</v>
      </c>
      <c r="CU134" s="504">
        <f t="shared" si="646"/>
        <v>9.6886400000000013</v>
      </c>
      <c r="CV134" s="504">
        <f t="shared" si="647"/>
        <v>1.2440891999999999</v>
      </c>
      <c r="CW134" s="502">
        <f t="shared" si="648"/>
        <v>18.357576000000002</v>
      </c>
      <c r="CX134" s="531">
        <f t="shared" si="649"/>
        <v>3.57</v>
      </c>
      <c r="CY134" s="537">
        <f t="shared" si="650"/>
        <v>1.7849999999999999</v>
      </c>
      <c r="CZ134" s="502">
        <f t="shared" si="651"/>
        <v>0</v>
      </c>
    </row>
    <row r="135" spans="1:104" ht="25" x14ac:dyDescent="0.25">
      <c r="A135" s="413" t="str">
        <f>'BOCA DE LOBO'!C129</f>
        <v>BL46-&gt;PV15.1</v>
      </c>
      <c r="B135" s="413" t="str">
        <f>'BOCA DE LOBO'!A129</f>
        <v>PV15.1</v>
      </c>
      <c r="C135" s="413" t="str">
        <f>VLOOKUP(A135,'BOCA DE LOBO'!$C$82:$Q$270,3,0)</f>
        <v>PROJETADO</v>
      </c>
      <c r="D135" s="413" t="str">
        <f>VLOOKUP(A135,'BOCA DE LOBO'!$C$82:$Q$270,10,0)</f>
        <v>PROJETADA</v>
      </c>
      <c r="E135" s="413">
        <f t="shared" si="566"/>
        <v>1.9488000000000001</v>
      </c>
      <c r="F135" s="413">
        <f>VLOOKUP(A135,'BOCA DE LOBO'!$C$82:$Q$270,2,0)</f>
        <v>2.2000000000000002</v>
      </c>
      <c r="G135" s="413">
        <f>VLOOKUP(A135,'BOCA DE LOBO'!$C$82:$Q$270,4,0)</f>
        <v>6.28</v>
      </c>
      <c r="H135" s="412">
        <v>400</v>
      </c>
      <c r="I135" s="493">
        <f t="shared" si="567"/>
        <v>2.2044000000000001</v>
      </c>
      <c r="J135" s="493">
        <f t="shared" si="568"/>
        <v>0.69218160000000006</v>
      </c>
      <c r="K135" s="530">
        <v>0</v>
      </c>
      <c r="L135" s="531">
        <f t="shared" si="569"/>
        <v>1</v>
      </c>
      <c r="M135" s="531">
        <f t="shared" si="570"/>
        <v>1</v>
      </c>
      <c r="N135" s="531">
        <f t="shared" si="571"/>
        <v>0</v>
      </c>
      <c r="O135" s="531">
        <f t="shared" si="572"/>
        <v>6.28</v>
      </c>
      <c r="P135" s="532" t="str">
        <f>VLOOKUP(B135,'Planilha Hidráulica'!$AG:$AR,12,0)</f>
        <v>ASFALTO</v>
      </c>
      <c r="Q135" s="533" t="s">
        <v>2720</v>
      </c>
      <c r="R135" s="534"/>
      <c r="S135" s="532">
        <f>VLOOKUP(Q135,Quantitativos!P:R,3,0)</f>
        <v>5</v>
      </c>
      <c r="T135" s="532">
        <f>VLOOKUP(Q135,Quantitativos!P:S,4,0)</f>
        <v>5</v>
      </c>
      <c r="U135" s="531">
        <f t="shared" si="573"/>
        <v>0.05</v>
      </c>
      <c r="V135" s="535">
        <f t="shared" si="574"/>
        <v>0</v>
      </c>
      <c r="W135" s="535">
        <f t="shared" si="575"/>
        <v>13.843632000000001</v>
      </c>
      <c r="X135" s="536">
        <f t="shared" si="576"/>
        <v>0</v>
      </c>
      <c r="Y135" s="536">
        <f t="shared" si="577"/>
        <v>0</v>
      </c>
      <c r="Z135" s="536">
        <f t="shared" si="578"/>
        <v>2.2044000000000001</v>
      </c>
      <c r="AA135" s="536">
        <f t="shared" si="579"/>
        <v>0</v>
      </c>
      <c r="AB135" s="496">
        <f t="shared" si="580"/>
        <v>6.28</v>
      </c>
      <c r="AC135" s="251">
        <f t="shared" si="581"/>
        <v>0</v>
      </c>
      <c r="AD135" s="251">
        <f t="shared" si="582"/>
        <v>0</v>
      </c>
      <c r="AE135" s="251">
        <f t="shared" si="583"/>
        <v>0</v>
      </c>
      <c r="AF135" s="251">
        <f t="shared" si="584"/>
        <v>9.42</v>
      </c>
      <c r="AG135" s="251">
        <f t="shared" si="585"/>
        <v>4.4236320000000013</v>
      </c>
      <c r="AH135" s="251">
        <f t="shared" si="586"/>
        <v>0</v>
      </c>
      <c r="AI135" s="497" t="str">
        <f t="shared" si="587"/>
        <v>NÃO</v>
      </c>
      <c r="AJ135" s="531">
        <f t="shared" si="588"/>
        <v>0</v>
      </c>
      <c r="AK135" s="531">
        <f t="shared" si="589"/>
        <v>0</v>
      </c>
      <c r="AL135" s="531">
        <f t="shared" si="590"/>
        <v>13.054463925418245</v>
      </c>
      <c r="AM135" s="493">
        <f t="shared" si="591"/>
        <v>0.31400000000000006</v>
      </c>
      <c r="AN135" s="535">
        <f t="shared" si="592"/>
        <v>0</v>
      </c>
      <c r="AO135" s="531">
        <f t="shared" si="593"/>
        <v>0</v>
      </c>
      <c r="AP135" s="531">
        <f t="shared" si="594"/>
        <v>0</v>
      </c>
      <c r="AQ135" s="531">
        <f t="shared" si="595"/>
        <v>0.7</v>
      </c>
      <c r="AR135" s="531">
        <f t="shared" si="596"/>
        <v>3.6068319254182439</v>
      </c>
      <c r="AS135" s="531">
        <f t="shared" si="597"/>
        <v>0</v>
      </c>
      <c r="AT135" s="531">
        <f t="shared" si="598"/>
        <v>0.94199999999999995</v>
      </c>
      <c r="AU135" s="531">
        <f t="shared" si="599"/>
        <v>0.94199999999999995</v>
      </c>
      <c r="AV135" s="531">
        <f t="shared" si="600"/>
        <v>0.18840000000000001</v>
      </c>
      <c r="AW135" s="531">
        <f t="shared" si="601"/>
        <v>7.249632000000001</v>
      </c>
      <c r="AX135" s="531">
        <f t="shared" si="602"/>
        <v>9.2948000745817581</v>
      </c>
      <c r="AY135" s="531">
        <f t="shared" si="603"/>
        <v>7.249632000000001</v>
      </c>
      <c r="AZ135" s="531">
        <f t="shared" si="604"/>
        <v>0</v>
      </c>
      <c r="BA135" s="531">
        <f t="shared" si="605"/>
        <v>0</v>
      </c>
      <c r="BB135" s="531">
        <f t="shared" si="606"/>
        <v>0</v>
      </c>
      <c r="BC135" s="531"/>
      <c r="BD135" s="531">
        <f t="shared" si="607"/>
        <v>3.7679999999999998E-2</v>
      </c>
      <c r="BE135" s="496">
        <f t="shared" si="608"/>
        <v>2.2044000000000001</v>
      </c>
      <c r="BF135" s="498">
        <f t="shared" si="609"/>
        <v>0</v>
      </c>
      <c r="BG135" s="498">
        <f t="shared" si="610"/>
        <v>6.28</v>
      </c>
      <c r="BH135" s="532" t="str">
        <f>VLOOKUP(A135,'BOCA DE LOBO'!C:I,7,0)</f>
        <v>BOCA DE LOBO PROJETADA DUPLA</v>
      </c>
      <c r="BI135" s="531">
        <f t="shared" si="611"/>
        <v>0</v>
      </c>
      <c r="BJ135" s="531">
        <f t="shared" si="612"/>
        <v>0</v>
      </c>
      <c r="BK135" s="531">
        <f t="shared" si="613"/>
        <v>0</v>
      </c>
      <c r="BL135" s="531">
        <f t="shared" si="614"/>
        <v>0</v>
      </c>
      <c r="BM135" s="531">
        <f t="shared" si="615"/>
        <v>0</v>
      </c>
      <c r="BN135" s="531">
        <f t="shared" si="616"/>
        <v>1</v>
      </c>
      <c r="BO135" s="499">
        <f t="shared" si="617"/>
        <v>0</v>
      </c>
      <c r="BP135" s="500"/>
      <c r="BQ135" s="496">
        <f t="shared" si="618"/>
        <v>18.84</v>
      </c>
      <c r="BR135" s="496">
        <f t="shared" si="619"/>
        <v>8.8472640000000027</v>
      </c>
      <c r="BS135" s="496">
        <f t="shared" si="620"/>
        <v>0</v>
      </c>
      <c r="BT135" s="501"/>
      <c r="BU135" s="501"/>
      <c r="BV135" s="502">
        <f t="shared" si="621"/>
        <v>15.166730879999998</v>
      </c>
      <c r="BW135" s="502">
        <f t="shared" si="622"/>
        <v>7.7825999999999986</v>
      </c>
      <c r="BX135" s="502">
        <f t="shared" si="623"/>
        <v>3.0325999999999995</v>
      </c>
      <c r="BY135" s="502">
        <f t="shared" si="624"/>
        <v>1.9488000000000001</v>
      </c>
      <c r="BZ135" s="502">
        <f t="shared" si="625"/>
        <v>1.9488000000000001</v>
      </c>
      <c r="CA135" s="502">
        <f t="shared" si="626"/>
        <v>0</v>
      </c>
      <c r="CB135" s="502">
        <f t="shared" si="627"/>
        <v>0</v>
      </c>
      <c r="CC135" s="502">
        <f t="shared" si="628"/>
        <v>11.673899999999998</v>
      </c>
      <c r="CD135" s="502">
        <f t="shared" si="629"/>
        <v>3.4928308800000001</v>
      </c>
      <c r="CE135" s="502">
        <f t="shared" si="630"/>
        <v>0</v>
      </c>
      <c r="CF135" s="502">
        <f t="shared" si="631"/>
        <v>0</v>
      </c>
      <c r="CG135" s="502">
        <f t="shared" si="632"/>
        <v>0</v>
      </c>
      <c r="CH135" s="502">
        <f t="shared" si="633"/>
        <v>0</v>
      </c>
      <c r="CI135" s="531">
        <f t="shared" si="634"/>
        <v>0.53549999999999998</v>
      </c>
      <c r="CJ135" s="502">
        <f t="shared" si="635"/>
        <v>8.7212999999999976</v>
      </c>
      <c r="CK135" s="502">
        <f t="shared" si="636"/>
        <v>8.7212999999999976</v>
      </c>
      <c r="CL135" s="502">
        <f t="shared" si="637"/>
        <v>0</v>
      </c>
      <c r="CM135" s="502">
        <f t="shared" si="638"/>
        <v>0</v>
      </c>
      <c r="CN135" s="502">
        <f t="shared" si="639"/>
        <v>3.57</v>
      </c>
      <c r="CO135" s="502">
        <f t="shared" si="640"/>
        <v>1.9488000000000001</v>
      </c>
      <c r="CP135" s="502">
        <f t="shared" si="641"/>
        <v>10.709999999999999</v>
      </c>
      <c r="CQ135" s="502">
        <f t="shared" si="642"/>
        <v>3.2044320000000006</v>
      </c>
      <c r="CR135" s="220">
        <f t="shared" si="643"/>
        <v>0</v>
      </c>
      <c r="CS135" s="503">
        <f t="shared" si="644"/>
        <v>0</v>
      </c>
      <c r="CT135" s="503">
        <f t="shared" si="645"/>
        <v>0.33012999999999998</v>
      </c>
      <c r="CU135" s="504">
        <f t="shared" si="646"/>
        <v>10.133760000000001</v>
      </c>
      <c r="CV135" s="504">
        <f t="shared" si="647"/>
        <v>1.2702827999999999</v>
      </c>
      <c r="CW135" s="502">
        <f t="shared" si="648"/>
        <v>19.014983999999998</v>
      </c>
      <c r="CX135" s="531">
        <f t="shared" si="649"/>
        <v>3.57</v>
      </c>
      <c r="CY135" s="537">
        <f t="shared" si="650"/>
        <v>1.7849999999999999</v>
      </c>
      <c r="CZ135" s="502">
        <f t="shared" si="651"/>
        <v>0</v>
      </c>
    </row>
    <row r="136" spans="1:104" ht="25" x14ac:dyDescent="0.25">
      <c r="A136" s="413" t="str">
        <f>'BOCA DE LOBO'!C130</f>
        <v>BL47-&gt;PV16.1</v>
      </c>
      <c r="B136" s="413" t="str">
        <f>'BOCA DE LOBO'!A130</f>
        <v>PV16.1</v>
      </c>
      <c r="C136" s="413" t="str">
        <f>VLOOKUP(A136,'BOCA DE LOBO'!$C$82:$Q$270,3,0)</f>
        <v>PROJETADO</v>
      </c>
      <c r="D136" s="413" t="str">
        <f>VLOOKUP(A136,'BOCA DE LOBO'!$C$82:$Q$270,10,0)</f>
        <v>PROJETADA</v>
      </c>
      <c r="E136" s="413">
        <f t="shared" si="566"/>
        <v>1.9672000000000001</v>
      </c>
      <c r="F136" s="413">
        <f>VLOOKUP(A136,'BOCA DE LOBO'!$C$82:$Q$270,2,0)</f>
        <v>2.25</v>
      </c>
      <c r="G136" s="413">
        <f>VLOOKUP(A136,'BOCA DE LOBO'!$C$82:$Q$270,4,0)</f>
        <v>7.07</v>
      </c>
      <c r="H136" s="412">
        <v>400</v>
      </c>
      <c r="I136" s="493">
        <f t="shared" si="567"/>
        <v>2.2385999999999999</v>
      </c>
      <c r="J136" s="493">
        <f t="shared" si="568"/>
        <v>0.79134510000000002</v>
      </c>
      <c r="K136" s="530">
        <v>0</v>
      </c>
      <c r="L136" s="531">
        <f t="shared" si="569"/>
        <v>1</v>
      </c>
      <c r="M136" s="531">
        <f t="shared" si="570"/>
        <v>1</v>
      </c>
      <c r="N136" s="531">
        <f t="shared" si="571"/>
        <v>0</v>
      </c>
      <c r="O136" s="531">
        <f t="shared" si="572"/>
        <v>7.07</v>
      </c>
      <c r="P136" s="532" t="str">
        <f>VLOOKUP(B136,'Planilha Hidráulica'!$AG:$AR,12,0)</f>
        <v>ASFALTO</v>
      </c>
      <c r="Q136" s="533" t="s">
        <v>2718</v>
      </c>
      <c r="R136" s="534"/>
      <c r="S136" s="532">
        <f>VLOOKUP(Q136,Quantitativos!P:R,3,0)</f>
        <v>5</v>
      </c>
      <c r="T136" s="532">
        <f>VLOOKUP(Q136,Quantitativos!P:S,4,0)</f>
        <v>5</v>
      </c>
      <c r="U136" s="531">
        <f t="shared" si="573"/>
        <v>0.05</v>
      </c>
      <c r="V136" s="535">
        <f t="shared" si="574"/>
        <v>0</v>
      </c>
      <c r="W136" s="535">
        <f t="shared" si="575"/>
        <v>15.826902</v>
      </c>
      <c r="X136" s="536">
        <f t="shared" si="576"/>
        <v>0</v>
      </c>
      <c r="Y136" s="536">
        <f t="shared" si="577"/>
        <v>0</v>
      </c>
      <c r="Z136" s="536">
        <f t="shared" si="578"/>
        <v>2.2385999999999999</v>
      </c>
      <c r="AA136" s="536">
        <f t="shared" si="579"/>
        <v>0</v>
      </c>
      <c r="AB136" s="496">
        <f t="shared" si="580"/>
        <v>7.07</v>
      </c>
      <c r="AC136" s="251">
        <f t="shared" si="581"/>
        <v>0</v>
      </c>
      <c r="AD136" s="251">
        <f t="shared" si="582"/>
        <v>0</v>
      </c>
      <c r="AE136" s="251">
        <f t="shared" si="583"/>
        <v>0</v>
      </c>
      <c r="AF136" s="251">
        <f t="shared" si="584"/>
        <v>10.605</v>
      </c>
      <c r="AG136" s="251">
        <f t="shared" si="585"/>
        <v>5.221902</v>
      </c>
      <c r="AH136" s="251">
        <f t="shared" si="586"/>
        <v>0</v>
      </c>
      <c r="AI136" s="497" t="str">
        <f t="shared" si="587"/>
        <v>NÃO</v>
      </c>
      <c r="AJ136" s="531">
        <f t="shared" si="588"/>
        <v>0</v>
      </c>
      <c r="AK136" s="531">
        <f t="shared" si="589"/>
        <v>0</v>
      </c>
      <c r="AL136" s="531">
        <f t="shared" si="590"/>
        <v>14.938459597564806</v>
      </c>
      <c r="AM136" s="493">
        <f t="shared" si="591"/>
        <v>0.35350000000000004</v>
      </c>
      <c r="AN136" s="535">
        <f t="shared" si="592"/>
        <v>0</v>
      </c>
      <c r="AO136" s="531">
        <f t="shared" si="593"/>
        <v>0</v>
      </c>
      <c r="AP136" s="531">
        <f t="shared" si="594"/>
        <v>0</v>
      </c>
      <c r="AQ136" s="531">
        <f t="shared" si="595"/>
        <v>0.7</v>
      </c>
      <c r="AR136" s="531">
        <f t="shared" si="596"/>
        <v>4.0605575975648058</v>
      </c>
      <c r="AS136" s="531">
        <f t="shared" si="597"/>
        <v>0</v>
      </c>
      <c r="AT136" s="531">
        <f t="shared" si="598"/>
        <v>1.0605</v>
      </c>
      <c r="AU136" s="531">
        <f t="shared" si="599"/>
        <v>1.0605</v>
      </c>
      <c r="AV136" s="531">
        <f t="shared" si="600"/>
        <v>0.21210000000000001</v>
      </c>
      <c r="AW136" s="531">
        <f t="shared" si="601"/>
        <v>8.4034020000000016</v>
      </c>
      <c r="AX136" s="531">
        <f t="shared" si="602"/>
        <v>10.705844402435195</v>
      </c>
      <c r="AY136" s="531">
        <f t="shared" si="603"/>
        <v>8.4034020000000016</v>
      </c>
      <c r="AZ136" s="531">
        <f t="shared" si="604"/>
        <v>0</v>
      </c>
      <c r="BA136" s="531">
        <f t="shared" si="605"/>
        <v>0</v>
      </c>
      <c r="BB136" s="531">
        <f t="shared" si="606"/>
        <v>0</v>
      </c>
      <c r="BC136" s="531"/>
      <c r="BD136" s="531">
        <f t="shared" si="607"/>
        <v>4.2419999999999999E-2</v>
      </c>
      <c r="BE136" s="496">
        <f t="shared" si="608"/>
        <v>2.2385999999999999</v>
      </c>
      <c r="BF136" s="498">
        <f t="shared" si="609"/>
        <v>0</v>
      </c>
      <c r="BG136" s="498">
        <f t="shared" si="610"/>
        <v>7.07</v>
      </c>
      <c r="BH136" s="532" t="str">
        <f>VLOOKUP(A136,'BOCA DE LOBO'!C:I,7,0)</f>
        <v>BOCA DE LOBO PROJETADA DUPLA</v>
      </c>
      <c r="BI136" s="531">
        <f t="shared" si="611"/>
        <v>0</v>
      </c>
      <c r="BJ136" s="531">
        <f t="shared" si="612"/>
        <v>0</v>
      </c>
      <c r="BK136" s="531">
        <f t="shared" si="613"/>
        <v>0</v>
      </c>
      <c r="BL136" s="531">
        <f t="shared" si="614"/>
        <v>0</v>
      </c>
      <c r="BM136" s="531">
        <f t="shared" si="615"/>
        <v>0</v>
      </c>
      <c r="BN136" s="531">
        <f t="shared" si="616"/>
        <v>1</v>
      </c>
      <c r="BO136" s="499">
        <f t="shared" si="617"/>
        <v>0</v>
      </c>
      <c r="BP136" s="500"/>
      <c r="BQ136" s="496">
        <f t="shared" si="618"/>
        <v>21.21</v>
      </c>
      <c r="BR136" s="496">
        <f t="shared" si="619"/>
        <v>10.443804</v>
      </c>
      <c r="BS136" s="496">
        <f t="shared" si="620"/>
        <v>0</v>
      </c>
      <c r="BT136" s="501"/>
      <c r="BU136" s="501"/>
      <c r="BV136" s="502">
        <f t="shared" si="621"/>
        <v>15.309930719999997</v>
      </c>
      <c r="BW136" s="502">
        <f t="shared" si="622"/>
        <v>7.7825999999999986</v>
      </c>
      <c r="BX136" s="502">
        <f t="shared" si="623"/>
        <v>3.0325999999999995</v>
      </c>
      <c r="BY136" s="502">
        <f t="shared" si="624"/>
        <v>1.9672000000000001</v>
      </c>
      <c r="BZ136" s="502">
        <f t="shared" si="625"/>
        <v>1.9672000000000001</v>
      </c>
      <c r="CA136" s="502">
        <f t="shared" si="626"/>
        <v>0</v>
      </c>
      <c r="CB136" s="502">
        <f t="shared" si="627"/>
        <v>0</v>
      </c>
      <c r="CC136" s="502">
        <f t="shared" si="628"/>
        <v>11.673899999999998</v>
      </c>
      <c r="CD136" s="502">
        <f t="shared" si="629"/>
        <v>3.6360307199999999</v>
      </c>
      <c r="CE136" s="502">
        <f t="shared" si="630"/>
        <v>0</v>
      </c>
      <c r="CF136" s="502">
        <f t="shared" si="631"/>
        <v>0</v>
      </c>
      <c r="CG136" s="502">
        <f t="shared" si="632"/>
        <v>0</v>
      </c>
      <c r="CH136" s="502">
        <f t="shared" si="633"/>
        <v>0</v>
      </c>
      <c r="CI136" s="531">
        <f t="shared" si="634"/>
        <v>0.53549999999999998</v>
      </c>
      <c r="CJ136" s="502">
        <f t="shared" si="635"/>
        <v>8.8086999999999982</v>
      </c>
      <c r="CK136" s="502">
        <f t="shared" si="636"/>
        <v>8.8086999999999982</v>
      </c>
      <c r="CL136" s="502">
        <f t="shared" si="637"/>
        <v>0</v>
      </c>
      <c r="CM136" s="502">
        <f t="shared" si="638"/>
        <v>0</v>
      </c>
      <c r="CN136" s="502">
        <f t="shared" si="639"/>
        <v>3.57</v>
      </c>
      <c r="CO136" s="502">
        <f t="shared" si="640"/>
        <v>1.9672000000000001</v>
      </c>
      <c r="CP136" s="502">
        <f t="shared" si="641"/>
        <v>10.709999999999999</v>
      </c>
      <c r="CQ136" s="502">
        <f t="shared" si="642"/>
        <v>3.3358080000000001</v>
      </c>
      <c r="CR136" s="220">
        <f t="shared" si="643"/>
        <v>0</v>
      </c>
      <c r="CS136" s="503">
        <f t="shared" si="644"/>
        <v>0</v>
      </c>
      <c r="CT136" s="503">
        <f t="shared" si="645"/>
        <v>0.33012999999999998</v>
      </c>
      <c r="CU136" s="504">
        <f t="shared" si="646"/>
        <v>10.22944</v>
      </c>
      <c r="CV136" s="504">
        <f t="shared" si="647"/>
        <v>1.2759132</v>
      </c>
      <c r="CW136" s="502">
        <f t="shared" si="648"/>
        <v>19.156296000000001</v>
      </c>
      <c r="CX136" s="531">
        <f t="shared" si="649"/>
        <v>3.57</v>
      </c>
      <c r="CY136" s="537">
        <f t="shared" si="650"/>
        <v>1.7849999999999999</v>
      </c>
      <c r="CZ136" s="502">
        <f t="shared" si="651"/>
        <v>0</v>
      </c>
    </row>
    <row r="137" spans="1:104" ht="25" x14ac:dyDescent="0.25">
      <c r="A137" s="413" t="str">
        <f>'BOCA DE LOBO'!C131</f>
        <v>BL48-&gt;PV17.1</v>
      </c>
      <c r="B137" s="413" t="str">
        <f>'BOCA DE LOBO'!A131</f>
        <v>PV17.1</v>
      </c>
      <c r="C137" s="413" t="str">
        <f>VLOOKUP(A137,'BOCA DE LOBO'!$C$82:$Q$270,3,0)</f>
        <v>PROJETADO</v>
      </c>
      <c r="D137" s="413" t="str">
        <f>VLOOKUP(A137,'BOCA DE LOBO'!$C$82:$Q$270,10,0)</f>
        <v>PROJETADA</v>
      </c>
      <c r="E137" s="413">
        <f t="shared" si="566"/>
        <v>2.2552000000000003</v>
      </c>
      <c r="F137" s="413">
        <f>VLOOKUP(A137,'BOCA DE LOBO'!$C$82:$Q$270,2,0)</f>
        <v>2.6</v>
      </c>
      <c r="G137" s="413">
        <f>VLOOKUP(A137,'BOCA DE LOBO'!$C$82:$Q$270,4,0)</f>
        <v>8.6199999999999992</v>
      </c>
      <c r="H137" s="412">
        <v>400</v>
      </c>
      <c r="I137" s="493">
        <f t="shared" si="567"/>
        <v>2.5575999999999999</v>
      </c>
      <c r="J137" s="493">
        <f t="shared" si="568"/>
        <v>1.1023255999999999</v>
      </c>
      <c r="K137" s="530">
        <v>0</v>
      </c>
      <c r="L137" s="531">
        <f t="shared" si="569"/>
        <v>1</v>
      </c>
      <c r="M137" s="531">
        <f t="shared" si="570"/>
        <v>1</v>
      </c>
      <c r="N137" s="531">
        <f t="shared" si="571"/>
        <v>0</v>
      </c>
      <c r="O137" s="531">
        <f t="shared" si="572"/>
        <v>8.6199999999999992</v>
      </c>
      <c r="P137" s="532" t="s">
        <v>2392</v>
      </c>
      <c r="Q137" s="533" t="s">
        <v>2718</v>
      </c>
      <c r="R137" s="534"/>
      <c r="S137" s="532">
        <f>VLOOKUP(Q137,Quantitativos!P:R,3,0)</f>
        <v>5</v>
      </c>
      <c r="T137" s="532">
        <f>VLOOKUP(Q137,Quantitativos!P:S,4,0)</f>
        <v>5</v>
      </c>
      <c r="U137" s="531">
        <f t="shared" si="573"/>
        <v>0.05</v>
      </c>
      <c r="V137" s="535">
        <f t="shared" si="574"/>
        <v>0</v>
      </c>
      <c r="W137" s="535">
        <f t="shared" si="575"/>
        <v>22.046511999999996</v>
      </c>
      <c r="X137" s="536">
        <f t="shared" si="576"/>
        <v>0</v>
      </c>
      <c r="Y137" s="536">
        <f t="shared" si="577"/>
        <v>0</v>
      </c>
      <c r="Z137" s="536">
        <f t="shared" si="578"/>
        <v>2.5575999999999999</v>
      </c>
      <c r="AA137" s="536">
        <f t="shared" si="579"/>
        <v>0</v>
      </c>
      <c r="AB137" s="496">
        <f t="shared" si="580"/>
        <v>8.6199999999999992</v>
      </c>
      <c r="AC137" s="251">
        <f t="shared" si="581"/>
        <v>0</v>
      </c>
      <c r="AD137" s="251">
        <f t="shared" si="582"/>
        <v>0</v>
      </c>
      <c r="AE137" s="251">
        <f t="shared" si="583"/>
        <v>0</v>
      </c>
      <c r="AF137" s="251">
        <f t="shared" si="584"/>
        <v>12.93</v>
      </c>
      <c r="AG137" s="251">
        <f t="shared" si="585"/>
        <v>9.1165119999999984</v>
      </c>
      <c r="AH137" s="251">
        <f t="shared" si="586"/>
        <v>0</v>
      </c>
      <c r="AI137" s="497" t="str">
        <f t="shared" si="587"/>
        <v>NÃO</v>
      </c>
      <c r="AJ137" s="531">
        <f t="shared" si="588"/>
        <v>0</v>
      </c>
      <c r="AK137" s="531">
        <f t="shared" si="589"/>
        <v>0</v>
      </c>
      <c r="AL137" s="531">
        <f t="shared" si="590"/>
        <v>20.963290853042235</v>
      </c>
      <c r="AM137" s="493">
        <f t="shared" si="591"/>
        <v>0.43099999999999999</v>
      </c>
      <c r="AN137" s="535">
        <f t="shared" si="592"/>
        <v>0</v>
      </c>
      <c r="AO137" s="531">
        <f t="shared" si="593"/>
        <v>0</v>
      </c>
      <c r="AP137" s="531">
        <f t="shared" si="594"/>
        <v>0</v>
      </c>
      <c r="AQ137" s="531">
        <f t="shared" si="595"/>
        <v>0.7</v>
      </c>
      <c r="AR137" s="531">
        <f t="shared" si="596"/>
        <v>4.9507788530422383</v>
      </c>
      <c r="AS137" s="531">
        <f t="shared" si="597"/>
        <v>0</v>
      </c>
      <c r="AT137" s="531">
        <f t="shared" si="598"/>
        <v>1.2929999999999999</v>
      </c>
      <c r="AU137" s="531">
        <f t="shared" si="599"/>
        <v>1.2929999999999999</v>
      </c>
      <c r="AV137" s="531">
        <f t="shared" si="600"/>
        <v>0.25859999999999994</v>
      </c>
      <c r="AW137" s="531">
        <f t="shared" si="601"/>
        <v>12.995511999999998</v>
      </c>
      <c r="AX137" s="531">
        <f t="shared" si="602"/>
        <v>15.802733146957763</v>
      </c>
      <c r="AY137" s="531">
        <f t="shared" si="603"/>
        <v>12.995511999999998</v>
      </c>
      <c r="AZ137" s="531">
        <f t="shared" si="604"/>
        <v>0</v>
      </c>
      <c r="BA137" s="531">
        <f t="shared" si="605"/>
        <v>0</v>
      </c>
      <c r="BB137" s="531">
        <f t="shared" si="606"/>
        <v>0</v>
      </c>
      <c r="BC137" s="531"/>
      <c r="BD137" s="531">
        <f t="shared" si="607"/>
        <v>5.1719999999999995E-2</v>
      </c>
      <c r="BE137" s="496">
        <f t="shared" si="608"/>
        <v>2.5575999999999999</v>
      </c>
      <c r="BF137" s="498">
        <f t="shared" si="609"/>
        <v>0</v>
      </c>
      <c r="BG137" s="498">
        <f t="shared" si="610"/>
        <v>8.6199999999999992</v>
      </c>
      <c r="BH137" s="532" t="str">
        <f>VLOOKUP(A137,'BOCA DE LOBO'!C:I,7,0)</f>
        <v>BOCA DE LOBO PROJETADA DUPLA</v>
      </c>
      <c r="BI137" s="531">
        <f t="shared" si="611"/>
        <v>0</v>
      </c>
      <c r="BJ137" s="531">
        <f t="shared" si="612"/>
        <v>0</v>
      </c>
      <c r="BK137" s="531">
        <f t="shared" si="613"/>
        <v>0</v>
      </c>
      <c r="BL137" s="531">
        <f t="shared" si="614"/>
        <v>0</v>
      </c>
      <c r="BM137" s="531">
        <f t="shared" si="615"/>
        <v>0</v>
      </c>
      <c r="BN137" s="531">
        <f t="shared" si="616"/>
        <v>1</v>
      </c>
      <c r="BO137" s="499">
        <f t="shared" si="617"/>
        <v>0</v>
      </c>
      <c r="BP137" s="500"/>
      <c r="BQ137" s="496">
        <f t="shared" si="618"/>
        <v>25.86</v>
      </c>
      <c r="BR137" s="496">
        <f t="shared" si="619"/>
        <v>18.233023999999997</v>
      </c>
      <c r="BS137" s="496">
        <f t="shared" si="620"/>
        <v>0</v>
      </c>
      <c r="BT137" s="501"/>
      <c r="BU137" s="501"/>
      <c r="BV137" s="502">
        <f t="shared" si="621"/>
        <v>17.55131952</v>
      </c>
      <c r="BW137" s="502">
        <f t="shared" si="622"/>
        <v>7.7825999999999986</v>
      </c>
      <c r="BX137" s="502">
        <f t="shared" si="623"/>
        <v>3.0325999999999995</v>
      </c>
      <c r="BY137" s="502">
        <f t="shared" si="624"/>
        <v>2.2552000000000003</v>
      </c>
      <c r="BZ137" s="502">
        <f t="shared" si="625"/>
        <v>2.2552000000000003</v>
      </c>
      <c r="CA137" s="502">
        <f t="shared" si="626"/>
        <v>0</v>
      </c>
      <c r="CB137" s="502">
        <f t="shared" si="627"/>
        <v>0</v>
      </c>
      <c r="CC137" s="502">
        <f t="shared" si="628"/>
        <v>11.673899999999998</v>
      </c>
      <c r="CD137" s="502">
        <f t="shared" si="629"/>
        <v>5.877419520000001</v>
      </c>
      <c r="CE137" s="502">
        <f t="shared" si="630"/>
        <v>0</v>
      </c>
      <c r="CF137" s="502">
        <f t="shared" si="631"/>
        <v>0</v>
      </c>
      <c r="CG137" s="502">
        <f t="shared" si="632"/>
        <v>0</v>
      </c>
      <c r="CH137" s="502">
        <f t="shared" si="633"/>
        <v>0</v>
      </c>
      <c r="CI137" s="531">
        <f t="shared" si="634"/>
        <v>0.53549999999999998</v>
      </c>
      <c r="CJ137" s="502">
        <f t="shared" si="635"/>
        <v>10.176699999999999</v>
      </c>
      <c r="CK137" s="502">
        <f t="shared" si="636"/>
        <v>10.176699999999999</v>
      </c>
      <c r="CL137" s="502">
        <f t="shared" si="637"/>
        <v>0</v>
      </c>
      <c r="CM137" s="502">
        <f t="shared" si="638"/>
        <v>0</v>
      </c>
      <c r="CN137" s="502">
        <f t="shared" si="639"/>
        <v>3.57</v>
      </c>
      <c r="CO137" s="502">
        <f t="shared" si="640"/>
        <v>2.2552000000000003</v>
      </c>
      <c r="CP137" s="502">
        <f t="shared" si="641"/>
        <v>10.709999999999999</v>
      </c>
      <c r="CQ137" s="502">
        <f t="shared" si="642"/>
        <v>5.3921280000000023</v>
      </c>
      <c r="CR137" s="220">
        <f t="shared" si="643"/>
        <v>0</v>
      </c>
      <c r="CS137" s="503">
        <f t="shared" si="644"/>
        <v>0</v>
      </c>
      <c r="CT137" s="503">
        <f t="shared" si="645"/>
        <v>0.33012999999999998</v>
      </c>
      <c r="CU137" s="504">
        <f t="shared" si="646"/>
        <v>11.727040000000002</v>
      </c>
      <c r="CV137" s="504">
        <f t="shared" si="647"/>
        <v>1.3640412</v>
      </c>
      <c r="CW137" s="502">
        <f t="shared" si="648"/>
        <v>21.368136</v>
      </c>
      <c r="CX137" s="531">
        <f t="shared" si="649"/>
        <v>3.57</v>
      </c>
      <c r="CY137" s="537">
        <f t="shared" si="650"/>
        <v>1.7849999999999999</v>
      </c>
      <c r="CZ137" s="502">
        <f t="shared" si="651"/>
        <v>0</v>
      </c>
    </row>
    <row r="138" spans="1:104" ht="25" x14ac:dyDescent="0.25">
      <c r="A138" s="413" t="str">
        <f>'BOCA DE LOBO'!C132</f>
        <v>BL49-&gt;PV1.2</v>
      </c>
      <c r="B138" s="413" t="str">
        <f>'BOCA DE LOBO'!A132</f>
        <v>PV1.2</v>
      </c>
      <c r="C138" s="413" t="str">
        <f>VLOOKUP(A138,'BOCA DE LOBO'!$C$82:$Q$270,3,0)</f>
        <v>PROJETADO</v>
      </c>
      <c r="D138" s="413" t="str">
        <f>VLOOKUP(A138,'BOCA DE LOBO'!$C$82:$Q$270,10,0)</f>
        <v>PROJETADA</v>
      </c>
      <c r="E138" s="413">
        <f t="shared" si="566"/>
        <v>1.4188000000000001</v>
      </c>
      <c r="F138" s="413">
        <f>VLOOKUP(A138,'BOCA DE LOBO'!$C$82:$Q$270,2,0)</f>
        <v>1.81</v>
      </c>
      <c r="G138" s="413">
        <f>VLOOKUP(A138,'BOCA DE LOBO'!$C$82:$Q$270,4,0)</f>
        <v>9.7799999999999994</v>
      </c>
      <c r="H138" s="412">
        <v>400</v>
      </c>
      <c r="I138" s="493">
        <f t="shared" si="567"/>
        <v>1.7444000000000002</v>
      </c>
      <c r="J138" s="493">
        <f t="shared" si="568"/>
        <v>0.85301159999999998</v>
      </c>
      <c r="K138" s="530">
        <v>0</v>
      </c>
      <c r="L138" s="531">
        <f t="shared" si="569"/>
        <v>1</v>
      </c>
      <c r="M138" s="531">
        <f t="shared" si="570"/>
        <v>1</v>
      </c>
      <c r="N138" s="531">
        <f t="shared" si="571"/>
        <v>0</v>
      </c>
      <c r="O138" s="531">
        <f t="shared" si="572"/>
        <v>9.7799999999999994</v>
      </c>
      <c r="P138" s="532" t="str">
        <f>VLOOKUP(B138,'Planilha Hidráulica'!$AG:$AR,12,0)</f>
        <v>ASFALTO</v>
      </c>
      <c r="Q138" s="533" t="s">
        <v>2734</v>
      </c>
      <c r="R138" s="534"/>
      <c r="S138" s="532">
        <f>VLOOKUP(Q138,Quantitativos!P:R,3,0)</f>
        <v>4</v>
      </c>
      <c r="T138" s="532">
        <f>VLOOKUP(Q138,Quantitativos!P:S,4,0)</f>
        <v>4</v>
      </c>
      <c r="U138" s="531">
        <f t="shared" si="573"/>
        <v>0.05</v>
      </c>
      <c r="V138" s="535">
        <f t="shared" si="574"/>
        <v>0</v>
      </c>
      <c r="W138" s="535">
        <f t="shared" si="575"/>
        <v>17.060231999999999</v>
      </c>
      <c r="X138" s="536">
        <f t="shared" si="576"/>
        <v>0</v>
      </c>
      <c r="Y138" s="536">
        <f t="shared" si="577"/>
        <v>0</v>
      </c>
      <c r="Z138" s="536">
        <f t="shared" si="578"/>
        <v>1.7444000000000002</v>
      </c>
      <c r="AA138" s="536">
        <f t="shared" si="579"/>
        <v>0</v>
      </c>
      <c r="AB138" s="496">
        <f t="shared" si="580"/>
        <v>9.7799999999999994</v>
      </c>
      <c r="AC138" s="251">
        <f t="shared" si="581"/>
        <v>0</v>
      </c>
      <c r="AD138" s="251">
        <f t="shared" si="582"/>
        <v>0</v>
      </c>
      <c r="AE138" s="251">
        <f t="shared" si="583"/>
        <v>0</v>
      </c>
      <c r="AF138" s="251">
        <f t="shared" si="584"/>
        <v>14.669999999999998</v>
      </c>
      <c r="AG138" s="251">
        <f t="shared" si="585"/>
        <v>2.3902320000000015</v>
      </c>
      <c r="AH138" s="251">
        <f t="shared" si="586"/>
        <v>0</v>
      </c>
      <c r="AI138" s="497" t="str">
        <f t="shared" si="587"/>
        <v>NÃO</v>
      </c>
      <c r="AJ138" s="531">
        <f t="shared" si="588"/>
        <v>0</v>
      </c>
      <c r="AK138" s="531">
        <f t="shared" si="589"/>
        <v>0</v>
      </c>
      <c r="AL138" s="531">
        <f t="shared" si="590"/>
        <v>15.831240953915671</v>
      </c>
      <c r="AM138" s="493">
        <f t="shared" si="591"/>
        <v>0.48899999999999999</v>
      </c>
      <c r="AN138" s="535">
        <f t="shared" si="592"/>
        <v>0</v>
      </c>
      <c r="AO138" s="531">
        <f t="shared" si="593"/>
        <v>0</v>
      </c>
      <c r="AP138" s="531">
        <f t="shared" si="594"/>
        <v>0</v>
      </c>
      <c r="AQ138" s="531">
        <f t="shared" si="595"/>
        <v>0.7</v>
      </c>
      <c r="AR138" s="531">
        <f t="shared" si="596"/>
        <v>5.617008953915672</v>
      </c>
      <c r="AS138" s="531">
        <f t="shared" si="597"/>
        <v>0</v>
      </c>
      <c r="AT138" s="531">
        <f t="shared" si="598"/>
        <v>1.4669999999999999</v>
      </c>
      <c r="AU138" s="531">
        <f t="shared" si="599"/>
        <v>1.4669999999999999</v>
      </c>
      <c r="AV138" s="531">
        <f t="shared" si="600"/>
        <v>0.29339999999999999</v>
      </c>
      <c r="AW138" s="531">
        <f t="shared" si="601"/>
        <v>6.7912319999999973</v>
      </c>
      <c r="AX138" s="531">
        <f t="shared" si="602"/>
        <v>9.9762230460843266</v>
      </c>
      <c r="AY138" s="531">
        <f t="shared" si="603"/>
        <v>6.7912319999999973</v>
      </c>
      <c r="AZ138" s="531">
        <f t="shared" si="604"/>
        <v>0</v>
      </c>
      <c r="BA138" s="531">
        <f t="shared" si="605"/>
        <v>0</v>
      </c>
      <c r="BB138" s="531">
        <f t="shared" si="606"/>
        <v>0</v>
      </c>
      <c r="BC138" s="531"/>
      <c r="BD138" s="531">
        <f t="shared" si="607"/>
        <v>5.8679999999999996E-2</v>
      </c>
      <c r="BE138" s="496">
        <f t="shared" si="608"/>
        <v>1.7444000000000002</v>
      </c>
      <c r="BF138" s="498">
        <f t="shared" si="609"/>
        <v>9.7799999999999994</v>
      </c>
      <c r="BG138" s="498">
        <f t="shared" si="610"/>
        <v>0</v>
      </c>
      <c r="BH138" s="532" t="str">
        <f>VLOOKUP(A138,'BOCA DE LOBO'!C:I,7,0)</f>
        <v>BOCA DE LOBO PROJETADA DUPLA</v>
      </c>
      <c r="BI138" s="531">
        <f t="shared" si="611"/>
        <v>0</v>
      </c>
      <c r="BJ138" s="531">
        <f t="shared" si="612"/>
        <v>0</v>
      </c>
      <c r="BK138" s="531">
        <f t="shared" si="613"/>
        <v>0</v>
      </c>
      <c r="BL138" s="531">
        <f t="shared" si="614"/>
        <v>0</v>
      </c>
      <c r="BM138" s="531">
        <f t="shared" si="615"/>
        <v>0</v>
      </c>
      <c r="BN138" s="531">
        <f t="shared" si="616"/>
        <v>1</v>
      </c>
      <c r="BO138" s="499">
        <f t="shared" si="617"/>
        <v>0</v>
      </c>
      <c r="BP138" s="500"/>
      <c r="BQ138" s="496">
        <f t="shared" si="618"/>
        <v>29.339999999999996</v>
      </c>
      <c r="BR138" s="496">
        <f t="shared" si="619"/>
        <v>4.7804640000000029</v>
      </c>
      <c r="BS138" s="496">
        <f t="shared" si="620"/>
        <v>0</v>
      </c>
      <c r="BT138" s="501"/>
      <c r="BU138" s="501"/>
      <c r="BV138" s="502">
        <f t="shared" si="621"/>
        <v>11.041952879999998</v>
      </c>
      <c r="BW138" s="502">
        <f t="shared" si="622"/>
        <v>7.7825999999999986</v>
      </c>
      <c r="BX138" s="502">
        <f t="shared" si="623"/>
        <v>3.0325999999999995</v>
      </c>
      <c r="BY138" s="502">
        <f t="shared" si="624"/>
        <v>1.4188000000000001</v>
      </c>
      <c r="BZ138" s="502">
        <f t="shared" si="625"/>
        <v>1.4188000000000001</v>
      </c>
      <c r="CA138" s="502">
        <f t="shared" si="626"/>
        <v>0</v>
      </c>
      <c r="CB138" s="502">
        <f t="shared" si="627"/>
        <v>0</v>
      </c>
      <c r="CC138" s="502">
        <f t="shared" si="628"/>
        <v>11.041952879999998</v>
      </c>
      <c r="CD138" s="502">
        <f t="shared" si="629"/>
        <v>0</v>
      </c>
      <c r="CE138" s="502">
        <f t="shared" si="630"/>
        <v>0</v>
      </c>
      <c r="CF138" s="502">
        <f t="shared" si="631"/>
        <v>0</v>
      </c>
      <c r="CG138" s="502">
        <f t="shared" si="632"/>
        <v>0</v>
      </c>
      <c r="CH138" s="502">
        <f t="shared" si="633"/>
        <v>0</v>
      </c>
      <c r="CI138" s="531">
        <f t="shared" si="634"/>
        <v>0.53549999999999998</v>
      </c>
      <c r="CJ138" s="502">
        <f t="shared" si="635"/>
        <v>6.2037999999999993</v>
      </c>
      <c r="CK138" s="502">
        <f t="shared" si="636"/>
        <v>6.2037999999999993</v>
      </c>
      <c r="CL138" s="502">
        <f t="shared" si="637"/>
        <v>0</v>
      </c>
      <c r="CM138" s="502">
        <f t="shared" si="638"/>
        <v>0</v>
      </c>
      <c r="CN138" s="502">
        <f t="shared" si="639"/>
        <v>3.57</v>
      </c>
      <c r="CO138" s="502">
        <f t="shared" si="640"/>
        <v>1.4188000000000001</v>
      </c>
      <c r="CP138" s="502">
        <f t="shared" si="641"/>
        <v>10.130231999999999</v>
      </c>
      <c r="CQ138" s="502">
        <f t="shared" si="642"/>
        <v>0</v>
      </c>
      <c r="CR138" s="220">
        <f t="shared" si="643"/>
        <v>0</v>
      </c>
      <c r="CS138" s="503">
        <f t="shared" si="644"/>
        <v>0</v>
      </c>
      <c r="CT138" s="503">
        <f t="shared" si="645"/>
        <v>0.33012999999999998</v>
      </c>
      <c r="CU138" s="504">
        <f t="shared" si="646"/>
        <v>7.3777600000000003</v>
      </c>
      <c r="CV138" s="504">
        <f t="shared" si="647"/>
        <v>1.1081027999999999</v>
      </c>
      <c r="CW138" s="502">
        <f t="shared" si="648"/>
        <v>14.944584000000001</v>
      </c>
      <c r="CX138" s="531">
        <f t="shared" si="649"/>
        <v>3.57</v>
      </c>
      <c r="CY138" s="537">
        <f t="shared" si="650"/>
        <v>1.7849999999999999</v>
      </c>
      <c r="CZ138" s="502">
        <f t="shared" si="651"/>
        <v>0</v>
      </c>
    </row>
    <row r="139" spans="1:104" ht="25" x14ac:dyDescent="0.25">
      <c r="A139" s="413" t="str">
        <f>'BOCA DE LOBO'!C133</f>
        <v>BL50-&gt;PV1.3</v>
      </c>
      <c r="B139" s="413" t="str">
        <f>'BOCA DE LOBO'!A133</f>
        <v>PV1.3</v>
      </c>
      <c r="C139" s="413" t="str">
        <f>VLOOKUP(A139,'BOCA DE LOBO'!$C$82:$Q$270,3,0)</f>
        <v>PROJETADO</v>
      </c>
      <c r="D139" s="413" t="str">
        <f>VLOOKUP(A139,'BOCA DE LOBO'!$C$82:$Q$270,10,0)</f>
        <v>PROJETADA</v>
      </c>
      <c r="E139" s="413">
        <f t="shared" si="566"/>
        <v>1.2608000000000001</v>
      </c>
      <c r="F139" s="413">
        <f>VLOOKUP(A139,'BOCA DE LOBO'!$C$82:$Q$270,2,0)</f>
        <v>1.6</v>
      </c>
      <c r="G139" s="413">
        <f>VLOOKUP(A139,'BOCA DE LOBO'!$C$82:$Q$270,4,0)</f>
        <v>8.48</v>
      </c>
      <c r="H139" s="412">
        <v>400</v>
      </c>
      <c r="I139" s="493">
        <f t="shared" si="567"/>
        <v>1.5604000000000002</v>
      </c>
      <c r="J139" s="493">
        <f t="shared" si="568"/>
        <v>0.66160960000000013</v>
      </c>
      <c r="K139" s="530">
        <v>0</v>
      </c>
      <c r="L139" s="531">
        <f t="shared" si="569"/>
        <v>1</v>
      </c>
      <c r="M139" s="531">
        <f t="shared" si="570"/>
        <v>1</v>
      </c>
      <c r="N139" s="531">
        <f t="shared" si="571"/>
        <v>0</v>
      </c>
      <c r="O139" s="531">
        <f t="shared" si="572"/>
        <v>8.48</v>
      </c>
      <c r="P139" s="532" t="str">
        <f>VLOOKUP(B139,'Planilha Hidráulica'!$AG:$AR,12,0)</f>
        <v>ASFALTO</v>
      </c>
      <c r="Q139" s="533" t="s">
        <v>2729</v>
      </c>
      <c r="R139" s="534"/>
      <c r="S139" s="532">
        <f>VLOOKUP(Q139,Quantitativos!P:R,3,0)</f>
        <v>4.2</v>
      </c>
      <c r="T139" s="532">
        <f>VLOOKUP(Q139,Quantitativos!P:S,4,0)</f>
        <v>5</v>
      </c>
      <c r="U139" s="531">
        <f t="shared" si="573"/>
        <v>0.05</v>
      </c>
      <c r="V139" s="535">
        <f t="shared" si="574"/>
        <v>0</v>
      </c>
      <c r="W139" s="535">
        <f t="shared" si="575"/>
        <v>13.232192000000003</v>
      </c>
      <c r="X139" s="536">
        <f t="shared" si="576"/>
        <v>0</v>
      </c>
      <c r="Y139" s="536">
        <f t="shared" si="577"/>
        <v>0</v>
      </c>
      <c r="Z139" s="536">
        <f t="shared" si="578"/>
        <v>1.5604000000000002</v>
      </c>
      <c r="AA139" s="536">
        <f t="shared" si="579"/>
        <v>0</v>
      </c>
      <c r="AB139" s="496">
        <f t="shared" si="580"/>
        <v>8.48</v>
      </c>
      <c r="AC139" s="251">
        <f t="shared" si="581"/>
        <v>0</v>
      </c>
      <c r="AD139" s="251">
        <f t="shared" si="582"/>
        <v>0</v>
      </c>
      <c r="AE139" s="251">
        <f t="shared" si="583"/>
        <v>0</v>
      </c>
      <c r="AF139" s="251">
        <f t="shared" si="584"/>
        <v>12.72</v>
      </c>
      <c r="AG139" s="251">
        <f t="shared" si="585"/>
        <v>0.51219200000000198</v>
      </c>
      <c r="AH139" s="251">
        <f t="shared" si="586"/>
        <v>0</v>
      </c>
      <c r="AI139" s="497" t="str">
        <f t="shared" si="587"/>
        <v>NÃO</v>
      </c>
      <c r="AJ139" s="531">
        <f t="shared" si="588"/>
        <v>0</v>
      </c>
      <c r="AK139" s="531">
        <f t="shared" si="589"/>
        <v>0</v>
      </c>
      <c r="AL139" s="531">
        <f t="shared" si="590"/>
        <v>12.166563771902345</v>
      </c>
      <c r="AM139" s="493">
        <f t="shared" si="591"/>
        <v>0.42400000000000004</v>
      </c>
      <c r="AN139" s="535">
        <f t="shared" si="592"/>
        <v>0</v>
      </c>
      <c r="AO139" s="531">
        <f t="shared" si="593"/>
        <v>0</v>
      </c>
      <c r="AP139" s="531">
        <f t="shared" si="594"/>
        <v>0</v>
      </c>
      <c r="AQ139" s="531">
        <f t="shared" si="595"/>
        <v>0.7</v>
      </c>
      <c r="AR139" s="531">
        <f t="shared" si="596"/>
        <v>4.8703717719023416</v>
      </c>
      <c r="AS139" s="531">
        <f t="shared" si="597"/>
        <v>0</v>
      </c>
      <c r="AT139" s="531">
        <f t="shared" si="598"/>
        <v>1.272</v>
      </c>
      <c r="AU139" s="531">
        <f t="shared" si="599"/>
        <v>1.272</v>
      </c>
      <c r="AV139" s="531">
        <f t="shared" si="600"/>
        <v>0.25440000000000002</v>
      </c>
      <c r="AW139" s="531">
        <f t="shared" si="601"/>
        <v>4.3281920000000031</v>
      </c>
      <c r="AX139" s="531">
        <f t="shared" si="602"/>
        <v>7.0898202280976612</v>
      </c>
      <c r="AY139" s="531">
        <f t="shared" si="603"/>
        <v>4.3281920000000031</v>
      </c>
      <c r="AZ139" s="531">
        <f t="shared" si="604"/>
        <v>0</v>
      </c>
      <c r="BA139" s="531">
        <f t="shared" si="605"/>
        <v>0</v>
      </c>
      <c r="BB139" s="531">
        <f t="shared" si="606"/>
        <v>0</v>
      </c>
      <c r="BC139" s="531"/>
      <c r="BD139" s="531">
        <f t="shared" si="607"/>
        <v>5.0880000000000002E-2</v>
      </c>
      <c r="BE139" s="496">
        <f t="shared" si="608"/>
        <v>1.5604000000000002</v>
      </c>
      <c r="BF139" s="498">
        <f t="shared" si="609"/>
        <v>8.48</v>
      </c>
      <c r="BG139" s="498">
        <f t="shared" si="610"/>
        <v>0</v>
      </c>
      <c r="BH139" s="532" t="str">
        <f>VLOOKUP(A139,'BOCA DE LOBO'!C:I,7,0)</f>
        <v>BOCA DE LOBO PROJETADA DUPLA</v>
      </c>
      <c r="BI139" s="531">
        <f t="shared" si="611"/>
        <v>0</v>
      </c>
      <c r="BJ139" s="531">
        <f t="shared" si="612"/>
        <v>0</v>
      </c>
      <c r="BK139" s="531">
        <f t="shared" si="613"/>
        <v>0</v>
      </c>
      <c r="BL139" s="531">
        <f t="shared" si="614"/>
        <v>0</v>
      </c>
      <c r="BM139" s="531">
        <f t="shared" si="615"/>
        <v>0</v>
      </c>
      <c r="BN139" s="531">
        <f t="shared" si="616"/>
        <v>1</v>
      </c>
      <c r="BO139" s="499">
        <f t="shared" si="617"/>
        <v>0</v>
      </c>
      <c r="BP139" s="500"/>
      <c r="BQ139" s="496">
        <f t="shared" si="618"/>
        <v>25.44</v>
      </c>
      <c r="BR139" s="496">
        <f t="shared" si="619"/>
        <v>1.024384000000004</v>
      </c>
      <c r="BS139" s="496">
        <f t="shared" si="620"/>
        <v>0</v>
      </c>
      <c r="BT139" s="501"/>
      <c r="BU139" s="501"/>
      <c r="BV139" s="502">
        <f t="shared" si="621"/>
        <v>9.8123020800000003</v>
      </c>
      <c r="BW139" s="502">
        <f t="shared" si="622"/>
        <v>7.7825999999999986</v>
      </c>
      <c r="BX139" s="502">
        <f t="shared" si="623"/>
        <v>3.0325999999999995</v>
      </c>
      <c r="BY139" s="502">
        <f t="shared" si="624"/>
        <v>1.2608000000000001</v>
      </c>
      <c r="BZ139" s="502">
        <f t="shared" si="625"/>
        <v>1.2608000000000001</v>
      </c>
      <c r="CA139" s="502">
        <f t="shared" si="626"/>
        <v>0</v>
      </c>
      <c r="CB139" s="502">
        <f t="shared" si="627"/>
        <v>0</v>
      </c>
      <c r="CC139" s="502">
        <f t="shared" si="628"/>
        <v>9.8123020800000003</v>
      </c>
      <c r="CD139" s="502">
        <f t="shared" si="629"/>
        <v>0</v>
      </c>
      <c r="CE139" s="502">
        <f t="shared" si="630"/>
        <v>0</v>
      </c>
      <c r="CF139" s="502">
        <f t="shared" si="631"/>
        <v>0</v>
      </c>
      <c r="CG139" s="502">
        <f t="shared" si="632"/>
        <v>0</v>
      </c>
      <c r="CH139" s="502">
        <f t="shared" si="633"/>
        <v>0</v>
      </c>
      <c r="CI139" s="531">
        <f t="shared" si="634"/>
        <v>0.53549999999999998</v>
      </c>
      <c r="CJ139" s="502">
        <f t="shared" si="635"/>
        <v>5.4532999999999996</v>
      </c>
      <c r="CK139" s="502">
        <f t="shared" si="636"/>
        <v>5.4532999999999996</v>
      </c>
      <c r="CL139" s="502">
        <f t="shared" si="637"/>
        <v>0</v>
      </c>
      <c r="CM139" s="502">
        <f t="shared" si="638"/>
        <v>0</v>
      </c>
      <c r="CN139" s="502">
        <f t="shared" si="639"/>
        <v>3.57</v>
      </c>
      <c r="CO139" s="502">
        <f t="shared" si="640"/>
        <v>1.2608000000000001</v>
      </c>
      <c r="CP139" s="502">
        <f t="shared" si="641"/>
        <v>9.0021120000000003</v>
      </c>
      <c r="CQ139" s="502">
        <f t="shared" si="642"/>
        <v>0</v>
      </c>
      <c r="CR139" s="220">
        <f t="shared" si="643"/>
        <v>0</v>
      </c>
      <c r="CS139" s="503">
        <f t="shared" si="644"/>
        <v>0</v>
      </c>
      <c r="CT139" s="503">
        <f t="shared" si="645"/>
        <v>0.33012999999999998</v>
      </c>
      <c r="CU139" s="504">
        <f t="shared" si="646"/>
        <v>6.5561600000000011</v>
      </c>
      <c r="CV139" s="504">
        <f t="shared" si="647"/>
        <v>1.0597547999999999</v>
      </c>
      <c r="CW139" s="502">
        <f t="shared" si="648"/>
        <v>13.731144000000002</v>
      </c>
      <c r="CX139" s="531">
        <f t="shared" si="649"/>
        <v>3.57</v>
      </c>
      <c r="CY139" s="537">
        <f t="shared" si="650"/>
        <v>1.7849999999999999</v>
      </c>
      <c r="CZ139" s="502">
        <f t="shared" si="651"/>
        <v>0</v>
      </c>
    </row>
    <row r="140" spans="1:104" ht="25" x14ac:dyDescent="0.25">
      <c r="A140" s="413" t="str">
        <f>'BOCA DE LOBO'!C134</f>
        <v>BL51-&gt;PV2.3</v>
      </c>
      <c r="B140" s="413" t="str">
        <f>'BOCA DE LOBO'!A134</f>
        <v>PV2.3</v>
      </c>
      <c r="C140" s="413" t="str">
        <f>VLOOKUP(A140,'BOCA DE LOBO'!$C$82:$Q$270,3,0)</f>
        <v>PROJETADO</v>
      </c>
      <c r="D140" s="413" t="str">
        <f>VLOOKUP(A140,'BOCA DE LOBO'!$C$82:$Q$270,10,0)</f>
        <v>PROJETADA</v>
      </c>
      <c r="E140" s="413">
        <f t="shared" si="566"/>
        <v>1.3684000000000001</v>
      </c>
      <c r="F140" s="413">
        <f>VLOOKUP(A140,'BOCA DE LOBO'!$C$82:$Q$270,2,0)</f>
        <v>1.7</v>
      </c>
      <c r="G140" s="413">
        <f>VLOOKUP(A140,'BOCA DE LOBO'!$C$82:$Q$270,4,0)</f>
        <v>8.2899999999999991</v>
      </c>
      <c r="H140" s="412">
        <v>400</v>
      </c>
      <c r="I140" s="493">
        <f t="shared" si="567"/>
        <v>1.6642000000000001</v>
      </c>
      <c r="J140" s="493">
        <f t="shared" si="568"/>
        <v>0.6898109</v>
      </c>
      <c r="K140" s="530">
        <v>0</v>
      </c>
      <c r="L140" s="531">
        <f t="shared" si="569"/>
        <v>1</v>
      </c>
      <c r="M140" s="531">
        <f t="shared" si="570"/>
        <v>1</v>
      </c>
      <c r="N140" s="531">
        <f t="shared" si="571"/>
        <v>0</v>
      </c>
      <c r="O140" s="531">
        <f t="shared" si="572"/>
        <v>8.2899999999999991</v>
      </c>
      <c r="P140" s="532" t="str">
        <f>VLOOKUP(B140,'Planilha Hidráulica'!$AG:$AR,12,0)</f>
        <v>ASFALTO</v>
      </c>
      <c r="Q140" s="533" t="s">
        <v>2729</v>
      </c>
      <c r="R140" s="534"/>
      <c r="S140" s="532">
        <f>VLOOKUP(Q140,Quantitativos!P:R,3,0)</f>
        <v>4.2</v>
      </c>
      <c r="T140" s="532">
        <f>VLOOKUP(Q140,Quantitativos!P:S,4,0)</f>
        <v>5</v>
      </c>
      <c r="U140" s="531">
        <f t="shared" si="573"/>
        <v>0.05</v>
      </c>
      <c r="V140" s="535">
        <f t="shared" si="574"/>
        <v>0</v>
      </c>
      <c r="W140" s="535">
        <f t="shared" si="575"/>
        <v>13.796218</v>
      </c>
      <c r="X140" s="536">
        <f t="shared" si="576"/>
        <v>0</v>
      </c>
      <c r="Y140" s="536">
        <f t="shared" si="577"/>
        <v>0</v>
      </c>
      <c r="Z140" s="536">
        <f t="shared" si="578"/>
        <v>1.6642000000000001</v>
      </c>
      <c r="AA140" s="536">
        <f t="shared" si="579"/>
        <v>0</v>
      </c>
      <c r="AB140" s="496">
        <f t="shared" si="580"/>
        <v>8.2899999999999991</v>
      </c>
      <c r="AC140" s="251">
        <f t="shared" si="581"/>
        <v>0</v>
      </c>
      <c r="AD140" s="251">
        <f t="shared" si="582"/>
        <v>0</v>
      </c>
      <c r="AE140" s="251">
        <f t="shared" si="583"/>
        <v>0</v>
      </c>
      <c r="AF140" s="251">
        <f t="shared" si="584"/>
        <v>12.434999999999999</v>
      </c>
      <c r="AG140" s="251">
        <f t="shared" si="585"/>
        <v>1.3612180000000009</v>
      </c>
      <c r="AH140" s="251">
        <f t="shared" si="586"/>
        <v>0</v>
      </c>
      <c r="AI140" s="497" t="str">
        <f t="shared" si="587"/>
        <v>NÃO</v>
      </c>
      <c r="AJ140" s="531">
        <f t="shared" si="588"/>
        <v>0</v>
      </c>
      <c r="AK140" s="531">
        <f t="shared" si="589"/>
        <v>0</v>
      </c>
      <c r="AL140" s="531">
        <f t="shared" si="590"/>
        <v>12.754465876069624</v>
      </c>
      <c r="AM140" s="493">
        <f t="shared" si="591"/>
        <v>0.41449999999999998</v>
      </c>
      <c r="AN140" s="535">
        <f t="shared" si="592"/>
        <v>0</v>
      </c>
      <c r="AO140" s="531">
        <f t="shared" si="593"/>
        <v>0</v>
      </c>
      <c r="AP140" s="531">
        <f t="shared" si="594"/>
        <v>0</v>
      </c>
      <c r="AQ140" s="531">
        <f t="shared" si="595"/>
        <v>0.7</v>
      </c>
      <c r="AR140" s="531">
        <f t="shared" si="596"/>
        <v>4.761247876069624</v>
      </c>
      <c r="AS140" s="531">
        <f t="shared" si="597"/>
        <v>0</v>
      </c>
      <c r="AT140" s="531">
        <f t="shared" si="598"/>
        <v>1.2434999999999998</v>
      </c>
      <c r="AU140" s="531">
        <f t="shared" si="599"/>
        <v>1.2434999999999998</v>
      </c>
      <c r="AV140" s="531">
        <f t="shared" si="600"/>
        <v>0.24869999999999998</v>
      </c>
      <c r="AW140" s="531">
        <f t="shared" si="601"/>
        <v>5.0917180000000011</v>
      </c>
      <c r="AX140" s="531">
        <f t="shared" si="602"/>
        <v>7.7914701239303765</v>
      </c>
      <c r="AY140" s="531">
        <f t="shared" si="603"/>
        <v>5.0917180000000011</v>
      </c>
      <c r="AZ140" s="531">
        <f t="shared" si="604"/>
        <v>0</v>
      </c>
      <c r="BA140" s="531">
        <f t="shared" si="605"/>
        <v>0</v>
      </c>
      <c r="BB140" s="531">
        <f t="shared" si="606"/>
        <v>0</v>
      </c>
      <c r="BC140" s="531"/>
      <c r="BD140" s="531">
        <f t="shared" si="607"/>
        <v>4.9739999999999993E-2</v>
      </c>
      <c r="BE140" s="496">
        <f t="shared" si="608"/>
        <v>1.6642000000000001</v>
      </c>
      <c r="BF140" s="498">
        <f t="shared" si="609"/>
        <v>8.2899999999999991</v>
      </c>
      <c r="BG140" s="498">
        <f t="shared" si="610"/>
        <v>0</v>
      </c>
      <c r="BH140" s="532" t="str">
        <f>VLOOKUP(A140,'BOCA DE LOBO'!C:I,7,0)</f>
        <v>BOCA DE LOBO PROJETADA DUPLA</v>
      </c>
      <c r="BI140" s="531">
        <f t="shared" si="611"/>
        <v>0</v>
      </c>
      <c r="BJ140" s="531">
        <f t="shared" si="612"/>
        <v>0</v>
      </c>
      <c r="BK140" s="531">
        <f t="shared" si="613"/>
        <v>0</v>
      </c>
      <c r="BL140" s="531">
        <f t="shared" si="614"/>
        <v>0</v>
      </c>
      <c r="BM140" s="531">
        <f t="shared" si="615"/>
        <v>0</v>
      </c>
      <c r="BN140" s="531">
        <f t="shared" si="616"/>
        <v>1</v>
      </c>
      <c r="BO140" s="499">
        <f t="shared" si="617"/>
        <v>0</v>
      </c>
      <c r="BP140" s="500"/>
      <c r="BQ140" s="496">
        <f t="shared" si="618"/>
        <v>24.869999999999997</v>
      </c>
      <c r="BR140" s="496">
        <f t="shared" si="619"/>
        <v>2.7224360000000019</v>
      </c>
      <c r="BS140" s="496">
        <f t="shared" si="620"/>
        <v>0</v>
      </c>
      <c r="BT140" s="501"/>
      <c r="BU140" s="501"/>
      <c r="BV140" s="502">
        <f t="shared" si="621"/>
        <v>10.649709839999998</v>
      </c>
      <c r="BW140" s="502">
        <f t="shared" si="622"/>
        <v>7.7825999999999986</v>
      </c>
      <c r="BX140" s="502">
        <f t="shared" si="623"/>
        <v>3.0325999999999995</v>
      </c>
      <c r="BY140" s="502">
        <f t="shared" si="624"/>
        <v>1.3684000000000001</v>
      </c>
      <c r="BZ140" s="502">
        <f t="shared" si="625"/>
        <v>1.3684000000000001</v>
      </c>
      <c r="CA140" s="502">
        <f t="shared" si="626"/>
        <v>0</v>
      </c>
      <c r="CB140" s="502">
        <f t="shared" si="627"/>
        <v>0</v>
      </c>
      <c r="CC140" s="502">
        <f t="shared" si="628"/>
        <v>10.649709839999998</v>
      </c>
      <c r="CD140" s="502">
        <f t="shared" si="629"/>
        <v>0</v>
      </c>
      <c r="CE140" s="502">
        <f t="shared" si="630"/>
        <v>0</v>
      </c>
      <c r="CF140" s="502">
        <f t="shared" si="631"/>
        <v>0</v>
      </c>
      <c r="CG140" s="502">
        <f t="shared" si="632"/>
        <v>0</v>
      </c>
      <c r="CH140" s="502">
        <f t="shared" si="633"/>
        <v>0</v>
      </c>
      <c r="CI140" s="531">
        <f t="shared" si="634"/>
        <v>0.53549999999999998</v>
      </c>
      <c r="CJ140" s="502">
        <f t="shared" si="635"/>
        <v>5.9643999999999995</v>
      </c>
      <c r="CK140" s="502">
        <f t="shared" si="636"/>
        <v>5.9643999999999995</v>
      </c>
      <c r="CL140" s="502">
        <f t="shared" si="637"/>
        <v>0</v>
      </c>
      <c r="CM140" s="502">
        <f t="shared" si="638"/>
        <v>0</v>
      </c>
      <c r="CN140" s="502">
        <f t="shared" si="639"/>
        <v>3.57</v>
      </c>
      <c r="CO140" s="502">
        <f t="shared" si="640"/>
        <v>1.3684000000000001</v>
      </c>
      <c r="CP140" s="502">
        <f t="shared" si="641"/>
        <v>9.7703760000000006</v>
      </c>
      <c r="CQ140" s="502">
        <f t="shared" si="642"/>
        <v>0</v>
      </c>
      <c r="CR140" s="220">
        <f t="shared" si="643"/>
        <v>0</v>
      </c>
      <c r="CS140" s="503">
        <f t="shared" si="644"/>
        <v>0</v>
      </c>
      <c r="CT140" s="503">
        <f t="shared" si="645"/>
        <v>0.33012999999999998</v>
      </c>
      <c r="CU140" s="504">
        <f t="shared" si="646"/>
        <v>7.1156800000000002</v>
      </c>
      <c r="CV140" s="504">
        <f t="shared" si="647"/>
        <v>1.0926803999999999</v>
      </c>
      <c r="CW140" s="502">
        <f t="shared" si="648"/>
        <v>14.557512000000001</v>
      </c>
      <c r="CX140" s="531">
        <f t="shared" si="649"/>
        <v>3.57</v>
      </c>
      <c r="CY140" s="537">
        <f t="shared" si="650"/>
        <v>1.7849999999999999</v>
      </c>
      <c r="CZ140" s="502">
        <f t="shared" si="651"/>
        <v>0</v>
      </c>
    </row>
    <row r="141" spans="1:104" ht="14.5" x14ac:dyDescent="0.35">
      <c r="A141" s="520" t="str">
        <f>'BOCA DE LOBO'!A135</f>
        <v>RD-3</v>
      </c>
      <c r="B141" s="414"/>
      <c r="C141" s="414"/>
      <c r="D141" s="414"/>
      <c r="E141" s="521"/>
      <c r="F141" s="521"/>
      <c r="G141" s="521"/>
      <c r="H141" s="372"/>
      <c r="I141" s="372"/>
      <c r="J141" s="372"/>
      <c r="K141" s="372"/>
      <c r="L141" s="522"/>
      <c r="M141" s="523"/>
      <c r="N141" s="523"/>
      <c r="O141" s="523"/>
      <c r="P141" s="532"/>
      <c r="Q141" s="524"/>
      <c r="R141" s="524"/>
      <c r="S141" s="532"/>
      <c r="T141" s="522"/>
      <c r="U141" s="523"/>
      <c r="V141" s="525"/>
      <c r="W141" s="526"/>
      <c r="X141" s="526"/>
      <c r="Y141" s="526"/>
      <c r="Z141" s="526"/>
      <c r="AA141" s="526"/>
      <c r="AB141" s="228"/>
      <c r="AC141" s="229"/>
      <c r="AD141" s="229"/>
      <c r="AE141" s="229"/>
      <c r="AF141" s="229"/>
      <c r="AG141" s="229"/>
      <c r="AH141" s="229"/>
      <c r="AI141" s="217"/>
      <c r="AJ141" s="372"/>
      <c r="AK141" s="372"/>
      <c r="AL141" s="372"/>
      <c r="AM141" s="372"/>
      <c r="AN141" s="438"/>
      <c r="AO141" s="372"/>
      <c r="AP141" s="372"/>
      <c r="AQ141" s="198"/>
      <c r="AR141" s="538"/>
      <c r="AS141" s="538"/>
      <c r="AT141" s="538"/>
      <c r="AU141" s="538"/>
      <c r="AV141" s="538"/>
      <c r="AW141" s="372"/>
      <c r="AX141" s="372"/>
      <c r="AY141" s="372"/>
      <c r="AZ141" s="372"/>
      <c r="BA141" s="372"/>
      <c r="BB141" s="372"/>
      <c r="BC141" s="372"/>
      <c r="BD141" s="372"/>
      <c r="BE141" s="231"/>
      <c r="BF141" s="198"/>
      <c r="BG141" s="198"/>
      <c r="BH141" s="527"/>
      <c r="BI141" s="528"/>
      <c r="BJ141" s="528"/>
      <c r="BK141" s="528"/>
      <c r="BL141" s="528"/>
      <c r="BM141" s="528"/>
      <c r="BN141" s="529"/>
      <c r="BO141" s="490"/>
      <c r="BP141" s="491"/>
      <c r="BQ141" s="198"/>
      <c r="BR141" s="198"/>
      <c r="BS141" s="198"/>
      <c r="BV141" s="220"/>
      <c r="BW141" s="220"/>
      <c r="BX141" s="220"/>
      <c r="BY141" s="220"/>
      <c r="BZ141" s="220"/>
      <c r="CA141" s="220"/>
      <c r="CB141" s="220"/>
      <c r="CC141" s="220"/>
      <c r="CD141" s="220"/>
      <c r="CE141" s="220"/>
      <c r="CF141" s="220"/>
      <c r="CG141" s="220"/>
      <c r="CH141" s="220"/>
      <c r="CI141" s="220"/>
      <c r="CJ141" s="220"/>
      <c r="CK141" s="220"/>
      <c r="CL141" s="220"/>
      <c r="CM141" s="220"/>
      <c r="CN141" s="220"/>
      <c r="CO141" s="220"/>
      <c r="CP141" s="220"/>
      <c r="CQ141" s="220"/>
      <c r="CR141" s="220"/>
    </row>
    <row r="142" spans="1:104" ht="25" x14ac:dyDescent="0.25">
      <c r="A142" s="413" t="str">
        <f>'BOCA DE LOBO'!C136</f>
        <v>BL52-&gt;PV1.2</v>
      </c>
      <c r="B142" s="413" t="str">
        <f>'BOCA DE LOBO'!A136</f>
        <v>PV1.2</v>
      </c>
      <c r="C142" s="413" t="str">
        <f>VLOOKUP(A142,'BOCA DE LOBO'!$C$82:$Q$270,3,0)</f>
        <v>PROJETADO</v>
      </c>
      <c r="D142" s="413" t="str">
        <f>VLOOKUP(A142,'BOCA DE LOBO'!$C$82:$Q$270,10,0)</f>
        <v>PROJETADA</v>
      </c>
      <c r="E142" s="413">
        <f>IF(F142-G142*4%&lt;2.5,F142-G142*4%,2.5)</f>
        <v>1.6375999999999999</v>
      </c>
      <c r="F142" s="413">
        <f>VLOOKUP(A142,'BOCA DE LOBO'!$C$82:$Q$270,2,0)</f>
        <v>1.88</v>
      </c>
      <c r="G142" s="413">
        <f>VLOOKUP(A142,'BOCA DE LOBO'!$C$82:$Q$270,4,0)</f>
        <v>6.06</v>
      </c>
      <c r="H142" s="412">
        <v>400</v>
      </c>
      <c r="I142" s="493">
        <f>IF(H142=400,((E142+F142)/2)+0.08+U142,IF(H142=500,((E142+F142)/2)+0.1+U142,IF(H142=600,((E142+F142)/2)+0.12+U142,IF(H142=800,((E142+F142)/2)+0.16+U142,IF(H142=1000,((E142+F142)/2)+0.2+U142,IF(H142=1200,((E142+F142)/2)+0.24+U142,IF(H142=1500,((E142+F142)/2)+0.3+U142,IF(H142&gt;1500,((E142+F142)/2)+0.4+U142))))))))</f>
        <v>1.8888</v>
      </c>
      <c r="J142" s="493">
        <f>IF(L142=0,0,IF(I142&gt;=1.25,G142*I142/20,0))</f>
        <v>0.57230639999999999</v>
      </c>
      <c r="K142" s="530">
        <v>0</v>
      </c>
      <c r="L142" s="531">
        <f>IF(D142&lt;&gt;"PROJETADA",0,IF(H142=400,1,0)+IF(H142=500,1.2,0)+IF(H142=600,1.4,0)+IF(H142=800,1.7,0)+IF(H142=1000,2,0)+IF(H142=1200,2.2,0)+IF(H142=1500,2.6,0)+IF(H142=1650,3,0)+IF(H142=1800,3.2,0)+IF(H142=2000,3.4,0)+IF(H142=2200,3.6,0)+IF(H142=2400,3.8,0)+IF(H142=2600,4,0)+IF(H142=3000,4.4,0))</f>
        <v>1</v>
      </c>
      <c r="M142" s="531">
        <f>2*K142*I142+L142</f>
        <v>1</v>
      </c>
      <c r="N142" s="531">
        <f>IF(OR(D142="EXISTENTE",D142="AMPLIADA"),400,0)</f>
        <v>0</v>
      </c>
      <c r="O142" s="531">
        <f>IF(P142="TERRENO NATURAL",0,M142*G142)</f>
        <v>6.06</v>
      </c>
      <c r="P142" s="532" t="str">
        <f>VLOOKUP(B142,'Planilha Hidráulica'!$AG:$AR,12,0)</f>
        <v>ASFALTO</v>
      </c>
      <c r="Q142" s="533" t="s">
        <v>2717</v>
      </c>
      <c r="R142" s="534"/>
      <c r="S142" s="532">
        <f>VLOOKUP(Q142,Quantitativos!P:R,3,0)</f>
        <v>5</v>
      </c>
      <c r="T142" s="532">
        <f>VLOOKUP(Q142,Quantitativos!P:S,4,0)</f>
        <v>5</v>
      </c>
      <c r="U142" s="531">
        <f>IF(H142=400,0.05,0)+IF(H142=500,0.05,0)+IF(H142=600,0.1,0)+IF(H142=800,0.1,0)+IF(H142=1000,0.15,0)+IF(H142=1200,0.15,0)+IF(H142=1500,0.2,0)+IF(H142=1650,0.2,0)+IF(H142=1800,0.2,0)+IF(H142=2000,0.25,0)+IF(H142=2200,0.25,0)+IF(H142=2400,0.25,0)+IF(H142=2600,0.25,0)+IF(H142=3000,0.25,0)</f>
        <v>0.05</v>
      </c>
      <c r="V142" s="535">
        <f>IF(L142=0,0,IF("EXISTENTE"=C142,0,IFERROR((PI()*(N142/1000)*(N142/1000)/4)*G142,0)))</f>
        <v>0</v>
      </c>
      <c r="W142" s="535">
        <f>IF(O142=0,0,((((K142*I142)*I142)/2)*2+L142*I142)*G142-V142+AO142)</f>
        <v>11.446128</v>
      </c>
      <c r="X142" s="536">
        <f>W142-SUM(AC142:AJ142)</f>
        <v>0</v>
      </c>
      <c r="Y142" s="536">
        <f>IF(R142=1,IF(N142=0,I142+0.4,0.4),0)</f>
        <v>0</v>
      </c>
      <c r="Z142" s="536">
        <f>IF(Y142&gt;0.5,0,IF(S142&lt;I142,S142,I142))</f>
        <v>1.8888</v>
      </c>
      <c r="AA142" s="536">
        <f>I142-Z142</f>
        <v>0</v>
      </c>
      <c r="AB142" s="496">
        <f>IF(P142="ASFALTO",IF(D142="PROJETADA",O142,IF(D142="EXISTENTE",0,O142/2)),0)</f>
        <v>6.06</v>
      </c>
      <c r="AC142" s="251">
        <f>IF(Y142=0,0,IF(Y142=0.4,IF(L142&lt;=1.5,IF(Z142+0.4&gt;=1.5,0,L142*G142*0.4),0),IF(L142&lt;=1.5,IF(Y142&gt;=1.5,M142*G142*1.5,L142*G142*(Y142)),0)+IF(S142&lt;I142+0.4,0,IF(AND(Y142&lt;=1.5,L142&lt;=1.5),-V142,0))))</f>
        <v>0</v>
      </c>
      <c r="AD142" s="251">
        <f>IF(Y142=0,0,IF(Y142=0.4,IF(L142&lt;=1.5,IF(OR(Z142+0.4&gt;=3,Z142+0.4&lt;1.5),0,L142*G142*0.4),0),IF(IF(L142&lt;=1.5,IF(Y142&gt;=3,M142*G142*1.5,L142*G142*(Y142-1.5)),0)&lt;0,0,IF(L142&lt;=1.5,IF(Y142&gt;=3,M142*G142*1.5,L142*G142*(Y142-1.5)),0))+IF(S142&lt;I142+0.4,0,IF(AND(Y142&lt;=3,L142&lt;=1.5),-V142,0))))</f>
        <v>0</v>
      </c>
      <c r="AE142" s="251">
        <f>IF(Y142=0,0,IF(Y142=0.4,IF(L142&lt;=1.5,IF(OR(Z142+0.4&gt;=4.5,Z142+0.4&lt;3),0,L142*G142*0.4),0),IF(IF(L142&lt;=1.5,IF(Y142&gt;=4.5,M142*G142*1.5,L142*G142*(Y142-3)),0)&lt;0,0,IF(L142&lt;=1.5,IF(Y142&gt;=4.5,M142*G142*1.5,L142*G142*(Y142-3)),0))+IF(S142&lt;I142+0.4,0,IF(AND(Y142&lt;=4.5,L142&lt;=1.5),-V142,0))))</f>
        <v>0</v>
      </c>
      <c r="AF142" s="251">
        <f>IF(L142&lt;=1.5,IF(Z142&gt;=1.5,M142*G142*1.5,L142*G142*Z142),0)+IF(S142&lt;I142,0,IF(AND(Z142&lt;=1.5,L142&lt;=1.5),-V142,0))</f>
        <v>9.09</v>
      </c>
      <c r="AG142" s="251">
        <f>IF(IF(L142&lt;=1.5,IF(Z142&gt;=3,M142*G142*1.5,L142*G142*(Z142-1.5)),0)&lt;0,0,IF(L142&lt;=1.5,IF(Z142&gt;=3,M142*G142*1.5,L142*G142*(Z142-1.5)),0))+IF(S142&lt;I142,0,IF(AND(Z142&lt;=3,L142&lt;=1.5),-V142,0))</f>
        <v>2.356128</v>
      </c>
      <c r="AH142" s="251">
        <f>IF(IF(IF(L142&lt;=1.5,IF(Z142&gt;=4.5,M142*G142*1.5,L142*G142*(Z142-3)),0)&lt;0,0,IF(L142&lt;=1.5,IF(Z142&gt;=4.5,M142*G142*1.5,L142*G142*(Z142-3)),0))+IF(S142&lt;I142,0,IF(AND(Z142&lt;=4.5,L142&lt;=1.5),-V142,0))&lt;0,0,IF(IF(L142&lt;=1.5,IF(Z142&gt;=4.5,M142*G142*1.5,L142*G142*(Z142-3)),0)&lt;0,0,IF(L142&lt;=1.5,IF(Z142&gt;=4.5,M142*G142*1.5,L142*G142*(Z142-3)),0))+IF(S142&lt;I142,0,IF(AND(Z142&lt;=4.5,L142&lt;=1.5),-V142,0)))</f>
        <v>0</v>
      </c>
      <c r="AI142" s="497" t="str">
        <f>IF(I142&gt;S142,"SIM","NÃO")</f>
        <v>NÃO</v>
      </c>
      <c r="AJ142" s="531">
        <f>W142-SUM(AC142:AH142)</f>
        <v>0</v>
      </c>
      <c r="AK142" s="531">
        <f>IF(I142-T142&lt;0,0,(I142-T142)*G142)/75</f>
        <v>0</v>
      </c>
      <c r="AL142" s="531">
        <f>IF(L142=0,0,G142*L142*I142-PI()*(H142/1000)*(H142/1000)/4*G142+AO142)</f>
        <v>10.684605940769835</v>
      </c>
      <c r="AM142" s="493">
        <f>IF(L142&lt;1.5,L142*G142*IF(H142&lt;=500,0.05,IF(H142&lt;=800,0.1,IF(H142&lt;=1200,0.15,IF(H142&gt;=1500,0.2)))),0)</f>
        <v>0.30299999999999999</v>
      </c>
      <c r="AN142" s="535">
        <f>IF(L142&gt;=1.5,L142*G142*IF(H142&lt;=500,0.05,IF(H142&lt;=800,0.1,IF(H142&lt;=1200,0.15,IF(H142&gt;=1500,0.2)))),0)</f>
        <v>0</v>
      </c>
      <c r="AO142" s="531">
        <f>IF(R142=1,0.4*G142*L142,0)</f>
        <v>0</v>
      </c>
      <c r="AP142" s="531">
        <f>IF(AO142&lt;SUM(AF142:AH142),0,AO142)</f>
        <v>0</v>
      </c>
      <c r="AQ142" s="531">
        <f>H142/1000+0.3</f>
        <v>0.7</v>
      </c>
      <c r="AR142" s="531">
        <f>IF(D142&lt;&gt;"PROJETADA",0,AQ142*L142*G142-PI()*(H142/1000*H142/1000)/4*G142)</f>
        <v>3.4804779407698332</v>
      </c>
      <c r="AS142" s="531">
        <f>IF(AR142&lt;SUM(AF142:AH142),0,AR142)</f>
        <v>0</v>
      </c>
      <c r="AT142" s="531">
        <f>IF(P142="ASFALTO",0.15*G142*L142,0)</f>
        <v>0.90899999999999992</v>
      </c>
      <c r="AU142" s="531">
        <f>AT142</f>
        <v>0.90899999999999992</v>
      </c>
      <c r="AV142" s="531">
        <f>IF(P142="ASFALTO",0.03*G142*L142,0)</f>
        <v>0.18179999999999999</v>
      </c>
      <c r="AW142" s="531">
        <f>AL142-AO142-SUM(AM142:AN142)-AT142-AU142-AR142</f>
        <v>5.0831279999999994</v>
      </c>
      <c r="AX142" s="531">
        <f>SUM(AF142:AH142)-AO142-AT142-AR142</f>
        <v>7.056650059230166</v>
      </c>
      <c r="AY142" s="531">
        <f>SMALL(AW142:AX142,1)</f>
        <v>5.0831279999999994</v>
      </c>
      <c r="AZ142" s="531">
        <f>AW142-AY142</f>
        <v>0</v>
      </c>
      <c r="BA142" s="531">
        <f>IF($AZ$221&gt;$BA$223,($BA$223/$AZ$221)*AZ142,AZ142)</f>
        <v>0</v>
      </c>
      <c r="BB142" s="531">
        <f>AZ142-BA142</f>
        <v>0</v>
      </c>
      <c r="BC142" s="531"/>
      <c r="BD142" s="531">
        <f>IF(AO142+AT142&gt;0,4%*(AO142+AT142),0)</f>
        <v>3.6359999999999996E-2</v>
      </c>
      <c r="BE142" s="496">
        <f>IF(H142=400,I142,0)</f>
        <v>1.8888</v>
      </c>
      <c r="BF142" s="498">
        <f>IF(BE142&lt;=1.75,AND(BE142&gt;0)*G142,0)</f>
        <v>0</v>
      </c>
      <c r="BG142" s="498">
        <f>IF(BE142&lt;=3,AND(BE142&gt;1.75)*G142,0)</f>
        <v>6.06</v>
      </c>
      <c r="BH142" s="532" t="str">
        <f>VLOOKUP(A142,'BOCA DE LOBO'!C:I,7,0)</f>
        <v>BOCA DE LOBO PROJETADA DUPLA</v>
      </c>
      <c r="BI142" s="531">
        <f>IF(BH142=$BI$87,1,0)</f>
        <v>0</v>
      </c>
      <c r="BJ142" s="531">
        <f>IF(BH142=$BJ$87,1,0)</f>
        <v>0</v>
      </c>
      <c r="BK142" s="531">
        <f>IF(BH142=$BK$87,1,0)</f>
        <v>0</v>
      </c>
      <c r="BL142" s="531">
        <f>IF(BH142=$BL$87,1,0)</f>
        <v>0</v>
      </c>
      <c r="BM142" s="531">
        <f>IF(BH142=$BM$87,1,0)</f>
        <v>0</v>
      </c>
      <c r="BN142" s="531">
        <f>IF(BH142=$BN$87,1,0)</f>
        <v>1</v>
      </c>
      <c r="BO142" s="499">
        <f>IF(BH142=$BO$87,1,0)</f>
        <v>0</v>
      </c>
      <c r="BP142" s="500"/>
      <c r="BQ142" s="496">
        <f>IF(L142&lt;=1.5,IF(I142+IF(R142=1,0.5,0)&lt;1.5,(I142+IF(R142=1,0.5,0))*G142*2,G142*2*1.5),0)</f>
        <v>18.18</v>
      </c>
      <c r="BR142" s="496">
        <f>IF(L142&lt;=1.5,IF(AND(I142+IF(R142=1,0.5,0)&lt;3,I142+IF(R142=1,0.5,0)&gt;1.5),(I142+IF(R142=1,0.5,0)-1.5)*G142*2,IF(I142+IF(R142=1,0.5,0)&gt;=3,(G142*2*1.5),0)),0)</f>
        <v>4.712256</v>
      </c>
      <c r="BS142" s="496">
        <f>IF(L142&lt;=1.5,IF(AND(I142+IF(R142=1,0.5,0)&lt;4.5,I142+IF(R142=1,0.5,0)&gt;3),(I142+IF(R142=1,0.5,0)-3)*G142*2,IF(I142+IF(R142=1,0.5,0)&gt;=4.5,(G142*2*1.5),0)),0)</f>
        <v>0</v>
      </c>
      <c r="BT142" s="501"/>
      <c r="BU142" s="501"/>
      <c r="BV142" s="502">
        <f>IF(OR("BOCA DE LOBO EXISTENTE TRIPLA"=BH142,"BOCA DE LOBO EXISTENTE SIMPLES"=BH142,"BOCA DE LOBO EXISTENTE DUPLA"=BH142),0,IF("BOCA DE LOBO PROJETADA DUPLA"=BH142,(2.57+1)*(1.18+1),IF(OR("BOCA DE LOBO DUPLA EXISTENTE COM BOCA DE LOBO SIMPLES PROJETADA"=BH142,"BOCA DE LOBO SIMPLES EXISTENTE COM BOCA DE LOBO SIMPLES PROJETADA"=BH142),(1.18+0.5)*(1.18+1),IF(OR(BH142="BOCA DE LOBO DUPLA EXISTENTE COM BOCA DE LOBO DUPLA PROJETADA",BH142="BOCA DE LOBO SIMPLES EXISTENTE COM BOCA DE LOBO DUPLA PROJETADA"),(2.38+0.5)*(1.18+1),IF("BOCA DE LOBO PROJETADA TRIPLA"=BH142,(3.76+1)*(1.18+1),"X")))))*(E142+IF(CA142&gt;0,0.5,0))</f>
        <v>12.744785759999997</v>
      </c>
      <c r="BW142" s="502">
        <f>IF(OR("BOCA DE LOBO EXISTENTE TRIPLA"=BH142,"BOCA DE LOBO EXISTENTE SIMPLES"=BH142,"BOCA DE LOBO EXISTENTE DUPLA"=BH142),0,IF("BOCA DE LOBO PROJETADA DUPLA"=BH142,(2.57+1)*(1.18+1),IF(OR("BOCA DE LOBO DUPLA EXISTENTE COM BOCA DE LOBO SIMPLES PROJETADA"=BH142,"BOCA DE LOBO SIMPLES EXISTENTE COM BOCA DE LOBO SIMPLES PROJETADA"=BH142),(1.18+1)*(1.18+0.5),IF(OR(BH142="BOCA DE LOBO DUPLA EXISTENTE COM BOCA DE LOBO DUPLA PROJETADA",BH142="BOCA DE LOBO SIMPLES EXISTENTE COM BOCA DE LOBO DUPLA PROJETADA"),(2.38+0.5)*(1.18+1),IF("BOCA DE LOBO PROJETADA TRIPLA"=BH142,(3.76+0.5*2)*(1.18+1),"X")))))</f>
        <v>7.7825999999999986</v>
      </c>
      <c r="BX142" s="502">
        <f>IF(OR("BOCA DE LOBO EXISTENTE TRIPLA"=BH142,"BOCA DE LOBO EXISTENTE SIMPLES"=BH142,"BOCA DE LOBO EXISTENTE DUPLA"=BH142),0,IF("BOCA DE LOBO PROJETADA DUPLA"=BH142,(2.57)*(1.18),IF(OR("BOCA DE LOBO DUPLA EXISTENTE COM BOCA DE LOBO SIMPLES PROJETADA"=BH142,"BOCA DE LOBO SIMPLES EXISTENTE COM BOCA DE LOBO SIMPLES PROJETADA"=BH142),(1.18)*(1.18),IF(OR(BH142="BOCA DE LOBO DUPLA EXISTENTE COM BOCA DE LOBO DUPLA PROJETADA",BH142="BOCA DE LOBO SIMPLES EXISTENTE COM BOCA DE LOBO DUPLA PROJETADA"),(2.38)*(1.18),IF("BOCA DE LOBO PROJETADA TRIPLA"=BH142,(3.76)*(1.18),"X")))))</f>
        <v>3.0325999999999995</v>
      </c>
      <c r="BY142" s="502">
        <f>E142</f>
        <v>1.6375999999999999</v>
      </c>
      <c r="BZ142" s="502">
        <f>IF(Y142&gt;0.5,0,IF(S142&lt;E142,S142,E142))</f>
        <v>1.6375999999999999</v>
      </c>
      <c r="CA142" s="502">
        <f>IF(Y142&gt;0.4,BY142+0.4,Y142)</f>
        <v>0</v>
      </c>
      <c r="CB142" s="502">
        <f>IF(S142&gt;E142,0,E142-S142)</f>
        <v>0</v>
      </c>
      <c r="CC142" s="502">
        <f>IF(BZ142&gt;1.5,BW142*1.5,BW142*BZ142)</f>
        <v>11.673899999999998</v>
      </c>
      <c r="CD142" s="502">
        <f>IF(BZ142&gt;1.5,BW142*(BZ142-1.5),0)</f>
        <v>1.0708857599999995</v>
      </c>
      <c r="CE142" s="502">
        <f>IF(CA142=0.4,IF(BZ142+CA142&gt;1.5,0,CA142*BW142),IF(CA142&gt;1.5,BW142*1.5,BW142*CA142))</f>
        <v>0</v>
      </c>
      <c r="CF142" s="502">
        <f>IF(CA142=0.4,IF(BZ142+CA142&lt;=1.5,0,CA142*BW142),IF(CA142&gt;1.5,BW142*(CA142-1.5),0))</f>
        <v>0</v>
      </c>
      <c r="CG142" s="502">
        <f>BV142-SUM(CC142:CF142)</f>
        <v>0</v>
      </c>
      <c r="CH142" s="502">
        <f>SUM(CC142:CG142)-BV142</f>
        <v>0</v>
      </c>
      <c r="CI142" s="531">
        <f>IF(OR("BOCA DE LOBO EXISTENTE TRIPLA"=BH142,"BOCA DE LOBO EXISTENTE SIMPLES"=BH142,"BOCA DE LOBO EXISTENTE DUPLA"=BH142),0,IF("BOCA DE LOBO PROJETADA DUPLA"=BH142,(2.57+1)*(0.5),IF(OR("BOCA DE LOBO DUPLA EXISTENTE COM BOCA DE LOBO SIMPLES PROJETADA"=BH142,"BOCA DE LOBO SIMPLES EXISTENTE COM BOCA DE LOBO SIMPLES PROJETADA"=BH142),(1.18+0.5)*(0.5),IF(OR(BH142="BOCA DE LOBO DUPLA EXISTENTE COM BOCA DE LOBO DUPLA PROJETADA",BH142="BOCA DE LOBO SIMPLES EXISTENTE COM BOCA DE LOBO DUPLA PROJETADA"),(2.38+0.5)*(0.5),IF("BOCA DE LOBO PROJETADA TRIPLA"=BH142,(3.76+1)*(0.5),"X")))))*0.3</f>
        <v>0.53549999999999998</v>
      </c>
      <c r="CJ142" s="502">
        <f>(BW142-BX142)*(BY142+IF(CA142&gt;=0.4,0.4,0))-CI142</f>
        <v>7.2430999999999983</v>
      </c>
      <c r="CK142" s="502">
        <f>IF($CK$223&gt;$CJ$221,CJ142,CJ142*$CK$223/$CJ$221)</f>
        <v>7.2430999999999983</v>
      </c>
      <c r="CL142" s="502">
        <f>CJ142-CK142</f>
        <v>0</v>
      </c>
      <c r="CM142" s="502">
        <f>IF(CA142&gt;0,0.5*4%*BW142,0)</f>
        <v>0</v>
      </c>
      <c r="CN142" s="502">
        <f>IF(OR("BOCA DE LOBO EXISTENTE TRIPLA"=BH142,"BOCA DE LOBO EXISTENTE SIMPLES"=BH142,"BOCA DE LOBO EXISTENTE DUPLA"=BH142),0,IF("BOCA DE LOBO PROJETADA DUPLA"=BH142,(2.57+1),IF(OR("BOCA DE LOBO DUPLA EXISTENTE COM BOCA DE LOBO SIMPLES PROJETADA"=BH142,"BOCA DE LOBO SIMPLES EXISTENTE COM BOCA DE LOBO SIMPLES PROJETADA"=BH142),(1.18+0.5),IF(OR(BH142="BOCA DE LOBO DUPLA EXISTENTE COM BOCA DE LOBO DUPLA PROJETADA",BH142="BOCA DE LOBO SIMPLES EXISTENTE COM BOCA DE LOBO DUPLA PROJETADA"),(2.38+0.5),IF("BOCA DE LOBO PROJETADA TRIPLA"=BH142,(3.76+0.5*2),"X")))))</f>
        <v>3.57</v>
      </c>
      <c r="CO142" s="502">
        <f>IF(CA142&gt;0,BY142+0.5,BY142)</f>
        <v>1.6375999999999999</v>
      </c>
      <c r="CP142" s="502">
        <f>IF(CO142&gt;=1.5,CN142*1.5*2,CN142*CO142*2)</f>
        <v>10.709999999999999</v>
      </c>
      <c r="CQ142" s="502">
        <f>IF(CO142&lt;=1.5,0,IF(CO142&gt;=3,CN142*1.5*2,CN142*(CO142-1.5)*2))</f>
        <v>0.98246399999999956</v>
      </c>
      <c r="CR142" s="220">
        <f>IF(D142="AMPLIADA",0.55*(E142-0.5),0)</f>
        <v>0</v>
      </c>
      <c r="CS142" s="503">
        <f>IF(OR("BOCA DE LOBO EXISTENTE TRIPLA"=BH142,"BOCA DE LOBO EXISTENTE SIMPLES"=BH142,"BOCA DE LOBO EXISTENTE DUPLA"=BH142),0,IF("BOCA DE LOBO PROJETADA DUPLA"=BH142,(0),IF(OR("BOCA DE LOBO DUPLA EXISTENTE COM BOCA DE LOBO SIMPLES PROJETADA"=BH142,"BOCA DE LOBO SIMPLES EXISTENTE COM BOCA DE LOBO SIMPLES PROJETADA"=BH142),(0.8*0.15*0.17),IF(OR(BH142="BOCA DE LOBO DUPLA EXISTENTE COM BOCA DE LOBO DUPLA PROJETADA",BH142="BOCA DE LOBO SIMPLES EXISTENTE COM BOCA DE LOBO DUPLA PROJETADA"),(0.8*0.15*0.17),IF("BOCA DE LOBO PROJETADA TRIPLA"=BH142,(0),"X")))))*E142</f>
        <v>0</v>
      </c>
      <c r="CT142" s="503">
        <f>IF(OR("BOCA DE LOBO EXISTENTE TRIPLA"=BH142,"BOCA DE LOBO EXISTENTE SIMPLES"=BH142,"BOCA DE LOBO EXISTENTE DUPLA"=BH142),0,IF("BOCA DE LOBO PROJETADA DUPLA"=BH142,(1.18*2.57*0.05),IF(OR("BOCA DE LOBO DUPLA EXISTENTE COM BOCA DE LOBO SIMPLES PROJETADA"=BH142,"BOCA DE LOBO SIMPLES EXISTENTE COM BOCA DE LOBO SIMPLES PROJETADA"=BH142),(1.19*1.18*0.05),IF(OR(BH142="BOCA DE LOBO DUPLA EXISTENTE COM BOCA DE LOBO DUPLA PROJETADA",BH142="BOCA DE LOBO SIMPLES EXISTENTE COM BOCA DE LOBO DUPLA PROJETADA"),(2.38*1.18*0.056),IF("BOCA DE LOBO PROJETADA TRIPLA"=BH142,(3.76*1.18*0.05),"X")))))+CI142/3</f>
        <v>0.33012999999999998</v>
      </c>
      <c r="CU142" s="504">
        <f>IF(OR("BOCA DE LOBO EXISTENTE TRIPLA"=BH142,"BOCA DE LOBO EXISTENTE SIMPLES"=BH142,"BOCA DE LOBO EXISTENTE DUPLA"=BH142),0,IF("BOCA DE LOBO PROJETADA DUPLA"=BH142,(1*4+0.6*2),IF("BOCA DE LOBO DUPLA EXISTENTE COM BOCA DE LOBO SIMPLES PROJETADA"=BH142,(1*2+0.6),IF(OR(BH142="BOCA DE LOBO DUPLA EXISTENTE COM BOCA DE LOBO DUPLA PROJETADA",BH142="BOCA DE LOBO SIMPLES EXISTENTE COM BOCA DE LOBO DUPLA PROJETADA"),(1*4+0.6),IF("BOCA DE LOBO PROJETADA TRIPLA"=BH142,(6*1+0.6*2),"X")))))*E142</f>
        <v>8.5155200000000004</v>
      </c>
      <c r="CV142" s="504">
        <f>IF(OR("BOCA DE LOBO EXISTENTE TRIPLA"=BH142,"BOCA DE LOBO EXISTENTE SIMPLES"=BH142,"BOCA DE LOBO EXISTENTE DUPLA"=BH142),0,IF("BOCA DE LOBO PROJETADA DUPLA"=BH142,(12*E142*0.17*0.15+1*0.17*0.15*5+1.09*0.6*0.07*2+2.57*1.18*0.15),IF("BOCA DE LOBO DUPLA EXISTENTE COM BOCA DE LOBO SIMPLES PROJETADA"=BH142,(8*E142*0.17*0.15+1*0.17*0.15*4+1.09*0.6*0.07*1+1.38*1.18*0.15),IF(OR(BH142="BOCA DE LOBO DUPLA EXISTENTE COM BOCA DE LOBO DUPLA PROJETADA",BH142="BOCA DE LOBO SIMPLES EXISTENTE COM BOCA DE LOBO DUPLA PROJETADA"),(7*E142*0.17*0.15+1*0.17*0.15*5+1.09*0.6*0.07*2+2.38*1.18*0.15),IF("BOCA DE LOBO PROJETADA TRIPLA"=BH142,(15*E142*0.17*0.15+1*0.17*0.15*7+1.09*0.6*0.07*3+3.76*1.18*0.15),"X")))))</f>
        <v>1.1750555999999999</v>
      </c>
      <c r="CW142" s="502">
        <f>IF(OR("BOCA DE LOBO EXISTENTE TRIPLA"=BH142,"BOCA DE LOBO EXISTENTE SIMPLES"=BH142,"BOCA DE LOBO EXISTENTE DUPLA"=BH142),0,IF("BOCA DE LOBO PROJETADA DUPLA"=BH142,(12*E142*2*(0.17+0.15)+1*(2*0.17+0.15)*5+2*(2.57+1.18)*0.15+(1.09+0.6)*2*0.07*2),IF("BOCA DE LOBO DUPLA EXISTENTE COM BOCA DE LOBO SIMPLES PROJETADA"=BH142,(8*E142*2*(0.17+0.15)+1*(2*0.17+0.15)*4+2*(1.38+1.18)*0.15+(1.09+0.6)*2*0.07*1),IF(OR(BH142="BOCA DE LOBO DUPLA EXISTENTE COM BOCA DE LOBO DUPLA PROJETADA",BH142="BOCA DE LOBO SIMPLES EXISTENTE COM BOCA DE LOBO DUPLA PROJETADA"),(7*E142*2*(0.17+0.15)+1*(2*0.17+0.15)*5+2*(2.38+1.18)*0.15+(1.09+0.6)*2*0.07*2),IF("BOCA DE LOBO PROJETADA TRIPLA"=BH142,(15*E142*2*(0.17+0.15)+1*(2*0.17+0.15)*7+2*(3.76+1.18)*0.15+(1.09+0.6)*2*0.07*3),"X")))))</f>
        <v>16.624967999999999</v>
      </c>
      <c r="CX142" s="531">
        <f>IF(OR("BOCA DE LOBO EXISTENTE TRIPLA"=BH142,"BOCA DE LOBO EXISTENTE SIMPLES"=BH142,"BOCA DE LOBO EXISTENTE DUPLA"=BH142),0,IF("BOCA DE LOBO PROJETADA DUPLA"=BH142,(2.57+1),IF(OR("BOCA DE LOBO DUPLA EXISTENTE COM BOCA DE LOBO SIMPLES PROJETADA"=BH142,"BOCA DE LOBO SIMPLES EXISTENTE COM BOCA DE LOBO SIMPLES PROJETADA"=BH142),(1.18+0.5),IF(OR(BH142="BOCA DE LOBO DUPLA EXISTENTE COM BOCA DE LOBO DUPLA PROJETADA",BH142="BOCA DE LOBO SIMPLES EXISTENTE COM BOCA DE LOBO DUPLA PROJETADA"),(2.38+0.5),IF("BOCA DE LOBO PROJETADA TRIPLA"=BH142,(3.76+1),"X")))))</f>
        <v>3.57</v>
      </c>
      <c r="CY142" s="537">
        <f>CX142*0.5</f>
        <v>1.7849999999999999</v>
      </c>
      <c r="CZ142" s="502">
        <f>IF(AND(C142="EXISTENTE",D142="PROJETADA"),PI()*0.51*0.51/4*0.12,0)</f>
        <v>0</v>
      </c>
    </row>
    <row r="143" spans="1:104" ht="25" x14ac:dyDescent="0.25">
      <c r="A143" s="413" t="str">
        <f>'BOCA DE LOBO'!C137</f>
        <v>BL53-&gt;PV1.2</v>
      </c>
      <c r="B143" s="413" t="str">
        <f>'BOCA DE LOBO'!A137</f>
        <v>PV1.2</v>
      </c>
      <c r="C143" s="413" t="str">
        <f>VLOOKUP(A143,'BOCA DE LOBO'!$C$82:$Q$270,3,0)</f>
        <v>PROJETADO</v>
      </c>
      <c r="D143" s="413" t="str">
        <f>VLOOKUP(A143,'BOCA DE LOBO'!$C$82:$Q$270,10,0)</f>
        <v>PROJETADA</v>
      </c>
      <c r="E143" s="413">
        <f>IF(F143-G143*4%&lt;2.5,F143-G143*4%,2.5)</f>
        <v>1.5484</v>
      </c>
      <c r="F143" s="413">
        <f>VLOOKUP(A143,'BOCA DE LOBO'!$C$82:$Q$270,2,0)</f>
        <v>1.88</v>
      </c>
      <c r="G143" s="413">
        <f>VLOOKUP(A143,'BOCA DE LOBO'!$C$82:$Q$270,4,0)</f>
        <v>8.2899999999999991</v>
      </c>
      <c r="H143" s="412">
        <v>400</v>
      </c>
      <c r="I143" s="493">
        <f>IF(H143=400,((E143+F143)/2)+0.08+U143,IF(H143=500,((E143+F143)/2)+0.1+U143,IF(H143=600,((E143+F143)/2)+0.12+U143,IF(H143=800,((E143+F143)/2)+0.16+U143,IF(H143=1000,((E143+F143)/2)+0.2+U143,IF(H143=1200,((E143+F143)/2)+0.24+U143,IF(H143=1500,((E143+F143)/2)+0.3+U143,IF(H143&gt;1500,((E143+F143)/2)+0.4+U143))))))))</f>
        <v>1.8442000000000001</v>
      </c>
      <c r="J143" s="493">
        <f>IF(L143=0,0,IF(I143&gt;=1.25,G143*I143/20,0))</f>
        <v>0.76442089999999996</v>
      </c>
      <c r="K143" s="530">
        <v>0</v>
      </c>
      <c r="L143" s="531">
        <f>IF(D143&lt;&gt;"PROJETADA",0,IF(H143=400,1,0)+IF(H143=500,1.2,0)+IF(H143=600,1.4,0)+IF(H143=800,1.7,0)+IF(H143=1000,2,0)+IF(H143=1200,2.2,0)+IF(H143=1500,2.6,0)+IF(H143=1650,3,0)+IF(H143=1800,3.2,0)+IF(H143=2000,3.4,0)+IF(H143=2200,3.6,0)+IF(H143=2400,3.8,0)+IF(H143=2600,4,0)+IF(H143=3000,4.4,0))</f>
        <v>1</v>
      </c>
      <c r="M143" s="531">
        <f>2*K143*I143+L143</f>
        <v>1</v>
      </c>
      <c r="N143" s="531">
        <f>IF(OR(D143="EXISTENTE",D143="AMPLIADA"),400,0)</f>
        <v>0</v>
      </c>
      <c r="O143" s="531">
        <f>IF(P143="TERRENO NATURAL",0,M143*G143)</f>
        <v>8.2899999999999991</v>
      </c>
      <c r="P143" s="532" t="str">
        <f>VLOOKUP(B143,'Planilha Hidráulica'!$AG:$AR,12,0)</f>
        <v>ASFALTO</v>
      </c>
      <c r="Q143" s="533" t="s">
        <v>2717</v>
      </c>
      <c r="R143" s="534"/>
      <c r="S143" s="532">
        <f>VLOOKUP(Q143,Quantitativos!P:R,3,0)</f>
        <v>5</v>
      </c>
      <c r="T143" s="532">
        <f>VLOOKUP(Q143,Quantitativos!P:S,4,0)</f>
        <v>5</v>
      </c>
      <c r="U143" s="531">
        <f>IF(H143=400,0.05,0)+IF(H143=500,0.05,0)+IF(H143=600,0.1,0)+IF(H143=800,0.1,0)+IF(H143=1000,0.15,0)+IF(H143=1200,0.15,0)+IF(H143=1500,0.2,0)+IF(H143=1650,0.2,0)+IF(H143=1800,0.2,0)+IF(H143=2000,0.25,0)+IF(H143=2200,0.25,0)+IF(H143=2400,0.25,0)+IF(H143=2600,0.25,0)+IF(H143=3000,0.25,0)</f>
        <v>0.05</v>
      </c>
      <c r="V143" s="535">
        <f>IF(L143=0,0,IF("EXISTENTE"=C143,0,IFERROR((PI()*(N143/1000)*(N143/1000)/4)*G143,0)))</f>
        <v>0</v>
      </c>
      <c r="W143" s="535">
        <f>IF(O143=0,0,((((K143*I143)*I143)/2)*2+L143*I143)*G143-V143+AO143)</f>
        <v>15.288417999999998</v>
      </c>
      <c r="X143" s="536">
        <f>W143-SUM(AC143:AJ143)</f>
        <v>0</v>
      </c>
      <c r="Y143" s="536">
        <f>IF(R143=1,IF(N143=0,I143+0.4,0.4),0)</f>
        <v>0</v>
      </c>
      <c r="Z143" s="536">
        <f>IF(Y143&gt;0.5,0,IF(S143&lt;I143,S143,I143))</f>
        <v>1.8442000000000001</v>
      </c>
      <c r="AA143" s="536">
        <f>I143-Z143</f>
        <v>0</v>
      </c>
      <c r="AB143" s="496">
        <f>IF(P143="ASFALTO",IF(D143="PROJETADA",O143,IF(D143="EXISTENTE",0,O143/2)),0)</f>
        <v>8.2899999999999991</v>
      </c>
      <c r="AC143" s="251">
        <f>IF(Y143=0,0,IF(Y143=0.4,IF(L143&lt;=1.5,IF(Z143+0.4&gt;=1.5,0,L143*G143*0.4),0),IF(L143&lt;=1.5,IF(Y143&gt;=1.5,M143*G143*1.5,L143*G143*(Y143)),0)+IF(S143&lt;I143+0.4,0,IF(AND(Y143&lt;=1.5,L143&lt;=1.5),-V143,0))))</f>
        <v>0</v>
      </c>
      <c r="AD143" s="251">
        <f>IF(Y143=0,0,IF(Y143=0.4,IF(L143&lt;=1.5,IF(OR(Z143+0.4&gt;=3,Z143+0.4&lt;1.5),0,L143*G143*0.4),0),IF(IF(L143&lt;=1.5,IF(Y143&gt;=3,M143*G143*1.5,L143*G143*(Y143-1.5)),0)&lt;0,0,IF(L143&lt;=1.5,IF(Y143&gt;=3,M143*G143*1.5,L143*G143*(Y143-1.5)),0))+IF(S143&lt;I143+0.4,0,IF(AND(Y143&lt;=3,L143&lt;=1.5),-V143,0))))</f>
        <v>0</v>
      </c>
      <c r="AE143" s="251">
        <f>IF(Y143=0,0,IF(Y143=0.4,IF(L143&lt;=1.5,IF(OR(Z143+0.4&gt;=4.5,Z143+0.4&lt;3),0,L143*G143*0.4),0),IF(IF(L143&lt;=1.5,IF(Y143&gt;=4.5,M143*G143*1.5,L143*G143*(Y143-3)),0)&lt;0,0,IF(L143&lt;=1.5,IF(Y143&gt;=4.5,M143*G143*1.5,L143*G143*(Y143-3)),0))+IF(S143&lt;I143+0.4,0,IF(AND(Y143&lt;=4.5,L143&lt;=1.5),-V143,0))))</f>
        <v>0</v>
      </c>
      <c r="AF143" s="251">
        <f>IF(L143&lt;=1.5,IF(Z143&gt;=1.5,M143*G143*1.5,L143*G143*Z143),0)+IF(S143&lt;I143,0,IF(AND(Z143&lt;=1.5,L143&lt;=1.5),-V143,0))</f>
        <v>12.434999999999999</v>
      </c>
      <c r="AG143" s="251">
        <f>IF(IF(L143&lt;=1.5,IF(Z143&gt;=3,M143*G143*1.5,L143*G143*(Z143-1.5)),0)&lt;0,0,IF(L143&lt;=1.5,IF(Z143&gt;=3,M143*G143*1.5,L143*G143*(Z143-1.5)),0))+IF(S143&lt;I143,0,IF(AND(Z143&lt;=3,L143&lt;=1.5),-V143,0))</f>
        <v>2.853418</v>
      </c>
      <c r="AH143" s="251">
        <f>IF(IF(IF(L143&lt;=1.5,IF(Z143&gt;=4.5,M143*G143*1.5,L143*G143*(Z143-3)),0)&lt;0,0,IF(L143&lt;=1.5,IF(Z143&gt;=4.5,M143*G143*1.5,L143*G143*(Z143-3)),0))+IF(S143&lt;I143,0,IF(AND(Z143&lt;=4.5,L143&lt;=1.5),-V143,0))&lt;0,0,IF(IF(L143&lt;=1.5,IF(Z143&gt;=4.5,M143*G143*1.5,L143*G143*(Z143-3)),0)&lt;0,0,IF(L143&lt;=1.5,IF(Z143&gt;=4.5,M143*G143*1.5,L143*G143*(Z143-3)),0))+IF(S143&lt;I143,0,IF(AND(Z143&lt;=4.5,L143&lt;=1.5),-V143,0)))</f>
        <v>0</v>
      </c>
      <c r="AI143" s="497" t="str">
        <f>IF(I143&gt;S143,"SIM","NÃO")</f>
        <v>NÃO</v>
      </c>
      <c r="AJ143" s="531">
        <f>W143-SUM(AC143:AH143)</f>
        <v>0</v>
      </c>
      <c r="AK143" s="531">
        <f>IF(I143-T143&lt;0,0,(I143-T143)*G143)/75</f>
        <v>0</v>
      </c>
      <c r="AL143" s="531">
        <f>IF(L143=0,0,G143*L143*I143-PI()*(H143/1000)*(H143/1000)/4*G143+AO143)</f>
        <v>14.246665876069622</v>
      </c>
      <c r="AM143" s="493">
        <f>IF(L143&lt;1.5,L143*G143*IF(H143&lt;=500,0.05,IF(H143&lt;=800,0.1,IF(H143&lt;=1200,0.15,IF(H143&gt;=1500,0.2)))),0)</f>
        <v>0.41449999999999998</v>
      </c>
      <c r="AN143" s="535">
        <f>IF(L143&gt;=1.5,L143*G143*IF(H143&lt;=500,0.05,IF(H143&lt;=800,0.1,IF(H143&lt;=1200,0.15,IF(H143&gt;=1500,0.2)))),0)</f>
        <v>0</v>
      </c>
      <c r="AO143" s="531">
        <f>IF(R143=1,0.4*G143*L143,0)</f>
        <v>0</v>
      </c>
      <c r="AP143" s="531">
        <f>IF(AO143&lt;SUM(AF143:AH143),0,AO143)</f>
        <v>0</v>
      </c>
      <c r="AQ143" s="531">
        <f>H143/1000+0.3</f>
        <v>0.7</v>
      </c>
      <c r="AR143" s="531">
        <f>IF(D143&lt;&gt;"PROJETADA",0,AQ143*L143*G143-PI()*(H143/1000*H143/1000)/4*G143)</f>
        <v>4.761247876069624</v>
      </c>
      <c r="AS143" s="531">
        <f>IF(AR143&lt;SUM(AF143:AH143),0,AR143)</f>
        <v>0</v>
      </c>
      <c r="AT143" s="531">
        <f>IF(P143="ASFALTO",0.15*G143*L143,0)</f>
        <v>1.2434999999999998</v>
      </c>
      <c r="AU143" s="531">
        <f>AT143</f>
        <v>1.2434999999999998</v>
      </c>
      <c r="AV143" s="531">
        <f>IF(P143="ASFALTO",0.03*G143*L143,0)</f>
        <v>0.24869999999999998</v>
      </c>
      <c r="AW143" s="531">
        <f>AL143-AO143-SUM(AM143:AN143)-AT143-AU143-AR143</f>
        <v>6.5839179999999997</v>
      </c>
      <c r="AX143" s="531">
        <f>SUM(AF143:AH143)-AO143-AT143-AR143</f>
        <v>9.2836701239303743</v>
      </c>
      <c r="AY143" s="531">
        <f>SMALL(AW143:AX143,1)</f>
        <v>6.5839179999999997</v>
      </c>
      <c r="AZ143" s="531">
        <f>AW143-AY143</f>
        <v>0</v>
      </c>
      <c r="BA143" s="531">
        <f>IF($AZ$221&gt;$BA$223,($BA$223/$AZ$221)*AZ143,AZ143)</f>
        <v>0</v>
      </c>
      <c r="BB143" s="531">
        <f>AZ143-BA143</f>
        <v>0</v>
      </c>
      <c r="BC143" s="531"/>
      <c r="BD143" s="531">
        <f>IF(AO143+AT143&gt;0,4%*(AO143+AT143),0)</f>
        <v>4.9739999999999993E-2</v>
      </c>
      <c r="BE143" s="496">
        <f>IF(H143=400,I143,0)</f>
        <v>1.8442000000000001</v>
      </c>
      <c r="BF143" s="498">
        <f>IF(BE143&lt;=1.75,AND(BE143&gt;0)*G143,0)</f>
        <v>0</v>
      </c>
      <c r="BG143" s="498">
        <f>IF(BE143&lt;=3,AND(BE143&gt;1.75)*G143,0)</f>
        <v>8.2899999999999991</v>
      </c>
      <c r="BH143" s="532" t="str">
        <f>VLOOKUP(A143,'BOCA DE LOBO'!C:I,7,0)</f>
        <v>BOCA DE LOBO PROJETADA DUPLA</v>
      </c>
      <c r="BI143" s="531">
        <f>IF(BH143=$BI$87,1,0)</f>
        <v>0</v>
      </c>
      <c r="BJ143" s="531">
        <f>IF(BH143=$BJ$87,1,0)</f>
        <v>0</v>
      </c>
      <c r="BK143" s="531">
        <f>IF(BH143=$BK$87,1,0)</f>
        <v>0</v>
      </c>
      <c r="BL143" s="531">
        <f>IF(BH143=$BL$87,1,0)</f>
        <v>0</v>
      </c>
      <c r="BM143" s="531">
        <f>IF(BH143=$BM$87,1,0)</f>
        <v>0</v>
      </c>
      <c r="BN143" s="531">
        <f>IF(BH143=$BN$87,1,0)</f>
        <v>1</v>
      </c>
      <c r="BO143" s="499">
        <f>IF(BH143=$BO$87,1,0)</f>
        <v>0</v>
      </c>
      <c r="BP143" s="500"/>
      <c r="BQ143" s="496">
        <f>IF(L143&lt;=1.5,IF(I143+IF(R143=1,0.5,0)&lt;1.5,(I143+IF(R143=1,0.5,0))*G143*2,G143*2*1.5),0)</f>
        <v>24.869999999999997</v>
      </c>
      <c r="BR143" s="496">
        <f>IF(L143&lt;=1.5,IF(AND(I143+IF(R143=1,0.5,0)&lt;3,I143+IF(R143=1,0.5,0)&gt;1.5),(I143+IF(R143=1,0.5,0)-1.5)*G143*2,IF(I143+IF(R143=1,0.5,0)&gt;=3,(G143*2*1.5),0)),0)</f>
        <v>5.706836</v>
      </c>
      <c r="BS143" s="496">
        <f>IF(L143&lt;=1.5,IF(AND(I143+IF(R143=1,0.5,0)&lt;4.5,I143+IF(R143=1,0.5,0)&gt;3),(I143+IF(R143=1,0.5,0)-3)*G143*2,IF(I143+IF(R143=1,0.5,0)&gt;=4.5,(G143*2*1.5),0)),0)</f>
        <v>0</v>
      </c>
      <c r="BT143" s="501"/>
      <c r="BU143" s="501"/>
      <c r="BV143" s="502">
        <f>IF(OR("BOCA DE LOBO EXISTENTE TRIPLA"=BH143,"BOCA DE LOBO EXISTENTE SIMPLES"=BH143,"BOCA DE LOBO EXISTENTE DUPLA"=BH143),0,IF("BOCA DE LOBO PROJETADA DUPLA"=BH143,(2.57+1)*(1.18+1),IF(OR("BOCA DE LOBO DUPLA EXISTENTE COM BOCA DE LOBO SIMPLES PROJETADA"=BH143,"BOCA DE LOBO SIMPLES EXISTENTE COM BOCA DE LOBO SIMPLES PROJETADA"=BH143),(1.18+0.5)*(1.18+1),IF(OR(BH143="BOCA DE LOBO DUPLA EXISTENTE COM BOCA DE LOBO DUPLA PROJETADA",BH143="BOCA DE LOBO SIMPLES EXISTENTE COM BOCA DE LOBO DUPLA PROJETADA"),(2.38+0.5)*(1.18+1),IF("BOCA DE LOBO PROJETADA TRIPLA"=BH143,(3.76+1)*(1.18+1),"X")))))*(E143+IF(CA143&gt;0,0.5,0))</f>
        <v>12.050577839999997</v>
      </c>
      <c r="BW143" s="502">
        <f>IF(OR("BOCA DE LOBO EXISTENTE TRIPLA"=BH143,"BOCA DE LOBO EXISTENTE SIMPLES"=BH143,"BOCA DE LOBO EXISTENTE DUPLA"=BH143),0,IF("BOCA DE LOBO PROJETADA DUPLA"=BH143,(2.57+1)*(1.18+1),IF(OR("BOCA DE LOBO DUPLA EXISTENTE COM BOCA DE LOBO SIMPLES PROJETADA"=BH143,"BOCA DE LOBO SIMPLES EXISTENTE COM BOCA DE LOBO SIMPLES PROJETADA"=BH143),(1.18+1)*(1.18+0.5),IF(OR(BH143="BOCA DE LOBO DUPLA EXISTENTE COM BOCA DE LOBO DUPLA PROJETADA",BH143="BOCA DE LOBO SIMPLES EXISTENTE COM BOCA DE LOBO DUPLA PROJETADA"),(2.38+0.5)*(1.18+1),IF("BOCA DE LOBO PROJETADA TRIPLA"=BH143,(3.76+0.5*2)*(1.18+1),"X")))))</f>
        <v>7.7825999999999986</v>
      </c>
      <c r="BX143" s="502">
        <f>IF(OR("BOCA DE LOBO EXISTENTE TRIPLA"=BH143,"BOCA DE LOBO EXISTENTE SIMPLES"=BH143,"BOCA DE LOBO EXISTENTE DUPLA"=BH143),0,IF("BOCA DE LOBO PROJETADA DUPLA"=BH143,(2.57)*(1.18),IF(OR("BOCA DE LOBO DUPLA EXISTENTE COM BOCA DE LOBO SIMPLES PROJETADA"=BH143,"BOCA DE LOBO SIMPLES EXISTENTE COM BOCA DE LOBO SIMPLES PROJETADA"=BH143),(1.18)*(1.18),IF(OR(BH143="BOCA DE LOBO DUPLA EXISTENTE COM BOCA DE LOBO DUPLA PROJETADA",BH143="BOCA DE LOBO SIMPLES EXISTENTE COM BOCA DE LOBO DUPLA PROJETADA"),(2.38)*(1.18),IF("BOCA DE LOBO PROJETADA TRIPLA"=BH143,(3.76)*(1.18),"X")))))</f>
        <v>3.0325999999999995</v>
      </c>
      <c r="BY143" s="502">
        <f>E143</f>
        <v>1.5484</v>
      </c>
      <c r="BZ143" s="502">
        <f>IF(Y143&gt;0.5,0,IF(S143&lt;E143,S143,E143))</f>
        <v>1.5484</v>
      </c>
      <c r="CA143" s="502">
        <f>IF(Y143&gt;0.4,BY143+0.4,Y143)</f>
        <v>0</v>
      </c>
      <c r="CB143" s="502">
        <f>IF(S143&gt;E143,0,E143-S143)</f>
        <v>0</v>
      </c>
      <c r="CC143" s="502">
        <f>IF(BZ143&gt;1.5,BW143*1.5,BW143*BZ143)</f>
        <v>11.673899999999998</v>
      </c>
      <c r="CD143" s="502">
        <f>IF(BZ143&gt;1.5,BW143*(BZ143-1.5),0)</f>
        <v>0.37667783999999993</v>
      </c>
      <c r="CE143" s="502">
        <f>IF(CA143=0.4,IF(BZ143+CA143&gt;1.5,0,CA143*BW143),IF(CA143&gt;1.5,BW143*1.5,BW143*CA143))</f>
        <v>0</v>
      </c>
      <c r="CF143" s="502">
        <f>IF(CA143=0.4,IF(BZ143+CA143&lt;=1.5,0,CA143*BW143),IF(CA143&gt;1.5,BW143*(CA143-1.5),0))</f>
        <v>0</v>
      </c>
      <c r="CG143" s="502">
        <f>BV143-SUM(CC143:CF143)</f>
        <v>0</v>
      </c>
      <c r="CH143" s="502">
        <f>SUM(CC143:CG143)-BV143</f>
        <v>0</v>
      </c>
      <c r="CI143" s="531">
        <f>IF(OR("BOCA DE LOBO EXISTENTE TRIPLA"=BH143,"BOCA DE LOBO EXISTENTE SIMPLES"=BH143,"BOCA DE LOBO EXISTENTE DUPLA"=BH143),0,IF("BOCA DE LOBO PROJETADA DUPLA"=BH143,(2.57+1)*(0.5),IF(OR("BOCA DE LOBO DUPLA EXISTENTE COM BOCA DE LOBO SIMPLES PROJETADA"=BH143,"BOCA DE LOBO SIMPLES EXISTENTE COM BOCA DE LOBO SIMPLES PROJETADA"=BH143),(1.18+0.5)*(0.5),IF(OR(BH143="BOCA DE LOBO DUPLA EXISTENTE COM BOCA DE LOBO DUPLA PROJETADA",BH143="BOCA DE LOBO SIMPLES EXISTENTE COM BOCA DE LOBO DUPLA PROJETADA"),(2.38+0.5)*(0.5),IF("BOCA DE LOBO PROJETADA TRIPLA"=BH143,(3.76+1)*(0.5),"X")))))*0.3</f>
        <v>0.53549999999999998</v>
      </c>
      <c r="CJ143" s="502">
        <f>(BW143-BX143)*(BY143+IF(CA143&gt;=0.4,0.4,0))-CI143</f>
        <v>6.819399999999999</v>
      </c>
      <c r="CK143" s="502">
        <f>IF($CK$223&gt;$CJ$221,CJ143,CJ143*$CK$223/$CJ$221)</f>
        <v>6.819399999999999</v>
      </c>
      <c r="CL143" s="502">
        <f>CJ143-CK143</f>
        <v>0</v>
      </c>
      <c r="CM143" s="502">
        <f>IF(CA143&gt;0,0.5*4%*BW143,0)</f>
        <v>0</v>
      </c>
      <c r="CN143" s="502">
        <f>IF(OR("BOCA DE LOBO EXISTENTE TRIPLA"=BH143,"BOCA DE LOBO EXISTENTE SIMPLES"=BH143,"BOCA DE LOBO EXISTENTE DUPLA"=BH143),0,IF("BOCA DE LOBO PROJETADA DUPLA"=BH143,(2.57+1),IF(OR("BOCA DE LOBO DUPLA EXISTENTE COM BOCA DE LOBO SIMPLES PROJETADA"=BH143,"BOCA DE LOBO SIMPLES EXISTENTE COM BOCA DE LOBO SIMPLES PROJETADA"=BH143),(1.18+0.5),IF(OR(BH143="BOCA DE LOBO DUPLA EXISTENTE COM BOCA DE LOBO DUPLA PROJETADA",BH143="BOCA DE LOBO SIMPLES EXISTENTE COM BOCA DE LOBO DUPLA PROJETADA"),(2.38+0.5),IF("BOCA DE LOBO PROJETADA TRIPLA"=BH143,(3.76+0.5*2),"X")))))</f>
        <v>3.57</v>
      </c>
      <c r="CO143" s="502">
        <f>IF(CA143&gt;0,BY143+0.5,BY143)</f>
        <v>1.5484</v>
      </c>
      <c r="CP143" s="502">
        <f>IF(CO143&gt;=1.5,CN143*1.5*2,CN143*CO143*2)</f>
        <v>10.709999999999999</v>
      </c>
      <c r="CQ143" s="502">
        <f>IF(CO143&lt;=1.5,0,IF(CO143&gt;=3,CN143*1.5*2,CN143*(CO143-1.5)*2))</f>
        <v>0.34557599999999999</v>
      </c>
      <c r="CR143" s="220">
        <f>IF(D143="AMPLIADA",0.55*(E143-0.5),0)</f>
        <v>0</v>
      </c>
      <c r="CS143" s="503">
        <f>IF(OR("BOCA DE LOBO EXISTENTE TRIPLA"=BH143,"BOCA DE LOBO EXISTENTE SIMPLES"=BH143,"BOCA DE LOBO EXISTENTE DUPLA"=BH143),0,IF("BOCA DE LOBO PROJETADA DUPLA"=BH143,(0),IF(OR("BOCA DE LOBO DUPLA EXISTENTE COM BOCA DE LOBO SIMPLES PROJETADA"=BH143,"BOCA DE LOBO SIMPLES EXISTENTE COM BOCA DE LOBO SIMPLES PROJETADA"=BH143),(0.8*0.15*0.17),IF(OR(BH143="BOCA DE LOBO DUPLA EXISTENTE COM BOCA DE LOBO DUPLA PROJETADA",BH143="BOCA DE LOBO SIMPLES EXISTENTE COM BOCA DE LOBO DUPLA PROJETADA"),(0.8*0.15*0.17),IF("BOCA DE LOBO PROJETADA TRIPLA"=BH143,(0),"X")))))*E143</f>
        <v>0</v>
      </c>
      <c r="CT143" s="503">
        <f>IF(OR("BOCA DE LOBO EXISTENTE TRIPLA"=BH143,"BOCA DE LOBO EXISTENTE SIMPLES"=BH143,"BOCA DE LOBO EXISTENTE DUPLA"=BH143),0,IF("BOCA DE LOBO PROJETADA DUPLA"=BH143,(1.18*2.57*0.05),IF(OR("BOCA DE LOBO DUPLA EXISTENTE COM BOCA DE LOBO SIMPLES PROJETADA"=BH143,"BOCA DE LOBO SIMPLES EXISTENTE COM BOCA DE LOBO SIMPLES PROJETADA"=BH143),(1.19*1.18*0.05),IF(OR(BH143="BOCA DE LOBO DUPLA EXISTENTE COM BOCA DE LOBO DUPLA PROJETADA",BH143="BOCA DE LOBO SIMPLES EXISTENTE COM BOCA DE LOBO DUPLA PROJETADA"),(2.38*1.18*0.056),IF("BOCA DE LOBO PROJETADA TRIPLA"=BH143,(3.76*1.18*0.05),"X")))))+CI143/3</f>
        <v>0.33012999999999998</v>
      </c>
      <c r="CU143" s="504">
        <f>IF(OR("BOCA DE LOBO EXISTENTE TRIPLA"=BH143,"BOCA DE LOBO EXISTENTE SIMPLES"=BH143,"BOCA DE LOBO EXISTENTE DUPLA"=BH143),0,IF("BOCA DE LOBO PROJETADA DUPLA"=BH143,(1*4+0.6*2),IF("BOCA DE LOBO DUPLA EXISTENTE COM BOCA DE LOBO SIMPLES PROJETADA"=BH143,(1*2+0.6),IF(OR(BH143="BOCA DE LOBO DUPLA EXISTENTE COM BOCA DE LOBO DUPLA PROJETADA",BH143="BOCA DE LOBO SIMPLES EXISTENTE COM BOCA DE LOBO DUPLA PROJETADA"),(1*4+0.6),IF("BOCA DE LOBO PROJETADA TRIPLA"=BH143,(6*1+0.6*2),"X")))))*E143</f>
        <v>8.0516800000000011</v>
      </c>
      <c r="CV143" s="504">
        <f>IF(OR("BOCA DE LOBO EXISTENTE TRIPLA"=BH143,"BOCA DE LOBO EXISTENTE SIMPLES"=BH143,"BOCA DE LOBO EXISTENTE DUPLA"=BH143),0,IF("BOCA DE LOBO PROJETADA DUPLA"=BH143,(12*E143*0.17*0.15+1*0.17*0.15*5+1.09*0.6*0.07*2+2.57*1.18*0.15),IF("BOCA DE LOBO DUPLA EXISTENTE COM BOCA DE LOBO SIMPLES PROJETADA"=BH143,(8*E143*0.17*0.15+1*0.17*0.15*4+1.09*0.6*0.07*1+1.38*1.18*0.15),IF(OR(BH143="BOCA DE LOBO DUPLA EXISTENTE COM BOCA DE LOBO DUPLA PROJETADA",BH143="BOCA DE LOBO SIMPLES EXISTENTE COM BOCA DE LOBO DUPLA PROJETADA"),(7*E143*0.17*0.15+1*0.17*0.15*5+1.09*0.6*0.07*2+2.38*1.18*0.15),IF("BOCA DE LOBO PROJETADA TRIPLA"=BH143,(15*E143*0.17*0.15+1*0.17*0.15*7+1.09*0.6*0.07*3+3.76*1.18*0.15),"X")))))</f>
        <v>1.1477603999999999</v>
      </c>
      <c r="CW143" s="502">
        <f>IF(OR("BOCA DE LOBO EXISTENTE TRIPLA"=BH143,"BOCA DE LOBO EXISTENTE SIMPLES"=BH143,"BOCA DE LOBO EXISTENTE DUPLA"=BH143),0,IF("BOCA DE LOBO PROJETADA DUPLA"=BH143,(12*E143*2*(0.17+0.15)+1*(2*0.17+0.15)*5+2*(2.57+1.18)*0.15+(1.09+0.6)*2*0.07*2),IF("BOCA DE LOBO DUPLA EXISTENTE COM BOCA DE LOBO SIMPLES PROJETADA"=BH143,(8*E143*2*(0.17+0.15)+1*(2*0.17+0.15)*4+2*(1.38+1.18)*0.15+(1.09+0.6)*2*0.07*1),IF(OR(BH143="BOCA DE LOBO DUPLA EXISTENTE COM BOCA DE LOBO DUPLA PROJETADA",BH143="BOCA DE LOBO SIMPLES EXISTENTE COM BOCA DE LOBO DUPLA PROJETADA"),(7*E143*2*(0.17+0.15)+1*(2*0.17+0.15)*5+2*(2.38+1.18)*0.15+(1.09+0.6)*2*0.07*2),IF("BOCA DE LOBO PROJETADA TRIPLA"=BH143,(15*E143*2*(0.17+0.15)+1*(2*0.17+0.15)*7+2*(3.76+1.18)*0.15+(1.09+0.6)*2*0.07*3),"X")))))</f>
        <v>15.939912000000001</v>
      </c>
      <c r="CX143" s="531">
        <f>IF(OR("BOCA DE LOBO EXISTENTE TRIPLA"=BH143,"BOCA DE LOBO EXISTENTE SIMPLES"=BH143,"BOCA DE LOBO EXISTENTE DUPLA"=BH143),0,IF("BOCA DE LOBO PROJETADA DUPLA"=BH143,(2.57+1),IF(OR("BOCA DE LOBO DUPLA EXISTENTE COM BOCA DE LOBO SIMPLES PROJETADA"=BH143,"BOCA DE LOBO SIMPLES EXISTENTE COM BOCA DE LOBO SIMPLES PROJETADA"=BH143),(1.18+0.5),IF(OR(BH143="BOCA DE LOBO DUPLA EXISTENTE COM BOCA DE LOBO DUPLA PROJETADA",BH143="BOCA DE LOBO SIMPLES EXISTENTE COM BOCA DE LOBO DUPLA PROJETADA"),(2.38+0.5),IF("BOCA DE LOBO PROJETADA TRIPLA"=BH143,(3.76+1),"X")))))</f>
        <v>3.57</v>
      </c>
      <c r="CY143" s="537">
        <f>CX143*0.5</f>
        <v>1.7849999999999999</v>
      </c>
      <c r="CZ143" s="502">
        <f>IF(AND(C143="EXISTENTE",D143="PROJETADA"),PI()*0.51*0.51/4*0.12,0)</f>
        <v>0</v>
      </c>
    </row>
    <row r="144" spans="1:104" ht="14.5" x14ac:dyDescent="0.35">
      <c r="A144" s="520" t="str">
        <f>'BOCA DE LOBO'!A138</f>
        <v>EXISTENTE</v>
      </c>
      <c r="B144" s="414"/>
      <c r="C144" s="414"/>
      <c r="D144" s="414"/>
      <c r="E144" s="521"/>
      <c r="F144" s="521"/>
      <c r="G144" s="521"/>
      <c r="H144" s="372"/>
      <c r="I144" s="372"/>
      <c r="J144" s="372"/>
      <c r="K144" s="372"/>
      <c r="L144" s="522"/>
      <c r="M144" s="523"/>
      <c r="N144" s="523"/>
      <c r="O144" s="523"/>
      <c r="P144" s="532"/>
      <c r="Q144" s="524"/>
      <c r="R144" s="524"/>
      <c r="S144" s="532"/>
      <c r="T144" s="522"/>
      <c r="U144" s="523"/>
      <c r="V144" s="525"/>
      <c r="W144" s="526"/>
      <c r="X144" s="526"/>
      <c r="Y144" s="526"/>
      <c r="Z144" s="526"/>
      <c r="AA144" s="526"/>
      <c r="AB144" s="228"/>
      <c r="AC144" s="229"/>
      <c r="AD144" s="229"/>
      <c r="AE144" s="229"/>
      <c r="AF144" s="229"/>
      <c r="AG144" s="229"/>
      <c r="AH144" s="229"/>
      <c r="AI144" s="217"/>
      <c r="AJ144" s="372"/>
      <c r="AK144" s="372"/>
      <c r="AL144" s="372"/>
      <c r="AM144" s="372"/>
      <c r="AN144" s="438"/>
      <c r="AO144" s="372"/>
      <c r="AP144" s="372"/>
      <c r="AQ144" s="198"/>
      <c r="AR144" s="538"/>
      <c r="AS144" s="538"/>
      <c r="AT144" s="538"/>
      <c r="AU144" s="538"/>
      <c r="AV144" s="538"/>
      <c r="AW144" s="372"/>
      <c r="AX144" s="372"/>
      <c r="AY144" s="372"/>
      <c r="AZ144" s="372"/>
      <c r="BA144" s="372"/>
      <c r="BB144" s="372"/>
      <c r="BC144" s="372"/>
      <c r="BD144" s="372"/>
      <c r="BE144" s="231"/>
      <c r="BF144" s="198"/>
      <c r="BG144" s="198"/>
      <c r="BH144" s="527"/>
      <c r="BI144" s="528"/>
      <c r="BJ144" s="528"/>
      <c r="BK144" s="528"/>
      <c r="BL144" s="528"/>
      <c r="BM144" s="528"/>
      <c r="BN144" s="529"/>
      <c r="BO144" s="490"/>
      <c r="BP144" s="491"/>
      <c r="BQ144" s="198"/>
      <c r="BR144" s="198"/>
      <c r="BS144" s="198"/>
      <c r="BV144" s="220"/>
      <c r="BW144" s="220"/>
      <c r="BX144" s="220"/>
      <c r="BY144" s="220"/>
      <c r="BZ144" s="220"/>
      <c r="CA144" s="220"/>
      <c r="CB144" s="220"/>
      <c r="CC144" s="220"/>
      <c r="CD144" s="220"/>
      <c r="CE144" s="502"/>
      <c r="CF144" s="502"/>
      <c r="CG144" s="220"/>
      <c r="CH144" s="220"/>
      <c r="CI144" s="220"/>
      <c r="CJ144" s="220"/>
      <c r="CK144" s="220"/>
      <c r="CL144" s="220"/>
      <c r="CM144" s="220"/>
      <c r="CN144" s="220"/>
      <c r="CO144" s="220"/>
      <c r="CP144" s="220"/>
      <c r="CQ144" s="220"/>
      <c r="CR144" s="220"/>
    </row>
    <row r="145" spans="1:104" ht="25" x14ac:dyDescent="0.25">
      <c r="A145" s="413" t="str">
        <f>'BOCA DE LOBO'!C139</f>
        <v>BL54-&gt;PV1-102</v>
      </c>
      <c r="B145" s="413" t="str">
        <f>'BOCA DE LOBO'!A139</f>
        <v>PV1-102</v>
      </c>
      <c r="C145" s="413" t="str">
        <f>VLOOKUP(A145,'BOCA DE LOBO'!$C$82:$Q$270,3,0)</f>
        <v>EXISTENTE</v>
      </c>
      <c r="D145" s="413" t="str">
        <f>VLOOKUP(A145,'BOCA DE LOBO'!$C$82:$Q$270,10,0)</f>
        <v>PROJETADA</v>
      </c>
      <c r="E145" s="413">
        <f t="shared" ref="E145:E176" si="652">IF(F145-G145*4%&lt;2.5,F145-G145*4%,2.5)</f>
        <v>1.5224</v>
      </c>
      <c r="F145" s="413">
        <f>VLOOKUP(A145,'BOCA DE LOBO'!$C$82:$Q$270,2,0)</f>
        <v>1.75</v>
      </c>
      <c r="G145" s="413">
        <f>VLOOKUP(A145,'BOCA DE LOBO'!$C$82:$Q$270,4,0)</f>
        <v>5.69</v>
      </c>
      <c r="H145" s="412">
        <v>400</v>
      </c>
      <c r="I145" s="493">
        <f t="shared" ref="I145:I176" si="653">IF(H145=400,((E145+F145)/2)+0.08+U145,IF(H145=500,((E145+F145)/2)+0.1+U145,IF(H145=600,((E145+F145)/2)+0.12+U145,IF(H145=800,((E145+F145)/2)+0.16+U145,IF(H145=1000,((E145+F145)/2)+0.2+U145,IF(H145=1200,((E145+F145)/2)+0.24+U145,IF(H145=1500,((E145+F145)/2)+0.3+U145,IF(H145&gt;1500,((E145+F145)/2)+0.4+U145))))))))</f>
        <v>1.7662000000000002</v>
      </c>
      <c r="J145" s="493">
        <f t="shared" ref="J145:J176" si="654">IF(L145=0,0,IF(I145&gt;=1.25,G145*I145/20,0))</f>
        <v>0.50248390000000009</v>
      </c>
      <c r="K145" s="530">
        <v>0</v>
      </c>
      <c r="L145" s="531">
        <f t="shared" ref="L145:L176" si="655">IF(D145&lt;&gt;"PROJETADA",0,IF(H145=400,1,0)+IF(H145=500,1.2,0)+IF(H145=600,1.4,0)+IF(H145=800,1.7,0)+IF(H145=1000,2,0)+IF(H145=1200,2.2,0)+IF(H145=1500,2.6,0)+IF(H145=1650,3,0)+IF(H145=1800,3.2,0)+IF(H145=2000,3.4,0)+IF(H145=2200,3.6,0)+IF(H145=2400,3.8,0)+IF(H145=2600,4,0)+IF(H145=3000,4.4,0))</f>
        <v>1</v>
      </c>
      <c r="M145" s="531">
        <f t="shared" ref="M145:M176" si="656">2*K145*I145+L145</f>
        <v>1</v>
      </c>
      <c r="N145" s="531">
        <f t="shared" ref="N145:N176" si="657">IF(OR(D145="EXISTENTE",D145="AMPLIADA"),400,0)</f>
        <v>0</v>
      </c>
      <c r="O145" s="531">
        <f t="shared" ref="O145:O176" si="658">IF(P145="TERRENO NATURAL",0,M145*G145)</f>
        <v>5.69</v>
      </c>
      <c r="P145" s="532" t="s">
        <v>2392</v>
      </c>
      <c r="Q145" s="539" t="s">
        <v>2977</v>
      </c>
      <c r="R145" s="534"/>
      <c r="S145" s="532">
        <v>5</v>
      </c>
      <c r="T145" s="532">
        <v>5</v>
      </c>
      <c r="U145" s="531">
        <f t="shared" ref="U145:U176" si="659">IF(H145=400,0.05,0)+IF(H145=500,0.05,0)+IF(H145=600,0.1,0)+IF(H145=800,0.1,0)+IF(H145=1000,0.15,0)+IF(H145=1200,0.15,0)+IF(H145=1500,0.2,0)+IF(H145=1650,0.2,0)+IF(H145=1800,0.2,0)+IF(H145=2000,0.25,0)+IF(H145=2200,0.25,0)+IF(H145=2400,0.25,0)+IF(H145=2600,0.25,0)+IF(H145=3000,0.25,0)</f>
        <v>0.05</v>
      </c>
      <c r="V145" s="535">
        <f t="shared" ref="V145:V176" si="660">IF(L145=0,0,IF("EXISTENTE"=C145,0,IFERROR((PI()*(N145/1000)*(N145/1000)/4)*G145,0)))</f>
        <v>0</v>
      </c>
      <c r="W145" s="535">
        <f t="shared" ref="W145:W176" si="661">IF(O145=0,0,((((K145*I145)*I145)/2)*2+L145*I145)*G145-V145+AO145)</f>
        <v>10.049678000000002</v>
      </c>
      <c r="X145" s="536">
        <f t="shared" ref="X145:X176" si="662">W145-SUM(AC145:AJ145)</f>
        <v>0</v>
      </c>
      <c r="Y145" s="536">
        <f t="shared" ref="Y145:Y176" si="663">IF(R145=1,IF(N145=0,I145+0.4,0.4),0)</f>
        <v>0</v>
      </c>
      <c r="Z145" s="536">
        <f t="shared" ref="Z145:Z176" si="664">IF(Y145&gt;0.5,0,IF(S145&lt;I145,S145,I145))</f>
        <v>1.7662000000000002</v>
      </c>
      <c r="AA145" s="536">
        <f t="shared" ref="AA145:AA176" si="665">I145-Z145</f>
        <v>0</v>
      </c>
      <c r="AB145" s="496">
        <f t="shared" ref="AB145:AB176" si="666">IF(P145="ASFALTO",IF(D145="PROJETADA",O145,IF(D145="EXISTENTE",0,O145/2)),0)</f>
        <v>5.69</v>
      </c>
      <c r="AC145" s="251">
        <f t="shared" ref="AC145:AC176" si="667">IF(Y145=0,0,IF(Y145=0.4,IF(L145&lt;=1.5,IF(Z145+0.4&gt;=1.5,0,L145*G145*0.4),0),IF(L145&lt;=1.5,IF(Y145&gt;=1.5,M145*G145*1.5,L145*G145*(Y145)),0)+IF(S145&lt;I145+0.4,0,IF(AND(Y145&lt;=1.5,L145&lt;=1.5),-V145,0))))</f>
        <v>0</v>
      </c>
      <c r="AD145" s="251">
        <f t="shared" ref="AD145:AD176" si="668">IF(Y145=0,0,IF(Y145=0.4,IF(L145&lt;=1.5,IF(OR(Z145+0.4&gt;=3,Z145+0.4&lt;1.5),0,L145*G145*0.4),0),IF(IF(L145&lt;=1.5,IF(Y145&gt;=3,M145*G145*1.5,L145*G145*(Y145-1.5)),0)&lt;0,0,IF(L145&lt;=1.5,IF(Y145&gt;=3,M145*G145*1.5,L145*G145*(Y145-1.5)),0))+IF(S145&lt;I145+0.4,0,IF(AND(Y145&lt;=3,L145&lt;=1.5),-V145,0))))</f>
        <v>0</v>
      </c>
      <c r="AE145" s="251">
        <f t="shared" ref="AE145:AE176" si="669">IF(Y145=0,0,IF(Y145=0.4,IF(L145&lt;=1.5,IF(OR(Z145+0.4&gt;=4.5,Z145+0.4&lt;3),0,L145*G145*0.4),0),IF(IF(L145&lt;=1.5,IF(Y145&gt;=4.5,M145*G145*1.5,L145*G145*(Y145-3)),0)&lt;0,0,IF(L145&lt;=1.5,IF(Y145&gt;=4.5,M145*G145*1.5,L145*G145*(Y145-3)),0))+IF(S145&lt;I145+0.4,0,IF(AND(Y145&lt;=4.5,L145&lt;=1.5),-V145,0))))</f>
        <v>0</v>
      </c>
      <c r="AF145" s="251">
        <f t="shared" ref="AF145:AF176" si="670">IF(L145&lt;=1.5,IF(Z145&gt;=1.5,M145*G145*1.5,L145*G145*Z145),0)+IF(S145&lt;I145,0,IF(AND(Z145&lt;=1.5,L145&lt;=1.5),-V145,0))</f>
        <v>8.5350000000000001</v>
      </c>
      <c r="AG145" s="251">
        <f t="shared" ref="AG145:AG176" si="671">IF(IF(L145&lt;=1.5,IF(Z145&gt;=3,M145*G145*1.5,L145*G145*(Z145-1.5)),0)&lt;0,0,IF(L145&lt;=1.5,IF(Z145&gt;=3,M145*G145*1.5,L145*G145*(Z145-1.5)),0))+IF(S145&lt;I145,0,IF(AND(Z145&lt;=3,L145&lt;=1.5),-V145,0))</f>
        <v>1.5146780000000013</v>
      </c>
      <c r="AH145" s="251">
        <f t="shared" ref="AH145:AH176" si="672">IF(IF(IF(L145&lt;=1.5,IF(Z145&gt;=4.5,M145*G145*1.5,L145*G145*(Z145-3)),0)&lt;0,0,IF(L145&lt;=1.5,IF(Z145&gt;=4.5,M145*G145*1.5,L145*G145*(Z145-3)),0))+IF(S145&lt;I145,0,IF(AND(Z145&lt;=4.5,L145&lt;=1.5),-V145,0))&lt;0,0,IF(IF(L145&lt;=1.5,IF(Z145&gt;=4.5,M145*G145*1.5,L145*G145*(Z145-3)),0)&lt;0,0,IF(L145&lt;=1.5,IF(Z145&gt;=4.5,M145*G145*1.5,L145*G145*(Z145-3)),0))+IF(S145&lt;I145,0,IF(AND(Z145&lt;=4.5,L145&lt;=1.5),-V145,0)))</f>
        <v>0</v>
      </c>
      <c r="AI145" s="497" t="str">
        <f t="shared" ref="AI145:AI176" si="673">IF(I145&gt;S145,"SIM","NÃO")</f>
        <v>NÃO</v>
      </c>
      <c r="AJ145" s="531">
        <f t="shared" ref="AJ145:AJ176" si="674">W145-SUM(AC145:AH145)</f>
        <v>0</v>
      </c>
      <c r="AK145" s="531">
        <f t="shared" ref="AK145:AK176" si="675">IF(I145-T145&lt;0,0,(I145-T145)*G145)/75</f>
        <v>0</v>
      </c>
      <c r="AL145" s="531">
        <f t="shared" ref="AL145:AL176" si="676">IF(L145=0,0,G145*L145*I145-PI()*(H145/1000)*(H145/1000)/4*G145+AO145)</f>
        <v>9.3346515120429654</v>
      </c>
      <c r="AM145" s="493">
        <f t="shared" ref="AM145:AM176" si="677">IF(L145&lt;1.5,L145*G145*IF(H145&lt;=500,0.05,IF(H145&lt;=800,0.1,IF(H145&lt;=1200,0.15,IF(H145&gt;=1500,0.2)))),0)</f>
        <v>0.28450000000000003</v>
      </c>
      <c r="AN145" s="535">
        <f t="shared" ref="AN145:AN176" si="678">IF(L145&gt;=1.5,L145*G145*IF(H145&lt;=500,0.05,IF(H145&lt;=800,0.1,IF(H145&lt;=1200,0.15,IF(H145&gt;=1500,0.2)))),0)</f>
        <v>0</v>
      </c>
      <c r="AO145" s="531">
        <f t="shared" ref="AO145:AO176" si="679">IF(R145=1,0.4*G145*L145,0)</f>
        <v>0</v>
      </c>
      <c r="AP145" s="531">
        <f t="shared" ref="AP145:AP176" si="680">IF(AO145&lt;SUM(AF145:AH145),0,AO145)</f>
        <v>0</v>
      </c>
      <c r="AQ145" s="531">
        <f t="shared" ref="AQ145:AQ176" si="681">H145/1000+0.3</f>
        <v>0.7</v>
      </c>
      <c r="AR145" s="531">
        <f t="shared" ref="AR145:AR176" si="682">IF(D145&lt;&gt;"PROJETADA",0,AQ145*L145*G145-PI()*(H145/1000*H145/1000)/4*G145)</f>
        <v>3.2679735120429632</v>
      </c>
      <c r="AS145" s="531">
        <f t="shared" ref="AS145:AS176" si="683">IF(AR145&lt;SUM(AF145:AH145),0,AR145)</f>
        <v>0</v>
      </c>
      <c r="AT145" s="531">
        <f t="shared" ref="AT145:AT176" si="684">IF(P145="ASFALTO",0.15*G145*L145,0)</f>
        <v>0.85350000000000004</v>
      </c>
      <c r="AU145" s="531">
        <f t="shared" ref="AU145:AU176" si="685">AT145</f>
        <v>0.85350000000000004</v>
      </c>
      <c r="AV145" s="531">
        <f t="shared" ref="AV145:AV176" si="686">IF(P145="ASFALTO",0.03*G145*L145,0)</f>
        <v>0.17070000000000002</v>
      </c>
      <c r="AW145" s="531">
        <f t="shared" ref="AW145:AW176" si="687">AL145-AO145-SUM(AM145:AN145)-AT145-AU145-AR145</f>
        <v>4.075178000000002</v>
      </c>
      <c r="AX145" s="531">
        <f t="shared" ref="AX145:AX176" si="688">SUM(AF145:AH145)-AO145-AT145-AR145</f>
        <v>5.9282044879570384</v>
      </c>
      <c r="AY145" s="531">
        <f t="shared" ref="AY145:AY176" si="689">SMALL(AW145:AX145,1)</f>
        <v>4.075178000000002</v>
      </c>
      <c r="AZ145" s="531">
        <f t="shared" ref="AZ145:AZ176" si="690">AW145-AY145</f>
        <v>0</v>
      </c>
      <c r="BA145" s="531">
        <f t="shared" ref="BA145:BA176" si="691">IF($AZ$221&gt;$BA$223,($BA$223/$AZ$221)*AZ145,AZ145)</f>
        <v>0</v>
      </c>
      <c r="BB145" s="531">
        <f t="shared" ref="BB145:BB176" si="692">AZ145-BA145</f>
        <v>0</v>
      </c>
      <c r="BC145" s="531"/>
      <c r="BD145" s="531">
        <f t="shared" ref="BD145:BD176" si="693">IF(AO145+AT145&gt;0,4%*(AO145+AT145),0)</f>
        <v>3.4140000000000004E-2</v>
      </c>
      <c r="BE145" s="496">
        <f t="shared" ref="BE145:BE176" si="694">IF(H145=400,I145,0)</f>
        <v>1.7662000000000002</v>
      </c>
      <c r="BF145" s="498">
        <f t="shared" ref="BF145:BF176" si="695">IF(BE145&lt;=1.75,AND(BE145&gt;0)*G145,0)</f>
        <v>0</v>
      </c>
      <c r="BG145" s="498">
        <f t="shared" ref="BG145:BG176" si="696">IF(BE145&lt;=3,AND(BE145&gt;1.75)*G145,0)</f>
        <v>5.69</v>
      </c>
      <c r="BH145" s="532" t="str">
        <f>VLOOKUP(A145,'BOCA DE LOBO'!C:I,7,0)</f>
        <v>BOCA DE LOBO PROJETADA TRIPLA</v>
      </c>
      <c r="BI145" s="531">
        <f t="shared" ref="BI145:BI176" si="697">IF(BH145=$BI$87,1,0)</f>
        <v>0</v>
      </c>
      <c r="BJ145" s="531">
        <f t="shared" ref="BJ145:BJ176" si="698">IF(BH145=$BJ$87,1,0)</f>
        <v>0</v>
      </c>
      <c r="BK145" s="531">
        <f t="shared" ref="BK145:BK176" si="699">IF(BH145=$BK$87,1,0)</f>
        <v>0</v>
      </c>
      <c r="BL145" s="531">
        <f t="shared" ref="BL145:BL176" si="700">IF(BH145=$BL$87,1,0)</f>
        <v>0</v>
      </c>
      <c r="BM145" s="531">
        <f t="shared" ref="BM145:BM176" si="701">IF(BH145=$BM$87,1,0)</f>
        <v>0</v>
      </c>
      <c r="BN145" s="531">
        <f t="shared" ref="BN145:BN176" si="702">IF(BH145=$BN$87,1,0)</f>
        <v>0</v>
      </c>
      <c r="BO145" s="499">
        <f t="shared" ref="BO145:BO176" si="703">IF(BH145=$BO$87,1,0)</f>
        <v>1</v>
      </c>
      <c r="BP145" s="500"/>
      <c r="BQ145" s="496">
        <f t="shared" ref="BQ145:BQ176" si="704">IF(L145&lt;=1.5,IF(I145+IF(R145=1,0.5,0)&lt;1.5,(I145+IF(R145=1,0.5,0))*G145*2,G145*2*1.5),0)</f>
        <v>17.07</v>
      </c>
      <c r="BR145" s="496">
        <f t="shared" ref="BR145:BR176" si="705">IF(L145&lt;=1.5,IF(AND(I145+IF(R145=1,0.5,0)&lt;3,I145+IF(R145=1,0.5,0)&gt;1.5),(I145+IF(R145=1,0.5,0)-1.5)*G145*2,IF(I145+IF(R145=1,0.5,0)&gt;=3,(G145*2*1.5),0)),0)</f>
        <v>3.0293560000000026</v>
      </c>
      <c r="BS145" s="496">
        <f t="shared" ref="BS145:BS176" si="706">IF(L145&lt;=1.5,IF(AND(I145+IF(R145=1,0.5,0)&lt;4.5,I145+IF(R145=1,0.5,0)&gt;3),(I145+IF(R145=1,0.5,0)-3)*G145*2,IF(I145+IF(R145=1,0.5,0)&gt;=4.5,(G145*2*1.5),0)),0)</f>
        <v>0</v>
      </c>
      <c r="BT145" s="501"/>
      <c r="BU145" s="501"/>
      <c r="BV145" s="502">
        <f t="shared" ref="BV145:BV176" si="707">IF(OR("BOCA DE LOBO EXISTENTE TRIPLA"=BH145,"BOCA DE LOBO EXISTENTE SIMPLES"=BH145,"BOCA DE LOBO EXISTENTE DUPLA"=BH145),0,IF("BOCA DE LOBO PROJETADA DUPLA"=BH145,(2.57+1)*(1.18+1),IF(OR("BOCA DE LOBO DUPLA EXISTENTE COM BOCA DE LOBO SIMPLES PROJETADA"=BH145,"BOCA DE LOBO SIMPLES EXISTENTE COM BOCA DE LOBO SIMPLES PROJETADA"=BH145),(1.18+0.5)*(1.18+1),IF(OR(BH145="BOCA DE LOBO DUPLA EXISTENTE COM BOCA DE LOBO DUPLA PROJETADA",BH145="BOCA DE LOBO SIMPLES EXISTENTE COM BOCA DE LOBO DUPLA PROJETADA"),(2.38+0.5)*(1.18+1),IF("BOCA DE LOBO PROJETADA TRIPLA"=BH145,(3.76+1)*(1.18+1),"X")))))*(E145+IF(CA145&gt;0,0.5,0))</f>
        <v>15.797640319999996</v>
      </c>
      <c r="BW145" s="502">
        <f t="shared" ref="BW145:BW176" si="708">IF(OR("BOCA DE LOBO EXISTENTE TRIPLA"=BH145,"BOCA DE LOBO EXISTENTE SIMPLES"=BH145,"BOCA DE LOBO EXISTENTE DUPLA"=BH145),0,IF("BOCA DE LOBO PROJETADA DUPLA"=BH145,(2.57+1)*(1.18+1),IF(OR("BOCA DE LOBO DUPLA EXISTENTE COM BOCA DE LOBO SIMPLES PROJETADA"=BH145,"BOCA DE LOBO SIMPLES EXISTENTE COM BOCA DE LOBO SIMPLES PROJETADA"=BH145),(1.18+1)*(1.18+0.5),IF(OR(BH145="BOCA DE LOBO DUPLA EXISTENTE COM BOCA DE LOBO DUPLA PROJETADA",BH145="BOCA DE LOBO SIMPLES EXISTENTE COM BOCA DE LOBO DUPLA PROJETADA"),(2.38+0.5)*(1.18+1),IF("BOCA DE LOBO PROJETADA TRIPLA"=BH145,(3.76+0.5*2)*(1.18+1),"X")))))</f>
        <v>10.376799999999998</v>
      </c>
      <c r="BX145" s="502">
        <f t="shared" ref="BX145:BX176" si="709">IF(OR("BOCA DE LOBO EXISTENTE TRIPLA"=BH145,"BOCA DE LOBO EXISTENTE SIMPLES"=BH145,"BOCA DE LOBO EXISTENTE DUPLA"=BH145),0,IF("BOCA DE LOBO PROJETADA DUPLA"=BH145,(2.57)*(1.18),IF(OR("BOCA DE LOBO DUPLA EXISTENTE COM BOCA DE LOBO SIMPLES PROJETADA"=BH145,"BOCA DE LOBO SIMPLES EXISTENTE COM BOCA DE LOBO SIMPLES PROJETADA"=BH145),(1.18)*(1.18),IF(OR(BH145="BOCA DE LOBO DUPLA EXISTENTE COM BOCA DE LOBO DUPLA PROJETADA",BH145="BOCA DE LOBO SIMPLES EXISTENTE COM BOCA DE LOBO DUPLA PROJETADA"),(2.38)*(1.18),IF("BOCA DE LOBO PROJETADA TRIPLA"=BH145,(3.76)*(1.18),"X")))))</f>
        <v>4.4367999999999999</v>
      </c>
      <c r="BY145" s="502">
        <f t="shared" ref="BY145:BY176" si="710">E145</f>
        <v>1.5224</v>
      </c>
      <c r="BZ145" s="502">
        <f t="shared" ref="BZ145:BZ176" si="711">IF(Y145&gt;0.5,0,IF(S145&lt;E145,S145,E145))</f>
        <v>1.5224</v>
      </c>
      <c r="CA145" s="502">
        <f t="shared" ref="CA145:CA176" si="712">IF(Y145&gt;0.4,BY145+0.4,Y145)</f>
        <v>0</v>
      </c>
      <c r="CB145" s="502">
        <f t="shared" ref="CB145:CB176" si="713">IF(S145&gt;E145,0,E145-S145)</f>
        <v>0</v>
      </c>
      <c r="CC145" s="502">
        <f t="shared" ref="CC145:CC176" si="714">IF(BZ145&gt;1.5,BW145*1.5,BW145*BZ145)</f>
        <v>15.565199999999997</v>
      </c>
      <c r="CD145" s="502">
        <f t="shared" ref="CD145:CD176" si="715">IF(BZ145&gt;1.5,BW145*(BZ145-1.5),0)</f>
        <v>0.2324403199999997</v>
      </c>
      <c r="CE145" s="502">
        <f t="shared" ref="CE145:CE176" si="716">IF(CA145=0.4,IF(BZ145+CA145&gt;1.5,0,CA145*BW145),IF(CA145&gt;1.5,BW145*1.5,BW145*CA145))</f>
        <v>0</v>
      </c>
      <c r="CF145" s="502">
        <f t="shared" ref="CF145:CF176" si="717">IF(CA145=0.4,IF(BZ145+CA145&lt;=1.5,0,CA145*BW145),IF(CA145&gt;1.5,BW145*(CA145-1.5),0))</f>
        <v>0</v>
      </c>
      <c r="CG145" s="502">
        <f t="shared" ref="CG145:CG176" si="718">BV145-SUM(CC145:CF145)</f>
        <v>0</v>
      </c>
      <c r="CH145" s="502">
        <f t="shared" ref="CH145:CH176" si="719">SUM(CC145:CG145)-BV145</f>
        <v>0</v>
      </c>
      <c r="CI145" s="531">
        <f t="shared" ref="CI145:CI176" si="720">IF(OR("BOCA DE LOBO EXISTENTE TRIPLA"=BH145,"BOCA DE LOBO EXISTENTE SIMPLES"=BH145,"BOCA DE LOBO EXISTENTE DUPLA"=BH145),0,IF("BOCA DE LOBO PROJETADA DUPLA"=BH145,(2.57+1)*(0.5),IF(OR("BOCA DE LOBO DUPLA EXISTENTE COM BOCA DE LOBO SIMPLES PROJETADA"=BH145,"BOCA DE LOBO SIMPLES EXISTENTE COM BOCA DE LOBO SIMPLES PROJETADA"=BH145),(1.18+0.5)*(0.5),IF(OR(BH145="BOCA DE LOBO DUPLA EXISTENTE COM BOCA DE LOBO DUPLA PROJETADA",BH145="BOCA DE LOBO SIMPLES EXISTENTE COM BOCA DE LOBO DUPLA PROJETADA"),(2.38+0.5)*(0.5),IF("BOCA DE LOBO PROJETADA TRIPLA"=BH145,(3.76+1)*(0.5),"X")))))*0.3</f>
        <v>0.71399999999999997</v>
      </c>
      <c r="CJ145" s="502">
        <f t="shared" ref="CJ145:CJ176" si="721">(BW145-BX145)*(BY145+IF(CA145&gt;=0.4,0.4,0))-CI145</f>
        <v>8.329055999999996</v>
      </c>
      <c r="CK145" s="502">
        <f t="shared" ref="CK145:CK176" si="722">IF($CK$223&gt;$CJ$221,CJ145,CJ145*$CK$223/$CJ$221)</f>
        <v>8.329055999999996</v>
      </c>
      <c r="CL145" s="502">
        <f t="shared" ref="CL145:CL176" si="723">CJ145-CK145</f>
        <v>0</v>
      </c>
      <c r="CM145" s="502">
        <f t="shared" ref="CM145:CM176" si="724">IF(CA145&gt;0,0.5*4%*BW145,0)</f>
        <v>0</v>
      </c>
      <c r="CN145" s="502">
        <f t="shared" ref="CN145:CN176" si="725">IF(OR("BOCA DE LOBO EXISTENTE TRIPLA"=BH145,"BOCA DE LOBO EXISTENTE SIMPLES"=BH145,"BOCA DE LOBO EXISTENTE DUPLA"=BH145),0,IF("BOCA DE LOBO PROJETADA DUPLA"=BH145,(2.57+1),IF(OR("BOCA DE LOBO DUPLA EXISTENTE COM BOCA DE LOBO SIMPLES PROJETADA"=BH145,"BOCA DE LOBO SIMPLES EXISTENTE COM BOCA DE LOBO SIMPLES PROJETADA"=BH145),(1.18+0.5),IF(OR(BH145="BOCA DE LOBO DUPLA EXISTENTE COM BOCA DE LOBO DUPLA PROJETADA",BH145="BOCA DE LOBO SIMPLES EXISTENTE COM BOCA DE LOBO DUPLA PROJETADA"),(2.38+0.5),IF("BOCA DE LOBO PROJETADA TRIPLA"=BH145,(3.76+0.5*2),"X")))))</f>
        <v>4.76</v>
      </c>
      <c r="CO145" s="502">
        <f t="shared" ref="CO145:CO176" si="726">IF(CA145&gt;0,BY145+0.5,BY145)</f>
        <v>1.5224</v>
      </c>
      <c r="CP145" s="502">
        <f t="shared" ref="CP145:CP176" si="727">IF(CO145&gt;=1.5,CN145*1.5*2,CN145*CO145*2)</f>
        <v>14.28</v>
      </c>
      <c r="CQ145" s="502">
        <f t="shared" ref="CQ145:CQ176" si="728">IF(CO145&lt;=1.5,0,IF(CO145&gt;=3,CN145*1.5*2,CN145*(CO145-1.5)*2))</f>
        <v>0.21324799999999974</v>
      </c>
      <c r="CR145" s="220">
        <f t="shared" ref="CR145:CR176" si="729">IF(D145="AMPLIADA",0.55*(E145-0.5),0)</f>
        <v>0</v>
      </c>
      <c r="CS145" s="503">
        <f t="shared" ref="CS145:CS176" si="730">IF(OR("BOCA DE LOBO EXISTENTE TRIPLA"=BH145,"BOCA DE LOBO EXISTENTE SIMPLES"=BH145,"BOCA DE LOBO EXISTENTE DUPLA"=BH145),0,IF("BOCA DE LOBO PROJETADA DUPLA"=BH145,(0),IF(OR("BOCA DE LOBO DUPLA EXISTENTE COM BOCA DE LOBO SIMPLES PROJETADA"=BH145,"BOCA DE LOBO SIMPLES EXISTENTE COM BOCA DE LOBO SIMPLES PROJETADA"=BH145),(0.8*0.15*0.17),IF(OR(BH145="BOCA DE LOBO DUPLA EXISTENTE COM BOCA DE LOBO DUPLA PROJETADA",BH145="BOCA DE LOBO SIMPLES EXISTENTE COM BOCA DE LOBO DUPLA PROJETADA"),(0.8*0.15*0.17),IF("BOCA DE LOBO PROJETADA TRIPLA"=BH145,(0),"X")))))*E145</f>
        <v>0</v>
      </c>
      <c r="CT145" s="503">
        <f t="shared" ref="CT145:CT176" si="731">IF(OR("BOCA DE LOBO EXISTENTE TRIPLA"=BH145,"BOCA DE LOBO EXISTENTE SIMPLES"=BH145,"BOCA DE LOBO EXISTENTE DUPLA"=BH145),0,IF("BOCA DE LOBO PROJETADA DUPLA"=BH145,(1.18*2.57*0.05),IF(OR("BOCA DE LOBO DUPLA EXISTENTE COM BOCA DE LOBO SIMPLES PROJETADA"=BH145,"BOCA DE LOBO SIMPLES EXISTENTE COM BOCA DE LOBO SIMPLES PROJETADA"=BH145),(1.19*1.18*0.05),IF(OR(BH145="BOCA DE LOBO DUPLA EXISTENTE COM BOCA DE LOBO DUPLA PROJETADA",BH145="BOCA DE LOBO SIMPLES EXISTENTE COM BOCA DE LOBO DUPLA PROJETADA"),(2.38*1.18*0.056),IF("BOCA DE LOBO PROJETADA TRIPLA"=BH145,(3.76*1.18*0.05),"X")))))+CI145/3</f>
        <v>0.45984000000000003</v>
      </c>
      <c r="CU145" s="504">
        <f t="shared" ref="CU145:CU176" si="732">IF(OR("BOCA DE LOBO EXISTENTE TRIPLA"=BH145,"BOCA DE LOBO EXISTENTE SIMPLES"=BH145,"BOCA DE LOBO EXISTENTE DUPLA"=BH145),0,IF("BOCA DE LOBO PROJETADA DUPLA"=BH145,(1*4+0.6*2),IF("BOCA DE LOBO DUPLA EXISTENTE COM BOCA DE LOBO SIMPLES PROJETADA"=BH145,(1*2+0.6),IF(OR(BH145="BOCA DE LOBO DUPLA EXISTENTE COM BOCA DE LOBO DUPLA PROJETADA",BH145="BOCA DE LOBO SIMPLES EXISTENTE COM BOCA DE LOBO DUPLA PROJETADA"),(1*4+0.6),IF("BOCA DE LOBO PROJETADA TRIPLA"=BH145,(6*1+0.6*2),"X")))))*E145</f>
        <v>10.96128</v>
      </c>
      <c r="CV145" s="504">
        <f t="shared" ref="CV145:CV176" si="733">IF(OR("BOCA DE LOBO EXISTENTE TRIPLA"=BH145,"BOCA DE LOBO EXISTENTE SIMPLES"=BH145,"BOCA DE LOBO EXISTENTE DUPLA"=BH145),0,IF("BOCA DE LOBO PROJETADA DUPLA"=BH145,(12*E145*0.17*0.15+1*0.17*0.15*5+1.09*0.6*0.07*2+2.57*1.18*0.15),IF("BOCA DE LOBO DUPLA EXISTENTE COM BOCA DE LOBO SIMPLES PROJETADA"=BH145,(8*E145*0.17*0.15+1*0.17*0.15*4+1.09*0.6*0.07*1+1.38*1.18*0.15),IF(OR(BH145="BOCA DE LOBO DUPLA EXISTENTE COM BOCA DE LOBO DUPLA PROJETADA",BH145="BOCA DE LOBO SIMPLES EXISTENTE COM BOCA DE LOBO DUPLA PROJETADA"),(7*E145*0.17*0.15+1*0.17*0.15*5+1.09*0.6*0.07*2+2.38*1.18*0.15),IF("BOCA DE LOBO PROJETADA TRIPLA"=BH145,(15*E145*0.17*0.15+1*0.17*0.15*7+1.09*0.6*0.07*3+3.76*1.18*0.15),"X")))))</f>
        <v>1.5636779999999999</v>
      </c>
      <c r="CW145" s="502">
        <f t="shared" ref="CW145:CW176" si="734">IF(OR("BOCA DE LOBO EXISTENTE TRIPLA"=BH145,"BOCA DE LOBO EXISTENTE SIMPLES"=BH145,"BOCA DE LOBO EXISTENTE DUPLA"=BH145),0,IF("BOCA DE LOBO PROJETADA DUPLA"=BH145,(12*E145*2*(0.17+0.15)+1*(2*0.17+0.15)*5+2*(2.57+1.18)*0.15+(1.09+0.6)*2*0.07*2),IF("BOCA DE LOBO DUPLA EXISTENTE COM BOCA DE LOBO SIMPLES PROJETADA"=BH145,(8*E145*2*(0.17+0.15)+1*(2*0.17+0.15)*4+2*(1.38+1.18)*0.15+(1.09+0.6)*2*0.07*1),IF(OR(BH145="BOCA DE LOBO DUPLA EXISTENTE COM BOCA DE LOBO DUPLA PROJETADA",BH145="BOCA DE LOBO SIMPLES EXISTENTE COM BOCA DE LOBO DUPLA PROJETADA"),(7*E145*2*(0.17+0.15)+1*(2*0.17+0.15)*5+2*(2.38+1.18)*0.15+(1.09+0.6)*2*0.07*2),IF("BOCA DE LOBO PROJETADA TRIPLA"=BH145,(15*E145*2*(0.17+0.15)+1*(2*0.17+0.15)*7+2*(3.76+1.18)*0.15+(1.09+0.6)*2*0.07*3),"X")))))</f>
        <v>20.236840000000001</v>
      </c>
      <c r="CX145" s="531">
        <f t="shared" ref="CX145:CX176" si="735">IF(OR("BOCA DE LOBO EXISTENTE TRIPLA"=BH145,"BOCA DE LOBO EXISTENTE SIMPLES"=BH145,"BOCA DE LOBO EXISTENTE DUPLA"=BH145),0,IF("BOCA DE LOBO PROJETADA DUPLA"=BH145,(2.57+1),IF(OR("BOCA DE LOBO DUPLA EXISTENTE COM BOCA DE LOBO SIMPLES PROJETADA"=BH145,"BOCA DE LOBO SIMPLES EXISTENTE COM BOCA DE LOBO SIMPLES PROJETADA"=BH145),(1.18+0.5),IF(OR(BH145="BOCA DE LOBO DUPLA EXISTENTE COM BOCA DE LOBO DUPLA PROJETADA",BH145="BOCA DE LOBO SIMPLES EXISTENTE COM BOCA DE LOBO DUPLA PROJETADA"),(2.38+0.5),IF("BOCA DE LOBO PROJETADA TRIPLA"=BH145,(3.76+1),"X")))))</f>
        <v>4.76</v>
      </c>
      <c r="CY145" s="537">
        <f t="shared" ref="CY145:CY176" si="736">CX145*0.5</f>
        <v>2.38</v>
      </c>
      <c r="CZ145" s="502">
        <f t="shared" ref="CZ145:CZ176" si="737">IF(AND(C145="EXISTENTE",D145="PROJETADA"),PI()*0.51*0.51/4*0.12,0)</f>
        <v>2.4513847475961154E-2</v>
      </c>
    </row>
    <row r="146" spans="1:104" ht="25" x14ac:dyDescent="0.25">
      <c r="A146" s="413" t="str">
        <f>'BOCA DE LOBO'!C140</f>
        <v>BL55-&gt;PV2-102</v>
      </c>
      <c r="B146" s="413" t="str">
        <f>'BOCA DE LOBO'!A140</f>
        <v>PV2-102</v>
      </c>
      <c r="C146" s="413" t="str">
        <f>VLOOKUP(A146,'BOCA DE LOBO'!$C$82:$Q$270,3,0)</f>
        <v>EXISTENTE</v>
      </c>
      <c r="D146" s="413" t="str">
        <f>VLOOKUP(A146,'BOCA DE LOBO'!$C$82:$Q$270,10,0)</f>
        <v>PROJETADA</v>
      </c>
      <c r="E146" s="413">
        <f t="shared" si="652"/>
        <v>1.5720000000000682</v>
      </c>
      <c r="F146" s="413">
        <f>VLOOKUP(A146,'BOCA DE LOBO'!$C$82:$Q$270,2,0)</f>
        <v>1.8000000000000682</v>
      </c>
      <c r="G146" s="413">
        <f>VLOOKUP(A146,'BOCA DE LOBO'!$C$82:$Q$270,4,0)</f>
        <v>5.7</v>
      </c>
      <c r="H146" s="412">
        <v>400</v>
      </c>
      <c r="I146" s="493">
        <f t="shared" si="653"/>
        <v>1.8160000000000684</v>
      </c>
      <c r="J146" s="493">
        <f t="shared" si="654"/>
        <v>0.51756000000001956</v>
      </c>
      <c r="K146" s="530">
        <v>0</v>
      </c>
      <c r="L146" s="531">
        <f t="shared" si="655"/>
        <v>1</v>
      </c>
      <c r="M146" s="531">
        <f t="shared" si="656"/>
        <v>1</v>
      </c>
      <c r="N146" s="531">
        <f t="shared" si="657"/>
        <v>0</v>
      </c>
      <c r="O146" s="531">
        <f t="shared" si="658"/>
        <v>5.7</v>
      </c>
      <c r="P146" s="532" t="s">
        <v>2392</v>
      </c>
      <c r="Q146" s="539" t="s">
        <v>2978</v>
      </c>
      <c r="R146" s="534"/>
      <c r="S146" s="532">
        <v>5</v>
      </c>
      <c r="T146" s="532">
        <v>5</v>
      </c>
      <c r="U146" s="531">
        <f t="shared" si="659"/>
        <v>0.05</v>
      </c>
      <c r="V146" s="535">
        <f t="shared" si="660"/>
        <v>0</v>
      </c>
      <c r="W146" s="535">
        <f t="shared" si="661"/>
        <v>10.351200000000391</v>
      </c>
      <c r="X146" s="536">
        <f t="shared" si="662"/>
        <v>0</v>
      </c>
      <c r="Y146" s="536">
        <f t="shared" si="663"/>
        <v>0</v>
      </c>
      <c r="Z146" s="536">
        <f t="shared" si="664"/>
        <v>1.8160000000000684</v>
      </c>
      <c r="AA146" s="536">
        <f t="shared" si="665"/>
        <v>0</v>
      </c>
      <c r="AB146" s="496">
        <f t="shared" si="666"/>
        <v>5.7</v>
      </c>
      <c r="AC146" s="251">
        <f t="shared" si="667"/>
        <v>0</v>
      </c>
      <c r="AD146" s="251">
        <f t="shared" si="668"/>
        <v>0</v>
      </c>
      <c r="AE146" s="251">
        <f t="shared" si="669"/>
        <v>0</v>
      </c>
      <c r="AF146" s="251">
        <f t="shared" si="670"/>
        <v>8.5500000000000007</v>
      </c>
      <c r="AG146" s="251">
        <f t="shared" si="671"/>
        <v>1.8012000000003903</v>
      </c>
      <c r="AH146" s="251">
        <f t="shared" si="672"/>
        <v>0</v>
      </c>
      <c r="AI146" s="497" t="str">
        <f t="shared" si="673"/>
        <v>NÃO</v>
      </c>
      <c r="AJ146" s="531">
        <f t="shared" si="674"/>
        <v>0</v>
      </c>
      <c r="AK146" s="531">
        <f t="shared" si="675"/>
        <v>0</v>
      </c>
      <c r="AL146" s="531">
        <f t="shared" si="676"/>
        <v>9.6349168749819185</v>
      </c>
      <c r="AM146" s="493">
        <f t="shared" si="677"/>
        <v>0.28500000000000003</v>
      </c>
      <c r="AN146" s="535">
        <f t="shared" si="678"/>
        <v>0</v>
      </c>
      <c r="AO146" s="531">
        <f t="shared" si="679"/>
        <v>0</v>
      </c>
      <c r="AP146" s="531">
        <f t="shared" si="680"/>
        <v>0</v>
      </c>
      <c r="AQ146" s="531">
        <f t="shared" si="681"/>
        <v>0.7</v>
      </c>
      <c r="AR146" s="531">
        <f t="shared" si="682"/>
        <v>3.2737168749815266</v>
      </c>
      <c r="AS146" s="531">
        <f t="shared" si="683"/>
        <v>0</v>
      </c>
      <c r="AT146" s="531">
        <f t="shared" si="684"/>
        <v>0.85499999999999998</v>
      </c>
      <c r="AU146" s="531">
        <f t="shared" si="685"/>
        <v>0.85499999999999998</v>
      </c>
      <c r="AV146" s="531">
        <f t="shared" si="686"/>
        <v>0.17099999999999999</v>
      </c>
      <c r="AW146" s="531">
        <f t="shared" si="687"/>
        <v>4.3662000000003909</v>
      </c>
      <c r="AX146" s="531">
        <f t="shared" si="688"/>
        <v>6.2224831250188641</v>
      </c>
      <c r="AY146" s="531">
        <f t="shared" si="689"/>
        <v>4.3662000000003909</v>
      </c>
      <c r="AZ146" s="531">
        <f t="shared" si="690"/>
        <v>0</v>
      </c>
      <c r="BA146" s="531">
        <f t="shared" si="691"/>
        <v>0</v>
      </c>
      <c r="BB146" s="531">
        <f t="shared" si="692"/>
        <v>0</v>
      </c>
      <c r="BC146" s="531"/>
      <c r="BD146" s="531">
        <f t="shared" si="693"/>
        <v>3.4200000000000001E-2</v>
      </c>
      <c r="BE146" s="496">
        <f t="shared" si="694"/>
        <v>1.8160000000000684</v>
      </c>
      <c r="BF146" s="498">
        <f t="shared" si="695"/>
        <v>0</v>
      </c>
      <c r="BG146" s="498">
        <f t="shared" si="696"/>
        <v>5.7</v>
      </c>
      <c r="BH146" s="532" t="str">
        <f>VLOOKUP(A146,'BOCA DE LOBO'!C:I,7,0)</f>
        <v>BOCA DE LOBO PROJETADA DUPLA</v>
      </c>
      <c r="BI146" s="531">
        <f t="shared" si="697"/>
        <v>0</v>
      </c>
      <c r="BJ146" s="531">
        <f t="shared" si="698"/>
        <v>0</v>
      </c>
      <c r="BK146" s="531">
        <f t="shared" si="699"/>
        <v>0</v>
      </c>
      <c r="BL146" s="531">
        <f t="shared" si="700"/>
        <v>0</v>
      </c>
      <c r="BM146" s="531">
        <f t="shared" si="701"/>
        <v>0</v>
      </c>
      <c r="BN146" s="531">
        <f t="shared" si="702"/>
        <v>1</v>
      </c>
      <c r="BO146" s="499">
        <f t="shared" si="703"/>
        <v>0</v>
      </c>
      <c r="BP146" s="500"/>
      <c r="BQ146" s="496">
        <f t="shared" si="704"/>
        <v>17.100000000000001</v>
      </c>
      <c r="BR146" s="496">
        <f t="shared" si="705"/>
        <v>3.6024000000007805</v>
      </c>
      <c r="BS146" s="496">
        <f t="shared" si="706"/>
        <v>0</v>
      </c>
      <c r="BT146" s="501"/>
      <c r="BU146" s="501"/>
      <c r="BV146" s="502">
        <f t="shared" si="707"/>
        <v>12.234247200000528</v>
      </c>
      <c r="BW146" s="502">
        <f t="shared" si="708"/>
        <v>7.7825999999999986</v>
      </c>
      <c r="BX146" s="502">
        <f t="shared" si="709"/>
        <v>3.0325999999999995</v>
      </c>
      <c r="BY146" s="502">
        <f t="shared" si="710"/>
        <v>1.5720000000000682</v>
      </c>
      <c r="BZ146" s="502">
        <f t="shared" si="711"/>
        <v>1.5720000000000682</v>
      </c>
      <c r="CA146" s="502">
        <f t="shared" si="712"/>
        <v>0</v>
      </c>
      <c r="CB146" s="502">
        <f t="shared" si="713"/>
        <v>0</v>
      </c>
      <c r="CC146" s="502">
        <f t="shared" si="714"/>
        <v>11.673899999999998</v>
      </c>
      <c r="CD146" s="502">
        <f t="shared" si="715"/>
        <v>0.56034720000053095</v>
      </c>
      <c r="CE146" s="502">
        <f t="shared" si="716"/>
        <v>0</v>
      </c>
      <c r="CF146" s="502">
        <f t="shared" si="717"/>
        <v>0</v>
      </c>
      <c r="CG146" s="502">
        <f t="shared" si="718"/>
        <v>0</v>
      </c>
      <c r="CH146" s="502">
        <f t="shared" si="719"/>
        <v>0</v>
      </c>
      <c r="CI146" s="531">
        <f t="shared" si="720"/>
        <v>0.53549999999999998</v>
      </c>
      <c r="CJ146" s="502">
        <f t="shared" si="721"/>
        <v>6.9315000000003231</v>
      </c>
      <c r="CK146" s="502">
        <f t="shared" si="722"/>
        <v>6.9315000000003231</v>
      </c>
      <c r="CL146" s="502">
        <f t="shared" si="723"/>
        <v>0</v>
      </c>
      <c r="CM146" s="502">
        <f t="shared" si="724"/>
        <v>0</v>
      </c>
      <c r="CN146" s="502">
        <f t="shared" si="725"/>
        <v>3.57</v>
      </c>
      <c r="CO146" s="502">
        <f t="shared" si="726"/>
        <v>1.5720000000000682</v>
      </c>
      <c r="CP146" s="502">
        <f t="shared" si="727"/>
        <v>10.709999999999999</v>
      </c>
      <c r="CQ146" s="502">
        <f t="shared" si="728"/>
        <v>0.51408000000048715</v>
      </c>
      <c r="CR146" s="220">
        <f t="shared" si="729"/>
        <v>0</v>
      </c>
      <c r="CS146" s="503">
        <f t="shared" si="730"/>
        <v>0</v>
      </c>
      <c r="CT146" s="503">
        <f t="shared" si="731"/>
        <v>0.33012999999999998</v>
      </c>
      <c r="CU146" s="504">
        <f t="shared" si="732"/>
        <v>8.1744000000003556</v>
      </c>
      <c r="CV146" s="504">
        <f t="shared" si="733"/>
        <v>1.1549820000000208</v>
      </c>
      <c r="CW146" s="502">
        <f t="shared" si="734"/>
        <v>16.121160000000522</v>
      </c>
      <c r="CX146" s="531">
        <f t="shared" si="735"/>
        <v>3.57</v>
      </c>
      <c r="CY146" s="537">
        <f t="shared" si="736"/>
        <v>1.7849999999999999</v>
      </c>
      <c r="CZ146" s="502">
        <f t="shared" si="737"/>
        <v>2.4513847475961154E-2</v>
      </c>
    </row>
    <row r="147" spans="1:104" ht="25" x14ac:dyDescent="0.25">
      <c r="A147" s="413" t="str">
        <f>'BOCA DE LOBO'!C141</f>
        <v>BL56-&gt;PV3-102</v>
      </c>
      <c r="B147" s="413" t="str">
        <f>'BOCA DE LOBO'!A141</f>
        <v>PV3-102</v>
      </c>
      <c r="C147" s="413" t="str">
        <f>VLOOKUP(A147,'BOCA DE LOBO'!$C$82:$Q$270,3,0)</f>
        <v>EXISTENTE</v>
      </c>
      <c r="D147" s="413" t="str">
        <f>VLOOKUP(A147,'BOCA DE LOBO'!$C$82:$Q$270,10,0)</f>
        <v>PROJETADA</v>
      </c>
      <c r="E147" s="413">
        <f t="shared" si="652"/>
        <v>1.5127999999999999</v>
      </c>
      <c r="F147" s="413">
        <f>VLOOKUP(A147,'BOCA DE LOBO'!$C$82:$Q$270,2,0)</f>
        <v>1.75</v>
      </c>
      <c r="G147" s="413">
        <f>VLOOKUP(A147,'BOCA DE LOBO'!$C$82:$Q$270,4,0)</f>
        <v>5.93</v>
      </c>
      <c r="H147" s="412">
        <v>400</v>
      </c>
      <c r="I147" s="493">
        <f t="shared" si="653"/>
        <v>1.7614000000000001</v>
      </c>
      <c r="J147" s="493">
        <f t="shared" si="654"/>
        <v>0.52225509999999997</v>
      </c>
      <c r="K147" s="530">
        <v>0</v>
      </c>
      <c r="L147" s="531">
        <f t="shared" si="655"/>
        <v>1</v>
      </c>
      <c r="M147" s="531">
        <f t="shared" si="656"/>
        <v>1</v>
      </c>
      <c r="N147" s="531">
        <f t="shared" si="657"/>
        <v>0</v>
      </c>
      <c r="O147" s="531">
        <f t="shared" si="658"/>
        <v>5.93</v>
      </c>
      <c r="P147" s="532" t="s">
        <v>2392</v>
      </c>
      <c r="Q147" s="539" t="s">
        <v>2978</v>
      </c>
      <c r="R147" s="534"/>
      <c r="S147" s="532">
        <v>5</v>
      </c>
      <c r="T147" s="532">
        <v>5</v>
      </c>
      <c r="U147" s="531">
        <f t="shared" si="659"/>
        <v>0.05</v>
      </c>
      <c r="V147" s="535">
        <f t="shared" si="660"/>
        <v>0</v>
      </c>
      <c r="W147" s="535">
        <f t="shared" si="661"/>
        <v>10.445102</v>
      </c>
      <c r="X147" s="536">
        <f t="shared" si="662"/>
        <v>0</v>
      </c>
      <c r="Y147" s="536">
        <f t="shared" si="663"/>
        <v>0</v>
      </c>
      <c r="Z147" s="536">
        <f t="shared" si="664"/>
        <v>1.7614000000000001</v>
      </c>
      <c r="AA147" s="536">
        <f t="shared" si="665"/>
        <v>0</v>
      </c>
      <c r="AB147" s="496">
        <f t="shared" si="666"/>
        <v>5.93</v>
      </c>
      <c r="AC147" s="251">
        <f t="shared" si="667"/>
        <v>0</v>
      </c>
      <c r="AD147" s="251">
        <f t="shared" si="668"/>
        <v>0</v>
      </c>
      <c r="AE147" s="251">
        <f t="shared" si="669"/>
        <v>0</v>
      </c>
      <c r="AF147" s="251">
        <f t="shared" si="670"/>
        <v>8.8949999999999996</v>
      </c>
      <c r="AG147" s="251">
        <f t="shared" si="671"/>
        <v>1.5501020000000003</v>
      </c>
      <c r="AH147" s="251">
        <f t="shared" si="672"/>
        <v>0</v>
      </c>
      <c r="AI147" s="497" t="str">
        <f t="shared" si="673"/>
        <v>NÃO</v>
      </c>
      <c r="AJ147" s="531">
        <f t="shared" si="674"/>
        <v>0</v>
      </c>
      <c r="AK147" s="531">
        <f t="shared" si="675"/>
        <v>0</v>
      </c>
      <c r="AL147" s="531">
        <f t="shared" si="676"/>
        <v>9.6999162225685005</v>
      </c>
      <c r="AM147" s="493">
        <f t="shared" si="677"/>
        <v>0.29649999999999999</v>
      </c>
      <c r="AN147" s="535">
        <f t="shared" si="678"/>
        <v>0</v>
      </c>
      <c r="AO147" s="531">
        <f t="shared" si="679"/>
        <v>0</v>
      </c>
      <c r="AP147" s="531">
        <f t="shared" si="680"/>
        <v>0</v>
      </c>
      <c r="AQ147" s="531">
        <f t="shared" si="681"/>
        <v>0.7</v>
      </c>
      <c r="AR147" s="531">
        <f t="shared" si="682"/>
        <v>3.4058142225685009</v>
      </c>
      <c r="AS147" s="531">
        <f t="shared" si="683"/>
        <v>0</v>
      </c>
      <c r="AT147" s="531">
        <f t="shared" si="684"/>
        <v>0.88949999999999996</v>
      </c>
      <c r="AU147" s="531">
        <f t="shared" si="685"/>
        <v>0.88949999999999996</v>
      </c>
      <c r="AV147" s="531">
        <f t="shared" si="686"/>
        <v>0.17789999999999997</v>
      </c>
      <c r="AW147" s="531">
        <f t="shared" si="687"/>
        <v>4.2186019999999997</v>
      </c>
      <c r="AX147" s="531">
        <f t="shared" si="688"/>
        <v>6.1497877774314995</v>
      </c>
      <c r="AY147" s="531">
        <f t="shared" si="689"/>
        <v>4.2186019999999997</v>
      </c>
      <c r="AZ147" s="531">
        <f t="shared" si="690"/>
        <v>0</v>
      </c>
      <c r="BA147" s="531">
        <f t="shared" si="691"/>
        <v>0</v>
      </c>
      <c r="BB147" s="531">
        <f t="shared" si="692"/>
        <v>0</v>
      </c>
      <c r="BC147" s="531"/>
      <c r="BD147" s="531">
        <f t="shared" si="693"/>
        <v>3.5580000000000001E-2</v>
      </c>
      <c r="BE147" s="496">
        <f t="shared" si="694"/>
        <v>1.7614000000000001</v>
      </c>
      <c r="BF147" s="498">
        <f t="shared" si="695"/>
        <v>0</v>
      </c>
      <c r="BG147" s="498">
        <f t="shared" si="696"/>
        <v>5.93</v>
      </c>
      <c r="BH147" s="532" t="str">
        <f>VLOOKUP(A147,'BOCA DE LOBO'!C:I,7,0)</f>
        <v>BOCA DE LOBO PROJETADA DUPLA</v>
      </c>
      <c r="BI147" s="531">
        <f t="shared" si="697"/>
        <v>0</v>
      </c>
      <c r="BJ147" s="531">
        <f t="shared" si="698"/>
        <v>0</v>
      </c>
      <c r="BK147" s="531">
        <f t="shared" si="699"/>
        <v>0</v>
      </c>
      <c r="BL147" s="531">
        <f t="shared" si="700"/>
        <v>0</v>
      </c>
      <c r="BM147" s="531">
        <f t="shared" si="701"/>
        <v>0</v>
      </c>
      <c r="BN147" s="531">
        <f t="shared" si="702"/>
        <v>1</v>
      </c>
      <c r="BO147" s="499">
        <f t="shared" si="703"/>
        <v>0</v>
      </c>
      <c r="BP147" s="500"/>
      <c r="BQ147" s="496">
        <f t="shared" si="704"/>
        <v>17.79</v>
      </c>
      <c r="BR147" s="496">
        <f t="shared" si="705"/>
        <v>3.1002040000000006</v>
      </c>
      <c r="BS147" s="496">
        <f t="shared" si="706"/>
        <v>0</v>
      </c>
      <c r="BT147" s="501"/>
      <c r="BU147" s="501"/>
      <c r="BV147" s="502">
        <f t="shared" si="707"/>
        <v>11.773517279999997</v>
      </c>
      <c r="BW147" s="502">
        <f t="shared" si="708"/>
        <v>7.7825999999999986</v>
      </c>
      <c r="BX147" s="502">
        <f t="shared" si="709"/>
        <v>3.0325999999999995</v>
      </c>
      <c r="BY147" s="502">
        <f t="shared" si="710"/>
        <v>1.5127999999999999</v>
      </c>
      <c r="BZ147" s="502">
        <f t="shared" si="711"/>
        <v>1.5127999999999999</v>
      </c>
      <c r="CA147" s="502">
        <f t="shared" si="712"/>
        <v>0</v>
      </c>
      <c r="CB147" s="502">
        <f t="shared" si="713"/>
        <v>0</v>
      </c>
      <c r="CC147" s="502">
        <f t="shared" si="714"/>
        <v>11.673899999999998</v>
      </c>
      <c r="CD147" s="502">
        <f t="shared" si="715"/>
        <v>9.9617279999999378E-2</v>
      </c>
      <c r="CE147" s="502">
        <f t="shared" si="716"/>
        <v>0</v>
      </c>
      <c r="CF147" s="502">
        <f t="shared" si="717"/>
        <v>0</v>
      </c>
      <c r="CG147" s="502">
        <f t="shared" si="718"/>
        <v>0</v>
      </c>
      <c r="CH147" s="502">
        <f t="shared" si="719"/>
        <v>0</v>
      </c>
      <c r="CI147" s="531">
        <f t="shared" si="720"/>
        <v>0.53549999999999998</v>
      </c>
      <c r="CJ147" s="502">
        <f t="shared" si="721"/>
        <v>6.6502999999999988</v>
      </c>
      <c r="CK147" s="502">
        <f t="shared" si="722"/>
        <v>6.6502999999999988</v>
      </c>
      <c r="CL147" s="502">
        <f t="shared" si="723"/>
        <v>0</v>
      </c>
      <c r="CM147" s="502">
        <f t="shared" si="724"/>
        <v>0</v>
      </c>
      <c r="CN147" s="502">
        <f t="shared" si="725"/>
        <v>3.57</v>
      </c>
      <c r="CO147" s="502">
        <f t="shared" si="726"/>
        <v>1.5127999999999999</v>
      </c>
      <c r="CP147" s="502">
        <f t="shared" si="727"/>
        <v>10.709999999999999</v>
      </c>
      <c r="CQ147" s="502">
        <f t="shared" si="728"/>
        <v>9.1391999999999446E-2</v>
      </c>
      <c r="CR147" s="220">
        <f t="shared" si="729"/>
        <v>0</v>
      </c>
      <c r="CS147" s="503">
        <f t="shared" si="730"/>
        <v>0</v>
      </c>
      <c r="CT147" s="503">
        <f t="shared" si="731"/>
        <v>0.33012999999999998</v>
      </c>
      <c r="CU147" s="504">
        <f t="shared" si="732"/>
        <v>7.8665599999999998</v>
      </c>
      <c r="CV147" s="504">
        <f t="shared" si="733"/>
        <v>1.1368668</v>
      </c>
      <c r="CW147" s="502">
        <f t="shared" si="734"/>
        <v>15.666503999999998</v>
      </c>
      <c r="CX147" s="531">
        <f t="shared" si="735"/>
        <v>3.57</v>
      </c>
      <c r="CY147" s="537">
        <f t="shared" si="736"/>
        <v>1.7849999999999999</v>
      </c>
      <c r="CZ147" s="502">
        <f t="shared" si="737"/>
        <v>2.4513847475961154E-2</v>
      </c>
    </row>
    <row r="148" spans="1:104" ht="25" x14ac:dyDescent="0.25">
      <c r="A148" s="413" t="str">
        <f>'BOCA DE LOBO'!C142</f>
        <v>BL57-&gt;PV4-102</v>
      </c>
      <c r="B148" s="413" t="str">
        <f>'BOCA DE LOBO'!A142</f>
        <v>PV4-102</v>
      </c>
      <c r="C148" s="413" t="str">
        <f>VLOOKUP(A148,'BOCA DE LOBO'!$C$82:$Q$270,3,0)</f>
        <v>EXISTENTE</v>
      </c>
      <c r="D148" s="413" t="str">
        <f>VLOOKUP(A148,'BOCA DE LOBO'!$C$82:$Q$270,10,0)</f>
        <v>PROJETADA</v>
      </c>
      <c r="E148" s="413">
        <f t="shared" si="652"/>
        <v>1.7519999999999545</v>
      </c>
      <c r="F148" s="413">
        <f>VLOOKUP(A148,'BOCA DE LOBO'!$C$82:$Q$270,2,0)</f>
        <v>2.0499999999999545</v>
      </c>
      <c r="G148" s="413">
        <f>VLOOKUP(A148,'BOCA DE LOBO'!$C$82:$Q$270,4,0)</f>
        <v>7.45</v>
      </c>
      <c r="H148" s="412">
        <v>400</v>
      </c>
      <c r="I148" s="493">
        <f t="shared" si="653"/>
        <v>2.0309999999999544</v>
      </c>
      <c r="J148" s="493">
        <f t="shared" si="654"/>
        <v>0.75654749999998305</v>
      </c>
      <c r="K148" s="530">
        <v>0</v>
      </c>
      <c r="L148" s="531">
        <f t="shared" si="655"/>
        <v>1</v>
      </c>
      <c r="M148" s="531">
        <f t="shared" si="656"/>
        <v>1</v>
      </c>
      <c r="N148" s="531">
        <f t="shared" si="657"/>
        <v>0</v>
      </c>
      <c r="O148" s="531">
        <f t="shared" si="658"/>
        <v>7.45</v>
      </c>
      <c r="P148" s="532" t="s">
        <v>2392</v>
      </c>
      <c r="Q148" s="539" t="s">
        <v>2421</v>
      </c>
      <c r="R148" s="534"/>
      <c r="S148" s="532">
        <v>5</v>
      </c>
      <c r="T148" s="532">
        <v>5</v>
      </c>
      <c r="U148" s="531">
        <f t="shared" si="659"/>
        <v>0.05</v>
      </c>
      <c r="V148" s="535">
        <f t="shared" si="660"/>
        <v>0</v>
      </c>
      <c r="W148" s="535">
        <f t="shared" si="661"/>
        <v>15.130949999999661</v>
      </c>
      <c r="X148" s="536">
        <f t="shared" si="662"/>
        <v>0</v>
      </c>
      <c r="Y148" s="536">
        <f t="shared" si="663"/>
        <v>0</v>
      </c>
      <c r="Z148" s="536">
        <f t="shared" si="664"/>
        <v>2.0309999999999544</v>
      </c>
      <c r="AA148" s="536">
        <f t="shared" si="665"/>
        <v>0</v>
      </c>
      <c r="AB148" s="496">
        <f t="shared" si="666"/>
        <v>7.45</v>
      </c>
      <c r="AC148" s="251">
        <f t="shared" si="667"/>
        <v>0</v>
      </c>
      <c r="AD148" s="251">
        <f t="shared" si="668"/>
        <v>0</v>
      </c>
      <c r="AE148" s="251">
        <f t="shared" si="669"/>
        <v>0</v>
      </c>
      <c r="AF148" s="251">
        <f t="shared" si="670"/>
        <v>11.175000000000001</v>
      </c>
      <c r="AG148" s="251">
        <f t="shared" si="671"/>
        <v>3.9559499999996603</v>
      </c>
      <c r="AH148" s="251">
        <f t="shared" si="672"/>
        <v>0</v>
      </c>
      <c r="AI148" s="497" t="str">
        <f t="shared" si="673"/>
        <v>NÃO</v>
      </c>
      <c r="AJ148" s="531">
        <f t="shared" si="674"/>
        <v>0</v>
      </c>
      <c r="AK148" s="531">
        <f t="shared" si="675"/>
        <v>0</v>
      </c>
      <c r="AL148" s="531">
        <f t="shared" si="676"/>
        <v>14.194755389229902</v>
      </c>
      <c r="AM148" s="493">
        <f t="shared" si="677"/>
        <v>0.37250000000000005</v>
      </c>
      <c r="AN148" s="535">
        <f t="shared" si="678"/>
        <v>0</v>
      </c>
      <c r="AO148" s="531">
        <f t="shared" si="679"/>
        <v>0</v>
      </c>
      <c r="AP148" s="531">
        <f t="shared" si="680"/>
        <v>0</v>
      </c>
      <c r="AQ148" s="531">
        <f t="shared" si="681"/>
        <v>0.7</v>
      </c>
      <c r="AR148" s="531">
        <f t="shared" si="682"/>
        <v>4.2788053892302411</v>
      </c>
      <c r="AS148" s="531">
        <f t="shared" si="683"/>
        <v>0</v>
      </c>
      <c r="AT148" s="531">
        <f t="shared" si="684"/>
        <v>1.1174999999999999</v>
      </c>
      <c r="AU148" s="531">
        <f t="shared" si="685"/>
        <v>1.1174999999999999</v>
      </c>
      <c r="AV148" s="531">
        <f t="shared" si="686"/>
        <v>0.2235</v>
      </c>
      <c r="AW148" s="531">
        <f t="shared" si="687"/>
        <v>7.3084499999996613</v>
      </c>
      <c r="AX148" s="531">
        <f t="shared" si="688"/>
        <v>9.7346446107694202</v>
      </c>
      <c r="AY148" s="531">
        <f t="shared" si="689"/>
        <v>7.3084499999996613</v>
      </c>
      <c r="AZ148" s="531">
        <f t="shared" si="690"/>
        <v>0</v>
      </c>
      <c r="BA148" s="531">
        <f t="shared" si="691"/>
        <v>0</v>
      </c>
      <c r="BB148" s="531">
        <f t="shared" si="692"/>
        <v>0</v>
      </c>
      <c r="BC148" s="531"/>
      <c r="BD148" s="531">
        <f t="shared" si="693"/>
        <v>4.4699999999999997E-2</v>
      </c>
      <c r="BE148" s="496">
        <f t="shared" si="694"/>
        <v>2.0309999999999544</v>
      </c>
      <c r="BF148" s="498">
        <f t="shared" si="695"/>
        <v>0</v>
      </c>
      <c r="BG148" s="498">
        <f t="shared" si="696"/>
        <v>7.45</v>
      </c>
      <c r="BH148" s="532" t="str">
        <f>VLOOKUP(A148,'BOCA DE LOBO'!C:I,7,0)</f>
        <v>BOCA DE LOBO PROJETADA DUPLA</v>
      </c>
      <c r="BI148" s="531">
        <f t="shared" si="697"/>
        <v>0</v>
      </c>
      <c r="BJ148" s="531">
        <f t="shared" si="698"/>
        <v>0</v>
      </c>
      <c r="BK148" s="531">
        <f t="shared" si="699"/>
        <v>0</v>
      </c>
      <c r="BL148" s="531">
        <f t="shared" si="700"/>
        <v>0</v>
      </c>
      <c r="BM148" s="531">
        <f t="shared" si="701"/>
        <v>0</v>
      </c>
      <c r="BN148" s="531">
        <f t="shared" si="702"/>
        <v>1</v>
      </c>
      <c r="BO148" s="499">
        <f t="shared" si="703"/>
        <v>0</v>
      </c>
      <c r="BP148" s="500"/>
      <c r="BQ148" s="496">
        <f t="shared" si="704"/>
        <v>22.35</v>
      </c>
      <c r="BR148" s="496">
        <f t="shared" si="705"/>
        <v>7.9118999999993207</v>
      </c>
      <c r="BS148" s="496">
        <f t="shared" si="706"/>
        <v>0</v>
      </c>
      <c r="BT148" s="501"/>
      <c r="BU148" s="501"/>
      <c r="BV148" s="502">
        <f t="shared" si="707"/>
        <v>13.635115199999642</v>
      </c>
      <c r="BW148" s="502">
        <f t="shared" si="708"/>
        <v>7.7825999999999986</v>
      </c>
      <c r="BX148" s="502">
        <f t="shared" si="709"/>
        <v>3.0325999999999995</v>
      </c>
      <c r="BY148" s="502">
        <f t="shared" si="710"/>
        <v>1.7519999999999545</v>
      </c>
      <c r="BZ148" s="502">
        <f t="shared" si="711"/>
        <v>1.7519999999999545</v>
      </c>
      <c r="CA148" s="502">
        <f t="shared" si="712"/>
        <v>0</v>
      </c>
      <c r="CB148" s="502">
        <f t="shared" si="713"/>
        <v>0</v>
      </c>
      <c r="CC148" s="502">
        <f t="shared" si="714"/>
        <v>11.673899999999998</v>
      </c>
      <c r="CD148" s="502">
        <f t="shared" si="715"/>
        <v>1.9612151999996454</v>
      </c>
      <c r="CE148" s="502">
        <f t="shared" si="716"/>
        <v>0</v>
      </c>
      <c r="CF148" s="502">
        <f t="shared" si="717"/>
        <v>0</v>
      </c>
      <c r="CG148" s="502">
        <f t="shared" si="718"/>
        <v>0</v>
      </c>
      <c r="CH148" s="502">
        <f t="shared" si="719"/>
        <v>0</v>
      </c>
      <c r="CI148" s="531">
        <f t="shared" si="720"/>
        <v>0.53549999999999998</v>
      </c>
      <c r="CJ148" s="502">
        <f t="shared" si="721"/>
        <v>7.7864999999997826</v>
      </c>
      <c r="CK148" s="502">
        <f t="shared" si="722"/>
        <v>7.7864999999997826</v>
      </c>
      <c r="CL148" s="502">
        <f t="shared" si="723"/>
        <v>0</v>
      </c>
      <c r="CM148" s="502">
        <f t="shared" si="724"/>
        <v>0</v>
      </c>
      <c r="CN148" s="502">
        <f t="shared" si="725"/>
        <v>3.57</v>
      </c>
      <c r="CO148" s="502">
        <f t="shared" si="726"/>
        <v>1.7519999999999545</v>
      </c>
      <c r="CP148" s="502">
        <f t="shared" si="727"/>
        <v>10.709999999999999</v>
      </c>
      <c r="CQ148" s="502">
        <f t="shared" si="728"/>
        <v>1.7992799999996749</v>
      </c>
      <c r="CR148" s="220">
        <f t="shared" si="729"/>
        <v>0</v>
      </c>
      <c r="CS148" s="503">
        <f t="shared" si="730"/>
        <v>0</v>
      </c>
      <c r="CT148" s="503">
        <f t="shared" si="731"/>
        <v>0.33012999999999998</v>
      </c>
      <c r="CU148" s="504">
        <f t="shared" si="732"/>
        <v>9.110399999999764</v>
      </c>
      <c r="CV148" s="504">
        <f t="shared" si="733"/>
        <v>1.210061999999986</v>
      </c>
      <c r="CW148" s="502">
        <f t="shared" si="734"/>
        <v>17.503559999999649</v>
      </c>
      <c r="CX148" s="531">
        <f t="shared" si="735"/>
        <v>3.57</v>
      </c>
      <c r="CY148" s="537">
        <f t="shared" si="736"/>
        <v>1.7849999999999999</v>
      </c>
      <c r="CZ148" s="502">
        <f t="shared" si="737"/>
        <v>2.4513847475961154E-2</v>
      </c>
    </row>
    <row r="149" spans="1:104" ht="25" x14ac:dyDescent="0.25">
      <c r="A149" s="413" t="str">
        <f>'BOCA DE LOBO'!C143</f>
        <v>BL58-&gt;PV4-102</v>
      </c>
      <c r="B149" s="413" t="str">
        <f>'BOCA DE LOBO'!A143</f>
        <v>PV4-102</v>
      </c>
      <c r="C149" s="413" t="str">
        <f>VLOOKUP(A149,'BOCA DE LOBO'!$C$82:$Q$270,3,0)</f>
        <v>EXISTENTE</v>
      </c>
      <c r="D149" s="413" t="str">
        <f>VLOOKUP(A149,'BOCA DE LOBO'!$C$82:$Q$270,10,0)</f>
        <v>PROJETADA</v>
      </c>
      <c r="E149" s="413">
        <f t="shared" si="652"/>
        <v>1.7799999999999545</v>
      </c>
      <c r="F149" s="413">
        <f>VLOOKUP(A149,'BOCA DE LOBO'!$C$82:$Q$270,2,0)</f>
        <v>2.0499999999999545</v>
      </c>
      <c r="G149" s="413">
        <f>VLOOKUP(A149,'BOCA DE LOBO'!$C$82:$Q$270,4,0)</f>
        <v>6.75</v>
      </c>
      <c r="H149" s="412">
        <v>400</v>
      </c>
      <c r="I149" s="493">
        <f t="shared" si="653"/>
        <v>2.0449999999999546</v>
      </c>
      <c r="J149" s="493">
        <f t="shared" si="654"/>
        <v>0.69018749999998463</v>
      </c>
      <c r="K149" s="530">
        <v>0</v>
      </c>
      <c r="L149" s="531">
        <f t="shared" si="655"/>
        <v>1</v>
      </c>
      <c r="M149" s="531">
        <f t="shared" si="656"/>
        <v>1</v>
      </c>
      <c r="N149" s="531">
        <f t="shared" si="657"/>
        <v>0</v>
      </c>
      <c r="O149" s="531">
        <f t="shared" si="658"/>
        <v>6.75</v>
      </c>
      <c r="P149" s="532" t="s">
        <v>2392</v>
      </c>
      <c r="Q149" s="539" t="s">
        <v>2421</v>
      </c>
      <c r="R149" s="534"/>
      <c r="S149" s="532">
        <v>5</v>
      </c>
      <c r="T149" s="532">
        <v>5</v>
      </c>
      <c r="U149" s="531">
        <f t="shared" si="659"/>
        <v>0.05</v>
      </c>
      <c r="V149" s="535">
        <f t="shared" si="660"/>
        <v>0</v>
      </c>
      <c r="W149" s="535">
        <f t="shared" si="661"/>
        <v>13.803749999999694</v>
      </c>
      <c r="X149" s="536">
        <f t="shared" si="662"/>
        <v>0</v>
      </c>
      <c r="Y149" s="536">
        <f t="shared" si="663"/>
        <v>0</v>
      </c>
      <c r="Z149" s="536">
        <f t="shared" si="664"/>
        <v>2.0449999999999546</v>
      </c>
      <c r="AA149" s="536">
        <f t="shared" si="665"/>
        <v>0</v>
      </c>
      <c r="AB149" s="496">
        <f t="shared" si="666"/>
        <v>6.75</v>
      </c>
      <c r="AC149" s="251">
        <f t="shared" si="667"/>
        <v>0</v>
      </c>
      <c r="AD149" s="251">
        <f t="shared" si="668"/>
        <v>0</v>
      </c>
      <c r="AE149" s="251">
        <f t="shared" si="669"/>
        <v>0</v>
      </c>
      <c r="AF149" s="251">
        <f t="shared" si="670"/>
        <v>10.125</v>
      </c>
      <c r="AG149" s="251">
        <f t="shared" si="671"/>
        <v>3.6787499999996935</v>
      </c>
      <c r="AH149" s="251">
        <f t="shared" si="672"/>
        <v>0</v>
      </c>
      <c r="AI149" s="497" t="str">
        <f t="shared" si="673"/>
        <v>NÃO</v>
      </c>
      <c r="AJ149" s="531">
        <f t="shared" si="674"/>
        <v>0</v>
      </c>
      <c r="AK149" s="531">
        <f t="shared" si="675"/>
        <v>0</v>
      </c>
      <c r="AL149" s="531">
        <f t="shared" si="676"/>
        <v>12.955519983530449</v>
      </c>
      <c r="AM149" s="493">
        <f t="shared" si="677"/>
        <v>0.33750000000000002</v>
      </c>
      <c r="AN149" s="535">
        <f t="shared" si="678"/>
        <v>0</v>
      </c>
      <c r="AO149" s="531">
        <f t="shared" si="679"/>
        <v>0</v>
      </c>
      <c r="AP149" s="531">
        <f t="shared" si="680"/>
        <v>0</v>
      </c>
      <c r="AQ149" s="531">
        <f t="shared" si="681"/>
        <v>0.7</v>
      </c>
      <c r="AR149" s="531">
        <f t="shared" si="682"/>
        <v>3.8767699835307554</v>
      </c>
      <c r="AS149" s="531">
        <f t="shared" si="683"/>
        <v>0</v>
      </c>
      <c r="AT149" s="531">
        <f t="shared" si="684"/>
        <v>1.0125</v>
      </c>
      <c r="AU149" s="531">
        <f t="shared" si="685"/>
        <v>1.0125</v>
      </c>
      <c r="AV149" s="531">
        <f t="shared" si="686"/>
        <v>0.20249999999999999</v>
      </c>
      <c r="AW149" s="531">
        <f t="shared" si="687"/>
        <v>6.716249999999695</v>
      </c>
      <c r="AX149" s="531">
        <f t="shared" si="688"/>
        <v>8.9144800164689393</v>
      </c>
      <c r="AY149" s="531">
        <f t="shared" si="689"/>
        <v>6.716249999999695</v>
      </c>
      <c r="AZ149" s="531">
        <f t="shared" si="690"/>
        <v>0</v>
      </c>
      <c r="BA149" s="531">
        <f t="shared" si="691"/>
        <v>0</v>
      </c>
      <c r="BB149" s="531">
        <f t="shared" si="692"/>
        <v>0</v>
      </c>
      <c r="BC149" s="531"/>
      <c r="BD149" s="531">
        <f t="shared" si="693"/>
        <v>4.0500000000000001E-2</v>
      </c>
      <c r="BE149" s="496">
        <f t="shared" si="694"/>
        <v>2.0449999999999546</v>
      </c>
      <c r="BF149" s="498">
        <f t="shared" si="695"/>
        <v>0</v>
      </c>
      <c r="BG149" s="498">
        <f t="shared" si="696"/>
        <v>6.75</v>
      </c>
      <c r="BH149" s="532" t="str">
        <f>VLOOKUP(A149,'BOCA DE LOBO'!C:I,7,0)</f>
        <v>BOCA DE LOBO PROJETADA DUPLA</v>
      </c>
      <c r="BI149" s="531">
        <f t="shared" si="697"/>
        <v>0</v>
      </c>
      <c r="BJ149" s="531">
        <f t="shared" si="698"/>
        <v>0</v>
      </c>
      <c r="BK149" s="531">
        <f t="shared" si="699"/>
        <v>0</v>
      </c>
      <c r="BL149" s="531">
        <f t="shared" si="700"/>
        <v>0</v>
      </c>
      <c r="BM149" s="531">
        <f t="shared" si="701"/>
        <v>0</v>
      </c>
      <c r="BN149" s="531">
        <f t="shared" si="702"/>
        <v>1</v>
      </c>
      <c r="BO149" s="499">
        <f t="shared" si="703"/>
        <v>0</v>
      </c>
      <c r="BP149" s="500"/>
      <c r="BQ149" s="496">
        <f t="shared" si="704"/>
        <v>20.25</v>
      </c>
      <c r="BR149" s="496">
        <f t="shared" si="705"/>
        <v>7.3574999999993871</v>
      </c>
      <c r="BS149" s="496">
        <f t="shared" si="706"/>
        <v>0</v>
      </c>
      <c r="BT149" s="501"/>
      <c r="BU149" s="501"/>
      <c r="BV149" s="502">
        <f t="shared" si="707"/>
        <v>13.853027999999643</v>
      </c>
      <c r="BW149" s="502">
        <f t="shared" si="708"/>
        <v>7.7825999999999986</v>
      </c>
      <c r="BX149" s="502">
        <f t="shared" si="709"/>
        <v>3.0325999999999995</v>
      </c>
      <c r="BY149" s="502">
        <f t="shared" si="710"/>
        <v>1.7799999999999545</v>
      </c>
      <c r="BZ149" s="502">
        <f t="shared" si="711"/>
        <v>1.7799999999999545</v>
      </c>
      <c r="CA149" s="502">
        <f t="shared" si="712"/>
        <v>0</v>
      </c>
      <c r="CB149" s="502">
        <f t="shared" si="713"/>
        <v>0</v>
      </c>
      <c r="CC149" s="502">
        <f t="shared" si="714"/>
        <v>11.673899999999998</v>
      </c>
      <c r="CD149" s="502">
        <f t="shared" si="715"/>
        <v>2.1791279999996456</v>
      </c>
      <c r="CE149" s="502">
        <f t="shared" si="716"/>
        <v>0</v>
      </c>
      <c r="CF149" s="502">
        <f t="shared" si="717"/>
        <v>0</v>
      </c>
      <c r="CG149" s="502">
        <f t="shared" si="718"/>
        <v>0</v>
      </c>
      <c r="CH149" s="502">
        <f t="shared" si="719"/>
        <v>0</v>
      </c>
      <c r="CI149" s="531">
        <f t="shared" si="720"/>
        <v>0.53549999999999998</v>
      </c>
      <c r="CJ149" s="502">
        <f t="shared" si="721"/>
        <v>7.9194999999997817</v>
      </c>
      <c r="CK149" s="502">
        <f t="shared" si="722"/>
        <v>7.9194999999997817</v>
      </c>
      <c r="CL149" s="502">
        <f t="shared" si="723"/>
        <v>0</v>
      </c>
      <c r="CM149" s="502">
        <f t="shared" si="724"/>
        <v>0</v>
      </c>
      <c r="CN149" s="502">
        <f t="shared" si="725"/>
        <v>3.57</v>
      </c>
      <c r="CO149" s="502">
        <f t="shared" si="726"/>
        <v>1.7799999999999545</v>
      </c>
      <c r="CP149" s="502">
        <f t="shared" si="727"/>
        <v>10.709999999999999</v>
      </c>
      <c r="CQ149" s="502">
        <f t="shared" si="728"/>
        <v>1.999199999999675</v>
      </c>
      <c r="CR149" s="220">
        <f t="shared" si="729"/>
        <v>0</v>
      </c>
      <c r="CS149" s="503">
        <f t="shared" si="730"/>
        <v>0</v>
      </c>
      <c r="CT149" s="503">
        <f t="shared" si="731"/>
        <v>0.33012999999999998</v>
      </c>
      <c r="CU149" s="504">
        <f t="shared" si="732"/>
        <v>9.255999999999764</v>
      </c>
      <c r="CV149" s="504">
        <f t="shared" si="733"/>
        <v>1.2186299999999859</v>
      </c>
      <c r="CW149" s="502">
        <f t="shared" si="734"/>
        <v>17.718599999999647</v>
      </c>
      <c r="CX149" s="531">
        <f t="shared" si="735"/>
        <v>3.57</v>
      </c>
      <c r="CY149" s="537">
        <f t="shared" si="736"/>
        <v>1.7849999999999999</v>
      </c>
      <c r="CZ149" s="502">
        <f t="shared" si="737"/>
        <v>2.4513847475961154E-2</v>
      </c>
    </row>
    <row r="150" spans="1:104" ht="25" x14ac:dyDescent="0.25">
      <c r="A150" s="413" t="str">
        <f>'BOCA DE LOBO'!C144</f>
        <v>BL59-&gt;PV5-102</v>
      </c>
      <c r="B150" s="413" t="str">
        <f>'BOCA DE LOBO'!A144</f>
        <v>PV5-102</v>
      </c>
      <c r="C150" s="413" t="str">
        <f>VLOOKUP(A150,'BOCA DE LOBO'!$C$82:$Q$270,3,0)</f>
        <v>EXISTENTE</v>
      </c>
      <c r="D150" s="413" t="str">
        <f>VLOOKUP(A150,'BOCA DE LOBO'!$C$82:$Q$270,10,0)</f>
        <v>PROJETADA</v>
      </c>
      <c r="E150" s="413">
        <f t="shared" si="652"/>
        <v>2.5</v>
      </c>
      <c r="F150" s="413">
        <f>VLOOKUP(A150,'BOCA DE LOBO'!$C$82:$Q$270,2,0)</f>
        <v>3.0299999999999727</v>
      </c>
      <c r="G150" s="413">
        <f>VLOOKUP(A150,'BOCA DE LOBO'!$C$82:$Q$270,4,0)</f>
        <v>9.76</v>
      </c>
      <c r="H150" s="412">
        <v>400</v>
      </c>
      <c r="I150" s="493">
        <f t="shared" si="653"/>
        <v>2.8949999999999863</v>
      </c>
      <c r="J150" s="493">
        <f t="shared" si="654"/>
        <v>1.4127599999999931</v>
      </c>
      <c r="K150" s="530">
        <v>0</v>
      </c>
      <c r="L150" s="531">
        <f t="shared" si="655"/>
        <v>1</v>
      </c>
      <c r="M150" s="531">
        <f t="shared" si="656"/>
        <v>1</v>
      </c>
      <c r="N150" s="531">
        <f t="shared" si="657"/>
        <v>0</v>
      </c>
      <c r="O150" s="531">
        <f t="shared" si="658"/>
        <v>9.76</v>
      </c>
      <c r="P150" s="532" t="s">
        <v>2392</v>
      </c>
      <c r="Q150" s="539" t="s">
        <v>2975</v>
      </c>
      <c r="R150" s="534"/>
      <c r="S150" s="532">
        <v>5</v>
      </c>
      <c r="T150" s="532">
        <v>5</v>
      </c>
      <c r="U150" s="531">
        <f t="shared" si="659"/>
        <v>0.05</v>
      </c>
      <c r="V150" s="535">
        <f t="shared" si="660"/>
        <v>0</v>
      </c>
      <c r="W150" s="535">
        <f t="shared" si="661"/>
        <v>28.255199999999864</v>
      </c>
      <c r="X150" s="536">
        <f t="shared" si="662"/>
        <v>0</v>
      </c>
      <c r="Y150" s="536">
        <f t="shared" si="663"/>
        <v>0</v>
      </c>
      <c r="Z150" s="536">
        <f t="shared" si="664"/>
        <v>2.8949999999999863</v>
      </c>
      <c r="AA150" s="536">
        <f t="shared" si="665"/>
        <v>0</v>
      </c>
      <c r="AB150" s="496">
        <f t="shared" si="666"/>
        <v>9.76</v>
      </c>
      <c r="AC150" s="251">
        <f t="shared" si="667"/>
        <v>0</v>
      </c>
      <c r="AD150" s="251">
        <f t="shared" si="668"/>
        <v>0</v>
      </c>
      <c r="AE150" s="251">
        <f t="shared" si="669"/>
        <v>0</v>
      </c>
      <c r="AF150" s="251">
        <f t="shared" si="670"/>
        <v>14.64</v>
      </c>
      <c r="AG150" s="251">
        <f t="shared" si="671"/>
        <v>13.615199999999865</v>
      </c>
      <c r="AH150" s="251">
        <f t="shared" si="672"/>
        <v>0</v>
      </c>
      <c r="AI150" s="497" t="str">
        <f t="shared" si="673"/>
        <v>NÃO</v>
      </c>
      <c r="AJ150" s="531">
        <f t="shared" si="674"/>
        <v>0</v>
      </c>
      <c r="AK150" s="531">
        <f t="shared" si="675"/>
        <v>0</v>
      </c>
      <c r="AL150" s="531">
        <f t="shared" si="676"/>
        <v>27.028722228038408</v>
      </c>
      <c r="AM150" s="493">
        <f t="shared" si="677"/>
        <v>0.48799999999999999</v>
      </c>
      <c r="AN150" s="535">
        <f t="shared" si="678"/>
        <v>0</v>
      </c>
      <c r="AO150" s="531">
        <f t="shared" si="679"/>
        <v>0</v>
      </c>
      <c r="AP150" s="531">
        <f t="shared" si="680"/>
        <v>0</v>
      </c>
      <c r="AQ150" s="531">
        <f t="shared" si="681"/>
        <v>0.7</v>
      </c>
      <c r="AR150" s="531">
        <f t="shared" si="682"/>
        <v>5.6055222280385451</v>
      </c>
      <c r="AS150" s="531">
        <f t="shared" si="683"/>
        <v>0</v>
      </c>
      <c r="AT150" s="531">
        <f t="shared" si="684"/>
        <v>1.464</v>
      </c>
      <c r="AU150" s="531">
        <f t="shared" si="685"/>
        <v>1.464</v>
      </c>
      <c r="AV150" s="531">
        <f t="shared" si="686"/>
        <v>0.2928</v>
      </c>
      <c r="AW150" s="531">
        <f t="shared" si="687"/>
        <v>18.007199999999866</v>
      </c>
      <c r="AX150" s="531">
        <f t="shared" si="688"/>
        <v>21.185677771961323</v>
      </c>
      <c r="AY150" s="531">
        <f t="shared" si="689"/>
        <v>18.007199999999866</v>
      </c>
      <c r="AZ150" s="531">
        <f t="shared" si="690"/>
        <v>0</v>
      </c>
      <c r="BA150" s="531">
        <f t="shared" si="691"/>
        <v>0</v>
      </c>
      <c r="BB150" s="531">
        <f t="shared" si="692"/>
        <v>0</v>
      </c>
      <c r="BC150" s="531"/>
      <c r="BD150" s="531">
        <f t="shared" si="693"/>
        <v>5.8560000000000001E-2</v>
      </c>
      <c r="BE150" s="496">
        <f t="shared" si="694"/>
        <v>2.8949999999999863</v>
      </c>
      <c r="BF150" s="498">
        <f t="shared" si="695"/>
        <v>0</v>
      </c>
      <c r="BG150" s="498">
        <f t="shared" si="696"/>
        <v>9.76</v>
      </c>
      <c r="BH150" s="532" t="str">
        <f>VLOOKUP(A150,'BOCA DE LOBO'!C:I,7,0)</f>
        <v>BOCA DE LOBO PROJETADA DUPLA</v>
      </c>
      <c r="BI150" s="531">
        <f t="shared" si="697"/>
        <v>0</v>
      </c>
      <c r="BJ150" s="531">
        <f t="shared" si="698"/>
        <v>0</v>
      </c>
      <c r="BK150" s="531">
        <f t="shared" si="699"/>
        <v>0</v>
      </c>
      <c r="BL150" s="531">
        <f t="shared" si="700"/>
        <v>0</v>
      </c>
      <c r="BM150" s="531">
        <f t="shared" si="701"/>
        <v>0</v>
      </c>
      <c r="BN150" s="531">
        <f t="shared" si="702"/>
        <v>1</v>
      </c>
      <c r="BO150" s="499">
        <f t="shared" si="703"/>
        <v>0</v>
      </c>
      <c r="BP150" s="500"/>
      <c r="BQ150" s="496">
        <f t="shared" si="704"/>
        <v>29.28</v>
      </c>
      <c r="BR150" s="496">
        <f t="shared" si="705"/>
        <v>27.230399999999729</v>
      </c>
      <c r="BS150" s="496">
        <f t="shared" si="706"/>
        <v>0</v>
      </c>
      <c r="BT150" s="501"/>
      <c r="BU150" s="501"/>
      <c r="BV150" s="502">
        <f t="shared" si="707"/>
        <v>19.456499999999998</v>
      </c>
      <c r="BW150" s="502">
        <f t="shared" si="708"/>
        <v>7.7825999999999986</v>
      </c>
      <c r="BX150" s="502">
        <f t="shared" si="709"/>
        <v>3.0325999999999995</v>
      </c>
      <c r="BY150" s="502">
        <f t="shared" si="710"/>
        <v>2.5</v>
      </c>
      <c r="BZ150" s="502">
        <f t="shared" si="711"/>
        <v>2.5</v>
      </c>
      <c r="CA150" s="502">
        <f t="shared" si="712"/>
        <v>0</v>
      </c>
      <c r="CB150" s="502">
        <f t="shared" si="713"/>
        <v>0</v>
      </c>
      <c r="CC150" s="502">
        <f t="shared" si="714"/>
        <v>11.673899999999998</v>
      </c>
      <c r="CD150" s="502">
        <f t="shared" si="715"/>
        <v>7.7825999999999986</v>
      </c>
      <c r="CE150" s="502">
        <f t="shared" si="716"/>
        <v>0</v>
      </c>
      <c r="CF150" s="502">
        <f t="shared" si="717"/>
        <v>0</v>
      </c>
      <c r="CG150" s="502">
        <f t="shared" si="718"/>
        <v>0</v>
      </c>
      <c r="CH150" s="502">
        <f t="shared" si="719"/>
        <v>0</v>
      </c>
      <c r="CI150" s="531">
        <f t="shared" si="720"/>
        <v>0.53549999999999998</v>
      </c>
      <c r="CJ150" s="502">
        <f t="shared" si="721"/>
        <v>11.339499999999997</v>
      </c>
      <c r="CK150" s="502">
        <f t="shared" si="722"/>
        <v>11.339499999999997</v>
      </c>
      <c r="CL150" s="502">
        <f t="shared" si="723"/>
        <v>0</v>
      </c>
      <c r="CM150" s="502">
        <f t="shared" si="724"/>
        <v>0</v>
      </c>
      <c r="CN150" s="502">
        <f t="shared" si="725"/>
        <v>3.57</v>
      </c>
      <c r="CO150" s="502">
        <f t="shared" si="726"/>
        <v>2.5</v>
      </c>
      <c r="CP150" s="502">
        <f t="shared" si="727"/>
        <v>10.709999999999999</v>
      </c>
      <c r="CQ150" s="502">
        <f t="shared" si="728"/>
        <v>7.14</v>
      </c>
      <c r="CR150" s="220">
        <f t="shared" si="729"/>
        <v>0</v>
      </c>
      <c r="CS150" s="503">
        <f t="shared" si="730"/>
        <v>0</v>
      </c>
      <c r="CT150" s="503">
        <f t="shared" si="731"/>
        <v>0.33012999999999998</v>
      </c>
      <c r="CU150" s="504">
        <f t="shared" si="732"/>
        <v>13</v>
      </c>
      <c r="CV150" s="504">
        <f t="shared" si="733"/>
        <v>1.43895</v>
      </c>
      <c r="CW150" s="502">
        <f t="shared" si="734"/>
        <v>23.248199999999997</v>
      </c>
      <c r="CX150" s="531">
        <f t="shared" si="735"/>
        <v>3.57</v>
      </c>
      <c r="CY150" s="537">
        <f t="shared" si="736"/>
        <v>1.7849999999999999</v>
      </c>
      <c r="CZ150" s="502">
        <f t="shared" si="737"/>
        <v>2.4513847475961154E-2</v>
      </c>
    </row>
    <row r="151" spans="1:104" ht="25" x14ac:dyDescent="0.25">
      <c r="A151" s="413" t="str">
        <f>'BOCA DE LOBO'!C145</f>
        <v>BL60-&gt;PV5-102</v>
      </c>
      <c r="B151" s="413" t="str">
        <f>'BOCA DE LOBO'!A145</f>
        <v>PV5-102</v>
      </c>
      <c r="C151" s="413" t="str">
        <f>VLOOKUP(A151,'BOCA DE LOBO'!$C$82:$Q$270,3,0)</f>
        <v>EXISTENTE</v>
      </c>
      <c r="D151" s="413" t="str">
        <f>VLOOKUP(A151,'BOCA DE LOBO'!$C$82:$Q$270,10,0)</f>
        <v>PROJETADA</v>
      </c>
      <c r="E151" s="413">
        <f t="shared" si="652"/>
        <v>2.5</v>
      </c>
      <c r="F151" s="413">
        <f>VLOOKUP(A151,'BOCA DE LOBO'!$C$82:$Q$270,2,0)</f>
        <v>3.0299999999999727</v>
      </c>
      <c r="G151" s="413">
        <f>VLOOKUP(A151,'BOCA DE LOBO'!$C$82:$Q$270,4,0)</f>
        <v>6.95</v>
      </c>
      <c r="H151" s="412">
        <v>400</v>
      </c>
      <c r="I151" s="493">
        <f t="shared" si="653"/>
        <v>2.8949999999999863</v>
      </c>
      <c r="J151" s="493">
        <f t="shared" si="654"/>
        <v>1.0060124999999953</v>
      </c>
      <c r="K151" s="530">
        <v>0</v>
      </c>
      <c r="L151" s="531">
        <f t="shared" si="655"/>
        <v>1</v>
      </c>
      <c r="M151" s="531">
        <f t="shared" si="656"/>
        <v>1</v>
      </c>
      <c r="N151" s="531">
        <f t="shared" si="657"/>
        <v>0</v>
      </c>
      <c r="O151" s="531">
        <f t="shared" si="658"/>
        <v>6.95</v>
      </c>
      <c r="P151" s="532" t="s">
        <v>2392</v>
      </c>
      <c r="Q151" s="539" t="s">
        <v>2975</v>
      </c>
      <c r="R151" s="534"/>
      <c r="S151" s="532">
        <v>5</v>
      </c>
      <c r="T151" s="532">
        <v>5</v>
      </c>
      <c r="U151" s="531">
        <f t="shared" si="659"/>
        <v>0.05</v>
      </c>
      <c r="V151" s="535">
        <f t="shared" si="660"/>
        <v>0</v>
      </c>
      <c r="W151" s="535">
        <f t="shared" si="661"/>
        <v>20.120249999999906</v>
      </c>
      <c r="X151" s="536">
        <f t="shared" si="662"/>
        <v>0</v>
      </c>
      <c r="Y151" s="536">
        <f t="shared" si="663"/>
        <v>0</v>
      </c>
      <c r="Z151" s="536">
        <f t="shared" si="664"/>
        <v>2.8949999999999863</v>
      </c>
      <c r="AA151" s="536">
        <f t="shared" si="665"/>
        <v>0</v>
      </c>
      <c r="AB151" s="496">
        <f t="shared" si="666"/>
        <v>6.95</v>
      </c>
      <c r="AC151" s="251">
        <f t="shared" si="667"/>
        <v>0</v>
      </c>
      <c r="AD151" s="251">
        <f t="shared" si="668"/>
        <v>0</v>
      </c>
      <c r="AE151" s="251">
        <f t="shared" si="669"/>
        <v>0</v>
      </c>
      <c r="AF151" s="251">
        <f t="shared" si="670"/>
        <v>10.425000000000001</v>
      </c>
      <c r="AG151" s="251">
        <f t="shared" si="671"/>
        <v>9.6952499999999056</v>
      </c>
      <c r="AH151" s="251">
        <f t="shared" si="672"/>
        <v>0</v>
      </c>
      <c r="AI151" s="497" t="str">
        <f t="shared" si="673"/>
        <v>NÃO</v>
      </c>
      <c r="AJ151" s="531">
        <f t="shared" si="674"/>
        <v>0</v>
      </c>
      <c r="AK151" s="531">
        <f t="shared" si="675"/>
        <v>0</v>
      </c>
      <c r="AL151" s="531">
        <f t="shared" si="676"/>
        <v>19.246887242301945</v>
      </c>
      <c r="AM151" s="493">
        <f t="shared" si="677"/>
        <v>0.34750000000000003</v>
      </c>
      <c r="AN151" s="535">
        <f t="shared" si="678"/>
        <v>0</v>
      </c>
      <c r="AO151" s="531">
        <f t="shared" si="679"/>
        <v>0</v>
      </c>
      <c r="AP151" s="531">
        <f t="shared" si="680"/>
        <v>0</v>
      </c>
      <c r="AQ151" s="531">
        <f t="shared" si="681"/>
        <v>0.7</v>
      </c>
      <c r="AR151" s="531">
        <f t="shared" si="682"/>
        <v>3.9916372423020379</v>
      </c>
      <c r="AS151" s="531">
        <f t="shared" si="683"/>
        <v>0</v>
      </c>
      <c r="AT151" s="531">
        <f t="shared" si="684"/>
        <v>1.0425</v>
      </c>
      <c r="AU151" s="531">
        <f t="shared" si="685"/>
        <v>1.0425</v>
      </c>
      <c r="AV151" s="531">
        <f t="shared" si="686"/>
        <v>0.20849999999999999</v>
      </c>
      <c r="AW151" s="531">
        <f t="shared" si="687"/>
        <v>12.822749999999907</v>
      </c>
      <c r="AX151" s="531">
        <f t="shared" si="688"/>
        <v>15.086112757697869</v>
      </c>
      <c r="AY151" s="531">
        <f t="shared" si="689"/>
        <v>12.822749999999907</v>
      </c>
      <c r="AZ151" s="531">
        <f t="shared" si="690"/>
        <v>0</v>
      </c>
      <c r="BA151" s="531">
        <f t="shared" si="691"/>
        <v>0</v>
      </c>
      <c r="BB151" s="531">
        <f t="shared" si="692"/>
        <v>0</v>
      </c>
      <c r="BC151" s="531"/>
      <c r="BD151" s="531">
        <f t="shared" si="693"/>
        <v>4.1700000000000001E-2</v>
      </c>
      <c r="BE151" s="496">
        <f t="shared" si="694"/>
        <v>2.8949999999999863</v>
      </c>
      <c r="BF151" s="498">
        <f t="shared" si="695"/>
        <v>0</v>
      </c>
      <c r="BG151" s="498">
        <f t="shared" si="696"/>
        <v>6.95</v>
      </c>
      <c r="BH151" s="532" t="str">
        <f>VLOOKUP(A151,'BOCA DE LOBO'!C:I,7,0)</f>
        <v>BOCA DE LOBO PROJETADA DUPLA</v>
      </c>
      <c r="BI151" s="531">
        <f t="shared" si="697"/>
        <v>0</v>
      </c>
      <c r="BJ151" s="531">
        <f t="shared" si="698"/>
        <v>0</v>
      </c>
      <c r="BK151" s="531">
        <f t="shared" si="699"/>
        <v>0</v>
      </c>
      <c r="BL151" s="531">
        <f t="shared" si="700"/>
        <v>0</v>
      </c>
      <c r="BM151" s="531">
        <f t="shared" si="701"/>
        <v>0</v>
      </c>
      <c r="BN151" s="531">
        <f t="shared" si="702"/>
        <v>1</v>
      </c>
      <c r="BO151" s="499">
        <f t="shared" si="703"/>
        <v>0</v>
      </c>
      <c r="BP151" s="500"/>
      <c r="BQ151" s="496">
        <f t="shared" si="704"/>
        <v>20.85</v>
      </c>
      <c r="BR151" s="496">
        <f t="shared" si="705"/>
        <v>19.390499999999811</v>
      </c>
      <c r="BS151" s="496">
        <f t="shared" si="706"/>
        <v>0</v>
      </c>
      <c r="BT151" s="501"/>
      <c r="BU151" s="501"/>
      <c r="BV151" s="502">
        <f t="shared" si="707"/>
        <v>19.456499999999998</v>
      </c>
      <c r="BW151" s="502">
        <f t="shared" si="708"/>
        <v>7.7825999999999986</v>
      </c>
      <c r="BX151" s="502">
        <f t="shared" si="709"/>
        <v>3.0325999999999995</v>
      </c>
      <c r="BY151" s="502">
        <f t="shared" si="710"/>
        <v>2.5</v>
      </c>
      <c r="BZ151" s="502">
        <f t="shared" si="711"/>
        <v>2.5</v>
      </c>
      <c r="CA151" s="502">
        <f t="shared" si="712"/>
        <v>0</v>
      </c>
      <c r="CB151" s="502">
        <f t="shared" si="713"/>
        <v>0</v>
      </c>
      <c r="CC151" s="502">
        <f t="shared" si="714"/>
        <v>11.673899999999998</v>
      </c>
      <c r="CD151" s="502">
        <f t="shared" si="715"/>
        <v>7.7825999999999986</v>
      </c>
      <c r="CE151" s="502">
        <f t="shared" si="716"/>
        <v>0</v>
      </c>
      <c r="CF151" s="502">
        <f t="shared" si="717"/>
        <v>0</v>
      </c>
      <c r="CG151" s="502">
        <f t="shared" si="718"/>
        <v>0</v>
      </c>
      <c r="CH151" s="502">
        <f t="shared" si="719"/>
        <v>0</v>
      </c>
      <c r="CI151" s="531">
        <f t="shared" si="720"/>
        <v>0.53549999999999998</v>
      </c>
      <c r="CJ151" s="502">
        <f t="shared" si="721"/>
        <v>11.339499999999997</v>
      </c>
      <c r="CK151" s="502">
        <f t="shared" si="722"/>
        <v>11.339499999999997</v>
      </c>
      <c r="CL151" s="502">
        <f t="shared" si="723"/>
        <v>0</v>
      </c>
      <c r="CM151" s="502">
        <f t="shared" si="724"/>
        <v>0</v>
      </c>
      <c r="CN151" s="502">
        <f t="shared" si="725"/>
        <v>3.57</v>
      </c>
      <c r="CO151" s="502">
        <f t="shared" si="726"/>
        <v>2.5</v>
      </c>
      <c r="CP151" s="502">
        <f t="shared" si="727"/>
        <v>10.709999999999999</v>
      </c>
      <c r="CQ151" s="502">
        <f t="shared" si="728"/>
        <v>7.14</v>
      </c>
      <c r="CR151" s="220">
        <f t="shared" si="729"/>
        <v>0</v>
      </c>
      <c r="CS151" s="503">
        <f t="shared" si="730"/>
        <v>0</v>
      </c>
      <c r="CT151" s="503">
        <f t="shared" si="731"/>
        <v>0.33012999999999998</v>
      </c>
      <c r="CU151" s="504">
        <f t="shared" si="732"/>
        <v>13</v>
      </c>
      <c r="CV151" s="504">
        <f t="shared" si="733"/>
        <v>1.43895</v>
      </c>
      <c r="CW151" s="502">
        <f t="shared" si="734"/>
        <v>23.248199999999997</v>
      </c>
      <c r="CX151" s="531">
        <f t="shared" si="735"/>
        <v>3.57</v>
      </c>
      <c r="CY151" s="537">
        <f t="shared" si="736"/>
        <v>1.7849999999999999</v>
      </c>
      <c r="CZ151" s="502">
        <f t="shared" si="737"/>
        <v>2.4513847475961154E-2</v>
      </c>
    </row>
    <row r="152" spans="1:104" ht="25" x14ac:dyDescent="0.25">
      <c r="A152" s="413" t="str">
        <f>'BOCA DE LOBO'!C146</f>
        <v>BL61-&gt;PV6-102</v>
      </c>
      <c r="B152" s="413" t="str">
        <f>'BOCA DE LOBO'!A146</f>
        <v>PV6-102</v>
      </c>
      <c r="C152" s="413" t="str">
        <f>VLOOKUP(A152,'BOCA DE LOBO'!$C$82:$Q$270,3,0)</f>
        <v>EXISTENTE</v>
      </c>
      <c r="D152" s="413" t="str">
        <f>VLOOKUP(A152,'BOCA DE LOBO'!$C$82:$Q$270,10,0)</f>
        <v>PROJETADA</v>
      </c>
      <c r="E152" s="413">
        <f t="shared" si="652"/>
        <v>2.5</v>
      </c>
      <c r="F152" s="413">
        <f>VLOOKUP(A152,'BOCA DE LOBO'!$C$82:$Q$270,2,0)</f>
        <v>4.3300000000000409</v>
      </c>
      <c r="G152" s="413">
        <f>VLOOKUP(A152,'BOCA DE LOBO'!$C$82:$Q$270,4,0)</f>
        <v>9.09</v>
      </c>
      <c r="H152" s="412">
        <v>400</v>
      </c>
      <c r="I152" s="493">
        <f t="shared" si="653"/>
        <v>3.5450000000000204</v>
      </c>
      <c r="J152" s="493">
        <f t="shared" si="654"/>
        <v>1.6112025000000092</v>
      </c>
      <c r="K152" s="530">
        <v>0</v>
      </c>
      <c r="L152" s="531">
        <f t="shared" si="655"/>
        <v>1</v>
      </c>
      <c r="M152" s="531">
        <f t="shared" si="656"/>
        <v>1</v>
      </c>
      <c r="N152" s="531">
        <f t="shared" si="657"/>
        <v>0</v>
      </c>
      <c r="O152" s="531">
        <f t="shared" si="658"/>
        <v>9.09</v>
      </c>
      <c r="P152" s="532" t="s">
        <v>2392</v>
      </c>
      <c r="Q152" s="539" t="s">
        <v>2975</v>
      </c>
      <c r="R152" s="534">
        <v>1</v>
      </c>
      <c r="S152" s="532">
        <v>5</v>
      </c>
      <c r="T152" s="532">
        <v>5</v>
      </c>
      <c r="U152" s="531">
        <f t="shared" si="659"/>
        <v>0.05</v>
      </c>
      <c r="V152" s="535">
        <f t="shared" si="660"/>
        <v>0</v>
      </c>
      <c r="W152" s="535">
        <f t="shared" si="661"/>
        <v>35.860050000000186</v>
      </c>
      <c r="X152" s="536">
        <f t="shared" si="662"/>
        <v>0</v>
      </c>
      <c r="Y152" s="536">
        <f t="shared" si="663"/>
        <v>3.9450000000000203</v>
      </c>
      <c r="Z152" s="536">
        <f t="shared" si="664"/>
        <v>0</v>
      </c>
      <c r="AA152" s="536">
        <f t="shared" si="665"/>
        <v>3.5450000000000204</v>
      </c>
      <c r="AB152" s="496">
        <f t="shared" si="666"/>
        <v>9.09</v>
      </c>
      <c r="AC152" s="251">
        <f t="shared" si="667"/>
        <v>13.635</v>
      </c>
      <c r="AD152" s="251">
        <f t="shared" si="668"/>
        <v>13.635</v>
      </c>
      <c r="AE152" s="251">
        <f t="shared" si="669"/>
        <v>8.5900500000001845</v>
      </c>
      <c r="AF152" s="251">
        <f t="shared" si="670"/>
        <v>0</v>
      </c>
      <c r="AG152" s="251">
        <f t="shared" si="671"/>
        <v>0</v>
      </c>
      <c r="AH152" s="251">
        <f t="shared" si="672"/>
        <v>0</v>
      </c>
      <c r="AI152" s="497" t="str">
        <f t="shared" si="673"/>
        <v>NÃO</v>
      </c>
      <c r="AJ152" s="531">
        <f t="shared" si="674"/>
        <v>0</v>
      </c>
      <c r="AK152" s="531">
        <f t="shared" si="675"/>
        <v>0</v>
      </c>
      <c r="AL152" s="531">
        <f t="shared" si="676"/>
        <v>34.717766911154932</v>
      </c>
      <c r="AM152" s="493">
        <f t="shared" si="677"/>
        <v>0.45450000000000002</v>
      </c>
      <c r="AN152" s="535">
        <f t="shared" si="678"/>
        <v>0</v>
      </c>
      <c r="AO152" s="531">
        <f t="shared" si="679"/>
        <v>3.6360000000000001</v>
      </c>
      <c r="AP152" s="531">
        <f t="shared" si="680"/>
        <v>3.6360000000000001</v>
      </c>
      <c r="AQ152" s="531">
        <f t="shared" si="681"/>
        <v>0.7</v>
      </c>
      <c r="AR152" s="531">
        <f t="shared" si="682"/>
        <v>5.2207169111547511</v>
      </c>
      <c r="AS152" s="531">
        <f t="shared" si="683"/>
        <v>5.2207169111547511</v>
      </c>
      <c r="AT152" s="531">
        <f t="shared" si="684"/>
        <v>1.3634999999999999</v>
      </c>
      <c r="AU152" s="531">
        <f t="shared" si="685"/>
        <v>1.3634999999999999</v>
      </c>
      <c r="AV152" s="531">
        <f t="shared" si="686"/>
        <v>0.2727</v>
      </c>
      <c r="AW152" s="531">
        <f t="shared" si="687"/>
        <v>22.679550000000184</v>
      </c>
      <c r="AX152" s="531">
        <f t="shared" si="688"/>
        <v>-10.220216911154751</v>
      </c>
      <c r="AY152" s="531">
        <f t="shared" si="689"/>
        <v>-10.220216911154751</v>
      </c>
      <c r="AZ152" s="531">
        <f t="shared" si="690"/>
        <v>32.899766911154934</v>
      </c>
      <c r="BA152" s="531">
        <f t="shared" si="691"/>
        <v>6.6434666363732413</v>
      </c>
      <c r="BB152" s="531">
        <f t="shared" si="692"/>
        <v>26.256300274781694</v>
      </c>
      <c r="BC152" s="531"/>
      <c r="BD152" s="531">
        <f t="shared" si="693"/>
        <v>0.19998000000000002</v>
      </c>
      <c r="BE152" s="496">
        <f t="shared" si="694"/>
        <v>3.5450000000000204</v>
      </c>
      <c r="BF152" s="498">
        <f t="shared" si="695"/>
        <v>0</v>
      </c>
      <c r="BG152" s="498">
        <f t="shared" si="696"/>
        <v>0</v>
      </c>
      <c r="BH152" s="532" t="str">
        <f>VLOOKUP(A152,'BOCA DE LOBO'!C:I,7,0)</f>
        <v>BOCA DE LOBO PROJETADA DUPLA</v>
      </c>
      <c r="BI152" s="531">
        <f t="shared" si="697"/>
        <v>0</v>
      </c>
      <c r="BJ152" s="531">
        <f t="shared" si="698"/>
        <v>0</v>
      </c>
      <c r="BK152" s="531">
        <f t="shared" si="699"/>
        <v>0</v>
      </c>
      <c r="BL152" s="531">
        <f t="shared" si="700"/>
        <v>0</v>
      </c>
      <c r="BM152" s="531">
        <f t="shared" si="701"/>
        <v>0</v>
      </c>
      <c r="BN152" s="531">
        <f t="shared" si="702"/>
        <v>1</v>
      </c>
      <c r="BO152" s="499">
        <f t="shared" si="703"/>
        <v>0</v>
      </c>
      <c r="BP152" s="500"/>
      <c r="BQ152" s="496">
        <f t="shared" si="704"/>
        <v>27.27</v>
      </c>
      <c r="BR152" s="496">
        <f t="shared" si="705"/>
        <v>27.27</v>
      </c>
      <c r="BS152" s="496">
        <f t="shared" si="706"/>
        <v>18.99810000000037</v>
      </c>
      <c r="BT152" s="501"/>
      <c r="BU152" s="501"/>
      <c r="BV152" s="502">
        <f t="shared" si="707"/>
        <v>23.347799999999996</v>
      </c>
      <c r="BW152" s="502">
        <f t="shared" si="708"/>
        <v>7.7825999999999986</v>
      </c>
      <c r="BX152" s="502">
        <f t="shared" si="709"/>
        <v>3.0325999999999995</v>
      </c>
      <c r="BY152" s="502">
        <f t="shared" si="710"/>
        <v>2.5</v>
      </c>
      <c r="BZ152" s="502">
        <f t="shared" si="711"/>
        <v>0</v>
      </c>
      <c r="CA152" s="502">
        <f t="shared" si="712"/>
        <v>2.9</v>
      </c>
      <c r="CB152" s="502">
        <f t="shared" si="713"/>
        <v>0</v>
      </c>
      <c r="CC152" s="502">
        <f t="shared" si="714"/>
        <v>0</v>
      </c>
      <c r="CD152" s="502">
        <f t="shared" si="715"/>
        <v>0</v>
      </c>
      <c r="CE152" s="502">
        <f t="shared" si="716"/>
        <v>11.673899999999998</v>
      </c>
      <c r="CF152" s="502">
        <f t="shared" si="717"/>
        <v>10.895639999999997</v>
      </c>
      <c r="CG152" s="502">
        <f t="shared" si="718"/>
        <v>0.77825999999999951</v>
      </c>
      <c r="CH152" s="502">
        <f t="shared" si="719"/>
        <v>0</v>
      </c>
      <c r="CI152" s="531">
        <f t="shared" si="720"/>
        <v>0.53549999999999998</v>
      </c>
      <c r="CJ152" s="502">
        <f t="shared" si="721"/>
        <v>13.239499999999996</v>
      </c>
      <c r="CK152" s="502">
        <f t="shared" si="722"/>
        <v>13.239499999999996</v>
      </c>
      <c r="CL152" s="502">
        <f t="shared" si="723"/>
        <v>0</v>
      </c>
      <c r="CM152" s="502">
        <f t="shared" si="724"/>
        <v>0.15565199999999998</v>
      </c>
      <c r="CN152" s="502">
        <f t="shared" si="725"/>
        <v>3.57</v>
      </c>
      <c r="CO152" s="502">
        <f t="shared" si="726"/>
        <v>3</v>
      </c>
      <c r="CP152" s="502">
        <f t="shared" si="727"/>
        <v>10.709999999999999</v>
      </c>
      <c r="CQ152" s="502">
        <f t="shared" si="728"/>
        <v>10.709999999999999</v>
      </c>
      <c r="CR152" s="220">
        <f t="shared" si="729"/>
        <v>0</v>
      </c>
      <c r="CS152" s="503">
        <f t="shared" si="730"/>
        <v>0</v>
      </c>
      <c r="CT152" s="503">
        <f t="shared" si="731"/>
        <v>0.33012999999999998</v>
      </c>
      <c r="CU152" s="504">
        <f t="shared" si="732"/>
        <v>13</v>
      </c>
      <c r="CV152" s="504">
        <f t="shared" si="733"/>
        <v>1.43895</v>
      </c>
      <c r="CW152" s="502">
        <f t="shared" si="734"/>
        <v>23.248199999999997</v>
      </c>
      <c r="CX152" s="531">
        <f t="shared" si="735"/>
        <v>3.57</v>
      </c>
      <c r="CY152" s="537">
        <f t="shared" si="736"/>
        <v>1.7849999999999999</v>
      </c>
      <c r="CZ152" s="502">
        <f t="shared" si="737"/>
        <v>2.4513847475961154E-2</v>
      </c>
    </row>
    <row r="153" spans="1:104" ht="25" x14ac:dyDescent="0.25">
      <c r="A153" s="413" t="str">
        <f>'BOCA DE LOBO'!C147</f>
        <v>BL62-&gt;PV6-102</v>
      </c>
      <c r="B153" s="413" t="str">
        <f>'BOCA DE LOBO'!A147</f>
        <v>PV6-102</v>
      </c>
      <c r="C153" s="413" t="str">
        <f>VLOOKUP(A153,'BOCA DE LOBO'!$C$82:$Q$270,3,0)</f>
        <v>EXISTENTE</v>
      </c>
      <c r="D153" s="413" t="str">
        <f>VLOOKUP(A153,'BOCA DE LOBO'!$C$82:$Q$270,10,0)</f>
        <v>PROJETADA</v>
      </c>
      <c r="E153" s="413">
        <f t="shared" si="652"/>
        <v>2.5</v>
      </c>
      <c r="F153" s="413">
        <f>VLOOKUP(A153,'BOCA DE LOBO'!$C$82:$Q$270,2,0)</f>
        <v>4.3300000000000409</v>
      </c>
      <c r="G153" s="413">
        <f>VLOOKUP(A153,'BOCA DE LOBO'!$C$82:$Q$270,4,0)</f>
        <v>7.78</v>
      </c>
      <c r="H153" s="412">
        <v>400</v>
      </c>
      <c r="I153" s="493">
        <f t="shared" si="653"/>
        <v>3.5450000000000204</v>
      </c>
      <c r="J153" s="493">
        <f t="shared" si="654"/>
        <v>1.3790050000000078</v>
      </c>
      <c r="K153" s="530">
        <v>0</v>
      </c>
      <c r="L153" s="531">
        <f t="shared" si="655"/>
        <v>1</v>
      </c>
      <c r="M153" s="531">
        <f t="shared" si="656"/>
        <v>1</v>
      </c>
      <c r="N153" s="531">
        <f t="shared" si="657"/>
        <v>0</v>
      </c>
      <c r="O153" s="531">
        <f t="shared" si="658"/>
        <v>7.78</v>
      </c>
      <c r="P153" s="532" t="s">
        <v>2392</v>
      </c>
      <c r="Q153" s="539" t="s">
        <v>2975</v>
      </c>
      <c r="R153" s="534">
        <v>1</v>
      </c>
      <c r="S153" s="532">
        <v>5</v>
      </c>
      <c r="T153" s="532">
        <v>5</v>
      </c>
      <c r="U153" s="531">
        <f t="shared" si="659"/>
        <v>0.05</v>
      </c>
      <c r="V153" s="535">
        <f t="shared" si="660"/>
        <v>0</v>
      </c>
      <c r="W153" s="535">
        <f t="shared" si="661"/>
        <v>30.69210000000016</v>
      </c>
      <c r="X153" s="536">
        <f t="shared" si="662"/>
        <v>0</v>
      </c>
      <c r="Y153" s="536">
        <f t="shared" si="663"/>
        <v>3.9450000000000203</v>
      </c>
      <c r="Z153" s="536">
        <f t="shared" si="664"/>
        <v>0</v>
      </c>
      <c r="AA153" s="536">
        <f t="shared" si="665"/>
        <v>3.5450000000000204</v>
      </c>
      <c r="AB153" s="496">
        <f t="shared" si="666"/>
        <v>7.78</v>
      </c>
      <c r="AC153" s="251">
        <f t="shared" si="667"/>
        <v>11.67</v>
      </c>
      <c r="AD153" s="251">
        <f t="shared" si="668"/>
        <v>11.67</v>
      </c>
      <c r="AE153" s="251">
        <f t="shared" si="669"/>
        <v>7.3521000000001582</v>
      </c>
      <c r="AF153" s="251">
        <f t="shared" si="670"/>
        <v>0</v>
      </c>
      <c r="AG153" s="251">
        <f t="shared" si="671"/>
        <v>0</v>
      </c>
      <c r="AH153" s="251">
        <f t="shared" si="672"/>
        <v>0</v>
      </c>
      <c r="AI153" s="497" t="str">
        <f t="shared" si="673"/>
        <v>NÃO</v>
      </c>
      <c r="AJ153" s="531">
        <f t="shared" si="674"/>
        <v>0</v>
      </c>
      <c r="AK153" s="531">
        <f t="shared" si="675"/>
        <v>0</v>
      </c>
      <c r="AL153" s="531">
        <f t="shared" si="676"/>
        <v>29.714436366203017</v>
      </c>
      <c r="AM153" s="493">
        <f t="shared" si="677"/>
        <v>0.38900000000000001</v>
      </c>
      <c r="AN153" s="535">
        <f t="shared" si="678"/>
        <v>0</v>
      </c>
      <c r="AO153" s="531">
        <f t="shared" si="679"/>
        <v>3.1120000000000001</v>
      </c>
      <c r="AP153" s="531">
        <f t="shared" si="680"/>
        <v>3.1120000000000001</v>
      </c>
      <c r="AQ153" s="531">
        <f t="shared" si="681"/>
        <v>0.7</v>
      </c>
      <c r="AR153" s="531">
        <f t="shared" si="682"/>
        <v>4.4683363662028563</v>
      </c>
      <c r="AS153" s="531">
        <f t="shared" si="683"/>
        <v>4.4683363662028563</v>
      </c>
      <c r="AT153" s="531">
        <f t="shared" si="684"/>
        <v>1.167</v>
      </c>
      <c r="AU153" s="531">
        <f t="shared" si="685"/>
        <v>1.167</v>
      </c>
      <c r="AV153" s="531">
        <f t="shared" si="686"/>
        <v>0.2334</v>
      </c>
      <c r="AW153" s="531">
        <f t="shared" si="687"/>
        <v>19.411100000000157</v>
      </c>
      <c r="AX153" s="531">
        <f t="shared" si="688"/>
        <v>-8.7473363662028554</v>
      </c>
      <c r="AY153" s="531">
        <f t="shared" si="689"/>
        <v>-8.7473363662028554</v>
      </c>
      <c r="AZ153" s="531">
        <f t="shared" si="690"/>
        <v>28.158436366203013</v>
      </c>
      <c r="BA153" s="531">
        <f t="shared" si="691"/>
        <v>5.6860473521434347</v>
      </c>
      <c r="BB153" s="531">
        <f t="shared" si="692"/>
        <v>22.47238901405958</v>
      </c>
      <c r="BC153" s="531"/>
      <c r="BD153" s="531">
        <f t="shared" si="693"/>
        <v>0.17116000000000001</v>
      </c>
      <c r="BE153" s="496">
        <f t="shared" si="694"/>
        <v>3.5450000000000204</v>
      </c>
      <c r="BF153" s="498">
        <f t="shared" si="695"/>
        <v>0</v>
      </c>
      <c r="BG153" s="498">
        <f t="shared" si="696"/>
        <v>0</v>
      </c>
      <c r="BH153" s="532" t="str">
        <f>VLOOKUP(A153,'BOCA DE LOBO'!C:I,7,0)</f>
        <v>BOCA DE LOBO PROJETADA DUPLA</v>
      </c>
      <c r="BI153" s="531">
        <f t="shared" si="697"/>
        <v>0</v>
      </c>
      <c r="BJ153" s="531">
        <f t="shared" si="698"/>
        <v>0</v>
      </c>
      <c r="BK153" s="531">
        <f t="shared" si="699"/>
        <v>0</v>
      </c>
      <c r="BL153" s="531">
        <f t="shared" si="700"/>
        <v>0</v>
      </c>
      <c r="BM153" s="531">
        <f t="shared" si="701"/>
        <v>0</v>
      </c>
      <c r="BN153" s="531">
        <f t="shared" si="702"/>
        <v>1</v>
      </c>
      <c r="BO153" s="499">
        <f t="shared" si="703"/>
        <v>0</v>
      </c>
      <c r="BP153" s="500"/>
      <c r="BQ153" s="496">
        <f t="shared" si="704"/>
        <v>23.34</v>
      </c>
      <c r="BR153" s="496">
        <f t="shared" si="705"/>
        <v>23.34</v>
      </c>
      <c r="BS153" s="496">
        <f t="shared" si="706"/>
        <v>16.260200000000317</v>
      </c>
      <c r="BT153" s="501"/>
      <c r="BU153" s="501"/>
      <c r="BV153" s="502">
        <f t="shared" si="707"/>
        <v>23.347799999999996</v>
      </c>
      <c r="BW153" s="502">
        <f t="shared" si="708"/>
        <v>7.7825999999999986</v>
      </c>
      <c r="BX153" s="502">
        <f t="shared" si="709"/>
        <v>3.0325999999999995</v>
      </c>
      <c r="BY153" s="502">
        <f t="shared" si="710"/>
        <v>2.5</v>
      </c>
      <c r="BZ153" s="502">
        <f t="shared" si="711"/>
        <v>0</v>
      </c>
      <c r="CA153" s="502">
        <f t="shared" si="712"/>
        <v>2.9</v>
      </c>
      <c r="CB153" s="502">
        <f t="shared" si="713"/>
        <v>0</v>
      </c>
      <c r="CC153" s="502">
        <f t="shared" si="714"/>
        <v>0</v>
      </c>
      <c r="CD153" s="502">
        <f t="shared" si="715"/>
        <v>0</v>
      </c>
      <c r="CE153" s="502">
        <f t="shared" si="716"/>
        <v>11.673899999999998</v>
      </c>
      <c r="CF153" s="502">
        <f t="shared" si="717"/>
        <v>10.895639999999997</v>
      </c>
      <c r="CG153" s="502">
        <f t="shared" si="718"/>
        <v>0.77825999999999951</v>
      </c>
      <c r="CH153" s="502">
        <f t="shared" si="719"/>
        <v>0</v>
      </c>
      <c r="CI153" s="531">
        <f t="shared" si="720"/>
        <v>0.53549999999999998</v>
      </c>
      <c r="CJ153" s="502">
        <f t="shared" si="721"/>
        <v>13.239499999999996</v>
      </c>
      <c r="CK153" s="502">
        <f t="shared" si="722"/>
        <v>13.239499999999996</v>
      </c>
      <c r="CL153" s="502">
        <f t="shared" si="723"/>
        <v>0</v>
      </c>
      <c r="CM153" s="502">
        <f t="shared" si="724"/>
        <v>0.15565199999999998</v>
      </c>
      <c r="CN153" s="502">
        <f t="shared" si="725"/>
        <v>3.57</v>
      </c>
      <c r="CO153" s="502">
        <f t="shared" si="726"/>
        <v>3</v>
      </c>
      <c r="CP153" s="502">
        <f t="shared" si="727"/>
        <v>10.709999999999999</v>
      </c>
      <c r="CQ153" s="502">
        <f t="shared" si="728"/>
        <v>10.709999999999999</v>
      </c>
      <c r="CR153" s="220">
        <f t="shared" si="729"/>
        <v>0</v>
      </c>
      <c r="CS153" s="503">
        <f t="shared" si="730"/>
        <v>0</v>
      </c>
      <c r="CT153" s="503">
        <f t="shared" si="731"/>
        <v>0.33012999999999998</v>
      </c>
      <c r="CU153" s="504">
        <f t="shared" si="732"/>
        <v>13</v>
      </c>
      <c r="CV153" s="504">
        <f t="shared" si="733"/>
        <v>1.43895</v>
      </c>
      <c r="CW153" s="502">
        <f t="shared" si="734"/>
        <v>23.248199999999997</v>
      </c>
      <c r="CX153" s="531">
        <f t="shared" si="735"/>
        <v>3.57</v>
      </c>
      <c r="CY153" s="537">
        <f t="shared" si="736"/>
        <v>1.7849999999999999</v>
      </c>
      <c r="CZ153" s="502">
        <f t="shared" si="737"/>
        <v>2.4513847475961154E-2</v>
      </c>
    </row>
    <row r="154" spans="1:104" ht="25" x14ac:dyDescent="0.25">
      <c r="A154" s="413" t="str">
        <f>'BOCA DE LOBO'!C148</f>
        <v>BL63-&gt;PV7-102</v>
      </c>
      <c r="B154" s="413" t="str">
        <f>'BOCA DE LOBO'!A148</f>
        <v>PV7-102</v>
      </c>
      <c r="C154" s="413" t="str">
        <f>VLOOKUP(A154,'BOCA DE LOBO'!$C$82:$Q$270,3,0)</f>
        <v>EXISTENTE</v>
      </c>
      <c r="D154" s="413" t="str">
        <f>VLOOKUP(A154,'BOCA DE LOBO'!$C$82:$Q$270,10,0)</f>
        <v>PROJETADA</v>
      </c>
      <c r="E154" s="413">
        <f t="shared" si="652"/>
        <v>2.5</v>
      </c>
      <c r="F154" s="413">
        <f>VLOOKUP(A154,'BOCA DE LOBO'!$C$82:$Q$270,2,0)</f>
        <v>4.7400000000000091</v>
      </c>
      <c r="G154" s="413">
        <f>VLOOKUP(A154,'BOCA DE LOBO'!$C$82:$Q$270,4,0)</f>
        <v>9.0500000000000007</v>
      </c>
      <c r="H154" s="412">
        <v>400</v>
      </c>
      <c r="I154" s="493">
        <f t="shared" si="653"/>
        <v>3.7500000000000044</v>
      </c>
      <c r="J154" s="493">
        <f t="shared" si="654"/>
        <v>1.6968750000000021</v>
      </c>
      <c r="K154" s="530">
        <v>0</v>
      </c>
      <c r="L154" s="531">
        <f t="shared" si="655"/>
        <v>1</v>
      </c>
      <c r="M154" s="531">
        <f t="shared" si="656"/>
        <v>1</v>
      </c>
      <c r="N154" s="531">
        <f t="shared" si="657"/>
        <v>0</v>
      </c>
      <c r="O154" s="531">
        <f t="shared" si="658"/>
        <v>9.0500000000000007</v>
      </c>
      <c r="P154" s="532" t="s">
        <v>2392</v>
      </c>
      <c r="Q154" s="539" t="s">
        <v>2975</v>
      </c>
      <c r="R154" s="534">
        <v>1</v>
      </c>
      <c r="S154" s="532">
        <v>5</v>
      </c>
      <c r="T154" s="532">
        <v>5</v>
      </c>
      <c r="U154" s="531">
        <f t="shared" si="659"/>
        <v>0.05</v>
      </c>
      <c r="V154" s="535">
        <f t="shared" si="660"/>
        <v>0</v>
      </c>
      <c r="W154" s="535">
        <f t="shared" si="661"/>
        <v>37.55750000000004</v>
      </c>
      <c r="X154" s="536">
        <f t="shared" si="662"/>
        <v>0</v>
      </c>
      <c r="Y154" s="536">
        <f t="shared" si="663"/>
        <v>4.1500000000000048</v>
      </c>
      <c r="Z154" s="536">
        <f t="shared" si="664"/>
        <v>0</v>
      </c>
      <c r="AA154" s="536">
        <f t="shared" si="665"/>
        <v>3.7500000000000044</v>
      </c>
      <c r="AB154" s="496">
        <f t="shared" si="666"/>
        <v>9.0500000000000007</v>
      </c>
      <c r="AC154" s="251">
        <f t="shared" si="667"/>
        <v>13.575000000000001</v>
      </c>
      <c r="AD154" s="251">
        <f t="shared" si="668"/>
        <v>13.575000000000001</v>
      </c>
      <c r="AE154" s="251">
        <f t="shared" si="669"/>
        <v>10.407500000000045</v>
      </c>
      <c r="AF154" s="251">
        <f t="shared" si="670"/>
        <v>0</v>
      </c>
      <c r="AG154" s="251">
        <f t="shared" si="671"/>
        <v>0</v>
      </c>
      <c r="AH154" s="251">
        <f t="shared" si="672"/>
        <v>0</v>
      </c>
      <c r="AI154" s="497" t="str">
        <f t="shared" si="673"/>
        <v>NÃO</v>
      </c>
      <c r="AJ154" s="531">
        <f t="shared" si="674"/>
        <v>0</v>
      </c>
      <c r="AK154" s="531">
        <f t="shared" si="675"/>
        <v>0</v>
      </c>
      <c r="AL154" s="531">
        <f t="shared" si="676"/>
        <v>36.420243459400538</v>
      </c>
      <c r="AM154" s="493">
        <f t="shared" si="677"/>
        <v>0.45250000000000007</v>
      </c>
      <c r="AN154" s="535">
        <f t="shared" si="678"/>
        <v>0</v>
      </c>
      <c r="AO154" s="531">
        <f t="shared" si="679"/>
        <v>3.6200000000000006</v>
      </c>
      <c r="AP154" s="531">
        <f t="shared" si="680"/>
        <v>3.6200000000000006</v>
      </c>
      <c r="AQ154" s="531">
        <f t="shared" si="681"/>
        <v>0.7</v>
      </c>
      <c r="AR154" s="531">
        <f t="shared" si="682"/>
        <v>5.1977434594004945</v>
      </c>
      <c r="AS154" s="531">
        <f t="shared" si="683"/>
        <v>5.1977434594004945</v>
      </c>
      <c r="AT154" s="531">
        <f t="shared" si="684"/>
        <v>1.3575000000000002</v>
      </c>
      <c r="AU154" s="531">
        <f t="shared" si="685"/>
        <v>1.3575000000000002</v>
      </c>
      <c r="AV154" s="531">
        <f t="shared" si="686"/>
        <v>0.27150000000000002</v>
      </c>
      <c r="AW154" s="531">
        <f t="shared" si="687"/>
        <v>24.435000000000041</v>
      </c>
      <c r="AX154" s="531">
        <f t="shared" si="688"/>
        <v>-10.175243459400495</v>
      </c>
      <c r="AY154" s="531">
        <f t="shared" si="689"/>
        <v>-10.175243459400495</v>
      </c>
      <c r="AZ154" s="531">
        <f t="shared" si="690"/>
        <v>34.610243459400536</v>
      </c>
      <c r="BA154" s="531">
        <f t="shared" si="691"/>
        <v>6.9888640342105992</v>
      </c>
      <c r="BB154" s="531">
        <f t="shared" si="692"/>
        <v>27.621379425189936</v>
      </c>
      <c r="BC154" s="531"/>
      <c r="BD154" s="531">
        <f t="shared" si="693"/>
        <v>0.19910000000000005</v>
      </c>
      <c r="BE154" s="496">
        <f t="shared" si="694"/>
        <v>3.7500000000000044</v>
      </c>
      <c r="BF154" s="498">
        <f t="shared" si="695"/>
        <v>0</v>
      </c>
      <c r="BG154" s="498">
        <f t="shared" si="696"/>
        <v>0</v>
      </c>
      <c r="BH154" s="532" t="str">
        <f>VLOOKUP(A154,'BOCA DE LOBO'!C:I,7,0)</f>
        <v>BOCA DE LOBO PROJETADA DUPLA</v>
      </c>
      <c r="BI154" s="531">
        <f t="shared" si="697"/>
        <v>0</v>
      </c>
      <c r="BJ154" s="531">
        <f t="shared" si="698"/>
        <v>0</v>
      </c>
      <c r="BK154" s="531">
        <f t="shared" si="699"/>
        <v>0</v>
      </c>
      <c r="BL154" s="531">
        <f t="shared" si="700"/>
        <v>0</v>
      </c>
      <c r="BM154" s="531">
        <f t="shared" si="701"/>
        <v>0</v>
      </c>
      <c r="BN154" s="531">
        <f t="shared" si="702"/>
        <v>1</v>
      </c>
      <c r="BO154" s="499">
        <f t="shared" si="703"/>
        <v>0</v>
      </c>
      <c r="BP154" s="500"/>
      <c r="BQ154" s="496">
        <f t="shared" si="704"/>
        <v>27.150000000000002</v>
      </c>
      <c r="BR154" s="496">
        <f t="shared" si="705"/>
        <v>27.150000000000002</v>
      </c>
      <c r="BS154" s="496">
        <f t="shared" si="706"/>
        <v>22.625000000000082</v>
      </c>
      <c r="BT154" s="501"/>
      <c r="BU154" s="501"/>
      <c r="BV154" s="502">
        <f t="shared" si="707"/>
        <v>23.347799999999996</v>
      </c>
      <c r="BW154" s="502">
        <f t="shared" si="708"/>
        <v>7.7825999999999986</v>
      </c>
      <c r="BX154" s="502">
        <f t="shared" si="709"/>
        <v>3.0325999999999995</v>
      </c>
      <c r="BY154" s="502">
        <f t="shared" si="710"/>
        <v>2.5</v>
      </c>
      <c r="BZ154" s="502">
        <f t="shared" si="711"/>
        <v>0</v>
      </c>
      <c r="CA154" s="502">
        <f t="shared" si="712"/>
        <v>2.9</v>
      </c>
      <c r="CB154" s="502">
        <f t="shared" si="713"/>
        <v>0</v>
      </c>
      <c r="CC154" s="502">
        <f t="shared" si="714"/>
        <v>0</v>
      </c>
      <c r="CD154" s="502">
        <f t="shared" si="715"/>
        <v>0</v>
      </c>
      <c r="CE154" s="502">
        <f t="shared" si="716"/>
        <v>11.673899999999998</v>
      </c>
      <c r="CF154" s="502">
        <f t="shared" si="717"/>
        <v>10.895639999999997</v>
      </c>
      <c r="CG154" s="502">
        <f t="shared" si="718"/>
        <v>0.77825999999999951</v>
      </c>
      <c r="CH154" s="502">
        <f t="shared" si="719"/>
        <v>0</v>
      </c>
      <c r="CI154" s="531">
        <f t="shared" si="720"/>
        <v>0.53549999999999998</v>
      </c>
      <c r="CJ154" s="502">
        <f t="shared" si="721"/>
        <v>13.239499999999996</v>
      </c>
      <c r="CK154" s="502">
        <f t="shared" si="722"/>
        <v>13.239499999999996</v>
      </c>
      <c r="CL154" s="502">
        <f t="shared" si="723"/>
        <v>0</v>
      </c>
      <c r="CM154" s="502">
        <f t="shared" si="724"/>
        <v>0.15565199999999998</v>
      </c>
      <c r="CN154" s="502">
        <f t="shared" si="725"/>
        <v>3.57</v>
      </c>
      <c r="CO154" s="502">
        <f t="shared" si="726"/>
        <v>3</v>
      </c>
      <c r="CP154" s="502">
        <f t="shared" si="727"/>
        <v>10.709999999999999</v>
      </c>
      <c r="CQ154" s="502">
        <f t="shared" si="728"/>
        <v>10.709999999999999</v>
      </c>
      <c r="CR154" s="220">
        <f t="shared" si="729"/>
        <v>0</v>
      </c>
      <c r="CS154" s="503">
        <f t="shared" si="730"/>
        <v>0</v>
      </c>
      <c r="CT154" s="503">
        <f t="shared" si="731"/>
        <v>0.33012999999999998</v>
      </c>
      <c r="CU154" s="504">
        <f t="shared" si="732"/>
        <v>13</v>
      </c>
      <c r="CV154" s="504">
        <f t="shared" si="733"/>
        <v>1.43895</v>
      </c>
      <c r="CW154" s="502">
        <f t="shared" si="734"/>
        <v>23.248199999999997</v>
      </c>
      <c r="CX154" s="531">
        <f t="shared" si="735"/>
        <v>3.57</v>
      </c>
      <c r="CY154" s="537">
        <f t="shared" si="736"/>
        <v>1.7849999999999999</v>
      </c>
      <c r="CZ154" s="502">
        <f t="shared" si="737"/>
        <v>2.4513847475961154E-2</v>
      </c>
    </row>
    <row r="155" spans="1:104" ht="25" x14ac:dyDescent="0.25">
      <c r="A155" s="413" t="str">
        <f>'BOCA DE LOBO'!C149</f>
        <v>BL64-&gt;PV7-102</v>
      </c>
      <c r="B155" s="413" t="str">
        <f>'BOCA DE LOBO'!A149</f>
        <v>PV7-102</v>
      </c>
      <c r="C155" s="413" t="str">
        <f>VLOOKUP(A155,'BOCA DE LOBO'!$C$82:$Q$270,3,0)</f>
        <v>EXISTENTE</v>
      </c>
      <c r="D155" s="413" t="str">
        <f>VLOOKUP(A155,'BOCA DE LOBO'!$C$82:$Q$270,10,0)</f>
        <v>PROJETADA</v>
      </c>
      <c r="E155" s="413">
        <f t="shared" si="652"/>
        <v>2.5</v>
      </c>
      <c r="F155" s="413">
        <f>VLOOKUP(A155,'BOCA DE LOBO'!$C$82:$Q$270,2,0)</f>
        <v>4.7400000000000091</v>
      </c>
      <c r="G155" s="413">
        <f>VLOOKUP(A155,'BOCA DE LOBO'!$C$82:$Q$270,4,0)</f>
        <v>7.59</v>
      </c>
      <c r="H155" s="412">
        <v>400</v>
      </c>
      <c r="I155" s="493">
        <f t="shared" si="653"/>
        <v>3.7500000000000044</v>
      </c>
      <c r="J155" s="493">
        <f t="shared" si="654"/>
        <v>1.4231250000000017</v>
      </c>
      <c r="K155" s="530">
        <v>0</v>
      </c>
      <c r="L155" s="531">
        <f t="shared" si="655"/>
        <v>1</v>
      </c>
      <c r="M155" s="531">
        <f t="shared" si="656"/>
        <v>1</v>
      </c>
      <c r="N155" s="531">
        <f t="shared" si="657"/>
        <v>0</v>
      </c>
      <c r="O155" s="531">
        <f t="shared" si="658"/>
        <v>7.59</v>
      </c>
      <c r="P155" s="532" t="s">
        <v>2392</v>
      </c>
      <c r="Q155" s="539" t="s">
        <v>2975</v>
      </c>
      <c r="R155" s="534">
        <v>1</v>
      </c>
      <c r="S155" s="532">
        <v>5</v>
      </c>
      <c r="T155" s="532">
        <v>5</v>
      </c>
      <c r="U155" s="531">
        <f t="shared" si="659"/>
        <v>0.05</v>
      </c>
      <c r="V155" s="535">
        <f t="shared" si="660"/>
        <v>0</v>
      </c>
      <c r="W155" s="535">
        <f t="shared" si="661"/>
        <v>31.498500000000035</v>
      </c>
      <c r="X155" s="536">
        <f t="shared" si="662"/>
        <v>0</v>
      </c>
      <c r="Y155" s="536">
        <f t="shared" si="663"/>
        <v>4.1500000000000048</v>
      </c>
      <c r="Z155" s="536">
        <f t="shared" si="664"/>
        <v>0</v>
      </c>
      <c r="AA155" s="536">
        <f t="shared" si="665"/>
        <v>3.7500000000000044</v>
      </c>
      <c r="AB155" s="496">
        <f t="shared" si="666"/>
        <v>7.59</v>
      </c>
      <c r="AC155" s="251">
        <f t="shared" si="667"/>
        <v>11.385</v>
      </c>
      <c r="AD155" s="251">
        <f t="shared" si="668"/>
        <v>11.385</v>
      </c>
      <c r="AE155" s="251">
        <f t="shared" si="669"/>
        <v>8.7285000000000359</v>
      </c>
      <c r="AF155" s="251">
        <f t="shared" si="670"/>
        <v>0</v>
      </c>
      <c r="AG155" s="251">
        <f t="shared" si="671"/>
        <v>0</v>
      </c>
      <c r="AH155" s="251">
        <f t="shared" si="672"/>
        <v>0</v>
      </c>
      <c r="AI155" s="497" t="str">
        <f t="shared" si="673"/>
        <v>NÃO</v>
      </c>
      <c r="AJ155" s="531">
        <f t="shared" si="674"/>
        <v>0</v>
      </c>
      <c r="AK155" s="531">
        <f t="shared" si="675"/>
        <v>0</v>
      </c>
      <c r="AL155" s="531">
        <f t="shared" si="676"/>
        <v>30.544712470370175</v>
      </c>
      <c r="AM155" s="493">
        <f t="shared" si="677"/>
        <v>0.3795</v>
      </c>
      <c r="AN155" s="535">
        <f t="shared" si="678"/>
        <v>0</v>
      </c>
      <c r="AO155" s="531">
        <f t="shared" si="679"/>
        <v>3.036</v>
      </c>
      <c r="AP155" s="531">
        <f t="shared" si="680"/>
        <v>3.036</v>
      </c>
      <c r="AQ155" s="531">
        <f t="shared" si="681"/>
        <v>0.7</v>
      </c>
      <c r="AR155" s="531">
        <f t="shared" si="682"/>
        <v>4.3592124703701387</v>
      </c>
      <c r="AS155" s="531">
        <f t="shared" si="683"/>
        <v>4.3592124703701387</v>
      </c>
      <c r="AT155" s="531">
        <f t="shared" si="684"/>
        <v>1.1384999999999998</v>
      </c>
      <c r="AU155" s="531">
        <f t="shared" si="685"/>
        <v>1.1384999999999998</v>
      </c>
      <c r="AV155" s="531">
        <f t="shared" si="686"/>
        <v>0.22769999999999999</v>
      </c>
      <c r="AW155" s="531">
        <f t="shared" si="687"/>
        <v>20.493000000000034</v>
      </c>
      <c r="AX155" s="531">
        <f t="shared" si="688"/>
        <v>-8.5337124703701388</v>
      </c>
      <c r="AY155" s="531">
        <f t="shared" si="689"/>
        <v>-8.5337124703701388</v>
      </c>
      <c r="AZ155" s="531">
        <f t="shared" si="690"/>
        <v>29.026712470370171</v>
      </c>
      <c r="BA155" s="531">
        <f t="shared" si="691"/>
        <v>5.8613787867025904</v>
      </c>
      <c r="BB155" s="531">
        <f t="shared" si="692"/>
        <v>23.16533368366758</v>
      </c>
      <c r="BC155" s="531"/>
      <c r="BD155" s="531">
        <f t="shared" si="693"/>
        <v>0.16698000000000002</v>
      </c>
      <c r="BE155" s="496">
        <f t="shared" si="694"/>
        <v>3.7500000000000044</v>
      </c>
      <c r="BF155" s="498">
        <f t="shared" si="695"/>
        <v>0</v>
      </c>
      <c r="BG155" s="498">
        <f t="shared" si="696"/>
        <v>0</v>
      </c>
      <c r="BH155" s="532" t="str">
        <f>VLOOKUP(A155,'BOCA DE LOBO'!C:I,7,0)</f>
        <v>BOCA DE LOBO PROJETADA DUPLA</v>
      </c>
      <c r="BI155" s="531">
        <f t="shared" si="697"/>
        <v>0</v>
      </c>
      <c r="BJ155" s="531">
        <f t="shared" si="698"/>
        <v>0</v>
      </c>
      <c r="BK155" s="531">
        <f t="shared" si="699"/>
        <v>0</v>
      </c>
      <c r="BL155" s="531">
        <f t="shared" si="700"/>
        <v>0</v>
      </c>
      <c r="BM155" s="531">
        <f t="shared" si="701"/>
        <v>0</v>
      </c>
      <c r="BN155" s="531">
        <f t="shared" si="702"/>
        <v>1</v>
      </c>
      <c r="BO155" s="499">
        <f t="shared" si="703"/>
        <v>0</v>
      </c>
      <c r="BP155" s="500"/>
      <c r="BQ155" s="496">
        <f t="shared" si="704"/>
        <v>22.77</v>
      </c>
      <c r="BR155" s="496">
        <f t="shared" si="705"/>
        <v>22.77</v>
      </c>
      <c r="BS155" s="496">
        <f t="shared" si="706"/>
        <v>18.975000000000065</v>
      </c>
      <c r="BT155" s="501"/>
      <c r="BU155" s="501"/>
      <c r="BV155" s="502">
        <f t="shared" si="707"/>
        <v>23.347799999999996</v>
      </c>
      <c r="BW155" s="502">
        <f t="shared" si="708"/>
        <v>7.7825999999999986</v>
      </c>
      <c r="BX155" s="502">
        <f t="shared" si="709"/>
        <v>3.0325999999999995</v>
      </c>
      <c r="BY155" s="502">
        <f t="shared" si="710"/>
        <v>2.5</v>
      </c>
      <c r="BZ155" s="502">
        <f t="shared" si="711"/>
        <v>0</v>
      </c>
      <c r="CA155" s="502">
        <f t="shared" si="712"/>
        <v>2.9</v>
      </c>
      <c r="CB155" s="502">
        <f t="shared" si="713"/>
        <v>0</v>
      </c>
      <c r="CC155" s="502">
        <f t="shared" si="714"/>
        <v>0</v>
      </c>
      <c r="CD155" s="502">
        <f t="shared" si="715"/>
        <v>0</v>
      </c>
      <c r="CE155" s="502">
        <f t="shared" si="716"/>
        <v>11.673899999999998</v>
      </c>
      <c r="CF155" s="502">
        <f t="shared" si="717"/>
        <v>10.895639999999997</v>
      </c>
      <c r="CG155" s="502">
        <f t="shared" si="718"/>
        <v>0.77825999999999951</v>
      </c>
      <c r="CH155" s="502">
        <f t="shared" si="719"/>
        <v>0</v>
      </c>
      <c r="CI155" s="531">
        <f t="shared" si="720"/>
        <v>0.53549999999999998</v>
      </c>
      <c r="CJ155" s="502">
        <f t="shared" si="721"/>
        <v>13.239499999999996</v>
      </c>
      <c r="CK155" s="502">
        <f t="shared" si="722"/>
        <v>13.239499999999996</v>
      </c>
      <c r="CL155" s="502">
        <f t="shared" si="723"/>
        <v>0</v>
      </c>
      <c r="CM155" s="502">
        <f t="shared" si="724"/>
        <v>0.15565199999999998</v>
      </c>
      <c r="CN155" s="502">
        <f t="shared" si="725"/>
        <v>3.57</v>
      </c>
      <c r="CO155" s="502">
        <f t="shared" si="726"/>
        <v>3</v>
      </c>
      <c r="CP155" s="502">
        <f t="shared" si="727"/>
        <v>10.709999999999999</v>
      </c>
      <c r="CQ155" s="502">
        <f t="shared" si="728"/>
        <v>10.709999999999999</v>
      </c>
      <c r="CR155" s="220">
        <f t="shared" si="729"/>
        <v>0</v>
      </c>
      <c r="CS155" s="503">
        <f t="shared" si="730"/>
        <v>0</v>
      </c>
      <c r="CT155" s="503">
        <f t="shared" si="731"/>
        <v>0.33012999999999998</v>
      </c>
      <c r="CU155" s="504">
        <f t="shared" si="732"/>
        <v>13</v>
      </c>
      <c r="CV155" s="504">
        <f t="shared" si="733"/>
        <v>1.43895</v>
      </c>
      <c r="CW155" s="502">
        <f t="shared" si="734"/>
        <v>23.248199999999997</v>
      </c>
      <c r="CX155" s="531">
        <f t="shared" si="735"/>
        <v>3.57</v>
      </c>
      <c r="CY155" s="537">
        <f t="shared" si="736"/>
        <v>1.7849999999999999</v>
      </c>
      <c r="CZ155" s="502">
        <f t="shared" si="737"/>
        <v>2.4513847475961154E-2</v>
      </c>
    </row>
    <row r="156" spans="1:104" ht="25" x14ac:dyDescent="0.25">
      <c r="A156" s="413" t="str">
        <f>'BOCA DE LOBO'!C150</f>
        <v>BL65-&gt;PV8-102</v>
      </c>
      <c r="B156" s="413" t="str">
        <f>'BOCA DE LOBO'!A150</f>
        <v>PV8-102</v>
      </c>
      <c r="C156" s="413" t="str">
        <f>VLOOKUP(A156,'BOCA DE LOBO'!$C$82:$Q$270,3,0)</f>
        <v>EXISTENTE</v>
      </c>
      <c r="D156" s="413" t="str">
        <f>VLOOKUP(A156,'BOCA DE LOBO'!$C$82:$Q$270,10,0)</f>
        <v>PROJETADA</v>
      </c>
      <c r="E156" s="413">
        <f t="shared" si="652"/>
        <v>2.5</v>
      </c>
      <c r="F156" s="413">
        <f>VLOOKUP(A156,'BOCA DE LOBO'!$C$82:$Q$270,2,0)</f>
        <v>4.5900000000000318</v>
      </c>
      <c r="G156" s="413">
        <f>VLOOKUP(A156,'BOCA DE LOBO'!$C$82:$Q$270,4,0)</f>
        <v>9.73</v>
      </c>
      <c r="H156" s="412">
        <v>400</v>
      </c>
      <c r="I156" s="493">
        <f t="shared" si="653"/>
        <v>3.6750000000000158</v>
      </c>
      <c r="J156" s="493">
        <f t="shared" si="654"/>
        <v>1.7878875000000078</v>
      </c>
      <c r="K156" s="530">
        <v>0</v>
      </c>
      <c r="L156" s="531">
        <f t="shared" si="655"/>
        <v>1</v>
      </c>
      <c r="M156" s="531">
        <f t="shared" si="656"/>
        <v>1</v>
      </c>
      <c r="N156" s="531">
        <f t="shared" si="657"/>
        <v>0</v>
      </c>
      <c r="O156" s="531">
        <f t="shared" si="658"/>
        <v>9.73</v>
      </c>
      <c r="P156" s="532" t="s">
        <v>2392</v>
      </c>
      <c r="Q156" s="539" t="s">
        <v>2969</v>
      </c>
      <c r="R156" s="534">
        <v>1</v>
      </c>
      <c r="S156" s="532">
        <v>5</v>
      </c>
      <c r="T156" s="532">
        <v>5</v>
      </c>
      <c r="U156" s="531">
        <f t="shared" si="659"/>
        <v>0.05</v>
      </c>
      <c r="V156" s="535">
        <f t="shared" si="660"/>
        <v>0</v>
      </c>
      <c r="W156" s="535">
        <f t="shared" si="661"/>
        <v>39.649750000000161</v>
      </c>
      <c r="X156" s="536">
        <f t="shared" si="662"/>
        <v>0</v>
      </c>
      <c r="Y156" s="536">
        <f t="shared" si="663"/>
        <v>4.0750000000000162</v>
      </c>
      <c r="Z156" s="536">
        <f t="shared" si="664"/>
        <v>0</v>
      </c>
      <c r="AA156" s="536">
        <f t="shared" si="665"/>
        <v>3.6750000000000158</v>
      </c>
      <c r="AB156" s="496">
        <f t="shared" si="666"/>
        <v>9.73</v>
      </c>
      <c r="AC156" s="251">
        <f t="shared" si="667"/>
        <v>14.595000000000001</v>
      </c>
      <c r="AD156" s="251">
        <f t="shared" si="668"/>
        <v>14.595000000000001</v>
      </c>
      <c r="AE156" s="251">
        <f t="shared" si="669"/>
        <v>10.459750000000158</v>
      </c>
      <c r="AF156" s="251">
        <f t="shared" si="670"/>
        <v>0</v>
      </c>
      <c r="AG156" s="251">
        <f t="shared" si="671"/>
        <v>0</v>
      </c>
      <c r="AH156" s="251">
        <f t="shared" si="672"/>
        <v>0</v>
      </c>
      <c r="AI156" s="497" t="str">
        <f t="shared" si="673"/>
        <v>NÃO</v>
      </c>
      <c r="AJ156" s="531">
        <f t="shared" si="674"/>
        <v>0</v>
      </c>
      <c r="AK156" s="531">
        <f t="shared" si="675"/>
        <v>0</v>
      </c>
      <c r="AL156" s="531">
        <f t="shared" si="676"/>
        <v>38.427042139223012</v>
      </c>
      <c r="AM156" s="493">
        <f t="shared" si="677"/>
        <v>0.48650000000000004</v>
      </c>
      <c r="AN156" s="535">
        <f t="shared" si="678"/>
        <v>0</v>
      </c>
      <c r="AO156" s="531">
        <f t="shared" si="679"/>
        <v>3.8920000000000003</v>
      </c>
      <c r="AP156" s="531">
        <f t="shared" si="680"/>
        <v>3.8920000000000003</v>
      </c>
      <c r="AQ156" s="531">
        <f t="shared" si="681"/>
        <v>0.7</v>
      </c>
      <c r="AR156" s="531">
        <f t="shared" si="682"/>
        <v>5.5882921392228528</v>
      </c>
      <c r="AS156" s="531">
        <f t="shared" si="683"/>
        <v>5.5882921392228528</v>
      </c>
      <c r="AT156" s="531">
        <f t="shared" si="684"/>
        <v>1.4595</v>
      </c>
      <c r="AU156" s="531">
        <f t="shared" si="685"/>
        <v>1.4595</v>
      </c>
      <c r="AV156" s="531">
        <f t="shared" si="686"/>
        <v>0.29189999999999999</v>
      </c>
      <c r="AW156" s="531">
        <f t="shared" si="687"/>
        <v>25.541250000000161</v>
      </c>
      <c r="AX156" s="531">
        <f t="shared" si="688"/>
        <v>-10.939792139222853</v>
      </c>
      <c r="AY156" s="531">
        <f t="shared" si="689"/>
        <v>-10.939792139222853</v>
      </c>
      <c r="AZ156" s="531">
        <f t="shared" si="690"/>
        <v>36.481042139223014</v>
      </c>
      <c r="BA156" s="531">
        <f t="shared" si="691"/>
        <v>7.366635361476682</v>
      </c>
      <c r="BB156" s="531">
        <f t="shared" si="692"/>
        <v>29.114406777746332</v>
      </c>
      <c r="BC156" s="531"/>
      <c r="BD156" s="531">
        <f t="shared" si="693"/>
        <v>0.21406000000000003</v>
      </c>
      <c r="BE156" s="496">
        <f t="shared" si="694"/>
        <v>3.6750000000000158</v>
      </c>
      <c r="BF156" s="498">
        <f t="shared" si="695"/>
        <v>0</v>
      </c>
      <c r="BG156" s="498">
        <f t="shared" si="696"/>
        <v>0</v>
      </c>
      <c r="BH156" s="532" t="str">
        <f>VLOOKUP(A156,'BOCA DE LOBO'!C:I,7,0)</f>
        <v>BOCA DE LOBO PROJETADA DUPLA</v>
      </c>
      <c r="BI156" s="531">
        <f t="shared" si="697"/>
        <v>0</v>
      </c>
      <c r="BJ156" s="531">
        <f t="shared" si="698"/>
        <v>0</v>
      </c>
      <c r="BK156" s="531">
        <f t="shared" si="699"/>
        <v>0</v>
      </c>
      <c r="BL156" s="531">
        <f t="shared" si="700"/>
        <v>0</v>
      </c>
      <c r="BM156" s="531">
        <f t="shared" si="701"/>
        <v>0</v>
      </c>
      <c r="BN156" s="531">
        <f t="shared" si="702"/>
        <v>1</v>
      </c>
      <c r="BO156" s="499">
        <f t="shared" si="703"/>
        <v>0</v>
      </c>
      <c r="BP156" s="500"/>
      <c r="BQ156" s="496">
        <f t="shared" si="704"/>
        <v>29.19</v>
      </c>
      <c r="BR156" s="496">
        <f t="shared" si="705"/>
        <v>29.19</v>
      </c>
      <c r="BS156" s="496">
        <f t="shared" si="706"/>
        <v>22.86550000000031</v>
      </c>
      <c r="BT156" s="501"/>
      <c r="BU156" s="501"/>
      <c r="BV156" s="502">
        <f t="shared" si="707"/>
        <v>23.347799999999996</v>
      </c>
      <c r="BW156" s="502">
        <f t="shared" si="708"/>
        <v>7.7825999999999986</v>
      </c>
      <c r="BX156" s="502">
        <f t="shared" si="709"/>
        <v>3.0325999999999995</v>
      </c>
      <c r="BY156" s="502">
        <f t="shared" si="710"/>
        <v>2.5</v>
      </c>
      <c r="BZ156" s="502">
        <f t="shared" si="711"/>
        <v>0</v>
      </c>
      <c r="CA156" s="502">
        <f t="shared" si="712"/>
        <v>2.9</v>
      </c>
      <c r="CB156" s="502">
        <f t="shared" si="713"/>
        <v>0</v>
      </c>
      <c r="CC156" s="502">
        <f t="shared" si="714"/>
        <v>0</v>
      </c>
      <c r="CD156" s="502">
        <f t="shared" si="715"/>
        <v>0</v>
      </c>
      <c r="CE156" s="502">
        <f t="shared" si="716"/>
        <v>11.673899999999998</v>
      </c>
      <c r="CF156" s="502">
        <f t="shared" si="717"/>
        <v>10.895639999999997</v>
      </c>
      <c r="CG156" s="502">
        <f t="shared" si="718"/>
        <v>0.77825999999999951</v>
      </c>
      <c r="CH156" s="502">
        <f t="shared" si="719"/>
        <v>0</v>
      </c>
      <c r="CI156" s="531">
        <f t="shared" si="720"/>
        <v>0.53549999999999998</v>
      </c>
      <c r="CJ156" s="502">
        <f t="shared" si="721"/>
        <v>13.239499999999996</v>
      </c>
      <c r="CK156" s="502">
        <f t="shared" si="722"/>
        <v>13.239499999999996</v>
      </c>
      <c r="CL156" s="502">
        <f t="shared" si="723"/>
        <v>0</v>
      </c>
      <c r="CM156" s="502">
        <f t="shared" si="724"/>
        <v>0.15565199999999998</v>
      </c>
      <c r="CN156" s="502">
        <f t="shared" si="725"/>
        <v>3.57</v>
      </c>
      <c r="CO156" s="502">
        <f t="shared" si="726"/>
        <v>3</v>
      </c>
      <c r="CP156" s="502">
        <f t="shared" si="727"/>
        <v>10.709999999999999</v>
      </c>
      <c r="CQ156" s="502">
        <f t="shared" si="728"/>
        <v>10.709999999999999</v>
      </c>
      <c r="CR156" s="220">
        <f t="shared" si="729"/>
        <v>0</v>
      </c>
      <c r="CS156" s="503">
        <f t="shared" si="730"/>
        <v>0</v>
      </c>
      <c r="CT156" s="503">
        <f t="shared" si="731"/>
        <v>0.33012999999999998</v>
      </c>
      <c r="CU156" s="504">
        <f t="shared" si="732"/>
        <v>13</v>
      </c>
      <c r="CV156" s="504">
        <f t="shared" si="733"/>
        <v>1.43895</v>
      </c>
      <c r="CW156" s="502">
        <f t="shared" si="734"/>
        <v>23.248199999999997</v>
      </c>
      <c r="CX156" s="531">
        <f t="shared" si="735"/>
        <v>3.57</v>
      </c>
      <c r="CY156" s="537">
        <f t="shared" si="736"/>
        <v>1.7849999999999999</v>
      </c>
      <c r="CZ156" s="502">
        <f t="shared" si="737"/>
        <v>2.4513847475961154E-2</v>
      </c>
    </row>
    <row r="157" spans="1:104" ht="25" x14ac:dyDescent="0.25">
      <c r="A157" s="413" t="str">
        <f>'BOCA DE LOBO'!C151</f>
        <v>BL66-&gt;PV8-102</v>
      </c>
      <c r="B157" s="413" t="str">
        <f>'BOCA DE LOBO'!A151</f>
        <v>PV8-102</v>
      </c>
      <c r="C157" s="413" t="str">
        <f>VLOOKUP(A157,'BOCA DE LOBO'!$C$82:$Q$270,3,0)</f>
        <v>EXISTENTE</v>
      </c>
      <c r="D157" s="413" t="str">
        <f>VLOOKUP(A157,'BOCA DE LOBO'!$C$82:$Q$270,10,0)</f>
        <v>PROJETADA</v>
      </c>
      <c r="E157" s="413">
        <f t="shared" si="652"/>
        <v>2.5</v>
      </c>
      <c r="F157" s="413">
        <f>VLOOKUP(A157,'BOCA DE LOBO'!$C$82:$Q$270,2,0)</f>
        <v>4.5900000000000318</v>
      </c>
      <c r="G157" s="413">
        <f>VLOOKUP(A157,'BOCA DE LOBO'!$C$82:$Q$270,4,0)</f>
        <v>8.19</v>
      </c>
      <c r="H157" s="412">
        <v>400</v>
      </c>
      <c r="I157" s="493">
        <f t="shared" si="653"/>
        <v>3.6750000000000158</v>
      </c>
      <c r="J157" s="493">
        <f t="shared" si="654"/>
        <v>1.5049125000000063</v>
      </c>
      <c r="K157" s="530">
        <v>0</v>
      </c>
      <c r="L157" s="531">
        <f t="shared" si="655"/>
        <v>1</v>
      </c>
      <c r="M157" s="531">
        <f t="shared" si="656"/>
        <v>1</v>
      </c>
      <c r="N157" s="531">
        <f t="shared" si="657"/>
        <v>0</v>
      </c>
      <c r="O157" s="531">
        <f t="shared" si="658"/>
        <v>8.19</v>
      </c>
      <c r="P157" s="532" t="s">
        <v>2392</v>
      </c>
      <c r="Q157" s="539" t="s">
        <v>2969</v>
      </c>
      <c r="R157" s="534">
        <v>1</v>
      </c>
      <c r="S157" s="532">
        <v>5</v>
      </c>
      <c r="T157" s="532">
        <v>5</v>
      </c>
      <c r="U157" s="531">
        <f t="shared" si="659"/>
        <v>0.05</v>
      </c>
      <c r="V157" s="535">
        <f t="shared" si="660"/>
        <v>0</v>
      </c>
      <c r="W157" s="535">
        <f t="shared" si="661"/>
        <v>33.374250000000131</v>
      </c>
      <c r="X157" s="536">
        <f t="shared" si="662"/>
        <v>0</v>
      </c>
      <c r="Y157" s="536">
        <f t="shared" si="663"/>
        <v>4.0750000000000162</v>
      </c>
      <c r="Z157" s="536">
        <f t="shared" si="664"/>
        <v>0</v>
      </c>
      <c r="AA157" s="536">
        <f t="shared" si="665"/>
        <v>3.6750000000000158</v>
      </c>
      <c r="AB157" s="496">
        <f t="shared" si="666"/>
        <v>8.19</v>
      </c>
      <c r="AC157" s="251">
        <f t="shared" si="667"/>
        <v>12.285</v>
      </c>
      <c r="AD157" s="251">
        <f t="shared" si="668"/>
        <v>12.285</v>
      </c>
      <c r="AE157" s="251">
        <f t="shared" si="669"/>
        <v>8.8042500000001311</v>
      </c>
      <c r="AF157" s="251">
        <f t="shared" si="670"/>
        <v>0</v>
      </c>
      <c r="AG157" s="251">
        <f t="shared" si="671"/>
        <v>0</v>
      </c>
      <c r="AH157" s="251">
        <f t="shared" si="672"/>
        <v>0</v>
      </c>
      <c r="AI157" s="497" t="str">
        <f t="shared" si="673"/>
        <v>NÃO</v>
      </c>
      <c r="AJ157" s="531">
        <f t="shared" si="674"/>
        <v>0</v>
      </c>
      <c r="AK157" s="531">
        <f t="shared" si="675"/>
        <v>0</v>
      </c>
      <c r="AL157" s="531">
        <f t="shared" si="676"/>
        <v>32.34506424668411</v>
      </c>
      <c r="AM157" s="493">
        <f t="shared" si="677"/>
        <v>0.40949999999999998</v>
      </c>
      <c r="AN157" s="535">
        <f t="shared" si="678"/>
        <v>0</v>
      </c>
      <c r="AO157" s="531">
        <f t="shared" si="679"/>
        <v>3.2759999999999998</v>
      </c>
      <c r="AP157" s="531">
        <f t="shared" si="680"/>
        <v>3.2759999999999998</v>
      </c>
      <c r="AQ157" s="531">
        <f t="shared" si="681"/>
        <v>0.7</v>
      </c>
      <c r="AR157" s="531">
        <f t="shared" si="682"/>
        <v>4.703814246683983</v>
      </c>
      <c r="AS157" s="531">
        <f t="shared" si="683"/>
        <v>4.703814246683983</v>
      </c>
      <c r="AT157" s="531">
        <f t="shared" si="684"/>
        <v>1.2284999999999999</v>
      </c>
      <c r="AU157" s="531">
        <f t="shared" si="685"/>
        <v>1.2284999999999999</v>
      </c>
      <c r="AV157" s="531">
        <f t="shared" si="686"/>
        <v>0.24569999999999997</v>
      </c>
      <c r="AW157" s="531">
        <f t="shared" si="687"/>
        <v>21.498750000000125</v>
      </c>
      <c r="AX157" s="531">
        <f t="shared" si="688"/>
        <v>-9.2083142466839831</v>
      </c>
      <c r="AY157" s="531">
        <f t="shared" si="689"/>
        <v>-9.2083142466839831</v>
      </c>
      <c r="AZ157" s="531">
        <f t="shared" si="690"/>
        <v>30.707064246684109</v>
      </c>
      <c r="BA157" s="531">
        <f t="shared" si="691"/>
        <v>6.2006930740487149</v>
      </c>
      <c r="BB157" s="531">
        <f t="shared" si="692"/>
        <v>24.506371172635394</v>
      </c>
      <c r="BC157" s="531"/>
      <c r="BD157" s="531">
        <f t="shared" si="693"/>
        <v>0.18018000000000001</v>
      </c>
      <c r="BE157" s="496">
        <f t="shared" si="694"/>
        <v>3.6750000000000158</v>
      </c>
      <c r="BF157" s="498">
        <f t="shared" si="695"/>
        <v>0</v>
      </c>
      <c r="BG157" s="498">
        <f t="shared" si="696"/>
        <v>0</v>
      </c>
      <c r="BH157" s="532" t="str">
        <f>VLOOKUP(A157,'BOCA DE LOBO'!C:I,7,0)</f>
        <v>BOCA DE LOBO PROJETADA DUPLA</v>
      </c>
      <c r="BI157" s="531">
        <f t="shared" si="697"/>
        <v>0</v>
      </c>
      <c r="BJ157" s="531">
        <f t="shared" si="698"/>
        <v>0</v>
      </c>
      <c r="BK157" s="531">
        <f t="shared" si="699"/>
        <v>0</v>
      </c>
      <c r="BL157" s="531">
        <f t="shared" si="700"/>
        <v>0</v>
      </c>
      <c r="BM157" s="531">
        <f t="shared" si="701"/>
        <v>0</v>
      </c>
      <c r="BN157" s="531">
        <f t="shared" si="702"/>
        <v>1</v>
      </c>
      <c r="BO157" s="499">
        <f t="shared" si="703"/>
        <v>0</v>
      </c>
      <c r="BP157" s="500"/>
      <c r="BQ157" s="496">
        <f t="shared" si="704"/>
        <v>24.57</v>
      </c>
      <c r="BR157" s="496">
        <f t="shared" si="705"/>
        <v>24.57</v>
      </c>
      <c r="BS157" s="496">
        <f t="shared" si="706"/>
        <v>19.246500000000257</v>
      </c>
      <c r="BT157" s="501"/>
      <c r="BU157" s="501"/>
      <c r="BV157" s="502">
        <f t="shared" si="707"/>
        <v>23.347799999999996</v>
      </c>
      <c r="BW157" s="502">
        <f t="shared" si="708"/>
        <v>7.7825999999999986</v>
      </c>
      <c r="BX157" s="502">
        <f t="shared" si="709"/>
        <v>3.0325999999999995</v>
      </c>
      <c r="BY157" s="502">
        <f t="shared" si="710"/>
        <v>2.5</v>
      </c>
      <c r="BZ157" s="502">
        <f t="shared" si="711"/>
        <v>0</v>
      </c>
      <c r="CA157" s="502">
        <f t="shared" si="712"/>
        <v>2.9</v>
      </c>
      <c r="CB157" s="502">
        <f t="shared" si="713"/>
        <v>0</v>
      </c>
      <c r="CC157" s="502">
        <f t="shared" si="714"/>
        <v>0</v>
      </c>
      <c r="CD157" s="502">
        <f t="shared" si="715"/>
        <v>0</v>
      </c>
      <c r="CE157" s="502">
        <f t="shared" si="716"/>
        <v>11.673899999999998</v>
      </c>
      <c r="CF157" s="502">
        <f t="shared" si="717"/>
        <v>10.895639999999997</v>
      </c>
      <c r="CG157" s="502">
        <f t="shared" si="718"/>
        <v>0.77825999999999951</v>
      </c>
      <c r="CH157" s="502">
        <f t="shared" si="719"/>
        <v>0</v>
      </c>
      <c r="CI157" s="531">
        <f t="shared" si="720"/>
        <v>0.53549999999999998</v>
      </c>
      <c r="CJ157" s="502">
        <f t="shared" si="721"/>
        <v>13.239499999999996</v>
      </c>
      <c r="CK157" s="502">
        <f t="shared" si="722"/>
        <v>13.239499999999996</v>
      </c>
      <c r="CL157" s="502">
        <f t="shared" si="723"/>
        <v>0</v>
      </c>
      <c r="CM157" s="502">
        <f t="shared" si="724"/>
        <v>0.15565199999999998</v>
      </c>
      <c r="CN157" s="502">
        <f t="shared" si="725"/>
        <v>3.57</v>
      </c>
      <c r="CO157" s="502">
        <f t="shared" si="726"/>
        <v>3</v>
      </c>
      <c r="CP157" s="502">
        <f t="shared" si="727"/>
        <v>10.709999999999999</v>
      </c>
      <c r="CQ157" s="502">
        <f t="shared" si="728"/>
        <v>10.709999999999999</v>
      </c>
      <c r="CR157" s="220">
        <f t="shared" si="729"/>
        <v>0</v>
      </c>
      <c r="CS157" s="503">
        <f t="shared" si="730"/>
        <v>0</v>
      </c>
      <c r="CT157" s="503">
        <f t="shared" si="731"/>
        <v>0.33012999999999998</v>
      </c>
      <c r="CU157" s="504">
        <f t="shared" si="732"/>
        <v>13</v>
      </c>
      <c r="CV157" s="504">
        <f t="shared" si="733"/>
        <v>1.43895</v>
      </c>
      <c r="CW157" s="502">
        <f t="shared" si="734"/>
        <v>23.248199999999997</v>
      </c>
      <c r="CX157" s="531">
        <f t="shared" si="735"/>
        <v>3.57</v>
      </c>
      <c r="CY157" s="537">
        <f t="shared" si="736"/>
        <v>1.7849999999999999</v>
      </c>
      <c r="CZ157" s="502">
        <f t="shared" si="737"/>
        <v>2.4513847475961154E-2</v>
      </c>
    </row>
    <row r="158" spans="1:104" ht="25" x14ac:dyDescent="0.25">
      <c r="A158" s="413" t="str">
        <f>'BOCA DE LOBO'!C152</f>
        <v>BL67-&gt;PV9-102</v>
      </c>
      <c r="B158" s="413" t="str">
        <f>'BOCA DE LOBO'!A152</f>
        <v>PV9-102</v>
      </c>
      <c r="C158" s="413" t="str">
        <f>VLOOKUP(A158,'BOCA DE LOBO'!$C$82:$Q$270,3,0)</f>
        <v>EXISTENTE</v>
      </c>
      <c r="D158" s="413" t="str">
        <f>VLOOKUP(A158,'BOCA DE LOBO'!$C$82:$Q$270,10,0)</f>
        <v>PROJETADA</v>
      </c>
      <c r="E158" s="413">
        <f t="shared" si="652"/>
        <v>2.5</v>
      </c>
      <c r="F158" s="413">
        <f>VLOOKUP(A158,'BOCA DE LOBO'!$C$82:$Q$270,2,0)</f>
        <v>3.1699999999999591</v>
      </c>
      <c r="G158" s="413">
        <f>VLOOKUP(A158,'BOCA DE LOBO'!$C$82:$Q$270,4,0)</f>
        <v>5.74</v>
      </c>
      <c r="H158" s="412">
        <v>400</v>
      </c>
      <c r="I158" s="493">
        <f t="shared" si="653"/>
        <v>2.9649999999999794</v>
      </c>
      <c r="J158" s="493">
        <f t="shared" si="654"/>
        <v>0.85095499999999402</v>
      </c>
      <c r="K158" s="530">
        <v>0</v>
      </c>
      <c r="L158" s="531">
        <f t="shared" si="655"/>
        <v>1</v>
      </c>
      <c r="M158" s="531">
        <f t="shared" si="656"/>
        <v>1</v>
      </c>
      <c r="N158" s="531">
        <f t="shared" si="657"/>
        <v>0</v>
      </c>
      <c r="O158" s="531">
        <f t="shared" si="658"/>
        <v>5.74</v>
      </c>
      <c r="P158" s="532" t="s">
        <v>2392</v>
      </c>
      <c r="Q158" s="539" t="s">
        <v>2969</v>
      </c>
      <c r="R158" s="534">
        <v>1</v>
      </c>
      <c r="S158" s="532">
        <v>5</v>
      </c>
      <c r="T158" s="532">
        <v>5</v>
      </c>
      <c r="U158" s="531">
        <f t="shared" si="659"/>
        <v>0.05</v>
      </c>
      <c r="V158" s="535">
        <f t="shared" si="660"/>
        <v>0</v>
      </c>
      <c r="W158" s="535">
        <f t="shared" si="661"/>
        <v>19.31509999999988</v>
      </c>
      <c r="X158" s="536">
        <f t="shared" si="662"/>
        <v>0</v>
      </c>
      <c r="Y158" s="536">
        <f t="shared" si="663"/>
        <v>3.3649999999999793</v>
      </c>
      <c r="Z158" s="536">
        <f t="shared" si="664"/>
        <v>0</v>
      </c>
      <c r="AA158" s="536">
        <f t="shared" si="665"/>
        <v>2.9649999999999794</v>
      </c>
      <c r="AB158" s="496">
        <f t="shared" si="666"/>
        <v>5.74</v>
      </c>
      <c r="AC158" s="251">
        <f t="shared" si="667"/>
        <v>8.61</v>
      </c>
      <c r="AD158" s="251">
        <f t="shared" si="668"/>
        <v>8.61</v>
      </c>
      <c r="AE158" s="251">
        <f t="shared" si="669"/>
        <v>2.0950999999998814</v>
      </c>
      <c r="AF158" s="251">
        <f t="shared" si="670"/>
        <v>0</v>
      </c>
      <c r="AG158" s="251">
        <f t="shared" si="671"/>
        <v>0</v>
      </c>
      <c r="AH158" s="251">
        <f t="shared" si="672"/>
        <v>0</v>
      </c>
      <c r="AI158" s="497" t="str">
        <f t="shared" si="673"/>
        <v>NÃO</v>
      </c>
      <c r="AJ158" s="531">
        <f t="shared" si="674"/>
        <v>0</v>
      </c>
      <c r="AK158" s="531">
        <f t="shared" si="675"/>
        <v>0</v>
      </c>
      <c r="AL158" s="531">
        <f t="shared" si="676"/>
        <v>18.593790326735665</v>
      </c>
      <c r="AM158" s="493">
        <f t="shared" si="677"/>
        <v>0.28700000000000003</v>
      </c>
      <c r="AN158" s="535">
        <f t="shared" si="678"/>
        <v>0</v>
      </c>
      <c r="AO158" s="531">
        <f t="shared" si="679"/>
        <v>2.2960000000000003</v>
      </c>
      <c r="AP158" s="531">
        <f t="shared" si="680"/>
        <v>2.2960000000000003</v>
      </c>
      <c r="AQ158" s="531">
        <f t="shared" si="681"/>
        <v>0.7</v>
      </c>
      <c r="AR158" s="531">
        <f t="shared" si="682"/>
        <v>3.2966903267357832</v>
      </c>
      <c r="AS158" s="531">
        <f t="shared" si="683"/>
        <v>3.2966903267357832</v>
      </c>
      <c r="AT158" s="531">
        <f t="shared" si="684"/>
        <v>0.86099999999999999</v>
      </c>
      <c r="AU158" s="531">
        <f t="shared" si="685"/>
        <v>0.86099999999999999</v>
      </c>
      <c r="AV158" s="531">
        <f t="shared" si="686"/>
        <v>0.17219999999999999</v>
      </c>
      <c r="AW158" s="531">
        <f t="shared" si="687"/>
        <v>10.992099999999882</v>
      </c>
      <c r="AX158" s="531">
        <f t="shared" si="688"/>
        <v>-6.4536903267357832</v>
      </c>
      <c r="AY158" s="531">
        <f t="shared" si="689"/>
        <v>-6.4536903267357832</v>
      </c>
      <c r="AZ158" s="531">
        <f t="shared" si="690"/>
        <v>17.445790326735665</v>
      </c>
      <c r="BA158" s="531">
        <f t="shared" si="691"/>
        <v>3.5228372983254905</v>
      </c>
      <c r="BB158" s="531">
        <f t="shared" si="692"/>
        <v>13.922953028410173</v>
      </c>
      <c r="BC158" s="531"/>
      <c r="BD158" s="531">
        <f t="shared" si="693"/>
        <v>0.12628</v>
      </c>
      <c r="BE158" s="496">
        <f t="shared" si="694"/>
        <v>2.9649999999999794</v>
      </c>
      <c r="BF158" s="498">
        <f t="shared" si="695"/>
        <v>0</v>
      </c>
      <c r="BG158" s="498">
        <f t="shared" si="696"/>
        <v>5.74</v>
      </c>
      <c r="BH158" s="532" t="str">
        <f>VLOOKUP(A158,'BOCA DE LOBO'!C:I,7,0)</f>
        <v>BOCA DE LOBO PROJETADA DUPLA</v>
      </c>
      <c r="BI158" s="531">
        <f t="shared" si="697"/>
        <v>0</v>
      </c>
      <c r="BJ158" s="531">
        <f t="shared" si="698"/>
        <v>0</v>
      </c>
      <c r="BK158" s="531">
        <f t="shared" si="699"/>
        <v>0</v>
      </c>
      <c r="BL158" s="531">
        <f t="shared" si="700"/>
        <v>0</v>
      </c>
      <c r="BM158" s="531">
        <f t="shared" si="701"/>
        <v>0</v>
      </c>
      <c r="BN158" s="531">
        <f t="shared" si="702"/>
        <v>1</v>
      </c>
      <c r="BO158" s="499">
        <f t="shared" si="703"/>
        <v>0</v>
      </c>
      <c r="BP158" s="500"/>
      <c r="BQ158" s="496">
        <f t="shared" si="704"/>
        <v>17.22</v>
      </c>
      <c r="BR158" s="496">
        <f t="shared" si="705"/>
        <v>17.22</v>
      </c>
      <c r="BS158" s="496">
        <f t="shared" si="706"/>
        <v>5.3381999999997642</v>
      </c>
      <c r="BT158" s="501"/>
      <c r="BU158" s="501"/>
      <c r="BV158" s="502">
        <f t="shared" si="707"/>
        <v>23.347799999999996</v>
      </c>
      <c r="BW158" s="502">
        <f t="shared" si="708"/>
        <v>7.7825999999999986</v>
      </c>
      <c r="BX158" s="502">
        <f t="shared" si="709"/>
        <v>3.0325999999999995</v>
      </c>
      <c r="BY158" s="502">
        <f t="shared" si="710"/>
        <v>2.5</v>
      </c>
      <c r="BZ158" s="502">
        <f t="shared" si="711"/>
        <v>0</v>
      </c>
      <c r="CA158" s="502">
        <f t="shared" si="712"/>
        <v>2.9</v>
      </c>
      <c r="CB158" s="502">
        <f t="shared" si="713"/>
        <v>0</v>
      </c>
      <c r="CC158" s="502">
        <f t="shared" si="714"/>
        <v>0</v>
      </c>
      <c r="CD158" s="502">
        <f t="shared" si="715"/>
        <v>0</v>
      </c>
      <c r="CE158" s="502">
        <f t="shared" si="716"/>
        <v>11.673899999999998</v>
      </c>
      <c r="CF158" s="502">
        <f t="shared" si="717"/>
        <v>10.895639999999997</v>
      </c>
      <c r="CG158" s="502">
        <f t="shared" si="718"/>
        <v>0.77825999999999951</v>
      </c>
      <c r="CH158" s="502">
        <f t="shared" si="719"/>
        <v>0</v>
      </c>
      <c r="CI158" s="531">
        <f t="shared" si="720"/>
        <v>0.53549999999999998</v>
      </c>
      <c r="CJ158" s="502">
        <f t="shared" si="721"/>
        <v>13.239499999999996</v>
      </c>
      <c r="CK158" s="502">
        <f t="shared" si="722"/>
        <v>13.239499999999996</v>
      </c>
      <c r="CL158" s="502">
        <f t="shared" si="723"/>
        <v>0</v>
      </c>
      <c r="CM158" s="502">
        <f t="shared" si="724"/>
        <v>0.15565199999999998</v>
      </c>
      <c r="CN158" s="502">
        <f t="shared" si="725"/>
        <v>3.57</v>
      </c>
      <c r="CO158" s="502">
        <f t="shared" si="726"/>
        <v>3</v>
      </c>
      <c r="CP158" s="502">
        <f t="shared" si="727"/>
        <v>10.709999999999999</v>
      </c>
      <c r="CQ158" s="502">
        <f t="shared" si="728"/>
        <v>10.709999999999999</v>
      </c>
      <c r="CR158" s="220">
        <f t="shared" si="729"/>
        <v>0</v>
      </c>
      <c r="CS158" s="503">
        <f t="shared" si="730"/>
        <v>0</v>
      </c>
      <c r="CT158" s="503">
        <f t="shared" si="731"/>
        <v>0.33012999999999998</v>
      </c>
      <c r="CU158" s="504">
        <f t="shared" si="732"/>
        <v>13</v>
      </c>
      <c r="CV158" s="504">
        <f t="shared" si="733"/>
        <v>1.43895</v>
      </c>
      <c r="CW158" s="502">
        <f t="shared" si="734"/>
        <v>23.248199999999997</v>
      </c>
      <c r="CX158" s="531">
        <f t="shared" si="735"/>
        <v>3.57</v>
      </c>
      <c r="CY158" s="537">
        <f t="shared" si="736"/>
        <v>1.7849999999999999</v>
      </c>
      <c r="CZ158" s="502">
        <f t="shared" si="737"/>
        <v>2.4513847475961154E-2</v>
      </c>
    </row>
    <row r="159" spans="1:104" ht="25" x14ac:dyDescent="0.25">
      <c r="A159" s="413" t="str">
        <f>'BOCA DE LOBO'!C153</f>
        <v>BL68-&gt;PV1-103</v>
      </c>
      <c r="B159" s="413" t="str">
        <f>'BOCA DE LOBO'!A153</f>
        <v>PV1-103</v>
      </c>
      <c r="C159" s="413" t="str">
        <f>VLOOKUP(A159,'BOCA DE LOBO'!$C$82:$Q$270,3,0)</f>
        <v>EXISTENTE</v>
      </c>
      <c r="D159" s="413" t="str">
        <f>VLOOKUP(A159,'BOCA DE LOBO'!$C$82:$Q$270,10,0)</f>
        <v>PROJETADA</v>
      </c>
      <c r="E159" s="413">
        <f t="shared" si="652"/>
        <v>1.5815999999999999</v>
      </c>
      <c r="F159" s="413">
        <f>VLOOKUP(A159,'BOCA DE LOBO'!$C$82:$Q$270,2,0)</f>
        <v>1.75</v>
      </c>
      <c r="G159" s="413">
        <f>VLOOKUP(A159,'BOCA DE LOBO'!$C$82:$Q$270,4,0)</f>
        <v>4.21</v>
      </c>
      <c r="H159" s="412">
        <v>400</v>
      </c>
      <c r="I159" s="493">
        <f t="shared" si="653"/>
        <v>1.7958000000000001</v>
      </c>
      <c r="J159" s="493">
        <f t="shared" si="654"/>
        <v>0.37801590000000002</v>
      </c>
      <c r="K159" s="530">
        <v>0</v>
      </c>
      <c r="L159" s="531">
        <f t="shared" si="655"/>
        <v>1</v>
      </c>
      <c r="M159" s="531">
        <f t="shared" si="656"/>
        <v>1</v>
      </c>
      <c r="N159" s="531">
        <f t="shared" si="657"/>
        <v>0</v>
      </c>
      <c r="O159" s="531">
        <f t="shared" si="658"/>
        <v>4.21</v>
      </c>
      <c r="P159" s="532" t="s">
        <v>2392</v>
      </c>
      <c r="Q159" s="539" t="s">
        <v>2977</v>
      </c>
      <c r="R159" s="534"/>
      <c r="S159" s="532">
        <v>5</v>
      </c>
      <c r="T159" s="532">
        <v>5</v>
      </c>
      <c r="U159" s="531">
        <f t="shared" si="659"/>
        <v>0.05</v>
      </c>
      <c r="V159" s="535">
        <f t="shared" si="660"/>
        <v>0</v>
      </c>
      <c r="W159" s="535">
        <f t="shared" si="661"/>
        <v>7.5603180000000005</v>
      </c>
      <c r="X159" s="536">
        <f t="shared" si="662"/>
        <v>0</v>
      </c>
      <c r="Y159" s="536">
        <f t="shared" si="663"/>
        <v>0</v>
      </c>
      <c r="Z159" s="536">
        <f t="shared" si="664"/>
        <v>1.7958000000000001</v>
      </c>
      <c r="AA159" s="536">
        <f t="shared" si="665"/>
        <v>0</v>
      </c>
      <c r="AB159" s="496">
        <f t="shared" si="666"/>
        <v>4.21</v>
      </c>
      <c r="AC159" s="251">
        <f t="shared" si="667"/>
        <v>0</v>
      </c>
      <c r="AD159" s="251">
        <f t="shared" si="668"/>
        <v>0</v>
      </c>
      <c r="AE159" s="251">
        <f t="shared" si="669"/>
        <v>0</v>
      </c>
      <c r="AF159" s="251">
        <f t="shared" si="670"/>
        <v>6.3149999999999995</v>
      </c>
      <c r="AG159" s="251">
        <f t="shared" si="671"/>
        <v>1.2453180000000001</v>
      </c>
      <c r="AH159" s="251">
        <f t="shared" si="672"/>
        <v>0</v>
      </c>
      <c r="AI159" s="497" t="str">
        <f t="shared" si="673"/>
        <v>NÃO</v>
      </c>
      <c r="AJ159" s="531">
        <f t="shared" si="674"/>
        <v>0</v>
      </c>
      <c r="AK159" s="531">
        <f t="shared" si="675"/>
        <v>0</v>
      </c>
      <c r="AL159" s="531">
        <f t="shared" si="676"/>
        <v>7.0312737971354791</v>
      </c>
      <c r="AM159" s="493">
        <f t="shared" si="677"/>
        <v>0.21050000000000002</v>
      </c>
      <c r="AN159" s="535">
        <f t="shared" si="678"/>
        <v>0</v>
      </c>
      <c r="AO159" s="531">
        <f t="shared" si="679"/>
        <v>0</v>
      </c>
      <c r="AP159" s="531">
        <f t="shared" si="680"/>
        <v>0</v>
      </c>
      <c r="AQ159" s="531">
        <f t="shared" si="681"/>
        <v>0.7</v>
      </c>
      <c r="AR159" s="531">
        <f t="shared" si="682"/>
        <v>2.4179557971354786</v>
      </c>
      <c r="AS159" s="531">
        <f t="shared" si="683"/>
        <v>0</v>
      </c>
      <c r="AT159" s="531">
        <f t="shared" si="684"/>
        <v>0.63149999999999995</v>
      </c>
      <c r="AU159" s="531">
        <f t="shared" si="685"/>
        <v>0.63149999999999995</v>
      </c>
      <c r="AV159" s="531">
        <f t="shared" si="686"/>
        <v>0.1263</v>
      </c>
      <c r="AW159" s="531">
        <f t="shared" si="687"/>
        <v>3.1398180000000009</v>
      </c>
      <c r="AX159" s="531">
        <f t="shared" si="688"/>
        <v>4.5108622028645211</v>
      </c>
      <c r="AY159" s="531">
        <f t="shared" si="689"/>
        <v>3.1398180000000009</v>
      </c>
      <c r="AZ159" s="531">
        <f t="shared" si="690"/>
        <v>0</v>
      </c>
      <c r="BA159" s="531">
        <f t="shared" si="691"/>
        <v>0</v>
      </c>
      <c r="BB159" s="531">
        <f t="shared" si="692"/>
        <v>0</v>
      </c>
      <c r="BC159" s="531"/>
      <c r="BD159" s="531">
        <f t="shared" si="693"/>
        <v>2.5259999999999998E-2</v>
      </c>
      <c r="BE159" s="496">
        <f t="shared" si="694"/>
        <v>1.7958000000000001</v>
      </c>
      <c r="BF159" s="498">
        <f t="shared" si="695"/>
        <v>0</v>
      </c>
      <c r="BG159" s="498">
        <f t="shared" si="696"/>
        <v>4.21</v>
      </c>
      <c r="BH159" s="532" t="str">
        <f>VLOOKUP(A159,'BOCA DE LOBO'!C:I,7,0)</f>
        <v>BOCA DE LOBO PROJETADA TRIPLA</v>
      </c>
      <c r="BI159" s="531">
        <f t="shared" si="697"/>
        <v>0</v>
      </c>
      <c r="BJ159" s="531">
        <f t="shared" si="698"/>
        <v>0</v>
      </c>
      <c r="BK159" s="531">
        <f t="shared" si="699"/>
        <v>0</v>
      </c>
      <c r="BL159" s="531">
        <f t="shared" si="700"/>
        <v>0</v>
      </c>
      <c r="BM159" s="531">
        <f t="shared" si="701"/>
        <v>0</v>
      </c>
      <c r="BN159" s="531">
        <f t="shared" si="702"/>
        <v>0</v>
      </c>
      <c r="BO159" s="499">
        <f t="shared" si="703"/>
        <v>1</v>
      </c>
      <c r="BP159" s="500"/>
      <c r="BQ159" s="496">
        <f t="shared" si="704"/>
        <v>12.629999999999999</v>
      </c>
      <c r="BR159" s="496">
        <f t="shared" si="705"/>
        <v>2.4906360000000003</v>
      </c>
      <c r="BS159" s="496">
        <f t="shared" si="706"/>
        <v>0</v>
      </c>
      <c r="BT159" s="501"/>
      <c r="BU159" s="501"/>
      <c r="BV159" s="502">
        <f t="shared" si="707"/>
        <v>16.411946879999995</v>
      </c>
      <c r="BW159" s="502">
        <f t="shared" si="708"/>
        <v>10.376799999999998</v>
      </c>
      <c r="BX159" s="502">
        <f t="shared" si="709"/>
        <v>4.4367999999999999</v>
      </c>
      <c r="BY159" s="502">
        <f t="shared" si="710"/>
        <v>1.5815999999999999</v>
      </c>
      <c r="BZ159" s="502">
        <f t="shared" si="711"/>
        <v>1.5815999999999999</v>
      </c>
      <c r="CA159" s="502">
        <f t="shared" si="712"/>
        <v>0</v>
      </c>
      <c r="CB159" s="502">
        <f t="shared" si="713"/>
        <v>0</v>
      </c>
      <c r="CC159" s="502">
        <f t="shared" si="714"/>
        <v>15.565199999999997</v>
      </c>
      <c r="CD159" s="502">
        <f t="shared" si="715"/>
        <v>0.84674687999999876</v>
      </c>
      <c r="CE159" s="502">
        <f t="shared" si="716"/>
        <v>0</v>
      </c>
      <c r="CF159" s="502">
        <f t="shared" si="717"/>
        <v>0</v>
      </c>
      <c r="CG159" s="502">
        <f t="shared" si="718"/>
        <v>0</v>
      </c>
      <c r="CH159" s="502">
        <f t="shared" si="719"/>
        <v>0</v>
      </c>
      <c r="CI159" s="531">
        <f t="shared" si="720"/>
        <v>0.71399999999999997</v>
      </c>
      <c r="CJ159" s="502">
        <f t="shared" si="721"/>
        <v>8.6807039999999951</v>
      </c>
      <c r="CK159" s="502">
        <f t="shared" si="722"/>
        <v>8.6807039999999951</v>
      </c>
      <c r="CL159" s="502">
        <f t="shared" si="723"/>
        <v>0</v>
      </c>
      <c r="CM159" s="502">
        <f t="shared" si="724"/>
        <v>0</v>
      </c>
      <c r="CN159" s="502">
        <f t="shared" si="725"/>
        <v>4.76</v>
      </c>
      <c r="CO159" s="502">
        <f t="shared" si="726"/>
        <v>1.5815999999999999</v>
      </c>
      <c r="CP159" s="502">
        <f t="shared" si="727"/>
        <v>14.28</v>
      </c>
      <c r="CQ159" s="502">
        <f t="shared" si="728"/>
        <v>0.77683199999999897</v>
      </c>
      <c r="CR159" s="220">
        <f t="shared" si="729"/>
        <v>0</v>
      </c>
      <c r="CS159" s="503">
        <f t="shared" si="730"/>
        <v>0</v>
      </c>
      <c r="CT159" s="503">
        <f t="shared" si="731"/>
        <v>0.45984000000000003</v>
      </c>
      <c r="CU159" s="504">
        <f t="shared" si="732"/>
        <v>11.38752</v>
      </c>
      <c r="CV159" s="504">
        <f t="shared" si="733"/>
        <v>1.586322</v>
      </c>
      <c r="CW159" s="502">
        <f t="shared" si="734"/>
        <v>20.805160000000001</v>
      </c>
      <c r="CX159" s="531">
        <f t="shared" si="735"/>
        <v>4.76</v>
      </c>
      <c r="CY159" s="537">
        <f t="shared" si="736"/>
        <v>2.38</v>
      </c>
      <c r="CZ159" s="502">
        <f t="shared" si="737"/>
        <v>2.4513847475961154E-2</v>
      </c>
    </row>
    <row r="160" spans="1:104" ht="25" x14ac:dyDescent="0.25">
      <c r="A160" s="413" t="str">
        <f>'BOCA DE LOBO'!C154</f>
        <v>BL69-&gt;PV2-103</v>
      </c>
      <c r="B160" s="413" t="str">
        <f>'BOCA DE LOBO'!A154</f>
        <v>PV2-103</v>
      </c>
      <c r="C160" s="413" t="str">
        <f>VLOOKUP(A160,'BOCA DE LOBO'!$C$82:$Q$270,3,0)</f>
        <v>EXISTENTE</v>
      </c>
      <c r="D160" s="413" t="str">
        <f>VLOOKUP(A160,'BOCA DE LOBO'!$C$82:$Q$270,10,0)</f>
        <v>PROJETADA</v>
      </c>
      <c r="E160" s="413">
        <f t="shared" si="652"/>
        <v>1.595999999999991</v>
      </c>
      <c r="F160" s="413">
        <f>VLOOKUP(A160,'BOCA DE LOBO'!$C$82:$Q$270,2,0)</f>
        <v>1.7599999999999909</v>
      </c>
      <c r="G160" s="413">
        <f>VLOOKUP(A160,'BOCA DE LOBO'!$C$82:$Q$270,4,0)</f>
        <v>4.0999999999999996</v>
      </c>
      <c r="H160" s="412">
        <v>400</v>
      </c>
      <c r="I160" s="493">
        <f t="shared" si="653"/>
        <v>1.8079999999999912</v>
      </c>
      <c r="J160" s="493">
        <f t="shared" si="654"/>
        <v>0.37063999999999819</v>
      </c>
      <c r="K160" s="530">
        <v>0</v>
      </c>
      <c r="L160" s="531">
        <f t="shared" si="655"/>
        <v>1</v>
      </c>
      <c r="M160" s="531">
        <f t="shared" si="656"/>
        <v>1</v>
      </c>
      <c r="N160" s="531">
        <f t="shared" si="657"/>
        <v>0</v>
      </c>
      <c r="O160" s="531">
        <f t="shared" si="658"/>
        <v>4.0999999999999996</v>
      </c>
      <c r="P160" s="532" t="s">
        <v>2392</v>
      </c>
      <c r="Q160" s="539" t="s">
        <v>2977</v>
      </c>
      <c r="R160" s="534"/>
      <c r="S160" s="532">
        <v>5</v>
      </c>
      <c r="T160" s="532">
        <v>5</v>
      </c>
      <c r="U160" s="531">
        <f t="shared" si="659"/>
        <v>0.05</v>
      </c>
      <c r="V160" s="535">
        <f t="shared" si="660"/>
        <v>0</v>
      </c>
      <c r="W160" s="535">
        <f t="shared" si="661"/>
        <v>7.4127999999999634</v>
      </c>
      <c r="X160" s="536">
        <f t="shared" si="662"/>
        <v>0</v>
      </c>
      <c r="Y160" s="536">
        <f t="shared" si="663"/>
        <v>0</v>
      </c>
      <c r="Z160" s="536">
        <f t="shared" si="664"/>
        <v>1.8079999999999912</v>
      </c>
      <c r="AA160" s="536">
        <f t="shared" si="665"/>
        <v>0</v>
      </c>
      <c r="AB160" s="496">
        <f t="shared" si="666"/>
        <v>4.0999999999999996</v>
      </c>
      <c r="AC160" s="251">
        <f t="shared" si="667"/>
        <v>0</v>
      </c>
      <c r="AD160" s="251">
        <f t="shared" si="668"/>
        <v>0</v>
      </c>
      <c r="AE160" s="251">
        <f t="shared" si="669"/>
        <v>0</v>
      </c>
      <c r="AF160" s="251">
        <f t="shared" si="670"/>
        <v>6.1499999999999995</v>
      </c>
      <c r="AG160" s="251">
        <f t="shared" si="671"/>
        <v>1.2627999999999637</v>
      </c>
      <c r="AH160" s="251">
        <f t="shared" si="672"/>
        <v>0</v>
      </c>
      <c r="AI160" s="497" t="str">
        <f t="shared" si="673"/>
        <v>NÃO</v>
      </c>
      <c r="AJ160" s="531">
        <f t="shared" si="674"/>
        <v>0</v>
      </c>
      <c r="AK160" s="531">
        <f t="shared" si="675"/>
        <v>0</v>
      </c>
      <c r="AL160" s="531">
        <f t="shared" si="676"/>
        <v>6.8975788048112374</v>
      </c>
      <c r="AM160" s="493">
        <f t="shared" si="677"/>
        <v>0.20499999999999999</v>
      </c>
      <c r="AN160" s="535">
        <f t="shared" si="678"/>
        <v>0</v>
      </c>
      <c r="AO160" s="531">
        <f t="shared" si="679"/>
        <v>0</v>
      </c>
      <c r="AP160" s="531">
        <f t="shared" si="680"/>
        <v>0</v>
      </c>
      <c r="AQ160" s="531">
        <f t="shared" si="681"/>
        <v>0.7</v>
      </c>
      <c r="AR160" s="531">
        <f t="shared" si="682"/>
        <v>2.3547788048112737</v>
      </c>
      <c r="AS160" s="531">
        <f t="shared" si="683"/>
        <v>0</v>
      </c>
      <c r="AT160" s="531">
        <f t="shared" si="684"/>
        <v>0.61499999999999988</v>
      </c>
      <c r="AU160" s="531">
        <f t="shared" si="685"/>
        <v>0.61499999999999988</v>
      </c>
      <c r="AV160" s="531">
        <f t="shared" si="686"/>
        <v>0.12299999999999998</v>
      </c>
      <c r="AW160" s="531">
        <f t="shared" si="687"/>
        <v>3.1077999999999633</v>
      </c>
      <c r="AX160" s="531">
        <f t="shared" si="688"/>
        <v>4.44302119518869</v>
      </c>
      <c r="AY160" s="531">
        <f t="shared" si="689"/>
        <v>3.1077999999999633</v>
      </c>
      <c r="AZ160" s="531">
        <f t="shared" si="690"/>
        <v>0</v>
      </c>
      <c r="BA160" s="531">
        <f t="shared" si="691"/>
        <v>0</v>
      </c>
      <c r="BB160" s="531">
        <f t="shared" si="692"/>
        <v>0</v>
      </c>
      <c r="BC160" s="531"/>
      <c r="BD160" s="531">
        <f t="shared" si="693"/>
        <v>2.4599999999999997E-2</v>
      </c>
      <c r="BE160" s="496">
        <f t="shared" si="694"/>
        <v>1.8079999999999912</v>
      </c>
      <c r="BF160" s="498">
        <f t="shared" si="695"/>
        <v>0</v>
      </c>
      <c r="BG160" s="498">
        <f t="shared" si="696"/>
        <v>4.0999999999999996</v>
      </c>
      <c r="BH160" s="532" t="str">
        <f>VLOOKUP(A160,'BOCA DE LOBO'!C:I,7,0)</f>
        <v>BOCA DE LOBO PROJETADA DUPLA</v>
      </c>
      <c r="BI160" s="531">
        <f t="shared" si="697"/>
        <v>0</v>
      </c>
      <c r="BJ160" s="531">
        <f t="shared" si="698"/>
        <v>0</v>
      </c>
      <c r="BK160" s="531">
        <f t="shared" si="699"/>
        <v>0</v>
      </c>
      <c r="BL160" s="531">
        <f t="shared" si="700"/>
        <v>0</v>
      </c>
      <c r="BM160" s="531">
        <f t="shared" si="701"/>
        <v>0</v>
      </c>
      <c r="BN160" s="531">
        <f t="shared" si="702"/>
        <v>1</v>
      </c>
      <c r="BO160" s="499">
        <f t="shared" si="703"/>
        <v>0</v>
      </c>
      <c r="BP160" s="500"/>
      <c r="BQ160" s="496">
        <f t="shared" si="704"/>
        <v>12.299999999999999</v>
      </c>
      <c r="BR160" s="496">
        <f t="shared" si="705"/>
        <v>2.5255999999999275</v>
      </c>
      <c r="BS160" s="496">
        <f t="shared" si="706"/>
        <v>0</v>
      </c>
      <c r="BT160" s="501"/>
      <c r="BU160" s="501"/>
      <c r="BV160" s="502">
        <f t="shared" si="707"/>
        <v>12.421029599999928</v>
      </c>
      <c r="BW160" s="502">
        <f t="shared" si="708"/>
        <v>7.7825999999999986</v>
      </c>
      <c r="BX160" s="502">
        <f t="shared" si="709"/>
        <v>3.0325999999999995</v>
      </c>
      <c r="BY160" s="502">
        <f t="shared" si="710"/>
        <v>1.595999999999991</v>
      </c>
      <c r="BZ160" s="502">
        <f t="shared" si="711"/>
        <v>1.595999999999991</v>
      </c>
      <c r="CA160" s="502">
        <f t="shared" si="712"/>
        <v>0</v>
      </c>
      <c r="CB160" s="502">
        <f t="shared" si="713"/>
        <v>0</v>
      </c>
      <c r="CC160" s="502">
        <f t="shared" si="714"/>
        <v>11.673899999999998</v>
      </c>
      <c r="CD160" s="502">
        <f t="shared" si="715"/>
        <v>0.74712959999992967</v>
      </c>
      <c r="CE160" s="502">
        <f t="shared" si="716"/>
        <v>0</v>
      </c>
      <c r="CF160" s="502">
        <f t="shared" si="717"/>
        <v>0</v>
      </c>
      <c r="CG160" s="502">
        <f t="shared" si="718"/>
        <v>0</v>
      </c>
      <c r="CH160" s="502">
        <f t="shared" si="719"/>
        <v>0</v>
      </c>
      <c r="CI160" s="531">
        <f t="shared" si="720"/>
        <v>0.53549999999999998</v>
      </c>
      <c r="CJ160" s="502">
        <f t="shared" si="721"/>
        <v>7.0454999999999561</v>
      </c>
      <c r="CK160" s="502">
        <f t="shared" si="722"/>
        <v>7.0454999999999561</v>
      </c>
      <c r="CL160" s="502">
        <f t="shared" si="723"/>
        <v>0</v>
      </c>
      <c r="CM160" s="502">
        <f t="shared" si="724"/>
        <v>0</v>
      </c>
      <c r="CN160" s="502">
        <f t="shared" si="725"/>
        <v>3.57</v>
      </c>
      <c r="CO160" s="502">
        <f t="shared" si="726"/>
        <v>1.595999999999991</v>
      </c>
      <c r="CP160" s="502">
        <f t="shared" si="727"/>
        <v>10.709999999999999</v>
      </c>
      <c r="CQ160" s="502">
        <f t="shared" si="728"/>
        <v>0.68543999999993555</v>
      </c>
      <c r="CR160" s="220">
        <f t="shared" si="729"/>
        <v>0</v>
      </c>
      <c r="CS160" s="503">
        <f t="shared" si="730"/>
        <v>0</v>
      </c>
      <c r="CT160" s="503">
        <f t="shared" si="731"/>
        <v>0.33012999999999998</v>
      </c>
      <c r="CU160" s="504">
        <f t="shared" si="732"/>
        <v>8.2991999999999528</v>
      </c>
      <c r="CV160" s="504">
        <f t="shared" si="733"/>
        <v>1.1623259999999971</v>
      </c>
      <c r="CW160" s="502">
        <f t="shared" si="734"/>
        <v>16.305479999999928</v>
      </c>
      <c r="CX160" s="531">
        <f t="shared" si="735"/>
        <v>3.57</v>
      </c>
      <c r="CY160" s="537">
        <f t="shared" si="736"/>
        <v>1.7849999999999999</v>
      </c>
      <c r="CZ160" s="502">
        <f t="shared" si="737"/>
        <v>2.4513847475961154E-2</v>
      </c>
    </row>
    <row r="161" spans="1:104" ht="25" x14ac:dyDescent="0.25">
      <c r="A161" s="413" t="str">
        <f>'BOCA DE LOBO'!C155</f>
        <v>BL70-&gt;PV3-103</v>
      </c>
      <c r="B161" s="413" t="str">
        <f>'BOCA DE LOBO'!A155</f>
        <v>PV3-103</v>
      </c>
      <c r="C161" s="413" t="str">
        <f>VLOOKUP(A161,'BOCA DE LOBO'!$C$82:$Q$270,3,0)</f>
        <v>EXISTENTE</v>
      </c>
      <c r="D161" s="413" t="str">
        <f>VLOOKUP(A161,'BOCA DE LOBO'!$C$82:$Q$270,10,0)</f>
        <v>PROJETADA</v>
      </c>
      <c r="E161" s="413">
        <f t="shared" si="652"/>
        <v>1.6900000000000137</v>
      </c>
      <c r="F161" s="413">
        <f>VLOOKUP(A161,'BOCA DE LOBO'!$C$82:$Q$270,2,0)</f>
        <v>1.8600000000000136</v>
      </c>
      <c r="G161" s="413">
        <f>VLOOKUP(A161,'BOCA DE LOBO'!$C$82:$Q$270,4,0)</f>
        <v>4.25</v>
      </c>
      <c r="H161" s="412">
        <v>400</v>
      </c>
      <c r="I161" s="493">
        <f t="shared" si="653"/>
        <v>1.9050000000000138</v>
      </c>
      <c r="J161" s="493">
        <f t="shared" si="654"/>
        <v>0.40481250000000291</v>
      </c>
      <c r="K161" s="530">
        <v>0</v>
      </c>
      <c r="L161" s="531">
        <f t="shared" si="655"/>
        <v>1</v>
      </c>
      <c r="M161" s="531">
        <f t="shared" si="656"/>
        <v>1</v>
      </c>
      <c r="N161" s="531">
        <f t="shared" si="657"/>
        <v>0</v>
      </c>
      <c r="O161" s="531">
        <f t="shared" si="658"/>
        <v>4.25</v>
      </c>
      <c r="P161" s="532" t="s">
        <v>2392</v>
      </c>
      <c r="Q161" s="539" t="s">
        <v>2975</v>
      </c>
      <c r="R161" s="534"/>
      <c r="S161" s="532">
        <v>5</v>
      </c>
      <c r="T161" s="532">
        <v>5</v>
      </c>
      <c r="U161" s="531">
        <f t="shared" si="659"/>
        <v>0.05</v>
      </c>
      <c r="V161" s="535">
        <f t="shared" si="660"/>
        <v>0</v>
      </c>
      <c r="W161" s="535">
        <f t="shared" si="661"/>
        <v>8.0962500000000581</v>
      </c>
      <c r="X161" s="536">
        <f t="shared" si="662"/>
        <v>0</v>
      </c>
      <c r="Y161" s="536">
        <f t="shared" si="663"/>
        <v>0</v>
      </c>
      <c r="Z161" s="536">
        <f t="shared" si="664"/>
        <v>1.9050000000000138</v>
      </c>
      <c r="AA161" s="536">
        <f t="shared" si="665"/>
        <v>0</v>
      </c>
      <c r="AB161" s="496">
        <f t="shared" si="666"/>
        <v>4.25</v>
      </c>
      <c r="AC161" s="251">
        <f t="shared" si="667"/>
        <v>0</v>
      </c>
      <c r="AD161" s="251">
        <f t="shared" si="668"/>
        <v>0</v>
      </c>
      <c r="AE161" s="251">
        <f t="shared" si="669"/>
        <v>0</v>
      </c>
      <c r="AF161" s="251">
        <f t="shared" si="670"/>
        <v>6.375</v>
      </c>
      <c r="AG161" s="251">
        <f t="shared" si="671"/>
        <v>1.7212500000000586</v>
      </c>
      <c r="AH161" s="251">
        <f t="shared" si="672"/>
        <v>0</v>
      </c>
      <c r="AI161" s="497" t="str">
        <f t="shared" si="673"/>
        <v>NÃO</v>
      </c>
      <c r="AJ161" s="531">
        <f t="shared" si="674"/>
        <v>0</v>
      </c>
      <c r="AK161" s="531">
        <f t="shared" si="675"/>
        <v>0</v>
      </c>
      <c r="AL161" s="531">
        <f t="shared" si="676"/>
        <v>7.5621792488897928</v>
      </c>
      <c r="AM161" s="493">
        <f t="shared" si="677"/>
        <v>0.21250000000000002</v>
      </c>
      <c r="AN161" s="535">
        <f t="shared" si="678"/>
        <v>0</v>
      </c>
      <c r="AO161" s="531">
        <f t="shared" si="679"/>
        <v>0</v>
      </c>
      <c r="AP161" s="531">
        <f t="shared" si="680"/>
        <v>0</v>
      </c>
      <c r="AQ161" s="531">
        <f t="shared" si="681"/>
        <v>0.7</v>
      </c>
      <c r="AR161" s="531">
        <f t="shared" si="682"/>
        <v>2.4409292488897347</v>
      </c>
      <c r="AS161" s="531">
        <f t="shared" si="683"/>
        <v>0</v>
      </c>
      <c r="AT161" s="531">
        <f t="shared" si="684"/>
        <v>0.63749999999999996</v>
      </c>
      <c r="AU161" s="531">
        <f t="shared" si="685"/>
        <v>0.63749999999999996</v>
      </c>
      <c r="AV161" s="531">
        <f t="shared" si="686"/>
        <v>0.1275</v>
      </c>
      <c r="AW161" s="531">
        <f t="shared" si="687"/>
        <v>3.6337500000000573</v>
      </c>
      <c r="AX161" s="531">
        <f t="shared" si="688"/>
        <v>5.0178207511103228</v>
      </c>
      <c r="AY161" s="531">
        <f t="shared" si="689"/>
        <v>3.6337500000000573</v>
      </c>
      <c r="AZ161" s="531">
        <f t="shared" si="690"/>
        <v>0</v>
      </c>
      <c r="BA161" s="531">
        <f t="shared" si="691"/>
        <v>0</v>
      </c>
      <c r="BB161" s="531">
        <f t="shared" si="692"/>
        <v>0</v>
      </c>
      <c r="BC161" s="531"/>
      <c r="BD161" s="531">
        <f t="shared" si="693"/>
        <v>2.5499999999999998E-2</v>
      </c>
      <c r="BE161" s="496">
        <f t="shared" si="694"/>
        <v>1.9050000000000138</v>
      </c>
      <c r="BF161" s="498">
        <f t="shared" si="695"/>
        <v>0</v>
      </c>
      <c r="BG161" s="498">
        <f t="shared" si="696"/>
        <v>4.25</v>
      </c>
      <c r="BH161" s="532" t="str">
        <f>VLOOKUP(A161,'BOCA DE LOBO'!C:I,7,0)</f>
        <v>BOCA DE LOBO PROJETADA DUPLA</v>
      </c>
      <c r="BI161" s="531">
        <f t="shared" si="697"/>
        <v>0</v>
      </c>
      <c r="BJ161" s="531">
        <f t="shared" si="698"/>
        <v>0</v>
      </c>
      <c r="BK161" s="531">
        <f t="shared" si="699"/>
        <v>0</v>
      </c>
      <c r="BL161" s="531">
        <f t="shared" si="700"/>
        <v>0</v>
      </c>
      <c r="BM161" s="531">
        <f t="shared" si="701"/>
        <v>0</v>
      </c>
      <c r="BN161" s="531">
        <f t="shared" si="702"/>
        <v>1</v>
      </c>
      <c r="BO161" s="499">
        <f t="shared" si="703"/>
        <v>0</v>
      </c>
      <c r="BP161" s="500"/>
      <c r="BQ161" s="496">
        <f t="shared" si="704"/>
        <v>12.75</v>
      </c>
      <c r="BR161" s="496">
        <f t="shared" si="705"/>
        <v>3.4425000000001171</v>
      </c>
      <c r="BS161" s="496">
        <f t="shared" si="706"/>
        <v>0</v>
      </c>
      <c r="BT161" s="501"/>
      <c r="BU161" s="501"/>
      <c r="BV161" s="502">
        <f t="shared" si="707"/>
        <v>13.152594000000104</v>
      </c>
      <c r="BW161" s="502">
        <f t="shared" si="708"/>
        <v>7.7825999999999986</v>
      </c>
      <c r="BX161" s="502">
        <f t="shared" si="709"/>
        <v>3.0325999999999995</v>
      </c>
      <c r="BY161" s="502">
        <f t="shared" si="710"/>
        <v>1.6900000000000137</v>
      </c>
      <c r="BZ161" s="502">
        <f t="shared" si="711"/>
        <v>1.6900000000000137</v>
      </c>
      <c r="CA161" s="502">
        <f t="shared" si="712"/>
        <v>0</v>
      </c>
      <c r="CB161" s="502">
        <f t="shared" si="713"/>
        <v>0</v>
      </c>
      <c r="CC161" s="502">
        <f t="shared" si="714"/>
        <v>11.673899999999998</v>
      </c>
      <c r="CD161" s="502">
        <f t="shared" si="715"/>
        <v>1.4786940000001065</v>
      </c>
      <c r="CE161" s="502">
        <f t="shared" si="716"/>
        <v>0</v>
      </c>
      <c r="CF161" s="502">
        <f t="shared" si="717"/>
        <v>0</v>
      </c>
      <c r="CG161" s="502">
        <f t="shared" si="718"/>
        <v>0</v>
      </c>
      <c r="CH161" s="502">
        <f t="shared" si="719"/>
        <v>0</v>
      </c>
      <c r="CI161" s="531">
        <f t="shared" si="720"/>
        <v>0.53549999999999998</v>
      </c>
      <c r="CJ161" s="502">
        <f t="shared" si="721"/>
        <v>7.4920000000000639</v>
      </c>
      <c r="CK161" s="502">
        <f t="shared" si="722"/>
        <v>7.4920000000000639</v>
      </c>
      <c r="CL161" s="502">
        <f t="shared" si="723"/>
        <v>0</v>
      </c>
      <c r="CM161" s="502">
        <f t="shared" si="724"/>
        <v>0</v>
      </c>
      <c r="CN161" s="502">
        <f t="shared" si="725"/>
        <v>3.57</v>
      </c>
      <c r="CO161" s="502">
        <f t="shared" si="726"/>
        <v>1.6900000000000137</v>
      </c>
      <c r="CP161" s="502">
        <f t="shared" si="727"/>
        <v>10.709999999999999</v>
      </c>
      <c r="CQ161" s="502">
        <f t="shared" si="728"/>
        <v>1.3566000000000979</v>
      </c>
      <c r="CR161" s="220">
        <f t="shared" si="729"/>
        <v>0</v>
      </c>
      <c r="CS161" s="503">
        <f t="shared" si="730"/>
        <v>0</v>
      </c>
      <c r="CT161" s="503">
        <f t="shared" si="731"/>
        <v>0.33012999999999998</v>
      </c>
      <c r="CU161" s="504">
        <f t="shared" si="732"/>
        <v>8.7880000000000713</v>
      </c>
      <c r="CV161" s="504">
        <f t="shared" si="733"/>
        <v>1.1910900000000042</v>
      </c>
      <c r="CW161" s="502">
        <f t="shared" si="734"/>
        <v>17.027400000000103</v>
      </c>
      <c r="CX161" s="531">
        <f t="shared" si="735"/>
        <v>3.57</v>
      </c>
      <c r="CY161" s="537">
        <f t="shared" si="736"/>
        <v>1.7849999999999999</v>
      </c>
      <c r="CZ161" s="502">
        <f t="shared" si="737"/>
        <v>2.4513847475961154E-2</v>
      </c>
    </row>
    <row r="162" spans="1:104" ht="25" x14ac:dyDescent="0.25">
      <c r="A162" s="413" t="str">
        <f>'BOCA DE LOBO'!C156</f>
        <v>BL71-&gt;PV1-104</v>
      </c>
      <c r="B162" s="413" t="str">
        <f>'BOCA DE LOBO'!A156</f>
        <v>PV1-104</v>
      </c>
      <c r="C162" s="413" t="str">
        <f>VLOOKUP(A162,'BOCA DE LOBO'!$C$82:$Q$270,3,0)</f>
        <v>EXISTENTE</v>
      </c>
      <c r="D162" s="413" t="str">
        <f>VLOOKUP(A162,'BOCA DE LOBO'!$C$82:$Q$270,10,0)</f>
        <v>PROJETADA</v>
      </c>
      <c r="E162" s="413">
        <f t="shared" si="652"/>
        <v>1.532</v>
      </c>
      <c r="F162" s="413">
        <f>VLOOKUP(A162,'BOCA DE LOBO'!$C$82:$Q$270,2,0)</f>
        <v>1.75</v>
      </c>
      <c r="G162" s="413">
        <f>VLOOKUP(A162,'BOCA DE LOBO'!$C$82:$Q$270,4,0)</f>
        <v>5.45</v>
      </c>
      <c r="H162" s="412">
        <v>400</v>
      </c>
      <c r="I162" s="493">
        <f t="shared" si="653"/>
        <v>1.7710000000000001</v>
      </c>
      <c r="J162" s="493">
        <f t="shared" si="654"/>
        <v>0.48259750000000007</v>
      </c>
      <c r="K162" s="530">
        <v>0</v>
      </c>
      <c r="L162" s="531">
        <f t="shared" si="655"/>
        <v>1</v>
      </c>
      <c r="M162" s="531">
        <f t="shared" si="656"/>
        <v>1</v>
      </c>
      <c r="N162" s="531">
        <f t="shared" si="657"/>
        <v>0</v>
      </c>
      <c r="O162" s="531">
        <f t="shared" si="658"/>
        <v>5.45</v>
      </c>
      <c r="P162" s="532" t="s">
        <v>2392</v>
      </c>
      <c r="Q162" s="539" t="s">
        <v>2976</v>
      </c>
      <c r="R162" s="534"/>
      <c r="S162" s="532">
        <v>5</v>
      </c>
      <c r="T162" s="532">
        <v>5</v>
      </c>
      <c r="U162" s="531">
        <f t="shared" si="659"/>
        <v>0.05</v>
      </c>
      <c r="V162" s="535">
        <f t="shared" si="660"/>
        <v>0</v>
      </c>
      <c r="W162" s="535">
        <f t="shared" si="661"/>
        <v>9.6519500000000011</v>
      </c>
      <c r="X162" s="536">
        <f t="shared" si="662"/>
        <v>0</v>
      </c>
      <c r="Y162" s="536">
        <f t="shared" si="663"/>
        <v>0</v>
      </c>
      <c r="Z162" s="536">
        <f t="shared" si="664"/>
        <v>1.7710000000000001</v>
      </c>
      <c r="AA162" s="536">
        <f t="shared" si="665"/>
        <v>0</v>
      </c>
      <c r="AB162" s="496">
        <f t="shared" si="666"/>
        <v>5.45</v>
      </c>
      <c r="AC162" s="251">
        <f t="shared" si="667"/>
        <v>0</v>
      </c>
      <c r="AD162" s="251">
        <f t="shared" si="668"/>
        <v>0</v>
      </c>
      <c r="AE162" s="251">
        <f t="shared" si="669"/>
        <v>0</v>
      </c>
      <c r="AF162" s="251">
        <f t="shared" si="670"/>
        <v>8.1750000000000007</v>
      </c>
      <c r="AG162" s="251">
        <f t="shared" si="671"/>
        <v>1.4769500000000007</v>
      </c>
      <c r="AH162" s="251">
        <f t="shared" si="672"/>
        <v>0</v>
      </c>
      <c r="AI162" s="497" t="str">
        <f t="shared" si="673"/>
        <v>NÃO</v>
      </c>
      <c r="AJ162" s="531">
        <f t="shared" si="674"/>
        <v>0</v>
      </c>
      <c r="AK162" s="531">
        <f t="shared" si="675"/>
        <v>0</v>
      </c>
      <c r="AL162" s="531">
        <f t="shared" si="676"/>
        <v>8.9670828015174262</v>
      </c>
      <c r="AM162" s="493">
        <f t="shared" si="677"/>
        <v>0.27250000000000002</v>
      </c>
      <c r="AN162" s="535">
        <f t="shared" si="678"/>
        <v>0</v>
      </c>
      <c r="AO162" s="531">
        <f t="shared" si="679"/>
        <v>0</v>
      </c>
      <c r="AP162" s="531">
        <f t="shared" si="680"/>
        <v>0</v>
      </c>
      <c r="AQ162" s="531">
        <f t="shared" si="681"/>
        <v>0.7</v>
      </c>
      <c r="AR162" s="531">
        <f t="shared" si="682"/>
        <v>3.130132801517425</v>
      </c>
      <c r="AS162" s="531">
        <f t="shared" si="683"/>
        <v>0</v>
      </c>
      <c r="AT162" s="531">
        <f t="shared" si="684"/>
        <v>0.8175</v>
      </c>
      <c r="AU162" s="531">
        <f t="shared" si="685"/>
        <v>0.8175</v>
      </c>
      <c r="AV162" s="531">
        <f t="shared" si="686"/>
        <v>0.16350000000000001</v>
      </c>
      <c r="AW162" s="531">
        <f t="shared" si="687"/>
        <v>3.9294500000000006</v>
      </c>
      <c r="AX162" s="531">
        <f t="shared" si="688"/>
        <v>5.7043171984825758</v>
      </c>
      <c r="AY162" s="531">
        <f t="shared" si="689"/>
        <v>3.9294500000000006</v>
      </c>
      <c r="AZ162" s="531">
        <f t="shared" si="690"/>
        <v>0</v>
      </c>
      <c r="BA162" s="531">
        <f t="shared" si="691"/>
        <v>0</v>
      </c>
      <c r="BB162" s="531">
        <f t="shared" si="692"/>
        <v>0</v>
      </c>
      <c r="BC162" s="531"/>
      <c r="BD162" s="531">
        <f t="shared" si="693"/>
        <v>3.27E-2</v>
      </c>
      <c r="BE162" s="496">
        <f t="shared" si="694"/>
        <v>1.7710000000000001</v>
      </c>
      <c r="BF162" s="498">
        <f t="shared" si="695"/>
        <v>0</v>
      </c>
      <c r="BG162" s="498">
        <f t="shared" si="696"/>
        <v>5.45</v>
      </c>
      <c r="BH162" s="532" t="str">
        <f>VLOOKUP(A162,'BOCA DE LOBO'!C:I,7,0)</f>
        <v>BOCA DE LOBO PROJETADA DUPLA</v>
      </c>
      <c r="BI162" s="531">
        <f t="shared" si="697"/>
        <v>0</v>
      </c>
      <c r="BJ162" s="531">
        <f t="shared" si="698"/>
        <v>0</v>
      </c>
      <c r="BK162" s="531">
        <f t="shared" si="699"/>
        <v>0</v>
      </c>
      <c r="BL162" s="531">
        <f t="shared" si="700"/>
        <v>0</v>
      </c>
      <c r="BM162" s="531">
        <f t="shared" si="701"/>
        <v>0</v>
      </c>
      <c r="BN162" s="531">
        <f t="shared" si="702"/>
        <v>1</v>
      </c>
      <c r="BO162" s="499">
        <f t="shared" si="703"/>
        <v>0</v>
      </c>
      <c r="BP162" s="500"/>
      <c r="BQ162" s="496">
        <f t="shared" si="704"/>
        <v>16.350000000000001</v>
      </c>
      <c r="BR162" s="496">
        <f t="shared" si="705"/>
        <v>2.9539000000000013</v>
      </c>
      <c r="BS162" s="496">
        <f t="shared" si="706"/>
        <v>0</v>
      </c>
      <c r="BT162" s="501"/>
      <c r="BU162" s="501"/>
      <c r="BV162" s="502">
        <f t="shared" si="707"/>
        <v>11.922943199999999</v>
      </c>
      <c r="BW162" s="502">
        <f t="shared" si="708"/>
        <v>7.7825999999999986</v>
      </c>
      <c r="BX162" s="502">
        <f t="shared" si="709"/>
        <v>3.0325999999999995</v>
      </c>
      <c r="BY162" s="502">
        <f t="shared" si="710"/>
        <v>1.532</v>
      </c>
      <c r="BZ162" s="502">
        <f t="shared" si="711"/>
        <v>1.532</v>
      </c>
      <c r="CA162" s="502">
        <f t="shared" si="712"/>
        <v>0</v>
      </c>
      <c r="CB162" s="502">
        <f t="shared" si="713"/>
        <v>0</v>
      </c>
      <c r="CC162" s="502">
        <f t="shared" si="714"/>
        <v>11.673899999999998</v>
      </c>
      <c r="CD162" s="502">
        <f t="shared" si="715"/>
        <v>0.24904320000000019</v>
      </c>
      <c r="CE162" s="502">
        <f t="shared" si="716"/>
        <v>0</v>
      </c>
      <c r="CF162" s="502">
        <f t="shared" si="717"/>
        <v>0</v>
      </c>
      <c r="CG162" s="502">
        <f t="shared" si="718"/>
        <v>0</v>
      </c>
      <c r="CH162" s="502">
        <f t="shared" si="719"/>
        <v>0</v>
      </c>
      <c r="CI162" s="531">
        <f t="shared" si="720"/>
        <v>0.53549999999999998</v>
      </c>
      <c r="CJ162" s="502">
        <f t="shared" si="721"/>
        <v>6.7414999999999985</v>
      </c>
      <c r="CK162" s="502">
        <f t="shared" si="722"/>
        <v>6.7414999999999985</v>
      </c>
      <c r="CL162" s="502">
        <f t="shared" si="723"/>
        <v>0</v>
      </c>
      <c r="CM162" s="502">
        <f t="shared" si="724"/>
        <v>0</v>
      </c>
      <c r="CN162" s="502">
        <f t="shared" si="725"/>
        <v>3.57</v>
      </c>
      <c r="CO162" s="502">
        <f t="shared" si="726"/>
        <v>1.532</v>
      </c>
      <c r="CP162" s="502">
        <f t="shared" si="727"/>
        <v>10.709999999999999</v>
      </c>
      <c r="CQ162" s="502">
        <f t="shared" si="728"/>
        <v>0.22848000000000018</v>
      </c>
      <c r="CR162" s="220">
        <f t="shared" si="729"/>
        <v>0</v>
      </c>
      <c r="CS162" s="503">
        <f t="shared" si="730"/>
        <v>0</v>
      </c>
      <c r="CT162" s="503">
        <f t="shared" si="731"/>
        <v>0.33012999999999998</v>
      </c>
      <c r="CU162" s="504">
        <f t="shared" si="732"/>
        <v>7.9664000000000001</v>
      </c>
      <c r="CV162" s="504">
        <f t="shared" si="733"/>
        <v>1.1427419999999999</v>
      </c>
      <c r="CW162" s="502">
        <f t="shared" si="734"/>
        <v>15.81396</v>
      </c>
      <c r="CX162" s="531">
        <f t="shared" si="735"/>
        <v>3.57</v>
      </c>
      <c r="CY162" s="537">
        <f t="shared" si="736"/>
        <v>1.7849999999999999</v>
      </c>
      <c r="CZ162" s="502">
        <f t="shared" si="737"/>
        <v>2.4513847475961154E-2</v>
      </c>
    </row>
    <row r="163" spans="1:104" ht="25" x14ac:dyDescent="0.25">
      <c r="A163" s="413" t="str">
        <f>'BOCA DE LOBO'!C157</f>
        <v>BL72-&gt;PV2-104</v>
      </c>
      <c r="B163" s="413" t="str">
        <f>'BOCA DE LOBO'!A157</f>
        <v>PV2-104</v>
      </c>
      <c r="C163" s="413" t="str">
        <f>VLOOKUP(A163,'BOCA DE LOBO'!$C$82:$Q$270,3,0)</f>
        <v>EXISTENTE</v>
      </c>
      <c r="D163" s="413" t="str">
        <f>VLOOKUP(A163,'BOCA DE LOBO'!$C$82:$Q$270,10,0)</f>
        <v>PROJETADA</v>
      </c>
      <c r="E163" s="413">
        <f t="shared" si="652"/>
        <v>1.5780000000000682</v>
      </c>
      <c r="F163" s="413">
        <f>VLOOKUP(A163,'BOCA DE LOBO'!$C$82:$Q$270,2,0)</f>
        <v>1.8000000000000682</v>
      </c>
      <c r="G163" s="413">
        <f>VLOOKUP(A163,'BOCA DE LOBO'!$C$82:$Q$270,4,0)</f>
        <v>5.55</v>
      </c>
      <c r="H163" s="412">
        <v>400</v>
      </c>
      <c r="I163" s="493">
        <f t="shared" si="653"/>
        <v>1.8190000000000683</v>
      </c>
      <c r="J163" s="493">
        <f t="shared" si="654"/>
        <v>0.50477250000001894</v>
      </c>
      <c r="K163" s="530">
        <v>0</v>
      </c>
      <c r="L163" s="531">
        <f t="shared" si="655"/>
        <v>1</v>
      </c>
      <c r="M163" s="531">
        <f t="shared" si="656"/>
        <v>1</v>
      </c>
      <c r="N163" s="531">
        <f t="shared" si="657"/>
        <v>0</v>
      </c>
      <c r="O163" s="531">
        <f t="shared" si="658"/>
        <v>5.55</v>
      </c>
      <c r="P163" s="532" t="s">
        <v>2392</v>
      </c>
      <c r="Q163" s="539" t="s">
        <v>2976</v>
      </c>
      <c r="R163" s="534"/>
      <c r="S163" s="532">
        <v>5</v>
      </c>
      <c r="T163" s="532">
        <v>5</v>
      </c>
      <c r="U163" s="531">
        <f t="shared" si="659"/>
        <v>0.05</v>
      </c>
      <c r="V163" s="535">
        <f t="shared" si="660"/>
        <v>0</v>
      </c>
      <c r="W163" s="535">
        <f t="shared" si="661"/>
        <v>10.09545000000038</v>
      </c>
      <c r="X163" s="536">
        <f t="shared" si="662"/>
        <v>0</v>
      </c>
      <c r="Y163" s="536">
        <f t="shared" si="663"/>
        <v>0</v>
      </c>
      <c r="Z163" s="536">
        <f t="shared" si="664"/>
        <v>1.8190000000000683</v>
      </c>
      <c r="AA163" s="536">
        <f t="shared" si="665"/>
        <v>0</v>
      </c>
      <c r="AB163" s="496">
        <f t="shared" si="666"/>
        <v>5.55</v>
      </c>
      <c r="AC163" s="251">
        <f t="shared" si="667"/>
        <v>0</v>
      </c>
      <c r="AD163" s="251">
        <f t="shared" si="668"/>
        <v>0</v>
      </c>
      <c r="AE163" s="251">
        <f t="shared" si="669"/>
        <v>0</v>
      </c>
      <c r="AF163" s="251">
        <f t="shared" si="670"/>
        <v>8.3249999999999993</v>
      </c>
      <c r="AG163" s="251">
        <f t="shared" si="671"/>
        <v>1.7704500000003793</v>
      </c>
      <c r="AH163" s="251">
        <f t="shared" si="672"/>
        <v>0</v>
      </c>
      <c r="AI163" s="497" t="str">
        <f t="shared" si="673"/>
        <v>NÃO</v>
      </c>
      <c r="AJ163" s="531">
        <f t="shared" si="674"/>
        <v>0</v>
      </c>
      <c r="AK163" s="531">
        <f t="shared" si="675"/>
        <v>0</v>
      </c>
      <c r="AL163" s="531">
        <f t="shared" si="676"/>
        <v>9.3980164309034464</v>
      </c>
      <c r="AM163" s="493">
        <f t="shared" si="677"/>
        <v>0.27750000000000002</v>
      </c>
      <c r="AN163" s="535">
        <f t="shared" si="678"/>
        <v>0</v>
      </c>
      <c r="AO163" s="531">
        <f t="shared" si="679"/>
        <v>0</v>
      </c>
      <c r="AP163" s="531">
        <f t="shared" si="680"/>
        <v>0</v>
      </c>
      <c r="AQ163" s="531">
        <f t="shared" si="681"/>
        <v>0.7</v>
      </c>
      <c r="AR163" s="531">
        <f t="shared" si="682"/>
        <v>3.1875664309030656</v>
      </c>
      <c r="AS163" s="531">
        <f t="shared" si="683"/>
        <v>0</v>
      </c>
      <c r="AT163" s="531">
        <f t="shared" si="684"/>
        <v>0.83249999999999991</v>
      </c>
      <c r="AU163" s="531">
        <f t="shared" si="685"/>
        <v>0.83249999999999991</v>
      </c>
      <c r="AV163" s="531">
        <f t="shared" si="686"/>
        <v>0.16649999999999998</v>
      </c>
      <c r="AW163" s="531">
        <f t="shared" si="687"/>
        <v>4.2679500000003818</v>
      </c>
      <c r="AX163" s="531">
        <f t="shared" si="688"/>
        <v>6.0753835690973128</v>
      </c>
      <c r="AY163" s="531">
        <f t="shared" si="689"/>
        <v>4.2679500000003818</v>
      </c>
      <c r="AZ163" s="531">
        <f t="shared" si="690"/>
        <v>0</v>
      </c>
      <c r="BA163" s="531">
        <f t="shared" si="691"/>
        <v>0</v>
      </c>
      <c r="BB163" s="531">
        <f t="shared" si="692"/>
        <v>0</v>
      </c>
      <c r="BC163" s="531"/>
      <c r="BD163" s="531">
        <f t="shared" si="693"/>
        <v>3.3299999999999996E-2</v>
      </c>
      <c r="BE163" s="496">
        <f t="shared" si="694"/>
        <v>1.8190000000000683</v>
      </c>
      <c r="BF163" s="498">
        <f t="shared" si="695"/>
        <v>0</v>
      </c>
      <c r="BG163" s="498">
        <f t="shared" si="696"/>
        <v>5.55</v>
      </c>
      <c r="BH163" s="532" t="str">
        <f>VLOOKUP(A163,'BOCA DE LOBO'!C:I,7,0)</f>
        <v>BOCA DE LOBO PROJETADA DUPLA</v>
      </c>
      <c r="BI163" s="531">
        <f t="shared" si="697"/>
        <v>0</v>
      </c>
      <c r="BJ163" s="531">
        <f t="shared" si="698"/>
        <v>0</v>
      </c>
      <c r="BK163" s="531">
        <f t="shared" si="699"/>
        <v>0</v>
      </c>
      <c r="BL163" s="531">
        <f t="shared" si="700"/>
        <v>0</v>
      </c>
      <c r="BM163" s="531">
        <f t="shared" si="701"/>
        <v>0</v>
      </c>
      <c r="BN163" s="531">
        <f t="shared" si="702"/>
        <v>1</v>
      </c>
      <c r="BO163" s="499">
        <f t="shared" si="703"/>
        <v>0</v>
      </c>
      <c r="BP163" s="500"/>
      <c r="BQ163" s="496">
        <f t="shared" si="704"/>
        <v>16.649999999999999</v>
      </c>
      <c r="BR163" s="496">
        <f t="shared" si="705"/>
        <v>3.5409000000007587</v>
      </c>
      <c r="BS163" s="496">
        <f t="shared" si="706"/>
        <v>0</v>
      </c>
      <c r="BT163" s="501"/>
      <c r="BU163" s="501"/>
      <c r="BV163" s="502">
        <f t="shared" si="707"/>
        <v>12.280942800000529</v>
      </c>
      <c r="BW163" s="502">
        <f t="shared" si="708"/>
        <v>7.7825999999999986</v>
      </c>
      <c r="BX163" s="502">
        <f t="shared" si="709"/>
        <v>3.0325999999999995</v>
      </c>
      <c r="BY163" s="502">
        <f t="shared" si="710"/>
        <v>1.5780000000000682</v>
      </c>
      <c r="BZ163" s="502">
        <f t="shared" si="711"/>
        <v>1.5780000000000682</v>
      </c>
      <c r="CA163" s="502">
        <f t="shared" si="712"/>
        <v>0</v>
      </c>
      <c r="CB163" s="502">
        <f t="shared" si="713"/>
        <v>0</v>
      </c>
      <c r="CC163" s="502">
        <f t="shared" si="714"/>
        <v>11.673899999999998</v>
      </c>
      <c r="CD163" s="502">
        <f t="shared" si="715"/>
        <v>0.6070428000005309</v>
      </c>
      <c r="CE163" s="502">
        <f t="shared" si="716"/>
        <v>0</v>
      </c>
      <c r="CF163" s="502">
        <f t="shared" si="717"/>
        <v>0</v>
      </c>
      <c r="CG163" s="502">
        <f t="shared" si="718"/>
        <v>0</v>
      </c>
      <c r="CH163" s="502">
        <f t="shared" si="719"/>
        <v>0</v>
      </c>
      <c r="CI163" s="531">
        <f t="shared" si="720"/>
        <v>0.53549999999999998</v>
      </c>
      <c r="CJ163" s="502">
        <f t="shared" si="721"/>
        <v>6.9600000000003233</v>
      </c>
      <c r="CK163" s="502">
        <f t="shared" si="722"/>
        <v>6.9600000000003233</v>
      </c>
      <c r="CL163" s="502">
        <f t="shared" si="723"/>
        <v>0</v>
      </c>
      <c r="CM163" s="502">
        <f t="shared" si="724"/>
        <v>0</v>
      </c>
      <c r="CN163" s="502">
        <f t="shared" si="725"/>
        <v>3.57</v>
      </c>
      <c r="CO163" s="502">
        <f t="shared" si="726"/>
        <v>1.5780000000000682</v>
      </c>
      <c r="CP163" s="502">
        <f t="shared" si="727"/>
        <v>10.709999999999999</v>
      </c>
      <c r="CQ163" s="502">
        <f t="shared" si="728"/>
        <v>0.55692000000048714</v>
      </c>
      <c r="CR163" s="220">
        <f t="shared" si="729"/>
        <v>0</v>
      </c>
      <c r="CS163" s="503">
        <f t="shared" si="730"/>
        <v>0</v>
      </c>
      <c r="CT163" s="503">
        <f t="shared" si="731"/>
        <v>0.33012999999999998</v>
      </c>
      <c r="CU163" s="504">
        <f t="shared" si="732"/>
        <v>8.2056000000003557</v>
      </c>
      <c r="CV163" s="504">
        <f t="shared" si="733"/>
        <v>1.1568180000000208</v>
      </c>
      <c r="CW163" s="502">
        <f t="shared" si="734"/>
        <v>16.167240000000522</v>
      </c>
      <c r="CX163" s="531">
        <f t="shared" si="735"/>
        <v>3.57</v>
      </c>
      <c r="CY163" s="537">
        <f t="shared" si="736"/>
        <v>1.7849999999999999</v>
      </c>
      <c r="CZ163" s="502">
        <f t="shared" si="737"/>
        <v>2.4513847475961154E-2</v>
      </c>
    </row>
    <row r="164" spans="1:104" ht="25" x14ac:dyDescent="0.25">
      <c r="A164" s="413" t="str">
        <f>'BOCA DE LOBO'!C158</f>
        <v>BL73-&gt;PV3-104</v>
      </c>
      <c r="B164" s="413" t="str">
        <f>'BOCA DE LOBO'!A158</f>
        <v>PV3-104</v>
      </c>
      <c r="C164" s="413" t="str">
        <f>VLOOKUP(A164,'BOCA DE LOBO'!$C$82:$Q$270,3,0)</f>
        <v>EXISTENTE</v>
      </c>
      <c r="D164" s="413" t="str">
        <f>VLOOKUP(A164,'BOCA DE LOBO'!$C$82:$Q$270,10,0)</f>
        <v>PROJETADA</v>
      </c>
      <c r="E164" s="413">
        <f t="shared" si="652"/>
        <v>1.5551999999999726</v>
      </c>
      <c r="F164" s="413">
        <f>VLOOKUP(A164,'BOCA DE LOBO'!$C$82:$Q$270,2,0)</f>
        <v>1.7799999999999727</v>
      </c>
      <c r="G164" s="413">
        <f>VLOOKUP(A164,'BOCA DE LOBO'!$C$82:$Q$270,4,0)</f>
        <v>5.62</v>
      </c>
      <c r="H164" s="412">
        <v>400</v>
      </c>
      <c r="I164" s="493">
        <f t="shared" si="653"/>
        <v>1.7975999999999728</v>
      </c>
      <c r="J164" s="493">
        <f t="shared" si="654"/>
        <v>0.5051255999999924</v>
      </c>
      <c r="K164" s="530">
        <v>0</v>
      </c>
      <c r="L164" s="531">
        <f t="shared" si="655"/>
        <v>1</v>
      </c>
      <c r="M164" s="531">
        <f t="shared" si="656"/>
        <v>1</v>
      </c>
      <c r="N164" s="531">
        <f t="shared" si="657"/>
        <v>0</v>
      </c>
      <c r="O164" s="531">
        <f t="shared" si="658"/>
        <v>5.62</v>
      </c>
      <c r="P164" s="532" t="s">
        <v>2392</v>
      </c>
      <c r="Q164" s="539" t="s">
        <v>2975</v>
      </c>
      <c r="R164" s="534">
        <v>1</v>
      </c>
      <c r="S164" s="532">
        <v>5</v>
      </c>
      <c r="T164" s="532">
        <v>5</v>
      </c>
      <c r="U164" s="531">
        <f t="shared" si="659"/>
        <v>0.05</v>
      </c>
      <c r="V164" s="535">
        <f t="shared" si="660"/>
        <v>0</v>
      </c>
      <c r="W164" s="535">
        <f t="shared" si="661"/>
        <v>12.350511999999849</v>
      </c>
      <c r="X164" s="536">
        <f t="shared" si="662"/>
        <v>0</v>
      </c>
      <c r="Y164" s="536">
        <f t="shared" si="663"/>
        <v>2.1975999999999729</v>
      </c>
      <c r="Z164" s="536">
        <f t="shared" si="664"/>
        <v>0</v>
      </c>
      <c r="AA164" s="536">
        <f t="shared" si="665"/>
        <v>1.7975999999999728</v>
      </c>
      <c r="AB164" s="496">
        <f t="shared" si="666"/>
        <v>5.62</v>
      </c>
      <c r="AC164" s="251">
        <f t="shared" si="667"/>
        <v>8.43</v>
      </c>
      <c r="AD164" s="251">
        <f t="shared" si="668"/>
        <v>3.9205119999998477</v>
      </c>
      <c r="AE164" s="251">
        <f t="shared" si="669"/>
        <v>0</v>
      </c>
      <c r="AF164" s="251">
        <f t="shared" si="670"/>
        <v>0</v>
      </c>
      <c r="AG164" s="251">
        <f t="shared" si="671"/>
        <v>0</v>
      </c>
      <c r="AH164" s="251">
        <f t="shared" si="672"/>
        <v>0</v>
      </c>
      <c r="AI164" s="497" t="str">
        <f t="shared" si="673"/>
        <v>NÃO</v>
      </c>
      <c r="AJ164" s="531">
        <f t="shared" si="674"/>
        <v>0</v>
      </c>
      <c r="AK164" s="531">
        <f t="shared" si="675"/>
        <v>0</v>
      </c>
      <c r="AL164" s="531">
        <f t="shared" si="676"/>
        <v>11.644281971472864</v>
      </c>
      <c r="AM164" s="493">
        <f t="shared" si="677"/>
        <v>0.28100000000000003</v>
      </c>
      <c r="AN164" s="535">
        <f t="shared" si="678"/>
        <v>0</v>
      </c>
      <c r="AO164" s="531">
        <f t="shared" si="679"/>
        <v>2.2480000000000002</v>
      </c>
      <c r="AP164" s="531">
        <f t="shared" si="680"/>
        <v>2.2480000000000002</v>
      </c>
      <c r="AQ164" s="531">
        <f t="shared" si="681"/>
        <v>0.7</v>
      </c>
      <c r="AR164" s="531">
        <f t="shared" si="682"/>
        <v>3.2277699714730144</v>
      </c>
      <c r="AS164" s="531">
        <f t="shared" si="683"/>
        <v>3.2277699714730144</v>
      </c>
      <c r="AT164" s="531">
        <f t="shared" si="684"/>
        <v>0.84299999999999997</v>
      </c>
      <c r="AU164" s="531">
        <f t="shared" si="685"/>
        <v>0.84299999999999997</v>
      </c>
      <c r="AV164" s="531">
        <f t="shared" si="686"/>
        <v>0.1686</v>
      </c>
      <c r="AW164" s="531">
        <f t="shared" si="687"/>
        <v>4.2015119999998483</v>
      </c>
      <c r="AX164" s="531">
        <f t="shared" si="688"/>
        <v>-6.3187699714730146</v>
      </c>
      <c r="AY164" s="531">
        <f t="shared" si="689"/>
        <v>-6.3187699714730146</v>
      </c>
      <c r="AZ164" s="531">
        <f t="shared" si="690"/>
        <v>10.520281971472862</v>
      </c>
      <c r="BA164" s="531">
        <f t="shared" si="691"/>
        <v>2.1243658798999485</v>
      </c>
      <c r="BB164" s="531">
        <f t="shared" si="692"/>
        <v>8.3959160915729143</v>
      </c>
      <c r="BC164" s="531"/>
      <c r="BD164" s="531">
        <f t="shared" si="693"/>
        <v>0.12364000000000001</v>
      </c>
      <c r="BE164" s="496">
        <f t="shared" si="694"/>
        <v>1.7975999999999728</v>
      </c>
      <c r="BF164" s="498">
        <f t="shared" si="695"/>
        <v>0</v>
      </c>
      <c r="BG164" s="498">
        <f t="shared" si="696"/>
        <v>5.62</v>
      </c>
      <c r="BH164" s="532" t="str">
        <f>VLOOKUP(A164,'BOCA DE LOBO'!C:I,7,0)</f>
        <v>BOCA DE LOBO PROJETADA DUPLA</v>
      </c>
      <c r="BI164" s="531">
        <f t="shared" si="697"/>
        <v>0</v>
      </c>
      <c r="BJ164" s="531">
        <f t="shared" si="698"/>
        <v>0</v>
      </c>
      <c r="BK164" s="531">
        <f t="shared" si="699"/>
        <v>0</v>
      </c>
      <c r="BL164" s="531">
        <f t="shared" si="700"/>
        <v>0</v>
      </c>
      <c r="BM164" s="531">
        <f t="shared" si="701"/>
        <v>0</v>
      </c>
      <c r="BN164" s="531">
        <f t="shared" si="702"/>
        <v>1</v>
      </c>
      <c r="BO164" s="499">
        <f t="shared" si="703"/>
        <v>0</v>
      </c>
      <c r="BP164" s="500"/>
      <c r="BQ164" s="496">
        <f t="shared" si="704"/>
        <v>16.86</v>
      </c>
      <c r="BR164" s="496">
        <f t="shared" si="705"/>
        <v>8.9650239999996924</v>
      </c>
      <c r="BS164" s="496">
        <f t="shared" si="706"/>
        <v>0</v>
      </c>
      <c r="BT164" s="501"/>
      <c r="BU164" s="501"/>
      <c r="BV164" s="502">
        <f t="shared" si="707"/>
        <v>15.994799519999784</v>
      </c>
      <c r="BW164" s="502">
        <f t="shared" si="708"/>
        <v>7.7825999999999986</v>
      </c>
      <c r="BX164" s="502">
        <f t="shared" si="709"/>
        <v>3.0325999999999995</v>
      </c>
      <c r="BY164" s="502">
        <f t="shared" si="710"/>
        <v>1.5551999999999726</v>
      </c>
      <c r="BZ164" s="502">
        <f t="shared" si="711"/>
        <v>0</v>
      </c>
      <c r="CA164" s="502">
        <f t="shared" si="712"/>
        <v>1.9551999999999725</v>
      </c>
      <c r="CB164" s="502">
        <f t="shared" si="713"/>
        <v>0</v>
      </c>
      <c r="CC164" s="502">
        <f t="shared" si="714"/>
        <v>0</v>
      </c>
      <c r="CD164" s="502">
        <f t="shared" si="715"/>
        <v>0</v>
      </c>
      <c r="CE164" s="502">
        <f t="shared" si="716"/>
        <v>11.673899999999998</v>
      </c>
      <c r="CF164" s="502">
        <f t="shared" si="717"/>
        <v>3.5426395199997853</v>
      </c>
      <c r="CG164" s="502">
        <f t="shared" si="718"/>
        <v>0.77826000000000128</v>
      </c>
      <c r="CH164" s="502">
        <f t="shared" si="719"/>
        <v>0</v>
      </c>
      <c r="CI164" s="531">
        <f t="shared" si="720"/>
        <v>0.53549999999999998</v>
      </c>
      <c r="CJ164" s="502">
        <f t="shared" si="721"/>
        <v>8.7516999999998664</v>
      </c>
      <c r="CK164" s="502">
        <f t="shared" si="722"/>
        <v>8.7516999999998664</v>
      </c>
      <c r="CL164" s="502">
        <f t="shared" si="723"/>
        <v>0</v>
      </c>
      <c r="CM164" s="502">
        <f t="shared" si="724"/>
        <v>0.15565199999999998</v>
      </c>
      <c r="CN164" s="502">
        <f t="shared" si="725"/>
        <v>3.57</v>
      </c>
      <c r="CO164" s="502">
        <f t="shared" si="726"/>
        <v>2.0551999999999726</v>
      </c>
      <c r="CP164" s="502">
        <f t="shared" si="727"/>
        <v>10.709999999999999</v>
      </c>
      <c r="CQ164" s="502">
        <f t="shared" si="728"/>
        <v>3.9641279999998043</v>
      </c>
      <c r="CR164" s="220">
        <f t="shared" si="729"/>
        <v>0</v>
      </c>
      <c r="CS164" s="503">
        <f t="shared" si="730"/>
        <v>0</v>
      </c>
      <c r="CT164" s="503">
        <f t="shared" si="731"/>
        <v>0.33012999999999998</v>
      </c>
      <c r="CU164" s="504">
        <f t="shared" si="732"/>
        <v>8.0870399999998579</v>
      </c>
      <c r="CV164" s="504">
        <f t="shared" si="733"/>
        <v>1.1498411999999916</v>
      </c>
      <c r="CW164" s="502">
        <f t="shared" si="734"/>
        <v>15.992135999999791</v>
      </c>
      <c r="CX164" s="531">
        <f t="shared" si="735"/>
        <v>3.57</v>
      </c>
      <c r="CY164" s="537">
        <f t="shared" si="736"/>
        <v>1.7849999999999999</v>
      </c>
      <c r="CZ164" s="502">
        <f t="shared" si="737"/>
        <v>2.4513847475961154E-2</v>
      </c>
    </row>
    <row r="165" spans="1:104" ht="25" x14ac:dyDescent="0.25">
      <c r="A165" s="413" t="str">
        <f>'BOCA DE LOBO'!C159</f>
        <v>BL74-&gt;PV1-105</v>
      </c>
      <c r="B165" s="413" t="str">
        <f>'BOCA DE LOBO'!A159</f>
        <v>PV1-105</v>
      </c>
      <c r="C165" s="413" t="str">
        <f>VLOOKUP(A165,'BOCA DE LOBO'!$C$82:$Q$270,3,0)</f>
        <v>EXISTENTE</v>
      </c>
      <c r="D165" s="413" t="str">
        <f>VLOOKUP(A165,'BOCA DE LOBO'!$C$82:$Q$270,10,0)</f>
        <v>PROJETADA</v>
      </c>
      <c r="E165" s="413">
        <f t="shared" si="652"/>
        <v>1.548</v>
      </c>
      <c r="F165" s="413">
        <f>VLOOKUP(A165,'BOCA DE LOBO'!$C$82:$Q$270,2,0)</f>
        <v>1.75</v>
      </c>
      <c r="G165" s="413">
        <f>VLOOKUP(A165,'BOCA DE LOBO'!$C$82:$Q$270,4,0)</f>
        <v>5.05</v>
      </c>
      <c r="H165" s="412">
        <v>400</v>
      </c>
      <c r="I165" s="493">
        <f t="shared" si="653"/>
        <v>1.7790000000000001</v>
      </c>
      <c r="J165" s="493">
        <f t="shared" si="654"/>
        <v>0.44919750000000003</v>
      </c>
      <c r="K165" s="530">
        <v>0</v>
      </c>
      <c r="L165" s="531">
        <f t="shared" si="655"/>
        <v>1</v>
      </c>
      <c r="M165" s="531">
        <f t="shared" si="656"/>
        <v>1</v>
      </c>
      <c r="N165" s="531">
        <f t="shared" si="657"/>
        <v>0</v>
      </c>
      <c r="O165" s="531">
        <f t="shared" si="658"/>
        <v>5.05</v>
      </c>
      <c r="P165" s="532" t="s">
        <v>2392</v>
      </c>
      <c r="Q165" s="539" t="s">
        <v>2976</v>
      </c>
      <c r="R165" s="534"/>
      <c r="S165" s="532">
        <v>5</v>
      </c>
      <c r="T165" s="532">
        <v>5</v>
      </c>
      <c r="U165" s="531">
        <f t="shared" si="659"/>
        <v>0.05</v>
      </c>
      <c r="V165" s="535">
        <f t="shared" si="660"/>
        <v>0</v>
      </c>
      <c r="W165" s="535">
        <f t="shared" si="661"/>
        <v>8.9839500000000001</v>
      </c>
      <c r="X165" s="536">
        <f t="shared" si="662"/>
        <v>0</v>
      </c>
      <c r="Y165" s="536">
        <f t="shared" si="663"/>
        <v>0</v>
      </c>
      <c r="Z165" s="536">
        <f t="shared" si="664"/>
        <v>1.7790000000000001</v>
      </c>
      <c r="AA165" s="536">
        <f t="shared" si="665"/>
        <v>0</v>
      </c>
      <c r="AB165" s="496">
        <f t="shared" si="666"/>
        <v>5.05</v>
      </c>
      <c r="AC165" s="251">
        <f t="shared" si="667"/>
        <v>0</v>
      </c>
      <c r="AD165" s="251">
        <f t="shared" si="668"/>
        <v>0</v>
      </c>
      <c r="AE165" s="251">
        <f t="shared" si="669"/>
        <v>0</v>
      </c>
      <c r="AF165" s="251">
        <f t="shared" si="670"/>
        <v>7.5749999999999993</v>
      </c>
      <c r="AG165" s="251">
        <f t="shared" si="671"/>
        <v>1.4089500000000006</v>
      </c>
      <c r="AH165" s="251">
        <f t="shared" si="672"/>
        <v>0</v>
      </c>
      <c r="AI165" s="497" t="str">
        <f t="shared" si="673"/>
        <v>NÃO</v>
      </c>
      <c r="AJ165" s="531">
        <f t="shared" si="674"/>
        <v>0</v>
      </c>
      <c r="AK165" s="531">
        <f t="shared" si="675"/>
        <v>0</v>
      </c>
      <c r="AL165" s="531">
        <f t="shared" si="676"/>
        <v>8.3493482839748623</v>
      </c>
      <c r="AM165" s="493">
        <f t="shared" si="677"/>
        <v>0.2525</v>
      </c>
      <c r="AN165" s="535">
        <f t="shared" si="678"/>
        <v>0</v>
      </c>
      <c r="AO165" s="531">
        <f t="shared" si="679"/>
        <v>0</v>
      </c>
      <c r="AP165" s="531">
        <f t="shared" si="680"/>
        <v>0</v>
      </c>
      <c r="AQ165" s="531">
        <f t="shared" si="681"/>
        <v>0.7</v>
      </c>
      <c r="AR165" s="531">
        <f t="shared" si="682"/>
        <v>2.9003982839748614</v>
      </c>
      <c r="AS165" s="531">
        <f t="shared" si="683"/>
        <v>0</v>
      </c>
      <c r="AT165" s="531">
        <f t="shared" si="684"/>
        <v>0.75749999999999995</v>
      </c>
      <c r="AU165" s="531">
        <f t="shared" si="685"/>
        <v>0.75749999999999995</v>
      </c>
      <c r="AV165" s="531">
        <f t="shared" si="686"/>
        <v>0.1515</v>
      </c>
      <c r="AW165" s="531">
        <f t="shared" si="687"/>
        <v>3.6814500000000008</v>
      </c>
      <c r="AX165" s="531">
        <f t="shared" si="688"/>
        <v>5.3260517160251384</v>
      </c>
      <c r="AY165" s="531">
        <f t="shared" si="689"/>
        <v>3.6814500000000008</v>
      </c>
      <c r="AZ165" s="531">
        <f t="shared" si="690"/>
        <v>0</v>
      </c>
      <c r="BA165" s="531">
        <f t="shared" si="691"/>
        <v>0</v>
      </c>
      <c r="BB165" s="531">
        <f t="shared" si="692"/>
        <v>0</v>
      </c>
      <c r="BC165" s="531"/>
      <c r="BD165" s="531">
        <f t="shared" si="693"/>
        <v>3.0299999999999997E-2</v>
      </c>
      <c r="BE165" s="496">
        <f t="shared" si="694"/>
        <v>1.7790000000000001</v>
      </c>
      <c r="BF165" s="498">
        <f t="shared" si="695"/>
        <v>0</v>
      </c>
      <c r="BG165" s="498">
        <f t="shared" si="696"/>
        <v>5.05</v>
      </c>
      <c r="BH165" s="532" t="str">
        <f>VLOOKUP(A165,'BOCA DE LOBO'!C:I,7,0)</f>
        <v>BOCA DE LOBO PROJETADA DUPLA</v>
      </c>
      <c r="BI165" s="531">
        <f t="shared" si="697"/>
        <v>0</v>
      </c>
      <c r="BJ165" s="531">
        <f t="shared" si="698"/>
        <v>0</v>
      </c>
      <c r="BK165" s="531">
        <f t="shared" si="699"/>
        <v>0</v>
      </c>
      <c r="BL165" s="531">
        <f t="shared" si="700"/>
        <v>0</v>
      </c>
      <c r="BM165" s="531">
        <f t="shared" si="701"/>
        <v>0</v>
      </c>
      <c r="BN165" s="531">
        <f t="shared" si="702"/>
        <v>1</v>
      </c>
      <c r="BO165" s="499">
        <f t="shared" si="703"/>
        <v>0</v>
      </c>
      <c r="BP165" s="500"/>
      <c r="BQ165" s="496">
        <f t="shared" si="704"/>
        <v>15.149999999999999</v>
      </c>
      <c r="BR165" s="496">
        <f t="shared" si="705"/>
        <v>2.8179000000000012</v>
      </c>
      <c r="BS165" s="496">
        <f t="shared" si="706"/>
        <v>0</v>
      </c>
      <c r="BT165" s="501"/>
      <c r="BU165" s="501"/>
      <c r="BV165" s="502">
        <f t="shared" si="707"/>
        <v>12.047464799999998</v>
      </c>
      <c r="BW165" s="502">
        <f t="shared" si="708"/>
        <v>7.7825999999999986</v>
      </c>
      <c r="BX165" s="502">
        <f t="shared" si="709"/>
        <v>3.0325999999999995</v>
      </c>
      <c r="BY165" s="502">
        <f t="shared" si="710"/>
        <v>1.548</v>
      </c>
      <c r="BZ165" s="502">
        <f t="shared" si="711"/>
        <v>1.548</v>
      </c>
      <c r="CA165" s="502">
        <f t="shared" si="712"/>
        <v>0</v>
      </c>
      <c r="CB165" s="502">
        <f t="shared" si="713"/>
        <v>0</v>
      </c>
      <c r="CC165" s="502">
        <f t="shared" si="714"/>
        <v>11.673899999999998</v>
      </c>
      <c r="CD165" s="502">
        <f t="shared" si="715"/>
        <v>0.37356480000000025</v>
      </c>
      <c r="CE165" s="502">
        <f t="shared" si="716"/>
        <v>0</v>
      </c>
      <c r="CF165" s="502">
        <f t="shared" si="717"/>
        <v>0</v>
      </c>
      <c r="CG165" s="502">
        <f t="shared" si="718"/>
        <v>0</v>
      </c>
      <c r="CH165" s="502">
        <f t="shared" si="719"/>
        <v>0</v>
      </c>
      <c r="CI165" s="531">
        <f t="shared" si="720"/>
        <v>0.53549999999999998</v>
      </c>
      <c r="CJ165" s="502">
        <f t="shared" si="721"/>
        <v>6.817499999999999</v>
      </c>
      <c r="CK165" s="502">
        <f t="shared" si="722"/>
        <v>6.817499999999999</v>
      </c>
      <c r="CL165" s="502">
        <f t="shared" si="723"/>
        <v>0</v>
      </c>
      <c r="CM165" s="502">
        <f t="shared" si="724"/>
        <v>0</v>
      </c>
      <c r="CN165" s="502">
        <f t="shared" si="725"/>
        <v>3.57</v>
      </c>
      <c r="CO165" s="502">
        <f t="shared" si="726"/>
        <v>1.548</v>
      </c>
      <c r="CP165" s="502">
        <f t="shared" si="727"/>
        <v>10.709999999999999</v>
      </c>
      <c r="CQ165" s="502">
        <f t="shared" si="728"/>
        <v>0.3427200000000003</v>
      </c>
      <c r="CR165" s="220">
        <f t="shared" si="729"/>
        <v>0</v>
      </c>
      <c r="CS165" s="503">
        <f t="shared" si="730"/>
        <v>0</v>
      </c>
      <c r="CT165" s="503">
        <f t="shared" si="731"/>
        <v>0.33012999999999998</v>
      </c>
      <c r="CU165" s="504">
        <f t="shared" si="732"/>
        <v>8.0495999999999999</v>
      </c>
      <c r="CV165" s="504">
        <f t="shared" si="733"/>
        <v>1.1476379999999999</v>
      </c>
      <c r="CW165" s="502">
        <f t="shared" si="734"/>
        <v>15.936840000000002</v>
      </c>
      <c r="CX165" s="531">
        <f t="shared" si="735"/>
        <v>3.57</v>
      </c>
      <c r="CY165" s="537">
        <f t="shared" si="736"/>
        <v>1.7849999999999999</v>
      </c>
      <c r="CZ165" s="502">
        <f t="shared" si="737"/>
        <v>2.4513847475961154E-2</v>
      </c>
    </row>
    <row r="166" spans="1:104" ht="25" x14ac:dyDescent="0.25">
      <c r="A166" s="413" t="str">
        <f>'BOCA DE LOBO'!C160</f>
        <v>BL75-&gt;PV2-105</v>
      </c>
      <c r="B166" s="413" t="str">
        <f>'BOCA DE LOBO'!A160</f>
        <v>PV2-105</v>
      </c>
      <c r="C166" s="413" t="str">
        <f>VLOOKUP(A166,'BOCA DE LOBO'!$C$82:$Q$270,3,0)</f>
        <v>EXISTENTE</v>
      </c>
      <c r="D166" s="413" t="str">
        <f>VLOOKUP(A166,'BOCA DE LOBO'!$C$82:$Q$270,10,0)</f>
        <v>PROJETADA</v>
      </c>
      <c r="E166" s="413">
        <f t="shared" si="652"/>
        <v>1.5808000000000864</v>
      </c>
      <c r="F166" s="413">
        <f>VLOOKUP(A166,'BOCA DE LOBO'!$C$82:$Q$270,2,0)</f>
        <v>1.7800000000000864</v>
      </c>
      <c r="G166" s="413">
        <f>VLOOKUP(A166,'BOCA DE LOBO'!$C$82:$Q$270,4,0)</f>
        <v>4.9800000000000004</v>
      </c>
      <c r="H166" s="412">
        <v>400</v>
      </c>
      <c r="I166" s="493">
        <f t="shared" si="653"/>
        <v>1.8104000000000864</v>
      </c>
      <c r="J166" s="493">
        <f t="shared" si="654"/>
        <v>0.45078960000002155</v>
      </c>
      <c r="K166" s="530">
        <v>0</v>
      </c>
      <c r="L166" s="531">
        <f t="shared" si="655"/>
        <v>1</v>
      </c>
      <c r="M166" s="531">
        <f t="shared" si="656"/>
        <v>1</v>
      </c>
      <c r="N166" s="531">
        <f t="shared" si="657"/>
        <v>0</v>
      </c>
      <c r="O166" s="531">
        <f t="shared" si="658"/>
        <v>4.9800000000000004</v>
      </c>
      <c r="P166" s="532" t="s">
        <v>2392</v>
      </c>
      <c r="Q166" s="539" t="s">
        <v>2976</v>
      </c>
      <c r="R166" s="534"/>
      <c r="S166" s="532">
        <v>5</v>
      </c>
      <c r="T166" s="532">
        <v>5</v>
      </c>
      <c r="U166" s="531">
        <f t="shared" si="659"/>
        <v>0.05</v>
      </c>
      <c r="V166" s="535">
        <f t="shared" si="660"/>
        <v>0</v>
      </c>
      <c r="W166" s="535">
        <f t="shared" si="661"/>
        <v>9.015792000000431</v>
      </c>
      <c r="X166" s="536">
        <f t="shared" si="662"/>
        <v>0</v>
      </c>
      <c r="Y166" s="536">
        <f t="shared" si="663"/>
        <v>0</v>
      </c>
      <c r="Z166" s="536">
        <f t="shared" si="664"/>
        <v>1.8104000000000864</v>
      </c>
      <c r="AA166" s="536">
        <f t="shared" si="665"/>
        <v>0</v>
      </c>
      <c r="AB166" s="496">
        <f t="shared" si="666"/>
        <v>4.9800000000000004</v>
      </c>
      <c r="AC166" s="251">
        <f t="shared" si="667"/>
        <v>0</v>
      </c>
      <c r="AD166" s="251">
        <f t="shared" si="668"/>
        <v>0</v>
      </c>
      <c r="AE166" s="251">
        <f t="shared" si="669"/>
        <v>0</v>
      </c>
      <c r="AF166" s="251">
        <f t="shared" si="670"/>
        <v>7.4700000000000006</v>
      </c>
      <c r="AG166" s="251">
        <f t="shared" si="671"/>
        <v>1.5457920000004304</v>
      </c>
      <c r="AH166" s="251">
        <f t="shared" si="672"/>
        <v>0</v>
      </c>
      <c r="AI166" s="497" t="str">
        <f t="shared" si="673"/>
        <v>NÃO</v>
      </c>
      <c r="AJ166" s="531">
        <f t="shared" si="674"/>
        <v>0</v>
      </c>
      <c r="AK166" s="531">
        <f t="shared" si="675"/>
        <v>0</v>
      </c>
      <c r="AL166" s="531">
        <f t="shared" si="676"/>
        <v>8.3899867434053448</v>
      </c>
      <c r="AM166" s="493">
        <f t="shared" si="677"/>
        <v>0.24900000000000003</v>
      </c>
      <c r="AN166" s="535">
        <f t="shared" si="678"/>
        <v>0</v>
      </c>
      <c r="AO166" s="531">
        <f t="shared" si="679"/>
        <v>0</v>
      </c>
      <c r="AP166" s="531">
        <f t="shared" si="680"/>
        <v>0</v>
      </c>
      <c r="AQ166" s="531">
        <f t="shared" si="681"/>
        <v>0.7</v>
      </c>
      <c r="AR166" s="531">
        <f t="shared" si="682"/>
        <v>2.8601947434049135</v>
      </c>
      <c r="AS166" s="531">
        <f t="shared" si="683"/>
        <v>0</v>
      </c>
      <c r="AT166" s="531">
        <f t="shared" si="684"/>
        <v>0.747</v>
      </c>
      <c r="AU166" s="531">
        <f t="shared" si="685"/>
        <v>0.747</v>
      </c>
      <c r="AV166" s="531">
        <f t="shared" si="686"/>
        <v>0.14940000000000001</v>
      </c>
      <c r="AW166" s="531">
        <f t="shared" si="687"/>
        <v>3.7867920000004309</v>
      </c>
      <c r="AX166" s="531">
        <f t="shared" si="688"/>
        <v>5.4085972565955176</v>
      </c>
      <c r="AY166" s="531">
        <f t="shared" si="689"/>
        <v>3.7867920000004309</v>
      </c>
      <c r="AZ166" s="531">
        <f t="shared" si="690"/>
        <v>0</v>
      </c>
      <c r="BA166" s="531">
        <f t="shared" si="691"/>
        <v>0</v>
      </c>
      <c r="BB166" s="531">
        <f t="shared" si="692"/>
        <v>0</v>
      </c>
      <c r="BC166" s="531"/>
      <c r="BD166" s="531">
        <f t="shared" si="693"/>
        <v>2.988E-2</v>
      </c>
      <c r="BE166" s="496">
        <f t="shared" si="694"/>
        <v>1.8104000000000864</v>
      </c>
      <c r="BF166" s="498">
        <f t="shared" si="695"/>
        <v>0</v>
      </c>
      <c r="BG166" s="498">
        <f t="shared" si="696"/>
        <v>4.9800000000000004</v>
      </c>
      <c r="BH166" s="532" t="str">
        <f>VLOOKUP(A166,'BOCA DE LOBO'!C:I,7,0)</f>
        <v>BOCA DE LOBO PROJETADA DUPLA</v>
      </c>
      <c r="BI166" s="531">
        <f t="shared" si="697"/>
        <v>0</v>
      </c>
      <c r="BJ166" s="531">
        <f t="shared" si="698"/>
        <v>0</v>
      </c>
      <c r="BK166" s="531">
        <f t="shared" si="699"/>
        <v>0</v>
      </c>
      <c r="BL166" s="531">
        <f t="shared" si="700"/>
        <v>0</v>
      </c>
      <c r="BM166" s="531">
        <f t="shared" si="701"/>
        <v>0</v>
      </c>
      <c r="BN166" s="531">
        <f t="shared" si="702"/>
        <v>1</v>
      </c>
      <c r="BO166" s="499">
        <f t="shared" si="703"/>
        <v>0</v>
      </c>
      <c r="BP166" s="500"/>
      <c r="BQ166" s="496">
        <f t="shared" si="704"/>
        <v>14.940000000000001</v>
      </c>
      <c r="BR166" s="496">
        <f t="shared" si="705"/>
        <v>3.0915840000008608</v>
      </c>
      <c r="BS166" s="496">
        <f t="shared" si="706"/>
        <v>0</v>
      </c>
      <c r="BT166" s="501"/>
      <c r="BU166" s="501"/>
      <c r="BV166" s="502">
        <f t="shared" si="707"/>
        <v>12.30273408000067</v>
      </c>
      <c r="BW166" s="502">
        <f t="shared" si="708"/>
        <v>7.7825999999999986</v>
      </c>
      <c r="BX166" s="502">
        <f t="shared" si="709"/>
        <v>3.0325999999999995</v>
      </c>
      <c r="BY166" s="502">
        <f t="shared" si="710"/>
        <v>1.5808000000000864</v>
      </c>
      <c r="BZ166" s="502">
        <f t="shared" si="711"/>
        <v>1.5808000000000864</v>
      </c>
      <c r="CA166" s="502">
        <f t="shared" si="712"/>
        <v>0</v>
      </c>
      <c r="CB166" s="502">
        <f t="shared" si="713"/>
        <v>0</v>
      </c>
      <c r="CC166" s="502">
        <f t="shared" si="714"/>
        <v>11.673899999999998</v>
      </c>
      <c r="CD166" s="502">
        <f t="shared" si="715"/>
        <v>0.62883408000067198</v>
      </c>
      <c r="CE166" s="502">
        <f t="shared" si="716"/>
        <v>0</v>
      </c>
      <c r="CF166" s="502">
        <f t="shared" si="717"/>
        <v>0</v>
      </c>
      <c r="CG166" s="502">
        <f t="shared" si="718"/>
        <v>0</v>
      </c>
      <c r="CH166" s="502">
        <f t="shared" si="719"/>
        <v>0</v>
      </c>
      <c r="CI166" s="531">
        <f t="shared" si="720"/>
        <v>0.53549999999999998</v>
      </c>
      <c r="CJ166" s="502">
        <f t="shared" si="721"/>
        <v>6.9733000000004086</v>
      </c>
      <c r="CK166" s="502">
        <f t="shared" si="722"/>
        <v>6.9733000000004086</v>
      </c>
      <c r="CL166" s="502">
        <f t="shared" si="723"/>
        <v>0</v>
      </c>
      <c r="CM166" s="502">
        <f t="shared" si="724"/>
        <v>0</v>
      </c>
      <c r="CN166" s="502">
        <f t="shared" si="725"/>
        <v>3.57</v>
      </c>
      <c r="CO166" s="502">
        <f t="shared" si="726"/>
        <v>1.5808000000000864</v>
      </c>
      <c r="CP166" s="502">
        <f t="shared" si="727"/>
        <v>10.709999999999999</v>
      </c>
      <c r="CQ166" s="502">
        <f t="shared" si="728"/>
        <v>0.5769120000006166</v>
      </c>
      <c r="CR166" s="220">
        <f t="shared" si="729"/>
        <v>0</v>
      </c>
      <c r="CS166" s="503">
        <f t="shared" si="730"/>
        <v>0</v>
      </c>
      <c r="CT166" s="503">
        <f t="shared" si="731"/>
        <v>0.33012999999999998</v>
      </c>
      <c r="CU166" s="504">
        <f t="shared" si="732"/>
        <v>8.2201600000004493</v>
      </c>
      <c r="CV166" s="504">
        <f t="shared" si="733"/>
        <v>1.1576748000000263</v>
      </c>
      <c r="CW166" s="502">
        <f t="shared" si="734"/>
        <v>16.188744000000664</v>
      </c>
      <c r="CX166" s="531">
        <f t="shared" si="735"/>
        <v>3.57</v>
      </c>
      <c r="CY166" s="537">
        <f t="shared" si="736"/>
        <v>1.7849999999999999</v>
      </c>
      <c r="CZ166" s="502">
        <f t="shared" si="737"/>
        <v>2.4513847475961154E-2</v>
      </c>
    </row>
    <row r="167" spans="1:104" ht="25" x14ac:dyDescent="0.25">
      <c r="A167" s="413" t="str">
        <f>'BOCA DE LOBO'!C161</f>
        <v>BL76-&gt;PV3-105</v>
      </c>
      <c r="B167" s="413" t="str">
        <f>'BOCA DE LOBO'!A161</f>
        <v>PV3-105</v>
      </c>
      <c r="C167" s="413" t="str">
        <f>VLOOKUP(A167,'BOCA DE LOBO'!$C$82:$Q$270,3,0)</f>
        <v>EXISTENTE</v>
      </c>
      <c r="D167" s="413" t="str">
        <f>VLOOKUP(A167,'BOCA DE LOBO'!$C$82:$Q$270,10,0)</f>
        <v>PROJETADA</v>
      </c>
      <c r="E167" s="413">
        <f t="shared" si="652"/>
        <v>1.6480000000000228</v>
      </c>
      <c r="F167" s="413">
        <f>VLOOKUP(A167,'BOCA DE LOBO'!$C$82:$Q$270,2,0)</f>
        <v>1.8500000000000227</v>
      </c>
      <c r="G167" s="413">
        <f>VLOOKUP(A167,'BOCA DE LOBO'!$C$82:$Q$270,4,0)</f>
        <v>5.05</v>
      </c>
      <c r="H167" s="412">
        <v>400</v>
      </c>
      <c r="I167" s="493">
        <f t="shared" si="653"/>
        <v>1.8790000000000229</v>
      </c>
      <c r="J167" s="493">
        <f t="shared" si="654"/>
        <v>0.47444750000000574</v>
      </c>
      <c r="K167" s="530">
        <v>0</v>
      </c>
      <c r="L167" s="531">
        <f t="shared" si="655"/>
        <v>1</v>
      </c>
      <c r="M167" s="531">
        <f t="shared" si="656"/>
        <v>1</v>
      </c>
      <c r="N167" s="531">
        <f t="shared" si="657"/>
        <v>0</v>
      </c>
      <c r="O167" s="531">
        <f t="shared" si="658"/>
        <v>5.05</v>
      </c>
      <c r="P167" s="532" t="s">
        <v>2392</v>
      </c>
      <c r="Q167" s="539" t="s">
        <v>2975</v>
      </c>
      <c r="R167" s="534">
        <v>1</v>
      </c>
      <c r="S167" s="532">
        <v>5</v>
      </c>
      <c r="T167" s="532">
        <v>5</v>
      </c>
      <c r="U167" s="531">
        <f t="shared" si="659"/>
        <v>0.05</v>
      </c>
      <c r="V167" s="535">
        <f t="shared" si="660"/>
        <v>0</v>
      </c>
      <c r="W167" s="535">
        <f t="shared" si="661"/>
        <v>11.508950000000114</v>
      </c>
      <c r="X167" s="536">
        <f t="shared" si="662"/>
        <v>0</v>
      </c>
      <c r="Y167" s="536">
        <f t="shared" si="663"/>
        <v>2.279000000000023</v>
      </c>
      <c r="Z167" s="536">
        <f t="shared" si="664"/>
        <v>0</v>
      </c>
      <c r="AA167" s="536">
        <f t="shared" si="665"/>
        <v>1.8790000000000229</v>
      </c>
      <c r="AB167" s="496">
        <f t="shared" si="666"/>
        <v>5.05</v>
      </c>
      <c r="AC167" s="251">
        <f t="shared" si="667"/>
        <v>7.5749999999999993</v>
      </c>
      <c r="AD167" s="251">
        <f t="shared" si="668"/>
        <v>3.9339500000001162</v>
      </c>
      <c r="AE167" s="251">
        <f t="shared" si="669"/>
        <v>0</v>
      </c>
      <c r="AF167" s="251">
        <f t="shared" si="670"/>
        <v>0</v>
      </c>
      <c r="AG167" s="251">
        <f t="shared" si="671"/>
        <v>0</v>
      </c>
      <c r="AH167" s="251">
        <f t="shared" si="672"/>
        <v>0</v>
      </c>
      <c r="AI167" s="497" t="str">
        <f t="shared" si="673"/>
        <v>NÃO</v>
      </c>
      <c r="AJ167" s="531">
        <f t="shared" si="674"/>
        <v>0</v>
      </c>
      <c r="AK167" s="531">
        <f t="shared" si="675"/>
        <v>0</v>
      </c>
      <c r="AL167" s="531">
        <f t="shared" si="676"/>
        <v>10.874348283974976</v>
      </c>
      <c r="AM167" s="493">
        <f t="shared" si="677"/>
        <v>0.2525</v>
      </c>
      <c r="AN167" s="535">
        <f t="shared" si="678"/>
        <v>0</v>
      </c>
      <c r="AO167" s="531">
        <f t="shared" si="679"/>
        <v>2.02</v>
      </c>
      <c r="AP167" s="531">
        <f t="shared" si="680"/>
        <v>2.02</v>
      </c>
      <c r="AQ167" s="531">
        <f t="shared" si="681"/>
        <v>0.7</v>
      </c>
      <c r="AR167" s="531">
        <f t="shared" si="682"/>
        <v>2.9003982839748614</v>
      </c>
      <c r="AS167" s="531">
        <f t="shared" si="683"/>
        <v>2.9003982839748614</v>
      </c>
      <c r="AT167" s="531">
        <f t="shared" si="684"/>
        <v>0.75749999999999995</v>
      </c>
      <c r="AU167" s="531">
        <f t="shared" si="685"/>
        <v>0.75749999999999995</v>
      </c>
      <c r="AV167" s="531">
        <f t="shared" si="686"/>
        <v>0.1515</v>
      </c>
      <c r="AW167" s="531">
        <f t="shared" si="687"/>
        <v>4.1864500000001152</v>
      </c>
      <c r="AX167" s="531">
        <f t="shared" si="688"/>
        <v>-5.6778982839748613</v>
      </c>
      <c r="AY167" s="531">
        <f t="shared" si="689"/>
        <v>-5.6778982839748613</v>
      </c>
      <c r="AZ167" s="531">
        <f t="shared" si="690"/>
        <v>9.8643482839749765</v>
      </c>
      <c r="BA167" s="531">
        <f t="shared" si="691"/>
        <v>1.9919128573501759</v>
      </c>
      <c r="BB167" s="531">
        <f t="shared" si="692"/>
        <v>7.8724354266248007</v>
      </c>
      <c r="BC167" s="531"/>
      <c r="BD167" s="531">
        <f t="shared" si="693"/>
        <v>0.11109999999999999</v>
      </c>
      <c r="BE167" s="496">
        <f t="shared" si="694"/>
        <v>1.8790000000000229</v>
      </c>
      <c r="BF167" s="498">
        <f t="shared" si="695"/>
        <v>0</v>
      </c>
      <c r="BG167" s="498">
        <f t="shared" si="696"/>
        <v>5.05</v>
      </c>
      <c r="BH167" s="532" t="str">
        <f>VLOOKUP(A167,'BOCA DE LOBO'!C:I,7,0)</f>
        <v>BOCA DE LOBO PROJETADA DUPLA</v>
      </c>
      <c r="BI167" s="531">
        <f t="shared" si="697"/>
        <v>0</v>
      </c>
      <c r="BJ167" s="531">
        <f t="shared" si="698"/>
        <v>0</v>
      </c>
      <c r="BK167" s="531">
        <f t="shared" si="699"/>
        <v>0</v>
      </c>
      <c r="BL167" s="531">
        <f t="shared" si="700"/>
        <v>0</v>
      </c>
      <c r="BM167" s="531">
        <f t="shared" si="701"/>
        <v>0</v>
      </c>
      <c r="BN167" s="531">
        <f t="shared" si="702"/>
        <v>1</v>
      </c>
      <c r="BO167" s="499">
        <f t="shared" si="703"/>
        <v>0</v>
      </c>
      <c r="BP167" s="500"/>
      <c r="BQ167" s="496">
        <f t="shared" si="704"/>
        <v>15.149999999999999</v>
      </c>
      <c r="BR167" s="496">
        <f t="shared" si="705"/>
        <v>8.8779000000002277</v>
      </c>
      <c r="BS167" s="496">
        <f t="shared" si="706"/>
        <v>0</v>
      </c>
      <c r="BT167" s="501"/>
      <c r="BU167" s="501"/>
      <c r="BV167" s="502">
        <f t="shared" si="707"/>
        <v>16.717024800000175</v>
      </c>
      <c r="BW167" s="502">
        <f t="shared" si="708"/>
        <v>7.7825999999999986</v>
      </c>
      <c r="BX167" s="502">
        <f t="shared" si="709"/>
        <v>3.0325999999999995</v>
      </c>
      <c r="BY167" s="502">
        <f t="shared" si="710"/>
        <v>1.6480000000000228</v>
      </c>
      <c r="BZ167" s="502">
        <f t="shared" si="711"/>
        <v>0</v>
      </c>
      <c r="CA167" s="502">
        <f t="shared" si="712"/>
        <v>2.0480000000000227</v>
      </c>
      <c r="CB167" s="502">
        <f t="shared" si="713"/>
        <v>0</v>
      </c>
      <c r="CC167" s="502">
        <f t="shared" si="714"/>
        <v>0</v>
      </c>
      <c r="CD167" s="502">
        <f t="shared" si="715"/>
        <v>0</v>
      </c>
      <c r="CE167" s="502">
        <f t="shared" si="716"/>
        <v>11.673899999999998</v>
      </c>
      <c r="CF167" s="502">
        <f t="shared" si="717"/>
        <v>4.2648648000001756</v>
      </c>
      <c r="CG167" s="502">
        <f t="shared" si="718"/>
        <v>0.77826000000000128</v>
      </c>
      <c r="CH167" s="502">
        <f t="shared" si="719"/>
        <v>0</v>
      </c>
      <c r="CI167" s="531">
        <f t="shared" si="720"/>
        <v>0.53549999999999998</v>
      </c>
      <c r="CJ167" s="502">
        <f t="shared" si="721"/>
        <v>9.1925000000001056</v>
      </c>
      <c r="CK167" s="502">
        <f t="shared" si="722"/>
        <v>9.1925000000001056</v>
      </c>
      <c r="CL167" s="502">
        <f t="shared" si="723"/>
        <v>0</v>
      </c>
      <c r="CM167" s="502">
        <f t="shared" si="724"/>
        <v>0.15565199999999998</v>
      </c>
      <c r="CN167" s="502">
        <f t="shared" si="725"/>
        <v>3.57</v>
      </c>
      <c r="CO167" s="502">
        <f t="shared" si="726"/>
        <v>2.1480000000000228</v>
      </c>
      <c r="CP167" s="502">
        <f t="shared" si="727"/>
        <v>10.709999999999999</v>
      </c>
      <c r="CQ167" s="502">
        <f t="shared" si="728"/>
        <v>4.6267200000001623</v>
      </c>
      <c r="CR167" s="220">
        <f t="shared" si="729"/>
        <v>0</v>
      </c>
      <c r="CS167" s="503">
        <f t="shared" si="730"/>
        <v>0</v>
      </c>
      <c r="CT167" s="503">
        <f t="shared" si="731"/>
        <v>0.33012999999999998</v>
      </c>
      <c r="CU167" s="504">
        <f t="shared" si="732"/>
        <v>8.5696000000001185</v>
      </c>
      <c r="CV167" s="504">
        <f t="shared" si="733"/>
        <v>1.1782380000000068</v>
      </c>
      <c r="CW167" s="502">
        <f t="shared" si="734"/>
        <v>16.704840000000175</v>
      </c>
      <c r="CX167" s="531">
        <f t="shared" si="735"/>
        <v>3.57</v>
      </c>
      <c r="CY167" s="537">
        <f t="shared" si="736"/>
        <v>1.7849999999999999</v>
      </c>
      <c r="CZ167" s="502">
        <f t="shared" si="737"/>
        <v>2.4513847475961154E-2</v>
      </c>
    </row>
    <row r="168" spans="1:104" ht="25" x14ac:dyDescent="0.25">
      <c r="A168" s="413" t="str">
        <f>'BOCA DE LOBO'!C162</f>
        <v>BL77-&gt;PV1-106</v>
      </c>
      <c r="B168" s="413" t="str">
        <f>'BOCA DE LOBO'!A162</f>
        <v>PV1-106</v>
      </c>
      <c r="C168" s="413" t="str">
        <f>VLOOKUP(A168,'BOCA DE LOBO'!$C$82:$Q$270,3,0)</f>
        <v>EXISTENTE</v>
      </c>
      <c r="D168" s="413" t="str">
        <f>VLOOKUP(A168,'BOCA DE LOBO'!$C$82:$Q$270,10,0)</f>
        <v>PROJETADA</v>
      </c>
      <c r="E168" s="413">
        <f t="shared" si="652"/>
        <v>1.536</v>
      </c>
      <c r="F168" s="413">
        <f>VLOOKUP(A168,'BOCA DE LOBO'!$C$82:$Q$270,2,0)</f>
        <v>1.75</v>
      </c>
      <c r="G168" s="413">
        <f>VLOOKUP(A168,'BOCA DE LOBO'!$C$82:$Q$270,4,0)</f>
        <v>5.35</v>
      </c>
      <c r="H168" s="412">
        <v>400</v>
      </c>
      <c r="I168" s="493">
        <f t="shared" si="653"/>
        <v>1.7730000000000001</v>
      </c>
      <c r="J168" s="493">
        <f t="shared" si="654"/>
        <v>0.47427750000000002</v>
      </c>
      <c r="K168" s="530">
        <v>0</v>
      </c>
      <c r="L168" s="531">
        <f t="shared" si="655"/>
        <v>1</v>
      </c>
      <c r="M168" s="531">
        <f t="shared" si="656"/>
        <v>1</v>
      </c>
      <c r="N168" s="531">
        <f t="shared" si="657"/>
        <v>0</v>
      </c>
      <c r="O168" s="531">
        <f t="shared" si="658"/>
        <v>5.35</v>
      </c>
      <c r="P168" s="532" t="s">
        <v>2392</v>
      </c>
      <c r="Q168" s="539" t="s">
        <v>2971</v>
      </c>
      <c r="R168" s="534"/>
      <c r="S168" s="532">
        <v>5</v>
      </c>
      <c r="T168" s="532">
        <v>5</v>
      </c>
      <c r="U168" s="531">
        <f t="shared" si="659"/>
        <v>0.05</v>
      </c>
      <c r="V168" s="535">
        <f t="shared" si="660"/>
        <v>0</v>
      </c>
      <c r="W168" s="535">
        <f t="shared" si="661"/>
        <v>9.4855499999999999</v>
      </c>
      <c r="X168" s="536">
        <f t="shared" si="662"/>
        <v>0</v>
      </c>
      <c r="Y168" s="536">
        <f t="shared" si="663"/>
        <v>0</v>
      </c>
      <c r="Z168" s="536">
        <f t="shared" si="664"/>
        <v>1.7730000000000001</v>
      </c>
      <c r="AA168" s="536">
        <f t="shared" si="665"/>
        <v>0</v>
      </c>
      <c r="AB168" s="496">
        <f t="shared" si="666"/>
        <v>5.35</v>
      </c>
      <c r="AC168" s="251">
        <f t="shared" si="667"/>
        <v>0</v>
      </c>
      <c r="AD168" s="251">
        <f t="shared" si="668"/>
        <v>0</v>
      </c>
      <c r="AE168" s="251">
        <f t="shared" si="669"/>
        <v>0</v>
      </c>
      <c r="AF168" s="251">
        <f t="shared" si="670"/>
        <v>8.0249999999999986</v>
      </c>
      <c r="AG168" s="251">
        <f t="shared" si="671"/>
        <v>1.4605500000000007</v>
      </c>
      <c r="AH168" s="251">
        <f t="shared" si="672"/>
        <v>0</v>
      </c>
      <c r="AI168" s="497" t="str">
        <f t="shared" si="673"/>
        <v>NÃO</v>
      </c>
      <c r="AJ168" s="531">
        <f t="shared" si="674"/>
        <v>0</v>
      </c>
      <c r="AK168" s="531">
        <f t="shared" si="675"/>
        <v>0</v>
      </c>
      <c r="AL168" s="531">
        <f t="shared" si="676"/>
        <v>8.8132491721317834</v>
      </c>
      <c r="AM168" s="493">
        <f t="shared" si="677"/>
        <v>0.26750000000000002</v>
      </c>
      <c r="AN168" s="535">
        <f t="shared" si="678"/>
        <v>0</v>
      </c>
      <c r="AO168" s="531">
        <f t="shared" si="679"/>
        <v>0</v>
      </c>
      <c r="AP168" s="531">
        <f t="shared" si="680"/>
        <v>0</v>
      </c>
      <c r="AQ168" s="531">
        <f t="shared" si="681"/>
        <v>0.7</v>
      </c>
      <c r="AR168" s="531">
        <f t="shared" si="682"/>
        <v>3.072699172131784</v>
      </c>
      <c r="AS168" s="531">
        <f t="shared" si="683"/>
        <v>0</v>
      </c>
      <c r="AT168" s="531">
        <f t="shared" si="684"/>
        <v>0.80249999999999988</v>
      </c>
      <c r="AU168" s="531">
        <f t="shared" si="685"/>
        <v>0.80249999999999988</v>
      </c>
      <c r="AV168" s="531">
        <f t="shared" si="686"/>
        <v>0.16049999999999998</v>
      </c>
      <c r="AW168" s="531">
        <f t="shared" si="687"/>
        <v>3.8680499999999989</v>
      </c>
      <c r="AX168" s="531">
        <f t="shared" si="688"/>
        <v>5.6103508278682153</v>
      </c>
      <c r="AY168" s="531">
        <f t="shared" si="689"/>
        <v>3.8680499999999989</v>
      </c>
      <c r="AZ168" s="531">
        <f t="shared" si="690"/>
        <v>0</v>
      </c>
      <c r="BA168" s="531">
        <f t="shared" si="691"/>
        <v>0</v>
      </c>
      <c r="BB168" s="531">
        <f t="shared" si="692"/>
        <v>0</v>
      </c>
      <c r="BC168" s="531"/>
      <c r="BD168" s="531">
        <f t="shared" si="693"/>
        <v>3.2099999999999997E-2</v>
      </c>
      <c r="BE168" s="496">
        <f t="shared" si="694"/>
        <v>1.7730000000000001</v>
      </c>
      <c r="BF168" s="498">
        <f t="shared" si="695"/>
        <v>0</v>
      </c>
      <c r="BG168" s="498">
        <f t="shared" si="696"/>
        <v>5.35</v>
      </c>
      <c r="BH168" s="532" t="str">
        <f>VLOOKUP(A168,'BOCA DE LOBO'!C:I,7,0)</f>
        <v>BOCA DE LOBO PROJETADA TRIPLA</v>
      </c>
      <c r="BI168" s="531">
        <f t="shared" si="697"/>
        <v>0</v>
      </c>
      <c r="BJ168" s="531">
        <f t="shared" si="698"/>
        <v>0</v>
      </c>
      <c r="BK168" s="531">
        <f t="shared" si="699"/>
        <v>0</v>
      </c>
      <c r="BL168" s="531">
        <f t="shared" si="700"/>
        <v>0</v>
      </c>
      <c r="BM168" s="531">
        <f t="shared" si="701"/>
        <v>0</v>
      </c>
      <c r="BN168" s="531">
        <f t="shared" si="702"/>
        <v>0</v>
      </c>
      <c r="BO168" s="499">
        <f t="shared" si="703"/>
        <v>1</v>
      </c>
      <c r="BP168" s="500"/>
      <c r="BQ168" s="496">
        <f t="shared" si="704"/>
        <v>16.049999999999997</v>
      </c>
      <c r="BR168" s="496">
        <f t="shared" si="705"/>
        <v>2.9211000000000014</v>
      </c>
      <c r="BS168" s="496">
        <f t="shared" si="706"/>
        <v>0</v>
      </c>
      <c r="BT168" s="501"/>
      <c r="BU168" s="501"/>
      <c r="BV168" s="502">
        <f t="shared" si="707"/>
        <v>15.938764799999996</v>
      </c>
      <c r="BW168" s="502">
        <f t="shared" si="708"/>
        <v>10.376799999999998</v>
      </c>
      <c r="BX168" s="502">
        <f t="shared" si="709"/>
        <v>4.4367999999999999</v>
      </c>
      <c r="BY168" s="502">
        <f t="shared" si="710"/>
        <v>1.536</v>
      </c>
      <c r="BZ168" s="502">
        <f t="shared" si="711"/>
        <v>1.536</v>
      </c>
      <c r="CA168" s="502">
        <f t="shared" si="712"/>
        <v>0</v>
      </c>
      <c r="CB168" s="502">
        <f t="shared" si="713"/>
        <v>0</v>
      </c>
      <c r="CC168" s="502">
        <f t="shared" si="714"/>
        <v>15.565199999999997</v>
      </c>
      <c r="CD168" s="502">
        <f t="shared" si="715"/>
        <v>0.37356480000000025</v>
      </c>
      <c r="CE168" s="502">
        <f t="shared" si="716"/>
        <v>0</v>
      </c>
      <c r="CF168" s="502">
        <f t="shared" si="717"/>
        <v>0</v>
      </c>
      <c r="CG168" s="502">
        <f t="shared" si="718"/>
        <v>0</v>
      </c>
      <c r="CH168" s="502">
        <f t="shared" si="719"/>
        <v>0</v>
      </c>
      <c r="CI168" s="531">
        <f t="shared" si="720"/>
        <v>0.71399999999999997</v>
      </c>
      <c r="CJ168" s="502">
        <f t="shared" si="721"/>
        <v>8.4098399999999955</v>
      </c>
      <c r="CK168" s="502">
        <f t="shared" si="722"/>
        <v>8.4098399999999955</v>
      </c>
      <c r="CL168" s="502">
        <f t="shared" si="723"/>
        <v>0</v>
      </c>
      <c r="CM168" s="502">
        <f t="shared" si="724"/>
        <v>0</v>
      </c>
      <c r="CN168" s="502">
        <f t="shared" si="725"/>
        <v>4.76</v>
      </c>
      <c r="CO168" s="502">
        <f t="shared" si="726"/>
        <v>1.536</v>
      </c>
      <c r="CP168" s="502">
        <f t="shared" si="727"/>
        <v>14.28</v>
      </c>
      <c r="CQ168" s="502">
        <f t="shared" si="728"/>
        <v>0.3427200000000003</v>
      </c>
      <c r="CR168" s="220">
        <f t="shared" si="729"/>
        <v>0</v>
      </c>
      <c r="CS168" s="503">
        <f t="shared" si="730"/>
        <v>0</v>
      </c>
      <c r="CT168" s="503">
        <f t="shared" si="731"/>
        <v>0.45984000000000003</v>
      </c>
      <c r="CU168" s="504">
        <f t="shared" si="732"/>
        <v>11.059200000000001</v>
      </c>
      <c r="CV168" s="504">
        <f t="shared" si="733"/>
        <v>1.5688800000000001</v>
      </c>
      <c r="CW168" s="502">
        <f t="shared" si="734"/>
        <v>20.3674</v>
      </c>
      <c r="CX168" s="531">
        <f t="shared" si="735"/>
        <v>4.76</v>
      </c>
      <c r="CY168" s="537">
        <f t="shared" si="736"/>
        <v>2.38</v>
      </c>
      <c r="CZ168" s="502">
        <f t="shared" si="737"/>
        <v>2.4513847475961154E-2</v>
      </c>
    </row>
    <row r="169" spans="1:104" ht="25" x14ac:dyDescent="0.25">
      <c r="A169" s="413" t="str">
        <f>'BOCA DE LOBO'!C163</f>
        <v>BL78-&gt;PV2-106</v>
      </c>
      <c r="B169" s="413" t="str">
        <f>'BOCA DE LOBO'!A163</f>
        <v>PV2-106</v>
      </c>
      <c r="C169" s="413" t="str">
        <f>VLOOKUP(A169,'BOCA DE LOBO'!$C$82:$Q$270,3,0)</f>
        <v>EXISTENTE</v>
      </c>
      <c r="D169" s="413" t="str">
        <f>VLOOKUP(A169,'BOCA DE LOBO'!$C$82:$Q$270,10,0)</f>
        <v>PROJETADA</v>
      </c>
      <c r="E169" s="413">
        <f t="shared" si="652"/>
        <v>1.5279999999999909</v>
      </c>
      <c r="F169" s="413">
        <f>VLOOKUP(A169,'BOCA DE LOBO'!$C$82:$Q$270,2,0)</f>
        <v>1.7599999999999909</v>
      </c>
      <c r="G169" s="413">
        <f>VLOOKUP(A169,'BOCA DE LOBO'!$C$82:$Q$270,4,0)</f>
        <v>5.8</v>
      </c>
      <c r="H169" s="412">
        <v>400</v>
      </c>
      <c r="I169" s="493">
        <f t="shared" si="653"/>
        <v>1.7739999999999909</v>
      </c>
      <c r="J169" s="493">
        <f t="shared" si="654"/>
        <v>0.51445999999999736</v>
      </c>
      <c r="K169" s="530">
        <v>0</v>
      </c>
      <c r="L169" s="531">
        <f t="shared" si="655"/>
        <v>1</v>
      </c>
      <c r="M169" s="531">
        <f t="shared" si="656"/>
        <v>1</v>
      </c>
      <c r="N169" s="531">
        <f t="shared" si="657"/>
        <v>0</v>
      </c>
      <c r="O169" s="531">
        <f t="shared" si="658"/>
        <v>5.8</v>
      </c>
      <c r="P169" s="532" t="s">
        <v>2392</v>
      </c>
      <c r="Q169" s="539" t="s">
        <v>2971</v>
      </c>
      <c r="R169" s="534">
        <v>1</v>
      </c>
      <c r="S169" s="532">
        <v>5</v>
      </c>
      <c r="T169" s="532">
        <v>5</v>
      </c>
      <c r="U169" s="531">
        <f t="shared" si="659"/>
        <v>0.05</v>
      </c>
      <c r="V169" s="535">
        <f t="shared" si="660"/>
        <v>0</v>
      </c>
      <c r="W169" s="535">
        <f t="shared" si="661"/>
        <v>12.609199999999948</v>
      </c>
      <c r="X169" s="536">
        <f t="shared" si="662"/>
        <v>0</v>
      </c>
      <c r="Y169" s="536">
        <f t="shared" si="663"/>
        <v>2.1739999999999911</v>
      </c>
      <c r="Z169" s="536">
        <f t="shared" si="664"/>
        <v>0</v>
      </c>
      <c r="AA169" s="536">
        <f t="shared" si="665"/>
        <v>1.7739999999999909</v>
      </c>
      <c r="AB169" s="496">
        <f t="shared" si="666"/>
        <v>5.8</v>
      </c>
      <c r="AC169" s="251">
        <f t="shared" si="667"/>
        <v>8.6999999999999993</v>
      </c>
      <c r="AD169" s="251">
        <f t="shared" si="668"/>
        <v>3.9091999999999478</v>
      </c>
      <c r="AE169" s="251">
        <f t="shared" si="669"/>
        <v>0</v>
      </c>
      <c r="AF169" s="251">
        <f t="shared" si="670"/>
        <v>0</v>
      </c>
      <c r="AG169" s="251">
        <f t="shared" si="671"/>
        <v>0</v>
      </c>
      <c r="AH169" s="251">
        <f t="shared" si="672"/>
        <v>0</v>
      </c>
      <c r="AI169" s="497" t="str">
        <f t="shared" si="673"/>
        <v>NÃO</v>
      </c>
      <c r="AJ169" s="531">
        <f t="shared" si="674"/>
        <v>0</v>
      </c>
      <c r="AK169" s="531">
        <f t="shared" si="675"/>
        <v>0</v>
      </c>
      <c r="AL169" s="531">
        <f t="shared" si="676"/>
        <v>11.880350504367115</v>
      </c>
      <c r="AM169" s="493">
        <f t="shared" si="677"/>
        <v>0.28999999999999998</v>
      </c>
      <c r="AN169" s="535">
        <f t="shared" si="678"/>
        <v>0</v>
      </c>
      <c r="AO169" s="531">
        <f t="shared" si="679"/>
        <v>2.3199999999999998</v>
      </c>
      <c r="AP169" s="531">
        <f t="shared" si="680"/>
        <v>2.3199999999999998</v>
      </c>
      <c r="AQ169" s="531">
        <f t="shared" si="681"/>
        <v>0.7</v>
      </c>
      <c r="AR169" s="531">
        <f t="shared" si="682"/>
        <v>3.3311505043671676</v>
      </c>
      <c r="AS169" s="531">
        <f t="shared" si="683"/>
        <v>3.3311505043671676</v>
      </c>
      <c r="AT169" s="531">
        <f t="shared" si="684"/>
        <v>0.87</v>
      </c>
      <c r="AU169" s="531">
        <f t="shared" si="685"/>
        <v>0.87</v>
      </c>
      <c r="AV169" s="531">
        <f t="shared" si="686"/>
        <v>0.17399999999999999</v>
      </c>
      <c r="AW169" s="531">
        <f t="shared" si="687"/>
        <v>4.1991999999999488</v>
      </c>
      <c r="AX169" s="531">
        <f t="shared" si="688"/>
        <v>-6.5211505043671671</v>
      </c>
      <c r="AY169" s="531">
        <f t="shared" si="689"/>
        <v>-6.5211505043671671</v>
      </c>
      <c r="AZ169" s="531">
        <f t="shared" si="690"/>
        <v>10.720350504367115</v>
      </c>
      <c r="BA169" s="531">
        <f t="shared" si="691"/>
        <v>2.1647658203268958</v>
      </c>
      <c r="BB169" s="531">
        <f t="shared" si="692"/>
        <v>8.5555846840402197</v>
      </c>
      <c r="BC169" s="531"/>
      <c r="BD169" s="531">
        <f t="shared" si="693"/>
        <v>0.12759999999999999</v>
      </c>
      <c r="BE169" s="496">
        <f t="shared" si="694"/>
        <v>1.7739999999999909</v>
      </c>
      <c r="BF169" s="498">
        <f t="shared" si="695"/>
        <v>0</v>
      </c>
      <c r="BG169" s="498">
        <f t="shared" si="696"/>
        <v>5.8</v>
      </c>
      <c r="BH169" s="532" t="str">
        <f>VLOOKUP(A169,'BOCA DE LOBO'!C:I,7,0)</f>
        <v>BOCA DE LOBO PROJETADA DUPLA</v>
      </c>
      <c r="BI169" s="531">
        <f t="shared" si="697"/>
        <v>0</v>
      </c>
      <c r="BJ169" s="531">
        <f t="shared" si="698"/>
        <v>0</v>
      </c>
      <c r="BK169" s="531">
        <f t="shared" si="699"/>
        <v>0</v>
      </c>
      <c r="BL169" s="531">
        <f t="shared" si="700"/>
        <v>0</v>
      </c>
      <c r="BM169" s="531">
        <f t="shared" si="701"/>
        <v>0</v>
      </c>
      <c r="BN169" s="531">
        <f t="shared" si="702"/>
        <v>1</v>
      </c>
      <c r="BO169" s="499">
        <f t="shared" si="703"/>
        <v>0</v>
      </c>
      <c r="BP169" s="500"/>
      <c r="BQ169" s="496">
        <f t="shared" si="704"/>
        <v>17.399999999999999</v>
      </c>
      <c r="BR169" s="496">
        <f t="shared" si="705"/>
        <v>8.9783999999998976</v>
      </c>
      <c r="BS169" s="496">
        <f t="shared" si="706"/>
        <v>0</v>
      </c>
      <c r="BT169" s="501"/>
      <c r="BU169" s="501"/>
      <c r="BV169" s="502">
        <f t="shared" si="707"/>
        <v>15.783112799999925</v>
      </c>
      <c r="BW169" s="502">
        <f t="shared" si="708"/>
        <v>7.7825999999999986</v>
      </c>
      <c r="BX169" s="502">
        <f t="shared" si="709"/>
        <v>3.0325999999999995</v>
      </c>
      <c r="BY169" s="502">
        <f t="shared" si="710"/>
        <v>1.5279999999999909</v>
      </c>
      <c r="BZ169" s="502">
        <f t="shared" si="711"/>
        <v>0</v>
      </c>
      <c r="CA169" s="502">
        <f t="shared" si="712"/>
        <v>1.9279999999999911</v>
      </c>
      <c r="CB169" s="502">
        <f t="shared" si="713"/>
        <v>0</v>
      </c>
      <c r="CC169" s="502">
        <f t="shared" si="714"/>
        <v>0</v>
      </c>
      <c r="CD169" s="502">
        <f t="shared" si="715"/>
        <v>0</v>
      </c>
      <c r="CE169" s="502">
        <f t="shared" si="716"/>
        <v>11.673899999999998</v>
      </c>
      <c r="CF169" s="502">
        <f t="shared" si="717"/>
        <v>3.3309527999999298</v>
      </c>
      <c r="CG169" s="502">
        <f t="shared" si="718"/>
        <v>0.77825999999999773</v>
      </c>
      <c r="CH169" s="502">
        <f t="shared" si="719"/>
        <v>0</v>
      </c>
      <c r="CI169" s="531">
        <f t="shared" si="720"/>
        <v>0.53549999999999998</v>
      </c>
      <c r="CJ169" s="502">
        <f t="shared" si="721"/>
        <v>8.6224999999999543</v>
      </c>
      <c r="CK169" s="502">
        <f t="shared" si="722"/>
        <v>8.6224999999999543</v>
      </c>
      <c r="CL169" s="502">
        <f t="shared" si="723"/>
        <v>0</v>
      </c>
      <c r="CM169" s="502">
        <f t="shared" si="724"/>
        <v>0.15565199999999998</v>
      </c>
      <c r="CN169" s="502">
        <f t="shared" si="725"/>
        <v>3.57</v>
      </c>
      <c r="CO169" s="502">
        <f t="shared" si="726"/>
        <v>2.0279999999999907</v>
      </c>
      <c r="CP169" s="502">
        <f t="shared" si="727"/>
        <v>10.709999999999999</v>
      </c>
      <c r="CQ169" s="502">
        <f t="shared" si="728"/>
        <v>3.7699199999999333</v>
      </c>
      <c r="CR169" s="220">
        <f t="shared" si="729"/>
        <v>0</v>
      </c>
      <c r="CS169" s="503">
        <f t="shared" si="730"/>
        <v>0</v>
      </c>
      <c r="CT169" s="503">
        <f t="shared" si="731"/>
        <v>0.33012999999999998</v>
      </c>
      <c r="CU169" s="504">
        <f t="shared" si="732"/>
        <v>7.9455999999999527</v>
      </c>
      <c r="CV169" s="504">
        <f t="shared" si="733"/>
        <v>1.1415179999999971</v>
      </c>
      <c r="CW169" s="502">
        <f t="shared" si="734"/>
        <v>15.78323999999993</v>
      </c>
      <c r="CX169" s="531">
        <f t="shared" si="735"/>
        <v>3.57</v>
      </c>
      <c r="CY169" s="537">
        <f t="shared" si="736"/>
        <v>1.7849999999999999</v>
      </c>
      <c r="CZ169" s="502">
        <f t="shared" si="737"/>
        <v>2.4513847475961154E-2</v>
      </c>
    </row>
    <row r="170" spans="1:104" ht="25" x14ac:dyDescent="0.25">
      <c r="A170" s="413" t="str">
        <f>'BOCA DE LOBO'!C164</f>
        <v>BL79-&gt;PV3-106</v>
      </c>
      <c r="B170" s="413" t="str">
        <f>'BOCA DE LOBO'!A164</f>
        <v>PV3-106</v>
      </c>
      <c r="C170" s="413" t="str">
        <f>VLOOKUP(A170,'BOCA DE LOBO'!$C$82:$Q$270,3,0)</f>
        <v>EXISTENTE</v>
      </c>
      <c r="D170" s="413" t="str">
        <f>VLOOKUP(A170,'BOCA DE LOBO'!$C$82:$Q$270,10,0)</f>
        <v>PROJETADA</v>
      </c>
      <c r="E170" s="413">
        <f t="shared" si="652"/>
        <v>1.6351999999998998</v>
      </c>
      <c r="F170" s="413">
        <f>VLOOKUP(A170,'BOCA DE LOBO'!$C$82:$Q$270,2,0)</f>
        <v>1.8599999999999</v>
      </c>
      <c r="G170" s="413">
        <f>VLOOKUP(A170,'BOCA DE LOBO'!$C$82:$Q$270,4,0)</f>
        <v>5.62</v>
      </c>
      <c r="H170" s="412">
        <v>400</v>
      </c>
      <c r="I170" s="493">
        <f t="shared" si="653"/>
        <v>1.8775999999999</v>
      </c>
      <c r="J170" s="493">
        <f t="shared" si="654"/>
        <v>0.52760559999997192</v>
      </c>
      <c r="K170" s="530">
        <v>0</v>
      </c>
      <c r="L170" s="531">
        <f t="shared" si="655"/>
        <v>1</v>
      </c>
      <c r="M170" s="531">
        <f t="shared" si="656"/>
        <v>1</v>
      </c>
      <c r="N170" s="531">
        <f t="shared" si="657"/>
        <v>0</v>
      </c>
      <c r="O170" s="531">
        <f t="shared" si="658"/>
        <v>5.62</v>
      </c>
      <c r="P170" s="532" t="s">
        <v>2392</v>
      </c>
      <c r="Q170" s="539" t="s">
        <v>2969</v>
      </c>
      <c r="R170" s="534">
        <v>1</v>
      </c>
      <c r="S170" s="532">
        <v>5</v>
      </c>
      <c r="T170" s="532">
        <v>5</v>
      </c>
      <c r="U170" s="531">
        <f t="shared" si="659"/>
        <v>0.05</v>
      </c>
      <c r="V170" s="535">
        <f t="shared" si="660"/>
        <v>0</v>
      </c>
      <c r="W170" s="535">
        <f t="shared" si="661"/>
        <v>12.800111999999437</v>
      </c>
      <c r="X170" s="536">
        <f t="shared" si="662"/>
        <v>0</v>
      </c>
      <c r="Y170" s="536">
        <f t="shared" si="663"/>
        <v>2.2775999999999001</v>
      </c>
      <c r="Z170" s="536">
        <f t="shared" si="664"/>
        <v>0</v>
      </c>
      <c r="AA170" s="536">
        <f t="shared" si="665"/>
        <v>1.8775999999999</v>
      </c>
      <c r="AB170" s="496">
        <f t="shared" si="666"/>
        <v>5.62</v>
      </c>
      <c r="AC170" s="251">
        <f t="shared" si="667"/>
        <v>8.43</v>
      </c>
      <c r="AD170" s="251">
        <f t="shared" si="668"/>
        <v>4.3701119999994393</v>
      </c>
      <c r="AE170" s="251">
        <f t="shared" si="669"/>
        <v>0</v>
      </c>
      <c r="AF170" s="251">
        <f t="shared" si="670"/>
        <v>0</v>
      </c>
      <c r="AG170" s="251">
        <f t="shared" si="671"/>
        <v>0</v>
      </c>
      <c r="AH170" s="251">
        <f t="shared" si="672"/>
        <v>0</v>
      </c>
      <c r="AI170" s="497" t="str">
        <f t="shared" si="673"/>
        <v>NÃO</v>
      </c>
      <c r="AJ170" s="531">
        <f t="shared" si="674"/>
        <v>0</v>
      </c>
      <c r="AK170" s="531">
        <f t="shared" si="675"/>
        <v>0</v>
      </c>
      <c r="AL170" s="531">
        <f t="shared" si="676"/>
        <v>12.093881971472452</v>
      </c>
      <c r="AM170" s="493">
        <f t="shared" si="677"/>
        <v>0.28100000000000003</v>
      </c>
      <c r="AN170" s="535">
        <f t="shared" si="678"/>
        <v>0</v>
      </c>
      <c r="AO170" s="531">
        <f t="shared" si="679"/>
        <v>2.2480000000000002</v>
      </c>
      <c r="AP170" s="531">
        <f t="shared" si="680"/>
        <v>2.2480000000000002</v>
      </c>
      <c r="AQ170" s="531">
        <f t="shared" si="681"/>
        <v>0.7</v>
      </c>
      <c r="AR170" s="531">
        <f t="shared" si="682"/>
        <v>3.2277699714730144</v>
      </c>
      <c r="AS170" s="531">
        <f t="shared" si="683"/>
        <v>3.2277699714730144</v>
      </c>
      <c r="AT170" s="531">
        <f t="shared" si="684"/>
        <v>0.84299999999999997</v>
      </c>
      <c r="AU170" s="531">
        <f t="shared" si="685"/>
        <v>0.84299999999999997</v>
      </c>
      <c r="AV170" s="531">
        <f t="shared" si="686"/>
        <v>0.1686</v>
      </c>
      <c r="AW170" s="531">
        <f t="shared" si="687"/>
        <v>4.6511119999994364</v>
      </c>
      <c r="AX170" s="531">
        <f t="shared" si="688"/>
        <v>-6.3187699714730146</v>
      </c>
      <c r="AY170" s="531">
        <f t="shared" si="689"/>
        <v>-6.3187699714730146</v>
      </c>
      <c r="AZ170" s="531">
        <f t="shared" si="690"/>
        <v>10.96988197147245</v>
      </c>
      <c r="BA170" s="531">
        <f t="shared" si="691"/>
        <v>2.2151538361726097</v>
      </c>
      <c r="BB170" s="531">
        <f t="shared" si="692"/>
        <v>8.7547281352998407</v>
      </c>
      <c r="BC170" s="531"/>
      <c r="BD170" s="531">
        <f t="shared" si="693"/>
        <v>0.12364000000000001</v>
      </c>
      <c r="BE170" s="496">
        <f t="shared" si="694"/>
        <v>1.8775999999999</v>
      </c>
      <c r="BF170" s="498">
        <f t="shared" si="695"/>
        <v>0</v>
      </c>
      <c r="BG170" s="498">
        <f t="shared" si="696"/>
        <v>5.62</v>
      </c>
      <c r="BH170" s="532" t="str">
        <f>VLOOKUP(A170,'BOCA DE LOBO'!C:I,7,0)</f>
        <v>BOCA DE LOBO PROJETADA DUPLA</v>
      </c>
      <c r="BI170" s="531">
        <f t="shared" si="697"/>
        <v>0</v>
      </c>
      <c r="BJ170" s="531">
        <f t="shared" si="698"/>
        <v>0</v>
      </c>
      <c r="BK170" s="531">
        <f t="shared" si="699"/>
        <v>0</v>
      </c>
      <c r="BL170" s="531">
        <f t="shared" si="700"/>
        <v>0</v>
      </c>
      <c r="BM170" s="531">
        <f t="shared" si="701"/>
        <v>0</v>
      </c>
      <c r="BN170" s="531">
        <f t="shared" si="702"/>
        <v>1</v>
      </c>
      <c r="BO170" s="499">
        <f t="shared" si="703"/>
        <v>0</v>
      </c>
      <c r="BP170" s="500"/>
      <c r="BQ170" s="496">
        <f t="shared" si="704"/>
        <v>16.86</v>
      </c>
      <c r="BR170" s="496">
        <f t="shared" si="705"/>
        <v>9.8642239999988739</v>
      </c>
      <c r="BS170" s="496">
        <f t="shared" si="706"/>
        <v>0</v>
      </c>
      <c r="BT170" s="501"/>
      <c r="BU170" s="501"/>
      <c r="BV170" s="502">
        <f t="shared" si="707"/>
        <v>16.617407519999219</v>
      </c>
      <c r="BW170" s="502">
        <f t="shared" si="708"/>
        <v>7.7825999999999986</v>
      </c>
      <c r="BX170" s="502">
        <f t="shared" si="709"/>
        <v>3.0325999999999995</v>
      </c>
      <c r="BY170" s="502">
        <f t="shared" si="710"/>
        <v>1.6351999999998998</v>
      </c>
      <c r="BZ170" s="502">
        <f t="shared" si="711"/>
        <v>0</v>
      </c>
      <c r="CA170" s="502">
        <f t="shared" si="712"/>
        <v>2.0351999999998998</v>
      </c>
      <c r="CB170" s="502">
        <f t="shared" si="713"/>
        <v>0</v>
      </c>
      <c r="CC170" s="502">
        <f t="shared" si="714"/>
        <v>0</v>
      </c>
      <c r="CD170" s="502">
        <f t="shared" si="715"/>
        <v>0</v>
      </c>
      <c r="CE170" s="502">
        <f t="shared" si="716"/>
        <v>11.673899999999998</v>
      </c>
      <c r="CF170" s="502">
        <f t="shared" si="717"/>
        <v>4.1652475199992187</v>
      </c>
      <c r="CG170" s="502">
        <f t="shared" si="718"/>
        <v>0.77826000000000306</v>
      </c>
      <c r="CH170" s="502">
        <f t="shared" si="719"/>
        <v>0</v>
      </c>
      <c r="CI170" s="531">
        <f t="shared" si="720"/>
        <v>0.53549999999999998</v>
      </c>
      <c r="CJ170" s="502">
        <f t="shared" si="721"/>
        <v>9.1316999999995208</v>
      </c>
      <c r="CK170" s="502">
        <f t="shared" si="722"/>
        <v>9.1316999999995208</v>
      </c>
      <c r="CL170" s="502">
        <f t="shared" si="723"/>
        <v>0</v>
      </c>
      <c r="CM170" s="502">
        <f t="shared" si="724"/>
        <v>0.15565199999999998</v>
      </c>
      <c r="CN170" s="502">
        <f t="shared" si="725"/>
        <v>3.57</v>
      </c>
      <c r="CO170" s="502">
        <f t="shared" si="726"/>
        <v>2.1351999999998998</v>
      </c>
      <c r="CP170" s="502">
        <f t="shared" si="727"/>
        <v>10.709999999999999</v>
      </c>
      <c r="CQ170" s="502">
        <f t="shared" si="728"/>
        <v>4.5353279999992848</v>
      </c>
      <c r="CR170" s="220">
        <f t="shared" si="729"/>
        <v>0</v>
      </c>
      <c r="CS170" s="503">
        <f t="shared" si="730"/>
        <v>0</v>
      </c>
      <c r="CT170" s="503">
        <f t="shared" si="731"/>
        <v>0.33012999999999998</v>
      </c>
      <c r="CU170" s="504">
        <f t="shared" si="732"/>
        <v>8.5030399999994799</v>
      </c>
      <c r="CV170" s="504">
        <f t="shared" si="733"/>
        <v>1.1743211999999692</v>
      </c>
      <c r="CW170" s="502">
        <f t="shared" si="734"/>
        <v>16.606535999999231</v>
      </c>
      <c r="CX170" s="531">
        <f t="shared" si="735"/>
        <v>3.57</v>
      </c>
      <c r="CY170" s="537">
        <f t="shared" si="736"/>
        <v>1.7849999999999999</v>
      </c>
      <c r="CZ170" s="502">
        <f t="shared" si="737"/>
        <v>2.4513847475961154E-2</v>
      </c>
    </row>
    <row r="171" spans="1:104" ht="25" x14ac:dyDescent="0.25">
      <c r="A171" s="413" t="str">
        <f>'BOCA DE LOBO'!C165</f>
        <v>BL80-&gt;PV1-107</v>
      </c>
      <c r="B171" s="413" t="str">
        <f>'BOCA DE LOBO'!A165</f>
        <v>PV1-107</v>
      </c>
      <c r="C171" s="413" t="str">
        <f>VLOOKUP(A171,'BOCA DE LOBO'!$C$82:$Q$270,3,0)</f>
        <v>EXISTENTE</v>
      </c>
      <c r="D171" s="413" t="str">
        <f>VLOOKUP(A171,'BOCA DE LOBO'!$C$82:$Q$270,10,0)</f>
        <v>PROJETADA</v>
      </c>
      <c r="E171" s="413">
        <f t="shared" si="652"/>
        <v>1.5144</v>
      </c>
      <c r="F171" s="413">
        <f>VLOOKUP(A171,'BOCA DE LOBO'!$C$82:$Q$270,2,0)</f>
        <v>1.75</v>
      </c>
      <c r="G171" s="413">
        <f>VLOOKUP(A171,'BOCA DE LOBO'!$C$82:$Q$270,4,0)</f>
        <v>5.89</v>
      </c>
      <c r="H171" s="412">
        <v>400</v>
      </c>
      <c r="I171" s="493">
        <f t="shared" si="653"/>
        <v>1.7622000000000002</v>
      </c>
      <c r="J171" s="493">
        <f t="shared" si="654"/>
        <v>0.51896790000000004</v>
      </c>
      <c r="K171" s="530">
        <v>0</v>
      </c>
      <c r="L171" s="531">
        <f t="shared" si="655"/>
        <v>1</v>
      </c>
      <c r="M171" s="531">
        <f t="shared" si="656"/>
        <v>1</v>
      </c>
      <c r="N171" s="531">
        <f t="shared" si="657"/>
        <v>0</v>
      </c>
      <c r="O171" s="531">
        <f t="shared" si="658"/>
        <v>5.89</v>
      </c>
      <c r="P171" s="532" t="s">
        <v>2392</v>
      </c>
      <c r="Q171" s="539" t="s">
        <v>2974</v>
      </c>
      <c r="R171" s="534"/>
      <c r="S171" s="532">
        <v>5</v>
      </c>
      <c r="T171" s="532">
        <v>5</v>
      </c>
      <c r="U171" s="531">
        <f t="shared" si="659"/>
        <v>0.05</v>
      </c>
      <c r="V171" s="535">
        <f t="shared" si="660"/>
        <v>0</v>
      </c>
      <c r="W171" s="535">
        <f t="shared" si="661"/>
        <v>10.379358</v>
      </c>
      <c r="X171" s="536">
        <f t="shared" si="662"/>
        <v>0</v>
      </c>
      <c r="Y171" s="536">
        <f t="shared" si="663"/>
        <v>0</v>
      </c>
      <c r="Z171" s="536">
        <f t="shared" si="664"/>
        <v>1.7622000000000002</v>
      </c>
      <c r="AA171" s="536">
        <f t="shared" si="665"/>
        <v>0</v>
      </c>
      <c r="AB171" s="496">
        <f t="shared" si="666"/>
        <v>5.89</v>
      </c>
      <c r="AC171" s="251">
        <f t="shared" si="667"/>
        <v>0</v>
      </c>
      <c r="AD171" s="251">
        <f t="shared" si="668"/>
        <v>0</v>
      </c>
      <c r="AE171" s="251">
        <f t="shared" si="669"/>
        <v>0</v>
      </c>
      <c r="AF171" s="251">
        <f t="shared" si="670"/>
        <v>8.8349999999999991</v>
      </c>
      <c r="AG171" s="251">
        <f t="shared" si="671"/>
        <v>1.5443580000000012</v>
      </c>
      <c r="AH171" s="251">
        <f t="shared" si="672"/>
        <v>0</v>
      </c>
      <c r="AI171" s="497" t="str">
        <f t="shared" si="673"/>
        <v>NÃO</v>
      </c>
      <c r="AJ171" s="531">
        <f t="shared" si="674"/>
        <v>0</v>
      </c>
      <c r="AK171" s="531">
        <f t="shared" si="675"/>
        <v>0</v>
      </c>
      <c r="AL171" s="531">
        <f t="shared" si="676"/>
        <v>9.6391987708142448</v>
      </c>
      <c r="AM171" s="493">
        <f t="shared" si="677"/>
        <v>0.29449999999999998</v>
      </c>
      <c r="AN171" s="535">
        <f t="shared" si="678"/>
        <v>0</v>
      </c>
      <c r="AO171" s="531">
        <f t="shared" si="679"/>
        <v>0</v>
      </c>
      <c r="AP171" s="531">
        <f t="shared" si="680"/>
        <v>0</v>
      </c>
      <c r="AQ171" s="531">
        <f t="shared" si="681"/>
        <v>0.7</v>
      </c>
      <c r="AR171" s="531">
        <f t="shared" si="682"/>
        <v>3.3828407708142443</v>
      </c>
      <c r="AS171" s="531">
        <f t="shared" si="683"/>
        <v>0</v>
      </c>
      <c r="AT171" s="531">
        <f t="shared" si="684"/>
        <v>0.88349999999999995</v>
      </c>
      <c r="AU171" s="531">
        <f t="shared" si="685"/>
        <v>0.88349999999999995</v>
      </c>
      <c r="AV171" s="531">
        <f t="shared" si="686"/>
        <v>0.1767</v>
      </c>
      <c r="AW171" s="531">
        <f t="shared" si="687"/>
        <v>4.1948580000000018</v>
      </c>
      <c r="AX171" s="531">
        <f t="shared" si="688"/>
        <v>6.1130172291857559</v>
      </c>
      <c r="AY171" s="531">
        <f t="shared" si="689"/>
        <v>4.1948580000000018</v>
      </c>
      <c r="AZ171" s="531">
        <f t="shared" si="690"/>
        <v>0</v>
      </c>
      <c r="BA171" s="531">
        <f t="shared" si="691"/>
        <v>0</v>
      </c>
      <c r="BB171" s="531">
        <f t="shared" si="692"/>
        <v>0</v>
      </c>
      <c r="BC171" s="531"/>
      <c r="BD171" s="531">
        <f t="shared" si="693"/>
        <v>3.5339999999999996E-2</v>
      </c>
      <c r="BE171" s="496">
        <f t="shared" si="694"/>
        <v>1.7622000000000002</v>
      </c>
      <c r="BF171" s="498">
        <f t="shared" si="695"/>
        <v>0</v>
      </c>
      <c r="BG171" s="498">
        <f t="shared" si="696"/>
        <v>5.89</v>
      </c>
      <c r="BH171" s="532" t="str">
        <f>VLOOKUP(A171,'BOCA DE LOBO'!C:I,7,0)</f>
        <v>BOCA DE LOBO PROJETADA TRIPLA</v>
      </c>
      <c r="BI171" s="531">
        <f t="shared" si="697"/>
        <v>0</v>
      </c>
      <c r="BJ171" s="531">
        <f t="shared" si="698"/>
        <v>0</v>
      </c>
      <c r="BK171" s="531">
        <f t="shared" si="699"/>
        <v>0</v>
      </c>
      <c r="BL171" s="531">
        <f t="shared" si="700"/>
        <v>0</v>
      </c>
      <c r="BM171" s="531">
        <f t="shared" si="701"/>
        <v>0</v>
      </c>
      <c r="BN171" s="531">
        <f t="shared" si="702"/>
        <v>0</v>
      </c>
      <c r="BO171" s="499">
        <f t="shared" si="703"/>
        <v>1</v>
      </c>
      <c r="BP171" s="500"/>
      <c r="BQ171" s="496">
        <f t="shared" si="704"/>
        <v>17.669999999999998</v>
      </c>
      <c r="BR171" s="496">
        <f t="shared" si="705"/>
        <v>3.0887160000000025</v>
      </c>
      <c r="BS171" s="496">
        <f t="shared" si="706"/>
        <v>0</v>
      </c>
      <c r="BT171" s="501"/>
      <c r="BU171" s="501"/>
      <c r="BV171" s="502">
        <f t="shared" si="707"/>
        <v>15.714625919999996</v>
      </c>
      <c r="BW171" s="502">
        <f t="shared" si="708"/>
        <v>10.376799999999998</v>
      </c>
      <c r="BX171" s="502">
        <f t="shared" si="709"/>
        <v>4.4367999999999999</v>
      </c>
      <c r="BY171" s="502">
        <f t="shared" si="710"/>
        <v>1.5144</v>
      </c>
      <c r="BZ171" s="502">
        <f t="shared" si="711"/>
        <v>1.5144</v>
      </c>
      <c r="CA171" s="502">
        <f t="shared" si="712"/>
        <v>0</v>
      </c>
      <c r="CB171" s="502">
        <f t="shared" si="713"/>
        <v>0</v>
      </c>
      <c r="CC171" s="502">
        <f t="shared" si="714"/>
        <v>15.565199999999997</v>
      </c>
      <c r="CD171" s="502">
        <f t="shared" si="715"/>
        <v>0.14942591999999963</v>
      </c>
      <c r="CE171" s="502">
        <f t="shared" si="716"/>
        <v>0</v>
      </c>
      <c r="CF171" s="502">
        <f t="shared" si="717"/>
        <v>0</v>
      </c>
      <c r="CG171" s="502">
        <f t="shared" si="718"/>
        <v>0</v>
      </c>
      <c r="CH171" s="502">
        <f t="shared" si="719"/>
        <v>0</v>
      </c>
      <c r="CI171" s="531">
        <f t="shared" si="720"/>
        <v>0.71399999999999997</v>
      </c>
      <c r="CJ171" s="502">
        <f t="shared" si="721"/>
        <v>8.2815359999999956</v>
      </c>
      <c r="CK171" s="502">
        <f t="shared" si="722"/>
        <v>8.2815359999999956</v>
      </c>
      <c r="CL171" s="502">
        <f t="shared" si="723"/>
        <v>0</v>
      </c>
      <c r="CM171" s="502">
        <f t="shared" si="724"/>
        <v>0</v>
      </c>
      <c r="CN171" s="502">
        <f t="shared" si="725"/>
        <v>4.76</v>
      </c>
      <c r="CO171" s="502">
        <f t="shared" si="726"/>
        <v>1.5144</v>
      </c>
      <c r="CP171" s="502">
        <f t="shared" si="727"/>
        <v>14.28</v>
      </c>
      <c r="CQ171" s="502">
        <f t="shared" si="728"/>
        <v>0.13708799999999968</v>
      </c>
      <c r="CR171" s="220">
        <f t="shared" si="729"/>
        <v>0</v>
      </c>
      <c r="CS171" s="503">
        <f t="shared" si="730"/>
        <v>0</v>
      </c>
      <c r="CT171" s="503">
        <f t="shared" si="731"/>
        <v>0.45984000000000003</v>
      </c>
      <c r="CU171" s="504">
        <f t="shared" si="732"/>
        <v>10.90368</v>
      </c>
      <c r="CV171" s="504">
        <f t="shared" si="733"/>
        <v>1.5606180000000001</v>
      </c>
      <c r="CW171" s="502">
        <f t="shared" si="734"/>
        <v>20.160040000000002</v>
      </c>
      <c r="CX171" s="531">
        <f t="shared" si="735"/>
        <v>4.76</v>
      </c>
      <c r="CY171" s="537">
        <f t="shared" si="736"/>
        <v>2.38</v>
      </c>
      <c r="CZ171" s="502">
        <f t="shared" si="737"/>
        <v>2.4513847475961154E-2</v>
      </c>
    </row>
    <row r="172" spans="1:104" ht="25" x14ac:dyDescent="0.25">
      <c r="A172" s="413" t="str">
        <f>'BOCA DE LOBO'!C166</f>
        <v>BL81-&gt;PV2-107</v>
      </c>
      <c r="B172" s="413" t="str">
        <f>'BOCA DE LOBO'!A166</f>
        <v>PV2-107</v>
      </c>
      <c r="C172" s="413" t="str">
        <f>VLOOKUP(A172,'BOCA DE LOBO'!$C$82:$Q$270,3,0)</f>
        <v>EXISTENTE</v>
      </c>
      <c r="D172" s="413" t="str">
        <f>VLOOKUP(A172,'BOCA DE LOBO'!$C$82:$Q$270,10,0)</f>
        <v>PROJETADA</v>
      </c>
      <c r="E172" s="413">
        <f t="shared" si="652"/>
        <v>1.6699999999999773</v>
      </c>
      <c r="F172" s="413">
        <f>VLOOKUP(A172,'BOCA DE LOBO'!$C$82:$Q$270,2,0)</f>
        <v>1.8999999999999773</v>
      </c>
      <c r="G172" s="413">
        <f>VLOOKUP(A172,'BOCA DE LOBO'!$C$82:$Q$270,4,0)</f>
        <v>5.75</v>
      </c>
      <c r="H172" s="412">
        <v>400</v>
      </c>
      <c r="I172" s="493">
        <f t="shared" si="653"/>
        <v>1.9149999999999774</v>
      </c>
      <c r="J172" s="493">
        <f t="shared" si="654"/>
        <v>0.55056249999999352</v>
      </c>
      <c r="K172" s="530">
        <v>0</v>
      </c>
      <c r="L172" s="531">
        <f t="shared" si="655"/>
        <v>1</v>
      </c>
      <c r="M172" s="531">
        <f t="shared" si="656"/>
        <v>1</v>
      </c>
      <c r="N172" s="531">
        <f t="shared" si="657"/>
        <v>0</v>
      </c>
      <c r="O172" s="531">
        <f t="shared" si="658"/>
        <v>5.75</v>
      </c>
      <c r="P172" s="532" t="s">
        <v>2392</v>
      </c>
      <c r="Q172" s="539" t="s">
        <v>2974</v>
      </c>
      <c r="R172" s="534"/>
      <c r="S172" s="532">
        <v>5</v>
      </c>
      <c r="T172" s="532">
        <v>5</v>
      </c>
      <c r="U172" s="531">
        <f t="shared" si="659"/>
        <v>0.05</v>
      </c>
      <c r="V172" s="535">
        <f t="shared" si="660"/>
        <v>0</v>
      </c>
      <c r="W172" s="535">
        <f t="shared" si="661"/>
        <v>11.011249999999871</v>
      </c>
      <c r="X172" s="536">
        <f t="shared" si="662"/>
        <v>0</v>
      </c>
      <c r="Y172" s="536">
        <f t="shared" si="663"/>
        <v>0</v>
      </c>
      <c r="Z172" s="536">
        <f t="shared" si="664"/>
        <v>1.9149999999999774</v>
      </c>
      <c r="AA172" s="536">
        <f t="shared" si="665"/>
        <v>0</v>
      </c>
      <c r="AB172" s="496">
        <f t="shared" si="666"/>
        <v>5.75</v>
      </c>
      <c r="AC172" s="251">
        <f t="shared" si="667"/>
        <v>0</v>
      </c>
      <c r="AD172" s="251">
        <f t="shared" si="668"/>
        <v>0</v>
      </c>
      <c r="AE172" s="251">
        <f t="shared" si="669"/>
        <v>0</v>
      </c>
      <c r="AF172" s="251">
        <f t="shared" si="670"/>
        <v>8.625</v>
      </c>
      <c r="AG172" s="251">
        <f t="shared" si="671"/>
        <v>2.3862499999998699</v>
      </c>
      <c r="AH172" s="251">
        <f t="shared" si="672"/>
        <v>0</v>
      </c>
      <c r="AI172" s="497" t="str">
        <f t="shared" si="673"/>
        <v>NÃO</v>
      </c>
      <c r="AJ172" s="531">
        <f t="shared" si="674"/>
        <v>0</v>
      </c>
      <c r="AK172" s="531">
        <f t="shared" si="675"/>
        <v>0</v>
      </c>
      <c r="AL172" s="531">
        <f t="shared" si="676"/>
        <v>10.288683689674219</v>
      </c>
      <c r="AM172" s="493">
        <f t="shared" si="677"/>
        <v>0.28750000000000003</v>
      </c>
      <c r="AN172" s="535">
        <f t="shared" si="678"/>
        <v>0</v>
      </c>
      <c r="AO172" s="531">
        <f t="shared" si="679"/>
        <v>0</v>
      </c>
      <c r="AP172" s="531">
        <f t="shared" si="680"/>
        <v>0</v>
      </c>
      <c r="AQ172" s="531">
        <f t="shared" si="681"/>
        <v>0.7</v>
      </c>
      <c r="AR172" s="531">
        <f t="shared" si="682"/>
        <v>3.3024336896743471</v>
      </c>
      <c r="AS172" s="531">
        <f t="shared" si="683"/>
        <v>0</v>
      </c>
      <c r="AT172" s="531">
        <f t="shared" si="684"/>
        <v>0.86249999999999993</v>
      </c>
      <c r="AU172" s="531">
        <f t="shared" si="685"/>
        <v>0.86249999999999993</v>
      </c>
      <c r="AV172" s="531">
        <f t="shared" si="686"/>
        <v>0.17249999999999999</v>
      </c>
      <c r="AW172" s="531">
        <f t="shared" si="687"/>
        <v>4.9737499999998711</v>
      </c>
      <c r="AX172" s="531">
        <f t="shared" si="688"/>
        <v>6.8463163103255216</v>
      </c>
      <c r="AY172" s="531">
        <f t="shared" si="689"/>
        <v>4.9737499999998711</v>
      </c>
      <c r="AZ172" s="531">
        <f t="shared" si="690"/>
        <v>0</v>
      </c>
      <c r="BA172" s="531">
        <f t="shared" si="691"/>
        <v>0</v>
      </c>
      <c r="BB172" s="531">
        <f t="shared" si="692"/>
        <v>0</v>
      </c>
      <c r="BC172" s="531"/>
      <c r="BD172" s="531">
        <f t="shared" si="693"/>
        <v>3.4499999999999996E-2</v>
      </c>
      <c r="BE172" s="496">
        <f t="shared" si="694"/>
        <v>1.9149999999999774</v>
      </c>
      <c r="BF172" s="498">
        <f t="shared" si="695"/>
        <v>0</v>
      </c>
      <c r="BG172" s="498">
        <f t="shared" si="696"/>
        <v>5.75</v>
      </c>
      <c r="BH172" s="532" t="str">
        <f>VLOOKUP(A172,'BOCA DE LOBO'!C:I,7,0)</f>
        <v>BOCA DE LOBO PROJETADA DUPLA</v>
      </c>
      <c r="BI172" s="531">
        <f t="shared" si="697"/>
        <v>0</v>
      </c>
      <c r="BJ172" s="531">
        <f t="shared" si="698"/>
        <v>0</v>
      </c>
      <c r="BK172" s="531">
        <f t="shared" si="699"/>
        <v>0</v>
      </c>
      <c r="BL172" s="531">
        <f t="shared" si="700"/>
        <v>0</v>
      </c>
      <c r="BM172" s="531">
        <f t="shared" si="701"/>
        <v>0</v>
      </c>
      <c r="BN172" s="531">
        <f t="shared" si="702"/>
        <v>1</v>
      </c>
      <c r="BO172" s="499">
        <f t="shared" si="703"/>
        <v>0</v>
      </c>
      <c r="BP172" s="500"/>
      <c r="BQ172" s="496">
        <f t="shared" si="704"/>
        <v>17.25</v>
      </c>
      <c r="BR172" s="496">
        <f t="shared" si="705"/>
        <v>4.7724999999997397</v>
      </c>
      <c r="BS172" s="496">
        <f t="shared" si="706"/>
        <v>0</v>
      </c>
      <c r="BT172" s="501"/>
      <c r="BU172" s="501"/>
      <c r="BV172" s="502">
        <f t="shared" si="707"/>
        <v>12.996941999999821</v>
      </c>
      <c r="BW172" s="502">
        <f t="shared" si="708"/>
        <v>7.7825999999999986</v>
      </c>
      <c r="BX172" s="502">
        <f t="shared" si="709"/>
        <v>3.0325999999999995</v>
      </c>
      <c r="BY172" s="502">
        <f t="shared" si="710"/>
        <v>1.6699999999999773</v>
      </c>
      <c r="BZ172" s="502">
        <f t="shared" si="711"/>
        <v>1.6699999999999773</v>
      </c>
      <c r="CA172" s="502">
        <f t="shared" si="712"/>
        <v>0</v>
      </c>
      <c r="CB172" s="502">
        <f t="shared" si="713"/>
        <v>0</v>
      </c>
      <c r="CC172" s="502">
        <f t="shared" si="714"/>
        <v>11.673899999999998</v>
      </c>
      <c r="CD172" s="502">
        <f t="shared" si="715"/>
        <v>1.3230419999998229</v>
      </c>
      <c r="CE172" s="502">
        <f t="shared" si="716"/>
        <v>0</v>
      </c>
      <c r="CF172" s="502">
        <f t="shared" si="717"/>
        <v>0</v>
      </c>
      <c r="CG172" s="502">
        <f t="shared" si="718"/>
        <v>0</v>
      </c>
      <c r="CH172" s="502">
        <f t="shared" si="719"/>
        <v>0</v>
      </c>
      <c r="CI172" s="531">
        <f t="shared" si="720"/>
        <v>0.53549999999999998</v>
      </c>
      <c r="CJ172" s="502">
        <f t="shared" si="721"/>
        <v>7.396999999999891</v>
      </c>
      <c r="CK172" s="502">
        <f t="shared" si="722"/>
        <v>7.396999999999891</v>
      </c>
      <c r="CL172" s="502">
        <f t="shared" si="723"/>
        <v>0</v>
      </c>
      <c r="CM172" s="502">
        <f t="shared" si="724"/>
        <v>0</v>
      </c>
      <c r="CN172" s="502">
        <f t="shared" si="725"/>
        <v>3.57</v>
      </c>
      <c r="CO172" s="502">
        <f t="shared" si="726"/>
        <v>1.6699999999999773</v>
      </c>
      <c r="CP172" s="502">
        <f t="shared" si="727"/>
        <v>10.709999999999999</v>
      </c>
      <c r="CQ172" s="502">
        <f t="shared" si="728"/>
        <v>1.2137999999998377</v>
      </c>
      <c r="CR172" s="220">
        <f t="shared" si="729"/>
        <v>0</v>
      </c>
      <c r="CS172" s="503">
        <f t="shared" si="730"/>
        <v>0</v>
      </c>
      <c r="CT172" s="503">
        <f t="shared" si="731"/>
        <v>0.33012999999999998</v>
      </c>
      <c r="CU172" s="504">
        <f t="shared" si="732"/>
        <v>8.683999999999882</v>
      </c>
      <c r="CV172" s="504">
        <f t="shared" si="733"/>
        <v>1.184969999999993</v>
      </c>
      <c r="CW172" s="502">
        <f t="shared" si="734"/>
        <v>16.873799999999825</v>
      </c>
      <c r="CX172" s="531">
        <f t="shared" si="735"/>
        <v>3.57</v>
      </c>
      <c r="CY172" s="537">
        <f t="shared" si="736"/>
        <v>1.7849999999999999</v>
      </c>
      <c r="CZ172" s="502">
        <f t="shared" si="737"/>
        <v>2.4513847475961154E-2</v>
      </c>
    </row>
    <row r="173" spans="1:104" ht="25" x14ac:dyDescent="0.25">
      <c r="A173" s="413" t="str">
        <f>'BOCA DE LOBO'!C167</f>
        <v>BL82-&gt;PV3-107</v>
      </c>
      <c r="B173" s="413" t="str">
        <f>'BOCA DE LOBO'!A167</f>
        <v>PV3-107</v>
      </c>
      <c r="C173" s="413" t="str">
        <f>VLOOKUP(A173,'BOCA DE LOBO'!$C$82:$Q$270,3,0)</f>
        <v>EXISTENTE</v>
      </c>
      <c r="D173" s="413" t="str">
        <f>VLOOKUP(A173,'BOCA DE LOBO'!$C$82:$Q$270,10,0)</f>
        <v>PROJETADA</v>
      </c>
      <c r="E173" s="413">
        <f t="shared" si="652"/>
        <v>1.5839999999999728</v>
      </c>
      <c r="F173" s="413">
        <f>VLOOKUP(A173,'BOCA DE LOBO'!$C$82:$Q$270,2,0)</f>
        <v>1.7799999999999727</v>
      </c>
      <c r="G173" s="413">
        <f>VLOOKUP(A173,'BOCA DE LOBO'!$C$82:$Q$270,4,0)</f>
        <v>4.9000000000000004</v>
      </c>
      <c r="H173" s="412">
        <v>400</v>
      </c>
      <c r="I173" s="493">
        <f t="shared" si="653"/>
        <v>1.811999999999973</v>
      </c>
      <c r="J173" s="493">
        <f t="shared" si="654"/>
        <v>0.44393999999999345</v>
      </c>
      <c r="K173" s="530">
        <v>0</v>
      </c>
      <c r="L173" s="531">
        <f t="shared" si="655"/>
        <v>1</v>
      </c>
      <c r="M173" s="531">
        <f t="shared" si="656"/>
        <v>1</v>
      </c>
      <c r="N173" s="531">
        <f t="shared" si="657"/>
        <v>0</v>
      </c>
      <c r="O173" s="531">
        <f t="shared" si="658"/>
        <v>4.9000000000000004</v>
      </c>
      <c r="P173" s="532" t="s">
        <v>2392</v>
      </c>
      <c r="Q173" s="539" t="s">
        <v>2536</v>
      </c>
      <c r="R173" s="534"/>
      <c r="S173" s="532">
        <f>VLOOKUP(Q173,Quantitativos!P:R,3,0)</f>
        <v>3.2</v>
      </c>
      <c r="T173" s="532">
        <f>VLOOKUP(Q173,Quantitativos!P:S,4,0)</f>
        <v>1.6</v>
      </c>
      <c r="U173" s="531">
        <f t="shared" si="659"/>
        <v>0.05</v>
      </c>
      <c r="V173" s="535">
        <f t="shared" si="660"/>
        <v>0</v>
      </c>
      <c r="W173" s="535">
        <f t="shared" si="661"/>
        <v>8.8787999999998686</v>
      </c>
      <c r="X173" s="536">
        <f t="shared" si="662"/>
        <v>0</v>
      </c>
      <c r="Y173" s="536">
        <f t="shared" si="663"/>
        <v>0</v>
      </c>
      <c r="Z173" s="536">
        <f t="shared" si="664"/>
        <v>1.811999999999973</v>
      </c>
      <c r="AA173" s="536">
        <f t="shared" si="665"/>
        <v>0</v>
      </c>
      <c r="AB173" s="496">
        <f t="shared" si="666"/>
        <v>4.9000000000000004</v>
      </c>
      <c r="AC173" s="251">
        <f t="shared" si="667"/>
        <v>0</v>
      </c>
      <c r="AD173" s="251">
        <f t="shared" si="668"/>
        <v>0</v>
      </c>
      <c r="AE173" s="251">
        <f t="shared" si="669"/>
        <v>0</v>
      </c>
      <c r="AF173" s="251">
        <f t="shared" si="670"/>
        <v>7.3500000000000005</v>
      </c>
      <c r="AG173" s="251">
        <f t="shared" si="671"/>
        <v>1.5287999999998676</v>
      </c>
      <c r="AH173" s="251">
        <f t="shared" si="672"/>
        <v>0</v>
      </c>
      <c r="AI173" s="497" t="str">
        <f t="shared" si="673"/>
        <v>NÃO</v>
      </c>
      <c r="AJ173" s="531">
        <f t="shared" si="674"/>
        <v>0</v>
      </c>
      <c r="AK173" s="531">
        <f t="shared" si="675"/>
        <v>1.3850666666664896E-2</v>
      </c>
      <c r="AL173" s="531">
        <f t="shared" si="676"/>
        <v>8.2630478398962683</v>
      </c>
      <c r="AM173" s="493">
        <f t="shared" si="677"/>
        <v>0.24500000000000002</v>
      </c>
      <c r="AN173" s="535">
        <f t="shared" si="678"/>
        <v>0</v>
      </c>
      <c r="AO173" s="531">
        <f t="shared" si="679"/>
        <v>0</v>
      </c>
      <c r="AP173" s="531">
        <f t="shared" si="680"/>
        <v>0</v>
      </c>
      <c r="AQ173" s="531">
        <f t="shared" si="681"/>
        <v>0.7</v>
      </c>
      <c r="AR173" s="531">
        <f t="shared" si="682"/>
        <v>2.8142478398964004</v>
      </c>
      <c r="AS173" s="531">
        <f t="shared" si="683"/>
        <v>0</v>
      </c>
      <c r="AT173" s="531">
        <f t="shared" si="684"/>
        <v>0.73499999999999999</v>
      </c>
      <c r="AU173" s="531">
        <f t="shared" si="685"/>
        <v>0.73499999999999999</v>
      </c>
      <c r="AV173" s="531">
        <f t="shared" si="686"/>
        <v>0.14699999999999999</v>
      </c>
      <c r="AW173" s="531">
        <f t="shared" si="687"/>
        <v>3.7337999999998681</v>
      </c>
      <c r="AX173" s="531">
        <f t="shared" si="688"/>
        <v>5.3295521601034688</v>
      </c>
      <c r="AY173" s="531">
        <f t="shared" si="689"/>
        <v>3.7337999999998681</v>
      </c>
      <c r="AZ173" s="531">
        <f t="shared" si="690"/>
        <v>0</v>
      </c>
      <c r="BA173" s="531">
        <f t="shared" si="691"/>
        <v>0</v>
      </c>
      <c r="BB173" s="531">
        <f t="shared" si="692"/>
        <v>0</v>
      </c>
      <c r="BC173" s="531"/>
      <c r="BD173" s="531">
        <f t="shared" si="693"/>
        <v>2.9399999999999999E-2</v>
      </c>
      <c r="BE173" s="496">
        <f t="shared" si="694"/>
        <v>1.811999999999973</v>
      </c>
      <c r="BF173" s="498">
        <f t="shared" si="695"/>
        <v>0</v>
      </c>
      <c r="BG173" s="498">
        <f t="shared" si="696"/>
        <v>4.9000000000000004</v>
      </c>
      <c r="BH173" s="532" t="str">
        <f>VLOOKUP(A173,'BOCA DE LOBO'!C:I,7,0)</f>
        <v>BOCA DE LOBO PROJETADA DUPLA</v>
      </c>
      <c r="BI173" s="531">
        <f t="shared" si="697"/>
        <v>0</v>
      </c>
      <c r="BJ173" s="531">
        <f t="shared" si="698"/>
        <v>0</v>
      </c>
      <c r="BK173" s="531">
        <f t="shared" si="699"/>
        <v>0</v>
      </c>
      <c r="BL173" s="531">
        <f t="shared" si="700"/>
        <v>0</v>
      </c>
      <c r="BM173" s="531">
        <f t="shared" si="701"/>
        <v>0</v>
      </c>
      <c r="BN173" s="531">
        <f t="shared" si="702"/>
        <v>1</v>
      </c>
      <c r="BO173" s="499">
        <f t="shared" si="703"/>
        <v>0</v>
      </c>
      <c r="BP173" s="500"/>
      <c r="BQ173" s="496">
        <f t="shared" si="704"/>
        <v>14.700000000000001</v>
      </c>
      <c r="BR173" s="496">
        <f t="shared" si="705"/>
        <v>3.0575999999997352</v>
      </c>
      <c r="BS173" s="496">
        <f t="shared" si="706"/>
        <v>0</v>
      </c>
      <c r="BT173" s="501"/>
      <c r="BU173" s="501"/>
      <c r="BV173" s="502">
        <f t="shared" si="707"/>
        <v>12.327638399999787</v>
      </c>
      <c r="BW173" s="502">
        <f t="shared" si="708"/>
        <v>7.7825999999999986</v>
      </c>
      <c r="BX173" s="502">
        <f t="shared" si="709"/>
        <v>3.0325999999999995</v>
      </c>
      <c r="BY173" s="502">
        <f t="shared" si="710"/>
        <v>1.5839999999999728</v>
      </c>
      <c r="BZ173" s="502">
        <f t="shared" si="711"/>
        <v>1.5839999999999728</v>
      </c>
      <c r="CA173" s="502">
        <f t="shared" si="712"/>
        <v>0</v>
      </c>
      <c r="CB173" s="502">
        <f t="shared" si="713"/>
        <v>0</v>
      </c>
      <c r="CC173" s="502">
        <f t="shared" si="714"/>
        <v>11.673899999999998</v>
      </c>
      <c r="CD173" s="502">
        <f t="shared" si="715"/>
        <v>0.65373839999978789</v>
      </c>
      <c r="CE173" s="502">
        <f t="shared" si="716"/>
        <v>0</v>
      </c>
      <c r="CF173" s="502">
        <f t="shared" si="717"/>
        <v>0</v>
      </c>
      <c r="CG173" s="502">
        <f t="shared" si="718"/>
        <v>0</v>
      </c>
      <c r="CH173" s="502">
        <f t="shared" si="719"/>
        <v>0</v>
      </c>
      <c r="CI173" s="531">
        <f t="shared" si="720"/>
        <v>0.53549999999999998</v>
      </c>
      <c r="CJ173" s="502">
        <f t="shared" si="721"/>
        <v>6.9884999999998696</v>
      </c>
      <c r="CK173" s="502">
        <f t="shared" si="722"/>
        <v>6.9884999999998696</v>
      </c>
      <c r="CL173" s="502">
        <f t="shared" si="723"/>
        <v>0</v>
      </c>
      <c r="CM173" s="502">
        <f t="shared" si="724"/>
        <v>0</v>
      </c>
      <c r="CN173" s="502">
        <f t="shared" si="725"/>
        <v>3.57</v>
      </c>
      <c r="CO173" s="502">
        <f t="shared" si="726"/>
        <v>1.5839999999999728</v>
      </c>
      <c r="CP173" s="502">
        <f t="shared" si="727"/>
        <v>10.709999999999999</v>
      </c>
      <c r="CQ173" s="502">
        <f t="shared" si="728"/>
        <v>0.59975999999980545</v>
      </c>
      <c r="CR173" s="220">
        <f t="shared" si="729"/>
        <v>0</v>
      </c>
      <c r="CS173" s="503">
        <f t="shared" si="730"/>
        <v>0</v>
      </c>
      <c r="CT173" s="503">
        <f t="shared" si="731"/>
        <v>0.33012999999999998</v>
      </c>
      <c r="CU173" s="504">
        <f t="shared" si="732"/>
        <v>8.2367999999998585</v>
      </c>
      <c r="CV173" s="504">
        <f t="shared" si="733"/>
        <v>1.1586539999999914</v>
      </c>
      <c r="CW173" s="502">
        <f t="shared" si="734"/>
        <v>16.21331999999979</v>
      </c>
      <c r="CX173" s="531">
        <f t="shared" si="735"/>
        <v>3.57</v>
      </c>
      <c r="CY173" s="537">
        <f t="shared" si="736"/>
        <v>1.7849999999999999</v>
      </c>
      <c r="CZ173" s="502">
        <f t="shared" si="737"/>
        <v>2.4513847475961154E-2</v>
      </c>
    </row>
    <row r="174" spans="1:104" ht="25" x14ac:dyDescent="0.25">
      <c r="A174" s="413" t="str">
        <f>'BOCA DE LOBO'!C168</f>
        <v>BL83-&gt;PV1-108</v>
      </c>
      <c r="B174" s="413" t="str">
        <f>'BOCA DE LOBO'!A168</f>
        <v>PV1-108</v>
      </c>
      <c r="C174" s="413" t="str">
        <f>VLOOKUP(A174,'BOCA DE LOBO'!$C$82:$Q$270,3,0)</f>
        <v>EXISTENTE</v>
      </c>
      <c r="D174" s="413" t="str">
        <f>VLOOKUP(A174,'BOCA DE LOBO'!$C$82:$Q$270,10,0)</f>
        <v>PROJETADA</v>
      </c>
      <c r="E174" s="413">
        <f t="shared" si="652"/>
        <v>1.5684</v>
      </c>
      <c r="F174" s="413">
        <f>VLOOKUP(A174,'BOCA DE LOBO'!$C$82:$Q$270,2,0)</f>
        <v>1.75</v>
      </c>
      <c r="G174" s="413">
        <f>VLOOKUP(A174,'BOCA DE LOBO'!$C$82:$Q$270,4,0)</f>
        <v>4.54</v>
      </c>
      <c r="H174" s="412">
        <v>400</v>
      </c>
      <c r="I174" s="493">
        <f t="shared" si="653"/>
        <v>1.7892000000000001</v>
      </c>
      <c r="J174" s="493">
        <f t="shared" si="654"/>
        <v>0.40614840000000002</v>
      </c>
      <c r="K174" s="530">
        <v>0</v>
      </c>
      <c r="L174" s="531">
        <f t="shared" si="655"/>
        <v>1</v>
      </c>
      <c r="M174" s="531">
        <f t="shared" si="656"/>
        <v>1</v>
      </c>
      <c r="N174" s="531">
        <f t="shared" si="657"/>
        <v>0</v>
      </c>
      <c r="O174" s="531">
        <f t="shared" si="658"/>
        <v>4.54</v>
      </c>
      <c r="P174" s="532" t="s">
        <v>2392</v>
      </c>
      <c r="Q174" s="539" t="s">
        <v>2974</v>
      </c>
      <c r="R174" s="534"/>
      <c r="S174" s="532">
        <v>5</v>
      </c>
      <c r="T174" s="532">
        <v>5</v>
      </c>
      <c r="U174" s="531">
        <f t="shared" si="659"/>
        <v>0.05</v>
      </c>
      <c r="V174" s="535">
        <f t="shared" si="660"/>
        <v>0</v>
      </c>
      <c r="W174" s="535">
        <f t="shared" si="661"/>
        <v>8.1229680000000002</v>
      </c>
      <c r="X174" s="536">
        <f t="shared" si="662"/>
        <v>0</v>
      </c>
      <c r="Y174" s="536">
        <f t="shared" si="663"/>
        <v>0</v>
      </c>
      <c r="Z174" s="536">
        <f t="shared" si="664"/>
        <v>1.7892000000000001</v>
      </c>
      <c r="AA174" s="536">
        <f t="shared" si="665"/>
        <v>0</v>
      </c>
      <c r="AB174" s="496">
        <f t="shared" si="666"/>
        <v>4.54</v>
      </c>
      <c r="AC174" s="251">
        <f t="shared" si="667"/>
        <v>0</v>
      </c>
      <c r="AD174" s="251">
        <f t="shared" si="668"/>
        <v>0</v>
      </c>
      <c r="AE174" s="251">
        <f t="shared" si="669"/>
        <v>0</v>
      </c>
      <c r="AF174" s="251">
        <f t="shared" si="670"/>
        <v>6.8100000000000005</v>
      </c>
      <c r="AG174" s="251">
        <f t="shared" si="671"/>
        <v>1.3129680000000006</v>
      </c>
      <c r="AH174" s="251">
        <f t="shared" si="672"/>
        <v>0</v>
      </c>
      <c r="AI174" s="497" t="str">
        <f t="shared" si="673"/>
        <v>NÃO</v>
      </c>
      <c r="AJ174" s="531">
        <f t="shared" si="674"/>
        <v>0</v>
      </c>
      <c r="AK174" s="531">
        <f t="shared" si="675"/>
        <v>0</v>
      </c>
      <c r="AL174" s="531">
        <f t="shared" si="676"/>
        <v>7.5524547741080941</v>
      </c>
      <c r="AM174" s="493">
        <f t="shared" si="677"/>
        <v>0.22700000000000001</v>
      </c>
      <c r="AN174" s="535">
        <f t="shared" si="678"/>
        <v>0</v>
      </c>
      <c r="AO174" s="531">
        <f t="shared" si="679"/>
        <v>0</v>
      </c>
      <c r="AP174" s="531">
        <f t="shared" si="680"/>
        <v>0</v>
      </c>
      <c r="AQ174" s="531">
        <f t="shared" si="681"/>
        <v>0.7</v>
      </c>
      <c r="AR174" s="531">
        <f t="shared" si="682"/>
        <v>2.6074867741080934</v>
      </c>
      <c r="AS174" s="531">
        <f t="shared" si="683"/>
        <v>0</v>
      </c>
      <c r="AT174" s="531">
        <f t="shared" si="684"/>
        <v>0.68099999999999994</v>
      </c>
      <c r="AU174" s="531">
        <f t="shared" si="685"/>
        <v>0.68099999999999994</v>
      </c>
      <c r="AV174" s="531">
        <f t="shared" si="686"/>
        <v>0.13619999999999999</v>
      </c>
      <c r="AW174" s="531">
        <f t="shared" si="687"/>
        <v>3.3559680000000003</v>
      </c>
      <c r="AX174" s="531">
        <f t="shared" si="688"/>
        <v>4.8344812258919063</v>
      </c>
      <c r="AY174" s="531">
        <f t="shared" si="689"/>
        <v>3.3559680000000003</v>
      </c>
      <c r="AZ174" s="531">
        <f t="shared" si="690"/>
        <v>0</v>
      </c>
      <c r="BA174" s="531">
        <f t="shared" si="691"/>
        <v>0</v>
      </c>
      <c r="BB174" s="531">
        <f t="shared" si="692"/>
        <v>0</v>
      </c>
      <c r="BC174" s="531"/>
      <c r="BD174" s="531">
        <f t="shared" si="693"/>
        <v>2.7239999999999997E-2</v>
      </c>
      <c r="BE174" s="496">
        <f t="shared" si="694"/>
        <v>1.7892000000000001</v>
      </c>
      <c r="BF174" s="498">
        <f t="shared" si="695"/>
        <v>0</v>
      </c>
      <c r="BG174" s="498">
        <f t="shared" si="696"/>
        <v>4.54</v>
      </c>
      <c r="BH174" s="532" t="str">
        <f>VLOOKUP(A174,'BOCA DE LOBO'!C:I,7,0)</f>
        <v>BOCA DE LOBO PROJETADA TRIPLA</v>
      </c>
      <c r="BI174" s="531">
        <f t="shared" si="697"/>
        <v>0</v>
      </c>
      <c r="BJ174" s="531">
        <f t="shared" si="698"/>
        <v>0</v>
      </c>
      <c r="BK174" s="531">
        <f t="shared" si="699"/>
        <v>0</v>
      </c>
      <c r="BL174" s="531">
        <f t="shared" si="700"/>
        <v>0</v>
      </c>
      <c r="BM174" s="531">
        <f t="shared" si="701"/>
        <v>0</v>
      </c>
      <c r="BN174" s="531">
        <f t="shared" si="702"/>
        <v>0</v>
      </c>
      <c r="BO174" s="499">
        <f t="shared" si="703"/>
        <v>1</v>
      </c>
      <c r="BP174" s="500"/>
      <c r="BQ174" s="496">
        <f t="shared" si="704"/>
        <v>13.620000000000001</v>
      </c>
      <c r="BR174" s="496">
        <f t="shared" si="705"/>
        <v>2.6259360000000012</v>
      </c>
      <c r="BS174" s="496">
        <f t="shared" si="706"/>
        <v>0</v>
      </c>
      <c r="BT174" s="501"/>
      <c r="BU174" s="501"/>
      <c r="BV174" s="502">
        <f t="shared" si="707"/>
        <v>16.274973119999995</v>
      </c>
      <c r="BW174" s="502">
        <f t="shared" si="708"/>
        <v>10.376799999999998</v>
      </c>
      <c r="BX174" s="502">
        <f t="shared" si="709"/>
        <v>4.4367999999999999</v>
      </c>
      <c r="BY174" s="502">
        <f t="shared" si="710"/>
        <v>1.5684</v>
      </c>
      <c r="BZ174" s="502">
        <f t="shared" si="711"/>
        <v>1.5684</v>
      </c>
      <c r="CA174" s="502">
        <f t="shared" si="712"/>
        <v>0</v>
      </c>
      <c r="CB174" s="502">
        <f t="shared" si="713"/>
        <v>0</v>
      </c>
      <c r="CC174" s="502">
        <f t="shared" si="714"/>
        <v>15.565199999999997</v>
      </c>
      <c r="CD174" s="502">
        <f t="shared" si="715"/>
        <v>0.70977312000000004</v>
      </c>
      <c r="CE174" s="502">
        <f t="shared" si="716"/>
        <v>0</v>
      </c>
      <c r="CF174" s="502">
        <f t="shared" si="717"/>
        <v>0</v>
      </c>
      <c r="CG174" s="502">
        <f t="shared" si="718"/>
        <v>0</v>
      </c>
      <c r="CH174" s="502">
        <f t="shared" si="719"/>
        <v>0</v>
      </c>
      <c r="CI174" s="531">
        <f t="shared" si="720"/>
        <v>0.71399999999999997</v>
      </c>
      <c r="CJ174" s="502">
        <f t="shared" si="721"/>
        <v>8.6022959999999955</v>
      </c>
      <c r="CK174" s="502">
        <f t="shared" si="722"/>
        <v>8.6022959999999955</v>
      </c>
      <c r="CL174" s="502">
        <f t="shared" si="723"/>
        <v>0</v>
      </c>
      <c r="CM174" s="502">
        <f t="shared" si="724"/>
        <v>0</v>
      </c>
      <c r="CN174" s="502">
        <f t="shared" si="725"/>
        <v>4.76</v>
      </c>
      <c r="CO174" s="502">
        <f t="shared" si="726"/>
        <v>1.5684</v>
      </c>
      <c r="CP174" s="502">
        <f t="shared" si="727"/>
        <v>14.28</v>
      </c>
      <c r="CQ174" s="502">
        <f t="shared" si="728"/>
        <v>0.65116800000000008</v>
      </c>
      <c r="CR174" s="220">
        <f t="shared" si="729"/>
        <v>0</v>
      </c>
      <c r="CS174" s="503">
        <f t="shared" si="730"/>
        <v>0</v>
      </c>
      <c r="CT174" s="503">
        <f t="shared" si="731"/>
        <v>0.45984000000000003</v>
      </c>
      <c r="CU174" s="504">
        <f t="shared" si="732"/>
        <v>11.292480000000001</v>
      </c>
      <c r="CV174" s="504">
        <f t="shared" si="733"/>
        <v>1.5812729999999999</v>
      </c>
      <c r="CW174" s="502">
        <f t="shared" si="734"/>
        <v>20.678440000000002</v>
      </c>
      <c r="CX174" s="531">
        <f t="shared" si="735"/>
        <v>4.76</v>
      </c>
      <c r="CY174" s="537">
        <f t="shared" si="736"/>
        <v>2.38</v>
      </c>
      <c r="CZ174" s="502">
        <f t="shared" si="737"/>
        <v>2.4513847475961154E-2</v>
      </c>
    </row>
    <row r="175" spans="1:104" ht="25" x14ac:dyDescent="0.25">
      <c r="A175" s="413" t="str">
        <f>'BOCA DE LOBO'!C169</f>
        <v>BL84-&gt;PV2-108</v>
      </c>
      <c r="B175" s="413" t="str">
        <f>'BOCA DE LOBO'!A169</f>
        <v>PV2-108</v>
      </c>
      <c r="C175" s="413" t="str">
        <f>VLOOKUP(A175,'BOCA DE LOBO'!$C$82:$Q$270,3,0)</f>
        <v>EXISTENTE</v>
      </c>
      <c r="D175" s="413" t="str">
        <f>VLOOKUP(A175,'BOCA DE LOBO'!$C$82:$Q$270,10,0)</f>
        <v>PROJETADA</v>
      </c>
      <c r="E175" s="413">
        <f t="shared" si="652"/>
        <v>1.5848000000000864</v>
      </c>
      <c r="F175" s="413">
        <f>VLOOKUP(A175,'BOCA DE LOBO'!$C$82:$Q$270,2,0)</f>
        <v>1.7800000000000864</v>
      </c>
      <c r="G175" s="413">
        <f>VLOOKUP(A175,'BOCA DE LOBO'!$C$82:$Q$270,4,0)</f>
        <v>4.88</v>
      </c>
      <c r="H175" s="412">
        <v>400</v>
      </c>
      <c r="I175" s="493">
        <f t="shared" si="653"/>
        <v>1.8124000000000866</v>
      </c>
      <c r="J175" s="493">
        <f t="shared" si="654"/>
        <v>0.44222560000002115</v>
      </c>
      <c r="K175" s="530">
        <v>0</v>
      </c>
      <c r="L175" s="531">
        <f t="shared" si="655"/>
        <v>1</v>
      </c>
      <c r="M175" s="531">
        <f t="shared" si="656"/>
        <v>1</v>
      </c>
      <c r="N175" s="531">
        <f t="shared" si="657"/>
        <v>0</v>
      </c>
      <c r="O175" s="531">
        <f t="shared" si="658"/>
        <v>4.88</v>
      </c>
      <c r="P175" s="532" t="s">
        <v>2392</v>
      </c>
      <c r="Q175" s="539" t="s">
        <v>2974</v>
      </c>
      <c r="R175" s="534"/>
      <c r="S175" s="532">
        <v>5</v>
      </c>
      <c r="T175" s="532">
        <v>5</v>
      </c>
      <c r="U175" s="531">
        <f t="shared" si="659"/>
        <v>0.05</v>
      </c>
      <c r="V175" s="535">
        <f t="shared" si="660"/>
        <v>0</v>
      </c>
      <c r="W175" s="535">
        <f t="shared" si="661"/>
        <v>8.8445120000004227</v>
      </c>
      <c r="X175" s="536">
        <f t="shared" si="662"/>
        <v>0</v>
      </c>
      <c r="Y175" s="536">
        <f t="shared" si="663"/>
        <v>0</v>
      </c>
      <c r="Z175" s="536">
        <f t="shared" si="664"/>
        <v>1.8124000000000866</v>
      </c>
      <c r="AA175" s="536">
        <f t="shared" si="665"/>
        <v>0</v>
      </c>
      <c r="AB175" s="496">
        <f t="shared" si="666"/>
        <v>4.88</v>
      </c>
      <c r="AC175" s="251">
        <f t="shared" si="667"/>
        <v>0</v>
      </c>
      <c r="AD175" s="251">
        <f t="shared" si="668"/>
        <v>0</v>
      </c>
      <c r="AE175" s="251">
        <f t="shared" si="669"/>
        <v>0</v>
      </c>
      <c r="AF175" s="251">
        <f t="shared" si="670"/>
        <v>7.32</v>
      </c>
      <c r="AG175" s="251">
        <f t="shared" si="671"/>
        <v>1.5245120000004226</v>
      </c>
      <c r="AH175" s="251">
        <f t="shared" si="672"/>
        <v>0</v>
      </c>
      <c r="AI175" s="497" t="str">
        <f t="shared" si="673"/>
        <v>NÃO</v>
      </c>
      <c r="AJ175" s="531">
        <f t="shared" si="674"/>
        <v>0</v>
      </c>
      <c r="AK175" s="531">
        <f t="shared" si="675"/>
        <v>0</v>
      </c>
      <c r="AL175" s="531">
        <f t="shared" si="676"/>
        <v>8.2312731140196949</v>
      </c>
      <c r="AM175" s="493">
        <f t="shared" si="677"/>
        <v>0.24399999999999999</v>
      </c>
      <c r="AN175" s="535">
        <f t="shared" si="678"/>
        <v>0</v>
      </c>
      <c r="AO175" s="531">
        <f t="shared" si="679"/>
        <v>0</v>
      </c>
      <c r="AP175" s="531">
        <f t="shared" si="680"/>
        <v>0</v>
      </c>
      <c r="AQ175" s="531">
        <f t="shared" si="681"/>
        <v>0.7</v>
      </c>
      <c r="AR175" s="531">
        <f t="shared" si="682"/>
        <v>2.8027611140192725</v>
      </c>
      <c r="AS175" s="531">
        <f t="shared" si="683"/>
        <v>0</v>
      </c>
      <c r="AT175" s="531">
        <f t="shared" si="684"/>
        <v>0.73199999999999998</v>
      </c>
      <c r="AU175" s="531">
        <f t="shared" si="685"/>
        <v>0.73199999999999998</v>
      </c>
      <c r="AV175" s="531">
        <f t="shared" si="686"/>
        <v>0.1464</v>
      </c>
      <c r="AW175" s="531">
        <f t="shared" si="687"/>
        <v>3.7205120000004221</v>
      </c>
      <c r="AX175" s="531">
        <f t="shared" si="688"/>
        <v>5.3097508859811509</v>
      </c>
      <c r="AY175" s="531">
        <f t="shared" si="689"/>
        <v>3.7205120000004221</v>
      </c>
      <c r="AZ175" s="531">
        <f t="shared" si="690"/>
        <v>0</v>
      </c>
      <c r="BA175" s="531">
        <f t="shared" si="691"/>
        <v>0</v>
      </c>
      <c r="BB175" s="531">
        <f t="shared" si="692"/>
        <v>0</v>
      </c>
      <c r="BC175" s="531"/>
      <c r="BD175" s="531">
        <f t="shared" si="693"/>
        <v>2.928E-2</v>
      </c>
      <c r="BE175" s="496">
        <f t="shared" si="694"/>
        <v>1.8124000000000866</v>
      </c>
      <c r="BF175" s="498">
        <f t="shared" si="695"/>
        <v>0</v>
      </c>
      <c r="BG175" s="498">
        <f t="shared" si="696"/>
        <v>4.88</v>
      </c>
      <c r="BH175" s="532" t="str">
        <f>VLOOKUP(A175,'BOCA DE LOBO'!C:I,7,0)</f>
        <v>BOCA DE LOBO PROJETADA DUPLA</v>
      </c>
      <c r="BI175" s="531">
        <f t="shared" si="697"/>
        <v>0</v>
      </c>
      <c r="BJ175" s="531">
        <f t="shared" si="698"/>
        <v>0</v>
      </c>
      <c r="BK175" s="531">
        <f t="shared" si="699"/>
        <v>0</v>
      </c>
      <c r="BL175" s="531">
        <f t="shared" si="700"/>
        <v>0</v>
      </c>
      <c r="BM175" s="531">
        <f t="shared" si="701"/>
        <v>0</v>
      </c>
      <c r="BN175" s="531">
        <f t="shared" si="702"/>
        <v>1</v>
      </c>
      <c r="BO175" s="499">
        <f t="shared" si="703"/>
        <v>0</v>
      </c>
      <c r="BP175" s="500"/>
      <c r="BQ175" s="496">
        <f t="shared" si="704"/>
        <v>14.64</v>
      </c>
      <c r="BR175" s="496">
        <f t="shared" si="705"/>
        <v>3.0490240000008453</v>
      </c>
      <c r="BS175" s="496">
        <f t="shared" si="706"/>
        <v>0</v>
      </c>
      <c r="BT175" s="501"/>
      <c r="BU175" s="501"/>
      <c r="BV175" s="502">
        <f t="shared" si="707"/>
        <v>12.33386448000067</v>
      </c>
      <c r="BW175" s="502">
        <f t="shared" si="708"/>
        <v>7.7825999999999986</v>
      </c>
      <c r="BX175" s="502">
        <f t="shared" si="709"/>
        <v>3.0325999999999995</v>
      </c>
      <c r="BY175" s="502">
        <f t="shared" si="710"/>
        <v>1.5848000000000864</v>
      </c>
      <c r="BZ175" s="502">
        <f t="shared" si="711"/>
        <v>1.5848000000000864</v>
      </c>
      <c r="CA175" s="502">
        <f t="shared" si="712"/>
        <v>0</v>
      </c>
      <c r="CB175" s="502">
        <f t="shared" si="713"/>
        <v>0</v>
      </c>
      <c r="CC175" s="502">
        <f t="shared" si="714"/>
        <v>11.673899999999998</v>
      </c>
      <c r="CD175" s="502">
        <f t="shared" si="715"/>
        <v>0.65996448000067198</v>
      </c>
      <c r="CE175" s="502">
        <f t="shared" si="716"/>
        <v>0</v>
      </c>
      <c r="CF175" s="502">
        <f t="shared" si="717"/>
        <v>0</v>
      </c>
      <c r="CG175" s="502">
        <f t="shared" si="718"/>
        <v>0</v>
      </c>
      <c r="CH175" s="502">
        <f t="shared" si="719"/>
        <v>0</v>
      </c>
      <c r="CI175" s="531">
        <f t="shared" si="720"/>
        <v>0.53549999999999998</v>
      </c>
      <c r="CJ175" s="502">
        <f t="shared" si="721"/>
        <v>6.9923000000004087</v>
      </c>
      <c r="CK175" s="502">
        <f t="shared" si="722"/>
        <v>6.9923000000004087</v>
      </c>
      <c r="CL175" s="502">
        <f t="shared" si="723"/>
        <v>0</v>
      </c>
      <c r="CM175" s="502">
        <f t="shared" si="724"/>
        <v>0</v>
      </c>
      <c r="CN175" s="502">
        <f t="shared" si="725"/>
        <v>3.57</v>
      </c>
      <c r="CO175" s="502">
        <f t="shared" si="726"/>
        <v>1.5848000000000864</v>
      </c>
      <c r="CP175" s="502">
        <f t="shared" si="727"/>
        <v>10.709999999999999</v>
      </c>
      <c r="CQ175" s="502">
        <f t="shared" si="728"/>
        <v>0.60547200000061663</v>
      </c>
      <c r="CR175" s="220">
        <f t="shared" si="729"/>
        <v>0</v>
      </c>
      <c r="CS175" s="503">
        <f t="shared" si="730"/>
        <v>0</v>
      </c>
      <c r="CT175" s="503">
        <f t="shared" si="731"/>
        <v>0.33012999999999998</v>
      </c>
      <c r="CU175" s="504">
        <f t="shared" si="732"/>
        <v>8.2409600000004488</v>
      </c>
      <c r="CV175" s="504">
        <f t="shared" si="733"/>
        <v>1.1588988000000262</v>
      </c>
      <c r="CW175" s="502">
        <f t="shared" si="734"/>
        <v>16.219464000000663</v>
      </c>
      <c r="CX175" s="531">
        <f t="shared" si="735"/>
        <v>3.57</v>
      </c>
      <c r="CY175" s="537">
        <f t="shared" si="736"/>
        <v>1.7849999999999999</v>
      </c>
      <c r="CZ175" s="502">
        <f t="shared" si="737"/>
        <v>2.4513847475961154E-2</v>
      </c>
    </row>
    <row r="176" spans="1:104" ht="25" x14ac:dyDescent="0.25">
      <c r="A176" s="413" t="str">
        <f>'BOCA DE LOBO'!C170</f>
        <v>BL85-&gt;PV3-108</v>
      </c>
      <c r="B176" s="413" t="str">
        <f>'BOCA DE LOBO'!A170</f>
        <v>PV3-108</v>
      </c>
      <c r="C176" s="413" t="str">
        <f>VLOOKUP(A176,'BOCA DE LOBO'!$C$82:$Q$270,3,0)</f>
        <v>EXISTENTE</v>
      </c>
      <c r="D176" s="413" t="str">
        <f>VLOOKUP(A176,'BOCA DE LOBO'!$C$82:$Q$270,10,0)</f>
        <v>PROJETADA</v>
      </c>
      <c r="E176" s="413">
        <f t="shared" si="652"/>
        <v>1.5675999999999819</v>
      </c>
      <c r="F176" s="413">
        <f>VLOOKUP(A176,'BOCA DE LOBO'!$C$82:$Q$270,2,0)</f>
        <v>1.7699999999999818</v>
      </c>
      <c r="G176" s="413">
        <f>VLOOKUP(A176,'BOCA DE LOBO'!$C$82:$Q$270,4,0)</f>
        <v>5.0599999999999996</v>
      </c>
      <c r="H176" s="412">
        <v>400</v>
      </c>
      <c r="I176" s="493">
        <f t="shared" si="653"/>
        <v>1.798799999999982</v>
      </c>
      <c r="J176" s="493">
        <f t="shared" si="654"/>
        <v>0.4550963999999954</v>
      </c>
      <c r="K176" s="530">
        <v>0</v>
      </c>
      <c r="L176" s="531">
        <f t="shared" si="655"/>
        <v>1</v>
      </c>
      <c r="M176" s="531">
        <f t="shared" si="656"/>
        <v>1</v>
      </c>
      <c r="N176" s="531">
        <f t="shared" si="657"/>
        <v>0</v>
      </c>
      <c r="O176" s="531">
        <f t="shared" si="658"/>
        <v>5.0599999999999996</v>
      </c>
      <c r="P176" s="532" t="s">
        <v>2392</v>
      </c>
      <c r="Q176" s="539" t="s">
        <v>2536</v>
      </c>
      <c r="R176" s="534"/>
      <c r="S176" s="532">
        <f>VLOOKUP(Q176,Quantitativos!P:R,3,0)</f>
        <v>3.2</v>
      </c>
      <c r="T176" s="532">
        <f>VLOOKUP(Q176,Quantitativos!P:S,4,0)</f>
        <v>1.6</v>
      </c>
      <c r="U176" s="531">
        <f t="shared" si="659"/>
        <v>0.05</v>
      </c>
      <c r="V176" s="535">
        <f t="shared" si="660"/>
        <v>0</v>
      </c>
      <c r="W176" s="535">
        <f t="shared" si="661"/>
        <v>9.1019279999999085</v>
      </c>
      <c r="X176" s="536">
        <f t="shared" si="662"/>
        <v>0</v>
      </c>
      <c r="Y176" s="536">
        <f t="shared" si="663"/>
        <v>0</v>
      </c>
      <c r="Z176" s="536">
        <f t="shared" si="664"/>
        <v>1.798799999999982</v>
      </c>
      <c r="AA176" s="536">
        <f t="shared" si="665"/>
        <v>0</v>
      </c>
      <c r="AB176" s="496">
        <f t="shared" si="666"/>
        <v>5.0599999999999996</v>
      </c>
      <c r="AC176" s="251">
        <f t="shared" si="667"/>
        <v>0</v>
      </c>
      <c r="AD176" s="251">
        <f t="shared" si="668"/>
        <v>0</v>
      </c>
      <c r="AE176" s="251">
        <f t="shared" si="669"/>
        <v>0</v>
      </c>
      <c r="AF176" s="251">
        <f t="shared" si="670"/>
        <v>7.59</v>
      </c>
      <c r="AG176" s="251">
        <f t="shared" si="671"/>
        <v>1.5119279999999087</v>
      </c>
      <c r="AH176" s="251">
        <f t="shared" si="672"/>
        <v>0</v>
      </c>
      <c r="AI176" s="497" t="str">
        <f t="shared" si="673"/>
        <v>NÃO</v>
      </c>
      <c r="AJ176" s="531">
        <f t="shared" si="674"/>
        <v>0</v>
      </c>
      <c r="AK176" s="531">
        <f t="shared" si="675"/>
        <v>1.341237333333211E-2</v>
      </c>
      <c r="AL176" s="531">
        <f t="shared" si="676"/>
        <v>8.4660696469133345</v>
      </c>
      <c r="AM176" s="493">
        <f t="shared" si="677"/>
        <v>0.253</v>
      </c>
      <c r="AN176" s="535">
        <f t="shared" si="678"/>
        <v>0</v>
      </c>
      <c r="AO176" s="531">
        <f t="shared" si="679"/>
        <v>0</v>
      </c>
      <c r="AP176" s="531">
        <f t="shared" si="680"/>
        <v>0</v>
      </c>
      <c r="AQ176" s="531">
        <f t="shared" si="681"/>
        <v>0.7</v>
      </c>
      <c r="AR176" s="531">
        <f t="shared" si="682"/>
        <v>2.9061416469134254</v>
      </c>
      <c r="AS176" s="531">
        <f t="shared" si="683"/>
        <v>0</v>
      </c>
      <c r="AT176" s="531">
        <f t="shared" si="684"/>
        <v>0.7589999999999999</v>
      </c>
      <c r="AU176" s="531">
        <f t="shared" si="685"/>
        <v>0.7589999999999999</v>
      </c>
      <c r="AV176" s="531">
        <f t="shared" si="686"/>
        <v>0.15179999999999999</v>
      </c>
      <c r="AW176" s="531">
        <f t="shared" si="687"/>
        <v>3.7889279999999084</v>
      </c>
      <c r="AX176" s="531">
        <f t="shared" si="688"/>
        <v>5.4367863530864824</v>
      </c>
      <c r="AY176" s="531">
        <f t="shared" si="689"/>
        <v>3.7889279999999084</v>
      </c>
      <c r="AZ176" s="531">
        <f t="shared" si="690"/>
        <v>0</v>
      </c>
      <c r="BA176" s="531">
        <f t="shared" si="691"/>
        <v>0</v>
      </c>
      <c r="BB176" s="531">
        <f t="shared" si="692"/>
        <v>0</v>
      </c>
      <c r="BC176" s="531"/>
      <c r="BD176" s="531">
        <f t="shared" si="693"/>
        <v>3.0359999999999998E-2</v>
      </c>
      <c r="BE176" s="496">
        <f t="shared" si="694"/>
        <v>1.798799999999982</v>
      </c>
      <c r="BF176" s="498">
        <f t="shared" si="695"/>
        <v>0</v>
      </c>
      <c r="BG176" s="498">
        <f t="shared" si="696"/>
        <v>5.0599999999999996</v>
      </c>
      <c r="BH176" s="532" t="str">
        <f>VLOOKUP(A176,'BOCA DE LOBO'!C:I,7,0)</f>
        <v>BOCA DE LOBO PROJETADA DUPLA</v>
      </c>
      <c r="BI176" s="531">
        <f t="shared" si="697"/>
        <v>0</v>
      </c>
      <c r="BJ176" s="531">
        <f t="shared" si="698"/>
        <v>0</v>
      </c>
      <c r="BK176" s="531">
        <f t="shared" si="699"/>
        <v>0</v>
      </c>
      <c r="BL176" s="531">
        <f t="shared" si="700"/>
        <v>0</v>
      </c>
      <c r="BM176" s="531">
        <f t="shared" si="701"/>
        <v>0</v>
      </c>
      <c r="BN176" s="531">
        <f t="shared" si="702"/>
        <v>1</v>
      </c>
      <c r="BO176" s="499">
        <f t="shared" si="703"/>
        <v>0</v>
      </c>
      <c r="BP176" s="500"/>
      <c r="BQ176" s="496">
        <f t="shared" si="704"/>
        <v>15.18</v>
      </c>
      <c r="BR176" s="496">
        <f t="shared" si="705"/>
        <v>3.0238559999998174</v>
      </c>
      <c r="BS176" s="496">
        <f t="shared" si="706"/>
        <v>0</v>
      </c>
      <c r="BT176" s="501"/>
      <c r="BU176" s="501"/>
      <c r="BV176" s="502">
        <f t="shared" si="707"/>
        <v>12.200003759999857</v>
      </c>
      <c r="BW176" s="502">
        <f t="shared" si="708"/>
        <v>7.7825999999999986</v>
      </c>
      <c r="BX176" s="502">
        <f t="shared" si="709"/>
        <v>3.0325999999999995</v>
      </c>
      <c r="BY176" s="502">
        <f t="shared" si="710"/>
        <v>1.5675999999999819</v>
      </c>
      <c r="BZ176" s="502">
        <f t="shared" si="711"/>
        <v>1.5675999999999819</v>
      </c>
      <c r="CA176" s="502">
        <f t="shared" si="712"/>
        <v>0</v>
      </c>
      <c r="CB176" s="502">
        <f t="shared" si="713"/>
        <v>0</v>
      </c>
      <c r="CC176" s="502">
        <f t="shared" si="714"/>
        <v>11.673899999999998</v>
      </c>
      <c r="CD176" s="502">
        <f t="shared" si="715"/>
        <v>0.52610375999985903</v>
      </c>
      <c r="CE176" s="502">
        <f t="shared" si="716"/>
        <v>0</v>
      </c>
      <c r="CF176" s="502">
        <f t="shared" si="717"/>
        <v>0</v>
      </c>
      <c r="CG176" s="502">
        <f t="shared" si="718"/>
        <v>0</v>
      </c>
      <c r="CH176" s="502">
        <f t="shared" si="719"/>
        <v>0</v>
      </c>
      <c r="CI176" s="531">
        <f t="shared" si="720"/>
        <v>0.53549999999999998</v>
      </c>
      <c r="CJ176" s="502">
        <f t="shared" si="721"/>
        <v>6.9105999999999126</v>
      </c>
      <c r="CK176" s="502">
        <f t="shared" si="722"/>
        <v>6.9105999999999126</v>
      </c>
      <c r="CL176" s="502">
        <f t="shared" si="723"/>
        <v>0</v>
      </c>
      <c r="CM176" s="502">
        <f t="shared" si="724"/>
        <v>0</v>
      </c>
      <c r="CN176" s="502">
        <f t="shared" si="725"/>
        <v>3.57</v>
      </c>
      <c r="CO176" s="502">
        <f t="shared" si="726"/>
        <v>1.5675999999999819</v>
      </c>
      <c r="CP176" s="502">
        <f t="shared" si="727"/>
        <v>10.709999999999999</v>
      </c>
      <c r="CQ176" s="502">
        <f t="shared" si="728"/>
        <v>0.4826639999998707</v>
      </c>
      <c r="CR176" s="220">
        <f t="shared" si="729"/>
        <v>0</v>
      </c>
      <c r="CS176" s="503">
        <f t="shared" si="730"/>
        <v>0</v>
      </c>
      <c r="CT176" s="503">
        <f t="shared" si="731"/>
        <v>0.33012999999999998</v>
      </c>
      <c r="CU176" s="504">
        <f t="shared" si="732"/>
        <v>8.1515199999999055</v>
      </c>
      <c r="CV176" s="504">
        <f t="shared" si="733"/>
        <v>1.1536355999999943</v>
      </c>
      <c r="CW176" s="502">
        <f t="shared" si="734"/>
        <v>16.087367999999859</v>
      </c>
      <c r="CX176" s="531">
        <f t="shared" si="735"/>
        <v>3.57</v>
      </c>
      <c r="CY176" s="537">
        <f t="shared" si="736"/>
        <v>1.7849999999999999</v>
      </c>
      <c r="CZ176" s="502">
        <f t="shared" si="737"/>
        <v>2.4513847475961154E-2</v>
      </c>
    </row>
    <row r="177" spans="1:104" ht="25" x14ac:dyDescent="0.25">
      <c r="A177" s="413" t="str">
        <f>'BOCA DE LOBO'!C171</f>
        <v>BL86-&gt;PV1-109</v>
      </c>
      <c r="B177" s="413" t="str">
        <f>'BOCA DE LOBO'!A171</f>
        <v>PV1-109</v>
      </c>
      <c r="C177" s="413" t="str">
        <f>VLOOKUP(A177,'BOCA DE LOBO'!$C$82:$Q$270,3,0)</f>
        <v>EXISTENTE</v>
      </c>
      <c r="D177" s="413" t="str">
        <f>VLOOKUP(A177,'BOCA DE LOBO'!$C$82:$Q$270,10,0)</f>
        <v>PROJETADA</v>
      </c>
      <c r="E177" s="413">
        <f t="shared" ref="E177:E208" si="738">IF(F177-G177*4%&lt;2.5,F177-G177*4%,2.5)</f>
        <v>1.516</v>
      </c>
      <c r="F177" s="413">
        <f>VLOOKUP(A177,'BOCA DE LOBO'!$C$82:$Q$270,2,0)</f>
        <v>1.75</v>
      </c>
      <c r="G177" s="413">
        <f>VLOOKUP(A177,'BOCA DE LOBO'!$C$82:$Q$270,4,0)</f>
        <v>5.85</v>
      </c>
      <c r="H177" s="412">
        <v>400</v>
      </c>
      <c r="I177" s="493">
        <f t="shared" ref="I177:I208" si="739">IF(H177=400,((E177+F177)/2)+0.08+U177,IF(H177=500,((E177+F177)/2)+0.1+U177,IF(H177=600,((E177+F177)/2)+0.12+U177,IF(H177=800,((E177+F177)/2)+0.16+U177,IF(H177=1000,((E177+F177)/2)+0.2+U177,IF(H177=1200,((E177+F177)/2)+0.24+U177,IF(H177=1500,((E177+F177)/2)+0.3+U177,IF(H177&gt;1500,((E177+F177)/2)+0.4+U177))))))))</f>
        <v>1.7630000000000001</v>
      </c>
      <c r="J177" s="493">
        <f t="shared" ref="J177:J208" si="740">IF(L177=0,0,IF(I177&gt;=1.25,G177*I177/20,0))</f>
        <v>0.51567750000000001</v>
      </c>
      <c r="K177" s="530">
        <v>0</v>
      </c>
      <c r="L177" s="531">
        <f t="shared" ref="L177:L208" si="741">IF(D177&lt;&gt;"PROJETADA",0,IF(H177=400,1,0)+IF(H177=500,1.2,0)+IF(H177=600,1.4,0)+IF(H177=800,1.7,0)+IF(H177=1000,2,0)+IF(H177=1200,2.2,0)+IF(H177=1500,2.6,0)+IF(H177=1650,3,0)+IF(H177=1800,3.2,0)+IF(H177=2000,3.4,0)+IF(H177=2200,3.6,0)+IF(H177=2400,3.8,0)+IF(H177=2600,4,0)+IF(H177=3000,4.4,0))</f>
        <v>1</v>
      </c>
      <c r="M177" s="531">
        <f t="shared" ref="M177:M208" si="742">2*K177*I177+L177</f>
        <v>1</v>
      </c>
      <c r="N177" s="531">
        <f t="shared" ref="N177:N208" si="743">IF(OR(D177="EXISTENTE",D177="AMPLIADA"),400,0)</f>
        <v>0</v>
      </c>
      <c r="O177" s="531">
        <f t="shared" ref="O177:O208" si="744">IF(P177="TERRENO NATURAL",0,M177*G177)</f>
        <v>5.85</v>
      </c>
      <c r="P177" s="532" t="s">
        <v>2392</v>
      </c>
      <c r="Q177" s="539" t="s">
        <v>2973</v>
      </c>
      <c r="R177" s="534"/>
      <c r="S177" s="532">
        <v>5</v>
      </c>
      <c r="T177" s="532">
        <v>4.9000000000000004</v>
      </c>
      <c r="U177" s="531">
        <f t="shared" ref="U177:U208" si="745">IF(H177=400,0.05,0)+IF(H177=500,0.05,0)+IF(H177=600,0.1,0)+IF(H177=800,0.1,0)+IF(H177=1000,0.15,0)+IF(H177=1200,0.15,0)+IF(H177=1500,0.2,0)+IF(H177=1650,0.2,0)+IF(H177=1800,0.2,0)+IF(H177=2000,0.25,0)+IF(H177=2200,0.25,0)+IF(H177=2400,0.25,0)+IF(H177=2600,0.25,0)+IF(H177=3000,0.25,0)</f>
        <v>0.05</v>
      </c>
      <c r="V177" s="535">
        <f t="shared" ref="V177:V208" si="746">IF(L177=0,0,IF("EXISTENTE"=C177,0,IFERROR((PI()*(N177/1000)*(N177/1000)/4)*G177,0)))</f>
        <v>0</v>
      </c>
      <c r="W177" s="535">
        <f t="shared" ref="W177:W208" si="747">IF(O177=0,0,((((K177*I177)*I177)/2)*2+L177*I177)*G177-V177+AO177)</f>
        <v>10.313549999999999</v>
      </c>
      <c r="X177" s="536">
        <f t="shared" ref="X177:X208" si="748">W177-SUM(AC177:AJ177)</f>
        <v>0</v>
      </c>
      <c r="Y177" s="536">
        <f t="shared" ref="Y177:Y208" si="749">IF(R177=1,IF(N177=0,I177+0.4,0.4),0)</f>
        <v>0</v>
      </c>
      <c r="Z177" s="536">
        <f t="shared" ref="Z177:Z208" si="750">IF(Y177&gt;0.5,0,IF(S177&lt;I177,S177,I177))</f>
        <v>1.7630000000000001</v>
      </c>
      <c r="AA177" s="536">
        <f t="shared" ref="AA177:AA208" si="751">I177-Z177</f>
        <v>0</v>
      </c>
      <c r="AB177" s="496">
        <f t="shared" ref="AB177:AB208" si="752">IF(P177="ASFALTO",IF(D177="PROJETADA",O177,IF(D177="EXISTENTE",0,O177/2)),0)</f>
        <v>5.85</v>
      </c>
      <c r="AC177" s="251">
        <f t="shared" ref="AC177:AC208" si="753">IF(Y177=0,0,IF(Y177=0.4,IF(L177&lt;=1.5,IF(Z177+0.4&gt;=1.5,0,L177*G177*0.4),0),IF(L177&lt;=1.5,IF(Y177&gt;=1.5,M177*G177*1.5,L177*G177*(Y177)),0)+IF(S177&lt;I177+0.4,0,IF(AND(Y177&lt;=1.5,L177&lt;=1.5),-V177,0))))</f>
        <v>0</v>
      </c>
      <c r="AD177" s="251">
        <f t="shared" ref="AD177:AD208" si="754">IF(Y177=0,0,IF(Y177=0.4,IF(L177&lt;=1.5,IF(OR(Z177+0.4&gt;=3,Z177+0.4&lt;1.5),0,L177*G177*0.4),0),IF(IF(L177&lt;=1.5,IF(Y177&gt;=3,M177*G177*1.5,L177*G177*(Y177-1.5)),0)&lt;0,0,IF(L177&lt;=1.5,IF(Y177&gt;=3,M177*G177*1.5,L177*G177*(Y177-1.5)),0))+IF(S177&lt;I177+0.4,0,IF(AND(Y177&lt;=3,L177&lt;=1.5),-V177,0))))</f>
        <v>0</v>
      </c>
      <c r="AE177" s="251">
        <f t="shared" ref="AE177:AE208" si="755">IF(Y177=0,0,IF(Y177=0.4,IF(L177&lt;=1.5,IF(OR(Z177+0.4&gt;=4.5,Z177+0.4&lt;3),0,L177*G177*0.4),0),IF(IF(L177&lt;=1.5,IF(Y177&gt;=4.5,M177*G177*1.5,L177*G177*(Y177-3)),0)&lt;0,0,IF(L177&lt;=1.5,IF(Y177&gt;=4.5,M177*G177*1.5,L177*G177*(Y177-3)),0))+IF(S177&lt;I177+0.4,0,IF(AND(Y177&lt;=4.5,L177&lt;=1.5),-V177,0))))</f>
        <v>0</v>
      </c>
      <c r="AF177" s="251">
        <f t="shared" ref="AF177:AF208" si="756">IF(L177&lt;=1.5,IF(Z177&gt;=1.5,M177*G177*1.5,L177*G177*Z177),0)+IF(S177&lt;I177,0,IF(AND(Z177&lt;=1.5,L177&lt;=1.5),-V177,0))</f>
        <v>8.7749999999999986</v>
      </c>
      <c r="AG177" s="251">
        <f t="shared" ref="AG177:AG208" si="757">IF(IF(L177&lt;=1.5,IF(Z177&gt;=3,M177*G177*1.5,L177*G177*(Z177-1.5)),0)&lt;0,0,IF(L177&lt;=1.5,IF(Z177&gt;=3,M177*G177*1.5,L177*G177*(Z177-1.5)),0))+IF(S177&lt;I177,0,IF(AND(Z177&lt;=3,L177&lt;=1.5),-V177,0))</f>
        <v>1.5385500000000005</v>
      </c>
      <c r="AH177" s="251">
        <f t="shared" ref="AH177:AH208" si="758">IF(IF(IF(L177&lt;=1.5,IF(Z177&gt;=4.5,M177*G177*1.5,L177*G177*(Z177-3)),0)&lt;0,0,IF(L177&lt;=1.5,IF(Z177&gt;=4.5,M177*G177*1.5,L177*G177*(Z177-3)),0))+IF(S177&lt;I177,0,IF(AND(Z177&lt;=4.5,L177&lt;=1.5),-V177,0))&lt;0,0,IF(IF(L177&lt;=1.5,IF(Z177&gt;=4.5,M177*G177*1.5,L177*G177*(Z177-3)),0)&lt;0,0,IF(L177&lt;=1.5,IF(Z177&gt;=4.5,M177*G177*1.5,L177*G177*(Z177-3)),0))+IF(S177&lt;I177,0,IF(AND(Z177&lt;=4.5,L177&lt;=1.5),-V177,0)))</f>
        <v>0</v>
      </c>
      <c r="AI177" s="497" t="str">
        <f t="shared" ref="AI177:AI208" si="759">IF(I177&gt;S177,"SIM","NÃO")</f>
        <v>NÃO</v>
      </c>
      <c r="AJ177" s="531">
        <f t="shared" ref="AJ177:AJ208" si="760">W177-SUM(AC177:AH177)</f>
        <v>0</v>
      </c>
      <c r="AK177" s="531">
        <f t="shared" ref="AK177:AK208" si="761">IF(I177-T177&lt;0,0,(I177-T177)*G177)/75</f>
        <v>0</v>
      </c>
      <c r="AL177" s="531">
        <f t="shared" ref="AL177:AL208" si="762">IF(L177=0,0,G177*L177*I177-PI()*(H177/1000)*(H177/1000)/4*G177+AO177)</f>
        <v>9.5784173190599873</v>
      </c>
      <c r="AM177" s="493">
        <f t="shared" ref="AM177:AM208" si="763">IF(L177&lt;1.5,L177*G177*IF(H177&lt;=500,0.05,IF(H177&lt;=800,0.1,IF(H177&lt;=1200,0.15,IF(H177&gt;=1500,0.2)))),0)</f>
        <v>0.29249999999999998</v>
      </c>
      <c r="AN177" s="535">
        <f t="shared" ref="AN177:AN208" si="764">IF(L177&gt;=1.5,L177*G177*IF(H177&lt;=500,0.05,IF(H177&lt;=800,0.1,IF(H177&lt;=1200,0.15,IF(H177&gt;=1500,0.2)))),0)</f>
        <v>0</v>
      </c>
      <c r="AO177" s="531">
        <f t="shared" ref="AO177:AO208" si="765">IF(R177=1,0.4*G177*L177,0)</f>
        <v>0</v>
      </c>
      <c r="AP177" s="531">
        <f t="shared" ref="AP177:AP208" si="766">IF(AO177&lt;SUM(AF177:AH177),0,AO177)</f>
        <v>0</v>
      </c>
      <c r="AQ177" s="531">
        <f t="shared" ref="AQ177:AQ208" si="767">H177/1000+0.3</f>
        <v>0.7</v>
      </c>
      <c r="AR177" s="531">
        <f t="shared" ref="AR177:AR208" si="768">IF(D177&lt;&gt;"PROJETADA",0,AQ177*L177*G177-PI()*(H177/1000*H177/1000)/4*G177)</f>
        <v>3.3598673190599881</v>
      </c>
      <c r="AS177" s="531">
        <f t="shared" ref="AS177:AS208" si="769">IF(AR177&lt;SUM(AF177:AH177),0,AR177)</f>
        <v>0</v>
      </c>
      <c r="AT177" s="531">
        <f t="shared" ref="AT177:AT208" si="770">IF(P177="ASFALTO",0.15*G177*L177,0)</f>
        <v>0.87749999999999995</v>
      </c>
      <c r="AU177" s="531">
        <f t="shared" ref="AU177:AU208" si="771">AT177</f>
        <v>0.87749999999999995</v>
      </c>
      <c r="AV177" s="531">
        <f t="shared" ref="AV177:AV208" si="772">IF(P177="ASFALTO",0.03*G177*L177,0)</f>
        <v>0.17549999999999999</v>
      </c>
      <c r="AW177" s="531">
        <f t="shared" ref="AW177:AW208" si="773">AL177-AO177-SUM(AM177:AN177)-AT177-AU177-AR177</f>
        <v>4.1710499999999993</v>
      </c>
      <c r="AX177" s="531">
        <f t="shared" ref="AX177:AX208" si="774">SUM(AF177:AH177)-AO177-AT177-AR177</f>
        <v>6.0761826809400112</v>
      </c>
      <c r="AY177" s="531">
        <f t="shared" ref="AY177:AY208" si="775">SMALL(AW177:AX177,1)</f>
        <v>4.1710499999999993</v>
      </c>
      <c r="AZ177" s="531">
        <f t="shared" ref="AZ177:AZ208" si="776">AW177-AY177</f>
        <v>0</v>
      </c>
      <c r="BA177" s="531">
        <f t="shared" ref="BA177:BA208" si="777">IF($AZ$221&gt;$BA$223,($BA$223/$AZ$221)*AZ177,AZ177)</f>
        <v>0</v>
      </c>
      <c r="BB177" s="531">
        <f t="shared" ref="BB177:BB208" si="778">AZ177-BA177</f>
        <v>0</v>
      </c>
      <c r="BC177" s="531"/>
      <c r="BD177" s="531">
        <f t="shared" ref="BD177:BD208" si="779">IF(AO177+AT177&gt;0,4%*(AO177+AT177),0)</f>
        <v>3.5099999999999999E-2</v>
      </c>
      <c r="BE177" s="496">
        <f t="shared" ref="BE177:BE208" si="780">IF(H177=400,I177,0)</f>
        <v>1.7630000000000001</v>
      </c>
      <c r="BF177" s="498">
        <f t="shared" ref="BF177:BF208" si="781">IF(BE177&lt;=1.75,AND(BE177&gt;0)*G177,0)</f>
        <v>0</v>
      </c>
      <c r="BG177" s="498">
        <f t="shared" ref="BG177:BG208" si="782">IF(BE177&lt;=3,AND(BE177&gt;1.75)*G177,0)</f>
        <v>5.85</v>
      </c>
      <c r="BH177" s="532" t="str">
        <f>VLOOKUP(A177,'BOCA DE LOBO'!C:I,7,0)</f>
        <v>BOCA DE LOBO PROJETADA DUPLA</v>
      </c>
      <c r="BI177" s="531">
        <f t="shared" ref="BI177:BI208" si="783">IF(BH177=$BI$87,1,0)</f>
        <v>0</v>
      </c>
      <c r="BJ177" s="531">
        <f t="shared" ref="BJ177:BJ208" si="784">IF(BH177=$BJ$87,1,0)</f>
        <v>0</v>
      </c>
      <c r="BK177" s="531">
        <f t="shared" ref="BK177:BK208" si="785">IF(BH177=$BK$87,1,0)</f>
        <v>0</v>
      </c>
      <c r="BL177" s="531">
        <f t="shared" ref="BL177:BL208" si="786">IF(BH177=$BL$87,1,0)</f>
        <v>0</v>
      </c>
      <c r="BM177" s="531">
        <f t="shared" ref="BM177:BM208" si="787">IF(BH177=$BM$87,1,0)</f>
        <v>0</v>
      </c>
      <c r="BN177" s="531">
        <f t="shared" ref="BN177:BN208" si="788">IF(BH177=$BN$87,1,0)</f>
        <v>1</v>
      </c>
      <c r="BO177" s="499">
        <f t="shared" ref="BO177:BO208" si="789">IF(BH177=$BO$87,1,0)</f>
        <v>0</v>
      </c>
      <c r="BP177" s="500"/>
      <c r="BQ177" s="496">
        <f t="shared" ref="BQ177:BQ208" si="790">IF(L177&lt;=1.5,IF(I177+IF(R177=1,0.5,0)&lt;1.5,(I177+IF(R177=1,0.5,0))*G177*2,G177*2*1.5),0)</f>
        <v>17.549999999999997</v>
      </c>
      <c r="BR177" s="496">
        <f t="shared" ref="BR177:BR208" si="791">IF(L177&lt;=1.5,IF(AND(I177+IF(R177=1,0.5,0)&lt;3,I177+IF(R177=1,0.5,0)&gt;1.5),(I177+IF(R177=1,0.5,0)-1.5)*G177*2,IF(I177+IF(R177=1,0.5,0)&gt;=3,(G177*2*1.5),0)),0)</f>
        <v>3.0771000000000011</v>
      </c>
      <c r="BS177" s="496">
        <f t="shared" ref="BS177:BS208" si="792">IF(L177&lt;=1.5,IF(AND(I177+IF(R177=1,0.5,0)&lt;4.5,I177+IF(R177=1,0.5,0)&gt;3),(I177+IF(R177=1,0.5,0)-3)*G177*2,IF(I177+IF(R177=1,0.5,0)&gt;=4.5,(G177*2*1.5),0)),0)</f>
        <v>0</v>
      </c>
      <c r="BT177" s="501"/>
      <c r="BU177" s="501"/>
      <c r="BV177" s="502">
        <f t="shared" ref="BV177:BV208" si="793">IF(OR("BOCA DE LOBO EXISTENTE TRIPLA"=BH177,"BOCA DE LOBO EXISTENTE SIMPLES"=BH177,"BOCA DE LOBO EXISTENTE DUPLA"=BH177),0,IF("BOCA DE LOBO PROJETADA DUPLA"=BH177,(2.57+1)*(1.18+1),IF(OR("BOCA DE LOBO DUPLA EXISTENTE COM BOCA DE LOBO SIMPLES PROJETADA"=BH177,"BOCA DE LOBO SIMPLES EXISTENTE COM BOCA DE LOBO SIMPLES PROJETADA"=BH177),(1.18+0.5)*(1.18+1),IF(OR(BH177="BOCA DE LOBO DUPLA EXISTENTE COM BOCA DE LOBO DUPLA PROJETADA",BH177="BOCA DE LOBO SIMPLES EXISTENTE COM BOCA DE LOBO DUPLA PROJETADA"),(2.38+0.5)*(1.18+1),IF("BOCA DE LOBO PROJETADA TRIPLA"=BH177,(3.76+1)*(1.18+1),"X")))))*(E177+IF(CA177&gt;0,0.5,0))</f>
        <v>11.798421599999998</v>
      </c>
      <c r="BW177" s="502">
        <f t="shared" ref="BW177:BW208" si="794">IF(OR("BOCA DE LOBO EXISTENTE TRIPLA"=BH177,"BOCA DE LOBO EXISTENTE SIMPLES"=BH177,"BOCA DE LOBO EXISTENTE DUPLA"=BH177),0,IF("BOCA DE LOBO PROJETADA DUPLA"=BH177,(2.57+1)*(1.18+1),IF(OR("BOCA DE LOBO DUPLA EXISTENTE COM BOCA DE LOBO SIMPLES PROJETADA"=BH177,"BOCA DE LOBO SIMPLES EXISTENTE COM BOCA DE LOBO SIMPLES PROJETADA"=BH177),(1.18+1)*(1.18+0.5),IF(OR(BH177="BOCA DE LOBO DUPLA EXISTENTE COM BOCA DE LOBO DUPLA PROJETADA",BH177="BOCA DE LOBO SIMPLES EXISTENTE COM BOCA DE LOBO DUPLA PROJETADA"),(2.38+0.5)*(1.18+1),IF("BOCA DE LOBO PROJETADA TRIPLA"=BH177,(3.76+0.5*2)*(1.18+1),"X")))))</f>
        <v>7.7825999999999986</v>
      </c>
      <c r="BX177" s="502">
        <f t="shared" ref="BX177:BX208" si="795">IF(OR("BOCA DE LOBO EXISTENTE TRIPLA"=BH177,"BOCA DE LOBO EXISTENTE SIMPLES"=BH177,"BOCA DE LOBO EXISTENTE DUPLA"=BH177),0,IF("BOCA DE LOBO PROJETADA DUPLA"=BH177,(2.57)*(1.18),IF(OR("BOCA DE LOBO DUPLA EXISTENTE COM BOCA DE LOBO SIMPLES PROJETADA"=BH177,"BOCA DE LOBO SIMPLES EXISTENTE COM BOCA DE LOBO SIMPLES PROJETADA"=BH177),(1.18)*(1.18),IF(OR(BH177="BOCA DE LOBO DUPLA EXISTENTE COM BOCA DE LOBO DUPLA PROJETADA",BH177="BOCA DE LOBO SIMPLES EXISTENTE COM BOCA DE LOBO DUPLA PROJETADA"),(2.38)*(1.18),IF("BOCA DE LOBO PROJETADA TRIPLA"=BH177,(3.76)*(1.18),"X")))))</f>
        <v>3.0325999999999995</v>
      </c>
      <c r="BY177" s="502">
        <f t="shared" ref="BY177:BY208" si="796">E177</f>
        <v>1.516</v>
      </c>
      <c r="BZ177" s="502">
        <f t="shared" ref="BZ177:BZ208" si="797">IF(Y177&gt;0.5,0,IF(S177&lt;E177,S177,E177))</f>
        <v>1.516</v>
      </c>
      <c r="CA177" s="502">
        <f t="shared" ref="CA177:CA208" si="798">IF(Y177&gt;0.4,BY177+0.4,Y177)</f>
        <v>0</v>
      </c>
      <c r="CB177" s="502">
        <f t="shared" ref="CB177:CB208" si="799">IF(S177&gt;E177,0,E177-S177)</f>
        <v>0</v>
      </c>
      <c r="CC177" s="502">
        <f t="shared" ref="CC177:CC208" si="800">IF(BZ177&gt;1.5,BW177*1.5,BW177*BZ177)</f>
        <v>11.673899999999998</v>
      </c>
      <c r="CD177" s="502">
        <f t="shared" ref="CD177:CD208" si="801">IF(BZ177&gt;1.5,BW177*(BZ177-1.5),0)</f>
        <v>0.12452160000000009</v>
      </c>
      <c r="CE177" s="502">
        <f t="shared" ref="CE177:CE208" si="802">IF(CA177=0.4,IF(BZ177+CA177&gt;1.5,0,CA177*BW177),IF(CA177&gt;1.5,BW177*1.5,BW177*CA177))</f>
        <v>0</v>
      </c>
      <c r="CF177" s="502">
        <f t="shared" ref="CF177:CF208" si="803">IF(CA177=0.4,IF(BZ177+CA177&lt;=1.5,0,CA177*BW177),IF(CA177&gt;1.5,BW177*(CA177-1.5),0))</f>
        <v>0</v>
      </c>
      <c r="CG177" s="502">
        <f t="shared" ref="CG177:CG208" si="804">BV177-SUM(CC177:CF177)</f>
        <v>0</v>
      </c>
      <c r="CH177" s="502">
        <f t="shared" ref="CH177:CH208" si="805">SUM(CC177:CG177)-BV177</f>
        <v>0</v>
      </c>
      <c r="CI177" s="531">
        <f t="shared" ref="CI177:CI208" si="806">IF(OR("BOCA DE LOBO EXISTENTE TRIPLA"=BH177,"BOCA DE LOBO EXISTENTE SIMPLES"=BH177,"BOCA DE LOBO EXISTENTE DUPLA"=BH177),0,IF("BOCA DE LOBO PROJETADA DUPLA"=BH177,(2.57+1)*(0.5),IF(OR("BOCA DE LOBO DUPLA EXISTENTE COM BOCA DE LOBO SIMPLES PROJETADA"=BH177,"BOCA DE LOBO SIMPLES EXISTENTE COM BOCA DE LOBO SIMPLES PROJETADA"=BH177),(1.18+0.5)*(0.5),IF(OR(BH177="BOCA DE LOBO DUPLA EXISTENTE COM BOCA DE LOBO DUPLA PROJETADA",BH177="BOCA DE LOBO SIMPLES EXISTENTE COM BOCA DE LOBO DUPLA PROJETADA"),(2.38+0.5)*(0.5),IF("BOCA DE LOBO PROJETADA TRIPLA"=BH177,(3.76+1)*(0.5),"X")))))*0.3</f>
        <v>0.53549999999999998</v>
      </c>
      <c r="CJ177" s="502">
        <f t="shared" ref="CJ177:CJ208" si="807">(BW177-BX177)*(BY177+IF(CA177&gt;=0.4,0.4,0))-CI177</f>
        <v>6.6654999999999989</v>
      </c>
      <c r="CK177" s="502">
        <f t="shared" ref="CK177:CK208" si="808">IF($CK$223&gt;$CJ$221,CJ177,CJ177*$CK$223/$CJ$221)</f>
        <v>6.6654999999999989</v>
      </c>
      <c r="CL177" s="502">
        <f t="shared" ref="CL177:CL208" si="809">CJ177-CK177</f>
        <v>0</v>
      </c>
      <c r="CM177" s="502">
        <f t="shared" ref="CM177:CM208" si="810">IF(CA177&gt;0,0.5*4%*BW177,0)</f>
        <v>0</v>
      </c>
      <c r="CN177" s="502">
        <f t="shared" ref="CN177:CN208" si="811">IF(OR("BOCA DE LOBO EXISTENTE TRIPLA"=BH177,"BOCA DE LOBO EXISTENTE SIMPLES"=BH177,"BOCA DE LOBO EXISTENTE DUPLA"=BH177),0,IF("BOCA DE LOBO PROJETADA DUPLA"=BH177,(2.57+1),IF(OR("BOCA DE LOBO DUPLA EXISTENTE COM BOCA DE LOBO SIMPLES PROJETADA"=BH177,"BOCA DE LOBO SIMPLES EXISTENTE COM BOCA DE LOBO SIMPLES PROJETADA"=BH177),(1.18+0.5),IF(OR(BH177="BOCA DE LOBO DUPLA EXISTENTE COM BOCA DE LOBO DUPLA PROJETADA",BH177="BOCA DE LOBO SIMPLES EXISTENTE COM BOCA DE LOBO DUPLA PROJETADA"),(2.38+0.5),IF("BOCA DE LOBO PROJETADA TRIPLA"=BH177,(3.76+0.5*2),"X")))))</f>
        <v>3.57</v>
      </c>
      <c r="CO177" s="502">
        <f t="shared" ref="CO177:CO208" si="812">IF(CA177&gt;0,BY177+0.5,BY177)</f>
        <v>1.516</v>
      </c>
      <c r="CP177" s="502">
        <f t="shared" ref="CP177:CP208" si="813">IF(CO177&gt;=1.5,CN177*1.5*2,CN177*CO177*2)</f>
        <v>10.709999999999999</v>
      </c>
      <c r="CQ177" s="502">
        <f t="shared" ref="CQ177:CQ208" si="814">IF(CO177&lt;=1.5,0,IF(CO177&gt;=3,CN177*1.5*2,CN177*(CO177-1.5)*2))</f>
        <v>0.11424000000000009</v>
      </c>
      <c r="CR177" s="220">
        <f t="shared" ref="CR177:CR208" si="815">IF(D177="AMPLIADA",0.55*(E177-0.5),0)</f>
        <v>0</v>
      </c>
      <c r="CS177" s="503">
        <f t="shared" ref="CS177:CS208" si="816">IF(OR("BOCA DE LOBO EXISTENTE TRIPLA"=BH177,"BOCA DE LOBO EXISTENTE SIMPLES"=BH177,"BOCA DE LOBO EXISTENTE DUPLA"=BH177),0,IF("BOCA DE LOBO PROJETADA DUPLA"=BH177,(0),IF(OR("BOCA DE LOBO DUPLA EXISTENTE COM BOCA DE LOBO SIMPLES PROJETADA"=BH177,"BOCA DE LOBO SIMPLES EXISTENTE COM BOCA DE LOBO SIMPLES PROJETADA"=BH177),(0.8*0.15*0.17),IF(OR(BH177="BOCA DE LOBO DUPLA EXISTENTE COM BOCA DE LOBO DUPLA PROJETADA",BH177="BOCA DE LOBO SIMPLES EXISTENTE COM BOCA DE LOBO DUPLA PROJETADA"),(0.8*0.15*0.17),IF("BOCA DE LOBO PROJETADA TRIPLA"=BH177,(0),"X")))))*E177</f>
        <v>0</v>
      </c>
      <c r="CT177" s="503">
        <f t="shared" ref="CT177:CT208" si="817">IF(OR("BOCA DE LOBO EXISTENTE TRIPLA"=BH177,"BOCA DE LOBO EXISTENTE SIMPLES"=BH177,"BOCA DE LOBO EXISTENTE DUPLA"=BH177),0,IF("BOCA DE LOBO PROJETADA DUPLA"=BH177,(1.18*2.57*0.05),IF(OR("BOCA DE LOBO DUPLA EXISTENTE COM BOCA DE LOBO SIMPLES PROJETADA"=BH177,"BOCA DE LOBO SIMPLES EXISTENTE COM BOCA DE LOBO SIMPLES PROJETADA"=BH177),(1.19*1.18*0.05),IF(OR(BH177="BOCA DE LOBO DUPLA EXISTENTE COM BOCA DE LOBO DUPLA PROJETADA",BH177="BOCA DE LOBO SIMPLES EXISTENTE COM BOCA DE LOBO DUPLA PROJETADA"),(2.38*1.18*0.056),IF("BOCA DE LOBO PROJETADA TRIPLA"=BH177,(3.76*1.18*0.05),"X")))))+CI177/3</f>
        <v>0.33012999999999998</v>
      </c>
      <c r="CU177" s="504">
        <f t="shared" ref="CU177:CU208" si="818">IF(OR("BOCA DE LOBO EXISTENTE TRIPLA"=BH177,"BOCA DE LOBO EXISTENTE SIMPLES"=BH177,"BOCA DE LOBO EXISTENTE DUPLA"=BH177),0,IF("BOCA DE LOBO PROJETADA DUPLA"=BH177,(1*4+0.6*2),IF("BOCA DE LOBO DUPLA EXISTENTE COM BOCA DE LOBO SIMPLES PROJETADA"=BH177,(1*2+0.6),IF(OR(BH177="BOCA DE LOBO DUPLA EXISTENTE COM BOCA DE LOBO DUPLA PROJETADA",BH177="BOCA DE LOBO SIMPLES EXISTENTE COM BOCA DE LOBO DUPLA PROJETADA"),(1*4+0.6),IF("BOCA DE LOBO PROJETADA TRIPLA"=BH177,(6*1+0.6*2),"X")))))*E177</f>
        <v>7.8832000000000004</v>
      </c>
      <c r="CV177" s="504">
        <f t="shared" ref="CV177:CV208" si="819">IF(OR("BOCA DE LOBO EXISTENTE TRIPLA"=BH177,"BOCA DE LOBO EXISTENTE SIMPLES"=BH177,"BOCA DE LOBO EXISTENTE DUPLA"=BH177),0,IF("BOCA DE LOBO PROJETADA DUPLA"=BH177,(12*E177*0.17*0.15+1*0.17*0.15*5+1.09*0.6*0.07*2+2.57*1.18*0.15),IF("BOCA DE LOBO DUPLA EXISTENTE COM BOCA DE LOBO SIMPLES PROJETADA"=BH177,(8*E177*0.17*0.15+1*0.17*0.15*4+1.09*0.6*0.07*1+1.38*1.18*0.15),IF(OR(BH177="BOCA DE LOBO DUPLA EXISTENTE COM BOCA DE LOBO DUPLA PROJETADA",BH177="BOCA DE LOBO SIMPLES EXISTENTE COM BOCA DE LOBO DUPLA PROJETADA"),(7*E177*0.17*0.15+1*0.17*0.15*5+1.09*0.6*0.07*2+2.38*1.18*0.15),IF("BOCA DE LOBO PROJETADA TRIPLA"=BH177,(15*E177*0.17*0.15+1*0.17*0.15*7+1.09*0.6*0.07*3+3.76*1.18*0.15),"X")))))</f>
        <v>1.1378459999999999</v>
      </c>
      <c r="CW177" s="502">
        <f t="shared" ref="CW177:CW208" si="820">IF(OR("BOCA DE LOBO EXISTENTE TRIPLA"=BH177,"BOCA DE LOBO EXISTENTE SIMPLES"=BH177,"BOCA DE LOBO EXISTENTE DUPLA"=BH177),0,IF("BOCA DE LOBO PROJETADA DUPLA"=BH177,(12*E177*2*(0.17+0.15)+1*(2*0.17+0.15)*5+2*(2.57+1.18)*0.15+(1.09+0.6)*2*0.07*2),IF("BOCA DE LOBO DUPLA EXISTENTE COM BOCA DE LOBO SIMPLES PROJETADA"=BH177,(8*E177*2*(0.17+0.15)+1*(2*0.17+0.15)*4+2*(1.38+1.18)*0.15+(1.09+0.6)*2*0.07*1),IF(OR(BH177="BOCA DE LOBO DUPLA EXISTENTE COM BOCA DE LOBO DUPLA PROJETADA",BH177="BOCA DE LOBO SIMPLES EXISTENTE COM BOCA DE LOBO DUPLA PROJETADA"),(7*E177*2*(0.17+0.15)+1*(2*0.17+0.15)*5+2*(2.38+1.18)*0.15+(1.09+0.6)*2*0.07*2),IF("BOCA DE LOBO PROJETADA TRIPLA"=BH177,(15*E177*2*(0.17+0.15)+1*(2*0.17+0.15)*7+2*(3.76+1.18)*0.15+(1.09+0.6)*2*0.07*3),"X")))))</f>
        <v>15.691080000000001</v>
      </c>
      <c r="CX177" s="531">
        <f t="shared" ref="CX177:CX208" si="821">IF(OR("BOCA DE LOBO EXISTENTE TRIPLA"=BH177,"BOCA DE LOBO EXISTENTE SIMPLES"=BH177,"BOCA DE LOBO EXISTENTE DUPLA"=BH177),0,IF("BOCA DE LOBO PROJETADA DUPLA"=BH177,(2.57+1),IF(OR("BOCA DE LOBO DUPLA EXISTENTE COM BOCA DE LOBO SIMPLES PROJETADA"=BH177,"BOCA DE LOBO SIMPLES EXISTENTE COM BOCA DE LOBO SIMPLES PROJETADA"=BH177),(1.18+0.5),IF(OR(BH177="BOCA DE LOBO DUPLA EXISTENTE COM BOCA DE LOBO DUPLA PROJETADA",BH177="BOCA DE LOBO SIMPLES EXISTENTE COM BOCA DE LOBO DUPLA PROJETADA"),(2.38+0.5),IF("BOCA DE LOBO PROJETADA TRIPLA"=BH177,(3.76+1),"X")))))</f>
        <v>3.57</v>
      </c>
      <c r="CY177" s="537">
        <f t="shared" ref="CY177:CY208" si="822">CX177*0.5</f>
        <v>1.7849999999999999</v>
      </c>
      <c r="CZ177" s="502">
        <f t="shared" ref="CZ177:CZ208" si="823">IF(AND(C177="EXISTENTE",D177="PROJETADA"),PI()*0.51*0.51/4*0.12,0)</f>
        <v>2.4513847475961154E-2</v>
      </c>
    </row>
    <row r="178" spans="1:104" ht="25" x14ac:dyDescent="0.25">
      <c r="A178" s="413" t="str">
        <f>'BOCA DE LOBO'!C172</f>
        <v>BL87-&gt;PV2-109</v>
      </c>
      <c r="B178" s="413" t="str">
        <f>'BOCA DE LOBO'!A172</f>
        <v>PV2-109</v>
      </c>
      <c r="C178" s="413" t="str">
        <f>VLOOKUP(A178,'BOCA DE LOBO'!$C$82:$Q$270,3,0)</f>
        <v>EXISTENTE</v>
      </c>
      <c r="D178" s="413" t="str">
        <f>VLOOKUP(A178,'BOCA DE LOBO'!$C$82:$Q$270,10,0)</f>
        <v>PROJETADA</v>
      </c>
      <c r="E178" s="413">
        <f t="shared" si="738"/>
        <v>1.5367999999999999</v>
      </c>
      <c r="F178" s="413">
        <f>VLOOKUP(A178,'BOCA DE LOBO'!$C$82:$Q$270,2,0)</f>
        <v>1.75</v>
      </c>
      <c r="G178" s="413">
        <f>VLOOKUP(A178,'BOCA DE LOBO'!$C$82:$Q$270,4,0)</f>
        <v>5.33</v>
      </c>
      <c r="H178" s="412">
        <v>400</v>
      </c>
      <c r="I178" s="493">
        <f t="shared" si="739"/>
        <v>1.7734000000000001</v>
      </c>
      <c r="J178" s="493">
        <f t="shared" si="740"/>
        <v>0.47261110000000006</v>
      </c>
      <c r="K178" s="530">
        <v>0</v>
      </c>
      <c r="L178" s="531">
        <f t="shared" si="741"/>
        <v>1</v>
      </c>
      <c r="M178" s="531">
        <f t="shared" si="742"/>
        <v>1</v>
      </c>
      <c r="N178" s="531">
        <f t="shared" si="743"/>
        <v>0</v>
      </c>
      <c r="O178" s="531">
        <f t="shared" si="744"/>
        <v>5.33</v>
      </c>
      <c r="P178" s="532" t="s">
        <v>2392</v>
      </c>
      <c r="Q178" s="539" t="s">
        <v>2973</v>
      </c>
      <c r="R178" s="534"/>
      <c r="S178" s="532">
        <v>5</v>
      </c>
      <c r="T178" s="532">
        <v>4.9000000000000004</v>
      </c>
      <c r="U178" s="531">
        <f t="shared" si="745"/>
        <v>0.05</v>
      </c>
      <c r="V178" s="535">
        <f t="shared" si="746"/>
        <v>0</v>
      </c>
      <c r="W178" s="535">
        <f t="shared" si="747"/>
        <v>9.4522220000000008</v>
      </c>
      <c r="X178" s="536">
        <f t="shared" si="748"/>
        <v>0</v>
      </c>
      <c r="Y178" s="536">
        <f t="shared" si="749"/>
        <v>0</v>
      </c>
      <c r="Z178" s="536">
        <f t="shared" si="750"/>
        <v>1.7734000000000001</v>
      </c>
      <c r="AA178" s="536">
        <f t="shared" si="751"/>
        <v>0</v>
      </c>
      <c r="AB178" s="496">
        <f t="shared" si="752"/>
        <v>5.33</v>
      </c>
      <c r="AC178" s="251">
        <f t="shared" si="753"/>
        <v>0</v>
      </c>
      <c r="AD178" s="251">
        <f t="shared" si="754"/>
        <v>0</v>
      </c>
      <c r="AE178" s="251">
        <f t="shared" si="755"/>
        <v>0</v>
      </c>
      <c r="AF178" s="251">
        <f t="shared" si="756"/>
        <v>7.9950000000000001</v>
      </c>
      <c r="AG178" s="251">
        <f t="shared" si="757"/>
        <v>1.4572220000000005</v>
      </c>
      <c r="AH178" s="251">
        <f t="shared" si="758"/>
        <v>0</v>
      </c>
      <c r="AI178" s="497" t="str">
        <f t="shared" si="759"/>
        <v>NÃO</v>
      </c>
      <c r="AJ178" s="531">
        <f t="shared" si="760"/>
        <v>0</v>
      </c>
      <c r="AK178" s="531">
        <f t="shared" si="761"/>
        <v>0</v>
      </c>
      <c r="AL178" s="531">
        <f t="shared" si="762"/>
        <v>8.7824344462546566</v>
      </c>
      <c r="AM178" s="493">
        <f t="shared" si="763"/>
        <v>0.26650000000000001</v>
      </c>
      <c r="AN178" s="535">
        <f t="shared" si="764"/>
        <v>0</v>
      </c>
      <c r="AO178" s="531">
        <f t="shared" si="765"/>
        <v>0</v>
      </c>
      <c r="AP178" s="531">
        <f t="shared" si="766"/>
        <v>0</v>
      </c>
      <c r="AQ178" s="531">
        <f t="shared" si="767"/>
        <v>0.7</v>
      </c>
      <c r="AR178" s="531">
        <f t="shared" si="768"/>
        <v>3.0612124462546557</v>
      </c>
      <c r="AS178" s="531">
        <f t="shared" si="769"/>
        <v>0</v>
      </c>
      <c r="AT178" s="531">
        <f t="shared" si="770"/>
        <v>0.79949999999999999</v>
      </c>
      <c r="AU178" s="531">
        <f t="shared" si="771"/>
        <v>0.79949999999999999</v>
      </c>
      <c r="AV178" s="531">
        <f t="shared" si="772"/>
        <v>0.15989999999999999</v>
      </c>
      <c r="AW178" s="531">
        <f t="shared" si="773"/>
        <v>3.8557220000000001</v>
      </c>
      <c r="AX178" s="531">
        <f t="shared" si="774"/>
        <v>5.591509553745345</v>
      </c>
      <c r="AY178" s="531">
        <f t="shared" si="775"/>
        <v>3.8557220000000001</v>
      </c>
      <c r="AZ178" s="531">
        <f t="shared" si="776"/>
        <v>0</v>
      </c>
      <c r="BA178" s="531">
        <f t="shared" si="777"/>
        <v>0</v>
      </c>
      <c r="BB178" s="531">
        <f t="shared" si="778"/>
        <v>0</v>
      </c>
      <c r="BC178" s="531"/>
      <c r="BD178" s="531">
        <f t="shared" si="779"/>
        <v>3.1980000000000001E-2</v>
      </c>
      <c r="BE178" s="496">
        <f t="shared" si="780"/>
        <v>1.7734000000000001</v>
      </c>
      <c r="BF178" s="498">
        <f t="shared" si="781"/>
        <v>0</v>
      </c>
      <c r="BG178" s="498">
        <f t="shared" si="782"/>
        <v>5.33</v>
      </c>
      <c r="BH178" s="532" t="str">
        <f>VLOOKUP(A178,'BOCA DE LOBO'!C:I,7,0)</f>
        <v>BOCA DE LOBO PROJETADA DUPLA</v>
      </c>
      <c r="BI178" s="531">
        <f t="shared" si="783"/>
        <v>0</v>
      </c>
      <c r="BJ178" s="531">
        <f t="shared" si="784"/>
        <v>0</v>
      </c>
      <c r="BK178" s="531">
        <f t="shared" si="785"/>
        <v>0</v>
      </c>
      <c r="BL178" s="531">
        <f t="shared" si="786"/>
        <v>0</v>
      </c>
      <c r="BM178" s="531">
        <f t="shared" si="787"/>
        <v>0</v>
      </c>
      <c r="BN178" s="531">
        <f t="shared" si="788"/>
        <v>1</v>
      </c>
      <c r="BO178" s="499">
        <f t="shared" si="789"/>
        <v>0</v>
      </c>
      <c r="BP178" s="500"/>
      <c r="BQ178" s="496">
        <f t="shared" si="790"/>
        <v>15.99</v>
      </c>
      <c r="BR178" s="496">
        <f t="shared" si="791"/>
        <v>2.9144440000000009</v>
      </c>
      <c r="BS178" s="496">
        <f t="shared" si="792"/>
        <v>0</v>
      </c>
      <c r="BT178" s="501"/>
      <c r="BU178" s="501"/>
      <c r="BV178" s="502">
        <f t="shared" si="793"/>
        <v>11.960299679999997</v>
      </c>
      <c r="BW178" s="502">
        <f t="shared" si="794"/>
        <v>7.7825999999999986</v>
      </c>
      <c r="BX178" s="502">
        <f t="shared" si="795"/>
        <v>3.0325999999999995</v>
      </c>
      <c r="BY178" s="502">
        <f t="shared" si="796"/>
        <v>1.5367999999999999</v>
      </c>
      <c r="BZ178" s="502">
        <f t="shared" si="797"/>
        <v>1.5367999999999999</v>
      </c>
      <c r="CA178" s="502">
        <f t="shared" si="798"/>
        <v>0</v>
      </c>
      <c r="CB178" s="502">
        <f t="shared" si="799"/>
        <v>0</v>
      </c>
      <c r="CC178" s="502">
        <f t="shared" si="800"/>
        <v>11.673899999999998</v>
      </c>
      <c r="CD178" s="502">
        <f t="shared" si="801"/>
        <v>0.28639967999999949</v>
      </c>
      <c r="CE178" s="502">
        <f t="shared" si="802"/>
        <v>0</v>
      </c>
      <c r="CF178" s="502">
        <f t="shared" si="803"/>
        <v>0</v>
      </c>
      <c r="CG178" s="502">
        <f t="shared" si="804"/>
        <v>0</v>
      </c>
      <c r="CH178" s="502">
        <f t="shared" si="805"/>
        <v>0</v>
      </c>
      <c r="CI178" s="531">
        <f t="shared" si="806"/>
        <v>0.53549999999999998</v>
      </c>
      <c r="CJ178" s="502">
        <f t="shared" si="807"/>
        <v>6.7642999999999986</v>
      </c>
      <c r="CK178" s="502">
        <f t="shared" si="808"/>
        <v>6.7642999999999986</v>
      </c>
      <c r="CL178" s="502">
        <f t="shared" si="809"/>
        <v>0</v>
      </c>
      <c r="CM178" s="502">
        <f t="shared" si="810"/>
        <v>0</v>
      </c>
      <c r="CN178" s="502">
        <f t="shared" si="811"/>
        <v>3.57</v>
      </c>
      <c r="CO178" s="502">
        <f t="shared" si="812"/>
        <v>1.5367999999999999</v>
      </c>
      <c r="CP178" s="502">
        <f t="shared" si="813"/>
        <v>10.709999999999999</v>
      </c>
      <c r="CQ178" s="502">
        <f t="shared" si="814"/>
        <v>0.2627519999999996</v>
      </c>
      <c r="CR178" s="220">
        <f t="shared" si="815"/>
        <v>0</v>
      </c>
      <c r="CS178" s="503">
        <f t="shared" si="816"/>
        <v>0</v>
      </c>
      <c r="CT178" s="503">
        <f t="shared" si="817"/>
        <v>0.33012999999999998</v>
      </c>
      <c r="CU178" s="504">
        <f t="shared" si="818"/>
        <v>7.9913600000000002</v>
      </c>
      <c r="CV178" s="504">
        <f t="shared" si="819"/>
        <v>1.1442108</v>
      </c>
      <c r="CW178" s="502">
        <f t="shared" si="820"/>
        <v>15.850824000000001</v>
      </c>
      <c r="CX178" s="531">
        <f t="shared" si="821"/>
        <v>3.57</v>
      </c>
      <c r="CY178" s="537">
        <f t="shared" si="822"/>
        <v>1.7849999999999999</v>
      </c>
      <c r="CZ178" s="502">
        <f t="shared" si="823"/>
        <v>2.4513847475961154E-2</v>
      </c>
    </row>
    <row r="179" spans="1:104" ht="25" x14ac:dyDescent="0.25">
      <c r="A179" s="413" t="str">
        <f>'BOCA DE LOBO'!C173</f>
        <v>BL88-&gt;PV3-109</v>
      </c>
      <c r="B179" s="413" t="str">
        <f>'BOCA DE LOBO'!A173</f>
        <v>PV3-109</v>
      </c>
      <c r="C179" s="413" t="str">
        <f>VLOOKUP(A179,'BOCA DE LOBO'!$C$82:$Q$270,3,0)</f>
        <v>EXISTENTE</v>
      </c>
      <c r="D179" s="413" t="str">
        <f>VLOOKUP(A179,'BOCA DE LOBO'!$C$82:$Q$270,10,0)</f>
        <v>PROJETADA</v>
      </c>
      <c r="E179" s="413">
        <f t="shared" si="738"/>
        <v>1.7268000000000636</v>
      </c>
      <c r="F179" s="413">
        <f>VLOOKUP(A179,'BOCA DE LOBO'!$C$82:$Q$270,2,0)</f>
        <v>1.9300000000000637</v>
      </c>
      <c r="G179" s="413">
        <f>VLOOKUP(A179,'BOCA DE LOBO'!$C$82:$Q$270,4,0)</f>
        <v>5.08</v>
      </c>
      <c r="H179" s="412">
        <v>400</v>
      </c>
      <c r="I179" s="493">
        <f t="shared" si="739"/>
        <v>1.9584000000000639</v>
      </c>
      <c r="J179" s="493">
        <f t="shared" si="740"/>
        <v>0.49743360000001624</v>
      </c>
      <c r="K179" s="530">
        <v>0</v>
      </c>
      <c r="L179" s="531">
        <f t="shared" si="741"/>
        <v>1</v>
      </c>
      <c r="M179" s="531">
        <f t="shared" si="742"/>
        <v>1</v>
      </c>
      <c r="N179" s="531">
        <f t="shared" si="743"/>
        <v>0</v>
      </c>
      <c r="O179" s="531">
        <f t="shared" si="744"/>
        <v>5.08</v>
      </c>
      <c r="P179" s="532" t="s">
        <v>2392</v>
      </c>
      <c r="Q179" s="539" t="s">
        <v>2972</v>
      </c>
      <c r="R179" s="534"/>
      <c r="S179" s="532">
        <v>3.3</v>
      </c>
      <c r="T179" s="532">
        <v>1.7</v>
      </c>
      <c r="U179" s="531">
        <f t="shared" si="745"/>
        <v>0.05</v>
      </c>
      <c r="V179" s="535">
        <f t="shared" si="746"/>
        <v>0</v>
      </c>
      <c r="W179" s="535">
        <f t="shared" si="747"/>
        <v>9.9486720000003253</v>
      </c>
      <c r="X179" s="536">
        <f t="shared" si="748"/>
        <v>0</v>
      </c>
      <c r="Y179" s="536">
        <f t="shared" si="749"/>
        <v>0</v>
      </c>
      <c r="Z179" s="536">
        <f t="shared" si="750"/>
        <v>1.9584000000000639</v>
      </c>
      <c r="AA179" s="536">
        <f t="shared" si="751"/>
        <v>0</v>
      </c>
      <c r="AB179" s="496">
        <f t="shared" si="752"/>
        <v>5.08</v>
      </c>
      <c r="AC179" s="251">
        <f t="shared" si="753"/>
        <v>0</v>
      </c>
      <c r="AD179" s="251">
        <f t="shared" si="754"/>
        <v>0</v>
      </c>
      <c r="AE179" s="251">
        <f t="shared" si="755"/>
        <v>0</v>
      </c>
      <c r="AF179" s="251">
        <f t="shared" si="756"/>
        <v>7.62</v>
      </c>
      <c r="AG179" s="251">
        <f t="shared" si="757"/>
        <v>2.3286720000003243</v>
      </c>
      <c r="AH179" s="251">
        <f t="shared" si="758"/>
        <v>0</v>
      </c>
      <c r="AI179" s="497" t="str">
        <f t="shared" si="759"/>
        <v>NÃO</v>
      </c>
      <c r="AJ179" s="531">
        <f t="shared" si="760"/>
        <v>0</v>
      </c>
      <c r="AK179" s="531">
        <f t="shared" si="761"/>
        <v>1.7502293333337662E-2</v>
      </c>
      <c r="AL179" s="531">
        <f t="shared" si="762"/>
        <v>9.3103003727908789</v>
      </c>
      <c r="AM179" s="493">
        <f t="shared" si="763"/>
        <v>0.254</v>
      </c>
      <c r="AN179" s="535">
        <f t="shared" si="764"/>
        <v>0</v>
      </c>
      <c r="AO179" s="531">
        <f t="shared" si="765"/>
        <v>0</v>
      </c>
      <c r="AP179" s="531">
        <f t="shared" si="766"/>
        <v>0</v>
      </c>
      <c r="AQ179" s="531">
        <f t="shared" si="767"/>
        <v>0.7</v>
      </c>
      <c r="AR179" s="531">
        <f t="shared" si="768"/>
        <v>2.9176283727905536</v>
      </c>
      <c r="AS179" s="531">
        <f t="shared" si="769"/>
        <v>0</v>
      </c>
      <c r="AT179" s="531">
        <f t="shared" si="770"/>
        <v>0.76200000000000001</v>
      </c>
      <c r="AU179" s="531">
        <f t="shared" si="771"/>
        <v>0.76200000000000001</v>
      </c>
      <c r="AV179" s="531">
        <f t="shared" si="772"/>
        <v>0.15240000000000001</v>
      </c>
      <c r="AW179" s="531">
        <f t="shared" si="773"/>
        <v>4.6146720000003247</v>
      </c>
      <c r="AX179" s="531">
        <f t="shared" si="774"/>
        <v>6.2690436272097712</v>
      </c>
      <c r="AY179" s="531">
        <f t="shared" si="775"/>
        <v>4.6146720000003247</v>
      </c>
      <c r="AZ179" s="531">
        <f t="shared" si="776"/>
        <v>0</v>
      </c>
      <c r="BA179" s="531">
        <f t="shared" si="777"/>
        <v>0</v>
      </c>
      <c r="BB179" s="531">
        <f t="shared" si="778"/>
        <v>0</v>
      </c>
      <c r="BC179" s="531"/>
      <c r="BD179" s="531">
        <f t="shared" si="779"/>
        <v>3.048E-2</v>
      </c>
      <c r="BE179" s="496">
        <f t="shared" si="780"/>
        <v>1.9584000000000639</v>
      </c>
      <c r="BF179" s="498">
        <f t="shared" si="781"/>
        <v>0</v>
      </c>
      <c r="BG179" s="498">
        <f t="shared" si="782"/>
        <v>5.08</v>
      </c>
      <c r="BH179" s="532" t="str">
        <f>VLOOKUP(A179,'BOCA DE LOBO'!C:I,7,0)</f>
        <v>BOCA DE LOBO PROJETADA DUPLA</v>
      </c>
      <c r="BI179" s="531">
        <f t="shared" si="783"/>
        <v>0</v>
      </c>
      <c r="BJ179" s="531">
        <f t="shared" si="784"/>
        <v>0</v>
      </c>
      <c r="BK179" s="531">
        <f t="shared" si="785"/>
        <v>0</v>
      </c>
      <c r="BL179" s="531">
        <f t="shared" si="786"/>
        <v>0</v>
      </c>
      <c r="BM179" s="531">
        <f t="shared" si="787"/>
        <v>0</v>
      </c>
      <c r="BN179" s="531">
        <f t="shared" si="788"/>
        <v>1</v>
      </c>
      <c r="BO179" s="499">
        <f t="shared" si="789"/>
        <v>0</v>
      </c>
      <c r="BP179" s="500"/>
      <c r="BQ179" s="496">
        <f t="shared" si="790"/>
        <v>15.24</v>
      </c>
      <c r="BR179" s="496">
        <f t="shared" si="791"/>
        <v>4.6573440000006485</v>
      </c>
      <c r="BS179" s="496">
        <f t="shared" si="792"/>
        <v>0</v>
      </c>
      <c r="BT179" s="501"/>
      <c r="BU179" s="501"/>
      <c r="BV179" s="502">
        <f t="shared" si="793"/>
        <v>13.438993680000493</v>
      </c>
      <c r="BW179" s="502">
        <f t="shared" si="794"/>
        <v>7.7825999999999986</v>
      </c>
      <c r="BX179" s="502">
        <f t="shared" si="795"/>
        <v>3.0325999999999995</v>
      </c>
      <c r="BY179" s="502">
        <f t="shared" si="796"/>
        <v>1.7268000000000636</v>
      </c>
      <c r="BZ179" s="502">
        <f t="shared" si="797"/>
        <v>1.7268000000000636</v>
      </c>
      <c r="CA179" s="502">
        <f t="shared" si="798"/>
        <v>0</v>
      </c>
      <c r="CB179" s="502">
        <f t="shared" si="799"/>
        <v>0</v>
      </c>
      <c r="CC179" s="502">
        <f t="shared" si="800"/>
        <v>11.673899999999998</v>
      </c>
      <c r="CD179" s="502">
        <f t="shared" si="801"/>
        <v>1.7650936800004948</v>
      </c>
      <c r="CE179" s="502">
        <f t="shared" si="802"/>
        <v>0</v>
      </c>
      <c r="CF179" s="502">
        <f t="shared" si="803"/>
        <v>0</v>
      </c>
      <c r="CG179" s="502">
        <f t="shared" si="804"/>
        <v>0</v>
      </c>
      <c r="CH179" s="502">
        <f t="shared" si="805"/>
        <v>0</v>
      </c>
      <c r="CI179" s="531">
        <f t="shared" si="806"/>
        <v>0.53549999999999998</v>
      </c>
      <c r="CJ179" s="502">
        <f t="shared" si="807"/>
        <v>7.6668000000003014</v>
      </c>
      <c r="CK179" s="502">
        <f t="shared" si="808"/>
        <v>7.6668000000003014</v>
      </c>
      <c r="CL179" s="502">
        <f t="shared" si="809"/>
        <v>0</v>
      </c>
      <c r="CM179" s="502">
        <f t="shared" si="810"/>
        <v>0</v>
      </c>
      <c r="CN179" s="502">
        <f t="shared" si="811"/>
        <v>3.57</v>
      </c>
      <c r="CO179" s="502">
        <f t="shared" si="812"/>
        <v>1.7268000000000636</v>
      </c>
      <c r="CP179" s="502">
        <f t="shared" si="813"/>
        <v>10.709999999999999</v>
      </c>
      <c r="CQ179" s="502">
        <f t="shared" si="814"/>
        <v>1.6193520000004542</v>
      </c>
      <c r="CR179" s="220">
        <f t="shared" si="815"/>
        <v>0</v>
      </c>
      <c r="CS179" s="503">
        <f t="shared" si="816"/>
        <v>0</v>
      </c>
      <c r="CT179" s="503">
        <f t="shared" si="817"/>
        <v>0.33012999999999998</v>
      </c>
      <c r="CU179" s="504">
        <f t="shared" si="818"/>
        <v>8.979360000000332</v>
      </c>
      <c r="CV179" s="504">
        <f t="shared" si="819"/>
        <v>1.2023508000000194</v>
      </c>
      <c r="CW179" s="502">
        <f t="shared" si="820"/>
        <v>17.310024000000485</v>
      </c>
      <c r="CX179" s="531">
        <f t="shared" si="821"/>
        <v>3.57</v>
      </c>
      <c r="CY179" s="537">
        <f t="shared" si="822"/>
        <v>1.7849999999999999</v>
      </c>
      <c r="CZ179" s="502">
        <f t="shared" si="823"/>
        <v>2.4513847475961154E-2</v>
      </c>
    </row>
    <row r="180" spans="1:104" ht="25" x14ac:dyDescent="0.25">
      <c r="A180" s="413" t="str">
        <f>'BOCA DE LOBO'!C174</f>
        <v>BL89-&gt;PV1-110</v>
      </c>
      <c r="B180" s="413" t="str">
        <f>'BOCA DE LOBO'!A174</f>
        <v>PV1-110</v>
      </c>
      <c r="C180" s="413" t="str">
        <f>VLOOKUP(A180,'BOCA DE LOBO'!$C$82:$Q$270,3,0)</f>
        <v>EXISTENTE</v>
      </c>
      <c r="D180" s="413" t="str">
        <f>VLOOKUP(A180,'BOCA DE LOBO'!$C$82:$Q$270,10,0)</f>
        <v>PROJETADA</v>
      </c>
      <c r="E180" s="413">
        <f t="shared" si="738"/>
        <v>1.5176000000000001</v>
      </c>
      <c r="F180" s="413">
        <f>VLOOKUP(A180,'BOCA DE LOBO'!$C$82:$Q$270,2,0)</f>
        <v>1.75</v>
      </c>
      <c r="G180" s="413">
        <f>VLOOKUP(A180,'BOCA DE LOBO'!$C$82:$Q$270,4,0)</f>
        <v>5.81</v>
      </c>
      <c r="H180" s="412">
        <v>400</v>
      </c>
      <c r="I180" s="493">
        <f t="shared" si="739"/>
        <v>1.7638</v>
      </c>
      <c r="J180" s="493">
        <f t="shared" si="740"/>
        <v>0.51238389999999989</v>
      </c>
      <c r="K180" s="530">
        <v>0</v>
      </c>
      <c r="L180" s="531">
        <f t="shared" si="741"/>
        <v>1</v>
      </c>
      <c r="M180" s="531">
        <f t="shared" si="742"/>
        <v>1</v>
      </c>
      <c r="N180" s="531">
        <f t="shared" si="743"/>
        <v>0</v>
      </c>
      <c r="O180" s="531">
        <f t="shared" si="744"/>
        <v>5.81</v>
      </c>
      <c r="P180" s="532" t="s">
        <v>2392</v>
      </c>
      <c r="Q180" s="539" t="s">
        <v>2973</v>
      </c>
      <c r="R180" s="534"/>
      <c r="S180" s="532">
        <v>5</v>
      </c>
      <c r="T180" s="532">
        <v>4.9000000000000004</v>
      </c>
      <c r="U180" s="531">
        <f t="shared" si="745"/>
        <v>0.05</v>
      </c>
      <c r="V180" s="535">
        <f t="shared" si="746"/>
        <v>0</v>
      </c>
      <c r="W180" s="535">
        <f t="shared" si="747"/>
        <v>10.247677999999999</v>
      </c>
      <c r="X180" s="536">
        <f t="shared" si="748"/>
        <v>0</v>
      </c>
      <c r="Y180" s="536">
        <f t="shared" si="749"/>
        <v>0</v>
      </c>
      <c r="Z180" s="536">
        <f t="shared" si="750"/>
        <v>1.7638</v>
      </c>
      <c r="AA180" s="536">
        <f t="shared" si="751"/>
        <v>0</v>
      </c>
      <c r="AB180" s="496">
        <f t="shared" si="752"/>
        <v>5.81</v>
      </c>
      <c r="AC180" s="251">
        <f t="shared" si="753"/>
        <v>0</v>
      </c>
      <c r="AD180" s="251">
        <f t="shared" si="754"/>
        <v>0</v>
      </c>
      <c r="AE180" s="251">
        <f t="shared" si="755"/>
        <v>0</v>
      </c>
      <c r="AF180" s="251">
        <f t="shared" si="756"/>
        <v>8.7149999999999999</v>
      </c>
      <c r="AG180" s="251">
        <f t="shared" si="757"/>
        <v>1.5326780000000002</v>
      </c>
      <c r="AH180" s="251">
        <f t="shared" si="758"/>
        <v>0</v>
      </c>
      <c r="AI180" s="497" t="str">
        <f t="shared" si="759"/>
        <v>NÃO</v>
      </c>
      <c r="AJ180" s="531">
        <f t="shared" si="760"/>
        <v>0</v>
      </c>
      <c r="AK180" s="531">
        <f t="shared" si="761"/>
        <v>0</v>
      </c>
      <c r="AL180" s="531">
        <f t="shared" si="762"/>
        <v>9.5175718673057315</v>
      </c>
      <c r="AM180" s="493">
        <f t="shared" si="763"/>
        <v>0.29049999999999998</v>
      </c>
      <c r="AN180" s="535">
        <f t="shared" si="764"/>
        <v>0</v>
      </c>
      <c r="AO180" s="531">
        <f t="shared" si="765"/>
        <v>0</v>
      </c>
      <c r="AP180" s="531">
        <f t="shared" si="766"/>
        <v>0</v>
      </c>
      <c r="AQ180" s="531">
        <f t="shared" si="767"/>
        <v>0.7</v>
      </c>
      <c r="AR180" s="531">
        <f t="shared" si="768"/>
        <v>3.3368938673057311</v>
      </c>
      <c r="AS180" s="531">
        <f t="shared" si="769"/>
        <v>0</v>
      </c>
      <c r="AT180" s="531">
        <f t="shared" si="770"/>
        <v>0.87149999999999994</v>
      </c>
      <c r="AU180" s="531">
        <f t="shared" si="771"/>
        <v>0.87149999999999994</v>
      </c>
      <c r="AV180" s="531">
        <f t="shared" si="772"/>
        <v>0.17429999999999998</v>
      </c>
      <c r="AW180" s="531">
        <f t="shared" si="773"/>
        <v>4.1471780000000011</v>
      </c>
      <c r="AX180" s="531">
        <f t="shared" si="774"/>
        <v>6.0392841326942701</v>
      </c>
      <c r="AY180" s="531">
        <f t="shared" si="775"/>
        <v>4.1471780000000011</v>
      </c>
      <c r="AZ180" s="531">
        <f t="shared" si="776"/>
        <v>0</v>
      </c>
      <c r="BA180" s="531">
        <f t="shared" si="777"/>
        <v>0</v>
      </c>
      <c r="BB180" s="531">
        <f t="shared" si="778"/>
        <v>0</v>
      </c>
      <c r="BC180" s="531"/>
      <c r="BD180" s="531">
        <f t="shared" si="779"/>
        <v>3.4859999999999995E-2</v>
      </c>
      <c r="BE180" s="496">
        <f t="shared" si="780"/>
        <v>1.7638</v>
      </c>
      <c r="BF180" s="498">
        <f t="shared" si="781"/>
        <v>0</v>
      </c>
      <c r="BG180" s="498">
        <f t="shared" si="782"/>
        <v>5.81</v>
      </c>
      <c r="BH180" s="532" t="str">
        <f>VLOOKUP(A180,'BOCA DE LOBO'!C:I,7,0)</f>
        <v>BOCA DE LOBO PROJETADA TRIPLA</v>
      </c>
      <c r="BI180" s="531">
        <f t="shared" si="783"/>
        <v>0</v>
      </c>
      <c r="BJ180" s="531">
        <f t="shared" si="784"/>
        <v>0</v>
      </c>
      <c r="BK180" s="531">
        <f t="shared" si="785"/>
        <v>0</v>
      </c>
      <c r="BL180" s="531">
        <f t="shared" si="786"/>
        <v>0</v>
      </c>
      <c r="BM180" s="531">
        <f t="shared" si="787"/>
        <v>0</v>
      </c>
      <c r="BN180" s="531">
        <f t="shared" si="788"/>
        <v>0</v>
      </c>
      <c r="BO180" s="499">
        <f t="shared" si="789"/>
        <v>1</v>
      </c>
      <c r="BP180" s="500"/>
      <c r="BQ180" s="496">
        <f t="shared" si="790"/>
        <v>17.43</v>
      </c>
      <c r="BR180" s="496">
        <f t="shared" si="791"/>
        <v>3.0653560000000004</v>
      </c>
      <c r="BS180" s="496">
        <f t="shared" si="792"/>
        <v>0</v>
      </c>
      <c r="BT180" s="501"/>
      <c r="BU180" s="501"/>
      <c r="BV180" s="502">
        <f t="shared" si="793"/>
        <v>15.747831679999997</v>
      </c>
      <c r="BW180" s="502">
        <f t="shared" si="794"/>
        <v>10.376799999999998</v>
      </c>
      <c r="BX180" s="502">
        <f t="shared" si="795"/>
        <v>4.4367999999999999</v>
      </c>
      <c r="BY180" s="502">
        <f t="shared" si="796"/>
        <v>1.5176000000000001</v>
      </c>
      <c r="BZ180" s="502">
        <f t="shared" si="797"/>
        <v>1.5176000000000001</v>
      </c>
      <c r="CA180" s="502">
        <f t="shared" si="798"/>
        <v>0</v>
      </c>
      <c r="CB180" s="502">
        <f t="shared" si="799"/>
        <v>0</v>
      </c>
      <c r="CC180" s="502">
        <f t="shared" si="800"/>
        <v>15.565199999999997</v>
      </c>
      <c r="CD180" s="502">
        <f t="shared" si="801"/>
        <v>0.18263168000000057</v>
      </c>
      <c r="CE180" s="502">
        <f t="shared" si="802"/>
        <v>0</v>
      </c>
      <c r="CF180" s="502">
        <f t="shared" si="803"/>
        <v>0</v>
      </c>
      <c r="CG180" s="502">
        <f t="shared" si="804"/>
        <v>0</v>
      </c>
      <c r="CH180" s="502">
        <f t="shared" si="805"/>
        <v>0</v>
      </c>
      <c r="CI180" s="531">
        <f t="shared" si="806"/>
        <v>0.71399999999999997</v>
      </c>
      <c r="CJ180" s="502">
        <f t="shared" si="807"/>
        <v>8.3005439999999968</v>
      </c>
      <c r="CK180" s="502">
        <f t="shared" si="808"/>
        <v>8.3005439999999968</v>
      </c>
      <c r="CL180" s="502">
        <f t="shared" si="809"/>
        <v>0</v>
      </c>
      <c r="CM180" s="502">
        <f t="shared" si="810"/>
        <v>0</v>
      </c>
      <c r="CN180" s="502">
        <f t="shared" si="811"/>
        <v>4.76</v>
      </c>
      <c r="CO180" s="502">
        <f t="shared" si="812"/>
        <v>1.5176000000000001</v>
      </c>
      <c r="CP180" s="502">
        <f t="shared" si="813"/>
        <v>14.28</v>
      </c>
      <c r="CQ180" s="502">
        <f t="shared" si="814"/>
        <v>0.16755200000000056</v>
      </c>
      <c r="CR180" s="220">
        <f t="shared" si="815"/>
        <v>0</v>
      </c>
      <c r="CS180" s="503">
        <f t="shared" si="816"/>
        <v>0</v>
      </c>
      <c r="CT180" s="503">
        <f t="shared" si="817"/>
        <v>0.45984000000000003</v>
      </c>
      <c r="CU180" s="504">
        <f t="shared" si="818"/>
        <v>10.926720000000001</v>
      </c>
      <c r="CV180" s="504">
        <f t="shared" si="819"/>
        <v>1.561842</v>
      </c>
      <c r="CW180" s="502">
        <f t="shared" si="820"/>
        <v>20.190760000000001</v>
      </c>
      <c r="CX180" s="531">
        <f t="shared" si="821"/>
        <v>4.76</v>
      </c>
      <c r="CY180" s="537">
        <f t="shared" si="822"/>
        <v>2.38</v>
      </c>
      <c r="CZ180" s="502">
        <f t="shared" si="823"/>
        <v>2.4513847475961154E-2</v>
      </c>
    </row>
    <row r="181" spans="1:104" ht="25" x14ac:dyDescent="0.25">
      <c r="A181" s="413" t="str">
        <f>'BOCA DE LOBO'!C175</f>
        <v>BL90-&gt;PV2-110</v>
      </c>
      <c r="B181" s="413" t="str">
        <f>'BOCA DE LOBO'!A175</f>
        <v>PV2-110</v>
      </c>
      <c r="C181" s="413" t="str">
        <f>VLOOKUP(A181,'BOCA DE LOBO'!$C$82:$Q$270,3,0)</f>
        <v>EXISTENTE</v>
      </c>
      <c r="D181" s="413" t="str">
        <f>VLOOKUP(A181,'BOCA DE LOBO'!$C$82:$Q$270,10,0)</f>
        <v>PROJETADA</v>
      </c>
      <c r="E181" s="413">
        <f t="shared" si="738"/>
        <v>1.5615999999999637</v>
      </c>
      <c r="F181" s="413">
        <f>VLOOKUP(A181,'BOCA DE LOBO'!$C$82:$Q$270,2,0)</f>
        <v>1.7899999999999636</v>
      </c>
      <c r="G181" s="413">
        <f>VLOOKUP(A181,'BOCA DE LOBO'!$C$82:$Q$270,4,0)</f>
        <v>5.71</v>
      </c>
      <c r="H181" s="412">
        <v>400</v>
      </c>
      <c r="I181" s="493">
        <f t="shared" si="739"/>
        <v>1.8057999999999639</v>
      </c>
      <c r="J181" s="493">
        <f t="shared" si="740"/>
        <v>0.51555589999998974</v>
      </c>
      <c r="K181" s="530">
        <v>0</v>
      </c>
      <c r="L181" s="531">
        <f t="shared" si="741"/>
        <v>1</v>
      </c>
      <c r="M181" s="531">
        <f t="shared" si="742"/>
        <v>1</v>
      </c>
      <c r="N181" s="531">
        <f t="shared" si="743"/>
        <v>0</v>
      </c>
      <c r="O181" s="531">
        <f t="shared" si="744"/>
        <v>5.71</v>
      </c>
      <c r="P181" s="532" t="s">
        <v>2392</v>
      </c>
      <c r="Q181" s="539" t="s">
        <v>2973</v>
      </c>
      <c r="R181" s="534"/>
      <c r="S181" s="532">
        <v>5</v>
      </c>
      <c r="T181" s="532">
        <v>4.9000000000000004</v>
      </c>
      <c r="U181" s="531">
        <f t="shared" si="745"/>
        <v>0.05</v>
      </c>
      <c r="V181" s="535">
        <f t="shared" si="746"/>
        <v>0</v>
      </c>
      <c r="W181" s="535">
        <f t="shared" si="747"/>
        <v>10.311117999999794</v>
      </c>
      <c r="X181" s="536">
        <f t="shared" si="748"/>
        <v>0</v>
      </c>
      <c r="Y181" s="536">
        <f t="shared" si="749"/>
        <v>0</v>
      </c>
      <c r="Z181" s="536">
        <f t="shared" si="750"/>
        <v>1.8057999999999639</v>
      </c>
      <c r="AA181" s="536">
        <f t="shared" si="751"/>
        <v>0</v>
      </c>
      <c r="AB181" s="496">
        <f t="shared" si="752"/>
        <v>5.71</v>
      </c>
      <c r="AC181" s="251">
        <f t="shared" si="753"/>
        <v>0</v>
      </c>
      <c r="AD181" s="251">
        <f t="shared" si="754"/>
        <v>0</v>
      </c>
      <c r="AE181" s="251">
        <f t="shared" si="755"/>
        <v>0</v>
      </c>
      <c r="AF181" s="251">
        <f t="shared" si="756"/>
        <v>8.5649999999999995</v>
      </c>
      <c r="AG181" s="251">
        <f t="shared" si="757"/>
        <v>1.7461179999997938</v>
      </c>
      <c r="AH181" s="251">
        <f t="shared" si="758"/>
        <v>0</v>
      </c>
      <c r="AI181" s="497" t="str">
        <f t="shared" si="759"/>
        <v>NÃO</v>
      </c>
      <c r="AJ181" s="531">
        <f t="shared" si="760"/>
        <v>0</v>
      </c>
      <c r="AK181" s="531">
        <f t="shared" si="761"/>
        <v>0</v>
      </c>
      <c r="AL181" s="531">
        <f t="shared" si="762"/>
        <v>9.5935782379198855</v>
      </c>
      <c r="AM181" s="493">
        <f t="shared" si="763"/>
        <v>0.28550000000000003</v>
      </c>
      <c r="AN181" s="535">
        <f t="shared" si="764"/>
        <v>0</v>
      </c>
      <c r="AO181" s="531">
        <f t="shared" si="765"/>
        <v>0</v>
      </c>
      <c r="AP181" s="531">
        <f t="shared" si="766"/>
        <v>0</v>
      </c>
      <c r="AQ181" s="531">
        <f t="shared" si="767"/>
        <v>0.7</v>
      </c>
      <c r="AR181" s="531">
        <f t="shared" si="768"/>
        <v>3.279460237920091</v>
      </c>
      <c r="AS181" s="531">
        <f t="shared" si="769"/>
        <v>0</v>
      </c>
      <c r="AT181" s="531">
        <f t="shared" si="770"/>
        <v>0.85649999999999993</v>
      </c>
      <c r="AU181" s="531">
        <f t="shared" si="771"/>
        <v>0.85649999999999993</v>
      </c>
      <c r="AV181" s="531">
        <f t="shared" si="772"/>
        <v>0.17129999999999998</v>
      </c>
      <c r="AW181" s="531">
        <f t="shared" si="773"/>
        <v>4.3156179999997937</v>
      </c>
      <c r="AX181" s="531">
        <f t="shared" si="774"/>
        <v>6.1751577620797011</v>
      </c>
      <c r="AY181" s="531">
        <f t="shared" si="775"/>
        <v>4.3156179999997937</v>
      </c>
      <c r="AZ181" s="531">
        <f t="shared" si="776"/>
        <v>0</v>
      </c>
      <c r="BA181" s="531">
        <f t="shared" si="777"/>
        <v>0</v>
      </c>
      <c r="BB181" s="531">
        <f t="shared" si="778"/>
        <v>0</v>
      </c>
      <c r="BC181" s="531"/>
      <c r="BD181" s="531">
        <f t="shared" si="779"/>
        <v>3.4259999999999999E-2</v>
      </c>
      <c r="BE181" s="496">
        <f t="shared" si="780"/>
        <v>1.8057999999999639</v>
      </c>
      <c r="BF181" s="498">
        <f t="shared" si="781"/>
        <v>0</v>
      </c>
      <c r="BG181" s="498">
        <f t="shared" si="782"/>
        <v>5.71</v>
      </c>
      <c r="BH181" s="532" t="str">
        <f>VLOOKUP(A181,'BOCA DE LOBO'!C:I,7,0)</f>
        <v>BOCA DE LOBO PROJETADA DUPLA</v>
      </c>
      <c r="BI181" s="531">
        <f t="shared" si="783"/>
        <v>0</v>
      </c>
      <c r="BJ181" s="531">
        <f t="shared" si="784"/>
        <v>0</v>
      </c>
      <c r="BK181" s="531">
        <f t="shared" si="785"/>
        <v>0</v>
      </c>
      <c r="BL181" s="531">
        <f t="shared" si="786"/>
        <v>0</v>
      </c>
      <c r="BM181" s="531">
        <f t="shared" si="787"/>
        <v>0</v>
      </c>
      <c r="BN181" s="531">
        <f t="shared" si="788"/>
        <v>1</v>
      </c>
      <c r="BO181" s="499">
        <f t="shared" si="789"/>
        <v>0</v>
      </c>
      <c r="BP181" s="500"/>
      <c r="BQ181" s="496">
        <f t="shared" si="790"/>
        <v>17.13</v>
      </c>
      <c r="BR181" s="496">
        <f t="shared" si="791"/>
        <v>3.4922359999995876</v>
      </c>
      <c r="BS181" s="496">
        <f t="shared" si="792"/>
        <v>0</v>
      </c>
      <c r="BT181" s="501"/>
      <c r="BU181" s="501"/>
      <c r="BV181" s="502">
        <f t="shared" si="793"/>
        <v>12.153308159999716</v>
      </c>
      <c r="BW181" s="502">
        <f t="shared" si="794"/>
        <v>7.7825999999999986</v>
      </c>
      <c r="BX181" s="502">
        <f t="shared" si="795"/>
        <v>3.0325999999999995</v>
      </c>
      <c r="BY181" s="502">
        <f t="shared" si="796"/>
        <v>1.5615999999999637</v>
      </c>
      <c r="BZ181" s="502">
        <f t="shared" si="797"/>
        <v>1.5615999999999637</v>
      </c>
      <c r="CA181" s="502">
        <f t="shared" si="798"/>
        <v>0</v>
      </c>
      <c r="CB181" s="502">
        <f t="shared" si="799"/>
        <v>0</v>
      </c>
      <c r="CC181" s="502">
        <f t="shared" si="800"/>
        <v>11.673899999999998</v>
      </c>
      <c r="CD181" s="502">
        <f t="shared" si="801"/>
        <v>0.47940815999971725</v>
      </c>
      <c r="CE181" s="502">
        <f t="shared" si="802"/>
        <v>0</v>
      </c>
      <c r="CF181" s="502">
        <f t="shared" si="803"/>
        <v>0</v>
      </c>
      <c r="CG181" s="502">
        <f t="shared" si="804"/>
        <v>0</v>
      </c>
      <c r="CH181" s="502">
        <f t="shared" si="805"/>
        <v>0</v>
      </c>
      <c r="CI181" s="531">
        <f t="shared" si="806"/>
        <v>0.53549999999999998</v>
      </c>
      <c r="CJ181" s="502">
        <f t="shared" si="807"/>
        <v>6.8820999999998262</v>
      </c>
      <c r="CK181" s="502">
        <f t="shared" si="808"/>
        <v>6.8820999999998262</v>
      </c>
      <c r="CL181" s="502">
        <f t="shared" si="809"/>
        <v>0</v>
      </c>
      <c r="CM181" s="502">
        <f t="shared" si="810"/>
        <v>0</v>
      </c>
      <c r="CN181" s="502">
        <f t="shared" si="811"/>
        <v>3.57</v>
      </c>
      <c r="CO181" s="502">
        <f t="shared" si="812"/>
        <v>1.5615999999999637</v>
      </c>
      <c r="CP181" s="502">
        <f t="shared" si="813"/>
        <v>10.709999999999999</v>
      </c>
      <c r="CQ181" s="502">
        <f t="shared" si="814"/>
        <v>0.4398239999997407</v>
      </c>
      <c r="CR181" s="220">
        <f t="shared" si="815"/>
        <v>0</v>
      </c>
      <c r="CS181" s="503">
        <f t="shared" si="816"/>
        <v>0</v>
      </c>
      <c r="CT181" s="503">
        <f t="shared" si="817"/>
        <v>0.33012999999999998</v>
      </c>
      <c r="CU181" s="504">
        <f t="shared" si="818"/>
        <v>8.1203199999998112</v>
      </c>
      <c r="CV181" s="504">
        <f t="shared" si="819"/>
        <v>1.1517995999999888</v>
      </c>
      <c r="CW181" s="502">
        <f t="shared" si="820"/>
        <v>16.041287999999721</v>
      </c>
      <c r="CX181" s="531">
        <f t="shared" si="821"/>
        <v>3.57</v>
      </c>
      <c r="CY181" s="537">
        <f t="shared" si="822"/>
        <v>1.7849999999999999</v>
      </c>
      <c r="CZ181" s="502">
        <f t="shared" si="823"/>
        <v>2.4513847475961154E-2</v>
      </c>
    </row>
    <row r="182" spans="1:104" ht="25" x14ac:dyDescent="0.25">
      <c r="A182" s="413" t="str">
        <f>'BOCA DE LOBO'!C176</f>
        <v>BL91-&gt;PV3-110</v>
      </c>
      <c r="B182" s="413" t="str">
        <f>'BOCA DE LOBO'!A176</f>
        <v>PV3-110</v>
      </c>
      <c r="C182" s="413" t="str">
        <f>VLOOKUP(A182,'BOCA DE LOBO'!$C$82:$Q$270,3,0)</f>
        <v>EXISTENTE</v>
      </c>
      <c r="D182" s="413" t="str">
        <f>VLOOKUP(A182,'BOCA DE LOBO'!$C$82:$Q$270,10,0)</f>
        <v>PROJETADA</v>
      </c>
      <c r="E182" s="413">
        <f t="shared" si="738"/>
        <v>1.522</v>
      </c>
      <c r="F182" s="413">
        <f>VLOOKUP(A182,'BOCA DE LOBO'!$C$82:$Q$270,2,0)</f>
        <v>1.75</v>
      </c>
      <c r="G182" s="413">
        <f>VLOOKUP(A182,'BOCA DE LOBO'!$C$82:$Q$270,4,0)</f>
        <v>5.7</v>
      </c>
      <c r="H182" s="412">
        <v>400</v>
      </c>
      <c r="I182" s="493">
        <f t="shared" si="739"/>
        <v>1.7660000000000002</v>
      </c>
      <c r="J182" s="493">
        <f t="shared" si="740"/>
        <v>0.50331000000000015</v>
      </c>
      <c r="K182" s="530">
        <v>0</v>
      </c>
      <c r="L182" s="531">
        <f t="shared" si="741"/>
        <v>1</v>
      </c>
      <c r="M182" s="531">
        <f t="shared" si="742"/>
        <v>1</v>
      </c>
      <c r="N182" s="531">
        <f t="shared" si="743"/>
        <v>0</v>
      </c>
      <c r="O182" s="531">
        <f t="shared" si="744"/>
        <v>5.7</v>
      </c>
      <c r="P182" s="532" t="s">
        <v>2392</v>
      </c>
      <c r="Q182" s="539" t="s">
        <v>2972</v>
      </c>
      <c r="R182" s="534"/>
      <c r="S182" s="532">
        <v>3.3</v>
      </c>
      <c r="T182" s="532">
        <v>1.7</v>
      </c>
      <c r="U182" s="531">
        <f t="shared" si="745"/>
        <v>0.05</v>
      </c>
      <c r="V182" s="535">
        <f t="shared" si="746"/>
        <v>0</v>
      </c>
      <c r="W182" s="535">
        <f t="shared" si="747"/>
        <v>10.066200000000002</v>
      </c>
      <c r="X182" s="536">
        <f t="shared" si="748"/>
        <v>0</v>
      </c>
      <c r="Y182" s="536">
        <f t="shared" si="749"/>
        <v>0</v>
      </c>
      <c r="Z182" s="536">
        <f t="shared" si="750"/>
        <v>1.7660000000000002</v>
      </c>
      <c r="AA182" s="536">
        <f t="shared" si="751"/>
        <v>0</v>
      </c>
      <c r="AB182" s="496">
        <f t="shared" si="752"/>
        <v>5.7</v>
      </c>
      <c r="AC182" s="251">
        <f t="shared" si="753"/>
        <v>0</v>
      </c>
      <c r="AD182" s="251">
        <f t="shared" si="754"/>
        <v>0</v>
      </c>
      <c r="AE182" s="251">
        <f t="shared" si="755"/>
        <v>0</v>
      </c>
      <c r="AF182" s="251">
        <f t="shared" si="756"/>
        <v>8.5500000000000007</v>
      </c>
      <c r="AG182" s="251">
        <f t="shared" si="757"/>
        <v>1.5162000000000013</v>
      </c>
      <c r="AH182" s="251">
        <f t="shared" si="758"/>
        <v>0</v>
      </c>
      <c r="AI182" s="497" t="str">
        <f t="shared" si="759"/>
        <v>NÃO</v>
      </c>
      <c r="AJ182" s="531">
        <f t="shared" si="760"/>
        <v>0</v>
      </c>
      <c r="AK182" s="531">
        <f t="shared" si="761"/>
        <v>5.0160000000000213E-3</v>
      </c>
      <c r="AL182" s="531">
        <f t="shared" si="762"/>
        <v>9.3499168749815293</v>
      </c>
      <c r="AM182" s="493">
        <f t="shared" si="763"/>
        <v>0.28500000000000003</v>
      </c>
      <c r="AN182" s="535">
        <f t="shared" si="764"/>
        <v>0</v>
      </c>
      <c r="AO182" s="531">
        <f t="shared" si="765"/>
        <v>0</v>
      </c>
      <c r="AP182" s="531">
        <f t="shared" si="766"/>
        <v>0</v>
      </c>
      <c r="AQ182" s="531">
        <f t="shared" si="767"/>
        <v>0.7</v>
      </c>
      <c r="AR182" s="531">
        <f t="shared" si="768"/>
        <v>3.2737168749815266</v>
      </c>
      <c r="AS182" s="531">
        <f t="shared" si="769"/>
        <v>0</v>
      </c>
      <c r="AT182" s="531">
        <f t="shared" si="770"/>
        <v>0.85499999999999998</v>
      </c>
      <c r="AU182" s="531">
        <f t="shared" si="771"/>
        <v>0.85499999999999998</v>
      </c>
      <c r="AV182" s="531">
        <f t="shared" si="772"/>
        <v>0.17099999999999999</v>
      </c>
      <c r="AW182" s="531">
        <f t="shared" si="773"/>
        <v>4.0812000000000017</v>
      </c>
      <c r="AX182" s="531">
        <f t="shared" si="774"/>
        <v>5.937483125018475</v>
      </c>
      <c r="AY182" s="531">
        <f t="shared" si="775"/>
        <v>4.0812000000000017</v>
      </c>
      <c r="AZ182" s="531">
        <f t="shared" si="776"/>
        <v>0</v>
      </c>
      <c r="BA182" s="531">
        <f t="shared" si="777"/>
        <v>0</v>
      </c>
      <c r="BB182" s="531">
        <f t="shared" si="778"/>
        <v>0</v>
      </c>
      <c r="BC182" s="531"/>
      <c r="BD182" s="531">
        <f t="shared" si="779"/>
        <v>3.4200000000000001E-2</v>
      </c>
      <c r="BE182" s="496">
        <f t="shared" si="780"/>
        <v>1.7660000000000002</v>
      </c>
      <c r="BF182" s="498">
        <f t="shared" si="781"/>
        <v>0</v>
      </c>
      <c r="BG182" s="498">
        <f t="shared" si="782"/>
        <v>5.7</v>
      </c>
      <c r="BH182" s="532" t="str">
        <f>VLOOKUP(A182,'BOCA DE LOBO'!C:I,7,0)</f>
        <v>BOCA DE LOBO PROJETADA DUPLA</v>
      </c>
      <c r="BI182" s="531">
        <f t="shared" si="783"/>
        <v>0</v>
      </c>
      <c r="BJ182" s="531">
        <f t="shared" si="784"/>
        <v>0</v>
      </c>
      <c r="BK182" s="531">
        <f t="shared" si="785"/>
        <v>0</v>
      </c>
      <c r="BL182" s="531">
        <f t="shared" si="786"/>
        <v>0</v>
      </c>
      <c r="BM182" s="531">
        <f t="shared" si="787"/>
        <v>0</v>
      </c>
      <c r="BN182" s="531">
        <f t="shared" si="788"/>
        <v>1</v>
      </c>
      <c r="BO182" s="499">
        <f t="shared" si="789"/>
        <v>0</v>
      </c>
      <c r="BP182" s="500"/>
      <c r="BQ182" s="496">
        <f t="shared" si="790"/>
        <v>17.100000000000001</v>
      </c>
      <c r="BR182" s="496">
        <f t="shared" si="791"/>
        <v>3.0324000000000026</v>
      </c>
      <c r="BS182" s="496">
        <f t="shared" si="792"/>
        <v>0</v>
      </c>
      <c r="BT182" s="501"/>
      <c r="BU182" s="501"/>
      <c r="BV182" s="502">
        <f t="shared" si="793"/>
        <v>11.845117199999999</v>
      </c>
      <c r="BW182" s="502">
        <f t="shared" si="794"/>
        <v>7.7825999999999986</v>
      </c>
      <c r="BX182" s="502">
        <f t="shared" si="795"/>
        <v>3.0325999999999995</v>
      </c>
      <c r="BY182" s="502">
        <f t="shared" si="796"/>
        <v>1.522</v>
      </c>
      <c r="BZ182" s="502">
        <f t="shared" si="797"/>
        <v>1.522</v>
      </c>
      <c r="CA182" s="502">
        <f t="shared" si="798"/>
        <v>0</v>
      </c>
      <c r="CB182" s="502">
        <f t="shared" si="799"/>
        <v>0</v>
      </c>
      <c r="CC182" s="502">
        <f t="shared" si="800"/>
        <v>11.673899999999998</v>
      </c>
      <c r="CD182" s="502">
        <f t="shared" si="801"/>
        <v>0.17121720000000012</v>
      </c>
      <c r="CE182" s="502">
        <f t="shared" si="802"/>
        <v>0</v>
      </c>
      <c r="CF182" s="502">
        <f t="shared" si="803"/>
        <v>0</v>
      </c>
      <c r="CG182" s="502">
        <f t="shared" si="804"/>
        <v>0</v>
      </c>
      <c r="CH182" s="502">
        <f t="shared" si="805"/>
        <v>0</v>
      </c>
      <c r="CI182" s="531">
        <f t="shared" si="806"/>
        <v>0.53549999999999998</v>
      </c>
      <c r="CJ182" s="502">
        <f t="shared" si="807"/>
        <v>6.6939999999999991</v>
      </c>
      <c r="CK182" s="502">
        <f t="shared" si="808"/>
        <v>6.6939999999999991</v>
      </c>
      <c r="CL182" s="502">
        <f t="shared" si="809"/>
        <v>0</v>
      </c>
      <c r="CM182" s="502">
        <f t="shared" si="810"/>
        <v>0</v>
      </c>
      <c r="CN182" s="502">
        <f t="shared" si="811"/>
        <v>3.57</v>
      </c>
      <c r="CO182" s="502">
        <f t="shared" si="812"/>
        <v>1.522</v>
      </c>
      <c r="CP182" s="502">
        <f t="shared" si="813"/>
        <v>10.709999999999999</v>
      </c>
      <c r="CQ182" s="502">
        <f t="shared" si="814"/>
        <v>0.15708000000000014</v>
      </c>
      <c r="CR182" s="220">
        <f t="shared" si="815"/>
        <v>0</v>
      </c>
      <c r="CS182" s="503">
        <f t="shared" si="816"/>
        <v>0</v>
      </c>
      <c r="CT182" s="503">
        <f t="shared" si="817"/>
        <v>0.33012999999999998</v>
      </c>
      <c r="CU182" s="504">
        <f t="shared" si="818"/>
        <v>7.9144000000000005</v>
      </c>
      <c r="CV182" s="504">
        <f t="shared" si="819"/>
        <v>1.1396819999999999</v>
      </c>
      <c r="CW182" s="502">
        <f t="shared" si="820"/>
        <v>15.737160000000001</v>
      </c>
      <c r="CX182" s="531">
        <f t="shared" si="821"/>
        <v>3.57</v>
      </c>
      <c r="CY182" s="537">
        <f t="shared" si="822"/>
        <v>1.7849999999999999</v>
      </c>
      <c r="CZ182" s="502">
        <f t="shared" si="823"/>
        <v>2.4513847475961154E-2</v>
      </c>
    </row>
    <row r="183" spans="1:104" ht="25" x14ac:dyDescent="0.25">
      <c r="A183" s="413" t="str">
        <f>'BOCA DE LOBO'!C177</f>
        <v>BL92-&gt;PV1-111</v>
      </c>
      <c r="B183" s="413" t="str">
        <f>'BOCA DE LOBO'!A177</f>
        <v>PV1-111</v>
      </c>
      <c r="C183" s="413" t="str">
        <f>VLOOKUP(A183,'BOCA DE LOBO'!$C$82:$Q$270,3,0)</f>
        <v>EXISTENTE</v>
      </c>
      <c r="D183" s="413" t="str">
        <f>VLOOKUP(A183,'BOCA DE LOBO'!$C$82:$Q$270,10,0)</f>
        <v>PROJETADA</v>
      </c>
      <c r="E183" s="413">
        <f t="shared" si="738"/>
        <v>1.5448</v>
      </c>
      <c r="F183" s="413">
        <f>VLOOKUP(A183,'BOCA DE LOBO'!$C$82:$Q$270,2,0)</f>
        <v>1.75</v>
      </c>
      <c r="G183" s="413">
        <f>VLOOKUP(A183,'BOCA DE LOBO'!$C$82:$Q$270,4,0)</f>
        <v>5.13</v>
      </c>
      <c r="H183" s="412">
        <v>400</v>
      </c>
      <c r="I183" s="493">
        <f t="shared" si="739"/>
        <v>1.7774000000000001</v>
      </c>
      <c r="J183" s="493">
        <f t="shared" si="740"/>
        <v>0.45590310000000001</v>
      </c>
      <c r="K183" s="530">
        <v>0</v>
      </c>
      <c r="L183" s="531">
        <f t="shared" si="741"/>
        <v>1</v>
      </c>
      <c r="M183" s="531">
        <f t="shared" si="742"/>
        <v>1</v>
      </c>
      <c r="N183" s="531">
        <f t="shared" si="743"/>
        <v>0</v>
      </c>
      <c r="O183" s="531">
        <f t="shared" si="744"/>
        <v>5.13</v>
      </c>
      <c r="P183" s="532" t="s">
        <v>2392</v>
      </c>
      <c r="Q183" s="539" t="s">
        <v>2971</v>
      </c>
      <c r="R183" s="534"/>
      <c r="S183" s="532">
        <v>5</v>
      </c>
      <c r="T183" s="532">
        <v>5</v>
      </c>
      <c r="U183" s="531">
        <f t="shared" si="745"/>
        <v>0.05</v>
      </c>
      <c r="V183" s="535">
        <f t="shared" si="746"/>
        <v>0</v>
      </c>
      <c r="W183" s="535">
        <f t="shared" si="747"/>
        <v>9.1180620000000001</v>
      </c>
      <c r="X183" s="536">
        <f t="shared" si="748"/>
        <v>0</v>
      </c>
      <c r="Y183" s="536">
        <f t="shared" si="749"/>
        <v>0</v>
      </c>
      <c r="Z183" s="536">
        <f t="shared" si="750"/>
        <v>1.7774000000000001</v>
      </c>
      <c r="AA183" s="536">
        <f t="shared" si="751"/>
        <v>0</v>
      </c>
      <c r="AB183" s="496">
        <f t="shared" si="752"/>
        <v>5.13</v>
      </c>
      <c r="AC183" s="251">
        <f t="shared" si="753"/>
        <v>0</v>
      </c>
      <c r="AD183" s="251">
        <f t="shared" si="754"/>
        <v>0</v>
      </c>
      <c r="AE183" s="251">
        <f t="shared" si="755"/>
        <v>0</v>
      </c>
      <c r="AF183" s="251">
        <f t="shared" si="756"/>
        <v>7.6950000000000003</v>
      </c>
      <c r="AG183" s="251">
        <f t="shared" si="757"/>
        <v>1.4230620000000005</v>
      </c>
      <c r="AH183" s="251">
        <f t="shared" si="758"/>
        <v>0</v>
      </c>
      <c r="AI183" s="497" t="str">
        <f t="shared" si="759"/>
        <v>NÃO</v>
      </c>
      <c r="AJ183" s="531">
        <f t="shared" si="760"/>
        <v>0</v>
      </c>
      <c r="AK183" s="531">
        <f t="shared" si="761"/>
        <v>0</v>
      </c>
      <c r="AL183" s="531">
        <f t="shared" si="762"/>
        <v>8.4734071874833745</v>
      </c>
      <c r="AM183" s="493">
        <f t="shared" si="763"/>
        <v>0.25650000000000001</v>
      </c>
      <c r="AN183" s="535">
        <f t="shared" si="764"/>
        <v>0</v>
      </c>
      <c r="AO183" s="531">
        <f t="shared" si="765"/>
        <v>0</v>
      </c>
      <c r="AP183" s="531">
        <f t="shared" si="766"/>
        <v>0</v>
      </c>
      <c r="AQ183" s="531">
        <f t="shared" si="767"/>
        <v>0.7</v>
      </c>
      <c r="AR183" s="531">
        <f t="shared" si="768"/>
        <v>2.9463451874833742</v>
      </c>
      <c r="AS183" s="531">
        <f t="shared" si="769"/>
        <v>0</v>
      </c>
      <c r="AT183" s="531">
        <f t="shared" si="770"/>
        <v>0.76949999999999996</v>
      </c>
      <c r="AU183" s="531">
        <f t="shared" si="771"/>
        <v>0.76949999999999996</v>
      </c>
      <c r="AV183" s="531">
        <f t="shared" si="772"/>
        <v>0.15389999999999998</v>
      </c>
      <c r="AW183" s="531">
        <f t="shared" si="773"/>
        <v>3.7315619999999998</v>
      </c>
      <c r="AX183" s="531">
        <f t="shared" si="774"/>
        <v>5.4022168125166257</v>
      </c>
      <c r="AY183" s="531">
        <f t="shared" si="775"/>
        <v>3.7315619999999998</v>
      </c>
      <c r="AZ183" s="531">
        <f t="shared" si="776"/>
        <v>0</v>
      </c>
      <c r="BA183" s="531">
        <f t="shared" si="777"/>
        <v>0</v>
      </c>
      <c r="BB183" s="531">
        <f t="shared" si="778"/>
        <v>0</v>
      </c>
      <c r="BC183" s="531"/>
      <c r="BD183" s="531">
        <f t="shared" si="779"/>
        <v>3.0779999999999998E-2</v>
      </c>
      <c r="BE183" s="496">
        <f t="shared" si="780"/>
        <v>1.7774000000000001</v>
      </c>
      <c r="BF183" s="498">
        <f t="shared" si="781"/>
        <v>0</v>
      </c>
      <c r="BG183" s="498">
        <f t="shared" si="782"/>
        <v>5.13</v>
      </c>
      <c r="BH183" s="532" t="str">
        <f>VLOOKUP(A183,'BOCA DE LOBO'!C:I,7,0)</f>
        <v>BOCA DE LOBO PROJETADA DUPLA</v>
      </c>
      <c r="BI183" s="531">
        <f t="shared" si="783"/>
        <v>0</v>
      </c>
      <c r="BJ183" s="531">
        <f t="shared" si="784"/>
        <v>0</v>
      </c>
      <c r="BK183" s="531">
        <f t="shared" si="785"/>
        <v>0</v>
      </c>
      <c r="BL183" s="531">
        <f t="shared" si="786"/>
        <v>0</v>
      </c>
      <c r="BM183" s="531">
        <f t="shared" si="787"/>
        <v>0</v>
      </c>
      <c r="BN183" s="531">
        <f t="shared" si="788"/>
        <v>1</v>
      </c>
      <c r="BO183" s="499">
        <f t="shared" si="789"/>
        <v>0</v>
      </c>
      <c r="BP183" s="500"/>
      <c r="BQ183" s="496">
        <f t="shared" si="790"/>
        <v>15.39</v>
      </c>
      <c r="BR183" s="496">
        <f t="shared" si="791"/>
        <v>2.846124000000001</v>
      </c>
      <c r="BS183" s="496">
        <f t="shared" si="792"/>
        <v>0</v>
      </c>
      <c r="BT183" s="501"/>
      <c r="BU183" s="501"/>
      <c r="BV183" s="502">
        <f t="shared" si="793"/>
        <v>12.022560479999997</v>
      </c>
      <c r="BW183" s="502">
        <f t="shared" si="794"/>
        <v>7.7825999999999986</v>
      </c>
      <c r="BX183" s="502">
        <f t="shared" si="795"/>
        <v>3.0325999999999995</v>
      </c>
      <c r="BY183" s="502">
        <f t="shared" si="796"/>
        <v>1.5448</v>
      </c>
      <c r="BZ183" s="502">
        <f t="shared" si="797"/>
        <v>1.5448</v>
      </c>
      <c r="CA183" s="502">
        <f t="shared" si="798"/>
        <v>0</v>
      </c>
      <c r="CB183" s="502">
        <f t="shared" si="799"/>
        <v>0</v>
      </c>
      <c r="CC183" s="502">
        <f t="shared" si="800"/>
        <v>11.673899999999998</v>
      </c>
      <c r="CD183" s="502">
        <f t="shared" si="801"/>
        <v>0.34866047999999955</v>
      </c>
      <c r="CE183" s="502">
        <f t="shared" si="802"/>
        <v>0</v>
      </c>
      <c r="CF183" s="502">
        <f t="shared" si="803"/>
        <v>0</v>
      </c>
      <c r="CG183" s="502">
        <f t="shared" si="804"/>
        <v>0</v>
      </c>
      <c r="CH183" s="502">
        <f t="shared" si="805"/>
        <v>0</v>
      </c>
      <c r="CI183" s="531">
        <f t="shared" si="806"/>
        <v>0.53549999999999998</v>
      </c>
      <c r="CJ183" s="502">
        <f t="shared" si="807"/>
        <v>6.8022999999999989</v>
      </c>
      <c r="CK183" s="502">
        <f t="shared" si="808"/>
        <v>6.8022999999999989</v>
      </c>
      <c r="CL183" s="502">
        <f t="shared" si="809"/>
        <v>0</v>
      </c>
      <c r="CM183" s="502">
        <f t="shared" si="810"/>
        <v>0</v>
      </c>
      <c r="CN183" s="502">
        <f t="shared" si="811"/>
        <v>3.57</v>
      </c>
      <c r="CO183" s="502">
        <f t="shared" si="812"/>
        <v>1.5448</v>
      </c>
      <c r="CP183" s="502">
        <f t="shared" si="813"/>
        <v>10.709999999999999</v>
      </c>
      <c r="CQ183" s="502">
        <f t="shared" si="814"/>
        <v>0.31987199999999966</v>
      </c>
      <c r="CR183" s="220">
        <f t="shared" si="815"/>
        <v>0</v>
      </c>
      <c r="CS183" s="503">
        <f t="shared" si="816"/>
        <v>0</v>
      </c>
      <c r="CT183" s="503">
        <f t="shared" si="817"/>
        <v>0.33012999999999998</v>
      </c>
      <c r="CU183" s="504">
        <f t="shared" si="818"/>
        <v>8.0329599999999992</v>
      </c>
      <c r="CV183" s="504">
        <f t="shared" si="819"/>
        <v>1.1466588</v>
      </c>
      <c r="CW183" s="502">
        <f t="shared" si="820"/>
        <v>15.912263999999999</v>
      </c>
      <c r="CX183" s="531">
        <f t="shared" si="821"/>
        <v>3.57</v>
      </c>
      <c r="CY183" s="537">
        <f t="shared" si="822"/>
        <v>1.7849999999999999</v>
      </c>
      <c r="CZ183" s="502">
        <f t="shared" si="823"/>
        <v>2.4513847475961154E-2</v>
      </c>
    </row>
    <row r="184" spans="1:104" ht="25" x14ac:dyDescent="0.25">
      <c r="A184" s="413" t="str">
        <f>'BOCA DE LOBO'!C178</f>
        <v>BL93-&gt;PV2-111</v>
      </c>
      <c r="B184" s="413" t="str">
        <f>'BOCA DE LOBO'!A178</f>
        <v>PV2-111</v>
      </c>
      <c r="C184" s="413" t="str">
        <f>VLOOKUP(A184,'BOCA DE LOBO'!$C$82:$Q$270,3,0)</f>
        <v>EXISTENTE</v>
      </c>
      <c r="D184" s="413" t="str">
        <f>VLOOKUP(A184,'BOCA DE LOBO'!$C$82:$Q$270,10,0)</f>
        <v>PROJETADA</v>
      </c>
      <c r="E184" s="413">
        <f t="shared" si="738"/>
        <v>1.4880000000000455</v>
      </c>
      <c r="F184" s="413">
        <f>VLOOKUP(A184,'BOCA DE LOBO'!$C$82:$Q$270,2,0)</f>
        <v>1.7000000000000455</v>
      </c>
      <c r="G184" s="413">
        <f>VLOOKUP(A184,'BOCA DE LOBO'!$C$82:$Q$270,4,0)</f>
        <v>5.3</v>
      </c>
      <c r="H184" s="412">
        <v>400</v>
      </c>
      <c r="I184" s="493">
        <f t="shared" si="739"/>
        <v>1.7240000000000457</v>
      </c>
      <c r="J184" s="493">
        <f t="shared" si="740"/>
        <v>0.45686000000001209</v>
      </c>
      <c r="K184" s="530">
        <v>0</v>
      </c>
      <c r="L184" s="531">
        <f t="shared" si="741"/>
        <v>1</v>
      </c>
      <c r="M184" s="531">
        <f t="shared" si="742"/>
        <v>1</v>
      </c>
      <c r="N184" s="531">
        <f t="shared" si="743"/>
        <v>0</v>
      </c>
      <c r="O184" s="531">
        <f t="shared" si="744"/>
        <v>5.3</v>
      </c>
      <c r="P184" s="532" t="s">
        <v>2392</v>
      </c>
      <c r="Q184" s="539" t="s">
        <v>2971</v>
      </c>
      <c r="R184" s="534"/>
      <c r="S184" s="532">
        <v>5</v>
      </c>
      <c r="T184" s="532">
        <v>5</v>
      </c>
      <c r="U184" s="531">
        <f t="shared" si="745"/>
        <v>0.05</v>
      </c>
      <c r="V184" s="535">
        <f t="shared" si="746"/>
        <v>0</v>
      </c>
      <c r="W184" s="535">
        <f t="shared" si="747"/>
        <v>9.1372000000002416</v>
      </c>
      <c r="X184" s="536">
        <f t="shared" si="748"/>
        <v>0</v>
      </c>
      <c r="Y184" s="536">
        <f t="shared" si="749"/>
        <v>0</v>
      </c>
      <c r="Z184" s="536">
        <f t="shared" si="750"/>
        <v>1.7240000000000457</v>
      </c>
      <c r="AA184" s="536">
        <f t="shared" si="751"/>
        <v>0</v>
      </c>
      <c r="AB184" s="496">
        <f t="shared" si="752"/>
        <v>5.3</v>
      </c>
      <c r="AC184" s="251">
        <f t="shared" si="753"/>
        <v>0</v>
      </c>
      <c r="AD184" s="251">
        <f t="shared" si="754"/>
        <v>0</v>
      </c>
      <c r="AE184" s="251">
        <f t="shared" si="755"/>
        <v>0</v>
      </c>
      <c r="AF184" s="251">
        <f t="shared" si="756"/>
        <v>7.9499999999999993</v>
      </c>
      <c r="AG184" s="251">
        <f t="shared" si="757"/>
        <v>1.1872000000002423</v>
      </c>
      <c r="AH184" s="251">
        <f t="shared" si="758"/>
        <v>0</v>
      </c>
      <c r="AI184" s="497" t="str">
        <f t="shared" si="759"/>
        <v>NÃO</v>
      </c>
      <c r="AJ184" s="531">
        <f t="shared" si="760"/>
        <v>0</v>
      </c>
      <c r="AK184" s="531">
        <f t="shared" si="761"/>
        <v>0</v>
      </c>
      <c r="AL184" s="531">
        <f t="shared" si="762"/>
        <v>8.471182357439206</v>
      </c>
      <c r="AM184" s="493">
        <f t="shared" si="763"/>
        <v>0.26500000000000001</v>
      </c>
      <c r="AN184" s="535">
        <f t="shared" si="764"/>
        <v>0</v>
      </c>
      <c r="AO184" s="531">
        <f t="shared" si="765"/>
        <v>0</v>
      </c>
      <c r="AP184" s="531">
        <f t="shared" si="766"/>
        <v>0</v>
      </c>
      <c r="AQ184" s="531">
        <f t="shared" si="767"/>
        <v>0.7</v>
      </c>
      <c r="AR184" s="531">
        <f t="shared" si="768"/>
        <v>3.0439823574389635</v>
      </c>
      <c r="AS184" s="531">
        <f t="shared" si="769"/>
        <v>0</v>
      </c>
      <c r="AT184" s="531">
        <f t="shared" si="770"/>
        <v>0.79499999999999993</v>
      </c>
      <c r="AU184" s="531">
        <f t="shared" si="771"/>
        <v>0.79499999999999993</v>
      </c>
      <c r="AV184" s="531">
        <f t="shared" si="772"/>
        <v>0.159</v>
      </c>
      <c r="AW184" s="531">
        <f t="shared" si="773"/>
        <v>3.5722000000002421</v>
      </c>
      <c r="AX184" s="531">
        <f t="shared" si="774"/>
        <v>5.2982176425612781</v>
      </c>
      <c r="AY184" s="531">
        <f t="shared" si="775"/>
        <v>3.5722000000002421</v>
      </c>
      <c r="AZ184" s="531">
        <f t="shared" si="776"/>
        <v>0</v>
      </c>
      <c r="BA184" s="531">
        <f t="shared" si="777"/>
        <v>0</v>
      </c>
      <c r="BB184" s="531">
        <f t="shared" si="778"/>
        <v>0</v>
      </c>
      <c r="BC184" s="531"/>
      <c r="BD184" s="531">
        <f t="shared" si="779"/>
        <v>3.1799999999999995E-2</v>
      </c>
      <c r="BE184" s="496">
        <f t="shared" si="780"/>
        <v>1.7240000000000457</v>
      </c>
      <c r="BF184" s="498">
        <f t="shared" si="781"/>
        <v>5.3</v>
      </c>
      <c r="BG184" s="498">
        <f t="shared" si="782"/>
        <v>0</v>
      </c>
      <c r="BH184" s="532" t="str">
        <f>VLOOKUP(A184,'BOCA DE LOBO'!C:I,7,0)</f>
        <v>BOCA DE LOBO PROJETADA DUPLA</v>
      </c>
      <c r="BI184" s="531">
        <f t="shared" si="783"/>
        <v>0</v>
      </c>
      <c r="BJ184" s="531">
        <f t="shared" si="784"/>
        <v>0</v>
      </c>
      <c r="BK184" s="531">
        <f t="shared" si="785"/>
        <v>0</v>
      </c>
      <c r="BL184" s="531">
        <f t="shared" si="786"/>
        <v>0</v>
      </c>
      <c r="BM184" s="531">
        <f t="shared" si="787"/>
        <v>0</v>
      </c>
      <c r="BN184" s="531">
        <f t="shared" si="788"/>
        <v>1</v>
      </c>
      <c r="BO184" s="499">
        <f t="shared" si="789"/>
        <v>0</v>
      </c>
      <c r="BP184" s="500"/>
      <c r="BQ184" s="496">
        <f t="shared" si="790"/>
        <v>15.899999999999999</v>
      </c>
      <c r="BR184" s="496">
        <f t="shared" si="791"/>
        <v>2.3744000000004846</v>
      </c>
      <c r="BS184" s="496">
        <f t="shared" si="792"/>
        <v>0</v>
      </c>
      <c r="BT184" s="501"/>
      <c r="BU184" s="501"/>
      <c r="BV184" s="502">
        <f t="shared" si="793"/>
        <v>11.580508800000352</v>
      </c>
      <c r="BW184" s="502">
        <f t="shared" si="794"/>
        <v>7.7825999999999986</v>
      </c>
      <c r="BX184" s="502">
        <f t="shared" si="795"/>
        <v>3.0325999999999995</v>
      </c>
      <c r="BY184" s="502">
        <f t="shared" si="796"/>
        <v>1.4880000000000455</v>
      </c>
      <c r="BZ184" s="502">
        <f t="shared" si="797"/>
        <v>1.4880000000000455</v>
      </c>
      <c r="CA184" s="502">
        <f t="shared" si="798"/>
        <v>0</v>
      </c>
      <c r="CB184" s="502">
        <f t="shared" si="799"/>
        <v>0</v>
      </c>
      <c r="CC184" s="502">
        <f t="shared" si="800"/>
        <v>11.580508800000352</v>
      </c>
      <c r="CD184" s="502">
        <f t="shared" si="801"/>
        <v>0</v>
      </c>
      <c r="CE184" s="502">
        <f t="shared" si="802"/>
        <v>0</v>
      </c>
      <c r="CF184" s="502">
        <f t="shared" si="803"/>
        <v>0</v>
      </c>
      <c r="CG184" s="502">
        <f t="shared" si="804"/>
        <v>0</v>
      </c>
      <c r="CH184" s="502">
        <f t="shared" si="805"/>
        <v>0</v>
      </c>
      <c r="CI184" s="531">
        <f t="shared" si="806"/>
        <v>0.53549999999999998</v>
      </c>
      <c r="CJ184" s="502">
        <f t="shared" si="807"/>
        <v>6.5325000000002147</v>
      </c>
      <c r="CK184" s="502">
        <f t="shared" si="808"/>
        <v>6.5325000000002147</v>
      </c>
      <c r="CL184" s="502">
        <f t="shared" si="809"/>
        <v>0</v>
      </c>
      <c r="CM184" s="502">
        <f t="shared" si="810"/>
        <v>0</v>
      </c>
      <c r="CN184" s="502">
        <f t="shared" si="811"/>
        <v>3.57</v>
      </c>
      <c r="CO184" s="502">
        <f t="shared" si="812"/>
        <v>1.4880000000000455</v>
      </c>
      <c r="CP184" s="502">
        <f t="shared" si="813"/>
        <v>10.624320000000324</v>
      </c>
      <c r="CQ184" s="502">
        <f t="shared" si="814"/>
        <v>0</v>
      </c>
      <c r="CR184" s="220">
        <f t="shared" si="815"/>
        <v>0</v>
      </c>
      <c r="CS184" s="503">
        <f t="shared" si="816"/>
        <v>0</v>
      </c>
      <c r="CT184" s="503">
        <f t="shared" si="817"/>
        <v>0.33012999999999998</v>
      </c>
      <c r="CU184" s="504">
        <f t="shared" si="818"/>
        <v>7.7376000000002367</v>
      </c>
      <c r="CV184" s="504">
        <f t="shared" si="819"/>
        <v>1.1292780000000138</v>
      </c>
      <c r="CW184" s="502">
        <f t="shared" si="820"/>
        <v>15.476040000000351</v>
      </c>
      <c r="CX184" s="531">
        <f t="shared" si="821"/>
        <v>3.57</v>
      </c>
      <c r="CY184" s="537">
        <f t="shared" si="822"/>
        <v>1.7849999999999999</v>
      </c>
      <c r="CZ184" s="502">
        <f t="shared" si="823"/>
        <v>2.4513847475961154E-2</v>
      </c>
    </row>
    <row r="185" spans="1:104" ht="25" x14ac:dyDescent="0.25">
      <c r="A185" s="413" t="str">
        <f>'BOCA DE LOBO'!C179</f>
        <v>BL94-&gt;PV3-111</v>
      </c>
      <c r="B185" s="413" t="str">
        <f>'BOCA DE LOBO'!A179</f>
        <v>PV3-111</v>
      </c>
      <c r="C185" s="413" t="str">
        <f>VLOOKUP(A185,'BOCA DE LOBO'!$C$82:$Q$270,3,0)</f>
        <v>EXISTENTE</v>
      </c>
      <c r="D185" s="413" t="str">
        <f>VLOOKUP(A185,'BOCA DE LOBO'!$C$82:$Q$270,10,0)</f>
        <v>PROJETADA</v>
      </c>
      <c r="E185" s="413">
        <f t="shared" si="738"/>
        <v>1.4296000000001001</v>
      </c>
      <c r="F185" s="413">
        <f>VLOOKUP(A185,'BOCA DE LOBO'!$C$82:$Q$270,2,0)</f>
        <v>1.6400000000001</v>
      </c>
      <c r="G185" s="413">
        <f>VLOOKUP(A185,'BOCA DE LOBO'!$C$82:$Q$270,4,0)</f>
        <v>5.26</v>
      </c>
      <c r="H185" s="412">
        <v>400</v>
      </c>
      <c r="I185" s="493">
        <f t="shared" si="739"/>
        <v>1.6648000000001002</v>
      </c>
      <c r="J185" s="493">
        <f t="shared" si="740"/>
        <v>0.43784240000002639</v>
      </c>
      <c r="K185" s="530">
        <v>0</v>
      </c>
      <c r="L185" s="531">
        <f t="shared" si="741"/>
        <v>1</v>
      </c>
      <c r="M185" s="531">
        <f t="shared" si="742"/>
        <v>1</v>
      </c>
      <c r="N185" s="531">
        <f t="shared" si="743"/>
        <v>0</v>
      </c>
      <c r="O185" s="531">
        <f t="shared" si="744"/>
        <v>5.26</v>
      </c>
      <c r="P185" s="532" t="s">
        <v>2392</v>
      </c>
      <c r="Q185" s="539" t="s">
        <v>2969</v>
      </c>
      <c r="R185" s="534">
        <v>1</v>
      </c>
      <c r="S185" s="532">
        <v>5</v>
      </c>
      <c r="T185" s="532">
        <v>5</v>
      </c>
      <c r="U185" s="531">
        <f t="shared" si="745"/>
        <v>0.05</v>
      </c>
      <c r="V185" s="535">
        <f t="shared" si="746"/>
        <v>0</v>
      </c>
      <c r="W185" s="535">
        <f t="shared" si="747"/>
        <v>10.860848000000527</v>
      </c>
      <c r="X185" s="536">
        <f t="shared" si="748"/>
        <v>0</v>
      </c>
      <c r="Y185" s="536">
        <f t="shared" si="749"/>
        <v>2.0648000000001003</v>
      </c>
      <c r="Z185" s="536">
        <f t="shared" si="750"/>
        <v>0</v>
      </c>
      <c r="AA185" s="536">
        <f t="shared" si="751"/>
        <v>1.6648000000001002</v>
      </c>
      <c r="AB185" s="496">
        <f t="shared" si="752"/>
        <v>5.26</v>
      </c>
      <c r="AC185" s="251">
        <f t="shared" si="753"/>
        <v>7.89</v>
      </c>
      <c r="AD185" s="251">
        <f t="shared" si="754"/>
        <v>2.9708480000005277</v>
      </c>
      <c r="AE185" s="251">
        <f t="shared" si="755"/>
        <v>0</v>
      </c>
      <c r="AF185" s="251">
        <f t="shared" si="756"/>
        <v>0</v>
      </c>
      <c r="AG185" s="251">
        <f t="shared" si="757"/>
        <v>0</v>
      </c>
      <c r="AH185" s="251">
        <f t="shared" si="758"/>
        <v>0</v>
      </c>
      <c r="AI185" s="497" t="str">
        <f t="shared" si="759"/>
        <v>NÃO</v>
      </c>
      <c r="AJ185" s="531">
        <f t="shared" si="760"/>
        <v>0</v>
      </c>
      <c r="AK185" s="531">
        <f t="shared" si="761"/>
        <v>0</v>
      </c>
      <c r="AL185" s="531">
        <f t="shared" si="762"/>
        <v>10.199856905685234</v>
      </c>
      <c r="AM185" s="493">
        <f t="shared" si="763"/>
        <v>0.26300000000000001</v>
      </c>
      <c r="AN185" s="535">
        <f t="shared" si="764"/>
        <v>0</v>
      </c>
      <c r="AO185" s="531">
        <f t="shared" si="765"/>
        <v>2.1040000000000001</v>
      </c>
      <c r="AP185" s="531">
        <f t="shared" si="766"/>
        <v>2.1040000000000001</v>
      </c>
      <c r="AQ185" s="531">
        <f t="shared" si="767"/>
        <v>0.7</v>
      </c>
      <c r="AR185" s="531">
        <f t="shared" si="768"/>
        <v>3.0210089056847069</v>
      </c>
      <c r="AS185" s="531">
        <f t="shared" si="769"/>
        <v>3.0210089056847069</v>
      </c>
      <c r="AT185" s="531">
        <f t="shared" si="770"/>
        <v>0.78899999999999992</v>
      </c>
      <c r="AU185" s="531">
        <f t="shared" si="771"/>
        <v>0.78899999999999992</v>
      </c>
      <c r="AV185" s="531">
        <f t="shared" si="772"/>
        <v>0.1578</v>
      </c>
      <c r="AW185" s="531">
        <f t="shared" si="773"/>
        <v>3.2338480000005285</v>
      </c>
      <c r="AX185" s="531">
        <f t="shared" si="774"/>
        <v>-5.9140089056847067</v>
      </c>
      <c r="AY185" s="531">
        <f t="shared" si="775"/>
        <v>-5.9140089056847067</v>
      </c>
      <c r="AZ185" s="531">
        <f t="shared" si="776"/>
        <v>9.1478569056852344</v>
      </c>
      <c r="BA185" s="531">
        <f t="shared" si="777"/>
        <v>1.8472313895522059</v>
      </c>
      <c r="BB185" s="531">
        <f t="shared" si="778"/>
        <v>7.300625516133028</v>
      </c>
      <c r="BC185" s="531"/>
      <c r="BD185" s="531">
        <f t="shared" si="779"/>
        <v>0.11571999999999999</v>
      </c>
      <c r="BE185" s="496">
        <f t="shared" si="780"/>
        <v>1.6648000000001002</v>
      </c>
      <c r="BF185" s="498">
        <f t="shared" si="781"/>
        <v>5.26</v>
      </c>
      <c r="BG185" s="498">
        <f t="shared" si="782"/>
        <v>0</v>
      </c>
      <c r="BH185" s="532" t="str">
        <f>VLOOKUP(A185,'BOCA DE LOBO'!C:I,7,0)</f>
        <v>BOCA DE LOBO PROJETADA DUPLA</v>
      </c>
      <c r="BI185" s="531">
        <f t="shared" si="783"/>
        <v>0</v>
      </c>
      <c r="BJ185" s="531">
        <f t="shared" si="784"/>
        <v>0</v>
      </c>
      <c r="BK185" s="531">
        <f t="shared" si="785"/>
        <v>0</v>
      </c>
      <c r="BL185" s="531">
        <f t="shared" si="786"/>
        <v>0</v>
      </c>
      <c r="BM185" s="531">
        <f t="shared" si="787"/>
        <v>0</v>
      </c>
      <c r="BN185" s="531">
        <f t="shared" si="788"/>
        <v>1</v>
      </c>
      <c r="BO185" s="499">
        <f t="shared" si="789"/>
        <v>0</v>
      </c>
      <c r="BP185" s="500"/>
      <c r="BQ185" s="496">
        <f t="shared" si="790"/>
        <v>15.78</v>
      </c>
      <c r="BR185" s="496">
        <f t="shared" si="791"/>
        <v>6.9936960000010515</v>
      </c>
      <c r="BS185" s="496">
        <f t="shared" si="792"/>
        <v>0</v>
      </c>
      <c r="BT185" s="501"/>
      <c r="BU185" s="501"/>
      <c r="BV185" s="502">
        <f t="shared" si="793"/>
        <v>15.017304960000777</v>
      </c>
      <c r="BW185" s="502">
        <f t="shared" si="794"/>
        <v>7.7825999999999986</v>
      </c>
      <c r="BX185" s="502">
        <f t="shared" si="795"/>
        <v>3.0325999999999995</v>
      </c>
      <c r="BY185" s="502">
        <f t="shared" si="796"/>
        <v>1.4296000000001001</v>
      </c>
      <c r="BZ185" s="502">
        <f t="shared" si="797"/>
        <v>0</v>
      </c>
      <c r="CA185" s="502">
        <f t="shared" si="798"/>
        <v>1.8296000000001</v>
      </c>
      <c r="CB185" s="502">
        <f t="shared" si="799"/>
        <v>0</v>
      </c>
      <c r="CC185" s="502">
        <f t="shared" si="800"/>
        <v>0</v>
      </c>
      <c r="CD185" s="502">
        <f t="shared" si="801"/>
        <v>0</v>
      </c>
      <c r="CE185" s="502">
        <f t="shared" si="802"/>
        <v>11.673899999999998</v>
      </c>
      <c r="CF185" s="502">
        <f t="shared" si="803"/>
        <v>2.5651449600007781</v>
      </c>
      <c r="CG185" s="502">
        <f t="shared" si="804"/>
        <v>0.77826000000000128</v>
      </c>
      <c r="CH185" s="502">
        <f t="shared" si="805"/>
        <v>0</v>
      </c>
      <c r="CI185" s="531">
        <f t="shared" si="806"/>
        <v>0.53549999999999998</v>
      </c>
      <c r="CJ185" s="502">
        <f t="shared" si="807"/>
        <v>8.1551000000004734</v>
      </c>
      <c r="CK185" s="502">
        <f t="shared" si="808"/>
        <v>8.1551000000004734</v>
      </c>
      <c r="CL185" s="502">
        <f t="shared" si="809"/>
        <v>0</v>
      </c>
      <c r="CM185" s="502">
        <f t="shared" si="810"/>
        <v>0.15565199999999998</v>
      </c>
      <c r="CN185" s="502">
        <f t="shared" si="811"/>
        <v>3.57</v>
      </c>
      <c r="CO185" s="502">
        <f t="shared" si="812"/>
        <v>1.9296000000001001</v>
      </c>
      <c r="CP185" s="502">
        <f t="shared" si="813"/>
        <v>10.709999999999999</v>
      </c>
      <c r="CQ185" s="502">
        <f t="shared" si="814"/>
        <v>3.0673440000007148</v>
      </c>
      <c r="CR185" s="220">
        <f t="shared" si="815"/>
        <v>0</v>
      </c>
      <c r="CS185" s="503">
        <f t="shared" si="816"/>
        <v>0</v>
      </c>
      <c r="CT185" s="503">
        <f t="shared" si="817"/>
        <v>0.33012999999999998</v>
      </c>
      <c r="CU185" s="504">
        <f t="shared" si="818"/>
        <v>7.433920000000521</v>
      </c>
      <c r="CV185" s="504">
        <f t="shared" si="819"/>
        <v>1.1114076000000306</v>
      </c>
      <c r="CW185" s="502">
        <f t="shared" si="820"/>
        <v>15.027528000000769</v>
      </c>
      <c r="CX185" s="531">
        <f t="shared" si="821"/>
        <v>3.57</v>
      </c>
      <c r="CY185" s="537">
        <f t="shared" si="822"/>
        <v>1.7849999999999999</v>
      </c>
      <c r="CZ185" s="502">
        <f t="shared" si="823"/>
        <v>2.4513847475961154E-2</v>
      </c>
    </row>
    <row r="186" spans="1:104" ht="25" x14ac:dyDescent="0.25">
      <c r="A186" s="413" t="str">
        <f>'BOCA DE LOBO'!C180</f>
        <v>BL95-&gt;PV4-111</v>
      </c>
      <c r="B186" s="413" t="str">
        <f>'BOCA DE LOBO'!A180</f>
        <v>PV4-111</v>
      </c>
      <c r="C186" s="413" t="str">
        <f>VLOOKUP(A186,'BOCA DE LOBO'!$C$82:$Q$270,3,0)</f>
        <v>EXISTENTE</v>
      </c>
      <c r="D186" s="413" t="str">
        <f>VLOOKUP(A186,'BOCA DE LOBO'!$C$82:$Q$270,10,0)</f>
        <v>PROJETADA</v>
      </c>
      <c r="E186" s="413">
        <f t="shared" si="738"/>
        <v>1.4520000000000228</v>
      </c>
      <c r="F186" s="413">
        <f>VLOOKUP(A186,'BOCA DE LOBO'!$C$82:$Q$270,2,0)</f>
        <v>1.8500000000000227</v>
      </c>
      <c r="G186" s="413">
        <f>VLOOKUP(A186,'BOCA DE LOBO'!$C$82:$Q$270,4,0)</f>
        <v>9.9499999999999993</v>
      </c>
      <c r="H186" s="412">
        <v>400</v>
      </c>
      <c r="I186" s="493">
        <f t="shared" si="739"/>
        <v>1.781000000000023</v>
      </c>
      <c r="J186" s="493">
        <f t="shared" si="740"/>
        <v>0.88604750000001142</v>
      </c>
      <c r="K186" s="530">
        <v>0</v>
      </c>
      <c r="L186" s="531">
        <f t="shared" si="741"/>
        <v>1</v>
      </c>
      <c r="M186" s="531">
        <f t="shared" si="742"/>
        <v>1</v>
      </c>
      <c r="N186" s="531">
        <f t="shared" si="743"/>
        <v>0</v>
      </c>
      <c r="O186" s="531">
        <f t="shared" si="744"/>
        <v>9.9499999999999993</v>
      </c>
      <c r="P186" s="532" t="s">
        <v>2392</v>
      </c>
      <c r="Q186" s="539" t="s">
        <v>2969</v>
      </c>
      <c r="R186" s="534">
        <v>1</v>
      </c>
      <c r="S186" s="532">
        <v>5</v>
      </c>
      <c r="T186" s="532">
        <v>5</v>
      </c>
      <c r="U186" s="531">
        <f t="shared" si="745"/>
        <v>0.05</v>
      </c>
      <c r="V186" s="535">
        <f t="shared" si="746"/>
        <v>0</v>
      </c>
      <c r="W186" s="535">
        <f t="shared" si="747"/>
        <v>21.70095000000023</v>
      </c>
      <c r="X186" s="536">
        <f t="shared" si="748"/>
        <v>0</v>
      </c>
      <c r="Y186" s="536">
        <f t="shared" si="749"/>
        <v>2.1810000000000231</v>
      </c>
      <c r="Z186" s="536">
        <f t="shared" si="750"/>
        <v>0</v>
      </c>
      <c r="AA186" s="536">
        <f t="shared" si="751"/>
        <v>1.781000000000023</v>
      </c>
      <c r="AB186" s="496">
        <f t="shared" si="752"/>
        <v>9.9499999999999993</v>
      </c>
      <c r="AC186" s="251">
        <f t="shared" si="753"/>
        <v>14.924999999999999</v>
      </c>
      <c r="AD186" s="251">
        <f t="shared" si="754"/>
        <v>6.77595000000023</v>
      </c>
      <c r="AE186" s="251">
        <f t="shared" si="755"/>
        <v>0</v>
      </c>
      <c r="AF186" s="251">
        <f t="shared" si="756"/>
        <v>0</v>
      </c>
      <c r="AG186" s="251">
        <f t="shared" si="757"/>
        <v>0</v>
      </c>
      <c r="AH186" s="251">
        <f t="shared" si="758"/>
        <v>0</v>
      </c>
      <c r="AI186" s="497" t="str">
        <f t="shared" si="759"/>
        <v>NÃO</v>
      </c>
      <c r="AJ186" s="531">
        <f t="shared" si="760"/>
        <v>0</v>
      </c>
      <c r="AK186" s="531">
        <f t="shared" si="761"/>
        <v>0</v>
      </c>
      <c r="AL186" s="531">
        <f t="shared" si="762"/>
        <v>20.450596123871492</v>
      </c>
      <c r="AM186" s="493">
        <f t="shared" si="763"/>
        <v>0.4975</v>
      </c>
      <c r="AN186" s="535">
        <f t="shared" si="764"/>
        <v>0</v>
      </c>
      <c r="AO186" s="531">
        <f t="shared" si="765"/>
        <v>3.98</v>
      </c>
      <c r="AP186" s="531">
        <f t="shared" si="766"/>
        <v>3.98</v>
      </c>
      <c r="AQ186" s="531">
        <f t="shared" si="767"/>
        <v>0.7</v>
      </c>
      <c r="AR186" s="531">
        <f t="shared" si="768"/>
        <v>5.7146461238712618</v>
      </c>
      <c r="AS186" s="531">
        <f t="shared" si="769"/>
        <v>5.7146461238712618</v>
      </c>
      <c r="AT186" s="531">
        <f t="shared" si="770"/>
        <v>1.4924999999999999</v>
      </c>
      <c r="AU186" s="531">
        <f t="shared" si="771"/>
        <v>1.4924999999999999</v>
      </c>
      <c r="AV186" s="531">
        <f t="shared" si="772"/>
        <v>0.29849999999999999</v>
      </c>
      <c r="AW186" s="531">
        <f t="shared" si="773"/>
        <v>7.2734500000002296</v>
      </c>
      <c r="AX186" s="531">
        <f t="shared" si="774"/>
        <v>-11.187146123871262</v>
      </c>
      <c r="AY186" s="531">
        <f t="shared" si="775"/>
        <v>-11.187146123871262</v>
      </c>
      <c r="AZ186" s="531">
        <f t="shared" si="776"/>
        <v>18.46059612387149</v>
      </c>
      <c r="BA186" s="531">
        <f t="shared" si="777"/>
        <v>3.7277575481824625</v>
      </c>
      <c r="BB186" s="531">
        <f t="shared" si="778"/>
        <v>14.732838575689026</v>
      </c>
      <c r="BC186" s="531"/>
      <c r="BD186" s="531">
        <f t="shared" si="779"/>
        <v>0.21890000000000001</v>
      </c>
      <c r="BE186" s="496">
        <f t="shared" si="780"/>
        <v>1.781000000000023</v>
      </c>
      <c r="BF186" s="498">
        <f t="shared" si="781"/>
        <v>0</v>
      </c>
      <c r="BG186" s="498">
        <f t="shared" si="782"/>
        <v>9.9499999999999993</v>
      </c>
      <c r="BH186" s="532" t="str">
        <f>VLOOKUP(A186,'BOCA DE LOBO'!C:I,7,0)</f>
        <v>BOCA DE LOBO PROJETADA DUPLA</v>
      </c>
      <c r="BI186" s="531">
        <f t="shared" si="783"/>
        <v>0</v>
      </c>
      <c r="BJ186" s="531">
        <f t="shared" si="784"/>
        <v>0</v>
      </c>
      <c r="BK186" s="531">
        <f t="shared" si="785"/>
        <v>0</v>
      </c>
      <c r="BL186" s="531">
        <f t="shared" si="786"/>
        <v>0</v>
      </c>
      <c r="BM186" s="531">
        <f t="shared" si="787"/>
        <v>0</v>
      </c>
      <c r="BN186" s="531">
        <f t="shared" si="788"/>
        <v>1</v>
      </c>
      <c r="BO186" s="499">
        <f t="shared" si="789"/>
        <v>0</v>
      </c>
      <c r="BP186" s="500"/>
      <c r="BQ186" s="496">
        <f t="shared" si="790"/>
        <v>29.849999999999998</v>
      </c>
      <c r="BR186" s="496">
        <f t="shared" si="791"/>
        <v>15.541900000000453</v>
      </c>
      <c r="BS186" s="496">
        <f t="shared" si="792"/>
        <v>0</v>
      </c>
      <c r="BT186" s="501"/>
      <c r="BU186" s="501"/>
      <c r="BV186" s="502">
        <f t="shared" si="793"/>
        <v>15.191635200000174</v>
      </c>
      <c r="BW186" s="502">
        <f t="shared" si="794"/>
        <v>7.7825999999999986</v>
      </c>
      <c r="BX186" s="502">
        <f t="shared" si="795"/>
        <v>3.0325999999999995</v>
      </c>
      <c r="BY186" s="502">
        <f t="shared" si="796"/>
        <v>1.4520000000000228</v>
      </c>
      <c r="BZ186" s="502">
        <f t="shared" si="797"/>
        <v>0</v>
      </c>
      <c r="CA186" s="502">
        <f t="shared" si="798"/>
        <v>1.852000000000023</v>
      </c>
      <c r="CB186" s="502">
        <f t="shared" si="799"/>
        <v>0</v>
      </c>
      <c r="CC186" s="502">
        <f t="shared" si="800"/>
        <v>0</v>
      </c>
      <c r="CD186" s="502">
        <f t="shared" si="801"/>
        <v>0</v>
      </c>
      <c r="CE186" s="502">
        <f t="shared" si="802"/>
        <v>11.673899999999998</v>
      </c>
      <c r="CF186" s="502">
        <f t="shared" si="803"/>
        <v>2.7394752000001783</v>
      </c>
      <c r="CG186" s="502">
        <f t="shared" si="804"/>
        <v>0.77825999999999773</v>
      </c>
      <c r="CH186" s="502">
        <f t="shared" si="805"/>
        <v>0</v>
      </c>
      <c r="CI186" s="531">
        <f t="shared" si="806"/>
        <v>0.53549999999999998</v>
      </c>
      <c r="CJ186" s="502">
        <f t="shared" si="807"/>
        <v>8.2615000000001064</v>
      </c>
      <c r="CK186" s="502">
        <f t="shared" si="808"/>
        <v>8.2615000000001064</v>
      </c>
      <c r="CL186" s="502">
        <f t="shared" si="809"/>
        <v>0</v>
      </c>
      <c r="CM186" s="502">
        <f t="shared" si="810"/>
        <v>0.15565199999999998</v>
      </c>
      <c r="CN186" s="502">
        <f t="shared" si="811"/>
        <v>3.57</v>
      </c>
      <c r="CO186" s="502">
        <f t="shared" si="812"/>
        <v>1.9520000000000228</v>
      </c>
      <c r="CP186" s="502">
        <f t="shared" si="813"/>
        <v>10.709999999999999</v>
      </c>
      <c r="CQ186" s="502">
        <f t="shared" si="814"/>
        <v>3.2272800000001629</v>
      </c>
      <c r="CR186" s="220">
        <f t="shared" si="815"/>
        <v>0</v>
      </c>
      <c r="CS186" s="503">
        <f t="shared" si="816"/>
        <v>0</v>
      </c>
      <c r="CT186" s="503">
        <f t="shared" si="817"/>
        <v>0.33012999999999998</v>
      </c>
      <c r="CU186" s="504">
        <f t="shared" si="818"/>
        <v>7.5504000000001188</v>
      </c>
      <c r="CV186" s="504">
        <f t="shared" si="819"/>
        <v>1.1182620000000068</v>
      </c>
      <c r="CW186" s="502">
        <f t="shared" si="820"/>
        <v>15.199560000000174</v>
      </c>
      <c r="CX186" s="531">
        <f t="shared" si="821"/>
        <v>3.57</v>
      </c>
      <c r="CY186" s="537">
        <f t="shared" si="822"/>
        <v>1.7849999999999999</v>
      </c>
      <c r="CZ186" s="502">
        <f t="shared" si="823"/>
        <v>2.4513847475961154E-2</v>
      </c>
    </row>
    <row r="187" spans="1:104" ht="25" x14ac:dyDescent="0.25">
      <c r="A187" s="413" t="str">
        <f>'BOCA DE LOBO'!C181</f>
        <v>BL96-&gt;PV4-111</v>
      </c>
      <c r="B187" s="413" t="str">
        <f>'BOCA DE LOBO'!A181</f>
        <v>PV4-111</v>
      </c>
      <c r="C187" s="413" t="str">
        <f>VLOOKUP(A187,'BOCA DE LOBO'!$C$82:$Q$270,3,0)</f>
        <v>EXISTENTE</v>
      </c>
      <c r="D187" s="413" t="str">
        <f>VLOOKUP(A187,'BOCA DE LOBO'!$C$82:$Q$270,10,0)</f>
        <v>PROJETADA</v>
      </c>
      <c r="E187" s="413">
        <f t="shared" si="738"/>
        <v>1.5512000000000228</v>
      </c>
      <c r="F187" s="413">
        <f>VLOOKUP(A187,'BOCA DE LOBO'!$C$82:$Q$270,2,0)</f>
        <v>1.8500000000000227</v>
      </c>
      <c r="G187" s="413">
        <f>VLOOKUP(A187,'BOCA DE LOBO'!$C$82:$Q$270,4,0)</f>
        <v>7.47</v>
      </c>
      <c r="H187" s="412">
        <v>400</v>
      </c>
      <c r="I187" s="493">
        <f t="shared" si="739"/>
        <v>1.8306000000000229</v>
      </c>
      <c r="J187" s="493">
        <f t="shared" si="740"/>
        <v>0.68372910000000853</v>
      </c>
      <c r="K187" s="530">
        <v>0</v>
      </c>
      <c r="L187" s="531">
        <f t="shared" si="741"/>
        <v>1</v>
      </c>
      <c r="M187" s="531">
        <f t="shared" si="742"/>
        <v>1</v>
      </c>
      <c r="N187" s="531">
        <f t="shared" si="743"/>
        <v>0</v>
      </c>
      <c r="O187" s="531">
        <f t="shared" si="744"/>
        <v>7.47</v>
      </c>
      <c r="P187" s="532" t="s">
        <v>2392</v>
      </c>
      <c r="Q187" s="539" t="s">
        <v>2969</v>
      </c>
      <c r="R187" s="534">
        <v>1</v>
      </c>
      <c r="S187" s="532">
        <v>5</v>
      </c>
      <c r="T187" s="532">
        <v>5</v>
      </c>
      <c r="U187" s="531">
        <f t="shared" si="745"/>
        <v>0.05</v>
      </c>
      <c r="V187" s="535">
        <f t="shared" si="746"/>
        <v>0</v>
      </c>
      <c r="W187" s="535">
        <f t="shared" si="747"/>
        <v>16.662582000000171</v>
      </c>
      <c r="X187" s="536">
        <f t="shared" si="748"/>
        <v>0</v>
      </c>
      <c r="Y187" s="536">
        <f t="shared" si="749"/>
        <v>2.230600000000023</v>
      </c>
      <c r="Z187" s="536">
        <f t="shared" si="750"/>
        <v>0</v>
      </c>
      <c r="AA187" s="536">
        <f t="shared" si="751"/>
        <v>1.8306000000000229</v>
      </c>
      <c r="AB187" s="496">
        <f t="shared" si="752"/>
        <v>7.47</v>
      </c>
      <c r="AC187" s="251">
        <f t="shared" si="753"/>
        <v>11.205</v>
      </c>
      <c r="AD187" s="251">
        <f t="shared" si="754"/>
        <v>5.4575820000001718</v>
      </c>
      <c r="AE187" s="251">
        <f t="shared" si="755"/>
        <v>0</v>
      </c>
      <c r="AF187" s="251">
        <f t="shared" si="756"/>
        <v>0</v>
      </c>
      <c r="AG187" s="251">
        <f t="shared" si="757"/>
        <v>0</v>
      </c>
      <c r="AH187" s="251">
        <f t="shared" si="758"/>
        <v>0</v>
      </c>
      <c r="AI187" s="497" t="str">
        <f t="shared" si="759"/>
        <v>NÃO</v>
      </c>
      <c r="AJ187" s="531">
        <f t="shared" si="760"/>
        <v>0</v>
      </c>
      <c r="AK187" s="531">
        <f t="shared" si="761"/>
        <v>0</v>
      </c>
      <c r="AL187" s="531">
        <f t="shared" si="762"/>
        <v>15.723874115107538</v>
      </c>
      <c r="AM187" s="493">
        <f t="shared" si="763"/>
        <v>0.3735</v>
      </c>
      <c r="AN187" s="535">
        <f t="shared" si="764"/>
        <v>0</v>
      </c>
      <c r="AO187" s="531">
        <f t="shared" si="765"/>
        <v>2.988</v>
      </c>
      <c r="AP187" s="531">
        <f t="shared" si="766"/>
        <v>2.988</v>
      </c>
      <c r="AQ187" s="531">
        <f t="shared" si="767"/>
        <v>0.7</v>
      </c>
      <c r="AR187" s="531">
        <f t="shared" si="768"/>
        <v>4.290292115107369</v>
      </c>
      <c r="AS187" s="531">
        <f t="shared" si="769"/>
        <v>4.290292115107369</v>
      </c>
      <c r="AT187" s="531">
        <f t="shared" si="770"/>
        <v>1.1204999999999998</v>
      </c>
      <c r="AU187" s="531">
        <f t="shared" si="771"/>
        <v>1.1204999999999998</v>
      </c>
      <c r="AV187" s="531">
        <f t="shared" si="772"/>
        <v>0.22409999999999999</v>
      </c>
      <c r="AW187" s="531">
        <f t="shared" si="773"/>
        <v>5.83108200000017</v>
      </c>
      <c r="AX187" s="531">
        <f t="shared" si="774"/>
        <v>-8.3987921151073692</v>
      </c>
      <c r="AY187" s="531">
        <f t="shared" si="775"/>
        <v>-8.3987921151073692</v>
      </c>
      <c r="AZ187" s="531">
        <f t="shared" si="776"/>
        <v>14.229874115107538</v>
      </c>
      <c r="BA187" s="531">
        <f t="shared" si="777"/>
        <v>2.8734457049133391</v>
      </c>
      <c r="BB187" s="531">
        <f t="shared" si="778"/>
        <v>11.3564284101942</v>
      </c>
      <c r="BC187" s="531"/>
      <c r="BD187" s="531">
        <f t="shared" si="779"/>
        <v>0.16433999999999999</v>
      </c>
      <c r="BE187" s="496">
        <f t="shared" si="780"/>
        <v>1.8306000000000229</v>
      </c>
      <c r="BF187" s="498">
        <f t="shared" si="781"/>
        <v>0</v>
      </c>
      <c r="BG187" s="498">
        <f t="shared" si="782"/>
        <v>7.47</v>
      </c>
      <c r="BH187" s="532" t="str">
        <f>VLOOKUP(A187,'BOCA DE LOBO'!C:I,7,0)</f>
        <v>BOCA DE LOBO PROJETADA DUPLA</v>
      </c>
      <c r="BI187" s="531">
        <f t="shared" si="783"/>
        <v>0</v>
      </c>
      <c r="BJ187" s="531">
        <f t="shared" si="784"/>
        <v>0</v>
      </c>
      <c r="BK187" s="531">
        <f t="shared" si="785"/>
        <v>0</v>
      </c>
      <c r="BL187" s="531">
        <f t="shared" si="786"/>
        <v>0</v>
      </c>
      <c r="BM187" s="531">
        <f t="shared" si="787"/>
        <v>0</v>
      </c>
      <c r="BN187" s="531">
        <f t="shared" si="788"/>
        <v>1</v>
      </c>
      <c r="BO187" s="499">
        <f t="shared" si="789"/>
        <v>0</v>
      </c>
      <c r="BP187" s="500"/>
      <c r="BQ187" s="496">
        <f t="shared" si="790"/>
        <v>22.41</v>
      </c>
      <c r="BR187" s="496">
        <f t="shared" si="791"/>
        <v>12.409164000000338</v>
      </c>
      <c r="BS187" s="496">
        <f t="shared" si="792"/>
        <v>0</v>
      </c>
      <c r="BT187" s="501"/>
      <c r="BU187" s="501"/>
      <c r="BV187" s="502">
        <f t="shared" si="793"/>
        <v>15.963669120000175</v>
      </c>
      <c r="BW187" s="502">
        <f t="shared" si="794"/>
        <v>7.7825999999999986</v>
      </c>
      <c r="BX187" s="502">
        <f t="shared" si="795"/>
        <v>3.0325999999999995</v>
      </c>
      <c r="BY187" s="502">
        <f t="shared" si="796"/>
        <v>1.5512000000000228</v>
      </c>
      <c r="BZ187" s="502">
        <f t="shared" si="797"/>
        <v>0</v>
      </c>
      <c r="CA187" s="502">
        <f t="shared" si="798"/>
        <v>1.9512000000000227</v>
      </c>
      <c r="CB187" s="502">
        <f t="shared" si="799"/>
        <v>0</v>
      </c>
      <c r="CC187" s="502">
        <f t="shared" si="800"/>
        <v>0</v>
      </c>
      <c r="CD187" s="502">
        <f t="shared" si="801"/>
        <v>0</v>
      </c>
      <c r="CE187" s="502">
        <f t="shared" si="802"/>
        <v>11.673899999999998</v>
      </c>
      <c r="CF187" s="502">
        <f t="shared" si="803"/>
        <v>3.5115091200001758</v>
      </c>
      <c r="CG187" s="502">
        <f t="shared" si="804"/>
        <v>0.77826000000000128</v>
      </c>
      <c r="CH187" s="502">
        <f t="shared" si="805"/>
        <v>0</v>
      </c>
      <c r="CI187" s="531">
        <f t="shared" si="806"/>
        <v>0.53549999999999998</v>
      </c>
      <c r="CJ187" s="502">
        <f t="shared" si="807"/>
        <v>8.732700000000106</v>
      </c>
      <c r="CK187" s="502">
        <f t="shared" si="808"/>
        <v>8.732700000000106</v>
      </c>
      <c r="CL187" s="502">
        <f t="shared" si="809"/>
        <v>0</v>
      </c>
      <c r="CM187" s="502">
        <f t="shared" si="810"/>
        <v>0.15565199999999998</v>
      </c>
      <c r="CN187" s="502">
        <f t="shared" si="811"/>
        <v>3.57</v>
      </c>
      <c r="CO187" s="502">
        <f t="shared" si="812"/>
        <v>2.0512000000000228</v>
      </c>
      <c r="CP187" s="502">
        <f t="shared" si="813"/>
        <v>10.709999999999999</v>
      </c>
      <c r="CQ187" s="502">
        <f t="shared" si="814"/>
        <v>3.9355680000001625</v>
      </c>
      <c r="CR187" s="220">
        <f t="shared" si="815"/>
        <v>0</v>
      </c>
      <c r="CS187" s="503">
        <f t="shared" si="816"/>
        <v>0</v>
      </c>
      <c r="CT187" s="503">
        <f t="shared" si="817"/>
        <v>0.33012999999999998</v>
      </c>
      <c r="CU187" s="504">
        <f t="shared" si="818"/>
        <v>8.0662400000001195</v>
      </c>
      <c r="CV187" s="504">
        <f t="shared" si="819"/>
        <v>1.148617200000007</v>
      </c>
      <c r="CW187" s="502">
        <f t="shared" si="820"/>
        <v>15.961416000000176</v>
      </c>
      <c r="CX187" s="531">
        <f t="shared" si="821"/>
        <v>3.57</v>
      </c>
      <c r="CY187" s="537">
        <f t="shared" si="822"/>
        <v>1.7849999999999999</v>
      </c>
      <c r="CZ187" s="502">
        <f t="shared" si="823"/>
        <v>2.4513847475961154E-2</v>
      </c>
    </row>
    <row r="188" spans="1:104" ht="25" x14ac:dyDescent="0.25">
      <c r="A188" s="413" t="str">
        <f>'BOCA DE LOBO'!C182</f>
        <v>BL97-&gt;PV5-111</v>
      </c>
      <c r="B188" s="413" t="str">
        <f>'BOCA DE LOBO'!A182</f>
        <v>PV5-111</v>
      </c>
      <c r="C188" s="413" t="str">
        <f>VLOOKUP(A188,'BOCA DE LOBO'!$C$82:$Q$270,3,0)</f>
        <v>EXISTENTE</v>
      </c>
      <c r="D188" s="413" t="str">
        <f>VLOOKUP(A188,'BOCA DE LOBO'!$C$82:$Q$270,10,0)</f>
        <v>PROJETADA</v>
      </c>
      <c r="E188" s="413">
        <f t="shared" si="738"/>
        <v>2.4755999999999956</v>
      </c>
      <c r="F188" s="413">
        <f>VLOOKUP(A188,'BOCA DE LOBO'!$C$82:$Q$270,2,0)</f>
        <v>2.8799999999999955</v>
      </c>
      <c r="G188" s="413">
        <f>VLOOKUP(A188,'BOCA DE LOBO'!$C$82:$Q$270,4,0)</f>
        <v>10.11</v>
      </c>
      <c r="H188" s="412">
        <v>400</v>
      </c>
      <c r="I188" s="493">
        <f t="shared" si="739"/>
        <v>2.8077999999999954</v>
      </c>
      <c r="J188" s="493">
        <f t="shared" si="740"/>
        <v>1.4193428999999975</v>
      </c>
      <c r="K188" s="530">
        <v>0</v>
      </c>
      <c r="L188" s="531">
        <f t="shared" si="741"/>
        <v>1</v>
      </c>
      <c r="M188" s="531">
        <f t="shared" si="742"/>
        <v>1</v>
      </c>
      <c r="N188" s="531">
        <f t="shared" si="743"/>
        <v>0</v>
      </c>
      <c r="O188" s="531">
        <f t="shared" si="744"/>
        <v>10.11</v>
      </c>
      <c r="P188" s="532" t="s">
        <v>2392</v>
      </c>
      <c r="Q188" s="539" t="s">
        <v>2969</v>
      </c>
      <c r="R188" s="534">
        <v>1</v>
      </c>
      <c r="S188" s="532">
        <v>5</v>
      </c>
      <c r="T188" s="532">
        <v>5</v>
      </c>
      <c r="U188" s="531">
        <f t="shared" si="745"/>
        <v>0.05</v>
      </c>
      <c r="V188" s="535">
        <f t="shared" si="746"/>
        <v>0</v>
      </c>
      <c r="W188" s="535">
        <f t="shared" si="747"/>
        <v>32.430857999999951</v>
      </c>
      <c r="X188" s="536">
        <f t="shared" si="748"/>
        <v>0</v>
      </c>
      <c r="Y188" s="536">
        <f t="shared" si="749"/>
        <v>3.2077999999999953</v>
      </c>
      <c r="Z188" s="536">
        <f t="shared" si="750"/>
        <v>0</v>
      </c>
      <c r="AA188" s="536">
        <f t="shared" si="751"/>
        <v>2.8077999999999954</v>
      </c>
      <c r="AB188" s="496">
        <f t="shared" si="752"/>
        <v>10.11</v>
      </c>
      <c r="AC188" s="251">
        <f t="shared" si="753"/>
        <v>15.164999999999999</v>
      </c>
      <c r="AD188" s="251">
        <f t="shared" si="754"/>
        <v>15.164999999999999</v>
      </c>
      <c r="AE188" s="251">
        <f t="shared" si="755"/>
        <v>2.1008579999999526</v>
      </c>
      <c r="AF188" s="251">
        <f t="shared" si="756"/>
        <v>0</v>
      </c>
      <c r="AG188" s="251">
        <f t="shared" si="757"/>
        <v>0</v>
      </c>
      <c r="AH188" s="251">
        <f t="shared" si="758"/>
        <v>0</v>
      </c>
      <c r="AI188" s="497" t="str">
        <f t="shared" si="759"/>
        <v>NÃO</v>
      </c>
      <c r="AJ188" s="531">
        <f t="shared" si="760"/>
        <v>0</v>
      </c>
      <c r="AK188" s="531">
        <f t="shared" si="761"/>
        <v>0</v>
      </c>
      <c r="AL188" s="531">
        <f t="shared" si="762"/>
        <v>31.160397930888237</v>
      </c>
      <c r="AM188" s="493">
        <f t="shared" si="763"/>
        <v>0.50549999999999995</v>
      </c>
      <c r="AN188" s="535">
        <f t="shared" si="764"/>
        <v>0</v>
      </c>
      <c r="AO188" s="531">
        <f t="shared" si="765"/>
        <v>4.0439999999999996</v>
      </c>
      <c r="AP188" s="531">
        <f t="shared" si="766"/>
        <v>4.0439999999999996</v>
      </c>
      <c r="AQ188" s="531">
        <f t="shared" si="767"/>
        <v>0.7</v>
      </c>
      <c r="AR188" s="531">
        <f t="shared" si="768"/>
        <v>5.8065399308882863</v>
      </c>
      <c r="AS188" s="531">
        <f t="shared" si="769"/>
        <v>5.8065399308882863</v>
      </c>
      <c r="AT188" s="531">
        <f t="shared" si="770"/>
        <v>1.5165</v>
      </c>
      <c r="AU188" s="531">
        <f t="shared" si="771"/>
        <v>1.5165</v>
      </c>
      <c r="AV188" s="531">
        <f t="shared" si="772"/>
        <v>0.30329999999999996</v>
      </c>
      <c r="AW188" s="531">
        <f t="shared" si="773"/>
        <v>17.77135799999995</v>
      </c>
      <c r="AX188" s="531">
        <f t="shared" si="774"/>
        <v>-11.367039930888286</v>
      </c>
      <c r="AY188" s="531">
        <f t="shared" si="775"/>
        <v>-11.367039930888286</v>
      </c>
      <c r="AZ188" s="531">
        <f t="shared" si="776"/>
        <v>29.138397930888235</v>
      </c>
      <c r="BA188" s="531">
        <f t="shared" si="777"/>
        <v>5.8839314884504006</v>
      </c>
      <c r="BB188" s="531">
        <f t="shared" si="778"/>
        <v>23.254466442437835</v>
      </c>
      <c r="BC188" s="531"/>
      <c r="BD188" s="531">
        <f t="shared" si="779"/>
        <v>0.22241999999999998</v>
      </c>
      <c r="BE188" s="496">
        <f t="shared" si="780"/>
        <v>2.8077999999999954</v>
      </c>
      <c r="BF188" s="498">
        <f t="shared" si="781"/>
        <v>0</v>
      </c>
      <c r="BG188" s="498">
        <f t="shared" si="782"/>
        <v>10.11</v>
      </c>
      <c r="BH188" s="532" t="str">
        <f>VLOOKUP(A188,'BOCA DE LOBO'!C:I,7,0)</f>
        <v>BOCA DE LOBO PROJETADA DUPLA</v>
      </c>
      <c r="BI188" s="531">
        <f t="shared" si="783"/>
        <v>0</v>
      </c>
      <c r="BJ188" s="531">
        <f t="shared" si="784"/>
        <v>0</v>
      </c>
      <c r="BK188" s="531">
        <f t="shared" si="785"/>
        <v>0</v>
      </c>
      <c r="BL188" s="531">
        <f t="shared" si="786"/>
        <v>0</v>
      </c>
      <c r="BM188" s="531">
        <f t="shared" si="787"/>
        <v>0</v>
      </c>
      <c r="BN188" s="531">
        <f t="shared" si="788"/>
        <v>1</v>
      </c>
      <c r="BO188" s="499">
        <f t="shared" si="789"/>
        <v>0</v>
      </c>
      <c r="BP188" s="500"/>
      <c r="BQ188" s="496">
        <f t="shared" si="790"/>
        <v>30.33</v>
      </c>
      <c r="BR188" s="496">
        <f t="shared" si="791"/>
        <v>30.33</v>
      </c>
      <c r="BS188" s="496">
        <f t="shared" si="792"/>
        <v>6.2237159999999072</v>
      </c>
      <c r="BT188" s="501"/>
      <c r="BU188" s="501"/>
      <c r="BV188" s="502">
        <f t="shared" si="793"/>
        <v>23.157904559999963</v>
      </c>
      <c r="BW188" s="502">
        <f t="shared" si="794"/>
        <v>7.7825999999999986</v>
      </c>
      <c r="BX188" s="502">
        <f t="shared" si="795"/>
        <v>3.0325999999999995</v>
      </c>
      <c r="BY188" s="502">
        <f t="shared" si="796"/>
        <v>2.4755999999999956</v>
      </c>
      <c r="BZ188" s="502">
        <f t="shared" si="797"/>
        <v>0</v>
      </c>
      <c r="CA188" s="502">
        <f t="shared" si="798"/>
        <v>2.8755999999999955</v>
      </c>
      <c r="CB188" s="502">
        <f t="shared" si="799"/>
        <v>0</v>
      </c>
      <c r="CC188" s="502">
        <f t="shared" si="800"/>
        <v>0</v>
      </c>
      <c r="CD188" s="502">
        <f t="shared" si="801"/>
        <v>0</v>
      </c>
      <c r="CE188" s="502">
        <f t="shared" si="802"/>
        <v>11.673899999999998</v>
      </c>
      <c r="CF188" s="502">
        <f t="shared" si="803"/>
        <v>10.705744559999964</v>
      </c>
      <c r="CG188" s="502">
        <f t="shared" si="804"/>
        <v>0.77826000000000306</v>
      </c>
      <c r="CH188" s="502">
        <f t="shared" si="805"/>
        <v>0</v>
      </c>
      <c r="CI188" s="531">
        <f t="shared" si="806"/>
        <v>0.53549999999999998</v>
      </c>
      <c r="CJ188" s="502">
        <f t="shared" si="807"/>
        <v>13.123599999999975</v>
      </c>
      <c r="CK188" s="502">
        <f t="shared" si="808"/>
        <v>13.123599999999975</v>
      </c>
      <c r="CL188" s="502">
        <f t="shared" si="809"/>
        <v>0</v>
      </c>
      <c r="CM188" s="502">
        <f t="shared" si="810"/>
        <v>0.15565199999999998</v>
      </c>
      <c r="CN188" s="502">
        <f t="shared" si="811"/>
        <v>3.57</v>
      </c>
      <c r="CO188" s="502">
        <f t="shared" si="812"/>
        <v>2.9755999999999956</v>
      </c>
      <c r="CP188" s="502">
        <f t="shared" si="813"/>
        <v>10.709999999999999</v>
      </c>
      <c r="CQ188" s="502">
        <f t="shared" si="814"/>
        <v>10.535783999999968</v>
      </c>
      <c r="CR188" s="220">
        <f t="shared" si="815"/>
        <v>0</v>
      </c>
      <c r="CS188" s="503">
        <f t="shared" si="816"/>
        <v>0</v>
      </c>
      <c r="CT188" s="503">
        <f t="shared" si="817"/>
        <v>0.33012999999999998</v>
      </c>
      <c r="CU188" s="504">
        <f t="shared" si="818"/>
        <v>12.873119999999977</v>
      </c>
      <c r="CV188" s="504">
        <f t="shared" si="819"/>
        <v>1.4314835999999986</v>
      </c>
      <c r="CW188" s="502">
        <f t="shared" si="820"/>
        <v>23.060807999999966</v>
      </c>
      <c r="CX188" s="531">
        <f t="shared" si="821"/>
        <v>3.57</v>
      </c>
      <c r="CY188" s="537">
        <f t="shared" si="822"/>
        <v>1.7849999999999999</v>
      </c>
      <c r="CZ188" s="502">
        <f t="shared" si="823"/>
        <v>2.4513847475961154E-2</v>
      </c>
    </row>
    <row r="189" spans="1:104" ht="25" x14ac:dyDescent="0.25">
      <c r="A189" s="413" t="str">
        <f>'BOCA DE LOBO'!C183</f>
        <v>BL98-&gt;PV5-111</v>
      </c>
      <c r="B189" s="413" t="str">
        <f>'BOCA DE LOBO'!A183</f>
        <v>PV5-111</v>
      </c>
      <c r="C189" s="413" t="str">
        <f>VLOOKUP(A189,'BOCA DE LOBO'!$C$82:$Q$270,3,0)</f>
        <v>EXISTENTE</v>
      </c>
      <c r="D189" s="413" t="str">
        <f>VLOOKUP(A189,'BOCA DE LOBO'!$C$82:$Q$270,10,0)</f>
        <v>PROJETADA</v>
      </c>
      <c r="E189" s="413">
        <f t="shared" si="738"/>
        <v>2.5</v>
      </c>
      <c r="F189" s="413">
        <f>VLOOKUP(A189,'BOCA DE LOBO'!$C$82:$Q$270,2,0)</f>
        <v>2.8799999999999955</v>
      </c>
      <c r="G189" s="413">
        <f>VLOOKUP(A189,'BOCA DE LOBO'!$C$82:$Q$270,4,0)</f>
        <v>7.78</v>
      </c>
      <c r="H189" s="412">
        <v>400</v>
      </c>
      <c r="I189" s="493">
        <f t="shared" si="739"/>
        <v>2.8199999999999976</v>
      </c>
      <c r="J189" s="493">
        <f t="shared" si="740"/>
        <v>1.096979999999999</v>
      </c>
      <c r="K189" s="530">
        <v>0</v>
      </c>
      <c r="L189" s="531">
        <f t="shared" si="741"/>
        <v>1</v>
      </c>
      <c r="M189" s="531">
        <f t="shared" si="742"/>
        <v>1</v>
      </c>
      <c r="N189" s="531">
        <f t="shared" si="743"/>
        <v>0</v>
      </c>
      <c r="O189" s="531">
        <f t="shared" si="744"/>
        <v>7.78</v>
      </c>
      <c r="P189" s="532" t="s">
        <v>2392</v>
      </c>
      <c r="Q189" s="539" t="s">
        <v>2969</v>
      </c>
      <c r="R189" s="534">
        <v>1</v>
      </c>
      <c r="S189" s="532">
        <v>5</v>
      </c>
      <c r="T189" s="532">
        <v>5</v>
      </c>
      <c r="U189" s="531">
        <f t="shared" si="745"/>
        <v>0.05</v>
      </c>
      <c r="V189" s="535">
        <f t="shared" si="746"/>
        <v>0</v>
      </c>
      <c r="W189" s="535">
        <f t="shared" si="747"/>
        <v>25.051599999999979</v>
      </c>
      <c r="X189" s="536">
        <f t="shared" si="748"/>
        <v>0</v>
      </c>
      <c r="Y189" s="536">
        <f t="shared" si="749"/>
        <v>3.2199999999999975</v>
      </c>
      <c r="Z189" s="536">
        <f t="shared" si="750"/>
        <v>0</v>
      </c>
      <c r="AA189" s="536">
        <f t="shared" si="751"/>
        <v>2.8199999999999976</v>
      </c>
      <c r="AB189" s="496">
        <f t="shared" si="752"/>
        <v>7.78</v>
      </c>
      <c r="AC189" s="251">
        <f t="shared" si="753"/>
        <v>11.67</v>
      </c>
      <c r="AD189" s="251">
        <f t="shared" si="754"/>
        <v>11.67</v>
      </c>
      <c r="AE189" s="251">
        <f t="shared" si="755"/>
        <v>1.7115999999999809</v>
      </c>
      <c r="AF189" s="251">
        <f t="shared" si="756"/>
        <v>0</v>
      </c>
      <c r="AG189" s="251">
        <f t="shared" si="757"/>
        <v>0</v>
      </c>
      <c r="AH189" s="251">
        <f t="shared" si="758"/>
        <v>0</v>
      </c>
      <c r="AI189" s="497" t="str">
        <f t="shared" si="759"/>
        <v>NÃO</v>
      </c>
      <c r="AJ189" s="531">
        <f t="shared" si="760"/>
        <v>0</v>
      </c>
      <c r="AK189" s="531">
        <f t="shared" si="761"/>
        <v>0</v>
      </c>
      <c r="AL189" s="531">
        <f t="shared" si="762"/>
        <v>24.073936366202837</v>
      </c>
      <c r="AM189" s="493">
        <f t="shared" si="763"/>
        <v>0.38900000000000001</v>
      </c>
      <c r="AN189" s="535">
        <f t="shared" si="764"/>
        <v>0</v>
      </c>
      <c r="AO189" s="531">
        <f t="shared" si="765"/>
        <v>3.1120000000000001</v>
      </c>
      <c r="AP189" s="531">
        <f t="shared" si="766"/>
        <v>3.1120000000000001</v>
      </c>
      <c r="AQ189" s="531">
        <f t="shared" si="767"/>
        <v>0.7</v>
      </c>
      <c r="AR189" s="531">
        <f t="shared" si="768"/>
        <v>4.4683363662028563</v>
      </c>
      <c r="AS189" s="531">
        <f t="shared" si="769"/>
        <v>4.4683363662028563</v>
      </c>
      <c r="AT189" s="531">
        <f t="shared" si="770"/>
        <v>1.167</v>
      </c>
      <c r="AU189" s="531">
        <f t="shared" si="771"/>
        <v>1.167</v>
      </c>
      <c r="AV189" s="531">
        <f t="shared" si="772"/>
        <v>0.2334</v>
      </c>
      <c r="AW189" s="531">
        <f t="shared" si="773"/>
        <v>13.770599999999977</v>
      </c>
      <c r="AX189" s="531">
        <f t="shared" si="774"/>
        <v>-8.7473363662028554</v>
      </c>
      <c r="AY189" s="531">
        <f t="shared" si="775"/>
        <v>-8.7473363662028554</v>
      </c>
      <c r="AZ189" s="531">
        <f t="shared" si="776"/>
        <v>22.517936366202832</v>
      </c>
      <c r="BA189" s="531">
        <f t="shared" si="777"/>
        <v>4.5470583233257527</v>
      </c>
      <c r="BB189" s="531">
        <f t="shared" si="778"/>
        <v>17.970878042877079</v>
      </c>
      <c r="BC189" s="531"/>
      <c r="BD189" s="531">
        <f t="shared" si="779"/>
        <v>0.17116000000000001</v>
      </c>
      <c r="BE189" s="496">
        <f t="shared" si="780"/>
        <v>2.8199999999999976</v>
      </c>
      <c r="BF189" s="498">
        <f t="shared" si="781"/>
        <v>0</v>
      </c>
      <c r="BG189" s="498">
        <f t="shared" si="782"/>
        <v>7.78</v>
      </c>
      <c r="BH189" s="532" t="str">
        <f>VLOOKUP(A189,'BOCA DE LOBO'!C:I,7,0)</f>
        <v>BOCA DE LOBO PROJETADA DUPLA</v>
      </c>
      <c r="BI189" s="531">
        <f t="shared" si="783"/>
        <v>0</v>
      </c>
      <c r="BJ189" s="531">
        <f t="shared" si="784"/>
        <v>0</v>
      </c>
      <c r="BK189" s="531">
        <f t="shared" si="785"/>
        <v>0</v>
      </c>
      <c r="BL189" s="531">
        <f t="shared" si="786"/>
        <v>0</v>
      </c>
      <c r="BM189" s="531">
        <f t="shared" si="787"/>
        <v>0</v>
      </c>
      <c r="BN189" s="531">
        <f t="shared" si="788"/>
        <v>1</v>
      </c>
      <c r="BO189" s="499">
        <f t="shared" si="789"/>
        <v>0</v>
      </c>
      <c r="BP189" s="500"/>
      <c r="BQ189" s="496">
        <f t="shared" si="790"/>
        <v>23.34</v>
      </c>
      <c r="BR189" s="496">
        <f t="shared" si="791"/>
        <v>23.34</v>
      </c>
      <c r="BS189" s="496">
        <f t="shared" si="792"/>
        <v>4.9791999999999632</v>
      </c>
      <c r="BT189" s="501"/>
      <c r="BU189" s="501"/>
      <c r="BV189" s="502">
        <f t="shared" si="793"/>
        <v>23.347799999999996</v>
      </c>
      <c r="BW189" s="502">
        <f t="shared" si="794"/>
        <v>7.7825999999999986</v>
      </c>
      <c r="BX189" s="502">
        <f t="shared" si="795"/>
        <v>3.0325999999999995</v>
      </c>
      <c r="BY189" s="502">
        <f t="shared" si="796"/>
        <v>2.5</v>
      </c>
      <c r="BZ189" s="502">
        <f t="shared" si="797"/>
        <v>0</v>
      </c>
      <c r="CA189" s="502">
        <f t="shared" si="798"/>
        <v>2.9</v>
      </c>
      <c r="CB189" s="502">
        <f t="shared" si="799"/>
        <v>0</v>
      </c>
      <c r="CC189" s="502">
        <f t="shared" si="800"/>
        <v>0</v>
      </c>
      <c r="CD189" s="502">
        <f t="shared" si="801"/>
        <v>0</v>
      </c>
      <c r="CE189" s="502">
        <f t="shared" si="802"/>
        <v>11.673899999999998</v>
      </c>
      <c r="CF189" s="502">
        <f t="shared" si="803"/>
        <v>10.895639999999997</v>
      </c>
      <c r="CG189" s="502">
        <f t="shared" si="804"/>
        <v>0.77825999999999951</v>
      </c>
      <c r="CH189" s="502">
        <f t="shared" si="805"/>
        <v>0</v>
      </c>
      <c r="CI189" s="531">
        <f t="shared" si="806"/>
        <v>0.53549999999999998</v>
      </c>
      <c r="CJ189" s="502">
        <f t="shared" si="807"/>
        <v>13.239499999999996</v>
      </c>
      <c r="CK189" s="502">
        <f t="shared" si="808"/>
        <v>13.239499999999996</v>
      </c>
      <c r="CL189" s="502">
        <f t="shared" si="809"/>
        <v>0</v>
      </c>
      <c r="CM189" s="502">
        <f t="shared" si="810"/>
        <v>0.15565199999999998</v>
      </c>
      <c r="CN189" s="502">
        <f t="shared" si="811"/>
        <v>3.57</v>
      </c>
      <c r="CO189" s="502">
        <f t="shared" si="812"/>
        <v>3</v>
      </c>
      <c r="CP189" s="502">
        <f t="shared" si="813"/>
        <v>10.709999999999999</v>
      </c>
      <c r="CQ189" s="502">
        <f t="shared" si="814"/>
        <v>10.709999999999999</v>
      </c>
      <c r="CR189" s="220">
        <f t="shared" si="815"/>
        <v>0</v>
      </c>
      <c r="CS189" s="503">
        <f t="shared" si="816"/>
        <v>0</v>
      </c>
      <c r="CT189" s="503">
        <f t="shared" si="817"/>
        <v>0.33012999999999998</v>
      </c>
      <c r="CU189" s="504">
        <f t="shared" si="818"/>
        <v>13</v>
      </c>
      <c r="CV189" s="504">
        <f t="shared" si="819"/>
        <v>1.43895</v>
      </c>
      <c r="CW189" s="502">
        <f t="shared" si="820"/>
        <v>23.248199999999997</v>
      </c>
      <c r="CX189" s="531">
        <f t="shared" si="821"/>
        <v>3.57</v>
      </c>
      <c r="CY189" s="537">
        <f t="shared" si="822"/>
        <v>1.7849999999999999</v>
      </c>
      <c r="CZ189" s="502">
        <f t="shared" si="823"/>
        <v>2.4513847475961154E-2</v>
      </c>
    </row>
    <row r="190" spans="1:104" ht="25" x14ac:dyDescent="0.25">
      <c r="A190" s="413" t="str">
        <f>'BOCA DE LOBO'!C184</f>
        <v>BL99-&gt;PV6-111</v>
      </c>
      <c r="B190" s="413" t="str">
        <f>'BOCA DE LOBO'!A184</f>
        <v>PV6-111</v>
      </c>
      <c r="C190" s="413" t="str">
        <f>VLOOKUP(A190,'BOCA DE LOBO'!$C$82:$Q$270,3,0)</f>
        <v>EXISTENTE</v>
      </c>
      <c r="D190" s="413" t="str">
        <f>VLOOKUP(A190,'BOCA DE LOBO'!$C$82:$Q$270,10,0)</f>
        <v>PROJETADA</v>
      </c>
      <c r="E190" s="413">
        <f t="shared" si="738"/>
        <v>2.5</v>
      </c>
      <c r="F190" s="413">
        <f>VLOOKUP(A190,'BOCA DE LOBO'!$C$82:$Q$270,2,0)</f>
        <v>4.5600000000000591</v>
      </c>
      <c r="G190" s="413">
        <f>VLOOKUP(A190,'BOCA DE LOBO'!$C$82:$Q$270,4,0)</f>
        <v>9.07</v>
      </c>
      <c r="H190" s="412">
        <v>400</v>
      </c>
      <c r="I190" s="493">
        <f t="shared" si="739"/>
        <v>3.6600000000000295</v>
      </c>
      <c r="J190" s="493">
        <f t="shared" si="740"/>
        <v>1.6598100000000133</v>
      </c>
      <c r="K190" s="530">
        <v>0</v>
      </c>
      <c r="L190" s="531">
        <f t="shared" si="741"/>
        <v>1</v>
      </c>
      <c r="M190" s="531">
        <f t="shared" si="742"/>
        <v>1</v>
      </c>
      <c r="N190" s="531">
        <f t="shared" si="743"/>
        <v>0</v>
      </c>
      <c r="O190" s="531">
        <f t="shared" si="744"/>
        <v>9.07</v>
      </c>
      <c r="P190" s="532" t="s">
        <v>2392</v>
      </c>
      <c r="Q190" s="539" t="s">
        <v>2969</v>
      </c>
      <c r="R190" s="534"/>
      <c r="S190" s="532">
        <v>5</v>
      </c>
      <c r="T190" s="532">
        <v>5</v>
      </c>
      <c r="U190" s="531">
        <f t="shared" si="745"/>
        <v>0.05</v>
      </c>
      <c r="V190" s="535">
        <f t="shared" si="746"/>
        <v>0</v>
      </c>
      <c r="W190" s="535">
        <f t="shared" si="747"/>
        <v>33.196200000000267</v>
      </c>
      <c r="X190" s="536">
        <f t="shared" si="748"/>
        <v>0</v>
      </c>
      <c r="Y190" s="536">
        <f t="shared" si="749"/>
        <v>0</v>
      </c>
      <c r="Z190" s="536">
        <f t="shared" si="750"/>
        <v>3.6600000000000295</v>
      </c>
      <c r="AA190" s="536">
        <f t="shared" si="751"/>
        <v>0</v>
      </c>
      <c r="AB190" s="496">
        <f t="shared" si="752"/>
        <v>9.07</v>
      </c>
      <c r="AC190" s="251">
        <f t="shared" si="753"/>
        <v>0</v>
      </c>
      <c r="AD190" s="251">
        <f t="shared" si="754"/>
        <v>0</v>
      </c>
      <c r="AE190" s="251">
        <f t="shared" si="755"/>
        <v>0</v>
      </c>
      <c r="AF190" s="251">
        <f t="shared" si="756"/>
        <v>13.605</v>
      </c>
      <c r="AG190" s="251">
        <f t="shared" si="757"/>
        <v>13.605</v>
      </c>
      <c r="AH190" s="251">
        <f t="shared" si="758"/>
        <v>5.9862000000002675</v>
      </c>
      <c r="AI190" s="497" t="str">
        <f t="shared" si="759"/>
        <v>NÃO</v>
      </c>
      <c r="AJ190" s="531">
        <f t="shared" si="760"/>
        <v>0</v>
      </c>
      <c r="AK190" s="531">
        <f t="shared" si="761"/>
        <v>0</v>
      </c>
      <c r="AL190" s="531">
        <f t="shared" si="762"/>
        <v>32.05643018527789</v>
      </c>
      <c r="AM190" s="493">
        <f t="shared" si="763"/>
        <v>0.45350000000000001</v>
      </c>
      <c r="AN190" s="535">
        <f t="shared" si="764"/>
        <v>0</v>
      </c>
      <c r="AO190" s="531">
        <f t="shared" si="765"/>
        <v>0</v>
      </c>
      <c r="AP190" s="531">
        <f t="shared" si="766"/>
        <v>0</v>
      </c>
      <c r="AQ190" s="531">
        <f t="shared" si="767"/>
        <v>0.7</v>
      </c>
      <c r="AR190" s="531">
        <f t="shared" si="768"/>
        <v>5.2092301852776233</v>
      </c>
      <c r="AS190" s="531">
        <f t="shared" si="769"/>
        <v>0</v>
      </c>
      <c r="AT190" s="531">
        <f t="shared" si="770"/>
        <v>1.3605</v>
      </c>
      <c r="AU190" s="531">
        <f t="shared" si="771"/>
        <v>1.3605</v>
      </c>
      <c r="AV190" s="531">
        <f t="shared" si="772"/>
        <v>0.27210000000000001</v>
      </c>
      <c r="AW190" s="531">
        <f t="shared" si="773"/>
        <v>23.672700000000265</v>
      </c>
      <c r="AX190" s="531">
        <f t="shared" si="774"/>
        <v>26.626469814722643</v>
      </c>
      <c r="AY190" s="531">
        <f t="shared" si="775"/>
        <v>23.672700000000265</v>
      </c>
      <c r="AZ190" s="531">
        <f t="shared" si="776"/>
        <v>0</v>
      </c>
      <c r="BA190" s="531">
        <f t="shared" si="777"/>
        <v>0</v>
      </c>
      <c r="BB190" s="531">
        <f t="shared" si="778"/>
        <v>0</v>
      </c>
      <c r="BC190" s="531"/>
      <c r="BD190" s="531">
        <f t="shared" si="779"/>
        <v>5.4420000000000003E-2</v>
      </c>
      <c r="BE190" s="496">
        <f t="shared" si="780"/>
        <v>3.6600000000000295</v>
      </c>
      <c r="BF190" s="498">
        <f t="shared" si="781"/>
        <v>0</v>
      </c>
      <c r="BG190" s="498">
        <f t="shared" si="782"/>
        <v>0</v>
      </c>
      <c r="BH190" s="532" t="str">
        <f>VLOOKUP(A190,'BOCA DE LOBO'!C:I,7,0)</f>
        <v>BOCA DE LOBO PROJETADA DUPLA</v>
      </c>
      <c r="BI190" s="531">
        <f t="shared" si="783"/>
        <v>0</v>
      </c>
      <c r="BJ190" s="531">
        <f t="shared" si="784"/>
        <v>0</v>
      </c>
      <c r="BK190" s="531">
        <f t="shared" si="785"/>
        <v>0</v>
      </c>
      <c r="BL190" s="531">
        <f t="shared" si="786"/>
        <v>0</v>
      </c>
      <c r="BM190" s="531">
        <f t="shared" si="787"/>
        <v>0</v>
      </c>
      <c r="BN190" s="531">
        <f t="shared" si="788"/>
        <v>1</v>
      </c>
      <c r="BO190" s="499">
        <f t="shared" si="789"/>
        <v>0</v>
      </c>
      <c r="BP190" s="500"/>
      <c r="BQ190" s="496">
        <f t="shared" si="790"/>
        <v>27.21</v>
      </c>
      <c r="BR190" s="496">
        <f t="shared" si="791"/>
        <v>27.21</v>
      </c>
      <c r="BS190" s="496">
        <f t="shared" si="792"/>
        <v>11.972400000000535</v>
      </c>
      <c r="BT190" s="501"/>
      <c r="BU190" s="501"/>
      <c r="BV190" s="502">
        <f t="shared" si="793"/>
        <v>19.456499999999998</v>
      </c>
      <c r="BW190" s="502">
        <f t="shared" si="794"/>
        <v>7.7825999999999986</v>
      </c>
      <c r="BX190" s="502">
        <f t="shared" si="795"/>
        <v>3.0325999999999995</v>
      </c>
      <c r="BY190" s="502">
        <f t="shared" si="796"/>
        <v>2.5</v>
      </c>
      <c r="BZ190" s="502">
        <f t="shared" si="797"/>
        <v>2.5</v>
      </c>
      <c r="CA190" s="502">
        <f t="shared" si="798"/>
        <v>0</v>
      </c>
      <c r="CB190" s="502">
        <f t="shared" si="799"/>
        <v>0</v>
      </c>
      <c r="CC190" s="502">
        <f t="shared" si="800"/>
        <v>11.673899999999998</v>
      </c>
      <c r="CD190" s="502">
        <f t="shared" si="801"/>
        <v>7.7825999999999986</v>
      </c>
      <c r="CE190" s="502">
        <f t="shared" si="802"/>
        <v>0</v>
      </c>
      <c r="CF190" s="502">
        <f t="shared" si="803"/>
        <v>0</v>
      </c>
      <c r="CG190" s="502">
        <f t="shared" si="804"/>
        <v>0</v>
      </c>
      <c r="CH190" s="502">
        <f t="shared" si="805"/>
        <v>0</v>
      </c>
      <c r="CI190" s="531">
        <f t="shared" si="806"/>
        <v>0.53549999999999998</v>
      </c>
      <c r="CJ190" s="502">
        <f t="shared" si="807"/>
        <v>11.339499999999997</v>
      </c>
      <c r="CK190" s="502">
        <f t="shared" si="808"/>
        <v>11.339499999999997</v>
      </c>
      <c r="CL190" s="502">
        <f t="shared" si="809"/>
        <v>0</v>
      </c>
      <c r="CM190" s="502">
        <f t="shared" si="810"/>
        <v>0</v>
      </c>
      <c r="CN190" s="502">
        <f t="shared" si="811"/>
        <v>3.57</v>
      </c>
      <c r="CO190" s="502">
        <f t="shared" si="812"/>
        <v>2.5</v>
      </c>
      <c r="CP190" s="502">
        <f t="shared" si="813"/>
        <v>10.709999999999999</v>
      </c>
      <c r="CQ190" s="502">
        <f t="shared" si="814"/>
        <v>7.14</v>
      </c>
      <c r="CR190" s="220">
        <f t="shared" si="815"/>
        <v>0</v>
      </c>
      <c r="CS190" s="503">
        <f t="shared" si="816"/>
        <v>0</v>
      </c>
      <c r="CT190" s="503">
        <f t="shared" si="817"/>
        <v>0.33012999999999998</v>
      </c>
      <c r="CU190" s="504">
        <f t="shared" si="818"/>
        <v>13</v>
      </c>
      <c r="CV190" s="504">
        <f t="shared" si="819"/>
        <v>1.43895</v>
      </c>
      <c r="CW190" s="502">
        <f t="shared" si="820"/>
        <v>23.248199999999997</v>
      </c>
      <c r="CX190" s="531">
        <f t="shared" si="821"/>
        <v>3.57</v>
      </c>
      <c r="CY190" s="537">
        <f t="shared" si="822"/>
        <v>1.7849999999999999</v>
      </c>
      <c r="CZ190" s="502">
        <f t="shared" si="823"/>
        <v>2.4513847475961154E-2</v>
      </c>
    </row>
    <row r="191" spans="1:104" ht="25" x14ac:dyDescent="0.25">
      <c r="A191" s="413" t="str">
        <f>'BOCA DE LOBO'!C185</f>
        <v>BL100-&gt;PV6-111</v>
      </c>
      <c r="B191" s="413" t="str">
        <f>'BOCA DE LOBO'!A185</f>
        <v>PV6-111</v>
      </c>
      <c r="C191" s="413" t="str">
        <f>VLOOKUP(A191,'BOCA DE LOBO'!$C$82:$Q$270,3,0)</f>
        <v>EXISTENTE</v>
      </c>
      <c r="D191" s="413" t="str">
        <f>VLOOKUP(A191,'BOCA DE LOBO'!$C$82:$Q$270,10,0)</f>
        <v>PROJETADA</v>
      </c>
      <c r="E191" s="413">
        <f t="shared" si="738"/>
        <v>2.5</v>
      </c>
      <c r="F191" s="413">
        <f>VLOOKUP(A191,'BOCA DE LOBO'!$C$82:$Q$270,2,0)</f>
        <v>4.5600000000000591</v>
      </c>
      <c r="G191" s="413">
        <f>VLOOKUP(A191,'BOCA DE LOBO'!$C$82:$Q$270,4,0)</f>
        <v>7.42</v>
      </c>
      <c r="H191" s="412">
        <v>400</v>
      </c>
      <c r="I191" s="493">
        <f t="shared" si="739"/>
        <v>3.6600000000000295</v>
      </c>
      <c r="J191" s="493">
        <f t="shared" si="740"/>
        <v>1.3578600000000109</v>
      </c>
      <c r="K191" s="530">
        <v>0</v>
      </c>
      <c r="L191" s="531">
        <f t="shared" si="741"/>
        <v>1</v>
      </c>
      <c r="M191" s="531">
        <f t="shared" si="742"/>
        <v>1</v>
      </c>
      <c r="N191" s="531">
        <f t="shared" si="743"/>
        <v>0</v>
      </c>
      <c r="O191" s="531">
        <f t="shared" si="744"/>
        <v>7.42</v>
      </c>
      <c r="P191" s="532" t="s">
        <v>2392</v>
      </c>
      <c r="Q191" s="539" t="s">
        <v>2969</v>
      </c>
      <c r="R191" s="534"/>
      <c r="S191" s="532">
        <v>5</v>
      </c>
      <c r="T191" s="532">
        <v>5</v>
      </c>
      <c r="U191" s="531">
        <f t="shared" si="745"/>
        <v>0.05</v>
      </c>
      <c r="V191" s="535">
        <f t="shared" si="746"/>
        <v>0</v>
      </c>
      <c r="W191" s="535">
        <f t="shared" si="747"/>
        <v>27.15720000000022</v>
      </c>
      <c r="X191" s="536">
        <f t="shared" si="748"/>
        <v>0</v>
      </c>
      <c r="Y191" s="536">
        <f t="shared" si="749"/>
        <v>0</v>
      </c>
      <c r="Z191" s="536">
        <f t="shared" si="750"/>
        <v>3.6600000000000295</v>
      </c>
      <c r="AA191" s="536">
        <f t="shared" si="751"/>
        <v>0</v>
      </c>
      <c r="AB191" s="496">
        <f t="shared" si="752"/>
        <v>7.42</v>
      </c>
      <c r="AC191" s="251">
        <f t="shared" si="753"/>
        <v>0</v>
      </c>
      <c r="AD191" s="251">
        <f t="shared" si="754"/>
        <v>0</v>
      </c>
      <c r="AE191" s="251">
        <f t="shared" si="755"/>
        <v>0</v>
      </c>
      <c r="AF191" s="251">
        <f t="shared" si="756"/>
        <v>11.129999999999999</v>
      </c>
      <c r="AG191" s="251">
        <f t="shared" si="757"/>
        <v>11.129999999999999</v>
      </c>
      <c r="AH191" s="251">
        <f t="shared" si="758"/>
        <v>4.8972000000002183</v>
      </c>
      <c r="AI191" s="497" t="str">
        <f t="shared" si="759"/>
        <v>NÃO</v>
      </c>
      <c r="AJ191" s="531">
        <f t="shared" si="760"/>
        <v>0</v>
      </c>
      <c r="AK191" s="531">
        <f t="shared" si="761"/>
        <v>0</v>
      </c>
      <c r="AL191" s="531">
        <f t="shared" si="762"/>
        <v>26.22477530041477</v>
      </c>
      <c r="AM191" s="493">
        <f t="shared" si="763"/>
        <v>0.371</v>
      </c>
      <c r="AN191" s="535">
        <f t="shared" si="764"/>
        <v>0</v>
      </c>
      <c r="AO191" s="531">
        <f t="shared" si="765"/>
        <v>0</v>
      </c>
      <c r="AP191" s="531">
        <f t="shared" si="766"/>
        <v>0</v>
      </c>
      <c r="AQ191" s="531">
        <f t="shared" si="767"/>
        <v>0.7</v>
      </c>
      <c r="AR191" s="531">
        <f t="shared" si="768"/>
        <v>4.2615753004145489</v>
      </c>
      <c r="AS191" s="531">
        <f t="shared" si="769"/>
        <v>0</v>
      </c>
      <c r="AT191" s="531">
        <f t="shared" si="770"/>
        <v>1.113</v>
      </c>
      <c r="AU191" s="531">
        <f t="shared" si="771"/>
        <v>1.113</v>
      </c>
      <c r="AV191" s="531">
        <f t="shared" si="772"/>
        <v>0.22259999999999999</v>
      </c>
      <c r="AW191" s="531">
        <f t="shared" si="773"/>
        <v>19.366200000000223</v>
      </c>
      <c r="AX191" s="531">
        <f t="shared" si="774"/>
        <v>21.782624699585668</v>
      </c>
      <c r="AY191" s="531">
        <f t="shared" si="775"/>
        <v>19.366200000000223</v>
      </c>
      <c r="AZ191" s="531">
        <f t="shared" si="776"/>
        <v>0</v>
      </c>
      <c r="BA191" s="531">
        <f t="shared" si="777"/>
        <v>0</v>
      </c>
      <c r="BB191" s="531">
        <f t="shared" si="778"/>
        <v>0</v>
      </c>
      <c r="BC191" s="531"/>
      <c r="BD191" s="531">
        <f t="shared" si="779"/>
        <v>4.4519999999999997E-2</v>
      </c>
      <c r="BE191" s="496">
        <f t="shared" si="780"/>
        <v>3.6600000000000295</v>
      </c>
      <c r="BF191" s="498">
        <f t="shared" si="781"/>
        <v>0</v>
      </c>
      <c r="BG191" s="498">
        <f t="shared" si="782"/>
        <v>0</v>
      </c>
      <c r="BH191" s="532" t="str">
        <f>VLOOKUP(A191,'BOCA DE LOBO'!C:I,7,0)</f>
        <v>BOCA DE LOBO PROJETADA DUPLA</v>
      </c>
      <c r="BI191" s="531">
        <f t="shared" si="783"/>
        <v>0</v>
      </c>
      <c r="BJ191" s="531">
        <f t="shared" si="784"/>
        <v>0</v>
      </c>
      <c r="BK191" s="531">
        <f t="shared" si="785"/>
        <v>0</v>
      </c>
      <c r="BL191" s="531">
        <f t="shared" si="786"/>
        <v>0</v>
      </c>
      <c r="BM191" s="531">
        <f t="shared" si="787"/>
        <v>0</v>
      </c>
      <c r="BN191" s="531">
        <f t="shared" si="788"/>
        <v>1</v>
      </c>
      <c r="BO191" s="499">
        <f t="shared" si="789"/>
        <v>0</v>
      </c>
      <c r="BP191" s="500"/>
      <c r="BQ191" s="496">
        <f t="shared" si="790"/>
        <v>22.259999999999998</v>
      </c>
      <c r="BR191" s="496">
        <f t="shared" si="791"/>
        <v>22.259999999999998</v>
      </c>
      <c r="BS191" s="496">
        <f t="shared" si="792"/>
        <v>9.7944000000004365</v>
      </c>
      <c r="BT191" s="501"/>
      <c r="BU191" s="501"/>
      <c r="BV191" s="502">
        <f t="shared" si="793"/>
        <v>19.456499999999998</v>
      </c>
      <c r="BW191" s="502">
        <f t="shared" si="794"/>
        <v>7.7825999999999986</v>
      </c>
      <c r="BX191" s="502">
        <f t="shared" si="795"/>
        <v>3.0325999999999995</v>
      </c>
      <c r="BY191" s="502">
        <f t="shared" si="796"/>
        <v>2.5</v>
      </c>
      <c r="BZ191" s="502">
        <f t="shared" si="797"/>
        <v>2.5</v>
      </c>
      <c r="CA191" s="502">
        <f t="shared" si="798"/>
        <v>0</v>
      </c>
      <c r="CB191" s="502">
        <f t="shared" si="799"/>
        <v>0</v>
      </c>
      <c r="CC191" s="502">
        <f t="shared" si="800"/>
        <v>11.673899999999998</v>
      </c>
      <c r="CD191" s="502">
        <f t="shared" si="801"/>
        <v>7.7825999999999986</v>
      </c>
      <c r="CE191" s="502">
        <f t="shared" si="802"/>
        <v>0</v>
      </c>
      <c r="CF191" s="502">
        <f t="shared" si="803"/>
        <v>0</v>
      </c>
      <c r="CG191" s="502">
        <f t="shared" si="804"/>
        <v>0</v>
      </c>
      <c r="CH191" s="502">
        <f t="shared" si="805"/>
        <v>0</v>
      </c>
      <c r="CI191" s="531">
        <f t="shared" si="806"/>
        <v>0.53549999999999998</v>
      </c>
      <c r="CJ191" s="502">
        <f t="shared" si="807"/>
        <v>11.339499999999997</v>
      </c>
      <c r="CK191" s="502">
        <f t="shared" si="808"/>
        <v>11.339499999999997</v>
      </c>
      <c r="CL191" s="502">
        <f t="shared" si="809"/>
        <v>0</v>
      </c>
      <c r="CM191" s="502">
        <f t="shared" si="810"/>
        <v>0</v>
      </c>
      <c r="CN191" s="502">
        <f t="shared" si="811"/>
        <v>3.57</v>
      </c>
      <c r="CO191" s="502">
        <f t="shared" si="812"/>
        <v>2.5</v>
      </c>
      <c r="CP191" s="502">
        <f t="shared" si="813"/>
        <v>10.709999999999999</v>
      </c>
      <c r="CQ191" s="502">
        <f t="shared" si="814"/>
        <v>7.14</v>
      </c>
      <c r="CR191" s="220">
        <f t="shared" si="815"/>
        <v>0</v>
      </c>
      <c r="CS191" s="503">
        <f t="shared" si="816"/>
        <v>0</v>
      </c>
      <c r="CT191" s="503">
        <f t="shared" si="817"/>
        <v>0.33012999999999998</v>
      </c>
      <c r="CU191" s="504">
        <f t="shared" si="818"/>
        <v>13</v>
      </c>
      <c r="CV191" s="504">
        <f t="shared" si="819"/>
        <v>1.43895</v>
      </c>
      <c r="CW191" s="502">
        <f t="shared" si="820"/>
        <v>23.248199999999997</v>
      </c>
      <c r="CX191" s="531">
        <f t="shared" si="821"/>
        <v>3.57</v>
      </c>
      <c r="CY191" s="537">
        <f t="shared" si="822"/>
        <v>1.7849999999999999</v>
      </c>
      <c r="CZ191" s="502">
        <f t="shared" si="823"/>
        <v>2.4513847475961154E-2</v>
      </c>
    </row>
    <row r="192" spans="1:104" ht="25" x14ac:dyDescent="0.25">
      <c r="A192" s="413" t="str">
        <f>'BOCA DE LOBO'!C186</f>
        <v>BL101-&gt;PV7-111</v>
      </c>
      <c r="B192" s="413" t="str">
        <f>'BOCA DE LOBO'!A186</f>
        <v>PV7-111</v>
      </c>
      <c r="C192" s="413" t="str">
        <f>VLOOKUP(A192,'BOCA DE LOBO'!$C$82:$Q$270,3,0)</f>
        <v>EXISTENTE</v>
      </c>
      <c r="D192" s="413" t="str">
        <f>VLOOKUP(A192,'BOCA DE LOBO'!$C$82:$Q$270,10,0)</f>
        <v>PROJETADA</v>
      </c>
      <c r="E192" s="413">
        <f t="shared" si="738"/>
        <v>2.5</v>
      </c>
      <c r="F192" s="413">
        <f>VLOOKUP(A192,'BOCA DE LOBO'!$C$82:$Q$270,2,0)</f>
        <v>2.9500000000000455</v>
      </c>
      <c r="G192" s="413">
        <f>VLOOKUP(A192,'BOCA DE LOBO'!$C$82:$Q$270,4,0)</f>
        <v>5.72</v>
      </c>
      <c r="H192" s="412">
        <v>400</v>
      </c>
      <c r="I192" s="493">
        <f t="shared" si="739"/>
        <v>2.8550000000000226</v>
      </c>
      <c r="J192" s="493">
        <f t="shared" si="740"/>
        <v>0.81653000000000642</v>
      </c>
      <c r="K192" s="530">
        <v>0</v>
      </c>
      <c r="L192" s="531">
        <f t="shared" si="741"/>
        <v>1</v>
      </c>
      <c r="M192" s="531">
        <f t="shared" si="742"/>
        <v>1</v>
      </c>
      <c r="N192" s="531">
        <f t="shared" si="743"/>
        <v>0</v>
      </c>
      <c r="O192" s="531">
        <f t="shared" si="744"/>
        <v>5.72</v>
      </c>
      <c r="P192" s="532" t="s">
        <v>2392</v>
      </c>
      <c r="Q192" s="539" t="s">
        <v>2965</v>
      </c>
      <c r="R192" s="534"/>
      <c r="S192" s="532">
        <v>5</v>
      </c>
      <c r="T192" s="532">
        <v>5</v>
      </c>
      <c r="U192" s="531">
        <f t="shared" si="745"/>
        <v>0.05</v>
      </c>
      <c r="V192" s="535">
        <f t="shared" si="746"/>
        <v>0</v>
      </c>
      <c r="W192" s="535">
        <f t="shared" si="747"/>
        <v>16.330600000000128</v>
      </c>
      <c r="X192" s="536">
        <f t="shared" si="748"/>
        <v>0</v>
      </c>
      <c r="Y192" s="536">
        <f t="shared" si="749"/>
        <v>0</v>
      </c>
      <c r="Z192" s="536">
        <f t="shared" si="750"/>
        <v>2.8550000000000226</v>
      </c>
      <c r="AA192" s="536">
        <f t="shared" si="751"/>
        <v>0</v>
      </c>
      <c r="AB192" s="496">
        <f t="shared" si="752"/>
        <v>5.72</v>
      </c>
      <c r="AC192" s="251">
        <f t="shared" si="753"/>
        <v>0</v>
      </c>
      <c r="AD192" s="251">
        <f t="shared" si="754"/>
        <v>0</v>
      </c>
      <c r="AE192" s="251">
        <f t="shared" si="755"/>
        <v>0</v>
      </c>
      <c r="AF192" s="251">
        <f t="shared" si="756"/>
        <v>8.58</v>
      </c>
      <c r="AG192" s="251">
        <f t="shared" si="757"/>
        <v>7.7506000000001292</v>
      </c>
      <c r="AH192" s="251">
        <f t="shared" si="758"/>
        <v>0</v>
      </c>
      <c r="AI192" s="497" t="str">
        <f t="shared" si="759"/>
        <v>NÃO</v>
      </c>
      <c r="AJ192" s="531">
        <f t="shared" si="760"/>
        <v>0</v>
      </c>
      <c r="AK192" s="531">
        <f t="shared" si="761"/>
        <v>0</v>
      </c>
      <c r="AL192" s="531">
        <f t="shared" si="762"/>
        <v>15.611803600858783</v>
      </c>
      <c r="AM192" s="493">
        <f t="shared" si="763"/>
        <v>0.28599999999999998</v>
      </c>
      <c r="AN192" s="535">
        <f t="shared" si="764"/>
        <v>0</v>
      </c>
      <c r="AO192" s="531">
        <f t="shared" si="765"/>
        <v>0</v>
      </c>
      <c r="AP192" s="531">
        <f t="shared" si="766"/>
        <v>0</v>
      </c>
      <c r="AQ192" s="531">
        <f t="shared" si="767"/>
        <v>0.7</v>
      </c>
      <c r="AR192" s="531">
        <f t="shared" si="768"/>
        <v>3.2852036008586549</v>
      </c>
      <c r="AS192" s="531">
        <f t="shared" si="769"/>
        <v>0</v>
      </c>
      <c r="AT192" s="531">
        <f t="shared" si="770"/>
        <v>0.85799999999999998</v>
      </c>
      <c r="AU192" s="531">
        <f t="shared" si="771"/>
        <v>0.85799999999999998</v>
      </c>
      <c r="AV192" s="531">
        <f t="shared" si="772"/>
        <v>0.17159999999999997</v>
      </c>
      <c r="AW192" s="531">
        <f t="shared" si="773"/>
        <v>10.324600000000128</v>
      </c>
      <c r="AX192" s="531">
        <f t="shared" si="774"/>
        <v>12.187396399141473</v>
      </c>
      <c r="AY192" s="531">
        <f t="shared" si="775"/>
        <v>10.324600000000128</v>
      </c>
      <c r="AZ192" s="531">
        <f t="shared" si="776"/>
        <v>0</v>
      </c>
      <c r="BA192" s="531">
        <f t="shared" si="777"/>
        <v>0</v>
      </c>
      <c r="BB192" s="531">
        <f t="shared" si="778"/>
        <v>0</v>
      </c>
      <c r="BC192" s="531"/>
      <c r="BD192" s="531">
        <f t="shared" si="779"/>
        <v>3.4320000000000003E-2</v>
      </c>
      <c r="BE192" s="496">
        <f t="shared" si="780"/>
        <v>2.8550000000000226</v>
      </c>
      <c r="BF192" s="498">
        <f t="shared" si="781"/>
        <v>0</v>
      </c>
      <c r="BG192" s="498">
        <f t="shared" si="782"/>
        <v>5.72</v>
      </c>
      <c r="BH192" s="532" t="str">
        <f>VLOOKUP(A192,'BOCA DE LOBO'!C:I,7,0)</f>
        <v>BOCA DE LOBO PROJETADA DUPLA</v>
      </c>
      <c r="BI192" s="531">
        <f t="shared" si="783"/>
        <v>0</v>
      </c>
      <c r="BJ192" s="531">
        <f t="shared" si="784"/>
        <v>0</v>
      </c>
      <c r="BK192" s="531">
        <f t="shared" si="785"/>
        <v>0</v>
      </c>
      <c r="BL192" s="531">
        <f t="shared" si="786"/>
        <v>0</v>
      </c>
      <c r="BM192" s="531">
        <f t="shared" si="787"/>
        <v>0</v>
      </c>
      <c r="BN192" s="531">
        <f t="shared" si="788"/>
        <v>1</v>
      </c>
      <c r="BO192" s="499">
        <f t="shared" si="789"/>
        <v>0</v>
      </c>
      <c r="BP192" s="500"/>
      <c r="BQ192" s="496">
        <f t="shared" si="790"/>
        <v>17.16</v>
      </c>
      <c r="BR192" s="496">
        <f t="shared" si="791"/>
        <v>15.501200000000258</v>
      </c>
      <c r="BS192" s="496">
        <f t="shared" si="792"/>
        <v>0</v>
      </c>
      <c r="BT192" s="501"/>
      <c r="BU192" s="501"/>
      <c r="BV192" s="502">
        <f t="shared" si="793"/>
        <v>19.456499999999998</v>
      </c>
      <c r="BW192" s="502">
        <f t="shared" si="794"/>
        <v>7.7825999999999986</v>
      </c>
      <c r="BX192" s="502">
        <f t="shared" si="795"/>
        <v>3.0325999999999995</v>
      </c>
      <c r="BY192" s="502">
        <f t="shared" si="796"/>
        <v>2.5</v>
      </c>
      <c r="BZ192" s="502">
        <f t="shared" si="797"/>
        <v>2.5</v>
      </c>
      <c r="CA192" s="502">
        <f t="shared" si="798"/>
        <v>0</v>
      </c>
      <c r="CB192" s="502">
        <f t="shared" si="799"/>
        <v>0</v>
      </c>
      <c r="CC192" s="502">
        <f t="shared" si="800"/>
        <v>11.673899999999998</v>
      </c>
      <c r="CD192" s="502">
        <f t="shared" si="801"/>
        <v>7.7825999999999986</v>
      </c>
      <c r="CE192" s="502">
        <f t="shared" si="802"/>
        <v>0</v>
      </c>
      <c r="CF192" s="502">
        <f t="shared" si="803"/>
        <v>0</v>
      </c>
      <c r="CG192" s="502">
        <f t="shared" si="804"/>
        <v>0</v>
      </c>
      <c r="CH192" s="502">
        <f t="shared" si="805"/>
        <v>0</v>
      </c>
      <c r="CI192" s="531">
        <f t="shared" si="806"/>
        <v>0.53549999999999998</v>
      </c>
      <c r="CJ192" s="502">
        <f t="shared" si="807"/>
        <v>11.339499999999997</v>
      </c>
      <c r="CK192" s="502">
        <f t="shared" si="808"/>
        <v>11.339499999999997</v>
      </c>
      <c r="CL192" s="502">
        <f t="shared" si="809"/>
        <v>0</v>
      </c>
      <c r="CM192" s="502">
        <f t="shared" si="810"/>
        <v>0</v>
      </c>
      <c r="CN192" s="502">
        <f t="shared" si="811"/>
        <v>3.57</v>
      </c>
      <c r="CO192" s="502">
        <f t="shared" si="812"/>
        <v>2.5</v>
      </c>
      <c r="CP192" s="502">
        <f t="shared" si="813"/>
        <v>10.709999999999999</v>
      </c>
      <c r="CQ192" s="502">
        <f t="shared" si="814"/>
        <v>7.14</v>
      </c>
      <c r="CR192" s="220">
        <f t="shared" si="815"/>
        <v>0</v>
      </c>
      <c r="CS192" s="503">
        <f t="shared" si="816"/>
        <v>0</v>
      </c>
      <c r="CT192" s="503">
        <f t="shared" si="817"/>
        <v>0.33012999999999998</v>
      </c>
      <c r="CU192" s="504">
        <f t="shared" si="818"/>
        <v>13</v>
      </c>
      <c r="CV192" s="504">
        <f t="shared" si="819"/>
        <v>1.43895</v>
      </c>
      <c r="CW192" s="502">
        <f t="shared" si="820"/>
        <v>23.248199999999997</v>
      </c>
      <c r="CX192" s="531">
        <f t="shared" si="821"/>
        <v>3.57</v>
      </c>
      <c r="CY192" s="537">
        <f t="shared" si="822"/>
        <v>1.7849999999999999</v>
      </c>
      <c r="CZ192" s="502">
        <f t="shared" si="823"/>
        <v>2.4513847475961154E-2</v>
      </c>
    </row>
    <row r="193" spans="1:104" ht="25" x14ac:dyDescent="0.25">
      <c r="A193" s="413" t="str">
        <f>'BOCA DE LOBO'!C187</f>
        <v>BL102-&gt;PV8-111</v>
      </c>
      <c r="B193" s="413" t="str">
        <f>'BOCA DE LOBO'!A187</f>
        <v>PV8-111</v>
      </c>
      <c r="C193" s="413" t="str">
        <f>VLOOKUP(A193,'BOCA DE LOBO'!$C$82:$Q$270,3,0)</f>
        <v>EXISTENTE</v>
      </c>
      <c r="D193" s="413" t="str">
        <f>VLOOKUP(A193,'BOCA DE LOBO'!$C$82:$Q$270,10,0)</f>
        <v>PROJETADA</v>
      </c>
      <c r="E193" s="413">
        <f t="shared" si="738"/>
        <v>1.9784000000000364</v>
      </c>
      <c r="F193" s="413">
        <f>VLOOKUP(A193,'BOCA DE LOBO'!$C$82:$Q$270,2,0)</f>
        <v>2.2100000000000364</v>
      </c>
      <c r="G193" s="413">
        <f>VLOOKUP(A193,'BOCA DE LOBO'!$C$82:$Q$270,4,0)</f>
        <v>5.79</v>
      </c>
      <c r="H193" s="412">
        <v>400</v>
      </c>
      <c r="I193" s="493">
        <f t="shared" si="739"/>
        <v>2.2242000000000361</v>
      </c>
      <c r="J193" s="493">
        <f t="shared" si="740"/>
        <v>0.64390590000001047</v>
      </c>
      <c r="K193" s="530">
        <v>0</v>
      </c>
      <c r="L193" s="531">
        <f t="shared" si="741"/>
        <v>1</v>
      </c>
      <c r="M193" s="531">
        <f t="shared" si="742"/>
        <v>1</v>
      </c>
      <c r="N193" s="531">
        <f t="shared" si="743"/>
        <v>0</v>
      </c>
      <c r="O193" s="531">
        <f t="shared" si="744"/>
        <v>5.79</v>
      </c>
      <c r="P193" s="532" t="s">
        <v>2392</v>
      </c>
      <c r="Q193" s="539" t="s">
        <v>2965</v>
      </c>
      <c r="R193" s="534"/>
      <c r="S193" s="532">
        <v>5</v>
      </c>
      <c r="T193" s="532">
        <v>5</v>
      </c>
      <c r="U193" s="531">
        <f t="shared" si="745"/>
        <v>0.05</v>
      </c>
      <c r="V193" s="535">
        <f t="shared" si="746"/>
        <v>0</v>
      </c>
      <c r="W193" s="535">
        <f t="shared" si="747"/>
        <v>12.87811800000021</v>
      </c>
      <c r="X193" s="536">
        <f t="shared" si="748"/>
        <v>0</v>
      </c>
      <c r="Y193" s="536">
        <f t="shared" si="749"/>
        <v>0</v>
      </c>
      <c r="Z193" s="536">
        <f t="shared" si="750"/>
        <v>2.2242000000000361</v>
      </c>
      <c r="AA193" s="536">
        <f t="shared" si="751"/>
        <v>0</v>
      </c>
      <c r="AB193" s="496">
        <f t="shared" si="752"/>
        <v>5.79</v>
      </c>
      <c r="AC193" s="251">
        <f t="shared" si="753"/>
        <v>0</v>
      </c>
      <c r="AD193" s="251">
        <f t="shared" si="754"/>
        <v>0</v>
      </c>
      <c r="AE193" s="251">
        <f t="shared" si="755"/>
        <v>0</v>
      </c>
      <c r="AF193" s="251">
        <f t="shared" si="756"/>
        <v>8.6850000000000005</v>
      </c>
      <c r="AG193" s="251">
        <f t="shared" si="757"/>
        <v>4.1931180000002097</v>
      </c>
      <c r="AH193" s="251">
        <f t="shared" si="758"/>
        <v>0</v>
      </c>
      <c r="AI193" s="497" t="str">
        <f t="shared" si="759"/>
        <v>NÃO</v>
      </c>
      <c r="AJ193" s="531">
        <f t="shared" si="760"/>
        <v>0</v>
      </c>
      <c r="AK193" s="531">
        <f t="shared" si="761"/>
        <v>0</v>
      </c>
      <c r="AL193" s="531">
        <f t="shared" si="762"/>
        <v>12.150525141428814</v>
      </c>
      <c r="AM193" s="493">
        <f t="shared" si="763"/>
        <v>0.28950000000000004</v>
      </c>
      <c r="AN193" s="535">
        <f t="shared" si="764"/>
        <v>0</v>
      </c>
      <c r="AO193" s="531">
        <f t="shared" si="765"/>
        <v>0</v>
      </c>
      <c r="AP193" s="531">
        <f t="shared" si="766"/>
        <v>0</v>
      </c>
      <c r="AQ193" s="531">
        <f t="shared" si="767"/>
        <v>0.7</v>
      </c>
      <c r="AR193" s="531">
        <f t="shared" si="768"/>
        <v>3.3254071414286037</v>
      </c>
      <c r="AS193" s="531">
        <f t="shared" si="769"/>
        <v>0</v>
      </c>
      <c r="AT193" s="531">
        <f t="shared" si="770"/>
        <v>0.86849999999999994</v>
      </c>
      <c r="AU193" s="531">
        <f t="shared" si="771"/>
        <v>0.86849999999999994</v>
      </c>
      <c r="AV193" s="531">
        <f t="shared" si="772"/>
        <v>0.17369999999999999</v>
      </c>
      <c r="AW193" s="531">
        <f t="shared" si="773"/>
        <v>6.7986180000002108</v>
      </c>
      <c r="AX193" s="531">
        <f t="shared" si="774"/>
        <v>8.6842108585716069</v>
      </c>
      <c r="AY193" s="531">
        <f t="shared" si="775"/>
        <v>6.7986180000002108</v>
      </c>
      <c r="AZ193" s="531">
        <f t="shared" si="776"/>
        <v>0</v>
      </c>
      <c r="BA193" s="531">
        <f t="shared" si="777"/>
        <v>0</v>
      </c>
      <c r="BB193" s="531">
        <f t="shared" si="778"/>
        <v>0</v>
      </c>
      <c r="BC193" s="531"/>
      <c r="BD193" s="531">
        <f t="shared" si="779"/>
        <v>3.474E-2</v>
      </c>
      <c r="BE193" s="496">
        <f t="shared" si="780"/>
        <v>2.2242000000000361</v>
      </c>
      <c r="BF193" s="498">
        <f t="shared" si="781"/>
        <v>0</v>
      </c>
      <c r="BG193" s="498">
        <f t="shared" si="782"/>
        <v>5.79</v>
      </c>
      <c r="BH193" s="532" t="str">
        <f>VLOOKUP(A193,'BOCA DE LOBO'!C:I,7,0)</f>
        <v>BOCA DE LOBO PROJETADA DUPLA</v>
      </c>
      <c r="BI193" s="531">
        <f t="shared" si="783"/>
        <v>0</v>
      </c>
      <c r="BJ193" s="531">
        <f t="shared" si="784"/>
        <v>0</v>
      </c>
      <c r="BK193" s="531">
        <f t="shared" si="785"/>
        <v>0</v>
      </c>
      <c r="BL193" s="531">
        <f t="shared" si="786"/>
        <v>0</v>
      </c>
      <c r="BM193" s="531">
        <f t="shared" si="787"/>
        <v>0</v>
      </c>
      <c r="BN193" s="531">
        <f t="shared" si="788"/>
        <v>1</v>
      </c>
      <c r="BO193" s="499">
        <f t="shared" si="789"/>
        <v>0</v>
      </c>
      <c r="BP193" s="500"/>
      <c r="BQ193" s="496">
        <f t="shared" si="790"/>
        <v>17.37</v>
      </c>
      <c r="BR193" s="496">
        <f t="shared" si="791"/>
        <v>8.3862360000004195</v>
      </c>
      <c r="BS193" s="496">
        <f t="shared" si="792"/>
        <v>0</v>
      </c>
      <c r="BT193" s="501"/>
      <c r="BU193" s="501"/>
      <c r="BV193" s="502">
        <f t="shared" si="793"/>
        <v>15.397095840000281</v>
      </c>
      <c r="BW193" s="502">
        <f t="shared" si="794"/>
        <v>7.7825999999999986</v>
      </c>
      <c r="BX193" s="502">
        <f t="shared" si="795"/>
        <v>3.0325999999999995</v>
      </c>
      <c r="BY193" s="502">
        <f t="shared" si="796"/>
        <v>1.9784000000000364</v>
      </c>
      <c r="BZ193" s="502">
        <f t="shared" si="797"/>
        <v>1.9784000000000364</v>
      </c>
      <c r="CA193" s="502">
        <f t="shared" si="798"/>
        <v>0</v>
      </c>
      <c r="CB193" s="502">
        <f t="shared" si="799"/>
        <v>0</v>
      </c>
      <c r="CC193" s="502">
        <f t="shared" si="800"/>
        <v>11.673899999999998</v>
      </c>
      <c r="CD193" s="502">
        <f t="shared" si="801"/>
        <v>3.7231958400002823</v>
      </c>
      <c r="CE193" s="502">
        <f t="shared" si="802"/>
        <v>0</v>
      </c>
      <c r="CF193" s="502">
        <f t="shared" si="803"/>
        <v>0</v>
      </c>
      <c r="CG193" s="502">
        <f t="shared" si="804"/>
        <v>0</v>
      </c>
      <c r="CH193" s="502">
        <f t="shared" si="805"/>
        <v>0</v>
      </c>
      <c r="CI193" s="531">
        <f t="shared" si="806"/>
        <v>0.53549999999999998</v>
      </c>
      <c r="CJ193" s="502">
        <f t="shared" si="807"/>
        <v>8.8619000000001709</v>
      </c>
      <c r="CK193" s="502">
        <f t="shared" si="808"/>
        <v>8.8619000000001709</v>
      </c>
      <c r="CL193" s="502">
        <f t="shared" si="809"/>
        <v>0</v>
      </c>
      <c r="CM193" s="502">
        <f t="shared" si="810"/>
        <v>0</v>
      </c>
      <c r="CN193" s="502">
        <f t="shared" si="811"/>
        <v>3.57</v>
      </c>
      <c r="CO193" s="502">
        <f t="shared" si="812"/>
        <v>1.9784000000000364</v>
      </c>
      <c r="CP193" s="502">
        <f t="shared" si="813"/>
        <v>10.709999999999999</v>
      </c>
      <c r="CQ193" s="502">
        <f t="shared" si="814"/>
        <v>3.4157760000002595</v>
      </c>
      <c r="CR193" s="220">
        <f t="shared" si="815"/>
        <v>0</v>
      </c>
      <c r="CS193" s="503">
        <f t="shared" si="816"/>
        <v>0</v>
      </c>
      <c r="CT193" s="503">
        <f t="shared" si="817"/>
        <v>0.33012999999999998</v>
      </c>
      <c r="CU193" s="504">
        <f t="shared" si="818"/>
        <v>10.28768000000019</v>
      </c>
      <c r="CV193" s="504">
        <f t="shared" si="819"/>
        <v>1.279340400000011</v>
      </c>
      <c r="CW193" s="502">
        <f t="shared" si="820"/>
        <v>19.242312000000279</v>
      </c>
      <c r="CX193" s="531">
        <f t="shared" si="821"/>
        <v>3.57</v>
      </c>
      <c r="CY193" s="537">
        <f t="shared" si="822"/>
        <v>1.7849999999999999</v>
      </c>
      <c r="CZ193" s="502">
        <f t="shared" si="823"/>
        <v>2.4513847475961154E-2</v>
      </c>
    </row>
    <row r="194" spans="1:104" ht="25" x14ac:dyDescent="0.25">
      <c r="A194" s="413" t="str">
        <f>'BOCA DE LOBO'!C188</f>
        <v>BL103-&gt;PV9-111</v>
      </c>
      <c r="B194" s="413" t="str">
        <f>'BOCA DE LOBO'!A188</f>
        <v>PV9-111</v>
      </c>
      <c r="C194" s="413" t="str">
        <f>VLOOKUP(A194,'BOCA DE LOBO'!$C$82:$Q$270,3,0)</f>
        <v>EXISTENTE</v>
      </c>
      <c r="D194" s="413" t="str">
        <f>VLOOKUP(A194,'BOCA DE LOBO'!$C$82:$Q$270,10,0)</f>
        <v>PROJETADA</v>
      </c>
      <c r="E194" s="413">
        <f t="shared" si="738"/>
        <v>1.9715999999999227</v>
      </c>
      <c r="F194" s="413">
        <f>VLOOKUP(A194,'BOCA DE LOBO'!$C$82:$Q$270,2,0)</f>
        <v>2.2099999999999227</v>
      </c>
      <c r="G194" s="413">
        <f>VLOOKUP(A194,'BOCA DE LOBO'!$C$82:$Q$270,4,0)</f>
        <v>5.96</v>
      </c>
      <c r="H194" s="412">
        <v>400</v>
      </c>
      <c r="I194" s="493">
        <f t="shared" si="739"/>
        <v>2.2207999999999224</v>
      </c>
      <c r="J194" s="493">
        <f t="shared" si="740"/>
        <v>0.66179839999997692</v>
      </c>
      <c r="K194" s="530">
        <v>0</v>
      </c>
      <c r="L194" s="531">
        <f t="shared" si="741"/>
        <v>1</v>
      </c>
      <c r="M194" s="531">
        <f t="shared" si="742"/>
        <v>1</v>
      </c>
      <c r="N194" s="531">
        <f t="shared" si="743"/>
        <v>0</v>
      </c>
      <c r="O194" s="531">
        <f t="shared" si="744"/>
        <v>5.96</v>
      </c>
      <c r="P194" s="532" t="s">
        <v>2392</v>
      </c>
      <c r="Q194" s="539" t="s">
        <v>2965</v>
      </c>
      <c r="R194" s="534"/>
      <c r="S194" s="532">
        <v>5</v>
      </c>
      <c r="T194" s="532">
        <v>5</v>
      </c>
      <c r="U194" s="531">
        <f t="shared" si="745"/>
        <v>0.05</v>
      </c>
      <c r="V194" s="535">
        <f t="shared" si="746"/>
        <v>0</v>
      </c>
      <c r="W194" s="535">
        <f t="shared" si="747"/>
        <v>13.235967999999538</v>
      </c>
      <c r="X194" s="536">
        <f t="shared" si="748"/>
        <v>0</v>
      </c>
      <c r="Y194" s="536">
        <f t="shared" si="749"/>
        <v>0</v>
      </c>
      <c r="Z194" s="536">
        <f t="shared" si="750"/>
        <v>2.2207999999999224</v>
      </c>
      <c r="AA194" s="536">
        <f t="shared" si="751"/>
        <v>0</v>
      </c>
      <c r="AB194" s="496">
        <f t="shared" si="752"/>
        <v>5.96</v>
      </c>
      <c r="AC194" s="251">
        <f t="shared" si="753"/>
        <v>0</v>
      </c>
      <c r="AD194" s="251">
        <f t="shared" si="754"/>
        <v>0</v>
      </c>
      <c r="AE194" s="251">
        <f t="shared" si="755"/>
        <v>0</v>
      </c>
      <c r="AF194" s="251">
        <f t="shared" si="756"/>
        <v>8.94</v>
      </c>
      <c r="AG194" s="251">
        <f t="shared" si="757"/>
        <v>4.2959679999995375</v>
      </c>
      <c r="AH194" s="251">
        <f t="shared" si="758"/>
        <v>0</v>
      </c>
      <c r="AI194" s="497" t="str">
        <f t="shared" si="759"/>
        <v>NÃO</v>
      </c>
      <c r="AJ194" s="531">
        <f t="shared" si="760"/>
        <v>0</v>
      </c>
      <c r="AK194" s="531">
        <f t="shared" si="761"/>
        <v>0</v>
      </c>
      <c r="AL194" s="531">
        <f t="shared" si="762"/>
        <v>12.487012311383731</v>
      </c>
      <c r="AM194" s="493">
        <f t="shared" si="763"/>
        <v>0.29799999999999999</v>
      </c>
      <c r="AN194" s="535">
        <f t="shared" si="764"/>
        <v>0</v>
      </c>
      <c r="AO194" s="531">
        <f t="shared" si="765"/>
        <v>0</v>
      </c>
      <c r="AP194" s="531">
        <f t="shared" si="766"/>
        <v>0</v>
      </c>
      <c r="AQ194" s="531">
        <f t="shared" si="767"/>
        <v>0.7</v>
      </c>
      <c r="AR194" s="531">
        <f t="shared" si="768"/>
        <v>3.4230443113841931</v>
      </c>
      <c r="AS194" s="531">
        <f t="shared" si="769"/>
        <v>0</v>
      </c>
      <c r="AT194" s="531">
        <f t="shared" si="770"/>
        <v>0.89400000000000002</v>
      </c>
      <c r="AU194" s="531">
        <f t="shared" si="771"/>
        <v>0.89400000000000002</v>
      </c>
      <c r="AV194" s="531">
        <f t="shared" si="772"/>
        <v>0.17879999999999999</v>
      </c>
      <c r="AW194" s="531">
        <f t="shared" si="773"/>
        <v>6.9779679999995379</v>
      </c>
      <c r="AX194" s="531">
        <f t="shared" si="774"/>
        <v>8.9189236886153438</v>
      </c>
      <c r="AY194" s="531">
        <f t="shared" si="775"/>
        <v>6.9779679999995379</v>
      </c>
      <c r="AZ194" s="531">
        <f t="shared" si="776"/>
        <v>0</v>
      </c>
      <c r="BA194" s="531">
        <f t="shared" si="777"/>
        <v>0</v>
      </c>
      <c r="BB194" s="531">
        <f t="shared" si="778"/>
        <v>0</v>
      </c>
      <c r="BC194" s="531"/>
      <c r="BD194" s="531">
        <f t="shared" si="779"/>
        <v>3.576E-2</v>
      </c>
      <c r="BE194" s="496">
        <f t="shared" si="780"/>
        <v>2.2207999999999224</v>
      </c>
      <c r="BF194" s="498">
        <f t="shared" si="781"/>
        <v>0</v>
      </c>
      <c r="BG194" s="498">
        <f t="shared" si="782"/>
        <v>5.96</v>
      </c>
      <c r="BH194" s="532" t="str">
        <f>VLOOKUP(A194,'BOCA DE LOBO'!C:I,7,0)</f>
        <v>BOCA DE LOBO PROJETADA DUPLA</v>
      </c>
      <c r="BI194" s="531">
        <f t="shared" si="783"/>
        <v>0</v>
      </c>
      <c r="BJ194" s="531">
        <f t="shared" si="784"/>
        <v>0</v>
      </c>
      <c r="BK194" s="531">
        <f t="shared" si="785"/>
        <v>0</v>
      </c>
      <c r="BL194" s="531">
        <f t="shared" si="786"/>
        <v>0</v>
      </c>
      <c r="BM194" s="531">
        <f t="shared" si="787"/>
        <v>0</v>
      </c>
      <c r="BN194" s="531">
        <f t="shared" si="788"/>
        <v>1</v>
      </c>
      <c r="BO194" s="499">
        <f t="shared" si="789"/>
        <v>0</v>
      </c>
      <c r="BP194" s="500"/>
      <c r="BQ194" s="496">
        <f t="shared" si="790"/>
        <v>17.88</v>
      </c>
      <c r="BR194" s="496">
        <f t="shared" si="791"/>
        <v>8.591935999999075</v>
      </c>
      <c r="BS194" s="496">
        <f t="shared" si="792"/>
        <v>0</v>
      </c>
      <c r="BT194" s="501"/>
      <c r="BU194" s="501"/>
      <c r="BV194" s="502">
        <f t="shared" si="793"/>
        <v>15.344174159999396</v>
      </c>
      <c r="BW194" s="502">
        <f t="shared" si="794"/>
        <v>7.7825999999999986</v>
      </c>
      <c r="BX194" s="502">
        <f t="shared" si="795"/>
        <v>3.0325999999999995</v>
      </c>
      <c r="BY194" s="502">
        <f t="shared" si="796"/>
        <v>1.9715999999999227</v>
      </c>
      <c r="BZ194" s="502">
        <f t="shared" si="797"/>
        <v>1.9715999999999227</v>
      </c>
      <c r="CA194" s="502">
        <f t="shared" si="798"/>
        <v>0</v>
      </c>
      <c r="CB194" s="502">
        <f t="shared" si="799"/>
        <v>0</v>
      </c>
      <c r="CC194" s="502">
        <f t="shared" si="800"/>
        <v>11.673899999999998</v>
      </c>
      <c r="CD194" s="502">
        <f t="shared" si="801"/>
        <v>3.6702741599993982</v>
      </c>
      <c r="CE194" s="502">
        <f t="shared" si="802"/>
        <v>0</v>
      </c>
      <c r="CF194" s="502">
        <f t="shared" si="803"/>
        <v>0</v>
      </c>
      <c r="CG194" s="502">
        <f t="shared" si="804"/>
        <v>0</v>
      </c>
      <c r="CH194" s="502">
        <f t="shared" si="805"/>
        <v>0</v>
      </c>
      <c r="CI194" s="531">
        <f t="shared" si="806"/>
        <v>0.53549999999999998</v>
      </c>
      <c r="CJ194" s="502">
        <f t="shared" si="807"/>
        <v>8.8295999999996297</v>
      </c>
      <c r="CK194" s="502">
        <f t="shared" si="808"/>
        <v>8.8295999999996297</v>
      </c>
      <c r="CL194" s="502">
        <f t="shared" si="809"/>
        <v>0</v>
      </c>
      <c r="CM194" s="502">
        <f t="shared" si="810"/>
        <v>0</v>
      </c>
      <c r="CN194" s="502">
        <f t="shared" si="811"/>
        <v>3.57</v>
      </c>
      <c r="CO194" s="502">
        <f t="shared" si="812"/>
        <v>1.9715999999999227</v>
      </c>
      <c r="CP194" s="502">
        <f t="shared" si="813"/>
        <v>10.709999999999999</v>
      </c>
      <c r="CQ194" s="502">
        <f t="shared" si="814"/>
        <v>3.3672239999994482</v>
      </c>
      <c r="CR194" s="220">
        <f t="shared" si="815"/>
        <v>0</v>
      </c>
      <c r="CS194" s="503">
        <f t="shared" si="816"/>
        <v>0</v>
      </c>
      <c r="CT194" s="503">
        <f t="shared" si="817"/>
        <v>0.33012999999999998</v>
      </c>
      <c r="CU194" s="504">
        <f t="shared" si="818"/>
        <v>10.252319999999598</v>
      </c>
      <c r="CV194" s="504">
        <f t="shared" si="819"/>
        <v>1.2772595999999763</v>
      </c>
      <c r="CW194" s="502">
        <f t="shared" si="820"/>
        <v>19.190087999999406</v>
      </c>
      <c r="CX194" s="531">
        <f t="shared" si="821"/>
        <v>3.57</v>
      </c>
      <c r="CY194" s="537">
        <f t="shared" si="822"/>
        <v>1.7849999999999999</v>
      </c>
      <c r="CZ194" s="502">
        <f t="shared" si="823"/>
        <v>2.4513847475961154E-2</v>
      </c>
    </row>
    <row r="195" spans="1:104" ht="25" x14ac:dyDescent="0.25">
      <c r="A195" s="413" t="str">
        <f>'BOCA DE LOBO'!C189</f>
        <v>BL104-&gt;PV10-111</v>
      </c>
      <c r="B195" s="413" t="str">
        <f>'BOCA DE LOBO'!A189</f>
        <v>PV10-111</v>
      </c>
      <c r="C195" s="413" t="str">
        <f>VLOOKUP(A195,'BOCA DE LOBO'!$C$82:$Q$270,3,0)</f>
        <v>EXISTENTE</v>
      </c>
      <c r="D195" s="413" t="str">
        <f>VLOOKUP(A195,'BOCA DE LOBO'!$C$82:$Q$270,10,0)</f>
        <v>PROJETADA</v>
      </c>
      <c r="E195" s="413">
        <f t="shared" si="738"/>
        <v>2.2084000000000548</v>
      </c>
      <c r="F195" s="413">
        <f>VLOOKUP(A195,'BOCA DE LOBO'!$C$82:$Q$270,2,0)</f>
        <v>2.4400000000000546</v>
      </c>
      <c r="G195" s="413">
        <f>VLOOKUP(A195,'BOCA DE LOBO'!$C$82:$Q$270,4,0)</f>
        <v>5.79</v>
      </c>
      <c r="H195" s="412">
        <v>400</v>
      </c>
      <c r="I195" s="493">
        <f t="shared" si="739"/>
        <v>2.4542000000000543</v>
      </c>
      <c r="J195" s="493">
        <f t="shared" si="740"/>
        <v>0.71049090000001569</v>
      </c>
      <c r="K195" s="530">
        <v>0</v>
      </c>
      <c r="L195" s="531">
        <f t="shared" si="741"/>
        <v>1</v>
      </c>
      <c r="M195" s="531">
        <f t="shared" si="742"/>
        <v>1</v>
      </c>
      <c r="N195" s="531">
        <f t="shared" si="743"/>
        <v>0</v>
      </c>
      <c r="O195" s="531">
        <f t="shared" si="744"/>
        <v>5.79</v>
      </c>
      <c r="P195" s="532" t="s">
        <v>2392</v>
      </c>
      <c r="Q195" s="539" t="s">
        <v>2743</v>
      </c>
      <c r="R195" s="534"/>
      <c r="S195" s="532">
        <v>2</v>
      </c>
      <c r="T195" s="532">
        <v>5</v>
      </c>
      <c r="U195" s="531">
        <f t="shared" si="745"/>
        <v>0.05</v>
      </c>
      <c r="V195" s="535">
        <f t="shared" si="746"/>
        <v>0</v>
      </c>
      <c r="W195" s="535">
        <f t="shared" si="747"/>
        <v>14.209818000000315</v>
      </c>
      <c r="X195" s="536">
        <f t="shared" si="748"/>
        <v>0</v>
      </c>
      <c r="Y195" s="536">
        <f t="shared" si="749"/>
        <v>0</v>
      </c>
      <c r="Z195" s="536">
        <f t="shared" si="750"/>
        <v>2</v>
      </c>
      <c r="AA195" s="536">
        <f t="shared" si="751"/>
        <v>0.45420000000005434</v>
      </c>
      <c r="AB195" s="496">
        <f t="shared" si="752"/>
        <v>5.79</v>
      </c>
      <c r="AC195" s="251">
        <f t="shared" si="753"/>
        <v>0</v>
      </c>
      <c r="AD195" s="251">
        <f t="shared" si="754"/>
        <v>0</v>
      </c>
      <c r="AE195" s="251">
        <f t="shared" si="755"/>
        <v>0</v>
      </c>
      <c r="AF195" s="251">
        <f t="shared" si="756"/>
        <v>8.6850000000000005</v>
      </c>
      <c r="AG195" s="251">
        <f t="shared" si="757"/>
        <v>2.895</v>
      </c>
      <c r="AH195" s="251">
        <f t="shared" si="758"/>
        <v>0</v>
      </c>
      <c r="AI195" s="497" t="str">
        <f t="shared" si="759"/>
        <v>SIM</v>
      </c>
      <c r="AJ195" s="531">
        <f t="shared" si="760"/>
        <v>2.6298180000003146</v>
      </c>
      <c r="AK195" s="531">
        <f t="shared" si="761"/>
        <v>0</v>
      </c>
      <c r="AL195" s="531">
        <f t="shared" si="762"/>
        <v>13.482225141428918</v>
      </c>
      <c r="AM195" s="493">
        <f t="shared" si="763"/>
        <v>0.28950000000000004</v>
      </c>
      <c r="AN195" s="535">
        <f t="shared" si="764"/>
        <v>0</v>
      </c>
      <c r="AO195" s="531">
        <f t="shared" si="765"/>
        <v>0</v>
      </c>
      <c r="AP195" s="531">
        <f t="shared" si="766"/>
        <v>0</v>
      </c>
      <c r="AQ195" s="531">
        <f t="shared" si="767"/>
        <v>0.7</v>
      </c>
      <c r="AR195" s="531">
        <f t="shared" si="768"/>
        <v>3.3254071414286037</v>
      </c>
      <c r="AS195" s="531">
        <f t="shared" si="769"/>
        <v>0</v>
      </c>
      <c r="AT195" s="531">
        <f t="shared" si="770"/>
        <v>0.86849999999999994</v>
      </c>
      <c r="AU195" s="531">
        <f t="shared" si="771"/>
        <v>0.86849999999999994</v>
      </c>
      <c r="AV195" s="531">
        <f t="shared" si="772"/>
        <v>0.17369999999999999</v>
      </c>
      <c r="AW195" s="531">
        <f t="shared" si="773"/>
        <v>8.1303180000003152</v>
      </c>
      <c r="AX195" s="531">
        <f t="shared" si="774"/>
        <v>7.3860928585713967</v>
      </c>
      <c r="AY195" s="531">
        <f t="shared" si="775"/>
        <v>7.3860928585713967</v>
      </c>
      <c r="AZ195" s="531">
        <f t="shared" si="776"/>
        <v>0.74422514142891849</v>
      </c>
      <c r="BA195" s="531">
        <f t="shared" si="777"/>
        <v>0.15028176066976309</v>
      </c>
      <c r="BB195" s="531">
        <f t="shared" si="778"/>
        <v>0.59394338075915543</v>
      </c>
      <c r="BC195" s="531"/>
      <c r="BD195" s="531">
        <f t="shared" si="779"/>
        <v>3.474E-2</v>
      </c>
      <c r="BE195" s="496">
        <f t="shared" si="780"/>
        <v>2.4542000000000543</v>
      </c>
      <c r="BF195" s="498">
        <f t="shared" si="781"/>
        <v>0</v>
      </c>
      <c r="BG195" s="498">
        <f t="shared" si="782"/>
        <v>5.79</v>
      </c>
      <c r="BH195" s="532" t="str">
        <f>VLOOKUP(A195,'BOCA DE LOBO'!C:I,7,0)</f>
        <v>BOCA DE LOBO PROJETADA DUPLA</v>
      </c>
      <c r="BI195" s="531">
        <f t="shared" si="783"/>
        <v>0</v>
      </c>
      <c r="BJ195" s="531">
        <f t="shared" si="784"/>
        <v>0</v>
      </c>
      <c r="BK195" s="531">
        <f t="shared" si="785"/>
        <v>0</v>
      </c>
      <c r="BL195" s="531">
        <f t="shared" si="786"/>
        <v>0</v>
      </c>
      <c r="BM195" s="531">
        <f t="shared" si="787"/>
        <v>0</v>
      </c>
      <c r="BN195" s="531">
        <f t="shared" si="788"/>
        <v>1</v>
      </c>
      <c r="BO195" s="499">
        <f t="shared" si="789"/>
        <v>0</v>
      </c>
      <c r="BP195" s="500"/>
      <c r="BQ195" s="496">
        <f t="shared" si="790"/>
        <v>17.37</v>
      </c>
      <c r="BR195" s="496">
        <f t="shared" si="791"/>
        <v>11.04963600000063</v>
      </c>
      <c r="BS195" s="496">
        <f t="shared" si="792"/>
        <v>0</v>
      </c>
      <c r="BT195" s="501"/>
      <c r="BU195" s="501"/>
      <c r="BV195" s="502">
        <f t="shared" si="793"/>
        <v>17.187093840000422</v>
      </c>
      <c r="BW195" s="502">
        <f t="shared" si="794"/>
        <v>7.7825999999999986</v>
      </c>
      <c r="BX195" s="502">
        <f t="shared" si="795"/>
        <v>3.0325999999999995</v>
      </c>
      <c r="BY195" s="502">
        <f t="shared" si="796"/>
        <v>2.2084000000000548</v>
      </c>
      <c r="BZ195" s="502">
        <f t="shared" si="797"/>
        <v>2</v>
      </c>
      <c r="CA195" s="502">
        <f t="shared" si="798"/>
        <v>0</v>
      </c>
      <c r="CB195" s="502">
        <f t="shared" si="799"/>
        <v>0.20840000000005476</v>
      </c>
      <c r="CC195" s="502">
        <f t="shared" si="800"/>
        <v>11.673899999999998</v>
      </c>
      <c r="CD195" s="502">
        <f t="shared" si="801"/>
        <v>3.8912999999999993</v>
      </c>
      <c r="CE195" s="502">
        <f t="shared" si="802"/>
        <v>0</v>
      </c>
      <c r="CF195" s="502">
        <f t="shared" si="803"/>
        <v>0</v>
      </c>
      <c r="CG195" s="502">
        <f t="shared" si="804"/>
        <v>1.6218938400004248</v>
      </c>
      <c r="CH195" s="502">
        <f t="shared" si="805"/>
        <v>0</v>
      </c>
      <c r="CI195" s="531">
        <f t="shared" si="806"/>
        <v>0.53549999999999998</v>
      </c>
      <c r="CJ195" s="502">
        <f t="shared" si="807"/>
        <v>9.9544000000002573</v>
      </c>
      <c r="CK195" s="502">
        <f t="shared" si="808"/>
        <v>9.9544000000002573</v>
      </c>
      <c r="CL195" s="502">
        <f t="shared" si="809"/>
        <v>0</v>
      </c>
      <c r="CM195" s="502">
        <f t="shared" si="810"/>
        <v>0</v>
      </c>
      <c r="CN195" s="502">
        <f t="shared" si="811"/>
        <v>3.57</v>
      </c>
      <c r="CO195" s="502">
        <f t="shared" si="812"/>
        <v>2.2084000000000548</v>
      </c>
      <c r="CP195" s="502">
        <f t="shared" si="813"/>
        <v>10.709999999999999</v>
      </c>
      <c r="CQ195" s="502">
        <f t="shared" si="814"/>
        <v>5.0579760000003908</v>
      </c>
      <c r="CR195" s="220">
        <f t="shared" si="815"/>
        <v>0</v>
      </c>
      <c r="CS195" s="503">
        <f t="shared" si="816"/>
        <v>0</v>
      </c>
      <c r="CT195" s="503">
        <f t="shared" si="817"/>
        <v>0.33012999999999998</v>
      </c>
      <c r="CU195" s="504">
        <f t="shared" si="818"/>
        <v>11.483680000000286</v>
      </c>
      <c r="CV195" s="504">
        <f t="shared" si="819"/>
        <v>1.3497204000000167</v>
      </c>
      <c r="CW195" s="502">
        <f t="shared" si="820"/>
        <v>21.008712000000418</v>
      </c>
      <c r="CX195" s="531">
        <f t="shared" si="821"/>
        <v>3.57</v>
      </c>
      <c r="CY195" s="537">
        <f t="shared" si="822"/>
        <v>1.7849999999999999</v>
      </c>
      <c r="CZ195" s="502">
        <f t="shared" si="823"/>
        <v>2.4513847475961154E-2</v>
      </c>
    </row>
    <row r="196" spans="1:104" ht="25" x14ac:dyDescent="0.25">
      <c r="A196" s="413" t="str">
        <f>'BOCA DE LOBO'!C190</f>
        <v>BL105-&gt;PV1-112</v>
      </c>
      <c r="B196" s="413" t="str">
        <f>'BOCA DE LOBO'!A190</f>
        <v>PV1-112</v>
      </c>
      <c r="C196" s="413" t="str">
        <f>VLOOKUP(A196,'BOCA DE LOBO'!$C$82:$Q$270,3,0)</f>
        <v>EXISTENTE</v>
      </c>
      <c r="D196" s="413" t="str">
        <f>VLOOKUP(A196,'BOCA DE LOBO'!$C$82:$Q$270,10,0)</f>
        <v>PROJETADA</v>
      </c>
      <c r="E196" s="413">
        <f t="shared" si="738"/>
        <v>1.5312000000000001</v>
      </c>
      <c r="F196" s="413">
        <f>VLOOKUP(A196,'BOCA DE LOBO'!$C$82:$Q$270,2,0)</f>
        <v>1.75</v>
      </c>
      <c r="G196" s="413">
        <f>VLOOKUP(A196,'BOCA DE LOBO'!$C$82:$Q$270,4,0)</f>
        <v>5.47</v>
      </c>
      <c r="H196" s="412">
        <v>400</v>
      </c>
      <c r="I196" s="493">
        <f t="shared" si="739"/>
        <v>1.7706000000000002</v>
      </c>
      <c r="J196" s="493">
        <f t="shared" si="740"/>
        <v>0.48425910000000005</v>
      </c>
      <c r="K196" s="530">
        <v>0</v>
      </c>
      <c r="L196" s="531">
        <f t="shared" si="741"/>
        <v>1</v>
      </c>
      <c r="M196" s="531">
        <f t="shared" si="742"/>
        <v>1</v>
      </c>
      <c r="N196" s="531">
        <f t="shared" si="743"/>
        <v>0</v>
      </c>
      <c r="O196" s="531">
        <f t="shared" si="744"/>
        <v>5.47</v>
      </c>
      <c r="P196" s="532" t="s">
        <v>2392</v>
      </c>
      <c r="Q196" s="539" t="s">
        <v>2970</v>
      </c>
      <c r="R196" s="534"/>
      <c r="S196" s="532">
        <v>2.5</v>
      </c>
      <c r="T196" s="532">
        <v>5</v>
      </c>
      <c r="U196" s="531">
        <f t="shared" si="745"/>
        <v>0.05</v>
      </c>
      <c r="V196" s="535">
        <f t="shared" si="746"/>
        <v>0</v>
      </c>
      <c r="W196" s="535">
        <f t="shared" si="747"/>
        <v>9.6851820000000011</v>
      </c>
      <c r="X196" s="536">
        <f t="shared" si="748"/>
        <v>0</v>
      </c>
      <c r="Y196" s="536">
        <f t="shared" si="749"/>
        <v>0</v>
      </c>
      <c r="Z196" s="536">
        <f t="shared" si="750"/>
        <v>1.7706000000000002</v>
      </c>
      <c r="AA196" s="536">
        <f t="shared" si="751"/>
        <v>0</v>
      </c>
      <c r="AB196" s="496">
        <f t="shared" si="752"/>
        <v>5.47</v>
      </c>
      <c r="AC196" s="251">
        <f t="shared" si="753"/>
        <v>0</v>
      </c>
      <c r="AD196" s="251">
        <f t="shared" si="754"/>
        <v>0</v>
      </c>
      <c r="AE196" s="251">
        <f t="shared" si="755"/>
        <v>0</v>
      </c>
      <c r="AF196" s="251">
        <f t="shared" si="756"/>
        <v>8.2050000000000001</v>
      </c>
      <c r="AG196" s="251">
        <f t="shared" si="757"/>
        <v>1.4801820000000008</v>
      </c>
      <c r="AH196" s="251">
        <f t="shared" si="758"/>
        <v>0</v>
      </c>
      <c r="AI196" s="497" t="str">
        <f t="shared" si="759"/>
        <v>NÃO</v>
      </c>
      <c r="AJ196" s="531">
        <f t="shared" si="760"/>
        <v>0</v>
      </c>
      <c r="AK196" s="531">
        <f t="shared" si="761"/>
        <v>0</v>
      </c>
      <c r="AL196" s="531">
        <f t="shared" si="762"/>
        <v>8.9978015273945537</v>
      </c>
      <c r="AM196" s="493">
        <f t="shared" si="763"/>
        <v>0.27350000000000002</v>
      </c>
      <c r="AN196" s="535">
        <f t="shared" si="764"/>
        <v>0</v>
      </c>
      <c r="AO196" s="531">
        <f t="shared" si="765"/>
        <v>0</v>
      </c>
      <c r="AP196" s="531">
        <f t="shared" si="766"/>
        <v>0</v>
      </c>
      <c r="AQ196" s="531">
        <f t="shared" si="767"/>
        <v>0.7</v>
      </c>
      <c r="AR196" s="531">
        <f t="shared" si="768"/>
        <v>3.1416195273945529</v>
      </c>
      <c r="AS196" s="531">
        <f t="shared" si="769"/>
        <v>0</v>
      </c>
      <c r="AT196" s="531">
        <f t="shared" si="770"/>
        <v>0.8204999999999999</v>
      </c>
      <c r="AU196" s="531">
        <f t="shared" si="771"/>
        <v>0.8204999999999999</v>
      </c>
      <c r="AV196" s="531">
        <f t="shared" si="772"/>
        <v>0.1641</v>
      </c>
      <c r="AW196" s="531">
        <f t="shared" si="773"/>
        <v>3.9416820000000006</v>
      </c>
      <c r="AX196" s="531">
        <f t="shared" si="774"/>
        <v>5.7230624726054486</v>
      </c>
      <c r="AY196" s="531">
        <f t="shared" si="775"/>
        <v>3.9416820000000006</v>
      </c>
      <c r="AZ196" s="531">
        <f t="shared" si="776"/>
        <v>0</v>
      </c>
      <c r="BA196" s="531">
        <f t="shared" si="777"/>
        <v>0</v>
      </c>
      <c r="BB196" s="531">
        <f t="shared" si="778"/>
        <v>0</v>
      </c>
      <c r="BC196" s="531"/>
      <c r="BD196" s="531">
        <f t="shared" si="779"/>
        <v>3.2819999999999995E-2</v>
      </c>
      <c r="BE196" s="496">
        <f t="shared" si="780"/>
        <v>1.7706000000000002</v>
      </c>
      <c r="BF196" s="498">
        <f t="shared" si="781"/>
        <v>0</v>
      </c>
      <c r="BG196" s="498">
        <f t="shared" si="782"/>
        <v>5.47</v>
      </c>
      <c r="BH196" s="532" t="str">
        <f>VLOOKUP(A196,'BOCA DE LOBO'!C:I,7,0)</f>
        <v>BOCA DE LOBO PROJETADA TRIPLA</v>
      </c>
      <c r="BI196" s="531">
        <f t="shared" si="783"/>
        <v>0</v>
      </c>
      <c r="BJ196" s="531">
        <f t="shared" si="784"/>
        <v>0</v>
      </c>
      <c r="BK196" s="531">
        <f t="shared" si="785"/>
        <v>0</v>
      </c>
      <c r="BL196" s="531">
        <f t="shared" si="786"/>
        <v>0</v>
      </c>
      <c r="BM196" s="531">
        <f t="shared" si="787"/>
        <v>0</v>
      </c>
      <c r="BN196" s="531">
        <f t="shared" si="788"/>
        <v>0</v>
      </c>
      <c r="BO196" s="499">
        <f t="shared" si="789"/>
        <v>1</v>
      </c>
      <c r="BP196" s="500"/>
      <c r="BQ196" s="496">
        <f t="shared" si="790"/>
        <v>16.41</v>
      </c>
      <c r="BR196" s="496">
        <f t="shared" si="791"/>
        <v>2.9603640000000015</v>
      </c>
      <c r="BS196" s="496">
        <f t="shared" si="792"/>
        <v>0</v>
      </c>
      <c r="BT196" s="501"/>
      <c r="BU196" s="501"/>
      <c r="BV196" s="502">
        <f t="shared" si="793"/>
        <v>15.888956159999998</v>
      </c>
      <c r="BW196" s="502">
        <f t="shared" si="794"/>
        <v>10.376799999999998</v>
      </c>
      <c r="BX196" s="502">
        <f t="shared" si="795"/>
        <v>4.4367999999999999</v>
      </c>
      <c r="BY196" s="502">
        <f t="shared" si="796"/>
        <v>1.5312000000000001</v>
      </c>
      <c r="BZ196" s="502">
        <f t="shared" si="797"/>
        <v>1.5312000000000001</v>
      </c>
      <c r="CA196" s="502">
        <f t="shared" si="798"/>
        <v>0</v>
      </c>
      <c r="CB196" s="502">
        <f t="shared" si="799"/>
        <v>0</v>
      </c>
      <c r="CC196" s="502">
        <f t="shared" si="800"/>
        <v>15.565199999999997</v>
      </c>
      <c r="CD196" s="502">
        <f t="shared" si="801"/>
        <v>0.32375616000000113</v>
      </c>
      <c r="CE196" s="502">
        <f t="shared" si="802"/>
        <v>0</v>
      </c>
      <c r="CF196" s="502">
        <f t="shared" si="803"/>
        <v>0</v>
      </c>
      <c r="CG196" s="502">
        <f t="shared" si="804"/>
        <v>0</v>
      </c>
      <c r="CH196" s="502">
        <f t="shared" si="805"/>
        <v>0</v>
      </c>
      <c r="CI196" s="531">
        <f t="shared" si="806"/>
        <v>0.71399999999999997</v>
      </c>
      <c r="CJ196" s="502">
        <f t="shared" si="807"/>
        <v>8.3813279999999963</v>
      </c>
      <c r="CK196" s="502">
        <f t="shared" si="808"/>
        <v>8.3813279999999963</v>
      </c>
      <c r="CL196" s="502">
        <f t="shared" si="809"/>
        <v>0</v>
      </c>
      <c r="CM196" s="502">
        <f t="shared" si="810"/>
        <v>0</v>
      </c>
      <c r="CN196" s="502">
        <f t="shared" si="811"/>
        <v>4.76</v>
      </c>
      <c r="CO196" s="502">
        <f t="shared" si="812"/>
        <v>1.5312000000000001</v>
      </c>
      <c r="CP196" s="502">
        <f t="shared" si="813"/>
        <v>14.28</v>
      </c>
      <c r="CQ196" s="502">
        <f t="shared" si="814"/>
        <v>0.29702400000000112</v>
      </c>
      <c r="CR196" s="220">
        <f t="shared" si="815"/>
        <v>0</v>
      </c>
      <c r="CS196" s="503">
        <f t="shared" si="816"/>
        <v>0</v>
      </c>
      <c r="CT196" s="503">
        <f t="shared" si="817"/>
        <v>0.45984000000000003</v>
      </c>
      <c r="CU196" s="504">
        <f t="shared" si="818"/>
        <v>11.024640000000002</v>
      </c>
      <c r="CV196" s="504">
        <f t="shared" si="819"/>
        <v>1.5670440000000001</v>
      </c>
      <c r="CW196" s="502">
        <f t="shared" si="820"/>
        <v>20.321320000000004</v>
      </c>
      <c r="CX196" s="531">
        <f t="shared" si="821"/>
        <v>4.76</v>
      </c>
      <c r="CY196" s="537">
        <f t="shared" si="822"/>
        <v>2.38</v>
      </c>
      <c r="CZ196" s="502">
        <f t="shared" si="823"/>
        <v>2.4513847475961154E-2</v>
      </c>
    </row>
    <row r="197" spans="1:104" ht="25" x14ac:dyDescent="0.25">
      <c r="A197" s="413" t="str">
        <f>'BOCA DE LOBO'!C191</f>
        <v>BL106-&gt;PV2-112</v>
      </c>
      <c r="B197" s="413" t="str">
        <f>'BOCA DE LOBO'!A191</f>
        <v>PV2-112</v>
      </c>
      <c r="C197" s="413" t="str">
        <f>VLOOKUP(A197,'BOCA DE LOBO'!$C$82:$Q$270,3,0)</f>
        <v>EXISTENTE</v>
      </c>
      <c r="D197" s="413" t="str">
        <f>VLOOKUP(A197,'BOCA DE LOBO'!$C$82:$Q$270,10,0)</f>
        <v>PROJETADA</v>
      </c>
      <c r="E197" s="413">
        <f t="shared" si="738"/>
        <v>1.5779999999999454</v>
      </c>
      <c r="F197" s="413">
        <f>VLOOKUP(A197,'BOCA DE LOBO'!$C$82:$Q$270,2,0)</f>
        <v>1.8099999999999454</v>
      </c>
      <c r="G197" s="413">
        <f>VLOOKUP(A197,'BOCA DE LOBO'!$C$82:$Q$270,4,0)</f>
        <v>5.8</v>
      </c>
      <c r="H197" s="412">
        <v>400</v>
      </c>
      <c r="I197" s="493">
        <f t="shared" si="739"/>
        <v>1.8239999999999454</v>
      </c>
      <c r="J197" s="493">
        <f t="shared" si="740"/>
        <v>0.52895999999998422</v>
      </c>
      <c r="K197" s="530">
        <v>0</v>
      </c>
      <c r="L197" s="531">
        <f t="shared" si="741"/>
        <v>1</v>
      </c>
      <c r="M197" s="531">
        <f t="shared" si="742"/>
        <v>1</v>
      </c>
      <c r="N197" s="531">
        <f t="shared" si="743"/>
        <v>0</v>
      </c>
      <c r="O197" s="531">
        <f t="shared" si="744"/>
        <v>5.8</v>
      </c>
      <c r="P197" s="532" t="s">
        <v>2392</v>
      </c>
      <c r="Q197" s="539" t="s">
        <v>2970</v>
      </c>
      <c r="R197" s="534"/>
      <c r="S197" s="532">
        <v>2.5</v>
      </c>
      <c r="T197" s="532">
        <v>5</v>
      </c>
      <c r="U197" s="531">
        <f t="shared" si="745"/>
        <v>0.05</v>
      </c>
      <c r="V197" s="535">
        <f t="shared" si="746"/>
        <v>0</v>
      </c>
      <c r="W197" s="535">
        <f t="shared" si="747"/>
        <v>10.579199999999684</v>
      </c>
      <c r="X197" s="536">
        <f t="shared" si="748"/>
        <v>0</v>
      </c>
      <c r="Y197" s="536">
        <f t="shared" si="749"/>
        <v>0</v>
      </c>
      <c r="Z197" s="536">
        <f t="shared" si="750"/>
        <v>1.8239999999999454</v>
      </c>
      <c r="AA197" s="536">
        <f t="shared" si="751"/>
        <v>0</v>
      </c>
      <c r="AB197" s="496">
        <f t="shared" si="752"/>
        <v>5.8</v>
      </c>
      <c r="AC197" s="251">
        <f t="shared" si="753"/>
        <v>0</v>
      </c>
      <c r="AD197" s="251">
        <f t="shared" si="754"/>
        <v>0</v>
      </c>
      <c r="AE197" s="251">
        <f t="shared" si="755"/>
        <v>0</v>
      </c>
      <c r="AF197" s="251">
        <f t="shared" si="756"/>
        <v>8.6999999999999993</v>
      </c>
      <c r="AG197" s="251">
        <f t="shared" si="757"/>
        <v>1.8791999999996836</v>
      </c>
      <c r="AH197" s="251">
        <f t="shared" si="758"/>
        <v>0</v>
      </c>
      <c r="AI197" s="497" t="str">
        <f t="shared" si="759"/>
        <v>NÃO</v>
      </c>
      <c r="AJ197" s="531">
        <f t="shared" si="760"/>
        <v>0</v>
      </c>
      <c r="AK197" s="531">
        <f t="shared" si="761"/>
        <v>0</v>
      </c>
      <c r="AL197" s="531">
        <f t="shared" si="762"/>
        <v>9.8503505043668511</v>
      </c>
      <c r="AM197" s="493">
        <f t="shared" si="763"/>
        <v>0.28999999999999998</v>
      </c>
      <c r="AN197" s="535">
        <f t="shared" si="764"/>
        <v>0</v>
      </c>
      <c r="AO197" s="531">
        <f t="shared" si="765"/>
        <v>0</v>
      </c>
      <c r="AP197" s="531">
        <f t="shared" si="766"/>
        <v>0</v>
      </c>
      <c r="AQ197" s="531">
        <f t="shared" si="767"/>
        <v>0.7</v>
      </c>
      <c r="AR197" s="531">
        <f t="shared" si="768"/>
        <v>3.3311505043671676</v>
      </c>
      <c r="AS197" s="531">
        <f t="shared" si="769"/>
        <v>0</v>
      </c>
      <c r="AT197" s="531">
        <f t="shared" si="770"/>
        <v>0.87</v>
      </c>
      <c r="AU197" s="531">
        <f t="shared" si="771"/>
        <v>0.87</v>
      </c>
      <c r="AV197" s="531">
        <f t="shared" si="772"/>
        <v>0.17399999999999999</v>
      </c>
      <c r="AW197" s="531">
        <f t="shared" si="773"/>
        <v>4.489199999999685</v>
      </c>
      <c r="AX197" s="531">
        <f t="shared" si="774"/>
        <v>6.3780494956325153</v>
      </c>
      <c r="AY197" s="531">
        <f t="shared" si="775"/>
        <v>4.489199999999685</v>
      </c>
      <c r="AZ197" s="531">
        <f t="shared" si="776"/>
        <v>0</v>
      </c>
      <c r="BA197" s="531">
        <f t="shared" si="777"/>
        <v>0</v>
      </c>
      <c r="BB197" s="531">
        <f t="shared" si="778"/>
        <v>0</v>
      </c>
      <c r="BC197" s="531"/>
      <c r="BD197" s="531">
        <f t="shared" si="779"/>
        <v>3.4799999999999998E-2</v>
      </c>
      <c r="BE197" s="496">
        <f t="shared" si="780"/>
        <v>1.8239999999999454</v>
      </c>
      <c r="BF197" s="498">
        <f t="shared" si="781"/>
        <v>0</v>
      </c>
      <c r="BG197" s="498">
        <f t="shared" si="782"/>
        <v>5.8</v>
      </c>
      <c r="BH197" s="532" t="str">
        <f>VLOOKUP(A197,'BOCA DE LOBO'!C:I,7,0)</f>
        <v>BOCA DE LOBO PROJETADA DUPLA</v>
      </c>
      <c r="BI197" s="531">
        <f t="shared" si="783"/>
        <v>0</v>
      </c>
      <c r="BJ197" s="531">
        <f t="shared" si="784"/>
        <v>0</v>
      </c>
      <c r="BK197" s="531">
        <f t="shared" si="785"/>
        <v>0</v>
      </c>
      <c r="BL197" s="531">
        <f t="shared" si="786"/>
        <v>0</v>
      </c>
      <c r="BM197" s="531">
        <f t="shared" si="787"/>
        <v>0</v>
      </c>
      <c r="BN197" s="531">
        <f t="shared" si="788"/>
        <v>1</v>
      </c>
      <c r="BO197" s="499">
        <f t="shared" si="789"/>
        <v>0</v>
      </c>
      <c r="BP197" s="500"/>
      <c r="BQ197" s="496">
        <f t="shared" si="790"/>
        <v>17.399999999999999</v>
      </c>
      <c r="BR197" s="496">
        <f t="shared" si="791"/>
        <v>3.7583999999993671</v>
      </c>
      <c r="BS197" s="496">
        <f t="shared" si="792"/>
        <v>0</v>
      </c>
      <c r="BT197" s="501"/>
      <c r="BU197" s="501"/>
      <c r="BV197" s="502">
        <f t="shared" si="793"/>
        <v>12.280942799999574</v>
      </c>
      <c r="BW197" s="502">
        <f t="shared" si="794"/>
        <v>7.7825999999999986</v>
      </c>
      <c r="BX197" s="502">
        <f t="shared" si="795"/>
        <v>3.0325999999999995</v>
      </c>
      <c r="BY197" s="502">
        <f t="shared" si="796"/>
        <v>1.5779999999999454</v>
      </c>
      <c r="BZ197" s="502">
        <f t="shared" si="797"/>
        <v>1.5779999999999454</v>
      </c>
      <c r="CA197" s="502">
        <f t="shared" si="798"/>
        <v>0</v>
      </c>
      <c r="CB197" s="502">
        <f t="shared" si="799"/>
        <v>0</v>
      </c>
      <c r="CC197" s="502">
        <f t="shared" si="800"/>
        <v>11.673899999999998</v>
      </c>
      <c r="CD197" s="502">
        <f t="shared" si="801"/>
        <v>0.60704279999957533</v>
      </c>
      <c r="CE197" s="502">
        <f t="shared" si="802"/>
        <v>0</v>
      </c>
      <c r="CF197" s="502">
        <f t="shared" si="803"/>
        <v>0</v>
      </c>
      <c r="CG197" s="502">
        <f t="shared" si="804"/>
        <v>0</v>
      </c>
      <c r="CH197" s="502">
        <f t="shared" si="805"/>
        <v>0</v>
      </c>
      <c r="CI197" s="531">
        <f t="shared" si="806"/>
        <v>0.53549999999999998</v>
      </c>
      <c r="CJ197" s="502">
        <f t="shared" si="807"/>
        <v>6.9599999999997397</v>
      </c>
      <c r="CK197" s="502">
        <f t="shared" si="808"/>
        <v>6.9599999999997397</v>
      </c>
      <c r="CL197" s="502">
        <f t="shared" si="809"/>
        <v>0</v>
      </c>
      <c r="CM197" s="502">
        <f t="shared" si="810"/>
        <v>0</v>
      </c>
      <c r="CN197" s="502">
        <f t="shared" si="811"/>
        <v>3.57</v>
      </c>
      <c r="CO197" s="502">
        <f t="shared" si="812"/>
        <v>1.5779999999999454</v>
      </c>
      <c r="CP197" s="502">
        <f t="shared" si="813"/>
        <v>10.709999999999999</v>
      </c>
      <c r="CQ197" s="502">
        <f t="shared" si="814"/>
        <v>0.5569199999996105</v>
      </c>
      <c r="CR197" s="220">
        <f t="shared" si="815"/>
        <v>0</v>
      </c>
      <c r="CS197" s="503">
        <f t="shared" si="816"/>
        <v>0</v>
      </c>
      <c r="CT197" s="503">
        <f t="shared" si="817"/>
        <v>0.33012999999999998</v>
      </c>
      <c r="CU197" s="504">
        <f t="shared" si="818"/>
        <v>8.2055999999997162</v>
      </c>
      <c r="CV197" s="504">
        <f t="shared" si="819"/>
        <v>1.1568179999999832</v>
      </c>
      <c r="CW197" s="502">
        <f t="shared" si="820"/>
        <v>16.16723999999958</v>
      </c>
      <c r="CX197" s="531">
        <f t="shared" si="821"/>
        <v>3.57</v>
      </c>
      <c r="CY197" s="537">
        <f t="shared" si="822"/>
        <v>1.7849999999999999</v>
      </c>
      <c r="CZ197" s="502">
        <f t="shared" si="823"/>
        <v>2.4513847475961154E-2</v>
      </c>
    </row>
    <row r="198" spans="1:104" ht="25" x14ac:dyDescent="0.25">
      <c r="A198" s="413" t="str">
        <f>'BOCA DE LOBO'!C192</f>
        <v>BL107-&gt;PV3-112</v>
      </c>
      <c r="B198" s="413" t="str">
        <f>'BOCA DE LOBO'!A192</f>
        <v>PV3-112</v>
      </c>
      <c r="C198" s="413" t="str">
        <f>VLOOKUP(A198,'BOCA DE LOBO'!$C$82:$Q$270,3,0)</f>
        <v>EXISTENTE</v>
      </c>
      <c r="D198" s="413" t="str">
        <f>VLOOKUP(A198,'BOCA DE LOBO'!$C$82:$Q$270,10,0)</f>
        <v>PROJETADA</v>
      </c>
      <c r="E198" s="413">
        <f t="shared" si="738"/>
        <v>1.7395999999999501</v>
      </c>
      <c r="F198" s="413">
        <f>VLOOKUP(A198,'BOCA DE LOBO'!$C$82:$Q$270,2,0)</f>
        <v>1.92999999999995</v>
      </c>
      <c r="G198" s="413">
        <f>VLOOKUP(A198,'BOCA DE LOBO'!$C$82:$Q$270,4,0)</f>
        <v>4.76</v>
      </c>
      <c r="H198" s="412">
        <v>400</v>
      </c>
      <c r="I198" s="493">
        <f t="shared" si="739"/>
        <v>1.9647999999999501</v>
      </c>
      <c r="J198" s="493">
        <f t="shared" si="740"/>
        <v>0.46762239999998811</v>
      </c>
      <c r="K198" s="530">
        <v>0</v>
      </c>
      <c r="L198" s="531">
        <f t="shared" si="741"/>
        <v>1</v>
      </c>
      <c r="M198" s="531">
        <f t="shared" si="742"/>
        <v>1</v>
      </c>
      <c r="N198" s="531">
        <f t="shared" si="743"/>
        <v>0</v>
      </c>
      <c r="O198" s="531">
        <f t="shared" si="744"/>
        <v>4.76</v>
      </c>
      <c r="P198" s="532" t="s">
        <v>2392</v>
      </c>
      <c r="Q198" s="539" t="s">
        <v>2969</v>
      </c>
      <c r="R198" s="534">
        <v>1</v>
      </c>
      <c r="S198" s="532">
        <v>5</v>
      </c>
      <c r="T198" s="532">
        <v>5</v>
      </c>
      <c r="U198" s="531">
        <f t="shared" si="745"/>
        <v>0.05</v>
      </c>
      <c r="V198" s="535">
        <f t="shared" si="746"/>
        <v>0</v>
      </c>
      <c r="W198" s="535">
        <f t="shared" si="747"/>
        <v>11.256447999999763</v>
      </c>
      <c r="X198" s="536">
        <f t="shared" si="748"/>
        <v>0</v>
      </c>
      <c r="Y198" s="536">
        <f t="shared" si="749"/>
        <v>2.3647999999999501</v>
      </c>
      <c r="Z198" s="536">
        <f t="shared" si="750"/>
        <v>0</v>
      </c>
      <c r="AA198" s="536">
        <f t="shared" si="751"/>
        <v>1.9647999999999501</v>
      </c>
      <c r="AB198" s="496">
        <f t="shared" si="752"/>
        <v>4.76</v>
      </c>
      <c r="AC198" s="251">
        <f t="shared" si="753"/>
        <v>7.14</v>
      </c>
      <c r="AD198" s="251">
        <f t="shared" si="754"/>
        <v>4.1164479999997621</v>
      </c>
      <c r="AE198" s="251">
        <f t="shared" si="755"/>
        <v>0</v>
      </c>
      <c r="AF198" s="251">
        <f t="shared" si="756"/>
        <v>0</v>
      </c>
      <c r="AG198" s="251">
        <f t="shared" si="757"/>
        <v>0</v>
      </c>
      <c r="AH198" s="251">
        <f t="shared" si="758"/>
        <v>0</v>
      </c>
      <c r="AI198" s="497" t="str">
        <f t="shared" si="759"/>
        <v>NÃO</v>
      </c>
      <c r="AJ198" s="531">
        <f t="shared" si="760"/>
        <v>0</v>
      </c>
      <c r="AK198" s="531">
        <f t="shared" si="761"/>
        <v>0</v>
      </c>
      <c r="AL198" s="531">
        <f t="shared" si="762"/>
        <v>10.658288758756266</v>
      </c>
      <c r="AM198" s="493">
        <f t="shared" si="763"/>
        <v>0.23799999999999999</v>
      </c>
      <c r="AN198" s="535">
        <f t="shared" si="764"/>
        <v>0</v>
      </c>
      <c r="AO198" s="531">
        <f t="shared" si="765"/>
        <v>1.9039999999999999</v>
      </c>
      <c r="AP198" s="531">
        <f t="shared" si="766"/>
        <v>1.9039999999999999</v>
      </c>
      <c r="AQ198" s="531">
        <f t="shared" si="767"/>
        <v>0.7</v>
      </c>
      <c r="AR198" s="531">
        <f t="shared" si="768"/>
        <v>2.7338407587565032</v>
      </c>
      <c r="AS198" s="531">
        <f t="shared" si="769"/>
        <v>2.7338407587565032</v>
      </c>
      <c r="AT198" s="531">
        <f t="shared" si="770"/>
        <v>0.71399999999999997</v>
      </c>
      <c r="AU198" s="531">
        <f t="shared" si="771"/>
        <v>0.71399999999999997</v>
      </c>
      <c r="AV198" s="531">
        <f t="shared" si="772"/>
        <v>0.14279999999999998</v>
      </c>
      <c r="AW198" s="531">
        <f t="shared" si="773"/>
        <v>4.3544479999997616</v>
      </c>
      <c r="AX198" s="531">
        <f t="shared" si="774"/>
        <v>-5.3518407587565031</v>
      </c>
      <c r="AY198" s="531">
        <f t="shared" si="775"/>
        <v>-5.3518407587565031</v>
      </c>
      <c r="AZ198" s="531">
        <f t="shared" si="776"/>
        <v>9.7062887587562656</v>
      </c>
      <c r="BA198" s="531">
        <f t="shared" si="777"/>
        <v>1.9599958171721352</v>
      </c>
      <c r="BB198" s="531">
        <f t="shared" si="778"/>
        <v>7.7462929415841302</v>
      </c>
      <c r="BC198" s="531"/>
      <c r="BD198" s="531">
        <f t="shared" si="779"/>
        <v>0.10471999999999999</v>
      </c>
      <c r="BE198" s="496">
        <f t="shared" si="780"/>
        <v>1.9647999999999501</v>
      </c>
      <c r="BF198" s="498">
        <f t="shared" si="781"/>
        <v>0</v>
      </c>
      <c r="BG198" s="498">
        <f t="shared" si="782"/>
        <v>4.76</v>
      </c>
      <c r="BH198" s="532" t="str">
        <f>VLOOKUP(A198,'BOCA DE LOBO'!C:I,7,0)</f>
        <v>BOCA DE LOBO PROJETADA DUPLA</v>
      </c>
      <c r="BI198" s="531">
        <f t="shared" si="783"/>
        <v>0</v>
      </c>
      <c r="BJ198" s="531">
        <f t="shared" si="784"/>
        <v>0</v>
      </c>
      <c r="BK198" s="531">
        <f t="shared" si="785"/>
        <v>0</v>
      </c>
      <c r="BL198" s="531">
        <f t="shared" si="786"/>
        <v>0</v>
      </c>
      <c r="BM198" s="531">
        <f t="shared" si="787"/>
        <v>0</v>
      </c>
      <c r="BN198" s="531">
        <f t="shared" si="788"/>
        <v>1</v>
      </c>
      <c r="BO198" s="499">
        <f t="shared" si="789"/>
        <v>0</v>
      </c>
      <c r="BP198" s="500"/>
      <c r="BQ198" s="496">
        <f t="shared" si="790"/>
        <v>14.28</v>
      </c>
      <c r="BR198" s="496">
        <f t="shared" si="791"/>
        <v>9.1848959999995241</v>
      </c>
      <c r="BS198" s="496">
        <f t="shared" si="792"/>
        <v>0</v>
      </c>
      <c r="BT198" s="501"/>
      <c r="BU198" s="501"/>
      <c r="BV198" s="502">
        <f t="shared" si="793"/>
        <v>17.42991095999961</v>
      </c>
      <c r="BW198" s="502">
        <f t="shared" si="794"/>
        <v>7.7825999999999986</v>
      </c>
      <c r="BX198" s="502">
        <f t="shared" si="795"/>
        <v>3.0325999999999995</v>
      </c>
      <c r="BY198" s="502">
        <f t="shared" si="796"/>
        <v>1.7395999999999501</v>
      </c>
      <c r="BZ198" s="502">
        <f t="shared" si="797"/>
        <v>0</v>
      </c>
      <c r="CA198" s="502">
        <f t="shared" si="798"/>
        <v>2.13959999999995</v>
      </c>
      <c r="CB198" s="502">
        <f t="shared" si="799"/>
        <v>0</v>
      </c>
      <c r="CC198" s="502">
        <f t="shared" si="800"/>
        <v>0</v>
      </c>
      <c r="CD198" s="502">
        <f t="shared" si="801"/>
        <v>0</v>
      </c>
      <c r="CE198" s="502">
        <f t="shared" si="802"/>
        <v>11.673899999999998</v>
      </c>
      <c r="CF198" s="502">
        <f t="shared" si="803"/>
        <v>4.9777509599996099</v>
      </c>
      <c r="CG198" s="502">
        <f t="shared" si="804"/>
        <v>0.77826000000000306</v>
      </c>
      <c r="CH198" s="502">
        <f t="shared" si="805"/>
        <v>0</v>
      </c>
      <c r="CI198" s="531">
        <f t="shared" si="806"/>
        <v>0.53549999999999998</v>
      </c>
      <c r="CJ198" s="502">
        <f t="shared" si="807"/>
        <v>9.6275999999997595</v>
      </c>
      <c r="CK198" s="502">
        <f t="shared" si="808"/>
        <v>9.6275999999997595</v>
      </c>
      <c r="CL198" s="502">
        <f t="shared" si="809"/>
        <v>0</v>
      </c>
      <c r="CM198" s="502">
        <f t="shared" si="810"/>
        <v>0.15565199999999998</v>
      </c>
      <c r="CN198" s="502">
        <f t="shared" si="811"/>
        <v>3.57</v>
      </c>
      <c r="CO198" s="502">
        <f t="shared" si="812"/>
        <v>2.2395999999999501</v>
      </c>
      <c r="CP198" s="502">
        <f t="shared" si="813"/>
        <v>10.709999999999999</v>
      </c>
      <c r="CQ198" s="502">
        <f t="shared" si="814"/>
        <v>5.2807439999996433</v>
      </c>
      <c r="CR198" s="220">
        <f t="shared" si="815"/>
        <v>0</v>
      </c>
      <c r="CS198" s="503">
        <f t="shared" si="816"/>
        <v>0</v>
      </c>
      <c r="CT198" s="503">
        <f t="shared" si="817"/>
        <v>0.33012999999999998</v>
      </c>
      <c r="CU198" s="504">
        <f t="shared" si="818"/>
        <v>9.0459199999997413</v>
      </c>
      <c r="CV198" s="504">
        <f t="shared" si="819"/>
        <v>1.2062675999999846</v>
      </c>
      <c r="CW198" s="502">
        <f t="shared" si="820"/>
        <v>17.408327999999617</v>
      </c>
      <c r="CX198" s="531">
        <f t="shared" si="821"/>
        <v>3.57</v>
      </c>
      <c r="CY198" s="537">
        <f t="shared" si="822"/>
        <v>1.7849999999999999</v>
      </c>
      <c r="CZ198" s="502">
        <f t="shared" si="823"/>
        <v>2.4513847475961154E-2</v>
      </c>
    </row>
    <row r="199" spans="1:104" ht="25" x14ac:dyDescent="0.25">
      <c r="A199" s="413" t="str">
        <f>'BOCA DE LOBO'!C193</f>
        <v>BL108-&gt;PV1-113</v>
      </c>
      <c r="B199" s="413" t="str">
        <f>'BOCA DE LOBO'!A193</f>
        <v>PV1-113</v>
      </c>
      <c r="C199" s="413" t="str">
        <f>VLOOKUP(A199,'BOCA DE LOBO'!$C$82:$Q$270,3,0)</f>
        <v>EXISTENTE</v>
      </c>
      <c r="D199" s="413" t="str">
        <f>VLOOKUP(A199,'BOCA DE LOBO'!$C$82:$Q$270,10,0)</f>
        <v>PROJETADA</v>
      </c>
      <c r="E199" s="413">
        <f t="shared" si="738"/>
        <v>1.5187999999999999</v>
      </c>
      <c r="F199" s="413">
        <f>VLOOKUP(A199,'BOCA DE LOBO'!$C$82:$Q$270,2,0)</f>
        <v>1.75</v>
      </c>
      <c r="G199" s="413">
        <f>VLOOKUP(A199,'BOCA DE LOBO'!$C$82:$Q$270,4,0)</f>
        <v>5.78</v>
      </c>
      <c r="H199" s="412">
        <v>400</v>
      </c>
      <c r="I199" s="493">
        <f t="shared" si="739"/>
        <v>1.7644</v>
      </c>
      <c r="J199" s="493">
        <f t="shared" si="740"/>
        <v>0.50991160000000002</v>
      </c>
      <c r="K199" s="530">
        <v>0</v>
      </c>
      <c r="L199" s="531">
        <f t="shared" si="741"/>
        <v>1</v>
      </c>
      <c r="M199" s="531">
        <f t="shared" si="742"/>
        <v>1</v>
      </c>
      <c r="N199" s="531">
        <f t="shared" si="743"/>
        <v>0</v>
      </c>
      <c r="O199" s="531">
        <f t="shared" si="744"/>
        <v>5.78</v>
      </c>
      <c r="P199" s="532" t="s">
        <v>2392</v>
      </c>
      <c r="Q199" s="539" t="s">
        <v>2970</v>
      </c>
      <c r="R199" s="534"/>
      <c r="S199" s="532">
        <v>2.5</v>
      </c>
      <c r="T199" s="532">
        <v>5</v>
      </c>
      <c r="U199" s="531">
        <f t="shared" si="745"/>
        <v>0.05</v>
      </c>
      <c r="V199" s="535">
        <f t="shared" si="746"/>
        <v>0</v>
      </c>
      <c r="W199" s="535">
        <f t="shared" si="747"/>
        <v>10.198232000000001</v>
      </c>
      <c r="X199" s="536">
        <f t="shared" si="748"/>
        <v>0</v>
      </c>
      <c r="Y199" s="536">
        <f t="shared" si="749"/>
        <v>0</v>
      </c>
      <c r="Z199" s="536">
        <f t="shared" si="750"/>
        <v>1.7644</v>
      </c>
      <c r="AA199" s="536">
        <f t="shared" si="751"/>
        <v>0</v>
      </c>
      <c r="AB199" s="496">
        <f t="shared" si="752"/>
        <v>5.78</v>
      </c>
      <c r="AC199" s="251">
        <f t="shared" si="753"/>
        <v>0</v>
      </c>
      <c r="AD199" s="251">
        <f t="shared" si="754"/>
        <v>0</v>
      </c>
      <c r="AE199" s="251">
        <f t="shared" si="755"/>
        <v>0</v>
      </c>
      <c r="AF199" s="251">
        <f t="shared" si="756"/>
        <v>8.67</v>
      </c>
      <c r="AG199" s="251">
        <f t="shared" si="757"/>
        <v>1.5282319999999998</v>
      </c>
      <c r="AH199" s="251">
        <f t="shared" si="758"/>
        <v>0</v>
      </c>
      <c r="AI199" s="497" t="str">
        <f t="shared" si="759"/>
        <v>NÃO</v>
      </c>
      <c r="AJ199" s="531">
        <f t="shared" si="760"/>
        <v>0</v>
      </c>
      <c r="AK199" s="531">
        <f t="shared" si="761"/>
        <v>0</v>
      </c>
      <c r="AL199" s="531">
        <f t="shared" si="762"/>
        <v>9.4718957784900404</v>
      </c>
      <c r="AM199" s="493">
        <f t="shared" si="763"/>
        <v>0.28900000000000003</v>
      </c>
      <c r="AN199" s="535">
        <f t="shared" si="764"/>
        <v>0</v>
      </c>
      <c r="AO199" s="531">
        <f t="shared" si="765"/>
        <v>0</v>
      </c>
      <c r="AP199" s="531">
        <f t="shared" si="766"/>
        <v>0</v>
      </c>
      <c r="AQ199" s="531">
        <f t="shared" si="767"/>
        <v>0.7</v>
      </c>
      <c r="AR199" s="531">
        <f t="shared" si="768"/>
        <v>3.3196637784900398</v>
      </c>
      <c r="AS199" s="531">
        <f t="shared" si="769"/>
        <v>0</v>
      </c>
      <c r="AT199" s="531">
        <f t="shared" si="770"/>
        <v>0.86699999999999999</v>
      </c>
      <c r="AU199" s="531">
        <f t="shared" si="771"/>
        <v>0.86699999999999999</v>
      </c>
      <c r="AV199" s="531">
        <f t="shared" si="772"/>
        <v>0.1734</v>
      </c>
      <c r="AW199" s="531">
        <f t="shared" si="773"/>
        <v>4.1292320000000018</v>
      </c>
      <c r="AX199" s="531">
        <f t="shared" si="774"/>
        <v>6.0115682215099602</v>
      </c>
      <c r="AY199" s="531">
        <f t="shared" si="775"/>
        <v>4.1292320000000018</v>
      </c>
      <c r="AZ199" s="531">
        <f t="shared" si="776"/>
        <v>0</v>
      </c>
      <c r="BA199" s="531">
        <f t="shared" si="777"/>
        <v>0</v>
      </c>
      <c r="BB199" s="531">
        <f t="shared" si="778"/>
        <v>0</v>
      </c>
      <c r="BC199" s="531"/>
      <c r="BD199" s="531">
        <f t="shared" si="779"/>
        <v>3.4680000000000002E-2</v>
      </c>
      <c r="BE199" s="496">
        <f t="shared" si="780"/>
        <v>1.7644</v>
      </c>
      <c r="BF199" s="498">
        <f t="shared" si="781"/>
        <v>0</v>
      </c>
      <c r="BG199" s="498">
        <f t="shared" si="782"/>
        <v>5.78</v>
      </c>
      <c r="BH199" s="532" t="str">
        <f>VLOOKUP(A199,'BOCA DE LOBO'!C:I,7,0)</f>
        <v>BOCA DE LOBO PROJETADA TRIPLA</v>
      </c>
      <c r="BI199" s="531">
        <f t="shared" si="783"/>
        <v>0</v>
      </c>
      <c r="BJ199" s="531">
        <f t="shared" si="784"/>
        <v>0</v>
      </c>
      <c r="BK199" s="531">
        <f t="shared" si="785"/>
        <v>0</v>
      </c>
      <c r="BL199" s="531">
        <f t="shared" si="786"/>
        <v>0</v>
      </c>
      <c r="BM199" s="531">
        <f t="shared" si="787"/>
        <v>0</v>
      </c>
      <c r="BN199" s="531">
        <f t="shared" si="788"/>
        <v>0</v>
      </c>
      <c r="BO199" s="499">
        <f t="shared" si="789"/>
        <v>1</v>
      </c>
      <c r="BP199" s="500"/>
      <c r="BQ199" s="496">
        <f t="shared" si="790"/>
        <v>17.34</v>
      </c>
      <c r="BR199" s="496">
        <f t="shared" si="791"/>
        <v>3.0564639999999996</v>
      </c>
      <c r="BS199" s="496">
        <f t="shared" si="792"/>
        <v>0</v>
      </c>
      <c r="BT199" s="501"/>
      <c r="BU199" s="501"/>
      <c r="BV199" s="502">
        <f t="shared" si="793"/>
        <v>15.760283839999996</v>
      </c>
      <c r="BW199" s="502">
        <f t="shared" si="794"/>
        <v>10.376799999999998</v>
      </c>
      <c r="BX199" s="502">
        <f t="shared" si="795"/>
        <v>4.4367999999999999</v>
      </c>
      <c r="BY199" s="502">
        <f t="shared" si="796"/>
        <v>1.5187999999999999</v>
      </c>
      <c r="BZ199" s="502">
        <f t="shared" si="797"/>
        <v>1.5187999999999999</v>
      </c>
      <c r="CA199" s="502">
        <f t="shared" si="798"/>
        <v>0</v>
      </c>
      <c r="CB199" s="502">
        <f t="shared" si="799"/>
        <v>0</v>
      </c>
      <c r="CC199" s="502">
        <f t="shared" si="800"/>
        <v>15.565199999999997</v>
      </c>
      <c r="CD199" s="502">
        <f t="shared" si="801"/>
        <v>0.1950838399999992</v>
      </c>
      <c r="CE199" s="502">
        <f t="shared" si="802"/>
        <v>0</v>
      </c>
      <c r="CF199" s="502">
        <f t="shared" si="803"/>
        <v>0</v>
      </c>
      <c r="CG199" s="502">
        <f t="shared" si="804"/>
        <v>0</v>
      </c>
      <c r="CH199" s="502">
        <f t="shared" si="805"/>
        <v>0</v>
      </c>
      <c r="CI199" s="531">
        <f t="shared" si="806"/>
        <v>0.71399999999999997</v>
      </c>
      <c r="CJ199" s="502">
        <f t="shared" si="807"/>
        <v>8.3076719999999948</v>
      </c>
      <c r="CK199" s="502">
        <f t="shared" si="808"/>
        <v>8.3076719999999948</v>
      </c>
      <c r="CL199" s="502">
        <f t="shared" si="809"/>
        <v>0</v>
      </c>
      <c r="CM199" s="502">
        <f t="shared" si="810"/>
        <v>0</v>
      </c>
      <c r="CN199" s="502">
        <f t="shared" si="811"/>
        <v>4.76</v>
      </c>
      <c r="CO199" s="502">
        <f t="shared" si="812"/>
        <v>1.5187999999999999</v>
      </c>
      <c r="CP199" s="502">
        <f t="shared" si="813"/>
        <v>14.28</v>
      </c>
      <c r="CQ199" s="502">
        <f t="shared" si="814"/>
        <v>0.1789759999999993</v>
      </c>
      <c r="CR199" s="220">
        <f t="shared" si="815"/>
        <v>0</v>
      </c>
      <c r="CS199" s="503">
        <f t="shared" si="816"/>
        <v>0</v>
      </c>
      <c r="CT199" s="503">
        <f t="shared" si="817"/>
        <v>0.45984000000000003</v>
      </c>
      <c r="CU199" s="504">
        <f t="shared" si="818"/>
        <v>10.935359999999999</v>
      </c>
      <c r="CV199" s="504">
        <f t="shared" si="819"/>
        <v>1.5623010000000002</v>
      </c>
      <c r="CW199" s="502">
        <f t="shared" si="820"/>
        <v>20.202280000000002</v>
      </c>
      <c r="CX199" s="531">
        <f t="shared" si="821"/>
        <v>4.76</v>
      </c>
      <c r="CY199" s="537">
        <f t="shared" si="822"/>
        <v>2.38</v>
      </c>
      <c r="CZ199" s="502">
        <f t="shared" si="823"/>
        <v>2.4513847475961154E-2</v>
      </c>
    </row>
    <row r="200" spans="1:104" ht="25" x14ac:dyDescent="0.25">
      <c r="A200" s="413" t="str">
        <f>'BOCA DE LOBO'!C194</f>
        <v>BL109-&gt;PV2-113</v>
      </c>
      <c r="B200" s="413" t="str">
        <f>'BOCA DE LOBO'!A194</f>
        <v>PV2-113</v>
      </c>
      <c r="C200" s="413" t="str">
        <f>VLOOKUP(A200,'BOCA DE LOBO'!$C$82:$Q$270,3,0)</f>
        <v>EXISTENTE</v>
      </c>
      <c r="D200" s="413" t="str">
        <f>VLOOKUP(A200,'BOCA DE LOBO'!$C$82:$Q$270,10,0)</f>
        <v>PROJETADA</v>
      </c>
      <c r="E200" s="413">
        <f t="shared" si="738"/>
        <v>1.5192000000000001</v>
      </c>
      <c r="F200" s="413">
        <f>VLOOKUP(A200,'BOCA DE LOBO'!$C$82:$Q$270,2,0)</f>
        <v>1.75</v>
      </c>
      <c r="G200" s="413">
        <f>VLOOKUP(A200,'BOCA DE LOBO'!$C$82:$Q$270,4,0)</f>
        <v>5.77</v>
      </c>
      <c r="H200" s="412">
        <v>400</v>
      </c>
      <c r="I200" s="493">
        <f t="shared" si="739"/>
        <v>1.7646000000000002</v>
      </c>
      <c r="J200" s="493">
        <f t="shared" si="740"/>
        <v>0.50908710000000001</v>
      </c>
      <c r="K200" s="530">
        <v>0</v>
      </c>
      <c r="L200" s="531">
        <f t="shared" si="741"/>
        <v>1</v>
      </c>
      <c r="M200" s="531">
        <f t="shared" si="742"/>
        <v>1</v>
      </c>
      <c r="N200" s="531">
        <f t="shared" si="743"/>
        <v>0</v>
      </c>
      <c r="O200" s="531">
        <f t="shared" si="744"/>
        <v>5.77</v>
      </c>
      <c r="P200" s="532" t="s">
        <v>2392</v>
      </c>
      <c r="Q200" s="539" t="s">
        <v>2970</v>
      </c>
      <c r="R200" s="534"/>
      <c r="S200" s="532">
        <v>2.5</v>
      </c>
      <c r="T200" s="532">
        <v>5</v>
      </c>
      <c r="U200" s="531">
        <f t="shared" si="745"/>
        <v>0.05</v>
      </c>
      <c r="V200" s="535">
        <f t="shared" si="746"/>
        <v>0</v>
      </c>
      <c r="W200" s="535">
        <f t="shared" si="747"/>
        <v>10.181742</v>
      </c>
      <c r="X200" s="536">
        <f t="shared" si="748"/>
        <v>0</v>
      </c>
      <c r="Y200" s="536">
        <f t="shared" si="749"/>
        <v>0</v>
      </c>
      <c r="Z200" s="536">
        <f t="shared" si="750"/>
        <v>1.7646000000000002</v>
      </c>
      <c r="AA200" s="536">
        <f t="shared" si="751"/>
        <v>0</v>
      </c>
      <c r="AB200" s="496">
        <f t="shared" si="752"/>
        <v>5.77</v>
      </c>
      <c r="AC200" s="251">
        <f t="shared" si="753"/>
        <v>0</v>
      </c>
      <c r="AD200" s="251">
        <f t="shared" si="754"/>
        <v>0</v>
      </c>
      <c r="AE200" s="251">
        <f t="shared" si="755"/>
        <v>0</v>
      </c>
      <c r="AF200" s="251">
        <f t="shared" si="756"/>
        <v>8.6549999999999994</v>
      </c>
      <c r="AG200" s="251">
        <f t="shared" si="757"/>
        <v>1.5267420000000009</v>
      </c>
      <c r="AH200" s="251">
        <f t="shared" si="758"/>
        <v>0</v>
      </c>
      <c r="AI200" s="497" t="str">
        <f t="shared" si="759"/>
        <v>NÃO</v>
      </c>
      <c r="AJ200" s="531">
        <f t="shared" si="760"/>
        <v>0</v>
      </c>
      <c r="AK200" s="531">
        <f t="shared" si="761"/>
        <v>0</v>
      </c>
      <c r="AL200" s="531">
        <f t="shared" si="762"/>
        <v>9.4566624155514756</v>
      </c>
      <c r="AM200" s="493">
        <f t="shared" si="763"/>
        <v>0.28849999999999998</v>
      </c>
      <c r="AN200" s="535">
        <f t="shared" si="764"/>
        <v>0</v>
      </c>
      <c r="AO200" s="531">
        <f t="shared" si="765"/>
        <v>0</v>
      </c>
      <c r="AP200" s="531">
        <f t="shared" si="766"/>
        <v>0</v>
      </c>
      <c r="AQ200" s="531">
        <f t="shared" si="767"/>
        <v>0.7</v>
      </c>
      <c r="AR200" s="531">
        <f t="shared" si="768"/>
        <v>3.3139204155514754</v>
      </c>
      <c r="AS200" s="531">
        <f t="shared" si="769"/>
        <v>0</v>
      </c>
      <c r="AT200" s="531">
        <f t="shared" si="770"/>
        <v>0.86549999999999994</v>
      </c>
      <c r="AU200" s="531">
        <f t="shared" si="771"/>
        <v>0.86549999999999994</v>
      </c>
      <c r="AV200" s="531">
        <f t="shared" si="772"/>
        <v>0.17309999999999998</v>
      </c>
      <c r="AW200" s="531">
        <f t="shared" si="773"/>
        <v>4.1232419999999985</v>
      </c>
      <c r="AX200" s="531">
        <f t="shared" si="774"/>
        <v>6.0023215844485236</v>
      </c>
      <c r="AY200" s="531">
        <f t="shared" si="775"/>
        <v>4.1232419999999985</v>
      </c>
      <c r="AZ200" s="531">
        <f t="shared" si="776"/>
        <v>0</v>
      </c>
      <c r="BA200" s="531">
        <f t="shared" si="777"/>
        <v>0</v>
      </c>
      <c r="BB200" s="531">
        <f t="shared" si="778"/>
        <v>0</v>
      </c>
      <c r="BC200" s="531"/>
      <c r="BD200" s="531">
        <f t="shared" si="779"/>
        <v>3.4619999999999998E-2</v>
      </c>
      <c r="BE200" s="496">
        <f t="shared" si="780"/>
        <v>1.7646000000000002</v>
      </c>
      <c r="BF200" s="498">
        <f t="shared" si="781"/>
        <v>0</v>
      </c>
      <c r="BG200" s="498">
        <f t="shared" si="782"/>
        <v>5.77</v>
      </c>
      <c r="BH200" s="532" t="str">
        <f>VLOOKUP(A200,'BOCA DE LOBO'!C:I,7,0)</f>
        <v>BOCA DE LOBO PROJETADA DUPLA</v>
      </c>
      <c r="BI200" s="531">
        <f t="shared" si="783"/>
        <v>0</v>
      </c>
      <c r="BJ200" s="531">
        <f t="shared" si="784"/>
        <v>0</v>
      </c>
      <c r="BK200" s="531">
        <f t="shared" si="785"/>
        <v>0</v>
      </c>
      <c r="BL200" s="531">
        <f t="shared" si="786"/>
        <v>0</v>
      </c>
      <c r="BM200" s="531">
        <f t="shared" si="787"/>
        <v>0</v>
      </c>
      <c r="BN200" s="531">
        <f t="shared" si="788"/>
        <v>1</v>
      </c>
      <c r="BO200" s="499">
        <f t="shared" si="789"/>
        <v>0</v>
      </c>
      <c r="BP200" s="500"/>
      <c r="BQ200" s="496">
        <f t="shared" si="790"/>
        <v>17.309999999999999</v>
      </c>
      <c r="BR200" s="496">
        <f t="shared" si="791"/>
        <v>3.0534840000000019</v>
      </c>
      <c r="BS200" s="496">
        <f t="shared" si="792"/>
        <v>0</v>
      </c>
      <c r="BT200" s="501"/>
      <c r="BU200" s="501"/>
      <c r="BV200" s="502">
        <f t="shared" si="793"/>
        <v>11.823325919999998</v>
      </c>
      <c r="BW200" s="502">
        <f t="shared" si="794"/>
        <v>7.7825999999999986</v>
      </c>
      <c r="BX200" s="502">
        <f t="shared" si="795"/>
        <v>3.0325999999999995</v>
      </c>
      <c r="BY200" s="502">
        <f t="shared" si="796"/>
        <v>1.5192000000000001</v>
      </c>
      <c r="BZ200" s="502">
        <f t="shared" si="797"/>
        <v>1.5192000000000001</v>
      </c>
      <c r="CA200" s="502">
        <f t="shared" si="798"/>
        <v>0</v>
      </c>
      <c r="CB200" s="502">
        <f t="shared" si="799"/>
        <v>0</v>
      </c>
      <c r="CC200" s="502">
        <f t="shared" si="800"/>
        <v>11.673899999999998</v>
      </c>
      <c r="CD200" s="502">
        <f t="shared" si="801"/>
        <v>0.14942592000000079</v>
      </c>
      <c r="CE200" s="502">
        <f t="shared" si="802"/>
        <v>0</v>
      </c>
      <c r="CF200" s="502">
        <f t="shared" si="803"/>
        <v>0</v>
      </c>
      <c r="CG200" s="502">
        <f t="shared" si="804"/>
        <v>0</v>
      </c>
      <c r="CH200" s="502">
        <f t="shared" si="805"/>
        <v>0</v>
      </c>
      <c r="CI200" s="531">
        <f t="shared" si="806"/>
        <v>0.53549999999999998</v>
      </c>
      <c r="CJ200" s="502">
        <f t="shared" si="807"/>
        <v>6.680699999999999</v>
      </c>
      <c r="CK200" s="502">
        <f t="shared" si="808"/>
        <v>6.680699999999999</v>
      </c>
      <c r="CL200" s="502">
        <f t="shared" si="809"/>
        <v>0</v>
      </c>
      <c r="CM200" s="502">
        <f t="shared" si="810"/>
        <v>0</v>
      </c>
      <c r="CN200" s="502">
        <f t="shared" si="811"/>
        <v>3.57</v>
      </c>
      <c r="CO200" s="502">
        <f t="shared" si="812"/>
        <v>1.5192000000000001</v>
      </c>
      <c r="CP200" s="502">
        <f t="shared" si="813"/>
        <v>10.709999999999999</v>
      </c>
      <c r="CQ200" s="502">
        <f t="shared" si="814"/>
        <v>0.13708800000000074</v>
      </c>
      <c r="CR200" s="220">
        <f t="shared" si="815"/>
        <v>0</v>
      </c>
      <c r="CS200" s="503">
        <f t="shared" si="816"/>
        <v>0</v>
      </c>
      <c r="CT200" s="503">
        <f t="shared" si="817"/>
        <v>0.33012999999999998</v>
      </c>
      <c r="CU200" s="504">
        <f t="shared" si="818"/>
        <v>7.8998400000000011</v>
      </c>
      <c r="CV200" s="504">
        <f t="shared" si="819"/>
        <v>1.1388251999999999</v>
      </c>
      <c r="CW200" s="502">
        <f t="shared" si="820"/>
        <v>15.715656000000001</v>
      </c>
      <c r="CX200" s="531">
        <f t="shared" si="821"/>
        <v>3.57</v>
      </c>
      <c r="CY200" s="537">
        <f t="shared" si="822"/>
        <v>1.7849999999999999</v>
      </c>
      <c r="CZ200" s="502">
        <f t="shared" si="823"/>
        <v>2.4513847475961154E-2</v>
      </c>
    </row>
    <row r="201" spans="1:104" ht="25" x14ac:dyDescent="0.25">
      <c r="A201" s="413" t="str">
        <f>'BOCA DE LOBO'!C195</f>
        <v>BL110-&gt;PV3-113</v>
      </c>
      <c r="B201" s="413" t="str">
        <f>'BOCA DE LOBO'!A195</f>
        <v>PV3-113</v>
      </c>
      <c r="C201" s="413" t="str">
        <f>VLOOKUP(A201,'BOCA DE LOBO'!$C$82:$Q$270,3,0)</f>
        <v>EXISTENTE</v>
      </c>
      <c r="D201" s="413" t="str">
        <f>VLOOKUP(A201,'BOCA DE LOBO'!$C$82:$Q$270,10,0)</f>
        <v>PROJETADA</v>
      </c>
      <c r="E201" s="413">
        <f t="shared" si="738"/>
        <v>1.5687999999999545</v>
      </c>
      <c r="F201" s="413">
        <f>VLOOKUP(A201,'BOCA DE LOBO'!$C$82:$Q$270,2,0)</f>
        <v>1.7999999999999545</v>
      </c>
      <c r="G201" s="413">
        <f>VLOOKUP(A201,'BOCA DE LOBO'!$C$82:$Q$270,4,0)</f>
        <v>5.78</v>
      </c>
      <c r="H201" s="412">
        <v>400</v>
      </c>
      <c r="I201" s="493">
        <f t="shared" si="739"/>
        <v>1.8143999999999545</v>
      </c>
      <c r="J201" s="493">
        <f t="shared" si="740"/>
        <v>0.52436159999998688</v>
      </c>
      <c r="K201" s="530">
        <v>0</v>
      </c>
      <c r="L201" s="531">
        <f t="shared" si="741"/>
        <v>1</v>
      </c>
      <c r="M201" s="531">
        <f t="shared" si="742"/>
        <v>1</v>
      </c>
      <c r="N201" s="531">
        <f t="shared" si="743"/>
        <v>0</v>
      </c>
      <c r="O201" s="531">
        <f t="shared" si="744"/>
        <v>5.78</v>
      </c>
      <c r="P201" s="532" t="s">
        <v>2392</v>
      </c>
      <c r="Q201" s="539" t="s">
        <v>2969</v>
      </c>
      <c r="R201" s="534"/>
      <c r="S201" s="532">
        <v>5</v>
      </c>
      <c r="T201" s="532">
        <v>5</v>
      </c>
      <c r="U201" s="531">
        <f t="shared" si="745"/>
        <v>0.05</v>
      </c>
      <c r="V201" s="535">
        <f t="shared" si="746"/>
        <v>0</v>
      </c>
      <c r="W201" s="535">
        <f t="shared" si="747"/>
        <v>10.487231999999738</v>
      </c>
      <c r="X201" s="536">
        <f t="shared" si="748"/>
        <v>0</v>
      </c>
      <c r="Y201" s="536">
        <f t="shared" si="749"/>
        <v>0</v>
      </c>
      <c r="Z201" s="536">
        <f t="shared" si="750"/>
        <v>1.8143999999999545</v>
      </c>
      <c r="AA201" s="536">
        <f t="shared" si="751"/>
        <v>0</v>
      </c>
      <c r="AB201" s="496">
        <f t="shared" si="752"/>
        <v>5.78</v>
      </c>
      <c r="AC201" s="251">
        <f t="shared" si="753"/>
        <v>0</v>
      </c>
      <c r="AD201" s="251">
        <f t="shared" si="754"/>
        <v>0</v>
      </c>
      <c r="AE201" s="251">
        <f t="shared" si="755"/>
        <v>0</v>
      </c>
      <c r="AF201" s="251">
        <f t="shared" si="756"/>
        <v>8.67</v>
      </c>
      <c r="AG201" s="251">
        <f t="shared" si="757"/>
        <v>1.8172319999997371</v>
      </c>
      <c r="AH201" s="251">
        <f t="shared" si="758"/>
        <v>0</v>
      </c>
      <c r="AI201" s="497" t="str">
        <f t="shared" si="759"/>
        <v>NÃO</v>
      </c>
      <c r="AJ201" s="531">
        <f t="shared" si="760"/>
        <v>0</v>
      </c>
      <c r="AK201" s="531">
        <f t="shared" si="761"/>
        <v>0</v>
      </c>
      <c r="AL201" s="531">
        <f t="shared" si="762"/>
        <v>9.7608957784897772</v>
      </c>
      <c r="AM201" s="493">
        <f t="shared" si="763"/>
        <v>0.28900000000000003</v>
      </c>
      <c r="AN201" s="535">
        <f t="shared" si="764"/>
        <v>0</v>
      </c>
      <c r="AO201" s="531">
        <f t="shared" si="765"/>
        <v>0</v>
      </c>
      <c r="AP201" s="531">
        <f t="shared" si="766"/>
        <v>0</v>
      </c>
      <c r="AQ201" s="531">
        <f t="shared" si="767"/>
        <v>0.7</v>
      </c>
      <c r="AR201" s="531">
        <f t="shared" si="768"/>
        <v>3.3196637784900398</v>
      </c>
      <c r="AS201" s="531">
        <f t="shared" si="769"/>
        <v>0</v>
      </c>
      <c r="AT201" s="531">
        <f t="shared" si="770"/>
        <v>0.86699999999999999</v>
      </c>
      <c r="AU201" s="531">
        <f t="shared" si="771"/>
        <v>0.86699999999999999</v>
      </c>
      <c r="AV201" s="531">
        <f t="shared" si="772"/>
        <v>0.1734</v>
      </c>
      <c r="AW201" s="531">
        <f t="shared" si="773"/>
        <v>4.4182319999997368</v>
      </c>
      <c r="AX201" s="531">
        <f t="shared" si="774"/>
        <v>6.3005682215096988</v>
      </c>
      <c r="AY201" s="531">
        <f t="shared" si="775"/>
        <v>4.4182319999997368</v>
      </c>
      <c r="AZ201" s="531">
        <f t="shared" si="776"/>
        <v>0</v>
      </c>
      <c r="BA201" s="531">
        <f t="shared" si="777"/>
        <v>0</v>
      </c>
      <c r="BB201" s="531">
        <f t="shared" si="778"/>
        <v>0</v>
      </c>
      <c r="BC201" s="531"/>
      <c r="BD201" s="531">
        <f t="shared" si="779"/>
        <v>3.4680000000000002E-2</v>
      </c>
      <c r="BE201" s="496">
        <f t="shared" si="780"/>
        <v>1.8143999999999545</v>
      </c>
      <c r="BF201" s="498">
        <f t="shared" si="781"/>
        <v>0</v>
      </c>
      <c r="BG201" s="498">
        <f t="shared" si="782"/>
        <v>5.78</v>
      </c>
      <c r="BH201" s="532" t="str">
        <f>VLOOKUP(A201,'BOCA DE LOBO'!C:I,7,0)</f>
        <v>BOCA DE LOBO PROJETADA DUPLA</v>
      </c>
      <c r="BI201" s="531">
        <f t="shared" si="783"/>
        <v>0</v>
      </c>
      <c r="BJ201" s="531">
        <f t="shared" si="784"/>
        <v>0</v>
      </c>
      <c r="BK201" s="531">
        <f t="shared" si="785"/>
        <v>0</v>
      </c>
      <c r="BL201" s="531">
        <f t="shared" si="786"/>
        <v>0</v>
      </c>
      <c r="BM201" s="531">
        <f t="shared" si="787"/>
        <v>0</v>
      </c>
      <c r="BN201" s="531">
        <f t="shared" si="788"/>
        <v>1</v>
      </c>
      <c r="BO201" s="499">
        <f t="shared" si="789"/>
        <v>0</v>
      </c>
      <c r="BP201" s="500"/>
      <c r="BQ201" s="496">
        <f t="shared" si="790"/>
        <v>17.34</v>
      </c>
      <c r="BR201" s="496">
        <f t="shared" si="791"/>
        <v>3.6344639999994741</v>
      </c>
      <c r="BS201" s="496">
        <f t="shared" si="792"/>
        <v>0</v>
      </c>
      <c r="BT201" s="501"/>
      <c r="BU201" s="501"/>
      <c r="BV201" s="502">
        <f t="shared" si="793"/>
        <v>12.209342879999644</v>
      </c>
      <c r="BW201" s="502">
        <f t="shared" si="794"/>
        <v>7.7825999999999986</v>
      </c>
      <c r="BX201" s="502">
        <f t="shared" si="795"/>
        <v>3.0325999999999995</v>
      </c>
      <c r="BY201" s="502">
        <f t="shared" si="796"/>
        <v>1.5687999999999545</v>
      </c>
      <c r="BZ201" s="502">
        <f t="shared" si="797"/>
        <v>1.5687999999999545</v>
      </c>
      <c r="CA201" s="502">
        <f t="shared" si="798"/>
        <v>0</v>
      </c>
      <c r="CB201" s="502">
        <f t="shared" si="799"/>
        <v>0</v>
      </c>
      <c r="CC201" s="502">
        <f t="shared" si="800"/>
        <v>11.673899999999998</v>
      </c>
      <c r="CD201" s="502">
        <f t="shared" si="801"/>
        <v>0.53544287999964546</v>
      </c>
      <c r="CE201" s="502">
        <f t="shared" si="802"/>
        <v>0</v>
      </c>
      <c r="CF201" s="502">
        <f t="shared" si="803"/>
        <v>0</v>
      </c>
      <c r="CG201" s="502">
        <f t="shared" si="804"/>
        <v>0</v>
      </c>
      <c r="CH201" s="502">
        <f t="shared" si="805"/>
        <v>0</v>
      </c>
      <c r="CI201" s="531">
        <f t="shared" si="806"/>
        <v>0.53549999999999998</v>
      </c>
      <c r="CJ201" s="502">
        <f t="shared" si="807"/>
        <v>6.9162999999997821</v>
      </c>
      <c r="CK201" s="502">
        <f t="shared" si="808"/>
        <v>6.9162999999997821</v>
      </c>
      <c r="CL201" s="502">
        <f t="shared" si="809"/>
        <v>0</v>
      </c>
      <c r="CM201" s="502">
        <f t="shared" si="810"/>
        <v>0</v>
      </c>
      <c r="CN201" s="502">
        <f t="shared" si="811"/>
        <v>3.57</v>
      </c>
      <c r="CO201" s="502">
        <f t="shared" si="812"/>
        <v>1.5687999999999545</v>
      </c>
      <c r="CP201" s="502">
        <f t="shared" si="813"/>
        <v>10.709999999999999</v>
      </c>
      <c r="CQ201" s="502">
        <f t="shared" si="814"/>
        <v>0.49123199999967476</v>
      </c>
      <c r="CR201" s="220">
        <f t="shared" si="815"/>
        <v>0</v>
      </c>
      <c r="CS201" s="503">
        <f t="shared" si="816"/>
        <v>0</v>
      </c>
      <c r="CT201" s="503">
        <f t="shared" si="817"/>
        <v>0.33012999999999998</v>
      </c>
      <c r="CU201" s="504">
        <f t="shared" si="818"/>
        <v>8.1577599999997634</v>
      </c>
      <c r="CV201" s="504">
        <f t="shared" si="819"/>
        <v>1.154002799999986</v>
      </c>
      <c r="CW201" s="502">
        <f t="shared" si="820"/>
        <v>16.096583999999648</v>
      </c>
      <c r="CX201" s="531">
        <f t="shared" si="821"/>
        <v>3.57</v>
      </c>
      <c r="CY201" s="537">
        <f t="shared" si="822"/>
        <v>1.7849999999999999</v>
      </c>
      <c r="CZ201" s="502">
        <f t="shared" si="823"/>
        <v>2.4513847475961154E-2</v>
      </c>
    </row>
    <row r="202" spans="1:104" ht="25" x14ac:dyDescent="0.25">
      <c r="A202" s="413" t="str">
        <f>'BOCA DE LOBO'!C196</f>
        <v>BL111-&gt;PV1-114</v>
      </c>
      <c r="B202" s="413" t="str">
        <f>'BOCA DE LOBO'!A196</f>
        <v>PV1-114</v>
      </c>
      <c r="C202" s="413" t="str">
        <f>VLOOKUP(A202,'BOCA DE LOBO'!$C$82:$Q$270,3,0)</f>
        <v>EXISTENTE</v>
      </c>
      <c r="D202" s="413" t="str">
        <f>VLOOKUP(A202,'BOCA DE LOBO'!$C$82:$Q$270,10,0)</f>
        <v>PROJETADA</v>
      </c>
      <c r="E202" s="413">
        <f t="shared" si="738"/>
        <v>1.5187999999999999</v>
      </c>
      <c r="F202" s="413">
        <f>VLOOKUP(A202,'BOCA DE LOBO'!$C$82:$Q$270,2,0)</f>
        <v>1.75</v>
      </c>
      <c r="G202" s="413">
        <f>VLOOKUP(A202,'BOCA DE LOBO'!$C$82:$Q$270,4,0)</f>
        <v>5.78</v>
      </c>
      <c r="H202" s="412">
        <v>400</v>
      </c>
      <c r="I202" s="493">
        <f t="shared" si="739"/>
        <v>1.7644</v>
      </c>
      <c r="J202" s="493">
        <f t="shared" si="740"/>
        <v>0.50991160000000002</v>
      </c>
      <c r="K202" s="530">
        <v>0</v>
      </c>
      <c r="L202" s="531">
        <f t="shared" si="741"/>
        <v>1</v>
      </c>
      <c r="M202" s="531">
        <f t="shared" si="742"/>
        <v>1</v>
      </c>
      <c r="N202" s="531">
        <f t="shared" si="743"/>
        <v>0</v>
      </c>
      <c r="O202" s="531">
        <f t="shared" si="744"/>
        <v>5.78</v>
      </c>
      <c r="P202" s="532" t="s">
        <v>2392</v>
      </c>
      <c r="Q202" s="539" t="s">
        <v>2968</v>
      </c>
      <c r="R202" s="534"/>
      <c r="S202" s="532">
        <v>2</v>
      </c>
      <c r="T202" s="532">
        <v>5</v>
      </c>
      <c r="U202" s="531">
        <f t="shared" si="745"/>
        <v>0.05</v>
      </c>
      <c r="V202" s="535">
        <f t="shared" si="746"/>
        <v>0</v>
      </c>
      <c r="W202" s="535">
        <f t="shared" si="747"/>
        <v>10.198232000000001</v>
      </c>
      <c r="X202" s="536">
        <f t="shared" si="748"/>
        <v>0</v>
      </c>
      <c r="Y202" s="536">
        <f t="shared" si="749"/>
        <v>0</v>
      </c>
      <c r="Z202" s="536">
        <f t="shared" si="750"/>
        <v>1.7644</v>
      </c>
      <c r="AA202" s="536">
        <f t="shared" si="751"/>
        <v>0</v>
      </c>
      <c r="AB202" s="496">
        <f t="shared" si="752"/>
        <v>5.78</v>
      </c>
      <c r="AC202" s="251">
        <f t="shared" si="753"/>
        <v>0</v>
      </c>
      <c r="AD202" s="251">
        <f t="shared" si="754"/>
        <v>0</v>
      </c>
      <c r="AE202" s="251">
        <f t="shared" si="755"/>
        <v>0</v>
      </c>
      <c r="AF202" s="251">
        <f t="shared" si="756"/>
        <v>8.67</v>
      </c>
      <c r="AG202" s="251">
        <f t="shared" si="757"/>
        <v>1.5282319999999998</v>
      </c>
      <c r="AH202" s="251">
        <f t="shared" si="758"/>
        <v>0</v>
      </c>
      <c r="AI202" s="497" t="str">
        <f t="shared" si="759"/>
        <v>NÃO</v>
      </c>
      <c r="AJ202" s="531">
        <f t="shared" si="760"/>
        <v>0</v>
      </c>
      <c r="AK202" s="531">
        <f t="shared" si="761"/>
        <v>0</v>
      </c>
      <c r="AL202" s="531">
        <f t="shared" si="762"/>
        <v>9.4718957784900404</v>
      </c>
      <c r="AM202" s="493">
        <f t="shared" si="763"/>
        <v>0.28900000000000003</v>
      </c>
      <c r="AN202" s="535">
        <f t="shared" si="764"/>
        <v>0</v>
      </c>
      <c r="AO202" s="531">
        <f t="shared" si="765"/>
        <v>0</v>
      </c>
      <c r="AP202" s="531">
        <f t="shared" si="766"/>
        <v>0</v>
      </c>
      <c r="AQ202" s="531">
        <f t="shared" si="767"/>
        <v>0.7</v>
      </c>
      <c r="AR202" s="531">
        <f t="shared" si="768"/>
        <v>3.3196637784900398</v>
      </c>
      <c r="AS202" s="531">
        <f t="shared" si="769"/>
        <v>0</v>
      </c>
      <c r="AT202" s="531">
        <f t="shared" si="770"/>
        <v>0.86699999999999999</v>
      </c>
      <c r="AU202" s="531">
        <f t="shared" si="771"/>
        <v>0.86699999999999999</v>
      </c>
      <c r="AV202" s="531">
        <f t="shared" si="772"/>
        <v>0.1734</v>
      </c>
      <c r="AW202" s="531">
        <f t="shared" si="773"/>
        <v>4.1292320000000018</v>
      </c>
      <c r="AX202" s="531">
        <f t="shared" si="774"/>
        <v>6.0115682215099602</v>
      </c>
      <c r="AY202" s="531">
        <f t="shared" si="775"/>
        <v>4.1292320000000018</v>
      </c>
      <c r="AZ202" s="531">
        <f t="shared" si="776"/>
        <v>0</v>
      </c>
      <c r="BA202" s="531">
        <f t="shared" si="777"/>
        <v>0</v>
      </c>
      <c r="BB202" s="531">
        <f t="shared" si="778"/>
        <v>0</v>
      </c>
      <c r="BC202" s="531"/>
      <c r="BD202" s="531">
        <f t="shared" si="779"/>
        <v>3.4680000000000002E-2</v>
      </c>
      <c r="BE202" s="496">
        <f t="shared" si="780"/>
        <v>1.7644</v>
      </c>
      <c r="BF202" s="498">
        <f t="shared" si="781"/>
        <v>0</v>
      </c>
      <c r="BG202" s="498">
        <f t="shared" si="782"/>
        <v>5.78</v>
      </c>
      <c r="BH202" s="532" t="str">
        <f>VLOOKUP(A202,'BOCA DE LOBO'!C:I,7,0)</f>
        <v>BOCA DE LOBO PROJETADA TRIPLA</v>
      </c>
      <c r="BI202" s="531">
        <f t="shared" si="783"/>
        <v>0</v>
      </c>
      <c r="BJ202" s="531">
        <f t="shared" si="784"/>
        <v>0</v>
      </c>
      <c r="BK202" s="531">
        <f t="shared" si="785"/>
        <v>0</v>
      </c>
      <c r="BL202" s="531">
        <f t="shared" si="786"/>
        <v>0</v>
      </c>
      <c r="BM202" s="531">
        <f t="shared" si="787"/>
        <v>0</v>
      </c>
      <c r="BN202" s="531">
        <f t="shared" si="788"/>
        <v>0</v>
      </c>
      <c r="BO202" s="499">
        <f t="shared" si="789"/>
        <v>1</v>
      </c>
      <c r="BP202" s="500"/>
      <c r="BQ202" s="496">
        <f t="shared" si="790"/>
        <v>17.34</v>
      </c>
      <c r="BR202" s="496">
        <f t="shared" si="791"/>
        <v>3.0564639999999996</v>
      </c>
      <c r="BS202" s="496">
        <f t="shared" si="792"/>
        <v>0</v>
      </c>
      <c r="BT202" s="501"/>
      <c r="BU202" s="501"/>
      <c r="BV202" s="502">
        <f t="shared" si="793"/>
        <v>15.760283839999996</v>
      </c>
      <c r="BW202" s="502">
        <f t="shared" si="794"/>
        <v>10.376799999999998</v>
      </c>
      <c r="BX202" s="502">
        <f t="shared" si="795"/>
        <v>4.4367999999999999</v>
      </c>
      <c r="BY202" s="502">
        <f t="shared" si="796"/>
        <v>1.5187999999999999</v>
      </c>
      <c r="BZ202" s="502">
        <f t="shared" si="797"/>
        <v>1.5187999999999999</v>
      </c>
      <c r="CA202" s="502">
        <f t="shared" si="798"/>
        <v>0</v>
      </c>
      <c r="CB202" s="502">
        <f t="shared" si="799"/>
        <v>0</v>
      </c>
      <c r="CC202" s="502">
        <f t="shared" si="800"/>
        <v>15.565199999999997</v>
      </c>
      <c r="CD202" s="502">
        <f t="shared" si="801"/>
        <v>0.1950838399999992</v>
      </c>
      <c r="CE202" s="502">
        <f t="shared" si="802"/>
        <v>0</v>
      </c>
      <c r="CF202" s="502">
        <f t="shared" si="803"/>
        <v>0</v>
      </c>
      <c r="CG202" s="502">
        <f t="shared" si="804"/>
        <v>0</v>
      </c>
      <c r="CH202" s="502">
        <f t="shared" si="805"/>
        <v>0</v>
      </c>
      <c r="CI202" s="531">
        <f t="shared" si="806"/>
        <v>0.71399999999999997</v>
      </c>
      <c r="CJ202" s="502">
        <f t="shared" si="807"/>
        <v>8.3076719999999948</v>
      </c>
      <c r="CK202" s="502">
        <f t="shared" si="808"/>
        <v>8.3076719999999948</v>
      </c>
      <c r="CL202" s="502">
        <f t="shared" si="809"/>
        <v>0</v>
      </c>
      <c r="CM202" s="502">
        <f t="shared" si="810"/>
        <v>0</v>
      </c>
      <c r="CN202" s="502">
        <f t="shared" si="811"/>
        <v>4.76</v>
      </c>
      <c r="CO202" s="502">
        <f t="shared" si="812"/>
        <v>1.5187999999999999</v>
      </c>
      <c r="CP202" s="502">
        <f t="shared" si="813"/>
        <v>14.28</v>
      </c>
      <c r="CQ202" s="502">
        <f t="shared" si="814"/>
        <v>0.1789759999999993</v>
      </c>
      <c r="CR202" s="220">
        <f t="shared" si="815"/>
        <v>0</v>
      </c>
      <c r="CS202" s="503">
        <f t="shared" si="816"/>
        <v>0</v>
      </c>
      <c r="CT202" s="503">
        <f t="shared" si="817"/>
        <v>0.45984000000000003</v>
      </c>
      <c r="CU202" s="504">
        <f t="shared" si="818"/>
        <v>10.935359999999999</v>
      </c>
      <c r="CV202" s="504">
        <f t="shared" si="819"/>
        <v>1.5623010000000002</v>
      </c>
      <c r="CW202" s="502">
        <f t="shared" si="820"/>
        <v>20.202280000000002</v>
      </c>
      <c r="CX202" s="531">
        <f t="shared" si="821"/>
        <v>4.76</v>
      </c>
      <c r="CY202" s="537">
        <f t="shared" si="822"/>
        <v>2.38</v>
      </c>
      <c r="CZ202" s="502">
        <f t="shared" si="823"/>
        <v>2.4513847475961154E-2</v>
      </c>
    </row>
    <row r="203" spans="1:104" ht="25" x14ac:dyDescent="0.25">
      <c r="A203" s="413" t="str">
        <f>'BOCA DE LOBO'!C197</f>
        <v>BL112-&gt;PV2-114</v>
      </c>
      <c r="B203" s="413" t="str">
        <f>'BOCA DE LOBO'!A197</f>
        <v>PV2-114</v>
      </c>
      <c r="C203" s="413" t="str">
        <f>VLOOKUP(A203,'BOCA DE LOBO'!$C$82:$Q$270,3,0)</f>
        <v>EXISTENTE</v>
      </c>
      <c r="D203" s="413" t="str">
        <f>VLOOKUP(A203,'BOCA DE LOBO'!$C$82:$Q$270,10,0)</f>
        <v>PROJETADA</v>
      </c>
      <c r="E203" s="413">
        <f t="shared" si="738"/>
        <v>1.5479999999999909</v>
      </c>
      <c r="F203" s="413">
        <f>VLOOKUP(A203,'BOCA DE LOBO'!$C$82:$Q$270,2,0)</f>
        <v>1.7599999999999909</v>
      </c>
      <c r="G203" s="413">
        <f>VLOOKUP(A203,'BOCA DE LOBO'!$C$82:$Q$270,4,0)</f>
        <v>5.3</v>
      </c>
      <c r="H203" s="412">
        <v>400</v>
      </c>
      <c r="I203" s="493">
        <f t="shared" si="739"/>
        <v>1.7839999999999911</v>
      </c>
      <c r="J203" s="493">
        <f t="shared" si="740"/>
        <v>0.47275999999999768</v>
      </c>
      <c r="K203" s="530">
        <v>0</v>
      </c>
      <c r="L203" s="531">
        <f t="shared" si="741"/>
        <v>1</v>
      </c>
      <c r="M203" s="531">
        <f t="shared" si="742"/>
        <v>1</v>
      </c>
      <c r="N203" s="531">
        <f t="shared" si="743"/>
        <v>0</v>
      </c>
      <c r="O203" s="531">
        <f t="shared" si="744"/>
        <v>5.3</v>
      </c>
      <c r="P203" s="532" t="s">
        <v>2392</v>
      </c>
      <c r="Q203" s="539" t="s">
        <v>2968</v>
      </c>
      <c r="R203" s="534"/>
      <c r="S203" s="532">
        <v>2</v>
      </c>
      <c r="T203" s="532">
        <v>5</v>
      </c>
      <c r="U203" s="531">
        <f t="shared" si="745"/>
        <v>0.05</v>
      </c>
      <c r="V203" s="535">
        <f t="shared" si="746"/>
        <v>0</v>
      </c>
      <c r="W203" s="535">
        <f t="shared" si="747"/>
        <v>9.4551999999999534</v>
      </c>
      <c r="X203" s="536">
        <f t="shared" si="748"/>
        <v>0</v>
      </c>
      <c r="Y203" s="536">
        <f t="shared" si="749"/>
        <v>0</v>
      </c>
      <c r="Z203" s="536">
        <f t="shared" si="750"/>
        <v>1.7839999999999911</v>
      </c>
      <c r="AA203" s="536">
        <f t="shared" si="751"/>
        <v>0</v>
      </c>
      <c r="AB203" s="496">
        <f t="shared" si="752"/>
        <v>5.3</v>
      </c>
      <c r="AC203" s="251">
        <f t="shared" si="753"/>
        <v>0</v>
      </c>
      <c r="AD203" s="251">
        <f t="shared" si="754"/>
        <v>0</v>
      </c>
      <c r="AE203" s="251">
        <f t="shared" si="755"/>
        <v>0</v>
      </c>
      <c r="AF203" s="251">
        <f t="shared" si="756"/>
        <v>7.9499999999999993</v>
      </c>
      <c r="AG203" s="251">
        <f t="shared" si="757"/>
        <v>1.505199999999953</v>
      </c>
      <c r="AH203" s="251">
        <f t="shared" si="758"/>
        <v>0</v>
      </c>
      <c r="AI203" s="497" t="str">
        <f t="shared" si="759"/>
        <v>NÃO</v>
      </c>
      <c r="AJ203" s="531">
        <f t="shared" si="760"/>
        <v>0</v>
      </c>
      <c r="AK203" s="531">
        <f t="shared" si="761"/>
        <v>0</v>
      </c>
      <c r="AL203" s="531">
        <f t="shared" si="762"/>
        <v>8.7891823574389178</v>
      </c>
      <c r="AM203" s="493">
        <f t="shared" si="763"/>
        <v>0.26500000000000001</v>
      </c>
      <c r="AN203" s="535">
        <f t="shared" si="764"/>
        <v>0</v>
      </c>
      <c r="AO203" s="531">
        <f t="shared" si="765"/>
        <v>0</v>
      </c>
      <c r="AP203" s="531">
        <f t="shared" si="766"/>
        <v>0</v>
      </c>
      <c r="AQ203" s="531">
        <f t="shared" si="767"/>
        <v>0.7</v>
      </c>
      <c r="AR203" s="531">
        <f t="shared" si="768"/>
        <v>3.0439823574389635</v>
      </c>
      <c r="AS203" s="531">
        <f t="shared" si="769"/>
        <v>0</v>
      </c>
      <c r="AT203" s="531">
        <f t="shared" si="770"/>
        <v>0.79499999999999993</v>
      </c>
      <c r="AU203" s="531">
        <f t="shared" si="771"/>
        <v>0.79499999999999993</v>
      </c>
      <c r="AV203" s="531">
        <f t="shared" si="772"/>
        <v>0.159</v>
      </c>
      <c r="AW203" s="531">
        <f t="shared" si="773"/>
        <v>3.8901999999999539</v>
      </c>
      <c r="AX203" s="531">
        <f t="shared" si="774"/>
        <v>5.6162176425609882</v>
      </c>
      <c r="AY203" s="531">
        <f t="shared" si="775"/>
        <v>3.8901999999999539</v>
      </c>
      <c r="AZ203" s="531">
        <f t="shared" si="776"/>
        <v>0</v>
      </c>
      <c r="BA203" s="531">
        <f t="shared" si="777"/>
        <v>0</v>
      </c>
      <c r="BB203" s="531">
        <f t="shared" si="778"/>
        <v>0</v>
      </c>
      <c r="BC203" s="531"/>
      <c r="BD203" s="531">
        <f t="shared" si="779"/>
        <v>3.1799999999999995E-2</v>
      </c>
      <c r="BE203" s="496">
        <f t="shared" si="780"/>
        <v>1.7839999999999911</v>
      </c>
      <c r="BF203" s="498">
        <f t="shared" si="781"/>
        <v>0</v>
      </c>
      <c r="BG203" s="498">
        <f t="shared" si="782"/>
        <v>5.3</v>
      </c>
      <c r="BH203" s="532" t="str">
        <f>VLOOKUP(A203,'BOCA DE LOBO'!C:I,7,0)</f>
        <v>BOCA DE LOBO PROJETADA DUPLA</v>
      </c>
      <c r="BI203" s="531">
        <f t="shared" si="783"/>
        <v>0</v>
      </c>
      <c r="BJ203" s="531">
        <f t="shared" si="784"/>
        <v>0</v>
      </c>
      <c r="BK203" s="531">
        <f t="shared" si="785"/>
        <v>0</v>
      </c>
      <c r="BL203" s="531">
        <f t="shared" si="786"/>
        <v>0</v>
      </c>
      <c r="BM203" s="531">
        <f t="shared" si="787"/>
        <v>0</v>
      </c>
      <c r="BN203" s="531">
        <f t="shared" si="788"/>
        <v>1</v>
      </c>
      <c r="BO203" s="499">
        <f t="shared" si="789"/>
        <v>0</v>
      </c>
      <c r="BP203" s="500"/>
      <c r="BQ203" s="496">
        <f t="shared" si="790"/>
        <v>15.899999999999999</v>
      </c>
      <c r="BR203" s="496">
        <f t="shared" si="791"/>
        <v>3.010399999999906</v>
      </c>
      <c r="BS203" s="496">
        <f t="shared" si="792"/>
        <v>0</v>
      </c>
      <c r="BT203" s="501"/>
      <c r="BU203" s="501"/>
      <c r="BV203" s="502">
        <f t="shared" si="793"/>
        <v>12.047464799999927</v>
      </c>
      <c r="BW203" s="502">
        <f t="shared" si="794"/>
        <v>7.7825999999999986</v>
      </c>
      <c r="BX203" s="502">
        <f t="shared" si="795"/>
        <v>3.0325999999999995</v>
      </c>
      <c r="BY203" s="502">
        <f t="shared" si="796"/>
        <v>1.5479999999999909</v>
      </c>
      <c r="BZ203" s="502">
        <f t="shared" si="797"/>
        <v>1.5479999999999909</v>
      </c>
      <c r="CA203" s="502">
        <f t="shared" si="798"/>
        <v>0</v>
      </c>
      <c r="CB203" s="502">
        <f t="shared" si="799"/>
        <v>0</v>
      </c>
      <c r="CC203" s="502">
        <f t="shared" si="800"/>
        <v>11.673899999999998</v>
      </c>
      <c r="CD203" s="502">
        <f t="shared" si="801"/>
        <v>0.37356479999992942</v>
      </c>
      <c r="CE203" s="502">
        <f t="shared" si="802"/>
        <v>0</v>
      </c>
      <c r="CF203" s="502">
        <f t="shared" si="803"/>
        <v>0</v>
      </c>
      <c r="CG203" s="502">
        <f t="shared" si="804"/>
        <v>0</v>
      </c>
      <c r="CH203" s="502">
        <f t="shared" si="805"/>
        <v>0</v>
      </c>
      <c r="CI203" s="531">
        <f t="shared" si="806"/>
        <v>0.53549999999999998</v>
      </c>
      <c r="CJ203" s="502">
        <f t="shared" si="807"/>
        <v>6.8174999999999555</v>
      </c>
      <c r="CK203" s="502">
        <f t="shared" si="808"/>
        <v>6.8174999999999555</v>
      </c>
      <c r="CL203" s="502">
        <f t="shared" si="809"/>
        <v>0</v>
      </c>
      <c r="CM203" s="502">
        <f t="shared" si="810"/>
        <v>0</v>
      </c>
      <c r="CN203" s="502">
        <f t="shared" si="811"/>
        <v>3.57</v>
      </c>
      <c r="CO203" s="502">
        <f t="shared" si="812"/>
        <v>1.5479999999999909</v>
      </c>
      <c r="CP203" s="502">
        <f t="shared" si="813"/>
        <v>10.709999999999999</v>
      </c>
      <c r="CQ203" s="502">
        <f t="shared" si="814"/>
        <v>0.3427199999999353</v>
      </c>
      <c r="CR203" s="220">
        <f t="shared" si="815"/>
        <v>0</v>
      </c>
      <c r="CS203" s="503">
        <f t="shared" si="816"/>
        <v>0</v>
      </c>
      <c r="CT203" s="503">
        <f t="shared" si="817"/>
        <v>0.33012999999999998</v>
      </c>
      <c r="CU203" s="504">
        <f t="shared" si="818"/>
        <v>8.0495999999999537</v>
      </c>
      <c r="CV203" s="504">
        <f t="shared" si="819"/>
        <v>1.147637999999997</v>
      </c>
      <c r="CW203" s="502">
        <f t="shared" si="820"/>
        <v>15.936839999999931</v>
      </c>
      <c r="CX203" s="531">
        <f t="shared" si="821"/>
        <v>3.57</v>
      </c>
      <c r="CY203" s="537">
        <f t="shared" si="822"/>
        <v>1.7849999999999999</v>
      </c>
      <c r="CZ203" s="502">
        <f t="shared" si="823"/>
        <v>2.4513847475961154E-2</v>
      </c>
    </row>
    <row r="204" spans="1:104" ht="25" x14ac:dyDescent="0.25">
      <c r="A204" s="413" t="str">
        <f>'BOCA DE LOBO'!C198</f>
        <v>BL113-&gt;PV3-114</v>
      </c>
      <c r="B204" s="413" t="str">
        <f>'BOCA DE LOBO'!A198</f>
        <v>PV3-114</v>
      </c>
      <c r="C204" s="413" t="str">
        <f>VLOOKUP(A204,'BOCA DE LOBO'!$C$82:$Q$270,3,0)</f>
        <v>EXISTENTE</v>
      </c>
      <c r="D204" s="413" t="str">
        <f>VLOOKUP(A204,'BOCA DE LOBO'!$C$82:$Q$270,10,0)</f>
        <v>PROJETADA</v>
      </c>
      <c r="E204" s="413">
        <f t="shared" si="738"/>
        <v>1.6075999999999455</v>
      </c>
      <c r="F204" s="413">
        <f>VLOOKUP(A204,'BOCA DE LOBO'!$C$82:$Q$270,2,0)</f>
        <v>1.8099999999999454</v>
      </c>
      <c r="G204" s="413">
        <f>VLOOKUP(A204,'BOCA DE LOBO'!$C$82:$Q$270,4,0)</f>
        <v>5.0599999999999996</v>
      </c>
      <c r="H204" s="412">
        <v>400</v>
      </c>
      <c r="I204" s="493">
        <f t="shared" si="739"/>
        <v>1.8387999999999456</v>
      </c>
      <c r="J204" s="493">
        <f t="shared" si="740"/>
        <v>0.46521639999998621</v>
      </c>
      <c r="K204" s="530">
        <v>0</v>
      </c>
      <c r="L204" s="531">
        <f t="shared" si="741"/>
        <v>1</v>
      </c>
      <c r="M204" s="531">
        <f t="shared" si="742"/>
        <v>1</v>
      </c>
      <c r="N204" s="531">
        <f t="shared" si="743"/>
        <v>0</v>
      </c>
      <c r="O204" s="531">
        <f t="shared" si="744"/>
        <v>5.0599999999999996</v>
      </c>
      <c r="P204" s="532" t="s">
        <v>2392</v>
      </c>
      <c r="Q204" s="539" t="s">
        <v>2966</v>
      </c>
      <c r="R204" s="534"/>
      <c r="S204" s="532">
        <v>5</v>
      </c>
      <c r="T204" s="532">
        <v>5</v>
      </c>
      <c r="U204" s="531">
        <f t="shared" si="745"/>
        <v>0.05</v>
      </c>
      <c r="V204" s="535">
        <f t="shared" si="746"/>
        <v>0</v>
      </c>
      <c r="W204" s="535">
        <f t="shared" si="747"/>
        <v>9.3043279999997246</v>
      </c>
      <c r="X204" s="536">
        <f t="shared" si="748"/>
        <v>0</v>
      </c>
      <c r="Y204" s="536">
        <f t="shared" si="749"/>
        <v>0</v>
      </c>
      <c r="Z204" s="536">
        <f t="shared" si="750"/>
        <v>1.8387999999999456</v>
      </c>
      <c r="AA204" s="536">
        <f t="shared" si="751"/>
        <v>0</v>
      </c>
      <c r="AB204" s="496">
        <f t="shared" si="752"/>
        <v>5.0599999999999996</v>
      </c>
      <c r="AC204" s="251">
        <f t="shared" si="753"/>
        <v>0</v>
      </c>
      <c r="AD204" s="251">
        <f t="shared" si="754"/>
        <v>0</v>
      </c>
      <c r="AE204" s="251">
        <f t="shared" si="755"/>
        <v>0</v>
      </c>
      <c r="AF204" s="251">
        <f t="shared" si="756"/>
        <v>7.59</v>
      </c>
      <c r="AG204" s="251">
        <f t="shared" si="757"/>
        <v>1.7143279999997245</v>
      </c>
      <c r="AH204" s="251">
        <f t="shared" si="758"/>
        <v>0</v>
      </c>
      <c r="AI204" s="497" t="str">
        <f t="shared" si="759"/>
        <v>NÃO</v>
      </c>
      <c r="AJ204" s="531">
        <f t="shared" si="760"/>
        <v>0</v>
      </c>
      <c r="AK204" s="531">
        <f t="shared" si="761"/>
        <v>0</v>
      </c>
      <c r="AL204" s="531">
        <f t="shared" si="762"/>
        <v>8.6684696469131506</v>
      </c>
      <c r="AM204" s="493">
        <f t="shared" si="763"/>
        <v>0.253</v>
      </c>
      <c r="AN204" s="535">
        <f t="shared" si="764"/>
        <v>0</v>
      </c>
      <c r="AO204" s="531">
        <f t="shared" si="765"/>
        <v>0</v>
      </c>
      <c r="AP204" s="531">
        <f t="shared" si="766"/>
        <v>0</v>
      </c>
      <c r="AQ204" s="531">
        <f t="shared" si="767"/>
        <v>0.7</v>
      </c>
      <c r="AR204" s="531">
        <f t="shared" si="768"/>
        <v>2.9061416469134254</v>
      </c>
      <c r="AS204" s="531">
        <f t="shared" si="769"/>
        <v>0</v>
      </c>
      <c r="AT204" s="531">
        <f t="shared" si="770"/>
        <v>0.7589999999999999</v>
      </c>
      <c r="AU204" s="531">
        <f t="shared" si="771"/>
        <v>0.7589999999999999</v>
      </c>
      <c r="AV204" s="531">
        <f t="shared" si="772"/>
        <v>0.15179999999999999</v>
      </c>
      <c r="AW204" s="531">
        <f t="shared" si="773"/>
        <v>3.9913279999997244</v>
      </c>
      <c r="AX204" s="531">
        <f t="shared" si="774"/>
        <v>5.6391863530862985</v>
      </c>
      <c r="AY204" s="531">
        <f t="shared" si="775"/>
        <v>3.9913279999997244</v>
      </c>
      <c r="AZ204" s="531">
        <f t="shared" si="776"/>
        <v>0</v>
      </c>
      <c r="BA204" s="531">
        <f t="shared" si="777"/>
        <v>0</v>
      </c>
      <c r="BB204" s="531">
        <f t="shared" si="778"/>
        <v>0</v>
      </c>
      <c r="BC204" s="531"/>
      <c r="BD204" s="531">
        <f t="shared" si="779"/>
        <v>3.0359999999999998E-2</v>
      </c>
      <c r="BE204" s="496">
        <f t="shared" si="780"/>
        <v>1.8387999999999456</v>
      </c>
      <c r="BF204" s="498">
        <f t="shared" si="781"/>
        <v>0</v>
      </c>
      <c r="BG204" s="498">
        <f t="shared" si="782"/>
        <v>5.0599999999999996</v>
      </c>
      <c r="BH204" s="532" t="str">
        <f>VLOOKUP(A204,'BOCA DE LOBO'!C:I,7,0)</f>
        <v>BOCA DE LOBO PROJETADA DUPLA</v>
      </c>
      <c r="BI204" s="531">
        <f t="shared" si="783"/>
        <v>0</v>
      </c>
      <c r="BJ204" s="531">
        <f t="shared" si="784"/>
        <v>0</v>
      </c>
      <c r="BK204" s="531">
        <f t="shared" si="785"/>
        <v>0</v>
      </c>
      <c r="BL204" s="531">
        <f t="shared" si="786"/>
        <v>0</v>
      </c>
      <c r="BM204" s="531">
        <f t="shared" si="787"/>
        <v>0</v>
      </c>
      <c r="BN204" s="531">
        <f t="shared" si="788"/>
        <v>1</v>
      </c>
      <c r="BO204" s="499">
        <f t="shared" si="789"/>
        <v>0</v>
      </c>
      <c r="BP204" s="500"/>
      <c r="BQ204" s="496">
        <f t="shared" si="790"/>
        <v>15.18</v>
      </c>
      <c r="BR204" s="496">
        <f t="shared" si="791"/>
        <v>3.428655999999449</v>
      </c>
      <c r="BS204" s="496">
        <f t="shared" si="792"/>
        <v>0</v>
      </c>
      <c r="BT204" s="501"/>
      <c r="BU204" s="501"/>
      <c r="BV204" s="502">
        <f t="shared" si="793"/>
        <v>12.511307759999573</v>
      </c>
      <c r="BW204" s="502">
        <f t="shared" si="794"/>
        <v>7.7825999999999986</v>
      </c>
      <c r="BX204" s="502">
        <f t="shared" si="795"/>
        <v>3.0325999999999995</v>
      </c>
      <c r="BY204" s="502">
        <f t="shared" si="796"/>
        <v>1.6075999999999455</v>
      </c>
      <c r="BZ204" s="502">
        <f t="shared" si="797"/>
        <v>1.6075999999999455</v>
      </c>
      <c r="CA204" s="502">
        <f t="shared" si="798"/>
        <v>0</v>
      </c>
      <c r="CB204" s="502">
        <f t="shared" si="799"/>
        <v>0</v>
      </c>
      <c r="CC204" s="502">
        <f t="shared" si="800"/>
        <v>11.673899999999998</v>
      </c>
      <c r="CD204" s="502">
        <f t="shared" si="801"/>
        <v>0.83740775999957584</v>
      </c>
      <c r="CE204" s="502">
        <f t="shared" si="802"/>
        <v>0</v>
      </c>
      <c r="CF204" s="502">
        <f t="shared" si="803"/>
        <v>0</v>
      </c>
      <c r="CG204" s="502">
        <f t="shared" si="804"/>
        <v>0</v>
      </c>
      <c r="CH204" s="502">
        <f t="shared" si="805"/>
        <v>0</v>
      </c>
      <c r="CI204" s="531">
        <f t="shared" si="806"/>
        <v>0.53549999999999998</v>
      </c>
      <c r="CJ204" s="502">
        <f t="shared" si="807"/>
        <v>7.1005999999997398</v>
      </c>
      <c r="CK204" s="502">
        <f t="shared" si="808"/>
        <v>7.1005999999997398</v>
      </c>
      <c r="CL204" s="502">
        <f t="shared" si="809"/>
        <v>0</v>
      </c>
      <c r="CM204" s="502">
        <f t="shared" si="810"/>
        <v>0</v>
      </c>
      <c r="CN204" s="502">
        <f t="shared" si="811"/>
        <v>3.57</v>
      </c>
      <c r="CO204" s="502">
        <f t="shared" si="812"/>
        <v>1.6075999999999455</v>
      </c>
      <c r="CP204" s="502">
        <f t="shared" si="813"/>
        <v>10.709999999999999</v>
      </c>
      <c r="CQ204" s="502">
        <f t="shared" si="814"/>
        <v>0.76826399999961092</v>
      </c>
      <c r="CR204" s="220">
        <f t="shared" si="815"/>
        <v>0</v>
      </c>
      <c r="CS204" s="503">
        <f t="shared" si="816"/>
        <v>0</v>
      </c>
      <c r="CT204" s="503">
        <f t="shared" si="817"/>
        <v>0.33012999999999998</v>
      </c>
      <c r="CU204" s="504">
        <f t="shared" si="818"/>
        <v>8.3595199999997174</v>
      </c>
      <c r="CV204" s="504">
        <f t="shared" si="819"/>
        <v>1.1658755999999832</v>
      </c>
      <c r="CW204" s="502">
        <f t="shared" si="820"/>
        <v>16.39456799999958</v>
      </c>
      <c r="CX204" s="531">
        <f t="shared" si="821"/>
        <v>3.57</v>
      </c>
      <c r="CY204" s="537">
        <f t="shared" si="822"/>
        <v>1.7849999999999999</v>
      </c>
      <c r="CZ204" s="502">
        <f t="shared" si="823"/>
        <v>2.4513847475961154E-2</v>
      </c>
    </row>
    <row r="205" spans="1:104" ht="25" x14ac:dyDescent="0.25">
      <c r="A205" s="413" t="str">
        <f>'BOCA DE LOBO'!C199</f>
        <v>BL114-&gt;PV1-115</v>
      </c>
      <c r="B205" s="413" t="str">
        <f>'BOCA DE LOBO'!A199</f>
        <v>PV1-115</v>
      </c>
      <c r="C205" s="413" t="str">
        <f>VLOOKUP(A205,'BOCA DE LOBO'!$C$82:$Q$270,3,0)</f>
        <v>EXISTENTE</v>
      </c>
      <c r="D205" s="413" t="str">
        <f>VLOOKUP(A205,'BOCA DE LOBO'!$C$82:$Q$270,10,0)</f>
        <v>PROJETADA</v>
      </c>
      <c r="E205" s="413">
        <f t="shared" si="738"/>
        <v>1.5695999999999999</v>
      </c>
      <c r="F205" s="413">
        <f>VLOOKUP(A205,'BOCA DE LOBO'!$C$82:$Q$270,2,0)</f>
        <v>1.75</v>
      </c>
      <c r="G205" s="413">
        <f>VLOOKUP(A205,'BOCA DE LOBO'!$C$82:$Q$270,4,0)</f>
        <v>4.51</v>
      </c>
      <c r="H205" s="412">
        <v>400</v>
      </c>
      <c r="I205" s="493">
        <f t="shared" si="739"/>
        <v>1.7898000000000001</v>
      </c>
      <c r="J205" s="493">
        <f t="shared" si="740"/>
        <v>0.40359990000000001</v>
      </c>
      <c r="K205" s="530">
        <v>0</v>
      </c>
      <c r="L205" s="531">
        <f t="shared" si="741"/>
        <v>1</v>
      </c>
      <c r="M205" s="531">
        <f t="shared" si="742"/>
        <v>1</v>
      </c>
      <c r="N205" s="531">
        <f t="shared" si="743"/>
        <v>0</v>
      </c>
      <c r="O205" s="531">
        <f t="shared" si="744"/>
        <v>4.51</v>
      </c>
      <c r="P205" s="532" t="s">
        <v>2392</v>
      </c>
      <c r="Q205" s="539" t="s">
        <v>2968</v>
      </c>
      <c r="R205" s="534"/>
      <c r="S205" s="532">
        <v>2</v>
      </c>
      <c r="T205" s="532">
        <v>5</v>
      </c>
      <c r="U205" s="531">
        <f t="shared" si="745"/>
        <v>0.05</v>
      </c>
      <c r="V205" s="535">
        <f t="shared" si="746"/>
        <v>0</v>
      </c>
      <c r="W205" s="535">
        <f t="shared" si="747"/>
        <v>8.0719980000000007</v>
      </c>
      <c r="X205" s="536">
        <f t="shared" si="748"/>
        <v>0</v>
      </c>
      <c r="Y205" s="536">
        <f t="shared" si="749"/>
        <v>0</v>
      </c>
      <c r="Z205" s="536">
        <f t="shared" si="750"/>
        <v>1.7898000000000001</v>
      </c>
      <c r="AA205" s="536">
        <f t="shared" si="751"/>
        <v>0</v>
      </c>
      <c r="AB205" s="496">
        <f t="shared" si="752"/>
        <v>4.51</v>
      </c>
      <c r="AC205" s="251">
        <f t="shared" si="753"/>
        <v>0</v>
      </c>
      <c r="AD205" s="251">
        <f t="shared" si="754"/>
        <v>0</v>
      </c>
      <c r="AE205" s="251">
        <f t="shared" si="755"/>
        <v>0</v>
      </c>
      <c r="AF205" s="251">
        <f t="shared" si="756"/>
        <v>6.7649999999999997</v>
      </c>
      <c r="AG205" s="251">
        <f t="shared" si="757"/>
        <v>1.3069980000000001</v>
      </c>
      <c r="AH205" s="251">
        <f t="shared" si="758"/>
        <v>0</v>
      </c>
      <c r="AI205" s="497" t="str">
        <f t="shared" si="759"/>
        <v>NÃO</v>
      </c>
      <c r="AJ205" s="531">
        <f t="shared" si="760"/>
        <v>0</v>
      </c>
      <c r="AK205" s="531">
        <f t="shared" si="761"/>
        <v>0</v>
      </c>
      <c r="AL205" s="531">
        <f t="shared" si="762"/>
        <v>7.5052546852924023</v>
      </c>
      <c r="AM205" s="493">
        <f t="shared" si="763"/>
        <v>0.22550000000000001</v>
      </c>
      <c r="AN205" s="535">
        <f t="shared" si="764"/>
        <v>0</v>
      </c>
      <c r="AO205" s="531">
        <f t="shared" si="765"/>
        <v>0</v>
      </c>
      <c r="AP205" s="531">
        <f t="shared" si="766"/>
        <v>0</v>
      </c>
      <c r="AQ205" s="531">
        <f t="shared" si="767"/>
        <v>0.7</v>
      </c>
      <c r="AR205" s="531">
        <f t="shared" si="768"/>
        <v>2.5902566852924007</v>
      </c>
      <c r="AS205" s="531">
        <f t="shared" si="769"/>
        <v>0</v>
      </c>
      <c r="AT205" s="531">
        <f t="shared" si="770"/>
        <v>0.67649999999999999</v>
      </c>
      <c r="AU205" s="531">
        <f t="shared" si="771"/>
        <v>0.67649999999999999</v>
      </c>
      <c r="AV205" s="531">
        <f t="shared" si="772"/>
        <v>0.13529999999999998</v>
      </c>
      <c r="AW205" s="531">
        <f t="shared" si="773"/>
        <v>3.3364980000000015</v>
      </c>
      <c r="AX205" s="531">
        <f t="shared" si="774"/>
        <v>4.8052413147076001</v>
      </c>
      <c r="AY205" s="531">
        <f t="shared" si="775"/>
        <v>3.3364980000000015</v>
      </c>
      <c r="AZ205" s="531">
        <f t="shared" si="776"/>
        <v>0</v>
      </c>
      <c r="BA205" s="531">
        <f t="shared" si="777"/>
        <v>0</v>
      </c>
      <c r="BB205" s="531">
        <f t="shared" si="778"/>
        <v>0</v>
      </c>
      <c r="BC205" s="531"/>
      <c r="BD205" s="531">
        <f t="shared" si="779"/>
        <v>2.7060000000000001E-2</v>
      </c>
      <c r="BE205" s="496">
        <f t="shared" si="780"/>
        <v>1.7898000000000001</v>
      </c>
      <c r="BF205" s="498">
        <f t="shared" si="781"/>
        <v>0</v>
      </c>
      <c r="BG205" s="498">
        <f t="shared" si="782"/>
        <v>4.51</v>
      </c>
      <c r="BH205" s="532" t="str">
        <f>VLOOKUP(A205,'BOCA DE LOBO'!C:I,7,0)</f>
        <v>BOCA DE LOBO PROJETADA TRIPLA</v>
      </c>
      <c r="BI205" s="531">
        <f t="shared" si="783"/>
        <v>0</v>
      </c>
      <c r="BJ205" s="531">
        <f t="shared" si="784"/>
        <v>0</v>
      </c>
      <c r="BK205" s="531">
        <f t="shared" si="785"/>
        <v>0</v>
      </c>
      <c r="BL205" s="531">
        <f t="shared" si="786"/>
        <v>0</v>
      </c>
      <c r="BM205" s="531">
        <f t="shared" si="787"/>
        <v>0</v>
      </c>
      <c r="BN205" s="531">
        <f t="shared" si="788"/>
        <v>0</v>
      </c>
      <c r="BO205" s="499">
        <f t="shared" si="789"/>
        <v>1</v>
      </c>
      <c r="BP205" s="500"/>
      <c r="BQ205" s="496">
        <f t="shared" si="790"/>
        <v>13.53</v>
      </c>
      <c r="BR205" s="496">
        <f t="shared" si="791"/>
        <v>2.6139960000000002</v>
      </c>
      <c r="BS205" s="496">
        <f t="shared" si="792"/>
        <v>0</v>
      </c>
      <c r="BT205" s="501"/>
      <c r="BU205" s="501"/>
      <c r="BV205" s="502">
        <f t="shared" si="793"/>
        <v>16.287425279999994</v>
      </c>
      <c r="BW205" s="502">
        <f t="shared" si="794"/>
        <v>10.376799999999998</v>
      </c>
      <c r="BX205" s="502">
        <f t="shared" si="795"/>
        <v>4.4367999999999999</v>
      </c>
      <c r="BY205" s="502">
        <f t="shared" si="796"/>
        <v>1.5695999999999999</v>
      </c>
      <c r="BZ205" s="502">
        <f t="shared" si="797"/>
        <v>1.5695999999999999</v>
      </c>
      <c r="CA205" s="502">
        <f t="shared" si="798"/>
        <v>0</v>
      </c>
      <c r="CB205" s="502">
        <f t="shared" si="799"/>
        <v>0</v>
      </c>
      <c r="CC205" s="502">
        <f t="shared" si="800"/>
        <v>15.565199999999997</v>
      </c>
      <c r="CD205" s="502">
        <f t="shared" si="801"/>
        <v>0.72222527999999864</v>
      </c>
      <c r="CE205" s="502">
        <f t="shared" si="802"/>
        <v>0</v>
      </c>
      <c r="CF205" s="502">
        <f t="shared" si="803"/>
        <v>0</v>
      </c>
      <c r="CG205" s="502">
        <f t="shared" si="804"/>
        <v>0</v>
      </c>
      <c r="CH205" s="502">
        <f t="shared" si="805"/>
        <v>0</v>
      </c>
      <c r="CI205" s="531">
        <f t="shared" si="806"/>
        <v>0.71399999999999997</v>
      </c>
      <c r="CJ205" s="502">
        <f t="shared" si="807"/>
        <v>8.6094239999999953</v>
      </c>
      <c r="CK205" s="502">
        <f t="shared" si="808"/>
        <v>8.6094239999999953</v>
      </c>
      <c r="CL205" s="502">
        <f t="shared" si="809"/>
        <v>0</v>
      </c>
      <c r="CM205" s="502">
        <f t="shared" si="810"/>
        <v>0</v>
      </c>
      <c r="CN205" s="502">
        <f t="shared" si="811"/>
        <v>4.76</v>
      </c>
      <c r="CO205" s="502">
        <f t="shared" si="812"/>
        <v>1.5695999999999999</v>
      </c>
      <c r="CP205" s="502">
        <f t="shared" si="813"/>
        <v>14.28</v>
      </c>
      <c r="CQ205" s="502">
        <f t="shared" si="814"/>
        <v>0.66259199999999885</v>
      </c>
      <c r="CR205" s="220">
        <f t="shared" si="815"/>
        <v>0</v>
      </c>
      <c r="CS205" s="503">
        <f t="shared" si="816"/>
        <v>0</v>
      </c>
      <c r="CT205" s="503">
        <f t="shared" si="817"/>
        <v>0.45984000000000003</v>
      </c>
      <c r="CU205" s="504">
        <f t="shared" si="818"/>
        <v>11.301119999999999</v>
      </c>
      <c r="CV205" s="504">
        <f t="shared" si="819"/>
        <v>1.5817319999999999</v>
      </c>
      <c r="CW205" s="502">
        <f t="shared" si="820"/>
        <v>20.689959999999999</v>
      </c>
      <c r="CX205" s="531">
        <f t="shared" si="821"/>
        <v>4.76</v>
      </c>
      <c r="CY205" s="537">
        <f t="shared" si="822"/>
        <v>2.38</v>
      </c>
      <c r="CZ205" s="502">
        <f t="shared" si="823"/>
        <v>2.4513847475961154E-2</v>
      </c>
    </row>
    <row r="206" spans="1:104" ht="25" x14ac:dyDescent="0.25">
      <c r="A206" s="413" t="str">
        <f>'BOCA DE LOBO'!C200</f>
        <v>BL115-&gt;PV2-115</v>
      </c>
      <c r="B206" s="413" t="str">
        <f>'BOCA DE LOBO'!A200</f>
        <v>PV2-115</v>
      </c>
      <c r="C206" s="413" t="str">
        <f>VLOOKUP(A206,'BOCA DE LOBO'!$C$82:$Q$270,3,0)</f>
        <v>EXISTENTE</v>
      </c>
      <c r="D206" s="413" t="str">
        <f>VLOOKUP(A206,'BOCA DE LOBO'!$C$82:$Q$270,10,0)</f>
        <v>PROJETADA</v>
      </c>
      <c r="E206" s="413">
        <f t="shared" si="738"/>
        <v>1.5327999999999817</v>
      </c>
      <c r="F206" s="413">
        <f>VLOOKUP(A206,'BOCA DE LOBO'!$C$82:$Q$270,2,0)</f>
        <v>1.7699999999999818</v>
      </c>
      <c r="G206" s="413">
        <f>VLOOKUP(A206,'BOCA DE LOBO'!$C$82:$Q$270,4,0)</f>
        <v>5.93</v>
      </c>
      <c r="H206" s="412">
        <v>400</v>
      </c>
      <c r="I206" s="493">
        <f t="shared" si="739"/>
        <v>1.7813999999999819</v>
      </c>
      <c r="J206" s="493">
        <f t="shared" si="740"/>
        <v>0.52818509999999463</v>
      </c>
      <c r="K206" s="530">
        <v>0</v>
      </c>
      <c r="L206" s="531">
        <f t="shared" si="741"/>
        <v>1</v>
      </c>
      <c r="M206" s="531">
        <f t="shared" si="742"/>
        <v>1</v>
      </c>
      <c r="N206" s="531">
        <f t="shared" si="743"/>
        <v>0</v>
      </c>
      <c r="O206" s="531">
        <f t="shared" si="744"/>
        <v>5.93</v>
      </c>
      <c r="P206" s="532" t="s">
        <v>2392</v>
      </c>
      <c r="Q206" s="539" t="s">
        <v>2967</v>
      </c>
      <c r="R206" s="534"/>
      <c r="S206" s="532">
        <v>5</v>
      </c>
      <c r="T206" s="532">
        <v>5</v>
      </c>
      <c r="U206" s="531">
        <f t="shared" si="745"/>
        <v>0.05</v>
      </c>
      <c r="V206" s="535">
        <f t="shared" si="746"/>
        <v>0</v>
      </c>
      <c r="W206" s="535">
        <f t="shared" si="747"/>
        <v>10.563701999999893</v>
      </c>
      <c r="X206" s="536">
        <f t="shared" si="748"/>
        <v>0</v>
      </c>
      <c r="Y206" s="536">
        <f t="shared" si="749"/>
        <v>0</v>
      </c>
      <c r="Z206" s="536">
        <f t="shared" si="750"/>
        <v>1.7813999999999819</v>
      </c>
      <c r="AA206" s="536">
        <f t="shared" si="751"/>
        <v>0</v>
      </c>
      <c r="AB206" s="496">
        <f t="shared" si="752"/>
        <v>5.93</v>
      </c>
      <c r="AC206" s="251">
        <f t="shared" si="753"/>
        <v>0</v>
      </c>
      <c r="AD206" s="251">
        <f t="shared" si="754"/>
        <v>0</v>
      </c>
      <c r="AE206" s="251">
        <f t="shared" si="755"/>
        <v>0</v>
      </c>
      <c r="AF206" s="251">
        <f t="shared" si="756"/>
        <v>8.8949999999999996</v>
      </c>
      <c r="AG206" s="251">
        <f t="shared" si="757"/>
        <v>1.6687019999998924</v>
      </c>
      <c r="AH206" s="251">
        <f t="shared" si="758"/>
        <v>0</v>
      </c>
      <c r="AI206" s="497" t="str">
        <f t="shared" si="759"/>
        <v>NÃO</v>
      </c>
      <c r="AJ206" s="531">
        <f t="shared" si="760"/>
        <v>0</v>
      </c>
      <c r="AK206" s="531">
        <f t="shared" si="761"/>
        <v>0</v>
      </c>
      <c r="AL206" s="531">
        <f t="shared" si="762"/>
        <v>9.8185162225683946</v>
      </c>
      <c r="AM206" s="493">
        <f t="shared" si="763"/>
        <v>0.29649999999999999</v>
      </c>
      <c r="AN206" s="535">
        <f t="shared" si="764"/>
        <v>0</v>
      </c>
      <c r="AO206" s="531">
        <f t="shared" si="765"/>
        <v>0</v>
      </c>
      <c r="AP206" s="531">
        <f t="shared" si="766"/>
        <v>0</v>
      </c>
      <c r="AQ206" s="531">
        <f t="shared" si="767"/>
        <v>0.7</v>
      </c>
      <c r="AR206" s="531">
        <f t="shared" si="768"/>
        <v>3.4058142225685009</v>
      </c>
      <c r="AS206" s="531">
        <f t="shared" si="769"/>
        <v>0</v>
      </c>
      <c r="AT206" s="531">
        <f t="shared" si="770"/>
        <v>0.88949999999999996</v>
      </c>
      <c r="AU206" s="531">
        <f t="shared" si="771"/>
        <v>0.88949999999999996</v>
      </c>
      <c r="AV206" s="531">
        <f t="shared" si="772"/>
        <v>0.17789999999999997</v>
      </c>
      <c r="AW206" s="531">
        <f t="shared" si="773"/>
        <v>4.3372019999998939</v>
      </c>
      <c r="AX206" s="531">
        <f t="shared" si="774"/>
        <v>6.2683877774313919</v>
      </c>
      <c r="AY206" s="531">
        <f t="shared" si="775"/>
        <v>4.3372019999998939</v>
      </c>
      <c r="AZ206" s="531">
        <f t="shared" si="776"/>
        <v>0</v>
      </c>
      <c r="BA206" s="531">
        <f t="shared" si="777"/>
        <v>0</v>
      </c>
      <c r="BB206" s="531">
        <f t="shared" si="778"/>
        <v>0</v>
      </c>
      <c r="BC206" s="531"/>
      <c r="BD206" s="531">
        <f t="shared" si="779"/>
        <v>3.5580000000000001E-2</v>
      </c>
      <c r="BE206" s="496">
        <f t="shared" si="780"/>
        <v>1.7813999999999819</v>
      </c>
      <c r="BF206" s="498">
        <f t="shared" si="781"/>
        <v>0</v>
      </c>
      <c r="BG206" s="498">
        <f t="shared" si="782"/>
        <v>5.93</v>
      </c>
      <c r="BH206" s="532" t="str">
        <f>VLOOKUP(A206,'BOCA DE LOBO'!C:I,7,0)</f>
        <v>BOCA DE LOBO PROJETADA DUPLA</v>
      </c>
      <c r="BI206" s="531">
        <f t="shared" si="783"/>
        <v>0</v>
      </c>
      <c r="BJ206" s="531">
        <f t="shared" si="784"/>
        <v>0</v>
      </c>
      <c r="BK206" s="531">
        <f t="shared" si="785"/>
        <v>0</v>
      </c>
      <c r="BL206" s="531">
        <f t="shared" si="786"/>
        <v>0</v>
      </c>
      <c r="BM206" s="531">
        <f t="shared" si="787"/>
        <v>0</v>
      </c>
      <c r="BN206" s="531">
        <f t="shared" si="788"/>
        <v>1</v>
      </c>
      <c r="BO206" s="499">
        <f t="shared" si="789"/>
        <v>0</v>
      </c>
      <c r="BP206" s="500"/>
      <c r="BQ206" s="496">
        <f t="shared" si="790"/>
        <v>17.79</v>
      </c>
      <c r="BR206" s="496">
        <f t="shared" si="791"/>
        <v>3.3374039999997849</v>
      </c>
      <c r="BS206" s="496">
        <f t="shared" si="792"/>
        <v>0</v>
      </c>
      <c r="BT206" s="501"/>
      <c r="BU206" s="501"/>
      <c r="BV206" s="502">
        <f t="shared" si="793"/>
        <v>11.929169279999856</v>
      </c>
      <c r="BW206" s="502">
        <f t="shared" si="794"/>
        <v>7.7825999999999986</v>
      </c>
      <c r="BX206" s="502">
        <f t="shared" si="795"/>
        <v>3.0325999999999995</v>
      </c>
      <c r="BY206" s="502">
        <f t="shared" si="796"/>
        <v>1.5327999999999817</v>
      </c>
      <c r="BZ206" s="502">
        <f t="shared" si="797"/>
        <v>1.5327999999999817</v>
      </c>
      <c r="CA206" s="502">
        <f t="shared" si="798"/>
        <v>0</v>
      </c>
      <c r="CB206" s="502">
        <f t="shared" si="799"/>
        <v>0</v>
      </c>
      <c r="CC206" s="502">
        <f t="shared" si="800"/>
        <v>11.673899999999998</v>
      </c>
      <c r="CD206" s="502">
        <f t="shared" si="801"/>
        <v>0.25526927999985777</v>
      </c>
      <c r="CE206" s="502">
        <f t="shared" si="802"/>
        <v>0</v>
      </c>
      <c r="CF206" s="502">
        <f t="shared" si="803"/>
        <v>0</v>
      </c>
      <c r="CG206" s="502">
        <f t="shared" si="804"/>
        <v>0</v>
      </c>
      <c r="CH206" s="502">
        <f t="shared" si="805"/>
        <v>0</v>
      </c>
      <c r="CI206" s="531">
        <f t="shared" si="806"/>
        <v>0.53549999999999998</v>
      </c>
      <c r="CJ206" s="502">
        <f t="shared" si="807"/>
        <v>6.7452999999999124</v>
      </c>
      <c r="CK206" s="502">
        <f t="shared" si="808"/>
        <v>6.7452999999999124</v>
      </c>
      <c r="CL206" s="502">
        <f t="shared" si="809"/>
        <v>0</v>
      </c>
      <c r="CM206" s="502">
        <f t="shared" si="810"/>
        <v>0</v>
      </c>
      <c r="CN206" s="502">
        <f t="shared" si="811"/>
        <v>3.57</v>
      </c>
      <c r="CO206" s="502">
        <f t="shared" si="812"/>
        <v>1.5327999999999817</v>
      </c>
      <c r="CP206" s="502">
        <f t="shared" si="813"/>
        <v>10.709999999999999</v>
      </c>
      <c r="CQ206" s="502">
        <f t="shared" si="814"/>
        <v>0.23419199999986956</v>
      </c>
      <c r="CR206" s="220">
        <f t="shared" si="815"/>
        <v>0</v>
      </c>
      <c r="CS206" s="503">
        <f t="shared" si="816"/>
        <v>0</v>
      </c>
      <c r="CT206" s="503">
        <f t="shared" si="817"/>
        <v>0.33012999999999998</v>
      </c>
      <c r="CU206" s="504">
        <f t="shared" si="818"/>
        <v>7.9705599999999057</v>
      </c>
      <c r="CV206" s="504">
        <f t="shared" si="819"/>
        <v>1.1429867999999943</v>
      </c>
      <c r="CW206" s="502">
        <f t="shared" si="820"/>
        <v>15.82010399999986</v>
      </c>
      <c r="CX206" s="531">
        <f t="shared" si="821"/>
        <v>3.57</v>
      </c>
      <c r="CY206" s="537">
        <f t="shared" si="822"/>
        <v>1.7849999999999999</v>
      </c>
      <c r="CZ206" s="502">
        <f t="shared" si="823"/>
        <v>2.4513847475961154E-2</v>
      </c>
    </row>
    <row r="207" spans="1:104" ht="25" x14ac:dyDescent="0.25">
      <c r="A207" s="413" t="str">
        <f>'BOCA DE LOBO'!C201</f>
        <v>BL116-&gt;PV3-115</v>
      </c>
      <c r="B207" s="413" t="str">
        <f>'BOCA DE LOBO'!A201</f>
        <v>PV3-115</v>
      </c>
      <c r="C207" s="413" t="str">
        <f>VLOOKUP(A207,'BOCA DE LOBO'!$C$82:$Q$270,3,0)</f>
        <v>EXISTENTE</v>
      </c>
      <c r="D207" s="413" t="str">
        <f>VLOOKUP(A207,'BOCA DE LOBO'!$C$82:$Q$270,10,0)</f>
        <v>PROJETADA</v>
      </c>
      <c r="E207" s="413">
        <f t="shared" si="738"/>
        <v>1.5439999999999818</v>
      </c>
      <c r="F207" s="413">
        <f>VLOOKUP(A207,'BOCA DE LOBO'!$C$82:$Q$270,2,0)</f>
        <v>1.7699999999999818</v>
      </c>
      <c r="G207" s="413">
        <f>VLOOKUP(A207,'BOCA DE LOBO'!$C$82:$Q$270,4,0)</f>
        <v>5.65</v>
      </c>
      <c r="H207" s="412">
        <v>400</v>
      </c>
      <c r="I207" s="493">
        <f t="shared" si="739"/>
        <v>1.7869999999999819</v>
      </c>
      <c r="J207" s="493">
        <f t="shared" si="740"/>
        <v>0.50482749999999499</v>
      </c>
      <c r="K207" s="530">
        <v>0</v>
      </c>
      <c r="L207" s="531">
        <f t="shared" si="741"/>
        <v>1</v>
      </c>
      <c r="M207" s="531">
        <f t="shared" si="742"/>
        <v>1</v>
      </c>
      <c r="N207" s="531">
        <f t="shared" si="743"/>
        <v>0</v>
      </c>
      <c r="O207" s="531">
        <f t="shared" si="744"/>
        <v>5.65</v>
      </c>
      <c r="P207" s="532" t="s">
        <v>2392</v>
      </c>
      <c r="Q207" s="539" t="s">
        <v>2966</v>
      </c>
      <c r="R207" s="534"/>
      <c r="S207" s="532">
        <v>5</v>
      </c>
      <c r="T207" s="532">
        <v>5</v>
      </c>
      <c r="U207" s="531">
        <f t="shared" si="745"/>
        <v>0.05</v>
      </c>
      <c r="V207" s="535">
        <f t="shared" si="746"/>
        <v>0</v>
      </c>
      <c r="W207" s="535">
        <f t="shared" si="747"/>
        <v>10.096549999999899</v>
      </c>
      <c r="X207" s="536">
        <f t="shared" si="748"/>
        <v>0</v>
      </c>
      <c r="Y207" s="536">
        <f t="shared" si="749"/>
        <v>0</v>
      </c>
      <c r="Z207" s="536">
        <f t="shared" si="750"/>
        <v>1.7869999999999819</v>
      </c>
      <c r="AA207" s="536">
        <f t="shared" si="751"/>
        <v>0</v>
      </c>
      <c r="AB207" s="496">
        <f t="shared" si="752"/>
        <v>5.65</v>
      </c>
      <c r="AC207" s="251">
        <f t="shared" si="753"/>
        <v>0</v>
      </c>
      <c r="AD207" s="251">
        <f t="shared" si="754"/>
        <v>0</v>
      </c>
      <c r="AE207" s="251">
        <f t="shared" si="755"/>
        <v>0</v>
      </c>
      <c r="AF207" s="251">
        <f t="shared" si="756"/>
        <v>8.4750000000000014</v>
      </c>
      <c r="AG207" s="251">
        <f t="shared" si="757"/>
        <v>1.6215499999998981</v>
      </c>
      <c r="AH207" s="251">
        <f t="shared" si="758"/>
        <v>0</v>
      </c>
      <c r="AI207" s="497" t="str">
        <f t="shared" si="759"/>
        <v>NÃO</v>
      </c>
      <c r="AJ207" s="531">
        <f t="shared" si="760"/>
        <v>0</v>
      </c>
      <c r="AK207" s="531">
        <f t="shared" si="761"/>
        <v>0</v>
      </c>
      <c r="AL207" s="531">
        <f t="shared" si="762"/>
        <v>9.3865500602886058</v>
      </c>
      <c r="AM207" s="493">
        <f t="shared" si="763"/>
        <v>0.28250000000000003</v>
      </c>
      <c r="AN207" s="535">
        <f t="shared" si="764"/>
        <v>0</v>
      </c>
      <c r="AO207" s="531">
        <f t="shared" si="765"/>
        <v>0</v>
      </c>
      <c r="AP207" s="531">
        <f t="shared" si="766"/>
        <v>0</v>
      </c>
      <c r="AQ207" s="531">
        <f t="shared" si="767"/>
        <v>0.7</v>
      </c>
      <c r="AR207" s="531">
        <f t="shared" si="768"/>
        <v>3.2450000602887066</v>
      </c>
      <c r="AS207" s="531">
        <f t="shared" si="769"/>
        <v>0</v>
      </c>
      <c r="AT207" s="531">
        <f t="shared" si="770"/>
        <v>0.84750000000000003</v>
      </c>
      <c r="AU207" s="531">
        <f t="shared" si="771"/>
        <v>0.84750000000000003</v>
      </c>
      <c r="AV207" s="531">
        <f t="shared" si="772"/>
        <v>0.16950000000000001</v>
      </c>
      <c r="AW207" s="531">
        <f t="shared" si="773"/>
        <v>4.1640499999998983</v>
      </c>
      <c r="AX207" s="531">
        <f t="shared" si="774"/>
        <v>6.0040499397111926</v>
      </c>
      <c r="AY207" s="531">
        <f t="shared" si="775"/>
        <v>4.1640499999998983</v>
      </c>
      <c r="AZ207" s="531">
        <f t="shared" si="776"/>
        <v>0</v>
      </c>
      <c r="BA207" s="531">
        <f t="shared" si="777"/>
        <v>0</v>
      </c>
      <c r="BB207" s="531">
        <f t="shared" si="778"/>
        <v>0</v>
      </c>
      <c r="BC207" s="531"/>
      <c r="BD207" s="531">
        <f t="shared" si="779"/>
        <v>3.39E-2</v>
      </c>
      <c r="BE207" s="496">
        <f t="shared" si="780"/>
        <v>1.7869999999999819</v>
      </c>
      <c r="BF207" s="498">
        <f t="shared" si="781"/>
        <v>0</v>
      </c>
      <c r="BG207" s="498">
        <f t="shared" si="782"/>
        <v>5.65</v>
      </c>
      <c r="BH207" s="532" t="str">
        <f>VLOOKUP(A207,'BOCA DE LOBO'!C:I,7,0)</f>
        <v>BOCA DE LOBO PROJETADA DUPLA</v>
      </c>
      <c r="BI207" s="531">
        <f t="shared" si="783"/>
        <v>0</v>
      </c>
      <c r="BJ207" s="531">
        <f t="shared" si="784"/>
        <v>0</v>
      </c>
      <c r="BK207" s="531">
        <f t="shared" si="785"/>
        <v>0</v>
      </c>
      <c r="BL207" s="531">
        <f t="shared" si="786"/>
        <v>0</v>
      </c>
      <c r="BM207" s="531">
        <f t="shared" si="787"/>
        <v>0</v>
      </c>
      <c r="BN207" s="531">
        <f t="shared" si="788"/>
        <v>1</v>
      </c>
      <c r="BO207" s="499">
        <f t="shared" si="789"/>
        <v>0</v>
      </c>
      <c r="BP207" s="500"/>
      <c r="BQ207" s="496">
        <f t="shared" si="790"/>
        <v>16.950000000000003</v>
      </c>
      <c r="BR207" s="496">
        <f t="shared" si="791"/>
        <v>3.2430999999997963</v>
      </c>
      <c r="BS207" s="496">
        <f t="shared" si="792"/>
        <v>0</v>
      </c>
      <c r="BT207" s="501"/>
      <c r="BU207" s="501"/>
      <c r="BV207" s="502">
        <f t="shared" si="793"/>
        <v>12.016334399999856</v>
      </c>
      <c r="BW207" s="502">
        <f t="shared" si="794"/>
        <v>7.7825999999999986</v>
      </c>
      <c r="BX207" s="502">
        <f t="shared" si="795"/>
        <v>3.0325999999999995</v>
      </c>
      <c r="BY207" s="502">
        <f t="shared" si="796"/>
        <v>1.5439999999999818</v>
      </c>
      <c r="BZ207" s="502">
        <f t="shared" si="797"/>
        <v>1.5439999999999818</v>
      </c>
      <c r="CA207" s="502">
        <f t="shared" si="798"/>
        <v>0</v>
      </c>
      <c r="CB207" s="502">
        <f t="shared" si="799"/>
        <v>0</v>
      </c>
      <c r="CC207" s="502">
        <f t="shared" si="800"/>
        <v>11.673899999999998</v>
      </c>
      <c r="CD207" s="502">
        <f t="shared" si="801"/>
        <v>0.34243439999985853</v>
      </c>
      <c r="CE207" s="502">
        <f t="shared" si="802"/>
        <v>0</v>
      </c>
      <c r="CF207" s="502">
        <f t="shared" si="803"/>
        <v>0</v>
      </c>
      <c r="CG207" s="502">
        <f t="shared" si="804"/>
        <v>0</v>
      </c>
      <c r="CH207" s="502">
        <f t="shared" si="805"/>
        <v>0</v>
      </c>
      <c r="CI207" s="531">
        <f t="shared" si="806"/>
        <v>0.53549999999999998</v>
      </c>
      <c r="CJ207" s="502">
        <f t="shared" si="807"/>
        <v>6.7984999999999127</v>
      </c>
      <c r="CK207" s="502">
        <f t="shared" si="808"/>
        <v>6.7984999999999127</v>
      </c>
      <c r="CL207" s="502">
        <f t="shared" si="809"/>
        <v>0</v>
      </c>
      <c r="CM207" s="502">
        <f t="shared" si="810"/>
        <v>0</v>
      </c>
      <c r="CN207" s="502">
        <f t="shared" si="811"/>
        <v>3.57</v>
      </c>
      <c r="CO207" s="502">
        <f t="shared" si="812"/>
        <v>1.5439999999999818</v>
      </c>
      <c r="CP207" s="502">
        <f t="shared" si="813"/>
        <v>10.709999999999999</v>
      </c>
      <c r="CQ207" s="502">
        <f t="shared" si="814"/>
        <v>0.31415999999987027</v>
      </c>
      <c r="CR207" s="220">
        <f t="shared" si="815"/>
        <v>0</v>
      </c>
      <c r="CS207" s="503">
        <f t="shared" si="816"/>
        <v>0</v>
      </c>
      <c r="CT207" s="503">
        <f t="shared" si="817"/>
        <v>0.33012999999999998</v>
      </c>
      <c r="CU207" s="504">
        <f t="shared" si="818"/>
        <v>8.0287999999999062</v>
      </c>
      <c r="CV207" s="504">
        <f t="shared" si="819"/>
        <v>1.1464139999999943</v>
      </c>
      <c r="CW207" s="502">
        <f t="shared" si="820"/>
        <v>15.906119999999861</v>
      </c>
      <c r="CX207" s="531">
        <f t="shared" si="821"/>
        <v>3.57</v>
      </c>
      <c r="CY207" s="537">
        <f t="shared" si="822"/>
        <v>1.7849999999999999</v>
      </c>
      <c r="CZ207" s="502">
        <f t="shared" si="823"/>
        <v>2.4513847475961154E-2</v>
      </c>
    </row>
    <row r="208" spans="1:104" ht="25" x14ac:dyDescent="0.25">
      <c r="A208" s="413" t="str">
        <f>'BOCA DE LOBO'!C202</f>
        <v>BL117-&gt;PV4-115</v>
      </c>
      <c r="B208" s="413" t="str">
        <f>'BOCA DE LOBO'!A202</f>
        <v>PV4-115</v>
      </c>
      <c r="C208" s="413" t="str">
        <f>VLOOKUP(A208,'BOCA DE LOBO'!$C$82:$Q$270,3,0)</f>
        <v>EXISTENTE</v>
      </c>
      <c r="D208" s="413" t="str">
        <f>VLOOKUP(A208,'BOCA DE LOBO'!$C$82:$Q$270,10,0)</f>
        <v>PROJETADA</v>
      </c>
      <c r="E208" s="413">
        <f t="shared" si="738"/>
        <v>1.7560000000000182</v>
      </c>
      <c r="F208" s="413">
        <f>VLOOKUP(A208,'BOCA DE LOBO'!$C$82:$Q$270,2,0)</f>
        <v>1.9800000000000182</v>
      </c>
      <c r="G208" s="413">
        <f>VLOOKUP(A208,'BOCA DE LOBO'!$C$82:$Q$270,4,0)</f>
        <v>5.6</v>
      </c>
      <c r="H208" s="412">
        <v>400</v>
      </c>
      <c r="I208" s="493">
        <f t="shared" si="739"/>
        <v>1.9980000000000182</v>
      </c>
      <c r="J208" s="493">
        <f t="shared" si="740"/>
        <v>0.55944000000000504</v>
      </c>
      <c r="K208" s="530">
        <v>0</v>
      </c>
      <c r="L208" s="531">
        <f t="shared" si="741"/>
        <v>1</v>
      </c>
      <c r="M208" s="531">
        <f t="shared" si="742"/>
        <v>1</v>
      </c>
      <c r="N208" s="531">
        <f t="shared" si="743"/>
        <v>0</v>
      </c>
      <c r="O208" s="531">
        <f t="shared" si="744"/>
        <v>5.6</v>
      </c>
      <c r="P208" s="532" t="s">
        <v>2392</v>
      </c>
      <c r="Q208" s="539" t="s">
        <v>2966</v>
      </c>
      <c r="R208" s="534"/>
      <c r="S208" s="532">
        <v>5</v>
      </c>
      <c r="T208" s="532">
        <v>5</v>
      </c>
      <c r="U208" s="531">
        <f t="shared" si="745"/>
        <v>0.05</v>
      </c>
      <c r="V208" s="535">
        <f t="shared" si="746"/>
        <v>0</v>
      </c>
      <c r="W208" s="535">
        <f t="shared" si="747"/>
        <v>11.188800000000102</v>
      </c>
      <c r="X208" s="536">
        <f t="shared" si="748"/>
        <v>0</v>
      </c>
      <c r="Y208" s="536">
        <f t="shared" si="749"/>
        <v>0</v>
      </c>
      <c r="Z208" s="536">
        <f t="shared" si="750"/>
        <v>1.9980000000000182</v>
      </c>
      <c r="AA208" s="536">
        <f t="shared" si="751"/>
        <v>0</v>
      </c>
      <c r="AB208" s="496">
        <f t="shared" si="752"/>
        <v>5.6</v>
      </c>
      <c r="AC208" s="251">
        <f t="shared" si="753"/>
        <v>0</v>
      </c>
      <c r="AD208" s="251">
        <f t="shared" si="754"/>
        <v>0</v>
      </c>
      <c r="AE208" s="251">
        <f t="shared" si="755"/>
        <v>0</v>
      </c>
      <c r="AF208" s="251">
        <f t="shared" si="756"/>
        <v>8.3999999999999986</v>
      </c>
      <c r="AG208" s="251">
        <f t="shared" si="757"/>
        <v>2.7888000000001019</v>
      </c>
      <c r="AH208" s="251">
        <f t="shared" si="758"/>
        <v>0</v>
      </c>
      <c r="AI208" s="497" t="str">
        <f t="shared" si="759"/>
        <v>NÃO</v>
      </c>
      <c r="AJ208" s="531">
        <f t="shared" si="760"/>
        <v>0</v>
      </c>
      <c r="AK208" s="531">
        <f t="shared" si="761"/>
        <v>0</v>
      </c>
      <c r="AL208" s="531">
        <f t="shared" si="762"/>
        <v>10.485083245595987</v>
      </c>
      <c r="AM208" s="493">
        <f t="shared" si="763"/>
        <v>0.27999999999999997</v>
      </c>
      <c r="AN208" s="535">
        <f t="shared" si="764"/>
        <v>0</v>
      </c>
      <c r="AO208" s="531">
        <f t="shared" si="765"/>
        <v>0</v>
      </c>
      <c r="AP208" s="531">
        <f t="shared" si="766"/>
        <v>0</v>
      </c>
      <c r="AQ208" s="531">
        <f t="shared" si="767"/>
        <v>0.7</v>
      </c>
      <c r="AR208" s="531">
        <f t="shared" si="768"/>
        <v>3.2162832455958856</v>
      </c>
      <c r="AS208" s="531">
        <f t="shared" si="769"/>
        <v>0</v>
      </c>
      <c r="AT208" s="531">
        <f t="shared" si="770"/>
        <v>0.84</v>
      </c>
      <c r="AU208" s="531">
        <f t="shared" si="771"/>
        <v>0.84</v>
      </c>
      <c r="AV208" s="531">
        <f t="shared" si="772"/>
        <v>0.16799999999999998</v>
      </c>
      <c r="AW208" s="531">
        <f t="shared" si="773"/>
        <v>5.3088000000001028</v>
      </c>
      <c r="AX208" s="531">
        <f t="shared" si="774"/>
        <v>7.1325167544042145</v>
      </c>
      <c r="AY208" s="531">
        <f t="shared" si="775"/>
        <v>5.3088000000001028</v>
      </c>
      <c r="AZ208" s="531">
        <f t="shared" si="776"/>
        <v>0</v>
      </c>
      <c r="BA208" s="531">
        <f t="shared" si="777"/>
        <v>0</v>
      </c>
      <c r="BB208" s="531">
        <f t="shared" si="778"/>
        <v>0</v>
      </c>
      <c r="BC208" s="531"/>
      <c r="BD208" s="531">
        <f t="shared" si="779"/>
        <v>3.3599999999999998E-2</v>
      </c>
      <c r="BE208" s="496">
        <f t="shared" si="780"/>
        <v>1.9980000000000182</v>
      </c>
      <c r="BF208" s="498">
        <f t="shared" si="781"/>
        <v>0</v>
      </c>
      <c r="BG208" s="498">
        <f t="shared" si="782"/>
        <v>5.6</v>
      </c>
      <c r="BH208" s="532" t="str">
        <f>VLOOKUP(A208,'BOCA DE LOBO'!C:I,7,0)</f>
        <v>BOCA DE LOBO PROJETADA DUPLA</v>
      </c>
      <c r="BI208" s="531">
        <f t="shared" si="783"/>
        <v>0</v>
      </c>
      <c r="BJ208" s="531">
        <f t="shared" si="784"/>
        <v>0</v>
      </c>
      <c r="BK208" s="531">
        <f t="shared" si="785"/>
        <v>0</v>
      </c>
      <c r="BL208" s="531">
        <f t="shared" si="786"/>
        <v>0</v>
      </c>
      <c r="BM208" s="531">
        <f t="shared" si="787"/>
        <v>0</v>
      </c>
      <c r="BN208" s="531">
        <f t="shared" si="788"/>
        <v>1</v>
      </c>
      <c r="BO208" s="499">
        <f t="shared" si="789"/>
        <v>0</v>
      </c>
      <c r="BP208" s="500"/>
      <c r="BQ208" s="496">
        <f t="shared" si="790"/>
        <v>16.799999999999997</v>
      </c>
      <c r="BR208" s="496">
        <f t="shared" si="791"/>
        <v>5.5776000000002037</v>
      </c>
      <c r="BS208" s="496">
        <f t="shared" si="792"/>
        <v>0</v>
      </c>
      <c r="BT208" s="501"/>
      <c r="BU208" s="501"/>
      <c r="BV208" s="502">
        <f t="shared" si="793"/>
        <v>13.66624560000014</v>
      </c>
      <c r="BW208" s="502">
        <f t="shared" si="794"/>
        <v>7.7825999999999986</v>
      </c>
      <c r="BX208" s="502">
        <f t="shared" si="795"/>
        <v>3.0325999999999995</v>
      </c>
      <c r="BY208" s="502">
        <f t="shared" si="796"/>
        <v>1.7560000000000182</v>
      </c>
      <c r="BZ208" s="502">
        <f t="shared" si="797"/>
        <v>1.7560000000000182</v>
      </c>
      <c r="CA208" s="502">
        <f t="shared" si="798"/>
        <v>0</v>
      </c>
      <c r="CB208" s="502">
        <f t="shared" si="799"/>
        <v>0</v>
      </c>
      <c r="CC208" s="502">
        <f t="shared" si="800"/>
        <v>11.673899999999998</v>
      </c>
      <c r="CD208" s="502">
        <f t="shared" si="801"/>
        <v>1.9923456000001414</v>
      </c>
      <c r="CE208" s="502">
        <f t="shared" si="802"/>
        <v>0</v>
      </c>
      <c r="CF208" s="502">
        <f t="shared" si="803"/>
        <v>0</v>
      </c>
      <c r="CG208" s="502">
        <f t="shared" si="804"/>
        <v>0</v>
      </c>
      <c r="CH208" s="502">
        <f t="shared" si="805"/>
        <v>0</v>
      </c>
      <c r="CI208" s="531">
        <f t="shared" si="806"/>
        <v>0.53549999999999998</v>
      </c>
      <c r="CJ208" s="502">
        <f t="shared" si="807"/>
        <v>7.8055000000000847</v>
      </c>
      <c r="CK208" s="502">
        <f t="shared" si="808"/>
        <v>7.8055000000000847</v>
      </c>
      <c r="CL208" s="502">
        <f t="shared" si="809"/>
        <v>0</v>
      </c>
      <c r="CM208" s="502">
        <f t="shared" si="810"/>
        <v>0</v>
      </c>
      <c r="CN208" s="502">
        <f t="shared" si="811"/>
        <v>3.57</v>
      </c>
      <c r="CO208" s="502">
        <f t="shared" si="812"/>
        <v>1.7560000000000182</v>
      </c>
      <c r="CP208" s="502">
        <f t="shared" si="813"/>
        <v>10.709999999999999</v>
      </c>
      <c r="CQ208" s="502">
        <f t="shared" si="814"/>
        <v>1.82784000000013</v>
      </c>
      <c r="CR208" s="220">
        <f t="shared" si="815"/>
        <v>0</v>
      </c>
      <c r="CS208" s="503">
        <f t="shared" si="816"/>
        <v>0</v>
      </c>
      <c r="CT208" s="503">
        <f t="shared" si="817"/>
        <v>0.33012999999999998</v>
      </c>
      <c r="CU208" s="504">
        <f t="shared" si="818"/>
        <v>9.1312000000000957</v>
      </c>
      <c r="CV208" s="504">
        <f t="shared" si="819"/>
        <v>1.2112860000000054</v>
      </c>
      <c r="CW208" s="502">
        <f t="shared" si="820"/>
        <v>17.534280000000141</v>
      </c>
      <c r="CX208" s="531">
        <f t="shared" si="821"/>
        <v>3.57</v>
      </c>
      <c r="CY208" s="537">
        <f t="shared" si="822"/>
        <v>1.7849999999999999</v>
      </c>
      <c r="CZ208" s="502">
        <f t="shared" si="823"/>
        <v>2.4513847475961154E-2</v>
      </c>
    </row>
    <row r="209" spans="1:104" ht="25" x14ac:dyDescent="0.25">
      <c r="A209" s="413" t="str">
        <f>'BOCA DE LOBO'!C203</f>
        <v>BL118-&gt;PV4-115</v>
      </c>
      <c r="B209" s="413" t="str">
        <f>'BOCA DE LOBO'!A203</f>
        <v>PV4-115</v>
      </c>
      <c r="C209" s="413" t="str">
        <f>VLOOKUP(A209,'BOCA DE LOBO'!$C$82:$Q$270,3,0)</f>
        <v>EXISTENTE</v>
      </c>
      <c r="D209" s="413" t="str">
        <f>VLOOKUP(A209,'BOCA DE LOBO'!$C$82:$Q$270,10,0)</f>
        <v>PROJETADA</v>
      </c>
      <c r="E209" s="413">
        <f t="shared" ref="E209:E220" si="824">IF(F209-G209*4%&lt;2.5,F209-G209*4%,2.5)</f>
        <v>1.5996000000000181</v>
      </c>
      <c r="F209" s="413">
        <f>VLOOKUP(A209,'BOCA DE LOBO'!$C$82:$Q$270,2,0)</f>
        <v>1.9800000000000182</v>
      </c>
      <c r="G209" s="413">
        <f>VLOOKUP(A209,'BOCA DE LOBO'!$C$82:$Q$270,4,0)</f>
        <v>9.51</v>
      </c>
      <c r="H209" s="412">
        <v>400</v>
      </c>
      <c r="I209" s="493">
        <f t="shared" ref="I209:I220" si="825">IF(H209=400,((E209+F209)/2)+0.08+U209,IF(H209=500,((E209+F209)/2)+0.1+U209,IF(H209=600,((E209+F209)/2)+0.12+U209,IF(H209=800,((E209+F209)/2)+0.16+U209,IF(H209=1000,((E209+F209)/2)+0.2+U209,IF(H209=1200,((E209+F209)/2)+0.24+U209,IF(H209=1500,((E209+F209)/2)+0.3+U209,IF(H209&gt;1500,((E209+F209)/2)+0.4+U209))))))))</f>
        <v>1.9198000000000184</v>
      </c>
      <c r="J209" s="493">
        <f t="shared" ref="J209:J220" si="826">IF(L209=0,0,IF(I209&gt;=1.25,G209*I209/20,0))</f>
        <v>0.91286490000000864</v>
      </c>
      <c r="K209" s="530">
        <v>0</v>
      </c>
      <c r="L209" s="531">
        <f t="shared" ref="L209:L220" si="827">IF(D209&lt;&gt;"PROJETADA",0,IF(H209=400,1,0)+IF(H209=500,1.2,0)+IF(H209=600,1.4,0)+IF(H209=800,1.7,0)+IF(H209=1000,2,0)+IF(H209=1200,2.2,0)+IF(H209=1500,2.6,0)+IF(H209=1650,3,0)+IF(H209=1800,3.2,0)+IF(H209=2000,3.4,0)+IF(H209=2200,3.6,0)+IF(H209=2400,3.8,0)+IF(H209=2600,4,0)+IF(H209=3000,4.4,0))</f>
        <v>1</v>
      </c>
      <c r="M209" s="531">
        <f t="shared" ref="M209:M220" si="828">2*K209*I209+L209</f>
        <v>1</v>
      </c>
      <c r="N209" s="531">
        <f t="shared" ref="N209:N220" si="829">IF(OR(D209="EXISTENTE",D209="AMPLIADA"),400,0)</f>
        <v>0</v>
      </c>
      <c r="O209" s="531">
        <f t="shared" ref="O209:O220" si="830">IF(P209="TERRENO NATURAL",0,M209*G209)</f>
        <v>9.51</v>
      </c>
      <c r="P209" s="532" t="s">
        <v>2392</v>
      </c>
      <c r="Q209" s="539" t="s">
        <v>2966</v>
      </c>
      <c r="R209" s="534"/>
      <c r="S209" s="532">
        <v>5</v>
      </c>
      <c r="T209" s="532">
        <v>5</v>
      </c>
      <c r="U209" s="531">
        <f t="shared" ref="U209:U220" si="831">IF(H209=400,0.05,0)+IF(H209=500,0.05,0)+IF(H209=600,0.1,0)+IF(H209=800,0.1,0)+IF(H209=1000,0.15,0)+IF(H209=1200,0.15,0)+IF(H209=1500,0.2,0)+IF(H209=1650,0.2,0)+IF(H209=1800,0.2,0)+IF(H209=2000,0.25,0)+IF(H209=2200,0.25,0)+IF(H209=2400,0.25,0)+IF(H209=2600,0.25,0)+IF(H209=3000,0.25,0)</f>
        <v>0.05</v>
      </c>
      <c r="V209" s="535">
        <f t="shared" ref="V209:V220" si="832">IF(L209=0,0,IF("EXISTENTE"=C209,0,IFERROR((PI()*(N209/1000)*(N209/1000)/4)*G209,0)))</f>
        <v>0</v>
      </c>
      <c r="W209" s="535">
        <f t="shared" ref="W209:W220" si="833">IF(O209=0,0,((((K209*I209)*I209)/2)*2+L209*I209)*G209-V209+AO209)</f>
        <v>18.257298000000173</v>
      </c>
      <c r="X209" s="536">
        <f t="shared" ref="X209:X220" si="834">W209-SUM(AC209:AJ209)</f>
        <v>0</v>
      </c>
      <c r="Y209" s="536">
        <f t="shared" ref="Y209:Y220" si="835">IF(R209=1,IF(N209=0,I209+0.4,0.4),0)</f>
        <v>0</v>
      </c>
      <c r="Z209" s="536">
        <f t="shared" ref="Z209:Z220" si="836">IF(Y209&gt;0.5,0,IF(S209&lt;I209,S209,I209))</f>
        <v>1.9198000000000184</v>
      </c>
      <c r="AA209" s="536">
        <f t="shared" ref="AA209:AA220" si="837">I209-Z209</f>
        <v>0</v>
      </c>
      <c r="AB209" s="496">
        <f t="shared" ref="AB209:AB220" si="838">IF(P209="ASFALTO",IF(D209="PROJETADA",O209,IF(D209="EXISTENTE",0,O209/2)),0)</f>
        <v>9.51</v>
      </c>
      <c r="AC209" s="251">
        <f t="shared" ref="AC209:AC220" si="839">IF(Y209=0,0,IF(Y209=0.4,IF(L209&lt;=1.5,IF(Z209+0.4&gt;=1.5,0,L209*G209*0.4),0),IF(L209&lt;=1.5,IF(Y209&gt;=1.5,M209*G209*1.5,L209*G209*(Y209)),0)+IF(S209&lt;I209+0.4,0,IF(AND(Y209&lt;=1.5,L209&lt;=1.5),-V209,0))))</f>
        <v>0</v>
      </c>
      <c r="AD209" s="251">
        <f t="shared" ref="AD209:AD220" si="840">IF(Y209=0,0,IF(Y209=0.4,IF(L209&lt;=1.5,IF(OR(Z209+0.4&gt;=3,Z209+0.4&lt;1.5),0,L209*G209*0.4),0),IF(IF(L209&lt;=1.5,IF(Y209&gt;=3,M209*G209*1.5,L209*G209*(Y209-1.5)),0)&lt;0,0,IF(L209&lt;=1.5,IF(Y209&gt;=3,M209*G209*1.5,L209*G209*(Y209-1.5)),0))+IF(S209&lt;I209+0.4,0,IF(AND(Y209&lt;=3,L209&lt;=1.5),-V209,0))))</f>
        <v>0</v>
      </c>
      <c r="AE209" s="251">
        <f t="shared" ref="AE209:AE220" si="841">IF(Y209=0,0,IF(Y209=0.4,IF(L209&lt;=1.5,IF(OR(Z209+0.4&gt;=4.5,Z209+0.4&lt;3),0,L209*G209*0.4),0),IF(IF(L209&lt;=1.5,IF(Y209&gt;=4.5,M209*G209*1.5,L209*G209*(Y209-3)),0)&lt;0,0,IF(L209&lt;=1.5,IF(Y209&gt;=4.5,M209*G209*1.5,L209*G209*(Y209-3)),0))+IF(S209&lt;I209+0.4,0,IF(AND(Y209&lt;=4.5,L209&lt;=1.5),-V209,0))))</f>
        <v>0</v>
      </c>
      <c r="AF209" s="251">
        <f t="shared" ref="AF209:AF220" si="842">IF(L209&lt;=1.5,IF(Z209&gt;=1.5,M209*G209*1.5,L209*G209*Z209),0)+IF(S209&lt;I209,0,IF(AND(Z209&lt;=1.5,L209&lt;=1.5),-V209,0))</f>
        <v>14.265000000000001</v>
      </c>
      <c r="AG209" s="251">
        <f t="shared" ref="AG209:AG220" si="843">IF(IF(L209&lt;=1.5,IF(Z209&gt;=3,M209*G209*1.5,L209*G209*(Z209-1.5)),0)&lt;0,0,IF(L209&lt;=1.5,IF(Z209&gt;=3,M209*G209*1.5,L209*G209*(Z209-1.5)),0))+IF(S209&lt;I209,0,IF(AND(Z209&lt;=3,L209&lt;=1.5),-V209,0))</f>
        <v>3.9922980000001749</v>
      </c>
      <c r="AH209" s="251">
        <f t="shared" ref="AH209:AH220" si="844">IF(IF(IF(L209&lt;=1.5,IF(Z209&gt;=4.5,M209*G209*1.5,L209*G209*(Z209-3)),0)&lt;0,0,IF(L209&lt;=1.5,IF(Z209&gt;=4.5,M209*G209*1.5,L209*G209*(Z209-3)),0))+IF(S209&lt;I209,0,IF(AND(Z209&lt;=4.5,L209&lt;=1.5),-V209,0))&lt;0,0,IF(IF(L209&lt;=1.5,IF(Z209&gt;=4.5,M209*G209*1.5,L209*G209*(Z209-3)),0)&lt;0,0,IF(L209&lt;=1.5,IF(Z209&gt;=4.5,M209*G209*1.5,L209*G209*(Z209-3)),0))+IF(S209&lt;I209,0,IF(AND(Z209&lt;=4.5,L209&lt;=1.5),-V209,0)))</f>
        <v>0</v>
      </c>
      <c r="AI209" s="497" t="str">
        <f t="shared" ref="AI209:AI220" si="845">IF(I209&gt;S209,"SIM","NÃO")</f>
        <v>NÃO</v>
      </c>
      <c r="AJ209" s="531">
        <f t="shared" ref="AJ209:AJ220" si="846">W209-SUM(AC209:AH209)</f>
        <v>0</v>
      </c>
      <c r="AK209" s="531">
        <f t="shared" ref="AK209:AK220" si="847">IF(I209-T209&lt;0,0,(I209-T209)*G209)/75</f>
        <v>0</v>
      </c>
      <c r="AL209" s="531">
        <f t="shared" ref="AL209:AL220" si="848">IF(L209=0,0,G209*L209*I209-PI()*(H209/1000)*(H209/1000)/4*G209+AO209)</f>
        <v>17.062236154574617</v>
      </c>
      <c r="AM209" s="493">
        <f t="shared" ref="AM209:AM220" si="849">IF(L209&lt;1.5,L209*G209*IF(H209&lt;=500,0.05,IF(H209&lt;=800,0.1,IF(H209&lt;=1200,0.15,IF(H209&gt;=1500,0.2)))),0)</f>
        <v>0.47550000000000003</v>
      </c>
      <c r="AN209" s="535">
        <f t="shared" ref="AN209:AN220" si="850">IF(L209&gt;=1.5,L209*G209*IF(H209&lt;=500,0.05,IF(H209&lt;=800,0.1,IF(H209&lt;=1200,0.15,IF(H209&gt;=1500,0.2)))),0)</f>
        <v>0</v>
      </c>
      <c r="AO209" s="531">
        <f t="shared" ref="AO209:AO220" si="851">IF(R209=1,0.4*G209*L209,0)</f>
        <v>0</v>
      </c>
      <c r="AP209" s="531">
        <f t="shared" ref="AP209:AP220" si="852">IF(AO209&lt;SUM(AF209:AH209),0,AO209)</f>
        <v>0</v>
      </c>
      <c r="AQ209" s="531">
        <f t="shared" ref="AQ209:AQ220" si="853">H209/1000+0.3</f>
        <v>0.7</v>
      </c>
      <c r="AR209" s="531">
        <f t="shared" ref="AR209:AR220" si="854">IF(D209&lt;&gt;"PROJETADA",0,AQ209*L209*G209-PI()*(H209/1000*H209/1000)/4*G209)</f>
        <v>5.4619381545744421</v>
      </c>
      <c r="AS209" s="531">
        <f t="shared" ref="AS209:AS220" si="855">IF(AR209&lt;SUM(AF209:AH209),0,AR209)</f>
        <v>0</v>
      </c>
      <c r="AT209" s="531">
        <f t="shared" ref="AT209:AT220" si="856">IF(P209="ASFALTO",0.15*G209*L209,0)</f>
        <v>1.4264999999999999</v>
      </c>
      <c r="AU209" s="531">
        <f t="shared" ref="AU209:AU220" si="857">AT209</f>
        <v>1.4264999999999999</v>
      </c>
      <c r="AV209" s="531">
        <f t="shared" ref="AV209:AV220" si="858">IF(P209="ASFALTO",0.03*G209*L209,0)</f>
        <v>0.2853</v>
      </c>
      <c r="AW209" s="531">
        <f t="shared" ref="AW209:AW220" si="859">AL209-AO209-SUM(AM209:AN209)-AT209-AU209-AR209</f>
        <v>8.2717980000001727</v>
      </c>
      <c r="AX209" s="531">
        <f t="shared" ref="AX209:AX220" si="860">SUM(AF209:AH209)-AO209-AT209-AR209</f>
        <v>11.368859845425733</v>
      </c>
      <c r="AY209" s="531">
        <f t="shared" ref="AY209:AY220" si="861">SMALL(AW209:AX209,1)</f>
        <v>8.2717980000001727</v>
      </c>
      <c r="AZ209" s="531">
        <f t="shared" ref="AZ209:AZ220" si="862">AW209-AY209</f>
        <v>0</v>
      </c>
      <c r="BA209" s="531">
        <f t="shared" ref="BA209:BA220" si="863">IF($AZ$221&gt;$BA$223,($BA$223/$AZ$221)*AZ209,AZ209)</f>
        <v>0</v>
      </c>
      <c r="BB209" s="531">
        <f t="shared" ref="BB209:BB220" si="864">AZ209-BA209</f>
        <v>0</v>
      </c>
      <c r="BC209" s="531"/>
      <c r="BD209" s="531">
        <f t="shared" ref="BD209:BD220" si="865">IF(AO209+AT209&gt;0,4%*(AO209+AT209),0)</f>
        <v>5.706E-2</v>
      </c>
      <c r="BE209" s="496">
        <f t="shared" ref="BE209:BE220" si="866">IF(H209=400,I209,0)</f>
        <v>1.9198000000000184</v>
      </c>
      <c r="BF209" s="498">
        <f t="shared" ref="BF209:BF220" si="867">IF(BE209&lt;=1.75,AND(BE209&gt;0)*G209,0)</f>
        <v>0</v>
      </c>
      <c r="BG209" s="498">
        <f t="shared" ref="BG209:BG220" si="868">IF(BE209&lt;=3,AND(BE209&gt;1.75)*G209,0)</f>
        <v>9.51</v>
      </c>
      <c r="BH209" s="532" t="str">
        <f>VLOOKUP(A209,'BOCA DE LOBO'!C:I,7,0)</f>
        <v>BOCA DE LOBO PROJETADA DUPLA</v>
      </c>
      <c r="BI209" s="531">
        <f t="shared" ref="BI209:BI220" si="869">IF(BH209=$BI$87,1,0)</f>
        <v>0</v>
      </c>
      <c r="BJ209" s="531">
        <f t="shared" ref="BJ209:BJ220" si="870">IF(BH209=$BJ$87,1,0)</f>
        <v>0</v>
      </c>
      <c r="BK209" s="531">
        <f t="shared" ref="BK209:BK220" si="871">IF(BH209=$BK$87,1,0)</f>
        <v>0</v>
      </c>
      <c r="BL209" s="531">
        <f t="shared" ref="BL209:BL220" si="872">IF(BH209=$BL$87,1,0)</f>
        <v>0</v>
      </c>
      <c r="BM209" s="531">
        <f t="shared" ref="BM209:BM220" si="873">IF(BH209=$BM$87,1,0)</f>
        <v>0</v>
      </c>
      <c r="BN209" s="531">
        <f t="shared" ref="BN209:BN220" si="874">IF(BH209=$BN$87,1,0)</f>
        <v>1</v>
      </c>
      <c r="BO209" s="499">
        <f t="shared" ref="BO209:BO220" si="875">IF(BH209=$BO$87,1,0)</f>
        <v>0</v>
      </c>
      <c r="BP209" s="500"/>
      <c r="BQ209" s="496">
        <f t="shared" ref="BQ209:BQ220" si="876">IF(L209&lt;=1.5,IF(I209+IF(R209=1,0.5,0)&lt;1.5,(I209+IF(R209=1,0.5,0))*G209*2,G209*2*1.5),0)</f>
        <v>28.53</v>
      </c>
      <c r="BR209" s="496">
        <f t="shared" ref="BR209:BR220" si="877">IF(L209&lt;=1.5,IF(AND(I209+IF(R209=1,0.5,0)&lt;3,I209+IF(R209=1,0.5,0)&gt;1.5),(I209+IF(R209=1,0.5,0)-1.5)*G209*2,IF(I209+IF(R209=1,0.5,0)&gt;=3,(G209*2*1.5),0)),0)</f>
        <v>7.9845960000003497</v>
      </c>
      <c r="BS209" s="496">
        <f t="shared" ref="BS209:BS220" si="878">IF(L209&lt;=1.5,IF(AND(I209+IF(R209=1,0.5,0)&lt;4.5,I209+IF(R209=1,0.5,0)&gt;3),(I209+IF(R209=1,0.5,0)-3)*G209*2,IF(I209+IF(R209=1,0.5,0)&gt;=4.5,(G209*2*1.5),0)),0)</f>
        <v>0</v>
      </c>
      <c r="BT209" s="501"/>
      <c r="BU209" s="501"/>
      <c r="BV209" s="502">
        <f t="shared" ref="BV209:BV220" si="879">IF(OR("BOCA DE LOBO EXISTENTE TRIPLA"=BH209,"BOCA DE LOBO EXISTENTE SIMPLES"=BH209,"BOCA DE LOBO EXISTENTE DUPLA"=BH209),0,IF("BOCA DE LOBO PROJETADA DUPLA"=BH209,(2.57+1)*(1.18+1),IF(OR("BOCA DE LOBO DUPLA EXISTENTE COM BOCA DE LOBO SIMPLES PROJETADA"=BH209,"BOCA DE LOBO SIMPLES EXISTENTE COM BOCA DE LOBO SIMPLES PROJETADA"=BH209),(1.18+0.5)*(1.18+1),IF(OR(BH209="BOCA DE LOBO DUPLA EXISTENTE COM BOCA DE LOBO DUPLA PROJETADA",BH209="BOCA DE LOBO SIMPLES EXISTENTE COM BOCA DE LOBO DUPLA PROJETADA"),(2.38+0.5)*(1.18+1),IF("BOCA DE LOBO PROJETADA TRIPLA"=BH209,(3.76+1)*(1.18+1),"X")))))*(E209+IF(CA209&gt;0,0.5,0))</f>
        <v>12.449046960000139</v>
      </c>
      <c r="BW209" s="502">
        <f t="shared" ref="BW209:BW220" si="880">IF(OR("BOCA DE LOBO EXISTENTE TRIPLA"=BH209,"BOCA DE LOBO EXISTENTE SIMPLES"=BH209,"BOCA DE LOBO EXISTENTE DUPLA"=BH209),0,IF("BOCA DE LOBO PROJETADA DUPLA"=BH209,(2.57+1)*(1.18+1),IF(OR("BOCA DE LOBO DUPLA EXISTENTE COM BOCA DE LOBO SIMPLES PROJETADA"=BH209,"BOCA DE LOBO SIMPLES EXISTENTE COM BOCA DE LOBO SIMPLES PROJETADA"=BH209),(1.18+1)*(1.18+0.5),IF(OR(BH209="BOCA DE LOBO DUPLA EXISTENTE COM BOCA DE LOBO DUPLA PROJETADA",BH209="BOCA DE LOBO SIMPLES EXISTENTE COM BOCA DE LOBO DUPLA PROJETADA"),(2.38+0.5)*(1.18+1),IF("BOCA DE LOBO PROJETADA TRIPLA"=BH209,(3.76+0.5*2)*(1.18+1),"X")))))</f>
        <v>7.7825999999999986</v>
      </c>
      <c r="BX209" s="502">
        <f t="shared" ref="BX209:BX220" si="881">IF(OR("BOCA DE LOBO EXISTENTE TRIPLA"=BH209,"BOCA DE LOBO EXISTENTE SIMPLES"=BH209,"BOCA DE LOBO EXISTENTE DUPLA"=BH209),0,IF("BOCA DE LOBO PROJETADA DUPLA"=BH209,(2.57)*(1.18),IF(OR("BOCA DE LOBO DUPLA EXISTENTE COM BOCA DE LOBO SIMPLES PROJETADA"=BH209,"BOCA DE LOBO SIMPLES EXISTENTE COM BOCA DE LOBO SIMPLES PROJETADA"=BH209),(1.18)*(1.18),IF(OR(BH209="BOCA DE LOBO DUPLA EXISTENTE COM BOCA DE LOBO DUPLA PROJETADA",BH209="BOCA DE LOBO SIMPLES EXISTENTE COM BOCA DE LOBO DUPLA PROJETADA"),(2.38)*(1.18),IF("BOCA DE LOBO PROJETADA TRIPLA"=BH209,(3.76)*(1.18),"X")))))</f>
        <v>3.0325999999999995</v>
      </c>
      <c r="BY209" s="502">
        <f t="shared" ref="BY209:BY220" si="882">E209</f>
        <v>1.5996000000000181</v>
      </c>
      <c r="BZ209" s="502">
        <f t="shared" ref="BZ209:BZ220" si="883">IF(Y209&gt;0.5,0,IF(S209&lt;E209,S209,E209))</f>
        <v>1.5996000000000181</v>
      </c>
      <c r="CA209" s="502">
        <f t="shared" ref="CA209:CA220" si="884">IF(Y209&gt;0.4,BY209+0.4,Y209)</f>
        <v>0</v>
      </c>
      <c r="CB209" s="502">
        <f t="shared" ref="CB209:CB220" si="885">IF(S209&gt;E209,0,E209-S209)</f>
        <v>0</v>
      </c>
      <c r="CC209" s="502">
        <f t="shared" ref="CC209:CC220" si="886">IF(BZ209&gt;1.5,BW209*1.5,BW209*BZ209)</f>
        <v>11.673899999999998</v>
      </c>
      <c r="CD209" s="502">
        <f t="shared" ref="CD209:CD220" si="887">IF(BZ209&gt;1.5,BW209*(BZ209-1.5),0)</f>
        <v>0.77514696000014083</v>
      </c>
      <c r="CE209" s="502">
        <f t="shared" ref="CE209:CE220" si="888">IF(CA209=0.4,IF(BZ209+CA209&gt;1.5,0,CA209*BW209),IF(CA209&gt;1.5,BW209*1.5,BW209*CA209))</f>
        <v>0</v>
      </c>
      <c r="CF209" s="502">
        <f t="shared" ref="CF209:CF220" si="889">IF(CA209=0.4,IF(BZ209+CA209&lt;=1.5,0,CA209*BW209),IF(CA209&gt;1.5,BW209*(CA209-1.5),0))</f>
        <v>0</v>
      </c>
      <c r="CG209" s="502">
        <f t="shared" ref="CG209:CG220" si="890">BV209-SUM(CC209:CF209)</f>
        <v>0</v>
      </c>
      <c r="CH209" s="502">
        <f t="shared" ref="CH209:CH220" si="891">SUM(CC209:CG209)-BV209</f>
        <v>0</v>
      </c>
      <c r="CI209" s="531">
        <f t="shared" ref="CI209:CI220" si="892">IF(OR("BOCA DE LOBO EXISTENTE TRIPLA"=BH209,"BOCA DE LOBO EXISTENTE SIMPLES"=BH209,"BOCA DE LOBO EXISTENTE DUPLA"=BH209),0,IF("BOCA DE LOBO PROJETADA DUPLA"=BH209,(2.57+1)*(0.5),IF(OR("BOCA DE LOBO DUPLA EXISTENTE COM BOCA DE LOBO SIMPLES PROJETADA"=BH209,"BOCA DE LOBO SIMPLES EXISTENTE COM BOCA DE LOBO SIMPLES PROJETADA"=BH209),(1.18+0.5)*(0.5),IF(OR(BH209="BOCA DE LOBO DUPLA EXISTENTE COM BOCA DE LOBO DUPLA PROJETADA",BH209="BOCA DE LOBO SIMPLES EXISTENTE COM BOCA DE LOBO DUPLA PROJETADA"),(2.38+0.5)*(0.5),IF("BOCA DE LOBO PROJETADA TRIPLA"=BH209,(3.76+1)*(0.5),"X")))))*0.3</f>
        <v>0.53549999999999998</v>
      </c>
      <c r="CJ209" s="502">
        <f t="shared" ref="CJ209:CJ220" si="893">(BW209-BX209)*(BY209+IF(CA209&gt;=0.4,0.4,0))-CI209</f>
        <v>7.062600000000085</v>
      </c>
      <c r="CK209" s="502">
        <f t="shared" ref="CK209:CK220" si="894">IF($CK$223&gt;$CJ$221,CJ209,CJ209*$CK$223/$CJ$221)</f>
        <v>7.062600000000085</v>
      </c>
      <c r="CL209" s="502">
        <f t="shared" ref="CL209:CL220" si="895">CJ209-CK209</f>
        <v>0</v>
      </c>
      <c r="CM209" s="502">
        <f t="shared" ref="CM209:CM220" si="896">IF(CA209&gt;0,0.5*4%*BW209,0)</f>
        <v>0</v>
      </c>
      <c r="CN209" s="502">
        <f t="shared" ref="CN209:CN220" si="897">IF(OR("BOCA DE LOBO EXISTENTE TRIPLA"=BH209,"BOCA DE LOBO EXISTENTE SIMPLES"=BH209,"BOCA DE LOBO EXISTENTE DUPLA"=BH209),0,IF("BOCA DE LOBO PROJETADA DUPLA"=BH209,(2.57+1),IF(OR("BOCA DE LOBO DUPLA EXISTENTE COM BOCA DE LOBO SIMPLES PROJETADA"=BH209,"BOCA DE LOBO SIMPLES EXISTENTE COM BOCA DE LOBO SIMPLES PROJETADA"=BH209),(1.18+0.5),IF(OR(BH209="BOCA DE LOBO DUPLA EXISTENTE COM BOCA DE LOBO DUPLA PROJETADA",BH209="BOCA DE LOBO SIMPLES EXISTENTE COM BOCA DE LOBO DUPLA PROJETADA"),(2.38+0.5),IF("BOCA DE LOBO PROJETADA TRIPLA"=BH209,(3.76+0.5*2),"X")))))</f>
        <v>3.57</v>
      </c>
      <c r="CO209" s="502">
        <f t="shared" ref="CO209:CO220" si="898">IF(CA209&gt;0,BY209+0.5,BY209)</f>
        <v>1.5996000000000181</v>
      </c>
      <c r="CP209" s="502">
        <f t="shared" ref="CP209:CP220" si="899">IF(CO209&gt;=1.5,CN209*1.5*2,CN209*CO209*2)</f>
        <v>10.709999999999999</v>
      </c>
      <c r="CQ209" s="502">
        <f t="shared" ref="CQ209:CQ220" si="900">IF(CO209&lt;=1.5,0,IF(CO209&gt;=3,CN209*1.5*2,CN209*(CO209-1.5)*2))</f>
        <v>0.71114400000012934</v>
      </c>
      <c r="CR209" s="220">
        <f t="shared" ref="CR209:CR220" si="901">IF(D209="AMPLIADA",0.55*(E209-0.5),0)</f>
        <v>0</v>
      </c>
      <c r="CS209" s="503">
        <f t="shared" ref="CS209:CS220" si="902">IF(OR("BOCA DE LOBO EXISTENTE TRIPLA"=BH209,"BOCA DE LOBO EXISTENTE SIMPLES"=BH209,"BOCA DE LOBO EXISTENTE DUPLA"=BH209),0,IF("BOCA DE LOBO PROJETADA DUPLA"=BH209,(0),IF(OR("BOCA DE LOBO DUPLA EXISTENTE COM BOCA DE LOBO SIMPLES PROJETADA"=BH209,"BOCA DE LOBO SIMPLES EXISTENTE COM BOCA DE LOBO SIMPLES PROJETADA"=BH209),(0.8*0.15*0.17),IF(OR(BH209="BOCA DE LOBO DUPLA EXISTENTE COM BOCA DE LOBO DUPLA PROJETADA",BH209="BOCA DE LOBO SIMPLES EXISTENTE COM BOCA DE LOBO DUPLA PROJETADA"),(0.8*0.15*0.17),IF("BOCA DE LOBO PROJETADA TRIPLA"=BH209,(0),"X")))))*E209</f>
        <v>0</v>
      </c>
      <c r="CT209" s="503">
        <f t="shared" ref="CT209:CT220" si="903">IF(OR("BOCA DE LOBO EXISTENTE TRIPLA"=BH209,"BOCA DE LOBO EXISTENTE SIMPLES"=BH209,"BOCA DE LOBO EXISTENTE DUPLA"=BH209),0,IF("BOCA DE LOBO PROJETADA DUPLA"=BH209,(1.18*2.57*0.05),IF(OR("BOCA DE LOBO DUPLA EXISTENTE COM BOCA DE LOBO SIMPLES PROJETADA"=BH209,"BOCA DE LOBO SIMPLES EXISTENTE COM BOCA DE LOBO SIMPLES PROJETADA"=BH209),(1.19*1.18*0.05),IF(OR(BH209="BOCA DE LOBO DUPLA EXISTENTE COM BOCA DE LOBO DUPLA PROJETADA",BH209="BOCA DE LOBO SIMPLES EXISTENTE COM BOCA DE LOBO DUPLA PROJETADA"),(2.38*1.18*0.056),IF("BOCA DE LOBO PROJETADA TRIPLA"=BH209,(3.76*1.18*0.05),"X")))))+CI209/3</f>
        <v>0.33012999999999998</v>
      </c>
      <c r="CU209" s="504">
        <f t="shared" ref="CU209:CU220" si="904">IF(OR("BOCA DE LOBO EXISTENTE TRIPLA"=BH209,"BOCA DE LOBO EXISTENTE SIMPLES"=BH209,"BOCA DE LOBO EXISTENTE DUPLA"=BH209),0,IF("BOCA DE LOBO PROJETADA DUPLA"=BH209,(1*4+0.6*2),IF("BOCA DE LOBO DUPLA EXISTENTE COM BOCA DE LOBO SIMPLES PROJETADA"=BH209,(1*2+0.6),IF(OR(BH209="BOCA DE LOBO DUPLA EXISTENTE COM BOCA DE LOBO DUPLA PROJETADA",BH209="BOCA DE LOBO SIMPLES EXISTENTE COM BOCA DE LOBO DUPLA PROJETADA"),(1*4+0.6),IF("BOCA DE LOBO PROJETADA TRIPLA"=BH209,(6*1+0.6*2),"X")))))*E209</f>
        <v>8.317920000000095</v>
      </c>
      <c r="CV209" s="504">
        <f t="shared" ref="CV209:CV220" si="905">IF(OR("BOCA DE LOBO EXISTENTE TRIPLA"=BH209,"BOCA DE LOBO EXISTENTE SIMPLES"=BH209,"BOCA DE LOBO EXISTENTE DUPLA"=BH209),0,IF("BOCA DE LOBO PROJETADA DUPLA"=BH209,(12*E209*0.17*0.15+1*0.17*0.15*5+1.09*0.6*0.07*2+2.57*1.18*0.15),IF("BOCA DE LOBO DUPLA EXISTENTE COM BOCA DE LOBO SIMPLES PROJETADA"=BH209,(8*E209*0.17*0.15+1*0.17*0.15*4+1.09*0.6*0.07*1+1.38*1.18*0.15),IF(OR(BH209="BOCA DE LOBO DUPLA EXISTENTE COM BOCA DE LOBO DUPLA PROJETADA",BH209="BOCA DE LOBO SIMPLES EXISTENTE COM BOCA DE LOBO DUPLA PROJETADA"),(7*E209*0.17*0.15+1*0.17*0.15*5+1.09*0.6*0.07*2+2.38*1.18*0.15),IF("BOCA DE LOBO PROJETADA TRIPLA"=BH209,(15*E209*0.17*0.15+1*0.17*0.15*7+1.09*0.6*0.07*3+3.76*1.18*0.15),"X")))))</f>
        <v>1.1634276000000054</v>
      </c>
      <c r="CW209" s="502">
        <f t="shared" ref="CW209:CW220" si="906">IF(OR("BOCA DE LOBO EXISTENTE TRIPLA"=BH209,"BOCA DE LOBO EXISTENTE SIMPLES"=BH209,"BOCA DE LOBO EXISTENTE DUPLA"=BH209),0,IF("BOCA DE LOBO PROJETADA DUPLA"=BH209,(12*E209*2*(0.17+0.15)+1*(2*0.17+0.15)*5+2*(2.57+1.18)*0.15+(1.09+0.6)*2*0.07*2),IF("BOCA DE LOBO DUPLA EXISTENTE COM BOCA DE LOBO SIMPLES PROJETADA"=BH209,(8*E209*2*(0.17+0.15)+1*(2*0.17+0.15)*4+2*(1.38+1.18)*0.15+(1.09+0.6)*2*0.07*1),IF(OR(BH209="BOCA DE LOBO DUPLA EXISTENTE COM BOCA DE LOBO DUPLA PROJETADA",BH209="BOCA DE LOBO SIMPLES EXISTENTE COM BOCA DE LOBO DUPLA PROJETADA"),(7*E209*2*(0.17+0.15)+1*(2*0.17+0.15)*5+2*(2.38+1.18)*0.15+(1.09+0.6)*2*0.07*2),IF("BOCA DE LOBO PROJETADA TRIPLA"=BH209,(15*E209*2*(0.17+0.15)+1*(2*0.17+0.15)*7+2*(3.76+1.18)*0.15+(1.09+0.6)*2*0.07*3),"X")))))</f>
        <v>16.333128000000137</v>
      </c>
      <c r="CX209" s="531">
        <f t="shared" ref="CX209:CX220" si="907">IF(OR("BOCA DE LOBO EXISTENTE TRIPLA"=BH209,"BOCA DE LOBO EXISTENTE SIMPLES"=BH209,"BOCA DE LOBO EXISTENTE DUPLA"=BH209),0,IF("BOCA DE LOBO PROJETADA DUPLA"=BH209,(2.57+1),IF(OR("BOCA DE LOBO DUPLA EXISTENTE COM BOCA DE LOBO SIMPLES PROJETADA"=BH209,"BOCA DE LOBO SIMPLES EXISTENTE COM BOCA DE LOBO SIMPLES PROJETADA"=BH209),(1.18+0.5),IF(OR(BH209="BOCA DE LOBO DUPLA EXISTENTE COM BOCA DE LOBO DUPLA PROJETADA",BH209="BOCA DE LOBO SIMPLES EXISTENTE COM BOCA DE LOBO DUPLA PROJETADA"),(2.38+0.5),IF("BOCA DE LOBO PROJETADA TRIPLA"=BH209,(3.76+1),"X")))))</f>
        <v>3.57</v>
      </c>
      <c r="CY209" s="537">
        <f t="shared" ref="CY209:CY220" si="908">CX209*0.5</f>
        <v>1.7849999999999999</v>
      </c>
      <c r="CZ209" s="502">
        <f t="shared" ref="CZ209:CZ220" si="909">IF(AND(C209="EXISTENTE",D209="PROJETADA"),PI()*0.51*0.51/4*0.12,0)</f>
        <v>2.4513847475961154E-2</v>
      </c>
    </row>
    <row r="210" spans="1:104" ht="25" x14ac:dyDescent="0.25">
      <c r="A210" s="413" t="str">
        <f>'BOCA DE LOBO'!C204</f>
        <v>BL119-&gt;PV5-115</v>
      </c>
      <c r="B210" s="413" t="str">
        <f>'BOCA DE LOBO'!A204</f>
        <v>PV5-115</v>
      </c>
      <c r="C210" s="413" t="str">
        <f>VLOOKUP(A210,'BOCA DE LOBO'!$C$82:$Q$270,3,0)</f>
        <v>EXISTENTE</v>
      </c>
      <c r="D210" s="413" t="str">
        <f>VLOOKUP(A210,'BOCA DE LOBO'!$C$82:$Q$270,10,0)</f>
        <v>PROJETADA</v>
      </c>
      <c r="E210" s="413">
        <f t="shared" si="824"/>
        <v>2.5</v>
      </c>
      <c r="F210" s="413">
        <f>VLOOKUP(A210,'BOCA DE LOBO'!$C$82:$Q$270,2,0)</f>
        <v>3.4300000000000637</v>
      </c>
      <c r="G210" s="413">
        <f>VLOOKUP(A210,'BOCA DE LOBO'!$C$82:$Q$270,4,0)</f>
        <v>8.1300000000000008</v>
      </c>
      <c r="H210" s="412">
        <v>400</v>
      </c>
      <c r="I210" s="493">
        <f t="shared" si="825"/>
        <v>3.0950000000000317</v>
      </c>
      <c r="J210" s="493">
        <f t="shared" si="826"/>
        <v>1.2581175000000129</v>
      </c>
      <c r="K210" s="530">
        <v>0</v>
      </c>
      <c r="L210" s="531">
        <f t="shared" si="827"/>
        <v>1</v>
      </c>
      <c r="M210" s="531">
        <f t="shared" si="828"/>
        <v>1</v>
      </c>
      <c r="N210" s="531">
        <f t="shared" si="829"/>
        <v>0</v>
      </c>
      <c r="O210" s="531">
        <f t="shared" si="830"/>
        <v>8.1300000000000008</v>
      </c>
      <c r="P210" s="532" t="s">
        <v>2392</v>
      </c>
      <c r="Q210" s="539" t="s">
        <v>2966</v>
      </c>
      <c r="R210" s="534"/>
      <c r="S210" s="532">
        <v>5</v>
      </c>
      <c r="T210" s="532">
        <v>5</v>
      </c>
      <c r="U210" s="531">
        <f t="shared" si="831"/>
        <v>0.05</v>
      </c>
      <c r="V210" s="535">
        <f t="shared" si="832"/>
        <v>0</v>
      </c>
      <c r="W210" s="535">
        <f t="shared" si="833"/>
        <v>25.162350000000259</v>
      </c>
      <c r="X210" s="536">
        <f t="shared" si="834"/>
        <v>0</v>
      </c>
      <c r="Y210" s="536">
        <f t="shared" si="835"/>
        <v>0</v>
      </c>
      <c r="Z210" s="536">
        <f t="shared" si="836"/>
        <v>3.0950000000000317</v>
      </c>
      <c r="AA210" s="536">
        <f t="shared" si="837"/>
        <v>0</v>
      </c>
      <c r="AB210" s="496">
        <f t="shared" si="838"/>
        <v>8.1300000000000008</v>
      </c>
      <c r="AC210" s="251">
        <f t="shared" si="839"/>
        <v>0</v>
      </c>
      <c r="AD210" s="251">
        <f t="shared" si="840"/>
        <v>0</v>
      </c>
      <c r="AE210" s="251">
        <f t="shared" si="841"/>
        <v>0</v>
      </c>
      <c r="AF210" s="251">
        <f t="shared" si="842"/>
        <v>12.195</v>
      </c>
      <c r="AG210" s="251">
        <f t="shared" si="843"/>
        <v>12.195</v>
      </c>
      <c r="AH210" s="251">
        <f t="shared" si="844"/>
        <v>0.772350000000258</v>
      </c>
      <c r="AI210" s="497" t="str">
        <f t="shared" si="845"/>
        <v>NÃO</v>
      </c>
      <c r="AJ210" s="531">
        <f t="shared" si="846"/>
        <v>0</v>
      </c>
      <c r="AK210" s="531">
        <f t="shared" si="847"/>
        <v>0</v>
      </c>
      <c r="AL210" s="531">
        <f t="shared" si="848"/>
        <v>24.140704069052859</v>
      </c>
      <c r="AM210" s="493">
        <f t="shared" si="849"/>
        <v>0.40650000000000008</v>
      </c>
      <c r="AN210" s="535">
        <f t="shared" si="850"/>
        <v>0</v>
      </c>
      <c r="AO210" s="531">
        <f t="shared" si="851"/>
        <v>0</v>
      </c>
      <c r="AP210" s="531">
        <f t="shared" si="852"/>
        <v>0</v>
      </c>
      <c r="AQ210" s="531">
        <f t="shared" si="853"/>
        <v>0.7</v>
      </c>
      <c r="AR210" s="531">
        <f t="shared" si="854"/>
        <v>4.6693540690525985</v>
      </c>
      <c r="AS210" s="531">
        <f t="shared" si="855"/>
        <v>0</v>
      </c>
      <c r="AT210" s="531">
        <f t="shared" si="856"/>
        <v>1.2195</v>
      </c>
      <c r="AU210" s="531">
        <f t="shared" si="857"/>
        <v>1.2195</v>
      </c>
      <c r="AV210" s="531">
        <f t="shared" si="858"/>
        <v>0.24390000000000001</v>
      </c>
      <c r="AW210" s="531">
        <f t="shared" si="859"/>
        <v>16.625850000000259</v>
      </c>
      <c r="AX210" s="531">
        <f t="shared" si="860"/>
        <v>19.273495930947661</v>
      </c>
      <c r="AY210" s="531">
        <f t="shared" si="861"/>
        <v>16.625850000000259</v>
      </c>
      <c r="AZ210" s="531">
        <f t="shared" si="862"/>
        <v>0</v>
      </c>
      <c r="BA210" s="531">
        <f t="shared" si="863"/>
        <v>0</v>
      </c>
      <c r="BB210" s="531">
        <f t="shared" si="864"/>
        <v>0</v>
      </c>
      <c r="BC210" s="531"/>
      <c r="BD210" s="531">
        <f t="shared" si="865"/>
        <v>4.8780000000000004E-2</v>
      </c>
      <c r="BE210" s="496">
        <f t="shared" si="866"/>
        <v>3.0950000000000317</v>
      </c>
      <c r="BF210" s="498">
        <f t="shared" si="867"/>
        <v>0</v>
      </c>
      <c r="BG210" s="498">
        <f t="shared" si="868"/>
        <v>0</v>
      </c>
      <c r="BH210" s="532" t="str">
        <f>VLOOKUP(A210,'BOCA DE LOBO'!C:I,7,0)</f>
        <v>BOCA DE LOBO PROJETADA DUPLA</v>
      </c>
      <c r="BI210" s="531">
        <f t="shared" si="869"/>
        <v>0</v>
      </c>
      <c r="BJ210" s="531">
        <f t="shared" si="870"/>
        <v>0</v>
      </c>
      <c r="BK210" s="531">
        <f t="shared" si="871"/>
        <v>0</v>
      </c>
      <c r="BL210" s="531">
        <f t="shared" si="872"/>
        <v>0</v>
      </c>
      <c r="BM210" s="531">
        <f t="shared" si="873"/>
        <v>0</v>
      </c>
      <c r="BN210" s="531">
        <f t="shared" si="874"/>
        <v>1</v>
      </c>
      <c r="BO210" s="499">
        <f t="shared" si="875"/>
        <v>0</v>
      </c>
      <c r="BP210" s="500"/>
      <c r="BQ210" s="496">
        <f t="shared" si="876"/>
        <v>24.39</v>
      </c>
      <c r="BR210" s="496">
        <f t="shared" si="877"/>
        <v>24.39</v>
      </c>
      <c r="BS210" s="496">
        <f t="shared" si="878"/>
        <v>1.544700000000516</v>
      </c>
      <c r="BT210" s="501"/>
      <c r="BU210" s="501"/>
      <c r="BV210" s="502">
        <f t="shared" si="879"/>
        <v>19.456499999999998</v>
      </c>
      <c r="BW210" s="502">
        <f t="shared" si="880"/>
        <v>7.7825999999999986</v>
      </c>
      <c r="BX210" s="502">
        <f t="shared" si="881"/>
        <v>3.0325999999999995</v>
      </c>
      <c r="BY210" s="502">
        <f t="shared" si="882"/>
        <v>2.5</v>
      </c>
      <c r="BZ210" s="502">
        <f t="shared" si="883"/>
        <v>2.5</v>
      </c>
      <c r="CA210" s="502">
        <f t="shared" si="884"/>
        <v>0</v>
      </c>
      <c r="CB210" s="502">
        <f t="shared" si="885"/>
        <v>0</v>
      </c>
      <c r="CC210" s="502">
        <f t="shared" si="886"/>
        <v>11.673899999999998</v>
      </c>
      <c r="CD210" s="502">
        <f t="shared" si="887"/>
        <v>7.7825999999999986</v>
      </c>
      <c r="CE210" s="502">
        <f t="shared" si="888"/>
        <v>0</v>
      </c>
      <c r="CF210" s="502">
        <f t="shared" si="889"/>
        <v>0</v>
      </c>
      <c r="CG210" s="502">
        <f t="shared" si="890"/>
        <v>0</v>
      </c>
      <c r="CH210" s="502">
        <f t="shared" si="891"/>
        <v>0</v>
      </c>
      <c r="CI210" s="531">
        <f t="shared" si="892"/>
        <v>0.53549999999999998</v>
      </c>
      <c r="CJ210" s="502">
        <f t="shared" si="893"/>
        <v>11.339499999999997</v>
      </c>
      <c r="CK210" s="502">
        <f t="shared" si="894"/>
        <v>11.339499999999997</v>
      </c>
      <c r="CL210" s="502">
        <f t="shared" si="895"/>
        <v>0</v>
      </c>
      <c r="CM210" s="502">
        <f t="shared" si="896"/>
        <v>0</v>
      </c>
      <c r="CN210" s="502">
        <f t="shared" si="897"/>
        <v>3.57</v>
      </c>
      <c r="CO210" s="502">
        <f t="shared" si="898"/>
        <v>2.5</v>
      </c>
      <c r="CP210" s="502">
        <f t="shared" si="899"/>
        <v>10.709999999999999</v>
      </c>
      <c r="CQ210" s="502">
        <f t="shared" si="900"/>
        <v>7.14</v>
      </c>
      <c r="CR210" s="220">
        <f t="shared" si="901"/>
        <v>0</v>
      </c>
      <c r="CS210" s="503">
        <f t="shared" si="902"/>
        <v>0</v>
      </c>
      <c r="CT210" s="503">
        <f t="shared" si="903"/>
        <v>0.33012999999999998</v>
      </c>
      <c r="CU210" s="504">
        <f t="shared" si="904"/>
        <v>13</v>
      </c>
      <c r="CV210" s="504">
        <f t="shared" si="905"/>
        <v>1.43895</v>
      </c>
      <c r="CW210" s="502">
        <f t="shared" si="906"/>
        <v>23.248199999999997</v>
      </c>
      <c r="CX210" s="531">
        <f t="shared" si="907"/>
        <v>3.57</v>
      </c>
      <c r="CY210" s="537">
        <f t="shared" si="908"/>
        <v>1.7849999999999999</v>
      </c>
      <c r="CZ210" s="502">
        <f t="shared" si="909"/>
        <v>2.4513847475961154E-2</v>
      </c>
    </row>
    <row r="211" spans="1:104" ht="25" x14ac:dyDescent="0.25">
      <c r="A211" s="413" t="str">
        <f>'BOCA DE LOBO'!C205</f>
        <v>BL120-&gt;PV5-115</v>
      </c>
      <c r="B211" s="413" t="str">
        <f>'BOCA DE LOBO'!A205</f>
        <v>PV5-115</v>
      </c>
      <c r="C211" s="413" t="str">
        <f>VLOOKUP(A211,'BOCA DE LOBO'!$C$82:$Q$270,3,0)</f>
        <v>EXISTENTE</v>
      </c>
      <c r="D211" s="413" t="str">
        <f>VLOOKUP(A211,'BOCA DE LOBO'!$C$82:$Q$270,10,0)</f>
        <v>PROJETADA</v>
      </c>
      <c r="E211" s="413">
        <f t="shared" si="824"/>
        <v>2.5</v>
      </c>
      <c r="F211" s="413">
        <f>VLOOKUP(A211,'BOCA DE LOBO'!$C$82:$Q$270,2,0)</f>
        <v>3.4300000000000637</v>
      </c>
      <c r="G211" s="413">
        <f>VLOOKUP(A211,'BOCA DE LOBO'!$C$82:$Q$270,4,0)</f>
        <v>9.2799999999999994</v>
      </c>
      <c r="H211" s="412">
        <v>400</v>
      </c>
      <c r="I211" s="493">
        <f t="shared" si="825"/>
        <v>3.0950000000000317</v>
      </c>
      <c r="J211" s="493">
        <f t="shared" si="826"/>
        <v>1.4360800000000147</v>
      </c>
      <c r="K211" s="530">
        <v>0</v>
      </c>
      <c r="L211" s="531">
        <f t="shared" si="827"/>
        <v>1</v>
      </c>
      <c r="M211" s="531">
        <f t="shared" si="828"/>
        <v>1</v>
      </c>
      <c r="N211" s="531">
        <f t="shared" si="829"/>
        <v>0</v>
      </c>
      <c r="O211" s="531">
        <f t="shared" si="830"/>
        <v>9.2799999999999994</v>
      </c>
      <c r="P211" s="532" t="s">
        <v>2392</v>
      </c>
      <c r="Q211" s="539" t="s">
        <v>2966</v>
      </c>
      <c r="R211" s="534"/>
      <c r="S211" s="532">
        <v>5</v>
      </c>
      <c r="T211" s="532">
        <v>5</v>
      </c>
      <c r="U211" s="531">
        <f t="shared" si="831"/>
        <v>0.05</v>
      </c>
      <c r="V211" s="535">
        <f t="shared" si="832"/>
        <v>0</v>
      </c>
      <c r="W211" s="535">
        <f t="shared" si="833"/>
        <v>28.721600000000294</v>
      </c>
      <c r="X211" s="536">
        <f t="shared" si="834"/>
        <v>0</v>
      </c>
      <c r="Y211" s="536">
        <f t="shared" si="835"/>
        <v>0</v>
      </c>
      <c r="Z211" s="536">
        <f t="shared" si="836"/>
        <v>3.0950000000000317</v>
      </c>
      <c r="AA211" s="536">
        <f t="shared" si="837"/>
        <v>0</v>
      </c>
      <c r="AB211" s="496">
        <f t="shared" si="838"/>
        <v>9.2799999999999994</v>
      </c>
      <c r="AC211" s="251">
        <f t="shared" si="839"/>
        <v>0</v>
      </c>
      <c r="AD211" s="251">
        <f t="shared" si="840"/>
        <v>0</v>
      </c>
      <c r="AE211" s="251">
        <f t="shared" si="841"/>
        <v>0</v>
      </c>
      <c r="AF211" s="251">
        <f t="shared" si="842"/>
        <v>13.919999999999998</v>
      </c>
      <c r="AG211" s="251">
        <f t="shared" si="843"/>
        <v>13.919999999999998</v>
      </c>
      <c r="AH211" s="251">
        <f t="shared" si="844"/>
        <v>0.88160000000029437</v>
      </c>
      <c r="AI211" s="497" t="str">
        <f t="shared" si="845"/>
        <v>NÃO</v>
      </c>
      <c r="AJ211" s="531">
        <f t="shared" si="846"/>
        <v>0</v>
      </c>
      <c r="AK211" s="531">
        <f t="shared" si="847"/>
        <v>0</v>
      </c>
      <c r="AL211" s="531">
        <f t="shared" si="848"/>
        <v>27.555440806987761</v>
      </c>
      <c r="AM211" s="493">
        <f t="shared" si="849"/>
        <v>0.46399999999999997</v>
      </c>
      <c r="AN211" s="535">
        <f t="shared" si="850"/>
        <v>0</v>
      </c>
      <c r="AO211" s="531">
        <f t="shared" si="851"/>
        <v>0</v>
      </c>
      <c r="AP211" s="531">
        <f t="shared" si="852"/>
        <v>0</v>
      </c>
      <c r="AQ211" s="531">
        <f t="shared" si="853"/>
        <v>0.7</v>
      </c>
      <c r="AR211" s="531">
        <f t="shared" si="854"/>
        <v>5.3298408069874679</v>
      </c>
      <c r="AS211" s="531">
        <f t="shared" si="855"/>
        <v>0</v>
      </c>
      <c r="AT211" s="531">
        <f t="shared" si="856"/>
        <v>1.3919999999999999</v>
      </c>
      <c r="AU211" s="531">
        <f t="shared" si="857"/>
        <v>1.3919999999999999</v>
      </c>
      <c r="AV211" s="531">
        <f t="shared" si="858"/>
        <v>0.27839999999999998</v>
      </c>
      <c r="AW211" s="531">
        <f t="shared" si="859"/>
        <v>18.977600000000294</v>
      </c>
      <c r="AX211" s="531">
        <f t="shared" si="860"/>
        <v>21.999759193012821</v>
      </c>
      <c r="AY211" s="531">
        <f t="shared" si="861"/>
        <v>18.977600000000294</v>
      </c>
      <c r="AZ211" s="531">
        <f t="shared" si="862"/>
        <v>0</v>
      </c>
      <c r="BA211" s="531">
        <f t="shared" si="863"/>
        <v>0</v>
      </c>
      <c r="BB211" s="531">
        <f t="shared" si="864"/>
        <v>0</v>
      </c>
      <c r="BC211" s="531"/>
      <c r="BD211" s="531">
        <f t="shared" si="865"/>
        <v>5.568E-2</v>
      </c>
      <c r="BE211" s="496">
        <f t="shared" si="866"/>
        <v>3.0950000000000317</v>
      </c>
      <c r="BF211" s="498">
        <f t="shared" si="867"/>
        <v>0</v>
      </c>
      <c r="BG211" s="498">
        <f t="shared" si="868"/>
        <v>0</v>
      </c>
      <c r="BH211" s="532" t="str">
        <f>VLOOKUP(A211,'BOCA DE LOBO'!C:I,7,0)</f>
        <v>BOCA DE LOBO PROJETADA DUPLA</v>
      </c>
      <c r="BI211" s="531">
        <f t="shared" si="869"/>
        <v>0</v>
      </c>
      <c r="BJ211" s="531">
        <f t="shared" si="870"/>
        <v>0</v>
      </c>
      <c r="BK211" s="531">
        <f t="shared" si="871"/>
        <v>0</v>
      </c>
      <c r="BL211" s="531">
        <f t="shared" si="872"/>
        <v>0</v>
      </c>
      <c r="BM211" s="531">
        <f t="shared" si="873"/>
        <v>0</v>
      </c>
      <c r="BN211" s="531">
        <f t="shared" si="874"/>
        <v>1</v>
      </c>
      <c r="BO211" s="499">
        <f t="shared" si="875"/>
        <v>0</v>
      </c>
      <c r="BP211" s="500"/>
      <c r="BQ211" s="496">
        <f t="shared" si="876"/>
        <v>27.839999999999996</v>
      </c>
      <c r="BR211" s="496">
        <f t="shared" si="877"/>
        <v>27.839999999999996</v>
      </c>
      <c r="BS211" s="496">
        <f t="shared" si="878"/>
        <v>1.7632000000005887</v>
      </c>
      <c r="BT211" s="501"/>
      <c r="BU211" s="501"/>
      <c r="BV211" s="502">
        <f t="shared" si="879"/>
        <v>19.456499999999998</v>
      </c>
      <c r="BW211" s="502">
        <f t="shared" si="880"/>
        <v>7.7825999999999986</v>
      </c>
      <c r="BX211" s="502">
        <f t="shared" si="881"/>
        <v>3.0325999999999995</v>
      </c>
      <c r="BY211" s="502">
        <f t="shared" si="882"/>
        <v>2.5</v>
      </c>
      <c r="BZ211" s="502">
        <f t="shared" si="883"/>
        <v>2.5</v>
      </c>
      <c r="CA211" s="502">
        <f t="shared" si="884"/>
        <v>0</v>
      </c>
      <c r="CB211" s="502">
        <f t="shared" si="885"/>
        <v>0</v>
      </c>
      <c r="CC211" s="502">
        <f t="shared" si="886"/>
        <v>11.673899999999998</v>
      </c>
      <c r="CD211" s="502">
        <f t="shared" si="887"/>
        <v>7.7825999999999986</v>
      </c>
      <c r="CE211" s="502">
        <f t="shared" si="888"/>
        <v>0</v>
      </c>
      <c r="CF211" s="502">
        <f t="shared" si="889"/>
        <v>0</v>
      </c>
      <c r="CG211" s="502">
        <f t="shared" si="890"/>
        <v>0</v>
      </c>
      <c r="CH211" s="502">
        <f t="shared" si="891"/>
        <v>0</v>
      </c>
      <c r="CI211" s="531">
        <f t="shared" si="892"/>
        <v>0.53549999999999998</v>
      </c>
      <c r="CJ211" s="502">
        <f t="shared" si="893"/>
        <v>11.339499999999997</v>
      </c>
      <c r="CK211" s="502">
        <f t="shared" si="894"/>
        <v>11.339499999999997</v>
      </c>
      <c r="CL211" s="502">
        <f t="shared" si="895"/>
        <v>0</v>
      </c>
      <c r="CM211" s="502">
        <f t="shared" si="896"/>
        <v>0</v>
      </c>
      <c r="CN211" s="502">
        <f t="shared" si="897"/>
        <v>3.57</v>
      </c>
      <c r="CO211" s="502">
        <f t="shared" si="898"/>
        <v>2.5</v>
      </c>
      <c r="CP211" s="502">
        <f t="shared" si="899"/>
        <v>10.709999999999999</v>
      </c>
      <c r="CQ211" s="502">
        <f t="shared" si="900"/>
        <v>7.14</v>
      </c>
      <c r="CR211" s="220">
        <f t="shared" si="901"/>
        <v>0</v>
      </c>
      <c r="CS211" s="503">
        <f t="shared" si="902"/>
        <v>0</v>
      </c>
      <c r="CT211" s="503">
        <f t="shared" si="903"/>
        <v>0.33012999999999998</v>
      </c>
      <c r="CU211" s="504">
        <f t="shared" si="904"/>
        <v>13</v>
      </c>
      <c r="CV211" s="504">
        <f t="shared" si="905"/>
        <v>1.43895</v>
      </c>
      <c r="CW211" s="502">
        <f t="shared" si="906"/>
        <v>23.248199999999997</v>
      </c>
      <c r="CX211" s="531">
        <f t="shared" si="907"/>
        <v>3.57</v>
      </c>
      <c r="CY211" s="537">
        <f t="shared" si="908"/>
        <v>1.7849999999999999</v>
      </c>
      <c r="CZ211" s="502">
        <f t="shared" si="909"/>
        <v>2.4513847475961154E-2</v>
      </c>
    </row>
    <row r="212" spans="1:104" ht="25" x14ac:dyDescent="0.25">
      <c r="A212" s="413" t="str">
        <f>'BOCA DE LOBO'!C206</f>
        <v>BL121-&gt;PV1-116</v>
      </c>
      <c r="B212" s="413" t="str">
        <f>'BOCA DE LOBO'!A206</f>
        <v>PV1-116</v>
      </c>
      <c r="C212" s="413" t="str">
        <f>VLOOKUP(A212,'BOCA DE LOBO'!$C$82:$Q$270,3,0)</f>
        <v>EXISTENTE</v>
      </c>
      <c r="D212" s="413" t="str">
        <f>VLOOKUP(A212,'BOCA DE LOBO'!$C$82:$Q$270,10,0)</f>
        <v>PROJETADA</v>
      </c>
      <c r="E212" s="413">
        <f t="shared" si="824"/>
        <v>1.5691999999999999</v>
      </c>
      <c r="F212" s="413">
        <f>VLOOKUP(A212,'BOCA DE LOBO'!$C$82:$Q$270,2,0)</f>
        <v>1.75</v>
      </c>
      <c r="G212" s="413">
        <f>VLOOKUP(A212,'BOCA DE LOBO'!$C$82:$Q$270,4,0)</f>
        <v>4.5199999999999996</v>
      </c>
      <c r="H212" s="412">
        <v>400</v>
      </c>
      <c r="I212" s="493">
        <f t="shared" si="825"/>
        <v>1.7896000000000001</v>
      </c>
      <c r="J212" s="493">
        <f t="shared" si="826"/>
        <v>0.40444959999999996</v>
      </c>
      <c r="K212" s="530">
        <v>0</v>
      </c>
      <c r="L212" s="531">
        <f t="shared" si="827"/>
        <v>1</v>
      </c>
      <c r="M212" s="531">
        <f t="shared" si="828"/>
        <v>1</v>
      </c>
      <c r="N212" s="531">
        <f t="shared" si="829"/>
        <v>0</v>
      </c>
      <c r="O212" s="531">
        <f t="shared" si="830"/>
        <v>4.5199999999999996</v>
      </c>
      <c r="P212" s="532" t="s">
        <v>2392</v>
      </c>
      <c r="Q212" s="539" t="s">
        <v>2746</v>
      </c>
      <c r="R212" s="534"/>
      <c r="S212" s="532">
        <f>VLOOKUP(Q212,Quantitativos!P:R,3,0)</f>
        <v>5</v>
      </c>
      <c r="T212" s="532">
        <f>VLOOKUP(Q212,Quantitativos!P:S,4,0)</f>
        <v>4.8</v>
      </c>
      <c r="U212" s="531">
        <f t="shared" si="831"/>
        <v>0.05</v>
      </c>
      <c r="V212" s="535">
        <f t="shared" si="832"/>
        <v>0</v>
      </c>
      <c r="W212" s="535">
        <f t="shared" si="833"/>
        <v>8.0889919999999993</v>
      </c>
      <c r="X212" s="536">
        <f t="shared" si="834"/>
        <v>0</v>
      </c>
      <c r="Y212" s="536">
        <f t="shared" si="835"/>
        <v>0</v>
      </c>
      <c r="Z212" s="536">
        <f t="shared" si="836"/>
        <v>1.7896000000000001</v>
      </c>
      <c r="AA212" s="536">
        <f t="shared" si="837"/>
        <v>0</v>
      </c>
      <c r="AB212" s="496">
        <f t="shared" si="838"/>
        <v>4.5199999999999996</v>
      </c>
      <c r="AC212" s="251">
        <f t="shared" si="839"/>
        <v>0</v>
      </c>
      <c r="AD212" s="251">
        <f t="shared" si="840"/>
        <v>0</v>
      </c>
      <c r="AE212" s="251">
        <f t="shared" si="841"/>
        <v>0</v>
      </c>
      <c r="AF212" s="251">
        <f t="shared" si="842"/>
        <v>6.7799999999999994</v>
      </c>
      <c r="AG212" s="251">
        <f t="shared" si="843"/>
        <v>1.3089920000000002</v>
      </c>
      <c r="AH212" s="251">
        <f t="shared" si="844"/>
        <v>0</v>
      </c>
      <c r="AI212" s="497" t="str">
        <f t="shared" si="845"/>
        <v>NÃO</v>
      </c>
      <c r="AJ212" s="531">
        <f t="shared" si="846"/>
        <v>0</v>
      </c>
      <c r="AK212" s="531">
        <f t="shared" si="847"/>
        <v>0</v>
      </c>
      <c r="AL212" s="531">
        <f t="shared" si="848"/>
        <v>7.5209920482309647</v>
      </c>
      <c r="AM212" s="493">
        <f t="shared" si="849"/>
        <v>0.22599999999999998</v>
      </c>
      <c r="AN212" s="535">
        <f t="shared" si="850"/>
        <v>0</v>
      </c>
      <c r="AO212" s="531">
        <f t="shared" si="851"/>
        <v>0</v>
      </c>
      <c r="AP212" s="531">
        <f t="shared" si="852"/>
        <v>0</v>
      </c>
      <c r="AQ212" s="531">
        <f t="shared" si="853"/>
        <v>0.7</v>
      </c>
      <c r="AR212" s="531">
        <f t="shared" si="854"/>
        <v>2.5960000482309651</v>
      </c>
      <c r="AS212" s="531">
        <f t="shared" si="855"/>
        <v>0</v>
      </c>
      <c r="AT212" s="531">
        <f t="shared" si="856"/>
        <v>0.67799999999999994</v>
      </c>
      <c r="AU212" s="531">
        <f t="shared" si="857"/>
        <v>0.67799999999999994</v>
      </c>
      <c r="AV212" s="531">
        <f t="shared" si="858"/>
        <v>0.13559999999999997</v>
      </c>
      <c r="AW212" s="531">
        <f t="shared" si="859"/>
        <v>3.3429919999999997</v>
      </c>
      <c r="AX212" s="531">
        <f t="shared" si="860"/>
        <v>4.8149919517690343</v>
      </c>
      <c r="AY212" s="531">
        <f t="shared" si="861"/>
        <v>3.3429919999999997</v>
      </c>
      <c r="AZ212" s="531">
        <f t="shared" si="862"/>
        <v>0</v>
      </c>
      <c r="BA212" s="531">
        <f t="shared" si="863"/>
        <v>0</v>
      </c>
      <c r="BB212" s="531">
        <f t="shared" si="864"/>
        <v>0</v>
      </c>
      <c r="BC212" s="531"/>
      <c r="BD212" s="531">
        <f t="shared" si="865"/>
        <v>2.7119999999999998E-2</v>
      </c>
      <c r="BE212" s="496">
        <f t="shared" si="866"/>
        <v>1.7896000000000001</v>
      </c>
      <c r="BF212" s="498">
        <f t="shared" si="867"/>
        <v>0</v>
      </c>
      <c r="BG212" s="498">
        <f t="shared" si="868"/>
        <v>4.5199999999999996</v>
      </c>
      <c r="BH212" s="532" t="str">
        <f>VLOOKUP(A212,'BOCA DE LOBO'!C:I,7,0)</f>
        <v>BOCA DE LOBO PROJETADA TRIPLA</v>
      </c>
      <c r="BI212" s="531">
        <f t="shared" si="869"/>
        <v>0</v>
      </c>
      <c r="BJ212" s="531">
        <f t="shared" si="870"/>
        <v>0</v>
      </c>
      <c r="BK212" s="531">
        <f t="shared" si="871"/>
        <v>0</v>
      </c>
      <c r="BL212" s="531">
        <f t="shared" si="872"/>
        <v>0</v>
      </c>
      <c r="BM212" s="531">
        <f t="shared" si="873"/>
        <v>0</v>
      </c>
      <c r="BN212" s="531">
        <f t="shared" si="874"/>
        <v>0</v>
      </c>
      <c r="BO212" s="499">
        <f t="shared" si="875"/>
        <v>1</v>
      </c>
      <c r="BP212" s="500"/>
      <c r="BQ212" s="496">
        <f t="shared" si="876"/>
        <v>13.559999999999999</v>
      </c>
      <c r="BR212" s="496">
        <f t="shared" si="877"/>
        <v>2.6179840000000003</v>
      </c>
      <c r="BS212" s="496">
        <f t="shared" si="878"/>
        <v>0</v>
      </c>
      <c r="BT212" s="501"/>
      <c r="BU212" s="501"/>
      <c r="BV212" s="502">
        <f t="shared" si="879"/>
        <v>16.283274559999995</v>
      </c>
      <c r="BW212" s="502">
        <f t="shared" si="880"/>
        <v>10.376799999999998</v>
      </c>
      <c r="BX212" s="502">
        <f t="shared" si="881"/>
        <v>4.4367999999999999</v>
      </c>
      <c r="BY212" s="502">
        <f t="shared" si="882"/>
        <v>1.5691999999999999</v>
      </c>
      <c r="BZ212" s="502">
        <f t="shared" si="883"/>
        <v>1.5691999999999999</v>
      </c>
      <c r="CA212" s="502">
        <f t="shared" si="884"/>
        <v>0</v>
      </c>
      <c r="CB212" s="502">
        <f t="shared" si="885"/>
        <v>0</v>
      </c>
      <c r="CC212" s="502">
        <f t="shared" si="886"/>
        <v>15.565199999999997</v>
      </c>
      <c r="CD212" s="502">
        <f t="shared" si="887"/>
        <v>0.71807455999999914</v>
      </c>
      <c r="CE212" s="502">
        <f t="shared" si="888"/>
        <v>0</v>
      </c>
      <c r="CF212" s="502">
        <f t="shared" si="889"/>
        <v>0</v>
      </c>
      <c r="CG212" s="502">
        <f t="shared" si="890"/>
        <v>0</v>
      </c>
      <c r="CH212" s="502">
        <f t="shared" si="891"/>
        <v>0</v>
      </c>
      <c r="CI212" s="531">
        <f t="shared" si="892"/>
        <v>0.71399999999999997</v>
      </c>
      <c r="CJ212" s="502">
        <f t="shared" si="893"/>
        <v>8.6070479999999954</v>
      </c>
      <c r="CK212" s="502">
        <f t="shared" si="894"/>
        <v>8.6070479999999954</v>
      </c>
      <c r="CL212" s="502">
        <f t="shared" si="895"/>
        <v>0</v>
      </c>
      <c r="CM212" s="502">
        <f t="shared" si="896"/>
        <v>0</v>
      </c>
      <c r="CN212" s="502">
        <f t="shared" si="897"/>
        <v>4.76</v>
      </c>
      <c r="CO212" s="502">
        <f t="shared" si="898"/>
        <v>1.5691999999999999</v>
      </c>
      <c r="CP212" s="502">
        <f t="shared" si="899"/>
        <v>14.28</v>
      </c>
      <c r="CQ212" s="502">
        <f t="shared" si="900"/>
        <v>0.65878399999999926</v>
      </c>
      <c r="CR212" s="220">
        <f t="shared" si="901"/>
        <v>0</v>
      </c>
      <c r="CS212" s="503">
        <f t="shared" si="902"/>
        <v>0</v>
      </c>
      <c r="CT212" s="503">
        <f t="shared" si="903"/>
        <v>0.45984000000000003</v>
      </c>
      <c r="CU212" s="504">
        <f t="shared" si="904"/>
        <v>11.29824</v>
      </c>
      <c r="CV212" s="504">
        <f t="shared" si="905"/>
        <v>1.5815790000000001</v>
      </c>
      <c r="CW212" s="502">
        <f t="shared" si="906"/>
        <v>20.686120000000003</v>
      </c>
      <c r="CX212" s="531">
        <f t="shared" si="907"/>
        <v>4.76</v>
      </c>
      <c r="CY212" s="537">
        <f t="shared" si="908"/>
        <v>2.38</v>
      </c>
      <c r="CZ212" s="502">
        <f t="shared" si="909"/>
        <v>2.4513847475961154E-2</v>
      </c>
    </row>
    <row r="213" spans="1:104" ht="25" x14ac:dyDescent="0.25">
      <c r="A213" s="413" t="str">
        <f>'BOCA DE LOBO'!C207</f>
        <v>BL122-&gt;PV2-116</v>
      </c>
      <c r="B213" s="413" t="str">
        <f>'BOCA DE LOBO'!A207</f>
        <v>PV2-116</v>
      </c>
      <c r="C213" s="413" t="str">
        <f>VLOOKUP(A213,'BOCA DE LOBO'!$C$82:$Q$270,3,0)</f>
        <v>EXISTENTE</v>
      </c>
      <c r="D213" s="413" t="str">
        <f>VLOOKUP(A213,'BOCA DE LOBO'!$C$82:$Q$270,10,0)</f>
        <v>PROJETADA</v>
      </c>
      <c r="E213" s="413">
        <f t="shared" si="824"/>
        <v>1.6208000000000409</v>
      </c>
      <c r="F213" s="413">
        <f>VLOOKUP(A213,'BOCA DE LOBO'!$C$82:$Q$270,2,0)</f>
        <v>1.8300000000000409</v>
      </c>
      <c r="G213" s="413">
        <f>VLOOKUP(A213,'BOCA DE LOBO'!$C$82:$Q$270,4,0)</f>
        <v>5.23</v>
      </c>
      <c r="H213" s="412">
        <v>400</v>
      </c>
      <c r="I213" s="493">
        <f t="shared" si="825"/>
        <v>1.855400000000041</v>
      </c>
      <c r="J213" s="493">
        <f t="shared" si="826"/>
        <v>0.48518710000001075</v>
      </c>
      <c r="K213" s="530">
        <v>0</v>
      </c>
      <c r="L213" s="531">
        <f t="shared" si="827"/>
        <v>1</v>
      </c>
      <c r="M213" s="531">
        <f t="shared" si="828"/>
        <v>1</v>
      </c>
      <c r="N213" s="531">
        <f t="shared" si="829"/>
        <v>0</v>
      </c>
      <c r="O213" s="531">
        <f t="shared" si="830"/>
        <v>5.23</v>
      </c>
      <c r="P213" s="532" t="s">
        <v>2392</v>
      </c>
      <c r="Q213" s="539" t="s">
        <v>2746</v>
      </c>
      <c r="R213" s="534"/>
      <c r="S213" s="532">
        <f>VLOOKUP(Q213,Quantitativos!P:R,3,0)</f>
        <v>5</v>
      </c>
      <c r="T213" s="532">
        <f>VLOOKUP(Q213,Quantitativos!P:S,4,0)</f>
        <v>4.8</v>
      </c>
      <c r="U213" s="531">
        <f t="shared" si="831"/>
        <v>0.05</v>
      </c>
      <c r="V213" s="535">
        <f t="shared" si="832"/>
        <v>0</v>
      </c>
      <c r="W213" s="535">
        <f t="shared" si="833"/>
        <v>9.703742000000215</v>
      </c>
      <c r="X213" s="536">
        <f t="shared" si="834"/>
        <v>0</v>
      </c>
      <c r="Y213" s="536">
        <f t="shared" si="835"/>
        <v>0</v>
      </c>
      <c r="Z213" s="536">
        <f t="shared" si="836"/>
        <v>1.855400000000041</v>
      </c>
      <c r="AA213" s="536">
        <f t="shared" si="837"/>
        <v>0</v>
      </c>
      <c r="AB213" s="496">
        <f t="shared" si="838"/>
        <v>5.23</v>
      </c>
      <c r="AC213" s="251">
        <f t="shared" si="839"/>
        <v>0</v>
      </c>
      <c r="AD213" s="251">
        <f t="shared" si="840"/>
        <v>0</v>
      </c>
      <c r="AE213" s="251">
        <f t="shared" si="841"/>
        <v>0</v>
      </c>
      <c r="AF213" s="251">
        <f t="shared" si="842"/>
        <v>7.8450000000000006</v>
      </c>
      <c r="AG213" s="251">
        <f t="shared" si="843"/>
        <v>1.8587420000002146</v>
      </c>
      <c r="AH213" s="251">
        <f t="shared" si="844"/>
        <v>0</v>
      </c>
      <c r="AI213" s="497" t="str">
        <f t="shared" si="845"/>
        <v>NÃO</v>
      </c>
      <c r="AJ213" s="531">
        <f t="shared" si="846"/>
        <v>0</v>
      </c>
      <c r="AK213" s="531">
        <f t="shared" si="847"/>
        <v>0</v>
      </c>
      <c r="AL213" s="531">
        <f t="shared" si="848"/>
        <v>9.0465208168692293</v>
      </c>
      <c r="AM213" s="493">
        <f t="shared" si="849"/>
        <v>0.26150000000000001</v>
      </c>
      <c r="AN213" s="535">
        <f t="shared" si="850"/>
        <v>0</v>
      </c>
      <c r="AO213" s="531">
        <f t="shared" si="851"/>
        <v>0</v>
      </c>
      <c r="AP213" s="531">
        <f t="shared" si="852"/>
        <v>0</v>
      </c>
      <c r="AQ213" s="531">
        <f t="shared" si="853"/>
        <v>0.7</v>
      </c>
      <c r="AR213" s="531">
        <f t="shared" si="854"/>
        <v>3.0037788168690152</v>
      </c>
      <c r="AS213" s="531">
        <f t="shared" si="855"/>
        <v>0</v>
      </c>
      <c r="AT213" s="531">
        <f t="shared" si="856"/>
        <v>0.78450000000000009</v>
      </c>
      <c r="AU213" s="531">
        <f t="shared" si="857"/>
        <v>0.78450000000000009</v>
      </c>
      <c r="AV213" s="531">
        <f t="shared" si="858"/>
        <v>0.15690000000000001</v>
      </c>
      <c r="AW213" s="531">
        <f t="shared" si="859"/>
        <v>4.2122420000002148</v>
      </c>
      <c r="AX213" s="531">
        <f t="shared" si="860"/>
        <v>5.9154631831311999</v>
      </c>
      <c r="AY213" s="531">
        <f t="shared" si="861"/>
        <v>4.2122420000002148</v>
      </c>
      <c r="AZ213" s="531">
        <f t="shared" si="862"/>
        <v>0</v>
      </c>
      <c r="BA213" s="531">
        <f t="shared" si="863"/>
        <v>0</v>
      </c>
      <c r="BB213" s="531">
        <f t="shared" si="864"/>
        <v>0</v>
      </c>
      <c r="BC213" s="531"/>
      <c r="BD213" s="531">
        <f t="shared" si="865"/>
        <v>3.1380000000000005E-2</v>
      </c>
      <c r="BE213" s="496">
        <f t="shared" si="866"/>
        <v>1.855400000000041</v>
      </c>
      <c r="BF213" s="498">
        <f t="shared" si="867"/>
        <v>0</v>
      </c>
      <c r="BG213" s="498">
        <f t="shared" si="868"/>
        <v>5.23</v>
      </c>
      <c r="BH213" s="532" t="str">
        <f>VLOOKUP(A213,'BOCA DE LOBO'!C:I,7,0)</f>
        <v>BOCA DE LOBO PROJETADA DUPLA</v>
      </c>
      <c r="BI213" s="531">
        <f t="shared" si="869"/>
        <v>0</v>
      </c>
      <c r="BJ213" s="531">
        <f t="shared" si="870"/>
        <v>0</v>
      </c>
      <c r="BK213" s="531">
        <f t="shared" si="871"/>
        <v>0</v>
      </c>
      <c r="BL213" s="531">
        <f t="shared" si="872"/>
        <v>0</v>
      </c>
      <c r="BM213" s="531">
        <f t="shared" si="873"/>
        <v>0</v>
      </c>
      <c r="BN213" s="531">
        <f t="shared" si="874"/>
        <v>1</v>
      </c>
      <c r="BO213" s="499">
        <f t="shared" si="875"/>
        <v>0</v>
      </c>
      <c r="BP213" s="500"/>
      <c r="BQ213" s="496">
        <f t="shared" si="876"/>
        <v>15.690000000000001</v>
      </c>
      <c r="BR213" s="496">
        <f t="shared" si="877"/>
        <v>3.7174840000004292</v>
      </c>
      <c r="BS213" s="496">
        <f t="shared" si="878"/>
        <v>0</v>
      </c>
      <c r="BT213" s="501"/>
      <c r="BU213" s="501"/>
      <c r="BV213" s="502">
        <f t="shared" si="879"/>
        <v>12.614038080000316</v>
      </c>
      <c r="BW213" s="502">
        <f t="shared" si="880"/>
        <v>7.7825999999999986</v>
      </c>
      <c r="BX213" s="502">
        <f t="shared" si="881"/>
        <v>3.0325999999999995</v>
      </c>
      <c r="BY213" s="502">
        <f t="shared" si="882"/>
        <v>1.6208000000000409</v>
      </c>
      <c r="BZ213" s="502">
        <f t="shared" si="883"/>
        <v>1.6208000000000409</v>
      </c>
      <c r="CA213" s="502">
        <f t="shared" si="884"/>
        <v>0</v>
      </c>
      <c r="CB213" s="502">
        <f t="shared" si="885"/>
        <v>0</v>
      </c>
      <c r="CC213" s="502">
        <f t="shared" si="886"/>
        <v>11.673899999999998</v>
      </c>
      <c r="CD213" s="502">
        <f t="shared" si="887"/>
        <v>0.94013808000031795</v>
      </c>
      <c r="CE213" s="502">
        <f t="shared" si="888"/>
        <v>0</v>
      </c>
      <c r="CF213" s="502">
        <f t="shared" si="889"/>
        <v>0</v>
      </c>
      <c r="CG213" s="502">
        <f t="shared" si="890"/>
        <v>0</v>
      </c>
      <c r="CH213" s="502">
        <f t="shared" si="891"/>
        <v>0</v>
      </c>
      <c r="CI213" s="531">
        <f t="shared" si="892"/>
        <v>0.53549999999999998</v>
      </c>
      <c r="CJ213" s="502">
        <f t="shared" si="893"/>
        <v>7.1633000000001932</v>
      </c>
      <c r="CK213" s="502">
        <f t="shared" si="894"/>
        <v>7.1633000000001932</v>
      </c>
      <c r="CL213" s="502">
        <f t="shared" si="895"/>
        <v>0</v>
      </c>
      <c r="CM213" s="502">
        <f t="shared" si="896"/>
        <v>0</v>
      </c>
      <c r="CN213" s="502">
        <f t="shared" si="897"/>
        <v>3.57</v>
      </c>
      <c r="CO213" s="502">
        <f t="shared" si="898"/>
        <v>1.6208000000000409</v>
      </c>
      <c r="CP213" s="502">
        <f t="shared" si="899"/>
        <v>10.709999999999999</v>
      </c>
      <c r="CQ213" s="502">
        <f t="shared" si="900"/>
        <v>0.86251200000029182</v>
      </c>
      <c r="CR213" s="220">
        <f t="shared" si="901"/>
        <v>0</v>
      </c>
      <c r="CS213" s="503">
        <f t="shared" si="902"/>
        <v>0</v>
      </c>
      <c r="CT213" s="503">
        <f t="shared" si="903"/>
        <v>0.33012999999999998</v>
      </c>
      <c r="CU213" s="504">
        <f t="shared" si="904"/>
        <v>8.4281600000002133</v>
      </c>
      <c r="CV213" s="504">
        <f t="shared" si="905"/>
        <v>1.1699148000000124</v>
      </c>
      <c r="CW213" s="502">
        <f t="shared" si="906"/>
        <v>16.495944000000314</v>
      </c>
      <c r="CX213" s="531">
        <f t="shared" si="907"/>
        <v>3.57</v>
      </c>
      <c r="CY213" s="537">
        <f t="shared" si="908"/>
        <v>1.7849999999999999</v>
      </c>
      <c r="CZ213" s="502">
        <f t="shared" si="909"/>
        <v>2.4513847475961154E-2</v>
      </c>
    </row>
    <row r="214" spans="1:104" ht="25" x14ac:dyDescent="0.25">
      <c r="A214" s="413" t="str">
        <f>'BOCA DE LOBO'!C208</f>
        <v>BL123-&gt;PV3-116</v>
      </c>
      <c r="B214" s="413" t="str">
        <f>'BOCA DE LOBO'!A208</f>
        <v>PV3-116</v>
      </c>
      <c r="C214" s="413" t="str">
        <f>VLOOKUP(A214,'BOCA DE LOBO'!$C$82:$Q$270,3,0)</f>
        <v>EXISTENTE</v>
      </c>
      <c r="D214" s="413" t="str">
        <f>VLOOKUP(A214,'BOCA DE LOBO'!$C$82:$Q$270,10,0)</f>
        <v>PROJETADA</v>
      </c>
      <c r="E214" s="413">
        <f t="shared" si="824"/>
        <v>1.6112000000000137</v>
      </c>
      <c r="F214" s="413">
        <f>VLOOKUP(A214,'BOCA DE LOBO'!$C$82:$Q$270,2,0)</f>
        <v>1.8600000000000136</v>
      </c>
      <c r="G214" s="413">
        <f>VLOOKUP(A214,'BOCA DE LOBO'!$C$82:$Q$270,4,0)</f>
        <v>6.22</v>
      </c>
      <c r="H214" s="412">
        <v>400</v>
      </c>
      <c r="I214" s="493">
        <f t="shared" si="825"/>
        <v>1.8656000000000137</v>
      </c>
      <c r="J214" s="493">
        <f t="shared" si="826"/>
        <v>0.58020160000000431</v>
      </c>
      <c r="K214" s="530">
        <v>0</v>
      </c>
      <c r="L214" s="531">
        <f t="shared" si="827"/>
        <v>1</v>
      </c>
      <c r="M214" s="531">
        <f t="shared" si="828"/>
        <v>1</v>
      </c>
      <c r="N214" s="531">
        <f t="shared" si="829"/>
        <v>0</v>
      </c>
      <c r="O214" s="531">
        <f t="shared" si="830"/>
        <v>6.22</v>
      </c>
      <c r="P214" s="532" t="s">
        <v>2392</v>
      </c>
      <c r="Q214" s="539" t="s">
        <v>2964</v>
      </c>
      <c r="R214" s="534"/>
      <c r="S214" s="532">
        <v>4</v>
      </c>
      <c r="T214" s="532">
        <v>5</v>
      </c>
      <c r="U214" s="531">
        <f t="shared" si="831"/>
        <v>0.05</v>
      </c>
      <c r="V214" s="535">
        <f t="shared" si="832"/>
        <v>0</v>
      </c>
      <c r="W214" s="535">
        <f t="shared" si="833"/>
        <v>11.604032000000085</v>
      </c>
      <c r="X214" s="536">
        <f t="shared" si="834"/>
        <v>0</v>
      </c>
      <c r="Y214" s="536">
        <f t="shared" si="835"/>
        <v>0</v>
      </c>
      <c r="Z214" s="536">
        <f t="shared" si="836"/>
        <v>1.8656000000000137</v>
      </c>
      <c r="AA214" s="536">
        <f t="shared" si="837"/>
        <v>0</v>
      </c>
      <c r="AB214" s="496">
        <f t="shared" si="838"/>
        <v>6.22</v>
      </c>
      <c r="AC214" s="251">
        <f t="shared" si="839"/>
        <v>0</v>
      </c>
      <c r="AD214" s="251">
        <f t="shared" si="840"/>
        <v>0</v>
      </c>
      <c r="AE214" s="251">
        <f t="shared" si="841"/>
        <v>0</v>
      </c>
      <c r="AF214" s="251">
        <f t="shared" si="842"/>
        <v>9.33</v>
      </c>
      <c r="AG214" s="251">
        <f t="shared" si="843"/>
        <v>2.2740320000000849</v>
      </c>
      <c r="AH214" s="251">
        <f t="shared" si="844"/>
        <v>0</v>
      </c>
      <c r="AI214" s="497" t="str">
        <f t="shared" si="845"/>
        <v>NÃO</v>
      </c>
      <c r="AJ214" s="531">
        <f t="shared" si="846"/>
        <v>0</v>
      </c>
      <c r="AK214" s="531">
        <f t="shared" si="847"/>
        <v>0</v>
      </c>
      <c r="AL214" s="531">
        <f t="shared" si="848"/>
        <v>10.822403747786945</v>
      </c>
      <c r="AM214" s="493">
        <f t="shared" si="849"/>
        <v>0.311</v>
      </c>
      <c r="AN214" s="535">
        <f t="shared" si="850"/>
        <v>0</v>
      </c>
      <c r="AO214" s="531">
        <f t="shared" si="851"/>
        <v>0</v>
      </c>
      <c r="AP214" s="531">
        <f t="shared" si="852"/>
        <v>0</v>
      </c>
      <c r="AQ214" s="531">
        <f t="shared" si="853"/>
        <v>0.7</v>
      </c>
      <c r="AR214" s="531">
        <f t="shared" si="854"/>
        <v>3.5723717477868586</v>
      </c>
      <c r="AS214" s="531">
        <f t="shared" si="855"/>
        <v>0</v>
      </c>
      <c r="AT214" s="531">
        <f t="shared" si="856"/>
        <v>0.93299999999999994</v>
      </c>
      <c r="AU214" s="531">
        <f t="shared" si="857"/>
        <v>0.93299999999999994</v>
      </c>
      <c r="AV214" s="531">
        <f t="shared" si="858"/>
        <v>0.18659999999999999</v>
      </c>
      <c r="AW214" s="531">
        <f t="shared" si="859"/>
        <v>5.0730320000000866</v>
      </c>
      <c r="AX214" s="531">
        <f t="shared" si="860"/>
        <v>7.0986602522132269</v>
      </c>
      <c r="AY214" s="531">
        <f t="shared" si="861"/>
        <v>5.0730320000000866</v>
      </c>
      <c r="AZ214" s="531">
        <f t="shared" si="862"/>
        <v>0</v>
      </c>
      <c r="BA214" s="531">
        <f t="shared" si="863"/>
        <v>0</v>
      </c>
      <c r="BB214" s="531">
        <f t="shared" si="864"/>
        <v>0</v>
      </c>
      <c r="BC214" s="531"/>
      <c r="BD214" s="531">
        <f t="shared" si="865"/>
        <v>3.7319999999999999E-2</v>
      </c>
      <c r="BE214" s="496">
        <f t="shared" si="866"/>
        <v>1.8656000000000137</v>
      </c>
      <c r="BF214" s="498">
        <f t="shared" si="867"/>
        <v>0</v>
      </c>
      <c r="BG214" s="498">
        <f t="shared" si="868"/>
        <v>6.22</v>
      </c>
      <c r="BH214" s="532" t="str">
        <f>VLOOKUP(A214,'BOCA DE LOBO'!C:I,7,0)</f>
        <v>BOCA DE LOBO PROJETADA DUPLA</v>
      </c>
      <c r="BI214" s="531">
        <f t="shared" si="869"/>
        <v>0</v>
      </c>
      <c r="BJ214" s="531">
        <f t="shared" si="870"/>
        <v>0</v>
      </c>
      <c r="BK214" s="531">
        <f t="shared" si="871"/>
        <v>0</v>
      </c>
      <c r="BL214" s="531">
        <f t="shared" si="872"/>
        <v>0</v>
      </c>
      <c r="BM214" s="531">
        <f t="shared" si="873"/>
        <v>0</v>
      </c>
      <c r="BN214" s="531">
        <f t="shared" si="874"/>
        <v>1</v>
      </c>
      <c r="BO214" s="499">
        <f t="shared" si="875"/>
        <v>0</v>
      </c>
      <c r="BP214" s="500"/>
      <c r="BQ214" s="496">
        <f t="shared" si="876"/>
        <v>18.66</v>
      </c>
      <c r="BR214" s="496">
        <f t="shared" si="877"/>
        <v>4.5480640000001697</v>
      </c>
      <c r="BS214" s="496">
        <f t="shared" si="878"/>
        <v>0</v>
      </c>
      <c r="BT214" s="501"/>
      <c r="BU214" s="501"/>
      <c r="BV214" s="502">
        <f t="shared" si="879"/>
        <v>12.539325120000104</v>
      </c>
      <c r="BW214" s="502">
        <f t="shared" si="880"/>
        <v>7.7825999999999986</v>
      </c>
      <c r="BX214" s="502">
        <f t="shared" si="881"/>
        <v>3.0325999999999995</v>
      </c>
      <c r="BY214" s="502">
        <f t="shared" si="882"/>
        <v>1.6112000000000137</v>
      </c>
      <c r="BZ214" s="502">
        <f t="shared" si="883"/>
        <v>1.6112000000000137</v>
      </c>
      <c r="CA214" s="502">
        <f t="shared" si="884"/>
        <v>0</v>
      </c>
      <c r="CB214" s="502">
        <f t="shared" si="885"/>
        <v>0</v>
      </c>
      <c r="CC214" s="502">
        <f t="shared" si="886"/>
        <v>11.673899999999998</v>
      </c>
      <c r="CD214" s="502">
        <f t="shared" si="887"/>
        <v>0.86542512000010674</v>
      </c>
      <c r="CE214" s="502">
        <f t="shared" si="888"/>
        <v>0</v>
      </c>
      <c r="CF214" s="502">
        <f t="shared" si="889"/>
        <v>0</v>
      </c>
      <c r="CG214" s="502">
        <f t="shared" si="890"/>
        <v>0</v>
      </c>
      <c r="CH214" s="502">
        <f t="shared" si="891"/>
        <v>0</v>
      </c>
      <c r="CI214" s="531">
        <f t="shared" si="892"/>
        <v>0.53549999999999998</v>
      </c>
      <c r="CJ214" s="502">
        <f t="shared" si="893"/>
        <v>7.1177000000000641</v>
      </c>
      <c r="CK214" s="502">
        <f t="shared" si="894"/>
        <v>7.1177000000000641</v>
      </c>
      <c r="CL214" s="502">
        <f t="shared" si="895"/>
        <v>0</v>
      </c>
      <c r="CM214" s="502">
        <f t="shared" si="896"/>
        <v>0</v>
      </c>
      <c r="CN214" s="502">
        <f t="shared" si="897"/>
        <v>3.57</v>
      </c>
      <c r="CO214" s="502">
        <f t="shared" si="898"/>
        <v>1.6112000000000137</v>
      </c>
      <c r="CP214" s="502">
        <f t="shared" si="899"/>
        <v>10.709999999999999</v>
      </c>
      <c r="CQ214" s="502">
        <f t="shared" si="900"/>
        <v>0.79396800000009804</v>
      </c>
      <c r="CR214" s="220">
        <f t="shared" si="901"/>
        <v>0</v>
      </c>
      <c r="CS214" s="503">
        <f t="shared" si="902"/>
        <v>0</v>
      </c>
      <c r="CT214" s="503">
        <f t="shared" si="903"/>
        <v>0.33012999999999998</v>
      </c>
      <c r="CU214" s="504">
        <f t="shared" si="904"/>
        <v>8.378240000000071</v>
      </c>
      <c r="CV214" s="504">
        <f t="shared" si="905"/>
        <v>1.166977200000004</v>
      </c>
      <c r="CW214" s="502">
        <f t="shared" si="906"/>
        <v>16.422216000000105</v>
      </c>
      <c r="CX214" s="531">
        <f t="shared" si="907"/>
        <v>3.57</v>
      </c>
      <c r="CY214" s="537">
        <f t="shared" si="908"/>
        <v>1.7849999999999999</v>
      </c>
      <c r="CZ214" s="502">
        <f t="shared" si="909"/>
        <v>2.4513847475961154E-2</v>
      </c>
    </row>
    <row r="215" spans="1:104" ht="25" x14ac:dyDescent="0.25">
      <c r="A215" s="413" t="str">
        <f>'BOCA DE LOBO'!C209</f>
        <v>BL124-&gt;PV1-117</v>
      </c>
      <c r="B215" s="413" t="str">
        <f>'BOCA DE LOBO'!A209</f>
        <v>PV1-117</v>
      </c>
      <c r="C215" s="413" t="str">
        <f>VLOOKUP(A215,'BOCA DE LOBO'!$C$82:$Q$270,3,0)</f>
        <v>EXISTENTE</v>
      </c>
      <c r="D215" s="413" t="str">
        <f>VLOOKUP(A215,'BOCA DE LOBO'!$C$82:$Q$270,10,0)</f>
        <v>PROJETADA</v>
      </c>
      <c r="E215" s="413">
        <f t="shared" si="824"/>
        <v>1.6188000000000227</v>
      </c>
      <c r="F215" s="413">
        <f>VLOOKUP(A215,'BOCA DE LOBO'!$C$82:$Q$270,2,0)</f>
        <v>1.8500000000000227</v>
      </c>
      <c r="G215" s="413">
        <f>VLOOKUP(A215,'BOCA DE LOBO'!$C$82:$Q$270,4,0)</f>
        <v>5.78</v>
      </c>
      <c r="H215" s="412">
        <v>400</v>
      </c>
      <c r="I215" s="493">
        <f t="shared" si="825"/>
        <v>1.8644000000000227</v>
      </c>
      <c r="J215" s="493">
        <f t="shared" si="826"/>
        <v>0.53881160000000661</v>
      </c>
      <c r="K215" s="530">
        <v>0</v>
      </c>
      <c r="L215" s="531">
        <f t="shared" si="827"/>
        <v>1</v>
      </c>
      <c r="M215" s="531">
        <f t="shared" si="828"/>
        <v>1</v>
      </c>
      <c r="N215" s="531">
        <f t="shared" si="829"/>
        <v>0</v>
      </c>
      <c r="O215" s="531">
        <f t="shared" si="830"/>
        <v>5.78</v>
      </c>
      <c r="P215" s="532" t="s">
        <v>2392</v>
      </c>
      <c r="Q215" s="539" t="s">
        <v>2965</v>
      </c>
      <c r="R215" s="534"/>
      <c r="S215" s="532">
        <v>5</v>
      </c>
      <c r="T215" s="532">
        <v>5</v>
      </c>
      <c r="U215" s="531">
        <f t="shared" si="831"/>
        <v>0.05</v>
      </c>
      <c r="V215" s="535">
        <f t="shared" si="832"/>
        <v>0</v>
      </c>
      <c r="W215" s="535">
        <f t="shared" si="833"/>
        <v>10.776232000000132</v>
      </c>
      <c r="X215" s="536">
        <f t="shared" si="834"/>
        <v>0</v>
      </c>
      <c r="Y215" s="536">
        <f t="shared" si="835"/>
        <v>0</v>
      </c>
      <c r="Z215" s="536">
        <f t="shared" si="836"/>
        <v>1.8644000000000227</v>
      </c>
      <c r="AA215" s="536">
        <f t="shared" si="837"/>
        <v>0</v>
      </c>
      <c r="AB215" s="496">
        <f t="shared" si="838"/>
        <v>5.78</v>
      </c>
      <c r="AC215" s="251">
        <f t="shared" si="839"/>
        <v>0</v>
      </c>
      <c r="AD215" s="251">
        <f t="shared" si="840"/>
        <v>0</v>
      </c>
      <c r="AE215" s="251">
        <f t="shared" si="841"/>
        <v>0</v>
      </c>
      <c r="AF215" s="251">
        <f t="shared" si="842"/>
        <v>8.67</v>
      </c>
      <c r="AG215" s="251">
        <f t="shared" si="843"/>
        <v>2.1062320000001313</v>
      </c>
      <c r="AH215" s="251">
        <f t="shared" si="844"/>
        <v>0</v>
      </c>
      <c r="AI215" s="497" t="str">
        <f t="shared" si="845"/>
        <v>NÃO</v>
      </c>
      <c r="AJ215" s="531">
        <f t="shared" si="846"/>
        <v>0</v>
      </c>
      <c r="AK215" s="531">
        <f t="shared" si="847"/>
        <v>0</v>
      </c>
      <c r="AL215" s="531">
        <f t="shared" si="848"/>
        <v>10.049895778490171</v>
      </c>
      <c r="AM215" s="493">
        <f t="shared" si="849"/>
        <v>0.28900000000000003</v>
      </c>
      <c r="AN215" s="535">
        <f t="shared" si="850"/>
        <v>0</v>
      </c>
      <c r="AO215" s="531">
        <f t="shared" si="851"/>
        <v>0</v>
      </c>
      <c r="AP215" s="531">
        <f t="shared" si="852"/>
        <v>0</v>
      </c>
      <c r="AQ215" s="531">
        <f t="shared" si="853"/>
        <v>0.7</v>
      </c>
      <c r="AR215" s="531">
        <f t="shared" si="854"/>
        <v>3.3196637784900398</v>
      </c>
      <c r="AS215" s="531">
        <f t="shared" si="855"/>
        <v>0</v>
      </c>
      <c r="AT215" s="531">
        <f t="shared" si="856"/>
        <v>0.86699999999999999</v>
      </c>
      <c r="AU215" s="531">
        <f t="shared" si="857"/>
        <v>0.86699999999999999</v>
      </c>
      <c r="AV215" s="531">
        <f t="shared" si="858"/>
        <v>0.1734</v>
      </c>
      <c r="AW215" s="531">
        <f t="shared" si="859"/>
        <v>4.7072320000001318</v>
      </c>
      <c r="AX215" s="531">
        <f t="shared" si="860"/>
        <v>6.589568221510091</v>
      </c>
      <c r="AY215" s="531">
        <f t="shared" si="861"/>
        <v>4.7072320000001318</v>
      </c>
      <c r="AZ215" s="531">
        <f t="shared" si="862"/>
        <v>0</v>
      </c>
      <c r="BA215" s="531">
        <f t="shared" si="863"/>
        <v>0</v>
      </c>
      <c r="BB215" s="531">
        <f t="shared" si="864"/>
        <v>0</v>
      </c>
      <c r="BC215" s="531"/>
      <c r="BD215" s="531">
        <f t="shared" si="865"/>
        <v>3.4680000000000002E-2</v>
      </c>
      <c r="BE215" s="496">
        <f t="shared" si="866"/>
        <v>1.8644000000000227</v>
      </c>
      <c r="BF215" s="498">
        <f t="shared" si="867"/>
        <v>0</v>
      </c>
      <c r="BG215" s="498">
        <f t="shared" si="868"/>
        <v>5.78</v>
      </c>
      <c r="BH215" s="532" t="str">
        <f>VLOOKUP(A215,'BOCA DE LOBO'!C:I,7,0)</f>
        <v>BOCA DE LOBO PROJETADA TRIPLA</v>
      </c>
      <c r="BI215" s="531">
        <f t="shared" si="869"/>
        <v>0</v>
      </c>
      <c r="BJ215" s="531">
        <f t="shared" si="870"/>
        <v>0</v>
      </c>
      <c r="BK215" s="531">
        <f t="shared" si="871"/>
        <v>0</v>
      </c>
      <c r="BL215" s="531">
        <f t="shared" si="872"/>
        <v>0</v>
      </c>
      <c r="BM215" s="531">
        <f t="shared" si="873"/>
        <v>0</v>
      </c>
      <c r="BN215" s="531">
        <f t="shared" si="874"/>
        <v>0</v>
      </c>
      <c r="BO215" s="499">
        <f t="shared" si="875"/>
        <v>1</v>
      </c>
      <c r="BP215" s="500"/>
      <c r="BQ215" s="496">
        <f t="shared" si="876"/>
        <v>17.34</v>
      </c>
      <c r="BR215" s="496">
        <f t="shared" si="877"/>
        <v>4.2124640000002627</v>
      </c>
      <c r="BS215" s="496">
        <f t="shared" si="878"/>
        <v>0</v>
      </c>
      <c r="BT215" s="501"/>
      <c r="BU215" s="501"/>
      <c r="BV215" s="502">
        <f t="shared" si="879"/>
        <v>16.797963840000232</v>
      </c>
      <c r="BW215" s="502">
        <f t="shared" si="880"/>
        <v>10.376799999999998</v>
      </c>
      <c r="BX215" s="502">
        <f t="shared" si="881"/>
        <v>4.4367999999999999</v>
      </c>
      <c r="BY215" s="502">
        <f t="shared" si="882"/>
        <v>1.6188000000000227</v>
      </c>
      <c r="BZ215" s="502">
        <f t="shared" si="883"/>
        <v>1.6188000000000227</v>
      </c>
      <c r="CA215" s="502">
        <f t="shared" si="884"/>
        <v>0</v>
      </c>
      <c r="CB215" s="502">
        <f t="shared" si="885"/>
        <v>0</v>
      </c>
      <c r="CC215" s="502">
        <f t="shared" si="886"/>
        <v>15.565199999999997</v>
      </c>
      <c r="CD215" s="502">
        <f t="shared" si="887"/>
        <v>1.232763840000235</v>
      </c>
      <c r="CE215" s="502">
        <f t="shared" si="888"/>
        <v>0</v>
      </c>
      <c r="CF215" s="502">
        <f t="shared" si="889"/>
        <v>0</v>
      </c>
      <c r="CG215" s="502">
        <f t="shared" si="890"/>
        <v>0</v>
      </c>
      <c r="CH215" s="502">
        <f t="shared" si="891"/>
        <v>0</v>
      </c>
      <c r="CI215" s="531">
        <f t="shared" si="892"/>
        <v>0.71399999999999997</v>
      </c>
      <c r="CJ215" s="502">
        <f t="shared" si="893"/>
        <v>8.901672000000131</v>
      </c>
      <c r="CK215" s="502">
        <f t="shared" si="894"/>
        <v>8.901672000000131</v>
      </c>
      <c r="CL215" s="502">
        <f t="shared" si="895"/>
        <v>0</v>
      </c>
      <c r="CM215" s="502">
        <f t="shared" si="896"/>
        <v>0</v>
      </c>
      <c r="CN215" s="502">
        <f t="shared" si="897"/>
        <v>4.76</v>
      </c>
      <c r="CO215" s="502">
        <f t="shared" si="898"/>
        <v>1.6188000000000227</v>
      </c>
      <c r="CP215" s="502">
        <f t="shared" si="899"/>
        <v>14.28</v>
      </c>
      <c r="CQ215" s="502">
        <f t="shared" si="900"/>
        <v>1.1309760000002158</v>
      </c>
      <c r="CR215" s="220">
        <f t="shared" si="901"/>
        <v>0</v>
      </c>
      <c r="CS215" s="503">
        <f t="shared" si="902"/>
        <v>0</v>
      </c>
      <c r="CT215" s="503">
        <f t="shared" si="903"/>
        <v>0.45984000000000003</v>
      </c>
      <c r="CU215" s="504">
        <f t="shared" si="904"/>
        <v>11.655360000000163</v>
      </c>
      <c r="CV215" s="504">
        <f t="shared" si="905"/>
        <v>1.6005510000000087</v>
      </c>
      <c r="CW215" s="502">
        <f t="shared" si="906"/>
        <v>21.162280000000219</v>
      </c>
      <c r="CX215" s="531">
        <f t="shared" si="907"/>
        <v>4.76</v>
      </c>
      <c r="CY215" s="537">
        <f t="shared" si="908"/>
        <v>2.38</v>
      </c>
      <c r="CZ215" s="502">
        <f t="shared" si="909"/>
        <v>2.4513847475961154E-2</v>
      </c>
    </row>
    <row r="216" spans="1:104" ht="25" x14ac:dyDescent="0.25">
      <c r="A216" s="413" t="str">
        <f>'BOCA DE LOBO'!C210</f>
        <v>BL125-&gt;PV2-117</v>
      </c>
      <c r="B216" s="413" t="str">
        <f>'BOCA DE LOBO'!A210</f>
        <v>PV2-117</v>
      </c>
      <c r="C216" s="413" t="str">
        <f>VLOOKUP(A216,'BOCA DE LOBO'!$C$82:$Q$270,3,0)</f>
        <v>EXISTENTE</v>
      </c>
      <c r="D216" s="413" t="str">
        <f>VLOOKUP(A216,'BOCA DE LOBO'!$C$82:$Q$270,10,0)</f>
        <v>PROJETADA</v>
      </c>
      <c r="E216" s="413">
        <f t="shared" si="824"/>
        <v>1.5116000000000001</v>
      </c>
      <c r="F216" s="413">
        <f>VLOOKUP(A216,'BOCA DE LOBO'!$C$82:$Q$270,2,0)</f>
        <v>1.75</v>
      </c>
      <c r="G216" s="413">
        <f>VLOOKUP(A216,'BOCA DE LOBO'!$C$82:$Q$270,4,0)</f>
        <v>5.96</v>
      </c>
      <c r="H216" s="412">
        <v>400</v>
      </c>
      <c r="I216" s="493">
        <f t="shared" si="825"/>
        <v>1.7608000000000001</v>
      </c>
      <c r="J216" s="493">
        <f t="shared" si="826"/>
        <v>0.52471840000000003</v>
      </c>
      <c r="K216" s="530">
        <v>0</v>
      </c>
      <c r="L216" s="531">
        <f t="shared" si="827"/>
        <v>1</v>
      </c>
      <c r="M216" s="531">
        <f t="shared" si="828"/>
        <v>1</v>
      </c>
      <c r="N216" s="531">
        <f t="shared" si="829"/>
        <v>0</v>
      </c>
      <c r="O216" s="531">
        <f t="shared" si="830"/>
        <v>5.96</v>
      </c>
      <c r="P216" s="532" t="s">
        <v>2392</v>
      </c>
      <c r="Q216" s="539" t="s">
        <v>2965</v>
      </c>
      <c r="R216" s="534"/>
      <c r="S216" s="532">
        <v>5</v>
      </c>
      <c r="T216" s="532">
        <v>5</v>
      </c>
      <c r="U216" s="531">
        <f t="shared" si="831"/>
        <v>0.05</v>
      </c>
      <c r="V216" s="535">
        <f t="shared" si="832"/>
        <v>0</v>
      </c>
      <c r="W216" s="535">
        <f t="shared" si="833"/>
        <v>10.494368000000001</v>
      </c>
      <c r="X216" s="536">
        <f t="shared" si="834"/>
        <v>0</v>
      </c>
      <c r="Y216" s="536">
        <f t="shared" si="835"/>
        <v>0</v>
      </c>
      <c r="Z216" s="536">
        <f t="shared" si="836"/>
        <v>1.7608000000000001</v>
      </c>
      <c r="AA216" s="536">
        <f t="shared" si="837"/>
        <v>0</v>
      </c>
      <c r="AB216" s="496">
        <f t="shared" si="838"/>
        <v>5.96</v>
      </c>
      <c r="AC216" s="251">
        <f t="shared" si="839"/>
        <v>0</v>
      </c>
      <c r="AD216" s="251">
        <f t="shared" si="840"/>
        <v>0</v>
      </c>
      <c r="AE216" s="251">
        <f t="shared" si="841"/>
        <v>0</v>
      </c>
      <c r="AF216" s="251">
        <f t="shared" si="842"/>
        <v>8.94</v>
      </c>
      <c r="AG216" s="251">
        <f t="shared" si="843"/>
        <v>1.5543680000000009</v>
      </c>
      <c r="AH216" s="251">
        <f t="shared" si="844"/>
        <v>0</v>
      </c>
      <c r="AI216" s="497" t="str">
        <f t="shared" si="845"/>
        <v>NÃO</v>
      </c>
      <c r="AJ216" s="531">
        <f t="shared" si="846"/>
        <v>0</v>
      </c>
      <c r="AK216" s="531">
        <f t="shared" si="847"/>
        <v>0</v>
      </c>
      <c r="AL216" s="531">
        <f t="shared" si="848"/>
        <v>9.7454123113841948</v>
      </c>
      <c r="AM216" s="493">
        <f t="shared" si="849"/>
        <v>0.29799999999999999</v>
      </c>
      <c r="AN216" s="535">
        <f t="shared" si="850"/>
        <v>0</v>
      </c>
      <c r="AO216" s="531">
        <f t="shared" si="851"/>
        <v>0</v>
      </c>
      <c r="AP216" s="531">
        <f t="shared" si="852"/>
        <v>0</v>
      </c>
      <c r="AQ216" s="531">
        <f t="shared" si="853"/>
        <v>0.7</v>
      </c>
      <c r="AR216" s="531">
        <f t="shared" si="854"/>
        <v>3.4230443113841931</v>
      </c>
      <c r="AS216" s="531">
        <f t="shared" si="855"/>
        <v>0</v>
      </c>
      <c r="AT216" s="531">
        <f t="shared" si="856"/>
        <v>0.89400000000000002</v>
      </c>
      <c r="AU216" s="531">
        <f t="shared" si="857"/>
        <v>0.89400000000000002</v>
      </c>
      <c r="AV216" s="531">
        <f t="shared" si="858"/>
        <v>0.17879999999999999</v>
      </c>
      <c r="AW216" s="531">
        <f t="shared" si="859"/>
        <v>4.2363680000000015</v>
      </c>
      <c r="AX216" s="531">
        <f t="shared" si="860"/>
        <v>6.1773236886158065</v>
      </c>
      <c r="AY216" s="531">
        <f t="shared" si="861"/>
        <v>4.2363680000000015</v>
      </c>
      <c r="AZ216" s="531">
        <f t="shared" si="862"/>
        <v>0</v>
      </c>
      <c r="BA216" s="531">
        <f t="shared" si="863"/>
        <v>0</v>
      </c>
      <c r="BB216" s="531">
        <f t="shared" si="864"/>
        <v>0</v>
      </c>
      <c r="BC216" s="531"/>
      <c r="BD216" s="531">
        <f t="shared" si="865"/>
        <v>3.576E-2</v>
      </c>
      <c r="BE216" s="496">
        <f t="shared" si="866"/>
        <v>1.7608000000000001</v>
      </c>
      <c r="BF216" s="498">
        <f t="shared" si="867"/>
        <v>0</v>
      </c>
      <c r="BG216" s="498">
        <f t="shared" si="868"/>
        <v>5.96</v>
      </c>
      <c r="BH216" s="532" t="str">
        <f>VLOOKUP(A216,'BOCA DE LOBO'!C:I,7,0)</f>
        <v>BOCA DE LOBO PROJETADA DUPLA</v>
      </c>
      <c r="BI216" s="531">
        <f t="shared" si="869"/>
        <v>0</v>
      </c>
      <c r="BJ216" s="531">
        <f t="shared" si="870"/>
        <v>0</v>
      </c>
      <c r="BK216" s="531">
        <f t="shared" si="871"/>
        <v>0</v>
      </c>
      <c r="BL216" s="531">
        <f t="shared" si="872"/>
        <v>0</v>
      </c>
      <c r="BM216" s="531">
        <f t="shared" si="873"/>
        <v>0</v>
      </c>
      <c r="BN216" s="531">
        <f t="shared" si="874"/>
        <v>1</v>
      </c>
      <c r="BO216" s="499">
        <f t="shared" si="875"/>
        <v>0</v>
      </c>
      <c r="BP216" s="500"/>
      <c r="BQ216" s="496">
        <f t="shared" si="876"/>
        <v>17.88</v>
      </c>
      <c r="BR216" s="496">
        <f t="shared" si="877"/>
        <v>3.1087360000000017</v>
      </c>
      <c r="BS216" s="496">
        <f t="shared" si="878"/>
        <v>0</v>
      </c>
      <c r="BT216" s="501"/>
      <c r="BU216" s="501"/>
      <c r="BV216" s="502">
        <f t="shared" si="879"/>
        <v>11.764178159999998</v>
      </c>
      <c r="BW216" s="502">
        <f t="shared" si="880"/>
        <v>7.7825999999999986</v>
      </c>
      <c r="BX216" s="502">
        <f t="shared" si="881"/>
        <v>3.0325999999999995</v>
      </c>
      <c r="BY216" s="502">
        <f t="shared" si="882"/>
        <v>1.5116000000000001</v>
      </c>
      <c r="BZ216" s="502">
        <f t="shared" si="883"/>
        <v>1.5116000000000001</v>
      </c>
      <c r="CA216" s="502">
        <f t="shared" si="884"/>
        <v>0</v>
      </c>
      <c r="CB216" s="502">
        <f t="shared" si="885"/>
        <v>0</v>
      </c>
      <c r="CC216" s="502">
        <f t="shared" si="886"/>
        <v>11.673899999999998</v>
      </c>
      <c r="CD216" s="502">
        <f t="shared" si="887"/>
        <v>9.0278160000000413E-2</v>
      </c>
      <c r="CE216" s="502">
        <f t="shared" si="888"/>
        <v>0</v>
      </c>
      <c r="CF216" s="502">
        <f t="shared" si="889"/>
        <v>0</v>
      </c>
      <c r="CG216" s="502">
        <f t="shared" si="890"/>
        <v>0</v>
      </c>
      <c r="CH216" s="502">
        <f t="shared" si="891"/>
        <v>0</v>
      </c>
      <c r="CI216" s="531">
        <f t="shared" si="892"/>
        <v>0.53549999999999998</v>
      </c>
      <c r="CJ216" s="502">
        <f t="shared" si="893"/>
        <v>6.6445999999999987</v>
      </c>
      <c r="CK216" s="502">
        <f t="shared" si="894"/>
        <v>6.6445999999999987</v>
      </c>
      <c r="CL216" s="502">
        <f t="shared" si="895"/>
        <v>0</v>
      </c>
      <c r="CM216" s="502">
        <f t="shared" si="896"/>
        <v>0</v>
      </c>
      <c r="CN216" s="502">
        <f t="shared" si="897"/>
        <v>3.57</v>
      </c>
      <c r="CO216" s="502">
        <f t="shared" si="898"/>
        <v>1.5116000000000001</v>
      </c>
      <c r="CP216" s="502">
        <f t="shared" si="899"/>
        <v>10.709999999999999</v>
      </c>
      <c r="CQ216" s="502">
        <f t="shared" si="900"/>
        <v>8.2824000000000383E-2</v>
      </c>
      <c r="CR216" s="220">
        <f t="shared" si="901"/>
        <v>0</v>
      </c>
      <c r="CS216" s="503">
        <f t="shared" si="902"/>
        <v>0</v>
      </c>
      <c r="CT216" s="503">
        <f t="shared" si="903"/>
        <v>0.33012999999999998</v>
      </c>
      <c r="CU216" s="504">
        <f t="shared" si="904"/>
        <v>7.8603200000000006</v>
      </c>
      <c r="CV216" s="504">
        <f t="shared" si="905"/>
        <v>1.1364996000000001</v>
      </c>
      <c r="CW216" s="502">
        <f t="shared" si="906"/>
        <v>15.657288000000003</v>
      </c>
      <c r="CX216" s="531">
        <f t="shared" si="907"/>
        <v>3.57</v>
      </c>
      <c r="CY216" s="537">
        <f t="shared" si="908"/>
        <v>1.7849999999999999</v>
      </c>
      <c r="CZ216" s="502">
        <f t="shared" si="909"/>
        <v>2.4513847475961154E-2</v>
      </c>
    </row>
    <row r="217" spans="1:104" ht="25" x14ac:dyDescent="0.25">
      <c r="A217" s="413" t="str">
        <f>'BOCA DE LOBO'!C211</f>
        <v>BL126-&gt;PV3-117</v>
      </c>
      <c r="B217" s="413" t="str">
        <f>'BOCA DE LOBO'!A211</f>
        <v>PV3-117</v>
      </c>
      <c r="C217" s="413" t="str">
        <f>VLOOKUP(A217,'BOCA DE LOBO'!$C$82:$Q$270,3,0)</f>
        <v>EXISTENTE</v>
      </c>
      <c r="D217" s="413" t="str">
        <f>VLOOKUP(A217,'BOCA DE LOBO'!$C$82:$Q$270,10,0)</f>
        <v>PROJETADA</v>
      </c>
      <c r="E217" s="413">
        <f t="shared" si="824"/>
        <v>1.6615999999999773</v>
      </c>
      <c r="F217" s="413">
        <f>VLOOKUP(A217,'BOCA DE LOBO'!$C$82:$Q$270,2,0)</f>
        <v>1.8999999999999773</v>
      </c>
      <c r="G217" s="413">
        <f>VLOOKUP(A217,'BOCA DE LOBO'!$C$82:$Q$270,4,0)</f>
        <v>5.96</v>
      </c>
      <c r="H217" s="412">
        <v>400</v>
      </c>
      <c r="I217" s="493">
        <f t="shared" si="825"/>
        <v>1.9107999999999774</v>
      </c>
      <c r="J217" s="493">
        <f t="shared" si="826"/>
        <v>0.56941839999999322</v>
      </c>
      <c r="K217" s="530">
        <v>0</v>
      </c>
      <c r="L217" s="531">
        <f t="shared" si="827"/>
        <v>1</v>
      </c>
      <c r="M217" s="531">
        <f t="shared" si="828"/>
        <v>1</v>
      </c>
      <c r="N217" s="531">
        <f t="shared" si="829"/>
        <v>0</v>
      </c>
      <c r="O217" s="531">
        <f t="shared" si="830"/>
        <v>5.96</v>
      </c>
      <c r="P217" s="532" t="s">
        <v>2392</v>
      </c>
      <c r="Q217" s="539" t="s">
        <v>2964</v>
      </c>
      <c r="R217" s="534"/>
      <c r="S217" s="532">
        <v>4</v>
      </c>
      <c r="T217" s="532">
        <v>5</v>
      </c>
      <c r="U217" s="531">
        <f t="shared" si="831"/>
        <v>0.05</v>
      </c>
      <c r="V217" s="535">
        <f t="shared" si="832"/>
        <v>0</v>
      </c>
      <c r="W217" s="535">
        <f t="shared" si="833"/>
        <v>11.388367999999865</v>
      </c>
      <c r="X217" s="536">
        <f t="shared" si="834"/>
        <v>0</v>
      </c>
      <c r="Y217" s="536">
        <f t="shared" si="835"/>
        <v>0</v>
      </c>
      <c r="Z217" s="536">
        <f t="shared" si="836"/>
        <v>1.9107999999999774</v>
      </c>
      <c r="AA217" s="536">
        <f t="shared" si="837"/>
        <v>0</v>
      </c>
      <c r="AB217" s="496">
        <f t="shared" si="838"/>
        <v>5.96</v>
      </c>
      <c r="AC217" s="251">
        <f t="shared" si="839"/>
        <v>0</v>
      </c>
      <c r="AD217" s="251">
        <f t="shared" si="840"/>
        <v>0</v>
      </c>
      <c r="AE217" s="251">
        <f t="shared" si="841"/>
        <v>0</v>
      </c>
      <c r="AF217" s="251">
        <f t="shared" si="842"/>
        <v>8.94</v>
      </c>
      <c r="AG217" s="251">
        <f t="shared" si="843"/>
        <v>2.4483679999998653</v>
      </c>
      <c r="AH217" s="251">
        <f t="shared" si="844"/>
        <v>0</v>
      </c>
      <c r="AI217" s="497" t="str">
        <f t="shared" si="845"/>
        <v>NÃO</v>
      </c>
      <c r="AJ217" s="531">
        <f t="shared" si="846"/>
        <v>0</v>
      </c>
      <c r="AK217" s="531">
        <f t="shared" si="847"/>
        <v>0</v>
      </c>
      <c r="AL217" s="531">
        <f t="shared" si="848"/>
        <v>10.639412311384058</v>
      </c>
      <c r="AM217" s="493">
        <f t="shared" si="849"/>
        <v>0.29799999999999999</v>
      </c>
      <c r="AN217" s="535">
        <f t="shared" si="850"/>
        <v>0</v>
      </c>
      <c r="AO217" s="531">
        <f t="shared" si="851"/>
        <v>0</v>
      </c>
      <c r="AP217" s="531">
        <f t="shared" si="852"/>
        <v>0</v>
      </c>
      <c r="AQ217" s="531">
        <f t="shared" si="853"/>
        <v>0.7</v>
      </c>
      <c r="AR217" s="531">
        <f t="shared" si="854"/>
        <v>3.4230443113841931</v>
      </c>
      <c r="AS217" s="531">
        <f t="shared" si="855"/>
        <v>0</v>
      </c>
      <c r="AT217" s="531">
        <f t="shared" si="856"/>
        <v>0.89400000000000002</v>
      </c>
      <c r="AU217" s="531">
        <f t="shared" si="857"/>
        <v>0.89400000000000002</v>
      </c>
      <c r="AV217" s="531">
        <f t="shared" si="858"/>
        <v>0.17879999999999999</v>
      </c>
      <c r="AW217" s="531">
        <f t="shared" si="859"/>
        <v>5.1303679999998648</v>
      </c>
      <c r="AX217" s="531">
        <f t="shared" si="860"/>
        <v>7.0713236886156716</v>
      </c>
      <c r="AY217" s="531">
        <f t="shared" si="861"/>
        <v>5.1303679999998648</v>
      </c>
      <c r="AZ217" s="531">
        <f t="shared" si="862"/>
        <v>0</v>
      </c>
      <c r="BA217" s="531">
        <f t="shared" si="863"/>
        <v>0</v>
      </c>
      <c r="BB217" s="531">
        <f t="shared" si="864"/>
        <v>0</v>
      </c>
      <c r="BC217" s="531"/>
      <c r="BD217" s="531">
        <f t="shared" si="865"/>
        <v>3.576E-2</v>
      </c>
      <c r="BE217" s="496">
        <f t="shared" si="866"/>
        <v>1.9107999999999774</v>
      </c>
      <c r="BF217" s="498">
        <f t="shared" si="867"/>
        <v>0</v>
      </c>
      <c r="BG217" s="498">
        <f t="shared" si="868"/>
        <v>5.96</v>
      </c>
      <c r="BH217" s="532" t="str">
        <f>VLOOKUP(A217,'BOCA DE LOBO'!C:I,7,0)</f>
        <v>BOCA DE LOBO PROJETADA DUPLA</v>
      </c>
      <c r="BI217" s="531">
        <f t="shared" si="869"/>
        <v>0</v>
      </c>
      <c r="BJ217" s="531">
        <f t="shared" si="870"/>
        <v>0</v>
      </c>
      <c r="BK217" s="531">
        <f t="shared" si="871"/>
        <v>0</v>
      </c>
      <c r="BL217" s="531">
        <f t="shared" si="872"/>
        <v>0</v>
      </c>
      <c r="BM217" s="531">
        <f t="shared" si="873"/>
        <v>0</v>
      </c>
      <c r="BN217" s="531">
        <f t="shared" si="874"/>
        <v>1</v>
      </c>
      <c r="BO217" s="499">
        <f t="shared" si="875"/>
        <v>0</v>
      </c>
      <c r="BP217" s="500"/>
      <c r="BQ217" s="496">
        <f t="shared" si="876"/>
        <v>17.88</v>
      </c>
      <c r="BR217" s="496">
        <f t="shared" si="877"/>
        <v>4.8967359999997306</v>
      </c>
      <c r="BS217" s="496">
        <f t="shared" si="878"/>
        <v>0</v>
      </c>
      <c r="BT217" s="501"/>
      <c r="BU217" s="501"/>
      <c r="BV217" s="502">
        <f t="shared" si="879"/>
        <v>12.931568159999822</v>
      </c>
      <c r="BW217" s="502">
        <f t="shared" si="880"/>
        <v>7.7825999999999986</v>
      </c>
      <c r="BX217" s="502">
        <f t="shared" si="881"/>
        <v>3.0325999999999995</v>
      </c>
      <c r="BY217" s="502">
        <f t="shared" si="882"/>
        <v>1.6615999999999773</v>
      </c>
      <c r="BZ217" s="502">
        <f t="shared" si="883"/>
        <v>1.6615999999999773</v>
      </c>
      <c r="CA217" s="502">
        <f t="shared" si="884"/>
        <v>0</v>
      </c>
      <c r="CB217" s="502">
        <f t="shared" si="885"/>
        <v>0</v>
      </c>
      <c r="CC217" s="502">
        <f t="shared" si="886"/>
        <v>11.673899999999998</v>
      </c>
      <c r="CD217" s="502">
        <f t="shared" si="887"/>
        <v>1.2576681599998232</v>
      </c>
      <c r="CE217" s="502">
        <f t="shared" si="888"/>
        <v>0</v>
      </c>
      <c r="CF217" s="502">
        <f t="shared" si="889"/>
        <v>0</v>
      </c>
      <c r="CG217" s="502">
        <f t="shared" si="890"/>
        <v>0</v>
      </c>
      <c r="CH217" s="502">
        <f t="shared" si="891"/>
        <v>0</v>
      </c>
      <c r="CI217" s="531">
        <f t="shared" si="892"/>
        <v>0.53549999999999998</v>
      </c>
      <c r="CJ217" s="502">
        <f t="shared" si="893"/>
        <v>7.3570999999998907</v>
      </c>
      <c r="CK217" s="502">
        <f t="shared" si="894"/>
        <v>7.3570999999998907</v>
      </c>
      <c r="CL217" s="502">
        <f t="shared" si="895"/>
        <v>0</v>
      </c>
      <c r="CM217" s="502">
        <f t="shared" si="896"/>
        <v>0</v>
      </c>
      <c r="CN217" s="502">
        <f t="shared" si="897"/>
        <v>3.57</v>
      </c>
      <c r="CO217" s="502">
        <f t="shared" si="898"/>
        <v>1.6615999999999773</v>
      </c>
      <c r="CP217" s="502">
        <f t="shared" si="899"/>
        <v>10.709999999999999</v>
      </c>
      <c r="CQ217" s="502">
        <f t="shared" si="900"/>
        <v>1.1538239999998381</v>
      </c>
      <c r="CR217" s="220">
        <f t="shared" si="901"/>
        <v>0</v>
      </c>
      <c r="CS217" s="503">
        <f t="shared" si="902"/>
        <v>0</v>
      </c>
      <c r="CT217" s="503">
        <f t="shared" si="903"/>
        <v>0.33012999999999998</v>
      </c>
      <c r="CU217" s="504">
        <f t="shared" si="904"/>
        <v>8.6403199999998819</v>
      </c>
      <c r="CV217" s="504">
        <f t="shared" si="905"/>
        <v>1.182399599999993</v>
      </c>
      <c r="CW217" s="502">
        <f t="shared" si="906"/>
        <v>16.809287999999825</v>
      </c>
      <c r="CX217" s="531">
        <f t="shared" si="907"/>
        <v>3.57</v>
      </c>
      <c r="CY217" s="537">
        <f t="shared" si="908"/>
        <v>1.7849999999999999</v>
      </c>
      <c r="CZ217" s="502">
        <f t="shared" si="909"/>
        <v>2.4513847475961154E-2</v>
      </c>
    </row>
    <row r="218" spans="1:104" ht="25" x14ac:dyDescent="0.25">
      <c r="A218" s="413" t="str">
        <f>'BOCA DE LOBO'!C212</f>
        <v>BL127-&gt;PV1-119</v>
      </c>
      <c r="B218" s="413" t="str">
        <f>'BOCA DE LOBO'!A212</f>
        <v>PV1-119</v>
      </c>
      <c r="C218" s="413" t="str">
        <f>VLOOKUP(A218,'BOCA DE LOBO'!$C$82:$Q$270,3,0)</f>
        <v>EXISTENTE</v>
      </c>
      <c r="D218" s="413" t="str">
        <f>VLOOKUP(A218,'BOCA DE LOBO'!$C$82:$Q$270,10,0)</f>
        <v>PROJETADA</v>
      </c>
      <c r="E218" s="413">
        <f t="shared" si="824"/>
        <v>1.5232000000000001</v>
      </c>
      <c r="F218" s="413">
        <f>VLOOKUP(A218,'BOCA DE LOBO'!$C$82:$Q$270,2,0)</f>
        <v>1.75</v>
      </c>
      <c r="G218" s="413">
        <f>VLOOKUP(A218,'BOCA DE LOBO'!$C$82:$Q$270,4,0)</f>
        <v>5.67</v>
      </c>
      <c r="H218" s="412">
        <v>400</v>
      </c>
      <c r="I218" s="493">
        <f t="shared" si="825"/>
        <v>1.7666000000000002</v>
      </c>
      <c r="J218" s="493">
        <f t="shared" si="826"/>
        <v>0.50083110000000008</v>
      </c>
      <c r="K218" s="530">
        <v>0</v>
      </c>
      <c r="L218" s="531">
        <f t="shared" si="827"/>
        <v>1</v>
      </c>
      <c r="M218" s="531">
        <f t="shared" si="828"/>
        <v>1</v>
      </c>
      <c r="N218" s="531">
        <f t="shared" si="829"/>
        <v>0</v>
      </c>
      <c r="O218" s="531">
        <f t="shared" si="830"/>
        <v>5.67</v>
      </c>
      <c r="P218" s="532" t="s">
        <v>2392</v>
      </c>
      <c r="Q218" s="539" t="s">
        <v>2963</v>
      </c>
      <c r="R218" s="534"/>
      <c r="S218" s="532">
        <v>5</v>
      </c>
      <c r="T218" s="532">
        <v>5</v>
      </c>
      <c r="U218" s="531">
        <f t="shared" si="831"/>
        <v>0.05</v>
      </c>
      <c r="V218" s="535">
        <f t="shared" si="832"/>
        <v>0</v>
      </c>
      <c r="W218" s="535">
        <f t="shared" si="833"/>
        <v>10.016622000000002</v>
      </c>
      <c r="X218" s="536">
        <f t="shared" si="834"/>
        <v>0</v>
      </c>
      <c r="Y218" s="536">
        <f t="shared" si="835"/>
        <v>0</v>
      </c>
      <c r="Z218" s="536">
        <f t="shared" si="836"/>
        <v>1.7666000000000002</v>
      </c>
      <c r="AA218" s="536">
        <f t="shared" si="837"/>
        <v>0</v>
      </c>
      <c r="AB218" s="496">
        <f t="shared" si="838"/>
        <v>5.67</v>
      </c>
      <c r="AC218" s="251">
        <f t="shared" si="839"/>
        <v>0</v>
      </c>
      <c r="AD218" s="251">
        <f t="shared" si="840"/>
        <v>0</v>
      </c>
      <c r="AE218" s="251">
        <f t="shared" si="841"/>
        <v>0</v>
      </c>
      <c r="AF218" s="251">
        <f t="shared" si="842"/>
        <v>8.504999999999999</v>
      </c>
      <c r="AG218" s="251">
        <f t="shared" si="843"/>
        <v>1.5116220000000009</v>
      </c>
      <c r="AH218" s="251">
        <f t="shared" si="844"/>
        <v>0</v>
      </c>
      <c r="AI218" s="497" t="str">
        <f t="shared" si="845"/>
        <v>NÃO</v>
      </c>
      <c r="AJ218" s="531">
        <f t="shared" si="846"/>
        <v>0</v>
      </c>
      <c r="AK218" s="531">
        <f t="shared" si="847"/>
        <v>0</v>
      </c>
      <c r="AL218" s="531">
        <f t="shared" si="848"/>
        <v>9.3041087861658358</v>
      </c>
      <c r="AM218" s="493">
        <f t="shared" si="849"/>
        <v>0.28350000000000003</v>
      </c>
      <c r="AN218" s="535">
        <f t="shared" si="850"/>
        <v>0</v>
      </c>
      <c r="AO218" s="531">
        <f t="shared" si="851"/>
        <v>0</v>
      </c>
      <c r="AP218" s="531">
        <f t="shared" si="852"/>
        <v>0</v>
      </c>
      <c r="AQ218" s="531">
        <f t="shared" si="853"/>
        <v>0.7</v>
      </c>
      <c r="AR218" s="531">
        <f t="shared" si="854"/>
        <v>3.2564867861658349</v>
      </c>
      <c r="AS218" s="531">
        <f t="shared" si="855"/>
        <v>0</v>
      </c>
      <c r="AT218" s="531">
        <f t="shared" si="856"/>
        <v>0.85049999999999992</v>
      </c>
      <c r="AU218" s="531">
        <f t="shared" si="857"/>
        <v>0.85049999999999992</v>
      </c>
      <c r="AV218" s="531">
        <f t="shared" si="858"/>
        <v>0.1701</v>
      </c>
      <c r="AW218" s="531">
        <f t="shared" si="859"/>
        <v>4.0631219999999999</v>
      </c>
      <c r="AX218" s="531">
        <f t="shared" si="860"/>
        <v>5.9096352138341643</v>
      </c>
      <c r="AY218" s="531">
        <f t="shared" si="861"/>
        <v>4.0631219999999999</v>
      </c>
      <c r="AZ218" s="531">
        <f t="shared" si="862"/>
        <v>0</v>
      </c>
      <c r="BA218" s="531">
        <f t="shared" si="863"/>
        <v>0</v>
      </c>
      <c r="BB218" s="531">
        <f t="shared" si="864"/>
        <v>0</v>
      </c>
      <c r="BC218" s="531"/>
      <c r="BD218" s="531">
        <f t="shared" si="865"/>
        <v>3.4019999999999995E-2</v>
      </c>
      <c r="BE218" s="496">
        <f t="shared" si="866"/>
        <v>1.7666000000000002</v>
      </c>
      <c r="BF218" s="498">
        <f t="shared" si="867"/>
        <v>0</v>
      </c>
      <c r="BG218" s="498">
        <f t="shared" si="868"/>
        <v>5.67</v>
      </c>
      <c r="BH218" s="532" t="str">
        <f>VLOOKUP(A218,'BOCA DE LOBO'!C:I,7,0)</f>
        <v>BOCA DE LOBO PROJETADA TRIPLA</v>
      </c>
      <c r="BI218" s="531">
        <f t="shared" si="869"/>
        <v>0</v>
      </c>
      <c r="BJ218" s="531">
        <f t="shared" si="870"/>
        <v>0</v>
      </c>
      <c r="BK218" s="531">
        <f t="shared" si="871"/>
        <v>0</v>
      </c>
      <c r="BL218" s="531">
        <f t="shared" si="872"/>
        <v>0</v>
      </c>
      <c r="BM218" s="531">
        <f t="shared" si="873"/>
        <v>0</v>
      </c>
      <c r="BN218" s="531">
        <f t="shared" si="874"/>
        <v>0</v>
      </c>
      <c r="BO218" s="499">
        <f t="shared" si="875"/>
        <v>1</v>
      </c>
      <c r="BP218" s="500"/>
      <c r="BQ218" s="496">
        <f t="shared" si="876"/>
        <v>17.009999999999998</v>
      </c>
      <c r="BR218" s="496">
        <f t="shared" si="877"/>
        <v>3.0232440000000018</v>
      </c>
      <c r="BS218" s="496">
        <f t="shared" si="878"/>
        <v>0</v>
      </c>
      <c r="BT218" s="501"/>
      <c r="BU218" s="501"/>
      <c r="BV218" s="502">
        <f t="shared" si="879"/>
        <v>15.805941759999998</v>
      </c>
      <c r="BW218" s="502">
        <f t="shared" si="880"/>
        <v>10.376799999999998</v>
      </c>
      <c r="BX218" s="502">
        <f t="shared" si="881"/>
        <v>4.4367999999999999</v>
      </c>
      <c r="BY218" s="502">
        <f t="shared" si="882"/>
        <v>1.5232000000000001</v>
      </c>
      <c r="BZ218" s="502">
        <f t="shared" si="883"/>
        <v>1.5232000000000001</v>
      </c>
      <c r="CA218" s="502">
        <f t="shared" si="884"/>
        <v>0</v>
      </c>
      <c r="CB218" s="502">
        <f t="shared" si="885"/>
        <v>0</v>
      </c>
      <c r="CC218" s="502">
        <f t="shared" si="886"/>
        <v>15.565199999999997</v>
      </c>
      <c r="CD218" s="502">
        <f t="shared" si="887"/>
        <v>0.24074176000000108</v>
      </c>
      <c r="CE218" s="502">
        <f t="shared" si="888"/>
        <v>0</v>
      </c>
      <c r="CF218" s="502">
        <f t="shared" si="889"/>
        <v>0</v>
      </c>
      <c r="CG218" s="502">
        <f t="shared" si="890"/>
        <v>0</v>
      </c>
      <c r="CH218" s="502">
        <f t="shared" si="891"/>
        <v>0</v>
      </c>
      <c r="CI218" s="531">
        <f t="shared" si="892"/>
        <v>0.71399999999999997</v>
      </c>
      <c r="CJ218" s="502">
        <f t="shared" si="893"/>
        <v>8.3338079999999977</v>
      </c>
      <c r="CK218" s="502">
        <f t="shared" si="894"/>
        <v>8.3338079999999977</v>
      </c>
      <c r="CL218" s="502">
        <f t="shared" si="895"/>
        <v>0</v>
      </c>
      <c r="CM218" s="502">
        <f t="shared" si="896"/>
        <v>0</v>
      </c>
      <c r="CN218" s="502">
        <f t="shared" si="897"/>
        <v>4.76</v>
      </c>
      <c r="CO218" s="502">
        <f t="shared" si="898"/>
        <v>1.5232000000000001</v>
      </c>
      <c r="CP218" s="502">
        <f t="shared" si="899"/>
        <v>14.28</v>
      </c>
      <c r="CQ218" s="502">
        <f t="shared" si="900"/>
        <v>0.22086400000000103</v>
      </c>
      <c r="CR218" s="220">
        <f t="shared" si="901"/>
        <v>0</v>
      </c>
      <c r="CS218" s="503">
        <f t="shared" si="902"/>
        <v>0</v>
      </c>
      <c r="CT218" s="503">
        <f t="shared" si="903"/>
        <v>0.45984000000000003</v>
      </c>
      <c r="CU218" s="504">
        <f t="shared" si="904"/>
        <v>10.967040000000001</v>
      </c>
      <c r="CV218" s="504">
        <f t="shared" si="905"/>
        <v>1.563984</v>
      </c>
      <c r="CW218" s="502">
        <f t="shared" si="906"/>
        <v>20.244520000000001</v>
      </c>
      <c r="CX218" s="531">
        <f t="shared" si="907"/>
        <v>4.76</v>
      </c>
      <c r="CY218" s="537">
        <f t="shared" si="908"/>
        <v>2.38</v>
      </c>
      <c r="CZ218" s="502">
        <f t="shared" si="909"/>
        <v>2.4513847475961154E-2</v>
      </c>
    </row>
    <row r="219" spans="1:104" ht="25" x14ac:dyDescent="0.25">
      <c r="A219" s="413" t="str">
        <f>'BOCA DE LOBO'!C213</f>
        <v>BL128-&gt;PV2-119</v>
      </c>
      <c r="B219" s="413" t="str">
        <f>'BOCA DE LOBO'!A213</f>
        <v>PV2-119</v>
      </c>
      <c r="C219" s="413" t="str">
        <f>VLOOKUP(A219,'BOCA DE LOBO'!$C$82:$Q$270,3,0)</f>
        <v>EXISTENTE</v>
      </c>
      <c r="D219" s="413" t="str">
        <f>VLOOKUP(A219,'BOCA DE LOBO'!$C$82:$Q$270,10,0)</f>
        <v>PROJETADA</v>
      </c>
      <c r="E219" s="413">
        <f t="shared" si="824"/>
        <v>1.6588000000000045</v>
      </c>
      <c r="F219" s="413">
        <f>VLOOKUP(A219,'BOCA DE LOBO'!$C$82:$Q$270,2,0)</f>
        <v>1.8700000000000045</v>
      </c>
      <c r="G219" s="413">
        <f>VLOOKUP(A219,'BOCA DE LOBO'!$C$82:$Q$270,4,0)</f>
        <v>5.28</v>
      </c>
      <c r="H219" s="412">
        <v>400</v>
      </c>
      <c r="I219" s="493">
        <f t="shared" si="825"/>
        <v>1.8944000000000047</v>
      </c>
      <c r="J219" s="493">
        <f t="shared" si="826"/>
        <v>0.50012160000000128</v>
      </c>
      <c r="K219" s="530">
        <v>0</v>
      </c>
      <c r="L219" s="531">
        <f t="shared" si="827"/>
        <v>1</v>
      </c>
      <c r="M219" s="531">
        <f t="shared" si="828"/>
        <v>1</v>
      </c>
      <c r="N219" s="531">
        <f t="shared" si="829"/>
        <v>0</v>
      </c>
      <c r="O219" s="531">
        <f t="shared" si="830"/>
        <v>5.28</v>
      </c>
      <c r="P219" s="532" t="s">
        <v>2392</v>
      </c>
      <c r="Q219" s="539" t="s">
        <v>2963</v>
      </c>
      <c r="R219" s="534"/>
      <c r="S219" s="532">
        <v>5</v>
      </c>
      <c r="T219" s="532">
        <v>5</v>
      </c>
      <c r="U219" s="531">
        <f t="shared" si="831"/>
        <v>0.05</v>
      </c>
      <c r="V219" s="535">
        <f t="shared" si="832"/>
        <v>0</v>
      </c>
      <c r="W219" s="535">
        <f t="shared" si="833"/>
        <v>10.002432000000026</v>
      </c>
      <c r="X219" s="536">
        <f t="shared" si="834"/>
        <v>0</v>
      </c>
      <c r="Y219" s="536">
        <f t="shared" si="835"/>
        <v>0</v>
      </c>
      <c r="Z219" s="536">
        <f t="shared" si="836"/>
        <v>1.8944000000000047</v>
      </c>
      <c r="AA219" s="536">
        <f t="shared" si="837"/>
        <v>0</v>
      </c>
      <c r="AB219" s="496">
        <f t="shared" si="838"/>
        <v>5.28</v>
      </c>
      <c r="AC219" s="251">
        <f t="shared" si="839"/>
        <v>0</v>
      </c>
      <c r="AD219" s="251">
        <f t="shared" si="840"/>
        <v>0</v>
      </c>
      <c r="AE219" s="251">
        <f t="shared" si="841"/>
        <v>0</v>
      </c>
      <c r="AF219" s="251">
        <f t="shared" si="842"/>
        <v>7.92</v>
      </c>
      <c r="AG219" s="251">
        <f t="shared" si="843"/>
        <v>2.0824320000000252</v>
      </c>
      <c r="AH219" s="251">
        <f t="shared" si="844"/>
        <v>0</v>
      </c>
      <c r="AI219" s="497" t="str">
        <f t="shared" si="845"/>
        <v>NÃO</v>
      </c>
      <c r="AJ219" s="531">
        <f t="shared" si="846"/>
        <v>0</v>
      </c>
      <c r="AK219" s="531">
        <f t="shared" si="847"/>
        <v>0</v>
      </c>
      <c r="AL219" s="531">
        <f t="shared" si="848"/>
        <v>9.3389276315618606</v>
      </c>
      <c r="AM219" s="493">
        <f t="shared" si="849"/>
        <v>0.26400000000000001</v>
      </c>
      <c r="AN219" s="535">
        <f t="shared" si="850"/>
        <v>0</v>
      </c>
      <c r="AO219" s="531">
        <f t="shared" si="851"/>
        <v>0</v>
      </c>
      <c r="AP219" s="531">
        <f t="shared" si="852"/>
        <v>0</v>
      </c>
      <c r="AQ219" s="531">
        <f t="shared" si="853"/>
        <v>0.7</v>
      </c>
      <c r="AR219" s="531">
        <f t="shared" si="854"/>
        <v>3.0324956315618352</v>
      </c>
      <c r="AS219" s="531">
        <f t="shared" si="855"/>
        <v>0</v>
      </c>
      <c r="AT219" s="531">
        <f t="shared" si="856"/>
        <v>0.79200000000000004</v>
      </c>
      <c r="AU219" s="531">
        <f t="shared" si="857"/>
        <v>0.79200000000000004</v>
      </c>
      <c r="AV219" s="531">
        <f t="shared" si="858"/>
        <v>0.15840000000000001</v>
      </c>
      <c r="AW219" s="531">
        <f t="shared" si="859"/>
        <v>4.4584320000000268</v>
      </c>
      <c r="AX219" s="531">
        <f t="shared" si="860"/>
        <v>6.1779363684381909</v>
      </c>
      <c r="AY219" s="531">
        <f t="shared" si="861"/>
        <v>4.4584320000000268</v>
      </c>
      <c r="AZ219" s="531">
        <f t="shared" si="862"/>
        <v>0</v>
      </c>
      <c r="BA219" s="531">
        <f t="shared" si="863"/>
        <v>0</v>
      </c>
      <c r="BB219" s="531">
        <f t="shared" si="864"/>
        <v>0</v>
      </c>
      <c r="BC219" s="531"/>
      <c r="BD219" s="531">
        <f t="shared" si="865"/>
        <v>3.168E-2</v>
      </c>
      <c r="BE219" s="496">
        <f t="shared" si="866"/>
        <v>1.8944000000000047</v>
      </c>
      <c r="BF219" s="498">
        <f t="shared" si="867"/>
        <v>0</v>
      </c>
      <c r="BG219" s="498">
        <f t="shared" si="868"/>
        <v>5.28</v>
      </c>
      <c r="BH219" s="532" t="str">
        <f>VLOOKUP(A219,'BOCA DE LOBO'!C:I,7,0)</f>
        <v>BOCA DE LOBO PROJETADA DUPLA</v>
      </c>
      <c r="BI219" s="531">
        <f t="shared" si="869"/>
        <v>0</v>
      </c>
      <c r="BJ219" s="531">
        <f t="shared" si="870"/>
        <v>0</v>
      </c>
      <c r="BK219" s="531">
        <f t="shared" si="871"/>
        <v>0</v>
      </c>
      <c r="BL219" s="531">
        <f t="shared" si="872"/>
        <v>0</v>
      </c>
      <c r="BM219" s="531">
        <f t="shared" si="873"/>
        <v>0</v>
      </c>
      <c r="BN219" s="531">
        <f t="shared" si="874"/>
        <v>1</v>
      </c>
      <c r="BO219" s="499">
        <f t="shared" si="875"/>
        <v>0</v>
      </c>
      <c r="BP219" s="500"/>
      <c r="BQ219" s="496">
        <f t="shared" si="876"/>
        <v>15.84</v>
      </c>
      <c r="BR219" s="496">
        <f t="shared" si="877"/>
        <v>4.1648640000000503</v>
      </c>
      <c r="BS219" s="496">
        <f t="shared" si="878"/>
        <v>0</v>
      </c>
      <c r="BT219" s="501"/>
      <c r="BU219" s="501"/>
      <c r="BV219" s="502">
        <f t="shared" si="879"/>
        <v>12.909776880000033</v>
      </c>
      <c r="BW219" s="502">
        <f t="shared" si="880"/>
        <v>7.7825999999999986</v>
      </c>
      <c r="BX219" s="502">
        <f t="shared" si="881"/>
        <v>3.0325999999999995</v>
      </c>
      <c r="BY219" s="502">
        <f t="shared" si="882"/>
        <v>1.6588000000000045</v>
      </c>
      <c r="BZ219" s="502">
        <f t="shared" si="883"/>
        <v>1.6588000000000045</v>
      </c>
      <c r="CA219" s="502">
        <f t="shared" si="884"/>
        <v>0</v>
      </c>
      <c r="CB219" s="502">
        <f t="shared" si="885"/>
        <v>0</v>
      </c>
      <c r="CC219" s="502">
        <f t="shared" si="886"/>
        <v>11.673899999999998</v>
      </c>
      <c r="CD219" s="502">
        <f t="shared" si="887"/>
        <v>1.2358768800000348</v>
      </c>
      <c r="CE219" s="502">
        <f t="shared" si="888"/>
        <v>0</v>
      </c>
      <c r="CF219" s="502">
        <f t="shared" si="889"/>
        <v>0</v>
      </c>
      <c r="CG219" s="502">
        <f t="shared" si="890"/>
        <v>0</v>
      </c>
      <c r="CH219" s="502">
        <f t="shared" si="891"/>
        <v>0</v>
      </c>
      <c r="CI219" s="531">
        <f t="shared" si="892"/>
        <v>0.53549999999999998</v>
      </c>
      <c r="CJ219" s="502">
        <f t="shared" si="893"/>
        <v>7.3438000000000203</v>
      </c>
      <c r="CK219" s="502">
        <f t="shared" si="894"/>
        <v>7.3438000000000203</v>
      </c>
      <c r="CL219" s="502">
        <f t="shared" si="895"/>
        <v>0</v>
      </c>
      <c r="CM219" s="502">
        <f t="shared" si="896"/>
        <v>0</v>
      </c>
      <c r="CN219" s="502">
        <f t="shared" si="897"/>
        <v>3.57</v>
      </c>
      <c r="CO219" s="502">
        <f t="shared" si="898"/>
        <v>1.6588000000000045</v>
      </c>
      <c r="CP219" s="502">
        <f t="shared" si="899"/>
        <v>10.709999999999999</v>
      </c>
      <c r="CQ219" s="502">
        <f t="shared" si="900"/>
        <v>1.1338320000000319</v>
      </c>
      <c r="CR219" s="220">
        <f t="shared" si="901"/>
        <v>0</v>
      </c>
      <c r="CS219" s="503">
        <f t="shared" si="902"/>
        <v>0</v>
      </c>
      <c r="CT219" s="503">
        <f t="shared" si="903"/>
        <v>0.33012999999999998</v>
      </c>
      <c r="CU219" s="504">
        <f t="shared" si="904"/>
        <v>8.6257600000000245</v>
      </c>
      <c r="CV219" s="504">
        <f t="shared" si="905"/>
        <v>1.1815428000000012</v>
      </c>
      <c r="CW219" s="502">
        <f t="shared" si="906"/>
        <v>16.787784000000034</v>
      </c>
      <c r="CX219" s="531">
        <f t="shared" si="907"/>
        <v>3.57</v>
      </c>
      <c r="CY219" s="537">
        <f t="shared" si="908"/>
        <v>1.7849999999999999</v>
      </c>
      <c r="CZ219" s="502">
        <f t="shared" si="909"/>
        <v>2.4513847475961154E-2</v>
      </c>
    </row>
    <row r="220" spans="1:104" ht="25" x14ac:dyDescent="0.25">
      <c r="A220" s="413" t="str">
        <f>'BOCA DE LOBO'!C214</f>
        <v>BL129-&gt;PV3-119</v>
      </c>
      <c r="B220" s="413" t="str">
        <f>'BOCA DE LOBO'!A214</f>
        <v>PV3-119</v>
      </c>
      <c r="C220" s="413" t="str">
        <f>VLOOKUP(A220,'BOCA DE LOBO'!$C$82:$Q$270,3,0)</f>
        <v>EXISTENTE</v>
      </c>
      <c r="D220" s="413" t="str">
        <f>VLOOKUP(A220,'BOCA DE LOBO'!$C$82:$Q$270,10,0)</f>
        <v>PROJETADA</v>
      </c>
      <c r="E220" s="413">
        <f t="shared" si="824"/>
        <v>1.7903999999999818</v>
      </c>
      <c r="F220" s="413">
        <f>VLOOKUP(A220,'BOCA DE LOBO'!$C$82:$Q$270,2,0)</f>
        <v>2.0199999999999818</v>
      </c>
      <c r="G220" s="413">
        <f>VLOOKUP(A220,'BOCA DE LOBO'!$C$82:$Q$270,4,0)</f>
        <v>5.74</v>
      </c>
      <c r="H220" s="412">
        <v>400</v>
      </c>
      <c r="I220" s="493">
        <f t="shared" si="825"/>
        <v>2.0351999999999819</v>
      </c>
      <c r="J220" s="493">
        <f t="shared" si="826"/>
        <v>0.5841023999999948</v>
      </c>
      <c r="K220" s="530">
        <v>0</v>
      </c>
      <c r="L220" s="531">
        <f t="shared" si="827"/>
        <v>1</v>
      </c>
      <c r="M220" s="531">
        <f t="shared" si="828"/>
        <v>1</v>
      </c>
      <c r="N220" s="531">
        <f t="shared" si="829"/>
        <v>0</v>
      </c>
      <c r="O220" s="531">
        <f t="shared" si="830"/>
        <v>5.74</v>
      </c>
      <c r="P220" s="532" t="s">
        <v>2392</v>
      </c>
      <c r="Q220" s="539" t="s">
        <v>2743</v>
      </c>
      <c r="R220" s="534"/>
      <c r="S220" s="532">
        <f>VLOOKUP(Q220,Quantitativos!P:R,3,0)</f>
        <v>2</v>
      </c>
      <c r="T220" s="532">
        <f>VLOOKUP(Q220,Quantitativos!P:S,4,0)</f>
        <v>5</v>
      </c>
      <c r="U220" s="531">
        <f t="shared" si="831"/>
        <v>0.05</v>
      </c>
      <c r="V220" s="535">
        <f t="shared" si="832"/>
        <v>0</v>
      </c>
      <c r="W220" s="535">
        <f t="shared" si="833"/>
        <v>11.682047999999897</v>
      </c>
      <c r="X220" s="536">
        <f t="shared" si="834"/>
        <v>0</v>
      </c>
      <c r="Y220" s="536">
        <f t="shared" si="835"/>
        <v>0</v>
      </c>
      <c r="Z220" s="536">
        <f t="shared" si="836"/>
        <v>2</v>
      </c>
      <c r="AA220" s="536">
        <f t="shared" si="837"/>
        <v>3.5199999999981912E-2</v>
      </c>
      <c r="AB220" s="496">
        <f t="shared" si="838"/>
        <v>5.74</v>
      </c>
      <c r="AC220" s="251">
        <f t="shared" si="839"/>
        <v>0</v>
      </c>
      <c r="AD220" s="251">
        <f t="shared" si="840"/>
        <v>0</v>
      </c>
      <c r="AE220" s="251">
        <f t="shared" si="841"/>
        <v>0</v>
      </c>
      <c r="AF220" s="251">
        <f t="shared" si="842"/>
        <v>8.61</v>
      </c>
      <c r="AG220" s="251">
        <f t="shared" si="843"/>
        <v>2.87</v>
      </c>
      <c r="AH220" s="251">
        <f t="shared" si="844"/>
        <v>0</v>
      </c>
      <c r="AI220" s="497" t="str">
        <f t="shared" si="845"/>
        <v>SIM</v>
      </c>
      <c r="AJ220" s="531">
        <f t="shared" si="846"/>
        <v>0.20204799999989653</v>
      </c>
      <c r="AK220" s="531">
        <f t="shared" si="847"/>
        <v>0</v>
      </c>
      <c r="AL220" s="531">
        <f t="shared" si="848"/>
        <v>10.960738326735679</v>
      </c>
      <c r="AM220" s="493">
        <f t="shared" si="849"/>
        <v>0.28700000000000003</v>
      </c>
      <c r="AN220" s="535">
        <f t="shared" si="850"/>
        <v>0</v>
      </c>
      <c r="AO220" s="531">
        <f t="shared" si="851"/>
        <v>0</v>
      </c>
      <c r="AP220" s="531">
        <f t="shared" si="852"/>
        <v>0</v>
      </c>
      <c r="AQ220" s="531">
        <f t="shared" si="853"/>
        <v>0.7</v>
      </c>
      <c r="AR220" s="531">
        <f t="shared" si="854"/>
        <v>3.2966903267357832</v>
      </c>
      <c r="AS220" s="531">
        <f t="shared" si="855"/>
        <v>0</v>
      </c>
      <c r="AT220" s="531">
        <f t="shared" si="856"/>
        <v>0.86099999999999999</v>
      </c>
      <c r="AU220" s="531">
        <f t="shared" si="857"/>
        <v>0.86099999999999999</v>
      </c>
      <c r="AV220" s="531">
        <f t="shared" si="858"/>
        <v>0.17219999999999999</v>
      </c>
      <c r="AW220" s="531">
        <f t="shared" si="859"/>
        <v>5.6550479999998942</v>
      </c>
      <c r="AX220" s="531">
        <f t="shared" si="860"/>
        <v>7.3223096732642166</v>
      </c>
      <c r="AY220" s="531">
        <f t="shared" si="861"/>
        <v>5.6550479999998942</v>
      </c>
      <c r="AZ220" s="531">
        <f t="shared" si="862"/>
        <v>0</v>
      </c>
      <c r="BA220" s="531">
        <f t="shared" si="863"/>
        <v>0</v>
      </c>
      <c r="BB220" s="531">
        <f t="shared" si="864"/>
        <v>0</v>
      </c>
      <c r="BC220" s="531"/>
      <c r="BD220" s="531">
        <f t="shared" si="865"/>
        <v>3.4439999999999998E-2</v>
      </c>
      <c r="BE220" s="496">
        <f t="shared" si="866"/>
        <v>2.0351999999999819</v>
      </c>
      <c r="BF220" s="498">
        <f t="shared" si="867"/>
        <v>0</v>
      </c>
      <c r="BG220" s="498">
        <f t="shared" si="868"/>
        <v>5.74</v>
      </c>
      <c r="BH220" s="532" t="str">
        <f>VLOOKUP(A220,'BOCA DE LOBO'!C:I,7,0)</f>
        <v>BOCA DE LOBO PROJETADA DUPLA</v>
      </c>
      <c r="BI220" s="531">
        <f t="shared" si="869"/>
        <v>0</v>
      </c>
      <c r="BJ220" s="531">
        <f t="shared" si="870"/>
        <v>0</v>
      </c>
      <c r="BK220" s="531">
        <f t="shared" si="871"/>
        <v>0</v>
      </c>
      <c r="BL220" s="531">
        <f t="shared" si="872"/>
        <v>0</v>
      </c>
      <c r="BM220" s="531">
        <f t="shared" si="873"/>
        <v>0</v>
      </c>
      <c r="BN220" s="531">
        <f t="shared" si="874"/>
        <v>1</v>
      </c>
      <c r="BO220" s="499">
        <f t="shared" si="875"/>
        <v>0</v>
      </c>
      <c r="BP220" s="500"/>
      <c r="BQ220" s="496">
        <f t="shared" si="876"/>
        <v>17.22</v>
      </c>
      <c r="BR220" s="496">
        <f t="shared" si="877"/>
        <v>6.1440959999997924</v>
      </c>
      <c r="BS220" s="496">
        <f t="shared" si="878"/>
        <v>0</v>
      </c>
      <c r="BT220" s="501"/>
      <c r="BU220" s="501"/>
      <c r="BV220" s="502">
        <f t="shared" si="879"/>
        <v>13.933967039999855</v>
      </c>
      <c r="BW220" s="502">
        <f t="shared" si="880"/>
        <v>7.7825999999999986</v>
      </c>
      <c r="BX220" s="502">
        <f t="shared" si="881"/>
        <v>3.0325999999999995</v>
      </c>
      <c r="BY220" s="502">
        <f t="shared" si="882"/>
        <v>1.7903999999999818</v>
      </c>
      <c r="BZ220" s="502">
        <f t="shared" si="883"/>
        <v>1.7903999999999818</v>
      </c>
      <c r="CA220" s="502">
        <f t="shared" si="884"/>
        <v>0</v>
      </c>
      <c r="CB220" s="502">
        <f t="shared" si="885"/>
        <v>0</v>
      </c>
      <c r="CC220" s="502">
        <f t="shared" si="886"/>
        <v>11.673899999999998</v>
      </c>
      <c r="CD220" s="502">
        <f t="shared" si="887"/>
        <v>2.2600670399998579</v>
      </c>
      <c r="CE220" s="502">
        <f t="shared" si="888"/>
        <v>0</v>
      </c>
      <c r="CF220" s="502">
        <f t="shared" si="889"/>
        <v>0</v>
      </c>
      <c r="CG220" s="502">
        <f t="shared" si="890"/>
        <v>0</v>
      </c>
      <c r="CH220" s="502">
        <f t="shared" si="891"/>
        <v>0</v>
      </c>
      <c r="CI220" s="531">
        <f t="shared" si="892"/>
        <v>0.53549999999999998</v>
      </c>
      <c r="CJ220" s="502">
        <f t="shared" si="893"/>
        <v>7.9688999999999117</v>
      </c>
      <c r="CK220" s="502">
        <f t="shared" si="894"/>
        <v>7.9688999999999117</v>
      </c>
      <c r="CL220" s="502">
        <f t="shared" si="895"/>
        <v>0</v>
      </c>
      <c r="CM220" s="502">
        <f t="shared" si="896"/>
        <v>0</v>
      </c>
      <c r="CN220" s="502">
        <f t="shared" si="897"/>
        <v>3.57</v>
      </c>
      <c r="CO220" s="502">
        <f t="shared" si="898"/>
        <v>1.7903999999999818</v>
      </c>
      <c r="CP220" s="502">
        <f t="shared" si="899"/>
        <v>10.709999999999999</v>
      </c>
      <c r="CQ220" s="502">
        <f t="shared" si="900"/>
        <v>2.0734559999998696</v>
      </c>
      <c r="CR220" s="220">
        <f t="shared" si="901"/>
        <v>0</v>
      </c>
      <c r="CS220" s="503">
        <f t="shared" si="902"/>
        <v>0</v>
      </c>
      <c r="CT220" s="503">
        <f t="shared" si="903"/>
        <v>0.33012999999999998</v>
      </c>
      <c r="CU220" s="504">
        <f t="shared" si="904"/>
        <v>9.3100799999999051</v>
      </c>
      <c r="CV220" s="504">
        <f t="shared" si="905"/>
        <v>1.2218123999999944</v>
      </c>
      <c r="CW220" s="502">
        <f t="shared" si="906"/>
        <v>17.798471999999858</v>
      </c>
      <c r="CX220" s="531">
        <f t="shared" si="907"/>
        <v>3.57</v>
      </c>
      <c r="CY220" s="537">
        <f t="shared" si="908"/>
        <v>1.7849999999999999</v>
      </c>
      <c r="CZ220" s="502">
        <f t="shared" si="909"/>
        <v>2.4513847475961154E-2</v>
      </c>
    </row>
    <row r="221" spans="1:104" ht="13" x14ac:dyDescent="0.3">
      <c r="A221" s="265"/>
      <c r="B221" s="265"/>
      <c r="C221" s="265"/>
      <c r="D221" s="265"/>
      <c r="E221" s="265"/>
      <c r="F221" s="265"/>
      <c r="G221" s="266">
        <f>SUM(G89:G220)</f>
        <v>831.12999999999965</v>
      </c>
      <c r="H221" s="508"/>
      <c r="I221" s="265"/>
      <c r="J221" s="266">
        <f>SUM(J89:J220)</f>
        <v>99.220497700000109</v>
      </c>
      <c r="K221" s="265"/>
      <c r="L221" s="265"/>
      <c r="M221" s="265"/>
      <c r="N221" s="265"/>
      <c r="O221" s="266">
        <f>SUM(O89:O220)</f>
        <v>831.12999999999965</v>
      </c>
      <c r="P221" s="265"/>
      <c r="Q221" s="509"/>
      <c r="R221" s="509"/>
      <c r="S221" s="267"/>
      <c r="T221" s="267"/>
      <c r="U221" s="265"/>
      <c r="V221" s="265"/>
      <c r="W221" s="265"/>
      <c r="X221" s="510" t="s">
        <v>2537</v>
      </c>
      <c r="Y221" s="265"/>
      <c r="Z221" s="265"/>
      <c r="AA221" s="265"/>
      <c r="AB221" s="266">
        <f t="shared" ref="AB221:AH221" si="910">SUM(AB89:AB220)</f>
        <v>831.12999999999965</v>
      </c>
      <c r="AC221" s="269">
        <f t="shared" si="910"/>
        <v>428.77500000000009</v>
      </c>
      <c r="AD221" s="269">
        <f t="shared" si="910"/>
        <v>370.51701800000012</v>
      </c>
      <c r="AE221" s="269">
        <f t="shared" si="910"/>
        <v>133.36824000000053</v>
      </c>
      <c r="AF221" s="269">
        <f t="shared" si="910"/>
        <v>817.92</v>
      </c>
      <c r="AG221" s="269">
        <f t="shared" si="910"/>
        <v>321.56723000000022</v>
      </c>
      <c r="AH221" s="269">
        <f t="shared" si="910"/>
        <v>13.67135000000104</v>
      </c>
      <c r="AI221" s="269"/>
      <c r="AJ221" s="269">
        <f t="shared" ref="AJ221:AP221" si="911">SUM(AJ89:AJ220)</f>
        <v>12.931116000000211</v>
      </c>
      <c r="AK221" s="269">
        <f t="shared" si="911"/>
        <v>3.003469653333334</v>
      </c>
      <c r="AL221" s="269">
        <f t="shared" si="911"/>
        <v>1994.3070779128782</v>
      </c>
      <c r="AM221" s="269">
        <f t="shared" si="911"/>
        <v>41.5565</v>
      </c>
      <c r="AN221" s="269">
        <f t="shared" si="911"/>
        <v>0</v>
      </c>
      <c r="AO221" s="269">
        <f t="shared" si="911"/>
        <v>114.33999999999999</v>
      </c>
      <c r="AP221" s="269">
        <f t="shared" si="911"/>
        <v>114.33999999999999</v>
      </c>
      <c r="AQ221" s="268"/>
      <c r="AR221" s="268">
        <f t="shared" ref="AR221:BB221" si="912">SUM(AR89:AR220)</f>
        <v>477.3481239128767</v>
      </c>
      <c r="AS221" s="268">
        <f t="shared" si="912"/>
        <v>164.17402959885433</v>
      </c>
      <c r="AT221" s="268">
        <f t="shared" si="912"/>
        <v>124.66949999999996</v>
      </c>
      <c r="AU221" s="268">
        <f t="shared" si="912"/>
        <v>124.66949999999996</v>
      </c>
      <c r="AV221" s="268">
        <f t="shared" si="912"/>
        <v>24.933899999999998</v>
      </c>
      <c r="AW221" s="269">
        <f t="shared" si="912"/>
        <v>1111.7234540000034</v>
      </c>
      <c r="AX221" s="269">
        <f t="shared" si="912"/>
        <v>436.80095608712446</v>
      </c>
      <c r="AY221" s="269">
        <f t="shared" si="912"/>
        <v>266.02955836173891</v>
      </c>
      <c r="AZ221" s="269">
        <f t="shared" si="912"/>
        <v>845.69389563826337</v>
      </c>
      <c r="BA221" s="269">
        <f t="shared" si="912"/>
        <v>170.77139772538547</v>
      </c>
      <c r="BB221" s="269">
        <f t="shared" si="912"/>
        <v>674.92249791287747</v>
      </c>
      <c r="BC221" s="269">
        <f>SUM(AC221:AE221)+BA225+AJ221</f>
        <v>945.591374000001</v>
      </c>
      <c r="BD221" s="269">
        <f>SUM(BD89:BD220)</f>
        <v>9.5603799999999985</v>
      </c>
      <c r="BE221" s="742">
        <v>400</v>
      </c>
      <c r="BF221" s="743"/>
      <c r="BG221" s="744"/>
      <c r="BH221" s="279">
        <f t="shared" ref="BH221:BO221" si="913">SUM(BH89:BH220)</f>
        <v>0</v>
      </c>
      <c r="BI221" s="265">
        <f t="shared" si="913"/>
        <v>0</v>
      </c>
      <c r="BJ221" s="265">
        <f t="shared" si="913"/>
        <v>0</v>
      </c>
      <c r="BK221" s="265">
        <f t="shared" si="913"/>
        <v>0</v>
      </c>
      <c r="BL221" s="265">
        <f t="shared" si="913"/>
        <v>0</v>
      </c>
      <c r="BM221" s="265">
        <f t="shared" si="913"/>
        <v>0</v>
      </c>
      <c r="BN221" s="265">
        <f t="shared" si="913"/>
        <v>116</v>
      </c>
      <c r="BO221" s="265">
        <f t="shared" si="913"/>
        <v>13</v>
      </c>
      <c r="BP221" s="265"/>
      <c r="BQ221" s="266">
        <f>SUM(BQ89:BQ220)</f>
        <v>2493.3900000000017</v>
      </c>
      <c r="BR221" s="266">
        <f>SUM(BR89:BR220)</f>
        <v>1426.5049840000004</v>
      </c>
      <c r="BS221" s="266">
        <f>SUM(BS89:BS220)</f>
        <v>334.77492400000307</v>
      </c>
      <c r="BT221" s="265"/>
      <c r="BU221" s="265"/>
      <c r="BV221" s="265"/>
      <c r="BW221" s="265"/>
      <c r="BX221" s="265"/>
      <c r="BY221" s="265"/>
      <c r="BZ221" s="265"/>
      <c r="CA221" s="265"/>
      <c r="CB221" s="265"/>
      <c r="CC221" s="279">
        <f>SUM(CC89:CC220)</f>
        <v>1018.6834492800004</v>
      </c>
      <c r="CD221" s="279">
        <f>SUM(CD89:CD220)</f>
        <v>174.47417288000005</v>
      </c>
      <c r="CE221" s="279">
        <f>SUM(CE89:CE220)</f>
        <v>456.46020000000004</v>
      </c>
      <c r="CF221" s="279">
        <f>SUM(CF89:CF220)</f>
        <v>322.39664687999976</v>
      </c>
      <c r="CG221" s="279">
        <f>SUM(CG89:CG220)</f>
        <v>27.016988880000437</v>
      </c>
      <c r="CH221" s="265"/>
      <c r="CI221" s="265"/>
      <c r="CJ221" s="279">
        <f>SUM(CJ89:CJ220)</f>
        <v>1090.8877000000011</v>
      </c>
      <c r="CK221" s="279">
        <f>SUM(CK89:CK220)</f>
        <v>1090.8877000000011</v>
      </c>
      <c r="CL221" s="279">
        <f>SUM(CL89:CL220)</f>
        <v>0</v>
      </c>
      <c r="CM221" s="279">
        <f>SUM(CM89:CM220)</f>
        <v>6.086135999999998</v>
      </c>
      <c r="CN221" s="501"/>
      <c r="CO221" s="501"/>
      <c r="CP221" s="279">
        <f t="shared" ref="CP221:CZ221" si="914">SUM(CP89:CP220)</f>
        <v>1419.666192000002</v>
      </c>
      <c r="CQ221" s="279">
        <f t="shared" si="914"/>
        <v>536.73569599999996</v>
      </c>
      <c r="CR221" s="279">
        <f t="shared" si="914"/>
        <v>0</v>
      </c>
      <c r="CS221" s="279">
        <f t="shared" si="914"/>
        <v>0</v>
      </c>
      <c r="CT221" s="279">
        <f t="shared" si="914"/>
        <v>45.406493799999936</v>
      </c>
      <c r="CU221" s="279">
        <f t="shared" si="914"/>
        <v>1318.3878400000012</v>
      </c>
      <c r="CV221" s="279">
        <f t="shared" si="914"/>
        <v>167.69038020000002</v>
      </c>
      <c r="CW221" s="279">
        <f t="shared" si="914"/>
        <v>2469.0620560000011</v>
      </c>
      <c r="CX221" s="279">
        <f t="shared" si="914"/>
        <v>475.9999999999992</v>
      </c>
      <c r="CY221" s="279">
        <f t="shared" si="914"/>
        <v>237.9999999999996</v>
      </c>
      <c r="CZ221" s="279">
        <f t="shared" si="914"/>
        <v>1.8630524081730497</v>
      </c>
    </row>
    <row r="222" spans="1:104" ht="13" x14ac:dyDescent="0.3">
      <c r="A222" s="265"/>
      <c r="B222" s="265"/>
      <c r="C222" s="265"/>
      <c r="D222" s="265"/>
      <c r="E222" s="265"/>
      <c r="F222" s="265"/>
      <c r="G222" s="265"/>
      <c r="H222" s="508"/>
      <c r="I222" s="265"/>
      <c r="J222" s="265"/>
      <c r="K222" s="265"/>
      <c r="L222" s="265"/>
      <c r="M222" s="265"/>
      <c r="N222" s="265"/>
      <c r="O222" s="265"/>
      <c r="P222" s="265"/>
      <c r="Q222" s="509"/>
      <c r="R222" s="509"/>
      <c r="S222" s="267"/>
      <c r="T222" s="267"/>
      <c r="U222" s="265"/>
      <c r="V222" s="265"/>
      <c r="W222" s="265"/>
      <c r="X222" s="265"/>
      <c r="Y222" s="265"/>
      <c r="Z222" s="265"/>
      <c r="AA222" s="265"/>
      <c r="AB222" s="250">
        <f>IF(P222="ASFALTO",M222*G221,0)</f>
        <v>0</v>
      </c>
      <c r="AC222" s="511"/>
      <c r="AD222" s="511"/>
      <c r="AE222" s="511"/>
      <c r="AF222" s="259"/>
      <c r="AG222" s="259"/>
      <c r="AH222" s="259"/>
      <c r="AI222" s="270"/>
      <c r="AJ222" s="265"/>
      <c r="AK222" s="265"/>
      <c r="AL222" s="265"/>
      <c r="AM222" s="265"/>
      <c r="AN222" s="265"/>
      <c r="AO222" s="265"/>
      <c r="AP222" s="265"/>
      <c r="AQ222" s="265"/>
      <c r="AR222" s="540"/>
      <c r="AS222" s="540"/>
      <c r="AT222" s="271"/>
      <c r="AU222" s="271"/>
      <c r="AV222" s="271"/>
      <c r="AW222" s="265"/>
      <c r="AX222" s="265"/>
      <c r="AY222" s="265"/>
      <c r="AZ222" s="265" t="s">
        <v>2424</v>
      </c>
      <c r="BA222" s="541">
        <f>SUM(AF221:AH221)</f>
        <v>1153.1585800000012</v>
      </c>
      <c r="BB222" s="512" t="s">
        <v>2425</v>
      </c>
      <c r="BC222" s="273">
        <f>SUM(AJ221)</f>
        <v>12.931116000000211</v>
      </c>
      <c r="BD222" s="259"/>
      <c r="BE222" s="217" t="s">
        <v>2426</v>
      </c>
      <c r="BF222" s="274" t="s">
        <v>2427</v>
      </c>
      <c r="BG222" s="274" t="s">
        <v>2428</v>
      </c>
      <c r="BH222" s="513"/>
      <c r="BI222" s="265"/>
      <c r="BJ222" s="265"/>
      <c r="BK222" s="265"/>
      <c r="BL222" s="265"/>
      <c r="BM222" s="265"/>
      <c r="BN222" s="265"/>
      <c r="BO222" s="265"/>
      <c r="BP222" s="265"/>
      <c r="BQ222" s="265"/>
      <c r="BR222" s="265"/>
      <c r="BS222" s="265"/>
      <c r="BT222" s="265"/>
      <c r="BU222" s="265"/>
      <c r="BV222" s="265"/>
      <c r="BW222" s="265"/>
      <c r="BX222" s="265"/>
      <c r="BY222" s="265"/>
      <c r="BZ222" s="265"/>
      <c r="CA222" s="265"/>
      <c r="CB222" s="265"/>
      <c r="CC222" s="265"/>
      <c r="CD222" s="265"/>
      <c r="CE222" s="265"/>
      <c r="CF222" s="265"/>
      <c r="CG222" s="265"/>
      <c r="CH222" s="265"/>
      <c r="CI222" s="265"/>
      <c r="CJ222" s="265"/>
      <c r="CK222" s="265"/>
      <c r="CL222" s="265"/>
      <c r="CM222" s="265"/>
      <c r="CN222" s="265"/>
      <c r="CO222" s="265"/>
      <c r="CP222" s="265"/>
      <c r="CQ222" s="265"/>
      <c r="CR222" s="265"/>
      <c r="CS222" s="265"/>
      <c r="CT222" s="265"/>
      <c r="CU222" s="265"/>
      <c r="CV222" s="265"/>
      <c r="CW222" s="265"/>
      <c r="CX222" s="265"/>
      <c r="CY222" s="265"/>
      <c r="CZ222" s="265"/>
    </row>
    <row r="223" spans="1:104" ht="52" x14ac:dyDescent="0.3">
      <c r="A223" s="265"/>
      <c r="B223" s="265"/>
      <c r="C223" s="265"/>
      <c r="D223" s="265"/>
      <c r="E223" s="265"/>
      <c r="F223" s="265"/>
      <c r="G223" s="265"/>
      <c r="H223" s="508"/>
      <c r="I223" s="265"/>
      <c r="J223" s="265"/>
      <c r="K223" s="265"/>
      <c r="L223" s="265"/>
      <c r="M223" s="265"/>
      <c r="N223" s="265"/>
      <c r="O223" s="265"/>
      <c r="P223" s="265"/>
      <c r="Q223" s="509"/>
      <c r="R223" s="509"/>
      <c r="S223" s="267"/>
      <c r="T223" s="267"/>
      <c r="U223" s="265"/>
      <c r="V223" s="265"/>
      <c r="W223" s="265"/>
      <c r="X223" s="265"/>
      <c r="Y223" s="265"/>
      <c r="Z223" s="265"/>
      <c r="AA223" s="265"/>
      <c r="AB223" s="250">
        <f>IF(P223="ASFALTO",M223*G223,0)</f>
        <v>0</v>
      </c>
      <c r="AC223" s="511"/>
      <c r="AD223" s="511"/>
      <c r="AE223" s="511"/>
      <c r="AF223" s="259"/>
      <c r="AG223" s="259"/>
      <c r="AH223" s="259"/>
      <c r="AI223" s="265"/>
      <c r="AJ223" s="265"/>
      <c r="AK223" s="265"/>
      <c r="AL223" s="265"/>
      <c r="AM223" s="265"/>
      <c r="AN223" s="265"/>
      <c r="AO223" s="265"/>
      <c r="AP223" s="265"/>
      <c r="AQ223" s="265"/>
      <c r="AR223" s="265"/>
      <c r="AS223" s="540"/>
      <c r="AT223" s="271"/>
      <c r="AU223" s="271"/>
      <c r="AV223" s="271"/>
      <c r="AW223" s="265"/>
      <c r="AX223" s="265"/>
      <c r="AY223" s="265"/>
      <c r="AZ223" s="279" t="s">
        <v>2432</v>
      </c>
      <c r="BA223" s="540">
        <f>BA222-AY221-AO221-AT221-AR221</f>
        <v>170.7713977253855</v>
      </c>
      <c r="BB223" s="271" t="s">
        <v>2433</v>
      </c>
      <c r="BC223" s="271">
        <f>BA225+SUM(AC221:AE221)</f>
        <v>932.66025800000079</v>
      </c>
      <c r="BD223" s="259"/>
      <c r="BE223" s="280"/>
      <c r="BF223" s="281">
        <f>SUM(BF89:BF220)</f>
        <v>76</v>
      </c>
      <c r="BG223" s="281">
        <f>SUM(BG89:BG220)</f>
        <v>583.74</v>
      </c>
      <c r="BH223" s="513"/>
      <c r="BI223" s="265"/>
      <c r="BJ223" s="265"/>
      <c r="BK223" s="265"/>
      <c r="BL223" s="265"/>
      <c r="BM223" s="265"/>
      <c r="BN223" s="265"/>
      <c r="BO223" s="265"/>
      <c r="BP223" s="265"/>
      <c r="BQ223" s="265"/>
      <c r="BR223" s="265"/>
      <c r="BS223" s="265"/>
      <c r="BT223" s="265"/>
      <c r="BU223" s="265"/>
      <c r="BV223" s="265"/>
      <c r="BW223" s="265"/>
      <c r="BX223" s="265"/>
      <c r="BY223" s="265"/>
      <c r="BZ223" s="265"/>
      <c r="CA223" s="265"/>
      <c r="CB223" s="265"/>
      <c r="CC223" s="265"/>
      <c r="CD223" s="265"/>
      <c r="CE223" s="265"/>
      <c r="CF223" s="265"/>
      <c r="CG223" s="265"/>
      <c r="CH223" s="265"/>
      <c r="CI223" s="265"/>
      <c r="CJ223" s="279" t="s">
        <v>2538</v>
      </c>
      <c r="CK223" s="265">
        <f>SUM(CC221:CD221)</f>
        <v>1193.1576221600005</v>
      </c>
      <c r="CL223" s="512" t="s">
        <v>2425</v>
      </c>
      <c r="CM223" s="265">
        <f>CG221</f>
        <v>27.016988880000437</v>
      </c>
      <c r="CN223" s="265"/>
      <c r="CO223" s="265"/>
      <c r="CP223" s="501"/>
      <c r="CQ223" s="265"/>
      <c r="CR223" s="265"/>
      <c r="CS223" s="265"/>
      <c r="CT223" s="265"/>
      <c r="CU223" s="265"/>
      <c r="CV223" s="265"/>
      <c r="CW223" s="265"/>
      <c r="CX223" s="265"/>
      <c r="CY223" s="265"/>
      <c r="CZ223" s="265"/>
    </row>
    <row r="224" spans="1:104" ht="13" x14ac:dyDescent="0.3">
      <c r="A224" s="265"/>
      <c r="B224" s="265"/>
      <c r="C224" s="265"/>
      <c r="D224" s="265"/>
      <c r="E224" s="265"/>
      <c r="F224" s="265"/>
      <c r="G224" s="265"/>
      <c r="H224" s="508"/>
      <c r="I224" s="265"/>
      <c r="J224" s="265"/>
      <c r="K224" s="265"/>
      <c r="L224" s="265"/>
      <c r="M224" s="265"/>
      <c r="N224" s="265"/>
      <c r="O224" s="265"/>
      <c r="P224" s="265"/>
      <c r="Q224" s="509"/>
      <c r="R224" s="509"/>
      <c r="S224" s="267"/>
      <c r="T224" s="267"/>
      <c r="U224" s="265"/>
      <c r="V224" s="265"/>
      <c r="W224" s="265"/>
      <c r="X224" s="265"/>
      <c r="Y224" s="265"/>
      <c r="Z224" s="265"/>
      <c r="AA224" s="265"/>
      <c r="AB224" s="259"/>
      <c r="AC224" s="511"/>
      <c r="AD224" s="511"/>
      <c r="AE224" s="511"/>
      <c r="AF224" s="259"/>
      <c r="AG224" s="259"/>
      <c r="AH224" s="259"/>
      <c r="AI224" s="265"/>
      <c r="AJ224" s="265"/>
      <c r="AK224" s="265"/>
      <c r="AL224" s="265"/>
      <c r="AM224" s="265"/>
      <c r="AN224" s="265"/>
      <c r="AO224" s="265"/>
      <c r="AP224" s="265"/>
      <c r="AQ224" s="265"/>
      <c r="AR224" s="265"/>
      <c r="AS224" s="271"/>
      <c r="AT224" s="271"/>
      <c r="AU224" s="271"/>
      <c r="AV224" s="271"/>
      <c r="AW224" s="265"/>
      <c r="AX224" s="265"/>
      <c r="AY224" s="265"/>
      <c r="AZ224" s="279" t="s">
        <v>2962</v>
      </c>
      <c r="BA224" s="292">
        <f>BB221</f>
        <v>674.92249791287747</v>
      </c>
      <c r="BB224" s="271"/>
      <c r="BC224" s="259"/>
      <c r="BD224" s="259"/>
      <c r="BE224" s="280"/>
      <c r="BF224" s="283"/>
      <c r="BG224" s="284"/>
      <c r="BH224" s="513"/>
      <c r="BI224" s="265"/>
      <c r="BJ224" s="265"/>
      <c r="BK224" s="265"/>
      <c r="BL224" s="265"/>
      <c r="BM224" s="265"/>
      <c r="BN224" s="265"/>
      <c r="BO224" s="265"/>
      <c r="BP224" s="265"/>
      <c r="BQ224" s="265"/>
      <c r="BR224" s="265"/>
      <c r="BS224" s="265"/>
      <c r="BT224" s="265"/>
      <c r="BU224" s="265"/>
      <c r="BV224" s="265"/>
      <c r="BW224" s="265"/>
      <c r="BX224" s="265"/>
      <c r="BY224" s="265"/>
      <c r="BZ224" s="265"/>
      <c r="CA224" s="265"/>
      <c r="CB224" s="265"/>
      <c r="CC224" s="265"/>
      <c r="CD224" s="265"/>
      <c r="CE224" s="265"/>
      <c r="CF224" s="265"/>
      <c r="CG224" s="265"/>
      <c r="CH224" s="265"/>
      <c r="CI224" s="265"/>
      <c r="CJ224" s="265" t="s">
        <v>2540</v>
      </c>
      <c r="CK224" s="265">
        <f>CL221</f>
        <v>0</v>
      </c>
      <c r="CL224" s="271" t="s">
        <v>2433</v>
      </c>
      <c r="CM224" s="265">
        <f>CK225+SUM(CE221:CF221)</f>
        <v>881.1267690399992</v>
      </c>
      <c r="CN224" s="265"/>
      <c r="CO224" s="265"/>
      <c r="CP224" s="501"/>
      <c r="CQ224" s="265"/>
      <c r="CR224" s="265"/>
      <c r="CS224" s="265"/>
      <c r="CT224" s="265"/>
      <c r="CU224" s="265"/>
      <c r="CV224" s="265"/>
      <c r="CW224" s="265"/>
      <c r="CX224" s="265"/>
      <c r="CY224" s="265"/>
      <c r="CZ224" s="265"/>
    </row>
    <row r="225" spans="1:104" ht="13" x14ac:dyDescent="0.3">
      <c r="A225" s="265"/>
      <c r="B225" s="265"/>
      <c r="C225" s="265"/>
      <c r="D225" s="265"/>
      <c r="E225" s="265"/>
      <c r="F225" s="265"/>
      <c r="G225" s="265"/>
      <c r="H225" s="508"/>
      <c r="I225" s="265"/>
      <c r="J225" s="265"/>
      <c r="K225" s="265"/>
      <c r="L225" s="265"/>
      <c r="M225" s="265"/>
      <c r="N225" s="265"/>
      <c r="O225" s="265"/>
      <c r="P225" s="279"/>
      <c r="Q225" s="356"/>
      <c r="R225" s="356"/>
      <c r="S225" s="279"/>
      <c r="T225" s="279"/>
      <c r="U225" s="265"/>
      <c r="V225" s="265"/>
      <c r="W225" s="265"/>
      <c r="X225" s="265"/>
      <c r="Y225" s="265"/>
      <c r="Z225" s="265"/>
      <c r="AA225" s="265"/>
      <c r="AB225" s="265"/>
      <c r="AC225" s="293"/>
      <c r="AD225" s="293"/>
      <c r="AE225" s="511"/>
      <c r="AF225" s="265"/>
      <c r="AG225" s="265"/>
      <c r="AH225" s="265"/>
      <c r="AI225" s="265"/>
      <c r="AJ225" s="265"/>
      <c r="AK225" s="265"/>
      <c r="AL225" s="265"/>
      <c r="AM225" s="265"/>
      <c r="AN225" s="265"/>
      <c r="AO225" s="265"/>
      <c r="AP225" s="265"/>
      <c r="AQ225" s="265"/>
      <c r="AR225" s="265"/>
      <c r="AS225" s="265"/>
      <c r="AT225" s="265"/>
      <c r="AU225" s="265"/>
      <c r="AV225" s="265"/>
      <c r="AW225" s="265"/>
      <c r="AX225" s="265"/>
      <c r="AY225" s="265"/>
      <c r="AZ225" s="265" t="s">
        <v>2435</v>
      </c>
      <c r="BA225" s="268">
        <f>BA223-BA221</f>
        <v>0</v>
      </c>
      <c r="BB225" s="265"/>
      <c r="BC225" s="265"/>
      <c r="BD225" s="265"/>
      <c r="BE225" s="280"/>
      <c r="BF225" s="756">
        <f>SUM(BF223:BG223)</f>
        <v>659.74</v>
      </c>
      <c r="BG225" s="757"/>
      <c r="BH225" s="513"/>
      <c r="BI225" s="265"/>
      <c r="BJ225" s="265">
        <f>92-15</f>
        <v>77</v>
      </c>
      <c r="BK225" s="265"/>
      <c r="BL225" s="265"/>
      <c r="BM225" s="265"/>
      <c r="BN225" s="265"/>
      <c r="BO225" s="265"/>
      <c r="BP225" s="265"/>
      <c r="BQ225" s="265"/>
      <c r="BR225" s="265"/>
      <c r="BS225" s="265"/>
      <c r="BT225" s="265"/>
      <c r="BU225" s="265"/>
      <c r="BV225" s="265"/>
      <c r="BW225" s="265"/>
      <c r="BX225" s="265"/>
      <c r="BY225" s="265"/>
      <c r="BZ225" s="265"/>
      <c r="CA225" s="265"/>
      <c r="CB225" s="265"/>
      <c r="CC225" s="265"/>
      <c r="CD225" s="265"/>
      <c r="CE225" s="265"/>
      <c r="CF225" s="265"/>
      <c r="CG225" s="265"/>
      <c r="CH225" s="265"/>
      <c r="CI225" s="265"/>
      <c r="CJ225" s="265" t="s">
        <v>2435</v>
      </c>
      <c r="CK225" s="265">
        <f>CK223-CK221</f>
        <v>102.2699221599994</v>
      </c>
      <c r="CL225" s="265"/>
      <c r="CM225" s="265"/>
      <c r="CN225" s="265"/>
      <c r="CO225" s="265"/>
      <c r="CP225" s="265"/>
      <c r="CQ225" s="265"/>
      <c r="CR225" s="265"/>
      <c r="CS225" s="265"/>
      <c r="CT225" s="265"/>
      <c r="CU225" s="265"/>
      <c r="CV225" s="265"/>
      <c r="CW225" s="265"/>
      <c r="CX225" s="265"/>
      <c r="CY225" s="265"/>
      <c r="CZ225" s="265"/>
    </row>
    <row r="226" spans="1:104" ht="13" x14ac:dyDescent="0.3">
      <c r="A226" s="265"/>
      <c r="B226" s="265"/>
      <c r="C226" s="265"/>
      <c r="D226" s="265"/>
      <c r="E226" s="265"/>
      <c r="F226" s="265"/>
      <c r="G226" s="265"/>
      <c r="H226" s="508"/>
      <c r="I226" s="265"/>
      <c r="J226" s="265"/>
      <c r="K226" s="265"/>
      <c r="L226" s="265"/>
      <c r="M226" s="265"/>
      <c r="N226" s="265"/>
      <c r="O226" s="265"/>
      <c r="P226" s="279"/>
      <c r="Q226" s="356"/>
      <c r="R226" s="356"/>
      <c r="S226" s="279"/>
      <c r="T226" s="279"/>
      <c r="U226" s="265"/>
      <c r="V226" s="265"/>
      <c r="W226" s="265"/>
      <c r="X226" s="265"/>
      <c r="Y226" s="265"/>
      <c r="Z226" s="265"/>
      <c r="AA226" s="265"/>
      <c r="AB226" s="265"/>
      <c r="AC226" s="293"/>
      <c r="AD226" s="293"/>
      <c r="AE226" s="511"/>
      <c r="AF226" s="265"/>
      <c r="AG226" s="265"/>
      <c r="AH226" s="265"/>
      <c r="AI226" s="265"/>
      <c r="AJ226" s="265"/>
      <c r="AK226" s="265"/>
      <c r="AL226" s="265"/>
      <c r="AM226" s="265"/>
      <c r="AN226" s="265"/>
      <c r="AO226" s="265"/>
      <c r="AP226" s="265"/>
      <c r="AQ226" s="265"/>
      <c r="AR226" s="265"/>
      <c r="AS226" s="265"/>
      <c r="AT226" s="265"/>
      <c r="AU226" s="265"/>
      <c r="AV226" s="265"/>
      <c r="AW226" s="265"/>
      <c r="AX226" s="265"/>
      <c r="AY226" s="265"/>
      <c r="AZ226" s="279"/>
      <c r="BA226" s="268"/>
      <c r="BB226" s="265"/>
      <c r="BC226" s="265"/>
      <c r="BD226" s="265"/>
      <c r="BE226" s="265"/>
      <c r="BF226" s="265"/>
      <c r="BG226" s="265"/>
      <c r="BH226" s="279"/>
      <c r="BI226" s="265"/>
      <c r="BJ226" s="265">
        <f>BJ225*0.9</f>
        <v>69.3</v>
      </c>
      <c r="BK226" s="265">
        <f>5.8*48</f>
        <v>278.39999999999998</v>
      </c>
      <c r="BL226" s="265">
        <f>6.14*24</f>
        <v>147.35999999999999</v>
      </c>
      <c r="BM226" s="287"/>
      <c r="BN226" s="265"/>
      <c r="BO226" s="265"/>
      <c r="BP226" s="265"/>
      <c r="BQ226" s="265"/>
      <c r="BR226" s="265"/>
      <c r="BS226" s="265"/>
      <c r="BT226" s="265"/>
      <c r="BU226" s="265"/>
      <c r="BV226" s="265"/>
      <c r="BW226" s="265"/>
      <c r="BX226" s="265"/>
      <c r="BY226" s="265"/>
      <c r="BZ226" s="265"/>
      <c r="CA226" s="265"/>
      <c r="CB226" s="265"/>
      <c r="CC226" s="265"/>
      <c r="CD226" s="265"/>
      <c r="CE226" s="265"/>
      <c r="CF226" s="265"/>
      <c r="CG226" s="265"/>
      <c r="CH226" s="265"/>
      <c r="CI226" s="265"/>
      <c r="CJ226" s="265"/>
      <c r="CK226" s="265"/>
      <c r="CL226" s="265"/>
      <c r="CM226" s="265"/>
      <c r="CN226" s="265"/>
      <c r="CO226" s="265"/>
      <c r="CP226" s="265"/>
      <c r="CQ226" s="265"/>
      <c r="CR226" s="265"/>
      <c r="CS226" s="265"/>
      <c r="CT226" s="265"/>
      <c r="CU226" s="265"/>
      <c r="CV226" s="265"/>
      <c r="CW226" s="265"/>
      <c r="CX226" s="265"/>
      <c r="CY226" s="265"/>
      <c r="CZ226" s="265"/>
    </row>
    <row r="227" spans="1:104" ht="13" x14ac:dyDescent="0.3">
      <c r="A227" s="265"/>
      <c r="B227" s="265"/>
      <c r="C227" s="265"/>
      <c r="D227" s="265"/>
      <c r="E227" s="265"/>
      <c r="F227" s="265"/>
      <c r="G227" s="265"/>
      <c r="H227" s="508"/>
      <c r="I227" s="265"/>
      <c r="J227" s="265"/>
      <c r="K227" s="265"/>
      <c r="L227" s="265"/>
      <c r="M227" s="265"/>
      <c r="N227" s="265"/>
      <c r="O227" s="265"/>
      <c r="P227" s="279"/>
      <c r="Q227" s="356"/>
      <c r="R227" s="356"/>
      <c r="S227" s="279"/>
      <c r="T227" s="279"/>
      <c r="U227" s="265"/>
      <c r="V227" s="265"/>
      <c r="W227" s="265"/>
      <c r="X227" s="265"/>
      <c r="Y227" s="265"/>
      <c r="Z227" s="265"/>
      <c r="AA227" s="265"/>
      <c r="AB227" s="265"/>
      <c r="AC227" s="293"/>
      <c r="AD227" s="293"/>
      <c r="AE227" s="511"/>
      <c r="AF227" s="265"/>
      <c r="AG227" s="265"/>
      <c r="AH227" s="265"/>
      <c r="AI227" s="265"/>
      <c r="AJ227" s="265"/>
      <c r="AK227" s="265"/>
      <c r="AL227" s="265"/>
      <c r="AM227" s="265"/>
      <c r="AN227" s="265"/>
      <c r="AO227" s="265"/>
      <c r="AP227" s="265"/>
      <c r="AQ227" s="265"/>
      <c r="AR227" s="265"/>
      <c r="AS227" s="265"/>
      <c r="AT227" s="265"/>
      <c r="AU227" s="265"/>
      <c r="AV227" s="265"/>
      <c r="AW227" s="265"/>
      <c r="AX227" s="265"/>
      <c r="AY227" s="265"/>
      <c r="AZ227" s="265"/>
      <c r="BA227" s="265"/>
      <c r="BB227" s="265"/>
      <c r="BC227" s="265"/>
      <c r="BD227" s="265"/>
      <c r="BE227" s="265"/>
      <c r="BF227" s="265"/>
      <c r="BG227" s="265"/>
      <c r="BH227" s="279"/>
      <c r="BI227" s="265"/>
      <c r="BJ227" s="265">
        <f>BJ226/2</f>
        <v>34.65</v>
      </c>
      <c r="BK227" s="265">
        <f>BK226-20</f>
        <v>258.39999999999998</v>
      </c>
      <c r="BL227" s="265"/>
      <c r="BM227" s="288"/>
      <c r="BN227" s="265"/>
      <c r="BO227" s="265"/>
      <c r="BP227" s="265"/>
      <c r="BQ227" s="265"/>
      <c r="BR227" s="265"/>
      <c r="BS227" s="265"/>
      <c r="BT227" s="265"/>
      <c r="BU227" s="265"/>
      <c r="BV227" s="265"/>
      <c r="BW227" s="265"/>
      <c r="BX227" s="265"/>
      <c r="BY227" s="265"/>
      <c r="BZ227" s="265"/>
      <c r="CA227" s="265"/>
      <c r="CB227" s="265"/>
      <c r="CC227" s="265"/>
      <c r="CD227" s="265"/>
      <c r="CE227" s="265"/>
      <c r="CF227" s="265"/>
      <c r="CG227" s="265"/>
      <c r="CH227" s="265"/>
      <c r="CI227" s="265"/>
      <c r="CJ227" s="265"/>
      <c r="CK227" s="265"/>
      <c r="CL227" s="265"/>
      <c r="CM227" s="265"/>
      <c r="CN227" s="265"/>
      <c r="CO227" s="265"/>
      <c r="CP227" s="265"/>
      <c r="CQ227" s="265"/>
      <c r="CR227" s="265"/>
      <c r="CS227" s="265"/>
      <c r="CT227" s="265"/>
      <c r="CU227" s="265"/>
      <c r="CV227" s="265"/>
      <c r="CW227" s="265"/>
      <c r="CX227" s="265"/>
      <c r="CY227" s="265"/>
      <c r="CZ227" s="265"/>
    </row>
    <row r="228" spans="1:104" ht="13" x14ac:dyDescent="0.3">
      <c r="A228" s="265"/>
      <c r="B228" s="265"/>
      <c r="C228" s="265"/>
      <c r="D228" s="265"/>
      <c r="E228" s="265"/>
      <c r="F228" s="265"/>
      <c r="G228" s="265"/>
      <c r="H228" s="508"/>
      <c r="I228" s="265"/>
      <c r="J228" s="265"/>
      <c r="K228" s="265"/>
      <c r="L228" s="265"/>
      <c r="M228" s="265"/>
      <c r="N228" s="265"/>
      <c r="O228" s="265"/>
      <c r="P228" s="279"/>
      <c r="Q228" s="356"/>
      <c r="R228" s="356"/>
      <c r="S228" s="279"/>
      <c r="T228" s="279"/>
      <c r="U228" s="265"/>
      <c r="V228" s="265"/>
      <c r="W228" s="265"/>
      <c r="X228" s="265"/>
      <c r="Y228" s="265"/>
      <c r="Z228" s="265"/>
      <c r="AA228" s="265"/>
      <c r="AB228" s="265"/>
      <c r="AC228" s="293"/>
      <c r="AD228" s="293"/>
      <c r="AE228" s="511"/>
      <c r="AF228" s="265"/>
      <c r="AG228" s="265"/>
      <c r="AH228" s="265"/>
      <c r="AI228" s="265"/>
      <c r="AJ228" s="265"/>
      <c r="AK228" s="265"/>
      <c r="AL228" s="265"/>
      <c r="AM228" s="265"/>
      <c r="AN228" s="265"/>
      <c r="AO228" s="265"/>
      <c r="AP228" s="265"/>
      <c r="AQ228" s="265"/>
      <c r="AR228" s="265"/>
      <c r="AS228" s="265"/>
      <c r="AT228" s="265"/>
      <c r="AU228" s="265"/>
      <c r="AV228" s="265"/>
      <c r="AW228" s="265"/>
      <c r="AX228" s="265"/>
      <c r="AY228" s="265"/>
      <c r="AZ228" s="265"/>
      <c r="BA228" s="265"/>
      <c r="BB228" s="265"/>
      <c r="BC228" s="265"/>
      <c r="BD228" s="265"/>
      <c r="BE228" s="265"/>
      <c r="BF228" s="265"/>
      <c r="BG228" s="265"/>
      <c r="BH228" s="279">
        <f>629.1*0.8</f>
        <v>503.28000000000003</v>
      </c>
      <c r="BI228" s="265"/>
      <c r="BJ228" s="265"/>
      <c r="BK228" s="265">
        <f>BK227/48</f>
        <v>5.3833333333333329</v>
      </c>
      <c r="BL228" s="265">
        <f>BK228*0.9</f>
        <v>4.8449999999999998</v>
      </c>
      <c r="BM228" s="265"/>
      <c r="BN228" s="265"/>
      <c r="BO228" s="265"/>
      <c r="BP228" s="265"/>
      <c r="BQ228" s="265"/>
      <c r="BR228" s="265"/>
      <c r="BS228" s="265"/>
      <c r="BT228" s="265"/>
      <c r="BU228" s="265"/>
      <c r="BV228" s="265"/>
      <c r="BW228" s="265"/>
      <c r="BX228" s="265"/>
      <c r="BY228" s="265"/>
      <c r="BZ228" s="265"/>
      <c r="CA228" s="265"/>
      <c r="CB228" s="265"/>
      <c r="CC228" s="265"/>
      <c r="CD228" s="265"/>
      <c r="CE228" s="265"/>
      <c r="CF228" s="265"/>
      <c r="CG228" s="265"/>
      <c r="CH228" s="265"/>
      <c r="CI228" s="265"/>
      <c r="CJ228" s="265"/>
      <c r="CK228" s="265"/>
      <c r="CL228" s="265"/>
      <c r="CM228" s="265"/>
      <c r="CN228" s="265"/>
      <c r="CO228" s="265"/>
      <c r="CP228" s="265"/>
      <c r="CQ228" s="265"/>
      <c r="CR228" s="265"/>
      <c r="CS228" s="265"/>
      <c r="CT228" s="265"/>
      <c r="CU228" s="265"/>
      <c r="CV228" s="265"/>
      <c r="CW228" s="265"/>
      <c r="CX228" s="265"/>
      <c r="CY228" s="265"/>
      <c r="CZ228" s="265"/>
    </row>
    <row r="229" spans="1:104" ht="13" x14ac:dyDescent="0.3">
      <c r="A229" s="265"/>
      <c r="B229" s="265"/>
      <c r="C229" s="265"/>
      <c r="D229" s="265"/>
      <c r="E229" s="265"/>
      <c r="F229" s="265"/>
      <c r="G229" s="265"/>
      <c r="H229" s="508"/>
      <c r="I229" s="265"/>
      <c r="J229" s="265"/>
      <c r="K229" s="265"/>
      <c r="L229" s="265"/>
      <c r="M229" s="265"/>
      <c r="N229" s="265"/>
      <c r="O229" s="265"/>
      <c r="P229" s="279"/>
      <c r="Q229" s="356"/>
      <c r="R229" s="356"/>
      <c r="S229" s="279"/>
      <c r="T229" s="279"/>
      <c r="U229" s="265"/>
      <c r="V229" s="265"/>
      <c r="W229" s="265"/>
      <c r="X229" s="265"/>
      <c r="Y229" s="265"/>
      <c r="Z229" s="265"/>
      <c r="AA229" s="265"/>
      <c r="AB229" s="265"/>
      <c r="AC229" s="293"/>
      <c r="AD229" s="293"/>
      <c r="AE229" s="293"/>
      <c r="AF229" s="265"/>
      <c r="AG229" s="265"/>
      <c r="AH229" s="265"/>
      <c r="AI229" s="265"/>
      <c r="AJ229" s="265"/>
      <c r="AK229" s="265"/>
      <c r="AL229" s="265"/>
      <c r="AM229" s="265"/>
      <c r="AN229" s="265"/>
      <c r="AO229" s="265"/>
      <c r="AP229" s="265"/>
      <c r="AQ229" s="265"/>
      <c r="AR229" s="265"/>
      <c r="AS229" s="265"/>
      <c r="AT229" s="265"/>
      <c r="AU229" s="265"/>
      <c r="AV229" s="265"/>
      <c r="AW229" s="265"/>
      <c r="AX229" s="265"/>
      <c r="AY229" s="265"/>
      <c r="AZ229" s="265"/>
      <c r="BA229" s="265"/>
      <c r="BB229" s="265"/>
      <c r="BC229" s="265"/>
      <c r="BD229" s="265"/>
      <c r="BE229" s="265"/>
      <c r="BF229" s="265"/>
      <c r="BG229" s="265"/>
      <c r="BH229" s="279"/>
      <c r="BI229" s="265"/>
      <c r="BJ229" s="265"/>
      <c r="BK229" s="265"/>
      <c r="BL229" s="265"/>
      <c r="BM229" s="265"/>
      <c r="BN229" s="265"/>
      <c r="BO229" s="265"/>
      <c r="BP229" s="265"/>
      <c r="BQ229" s="265"/>
      <c r="BR229" s="265"/>
      <c r="BS229" s="265"/>
      <c r="CR229" s="265"/>
      <c r="CS229" s="265"/>
      <c r="CT229" s="265"/>
      <c r="CU229" s="265"/>
      <c r="CV229" s="265"/>
      <c r="CW229" s="265"/>
      <c r="CX229" s="265"/>
      <c r="CY229" s="265"/>
      <c r="CZ229" s="265"/>
    </row>
    <row r="230" spans="1:104" ht="13" x14ac:dyDescent="0.3">
      <c r="A230" s="265"/>
      <c r="B230" s="265"/>
      <c r="C230" s="265"/>
      <c r="D230" s="265"/>
      <c r="E230" s="265"/>
      <c r="F230" s="265"/>
      <c r="G230" s="265"/>
      <c r="H230" s="508"/>
      <c r="I230" s="265"/>
      <c r="J230" s="265"/>
      <c r="K230" s="265"/>
      <c r="L230" s="265"/>
      <c r="M230" s="265"/>
      <c r="N230" s="265"/>
      <c r="O230" s="265"/>
      <c r="P230" s="279"/>
      <c r="Q230" s="356"/>
      <c r="R230" s="356"/>
      <c r="S230" s="279"/>
      <c r="T230" s="279"/>
      <c r="U230" s="265"/>
      <c r="V230" s="265"/>
      <c r="W230" s="265"/>
      <c r="X230" s="265"/>
      <c r="Y230" s="265"/>
      <c r="Z230" s="265"/>
      <c r="AA230" s="265"/>
      <c r="AB230" s="265"/>
      <c r="AC230" s="293"/>
      <c r="AD230" s="293"/>
      <c r="AE230" s="293"/>
      <c r="AF230" s="265"/>
      <c r="AG230" s="265"/>
      <c r="AH230" s="265"/>
      <c r="AI230" s="265"/>
      <c r="AJ230" s="265"/>
      <c r="AK230" s="265"/>
      <c r="AL230" s="265"/>
      <c r="AM230" s="265"/>
      <c r="AN230" s="265"/>
      <c r="AO230" s="265"/>
      <c r="AP230" s="265"/>
      <c r="AQ230" s="265"/>
      <c r="AR230" s="265"/>
      <c r="AS230" s="265"/>
      <c r="AT230" s="265"/>
      <c r="AU230" s="265"/>
      <c r="AV230" s="265"/>
      <c r="AW230" s="265"/>
      <c r="AX230" s="265"/>
      <c r="AY230" s="265"/>
      <c r="AZ230" s="265"/>
      <c r="BA230" s="265"/>
      <c r="BB230" s="265"/>
      <c r="BC230" s="265"/>
      <c r="BD230" s="265"/>
      <c r="BE230" s="265"/>
      <c r="BF230" s="265"/>
      <c r="BG230" s="265"/>
      <c r="BH230" s="279"/>
      <c r="BI230" s="265"/>
      <c r="BJ230" s="265"/>
      <c r="BK230" s="265"/>
      <c r="BL230" s="265"/>
      <c r="BM230" s="265"/>
      <c r="BN230" s="265"/>
      <c r="BO230" s="265"/>
      <c r="BP230" s="265"/>
      <c r="BQ230" s="265"/>
      <c r="BR230" s="265"/>
      <c r="BS230" s="265"/>
      <c r="CR230" s="265"/>
      <c r="CS230" s="265"/>
      <c r="CT230" s="265"/>
      <c r="CU230" s="265"/>
      <c r="CV230" s="265"/>
      <c r="CW230" s="265"/>
      <c r="CX230" s="265"/>
      <c r="CY230" s="265"/>
      <c r="CZ230" s="265"/>
    </row>
  </sheetData>
  <mergeCells count="27">
    <mergeCell ref="W86:AH86"/>
    <mergeCell ref="BE86:BG86"/>
    <mergeCell ref="BI86:BO86"/>
    <mergeCell ref="BQ86:BS86"/>
    <mergeCell ref="CP86:CQ86"/>
    <mergeCell ref="BE4:BG4"/>
    <mergeCell ref="BE69:BG69"/>
    <mergeCell ref="BF73:BG73"/>
    <mergeCell ref="CZ86:CZ87"/>
    <mergeCell ref="BE221:BG221"/>
    <mergeCell ref="CS3:CS4"/>
    <mergeCell ref="CT3:CT4"/>
    <mergeCell ref="CU3:CU4"/>
    <mergeCell ref="CV3:CV4"/>
    <mergeCell ref="CW3:CW4"/>
    <mergeCell ref="CZ3:CZ4"/>
    <mergeCell ref="BF225:BG225"/>
    <mergeCell ref="BV85:CQ85"/>
    <mergeCell ref="CS86:CS87"/>
    <mergeCell ref="CR86:CR87"/>
    <mergeCell ref="BE87:BG87"/>
    <mergeCell ref="BV2:CQ2"/>
    <mergeCell ref="W3:AH3"/>
    <mergeCell ref="BE3:BG3"/>
    <mergeCell ref="BI3:BO3"/>
    <mergeCell ref="BQ3:BS3"/>
    <mergeCell ref="CP3:CQ3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B407-2FC0-43CD-B8AA-2FCBFB1F95BE}">
  <sheetPr codeName="Planilha12">
    <pageSetUpPr fitToPage="1"/>
  </sheetPr>
  <dimension ref="A1:AR127"/>
  <sheetViews>
    <sheetView workbookViewId="0">
      <selection activeCell="J21" sqref="J21"/>
    </sheetView>
  </sheetViews>
  <sheetFormatPr defaultColWidth="10" defaultRowHeight="12.5" x14ac:dyDescent="0.25"/>
  <cols>
    <col min="1" max="1" width="10" style="295" customWidth="1"/>
    <col min="2" max="2" width="16.75" style="295" customWidth="1"/>
    <col min="3" max="8" width="9.33203125" style="295" customWidth="1"/>
    <col min="9" max="12" width="12" style="295" customWidth="1"/>
    <col min="13" max="21" width="9.33203125" style="295" customWidth="1"/>
    <col min="22" max="22" width="10" style="295" customWidth="1"/>
    <col min="23" max="23" width="16.75" style="295" customWidth="1"/>
    <col min="24" max="26" width="18.58203125" style="297" customWidth="1"/>
    <col min="27" max="27" width="15.83203125" style="297" bestFit="1" customWidth="1"/>
    <col min="28" max="28" width="21.5" style="297" bestFit="1" customWidth="1"/>
    <col min="29" max="30" width="13.33203125" style="298" bestFit="1" customWidth="1"/>
    <col min="31" max="36" width="10" style="298"/>
    <col min="37" max="40" width="12" style="298" bestFit="1" customWidth="1"/>
    <col min="41" max="16384" width="10" style="295"/>
  </cols>
  <sheetData>
    <row r="1" spans="1:43" ht="13" x14ac:dyDescent="0.3">
      <c r="B1" s="775" t="s">
        <v>2541</v>
      </c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5"/>
      <c r="O1" s="775"/>
      <c r="P1" s="775"/>
      <c r="Q1" s="775"/>
      <c r="R1" s="775"/>
      <c r="S1" s="775"/>
      <c r="T1" s="775"/>
      <c r="U1" s="775"/>
    </row>
    <row r="2" spans="1:43" ht="12.75" customHeight="1" x14ac:dyDescent="0.3">
      <c r="B2" s="299" t="s">
        <v>2542</v>
      </c>
      <c r="C2" s="776" t="s">
        <v>2543</v>
      </c>
      <c r="D2" s="776"/>
      <c r="E2" s="776"/>
      <c r="F2" s="776"/>
      <c r="G2" s="776"/>
      <c r="H2" s="776"/>
      <c r="I2" s="776"/>
      <c r="J2" s="776"/>
      <c r="K2" s="776"/>
    </row>
    <row r="3" spans="1:43" ht="12.75" customHeight="1" x14ac:dyDescent="0.3">
      <c r="B3" s="299"/>
      <c r="C3" s="776"/>
      <c r="D3" s="776"/>
      <c r="E3" s="776"/>
      <c r="F3" s="776"/>
      <c r="G3" s="776"/>
      <c r="H3" s="776"/>
      <c r="I3" s="776"/>
      <c r="J3" s="776"/>
      <c r="K3" s="776"/>
      <c r="L3" s="299"/>
      <c r="M3" s="299"/>
      <c r="N3" s="299"/>
    </row>
    <row r="4" spans="1:43" ht="12.75" customHeight="1" x14ac:dyDescent="0.3">
      <c r="B4" s="299"/>
      <c r="C4" s="300" t="s">
        <v>2544</v>
      </c>
      <c r="D4" s="296"/>
      <c r="E4" s="299"/>
      <c r="F4" s="299"/>
      <c r="G4" s="299"/>
      <c r="H4" s="299"/>
      <c r="I4" s="301" t="s">
        <v>2545</v>
      </c>
      <c r="J4" s="296">
        <v>5</v>
      </c>
      <c r="K4" s="299" t="s">
        <v>2546</v>
      </c>
      <c r="L4" s="302" t="s">
        <v>2547</v>
      </c>
      <c r="M4" s="296">
        <v>15</v>
      </c>
      <c r="N4" s="299" t="s">
        <v>2548</v>
      </c>
      <c r="O4" s="299"/>
      <c r="P4" s="299"/>
      <c r="Q4" s="299"/>
      <c r="R4" s="299"/>
      <c r="S4" s="299"/>
      <c r="T4" s="299"/>
      <c r="U4" s="299"/>
    </row>
    <row r="5" spans="1:43" ht="12.75" customHeight="1" x14ac:dyDescent="0.3">
      <c r="B5" s="299"/>
      <c r="C5" s="300"/>
      <c r="D5" s="296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</row>
    <row r="6" spans="1:43" ht="13" x14ac:dyDescent="0.3">
      <c r="B6" s="303">
        <v>1</v>
      </c>
      <c r="C6" s="303">
        <f t="shared" ref="C6:AN6" si="0">B6+1</f>
        <v>2</v>
      </c>
      <c r="D6" s="303">
        <f t="shared" si="0"/>
        <v>3</v>
      </c>
      <c r="E6" s="303">
        <f t="shared" si="0"/>
        <v>4</v>
      </c>
      <c r="F6" s="303">
        <f t="shared" si="0"/>
        <v>5</v>
      </c>
      <c r="G6" s="303">
        <f t="shared" si="0"/>
        <v>6</v>
      </c>
      <c r="H6" s="303">
        <f t="shared" si="0"/>
        <v>7</v>
      </c>
      <c r="I6" s="303">
        <f t="shared" si="0"/>
        <v>8</v>
      </c>
      <c r="J6" s="303">
        <f t="shared" si="0"/>
        <v>9</v>
      </c>
      <c r="K6" s="303">
        <f t="shared" si="0"/>
        <v>10</v>
      </c>
      <c r="L6" s="303">
        <f t="shared" si="0"/>
        <v>11</v>
      </c>
      <c r="M6" s="303">
        <f t="shared" si="0"/>
        <v>12</v>
      </c>
      <c r="N6" s="303">
        <f t="shared" si="0"/>
        <v>13</v>
      </c>
      <c r="O6" s="303">
        <f t="shared" si="0"/>
        <v>14</v>
      </c>
      <c r="P6" s="303">
        <f t="shared" si="0"/>
        <v>15</v>
      </c>
      <c r="Q6" s="303">
        <f t="shared" si="0"/>
        <v>16</v>
      </c>
      <c r="R6" s="303">
        <f t="shared" si="0"/>
        <v>17</v>
      </c>
      <c r="S6" s="303">
        <f t="shared" si="0"/>
        <v>18</v>
      </c>
      <c r="T6" s="303">
        <f t="shared" si="0"/>
        <v>19</v>
      </c>
      <c r="U6" s="303">
        <f t="shared" si="0"/>
        <v>20</v>
      </c>
      <c r="V6" s="303">
        <f t="shared" si="0"/>
        <v>21</v>
      </c>
      <c r="W6" s="303">
        <f t="shared" si="0"/>
        <v>22</v>
      </c>
      <c r="X6" s="303">
        <f t="shared" si="0"/>
        <v>23</v>
      </c>
      <c r="Y6" s="303">
        <f t="shared" si="0"/>
        <v>24</v>
      </c>
      <c r="Z6" s="303">
        <f t="shared" si="0"/>
        <v>25</v>
      </c>
      <c r="AA6" s="303">
        <f t="shared" si="0"/>
        <v>26</v>
      </c>
      <c r="AB6" s="303">
        <f t="shared" si="0"/>
        <v>27</v>
      </c>
      <c r="AC6" s="303">
        <f t="shared" si="0"/>
        <v>28</v>
      </c>
      <c r="AD6" s="303">
        <f t="shared" si="0"/>
        <v>29</v>
      </c>
      <c r="AE6" s="303">
        <f t="shared" si="0"/>
        <v>30</v>
      </c>
      <c r="AF6" s="303">
        <f t="shared" si="0"/>
        <v>31</v>
      </c>
      <c r="AG6" s="303">
        <f t="shared" si="0"/>
        <v>32</v>
      </c>
      <c r="AH6" s="303">
        <f t="shared" si="0"/>
        <v>33</v>
      </c>
      <c r="AI6" s="303">
        <f t="shared" si="0"/>
        <v>34</v>
      </c>
      <c r="AJ6" s="303">
        <f t="shared" si="0"/>
        <v>35</v>
      </c>
      <c r="AK6" s="303">
        <f t="shared" si="0"/>
        <v>36</v>
      </c>
      <c r="AL6" s="303">
        <f t="shared" si="0"/>
        <v>37</v>
      </c>
      <c r="AM6" s="303">
        <f t="shared" si="0"/>
        <v>38</v>
      </c>
      <c r="AN6" s="303">
        <f t="shared" si="0"/>
        <v>39</v>
      </c>
    </row>
    <row r="7" spans="1:43" x14ac:dyDescent="0.25">
      <c r="B7" s="304" t="s">
        <v>2549</v>
      </c>
      <c r="C7" s="777" t="s">
        <v>2550</v>
      </c>
      <c r="D7" s="777"/>
      <c r="E7" s="777" t="s">
        <v>2551</v>
      </c>
      <c r="F7" s="777"/>
      <c r="G7" s="304" t="s">
        <v>2552</v>
      </c>
      <c r="H7" s="304" t="s">
        <v>2552</v>
      </c>
      <c r="I7" s="304" t="s">
        <v>2553</v>
      </c>
      <c r="J7" s="304" t="s">
        <v>2554</v>
      </c>
      <c r="K7" s="304" t="s">
        <v>2555</v>
      </c>
      <c r="L7" s="304" t="s">
        <v>2556</v>
      </c>
      <c r="M7" s="777" t="s">
        <v>2557</v>
      </c>
      <c r="N7" s="777"/>
      <c r="O7" s="304" t="s">
        <v>2558</v>
      </c>
      <c r="P7" s="304" t="s">
        <v>2559</v>
      </c>
      <c r="Q7" s="304" t="s">
        <v>2560</v>
      </c>
      <c r="R7" s="777" t="s">
        <v>2561</v>
      </c>
      <c r="S7" s="777"/>
      <c r="T7" s="777" t="s">
        <v>2562</v>
      </c>
      <c r="U7" s="777"/>
      <c r="V7" s="304" t="s">
        <v>2563</v>
      </c>
      <c r="W7" s="304" t="s">
        <v>2564</v>
      </c>
      <c r="X7" s="304" t="s">
        <v>2565</v>
      </c>
      <c r="Y7" s="304" t="s">
        <v>2566</v>
      </c>
      <c r="Z7" s="304" t="s">
        <v>2567</v>
      </c>
      <c r="AA7" s="304" t="s">
        <v>2568</v>
      </c>
      <c r="AB7" s="304" t="s">
        <v>2569</v>
      </c>
      <c r="AC7" s="304" t="s">
        <v>2442</v>
      </c>
      <c r="AD7" s="304" t="s">
        <v>2570</v>
      </c>
      <c r="AE7" s="304" t="s">
        <v>2437</v>
      </c>
      <c r="AF7" s="304" t="s">
        <v>2571</v>
      </c>
      <c r="AG7" s="304" t="s">
        <v>2572</v>
      </c>
      <c r="AH7" s="304" t="s">
        <v>2573</v>
      </c>
      <c r="AI7" s="304" t="s">
        <v>2574</v>
      </c>
      <c r="AJ7" s="304" t="s">
        <v>2575</v>
      </c>
      <c r="AK7" s="304" t="s">
        <v>2576</v>
      </c>
      <c r="AL7" s="304" t="s">
        <v>2577</v>
      </c>
      <c r="AM7" s="304" t="s">
        <v>2578</v>
      </c>
      <c r="AN7" s="304" t="s">
        <v>2579</v>
      </c>
    </row>
    <row r="8" spans="1:43" x14ac:dyDescent="0.25">
      <c r="B8" s="305" t="s">
        <v>2437</v>
      </c>
      <c r="C8" s="305" t="s">
        <v>2580</v>
      </c>
      <c r="D8" s="305" t="s">
        <v>2581</v>
      </c>
      <c r="E8" s="305" t="s">
        <v>2582</v>
      </c>
      <c r="F8" s="305" t="s">
        <v>11</v>
      </c>
      <c r="G8" s="305" t="s">
        <v>2583</v>
      </c>
      <c r="H8" s="305" t="s">
        <v>2584</v>
      </c>
      <c r="I8" s="305" t="s">
        <v>2585</v>
      </c>
      <c r="J8" s="305" t="s">
        <v>2586</v>
      </c>
      <c r="K8" s="305" t="s">
        <v>2587</v>
      </c>
      <c r="L8" s="305" t="s">
        <v>2588</v>
      </c>
      <c r="M8" s="305" t="s">
        <v>2589</v>
      </c>
      <c r="N8" s="305" t="s">
        <v>2590</v>
      </c>
      <c r="O8" s="305" t="s">
        <v>2591</v>
      </c>
      <c r="P8" s="305" t="s">
        <v>2592</v>
      </c>
      <c r="Q8" s="305" t="s">
        <v>393</v>
      </c>
      <c r="R8" s="305" t="s">
        <v>2580</v>
      </c>
      <c r="S8" s="305" t="s">
        <v>2581</v>
      </c>
      <c r="T8" s="305" t="s">
        <v>2580</v>
      </c>
      <c r="U8" s="305" t="s">
        <v>2581</v>
      </c>
      <c r="V8" s="305" t="s">
        <v>2593</v>
      </c>
      <c r="W8" s="305"/>
      <c r="X8" s="305" t="s">
        <v>2594</v>
      </c>
      <c r="Y8" s="305" t="s">
        <v>2595</v>
      </c>
      <c r="Z8" s="305" t="s">
        <v>2595</v>
      </c>
      <c r="AA8" s="305"/>
      <c r="AB8" s="305" t="s">
        <v>2593</v>
      </c>
      <c r="AC8" s="305" t="s">
        <v>2596</v>
      </c>
      <c r="AD8" s="305" t="s">
        <v>2596</v>
      </c>
      <c r="AE8" s="305" t="s">
        <v>2596</v>
      </c>
      <c r="AF8" s="305" t="s">
        <v>2596</v>
      </c>
      <c r="AG8" s="305" t="s">
        <v>2596</v>
      </c>
      <c r="AH8" s="305" t="s">
        <v>2596</v>
      </c>
      <c r="AI8" s="305" t="s">
        <v>2596</v>
      </c>
      <c r="AJ8" s="305" t="s">
        <v>2596</v>
      </c>
      <c r="AK8" s="305" t="s">
        <v>2596</v>
      </c>
      <c r="AL8" s="305" t="s">
        <v>2596</v>
      </c>
      <c r="AM8" s="305" t="s">
        <v>2596</v>
      </c>
      <c r="AN8" s="305" t="s">
        <v>2596</v>
      </c>
    </row>
    <row r="9" spans="1:43" ht="13" x14ac:dyDescent="0.3">
      <c r="B9" s="306" t="s">
        <v>2449</v>
      </c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/>
      <c r="Z9" s="305"/>
      <c r="AA9" s="305"/>
      <c r="AB9" s="305"/>
      <c r="AC9" s="305"/>
      <c r="AD9" s="305"/>
      <c r="AE9" s="305"/>
      <c r="AF9" s="305"/>
      <c r="AG9" s="305"/>
      <c r="AH9" s="305"/>
      <c r="AI9" s="305"/>
      <c r="AJ9" s="305"/>
      <c r="AK9" s="305"/>
      <c r="AL9" s="305"/>
      <c r="AM9" s="305"/>
      <c r="AN9" s="305"/>
    </row>
    <row r="10" spans="1:43" x14ac:dyDescent="0.25">
      <c r="A10" s="307"/>
      <c r="B10" s="308" t="s">
        <v>2597</v>
      </c>
      <c r="C10" s="309">
        <v>977.02026234661957</v>
      </c>
      <c r="D10" s="309">
        <v>976.07879679770622</v>
      </c>
      <c r="E10" s="309">
        <v>1.0042550437437534</v>
      </c>
      <c r="F10" s="309">
        <v>1.0042550437437534</v>
      </c>
      <c r="G10" s="309">
        <v>0.7</v>
      </c>
      <c r="H10" s="309">
        <v>1.4999999999999999E-2</v>
      </c>
      <c r="I10" s="310">
        <v>17.309999999999999</v>
      </c>
      <c r="J10" s="310">
        <v>110.43715023308091</v>
      </c>
      <c r="K10" s="310">
        <v>37.080761580210684</v>
      </c>
      <c r="L10" s="310">
        <v>215.65262665772414</v>
      </c>
      <c r="M10" s="308">
        <v>600</v>
      </c>
      <c r="N10" s="311"/>
      <c r="O10" s="310">
        <v>2.2050000000000001</v>
      </c>
      <c r="P10" s="310">
        <v>2.3802650869191209</v>
      </c>
      <c r="Q10" s="310">
        <v>35.699299999999909</v>
      </c>
      <c r="R10" s="310">
        <v>2.1862623466196283</v>
      </c>
      <c r="S10" s="310">
        <v>2.0623699325568623</v>
      </c>
      <c r="T10" s="309">
        <v>974.83399999999995</v>
      </c>
      <c r="U10" s="309">
        <v>974.01642686514936</v>
      </c>
      <c r="V10" s="310">
        <v>0</v>
      </c>
      <c r="W10" s="310" t="s">
        <v>2392</v>
      </c>
      <c r="X10" s="310">
        <v>400</v>
      </c>
      <c r="Y10" s="310">
        <f>IFERROR(IF(X10&lt;=600,(PI()*0.72*0.72/4-PI()*0.6*0.6/4)*(C10-AB10)+(1.3*1.3-1.1*1.1)*1.6,IF(X10=800,(PI()*0.72*0.72/4-PI()*0.6*0.6/4)*(C10-AB10)+(1.5*1.5-1.1*1.1)*1.6,IF(X10=1000,(PI()*0.72*0.72/4-PI()*0.6*0.6/4)*(C10-AB10)+(1.94*1.94-1.5*1.5)*2.25,IF(X10=1200,(PI()*0.72*0.72/4-PI()*0.6*0.6/4)*(C10-AB10)+(-1.8*1.8+2.14*2.14)*2.25,IF(X10=1500,(PI()*0.72*0.72/4-PI()*0.6*0.6/4)*(C10-AB10)+(-2.2*2.2+2.44*2.44)*2.65,0))))),0)</f>
        <v>1.0270481556030748</v>
      </c>
      <c r="Z10" s="310">
        <f>K10*IF(X10&lt;=600,PI()*(0.06*2+X10/1000)*(0.06*2+X10/1000)/4-PI()*(X10/1000)*(X10/1000)/4,IF(X10=800,PI()*(0.08*2+X10/1000)*(0.08*2+X10/1000)/4-PI()*(X10/1000)*(X10/1000)/4,IF(X10&lt;=1000,PI()*(0.1*2+X10/1000)*(0.1*2+X10/1000)/4-PI()*(X10/1000)*(X10/1000)/4,IF(X10&lt;=1200,PI()*(0.12*2+X10/1000)*(0.12*2+X10/1000)/4-PI()*(X10/1000)*(X10/1000)/4,IF(X10&lt;=1500,PI()*(0.15*2+X10/1000)*(0.15*2+X10/1000)/4-PI()*(X10/1000)*(X10/1000)/4,0)))))</f>
        <v>3.2151970894893651</v>
      </c>
      <c r="AA10" s="310" t="s">
        <v>2598</v>
      </c>
      <c r="AB10" s="309">
        <v>974.93799999999999</v>
      </c>
      <c r="AC10" s="309"/>
      <c r="AD10" s="309">
        <v>0</v>
      </c>
      <c r="AE10" s="312" t="str">
        <f>IF(OR(RIGHT(LEFT(B10,7),1)="&gt;",RIGHT(LEFT(B10,7),1)="-"),IF(OR(RIGHT(LEFT(B10,6),1)="&gt;",RIGHT(LEFT(B10,6),1)="-"),LEFT(B10,5),LEFT(B10,6)),LEFT(B10,7))</f>
        <v>PV1.1</v>
      </c>
      <c r="AF10" s="307">
        <f>COUNTIF(M10,600)</f>
        <v>1</v>
      </c>
      <c r="AG10" s="307">
        <f>COUNTIF(M10,800)</f>
        <v>0</v>
      </c>
      <c r="AH10" s="307">
        <f>COUNTIF(M10,1000)</f>
        <v>0</v>
      </c>
      <c r="AI10" s="307">
        <f>COUNTIF(M10,1200)</f>
        <v>0</v>
      </c>
      <c r="AJ10" s="307">
        <f>COUNTIF(M10,1500)</f>
        <v>0</v>
      </c>
      <c r="AK10" s="307">
        <f>COUNTIF(M10,1650)</f>
        <v>0</v>
      </c>
      <c r="AL10" s="307">
        <f>AK10*IF((R10+S10)/2-1.65&lt;=2,1,0)</f>
        <v>0</v>
      </c>
      <c r="AM10" s="307">
        <f>AK10*IF((R10+S10)/2-1.65&lt;=3,1,0)-AL10</f>
        <v>0</v>
      </c>
      <c r="AN10" s="307">
        <f>AK10*IF((R10+S10)/2-1.65&lt;=4,1,0)-AL10-AM10</f>
        <v>0</v>
      </c>
      <c r="AQ10" s="313" t="str">
        <f>W10</f>
        <v>ASFALTO</v>
      </c>
    </row>
    <row r="11" spans="1:43" x14ac:dyDescent="0.25">
      <c r="A11" s="307"/>
      <c r="B11" s="308" t="s">
        <v>2599</v>
      </c>
      <c r="C11" s="309">
        <v>976.07879679770622</v>
      </c>
      <c r="D11" s="309">
        <v>975.53989923426968</v>
      </c>
      <c r="E11" s="309">
        <v>0</v>
      </c>
      <c r="F11" s="309">
        <v>1.0043</v>
      </c>
      <c r="G11" s="309">
        <v>0.7</v>
      </c>
      <c r="H11" s="309">
        <v>1.4999999999999999E-2</v>
      </c>
      <c r="I11" s="310">
        <v>17.569640279731797</v>
      </c>
      <c r="J11" s="310">
        <v>109.61848500731855</v>
      </c>
      <c r="K11" s="310">
        <v>37.080761579474405</v>
      </c>
      <c r="L11" s="310">
        <v>214.05400422028904</v>
      </c>
      <c r="M11" s="308">
        <v>600</v>
      </c>
      <c r="N11" s="311"/>
      <c r="O11" s="310">
        <v>2.7610000000000001</v>
      </c>
      <c r="P11" s="310">
        <v>2.5763446517693174</v>
      </c>
      <c r="Q11" s="310">
        <v>33.504699999999971</v>
      </c>
      <c r="R11" s="310">
        <v>2.0623699325568623</v>
      </c>
      <c r="S11" s="310">
        <v>2.5473078505702915</v>
      </c>
      <c r="T11" s="309">
        <v>974.01642686514936</v>
      </c>
      <c r="U11" s="309">
        <v>972.99259138369939</v>
      </c>
      <c r="V11" s="310">
        <v>0</v>
      </c>
      <c r="W11" s="310" t="s">
        <v>2392</v>
      </c>
      <c r="X11" s="310">
        <v>400</v>
      </c>
      <c r="Y11" s="310"/>
      <c r="Z11" s="310">
        <f>K11*IF(X11&lt;=600,PI()*(0.06*2+X11/1000)*(0.06*2+X11/1000)/4-PI()*(X11/1000)*(X11/1000)/4,IF(X11=800,PI()*(0.08*2+X11/1000)*(0.08*2+X11/1000)/4-PI()*(X11/1000)*(X11/1000)/4,IF(X11&lt;=1000,PI()*(0.1*2+X11/1000)*(0.1*2+X11/1000)/4-PI()*(X11/1000)*(X11/1000)/4,IF(X11&lt;=1200,PI()*(0.12*2+X11/1000)*(0.12*2+X11/1000)/4-PI()*(X11/1000)*(X11/1000)/4,IF(X11&lt;=1500,PI()*(0.15*2+X11/1000)*(0.15*2+X11/1000)/4-PI()*(X11/1000)*(X11/1000)/4,0)))))</f>
        <v>3.2151970894255237</v>
      </c>
      <c r="AA11" s="310"/>
      <c r="AB11" s="309"/>
      <c r="AC11" s="309"/>
      <c r="AD11" s="309">
        <v>0</v>
      </c>
      <c r="AE11" s="312" t="str">
        <f>IF(OR(RIGHT(LEFT(B11,7),1)="&gt;",RIGHT(LEFT(B11,7),1)="-"),IF(OR(RIGHT(LEFT(B11,6),1)="&gt;",RIGHT(LEFT(B11,6),1)="-"),LEFT(B11,5),LEFT(B11,6)),LEFT(B11,7))</f>
        <v>PV2.1</v>
      </c>
      <c r="AF11" s="307">
        <f>COUNTIF(M11,600)</f>
        <v>1</v>
      </c>
      <c r="AG11" s="307">
        <f>COUNTIF(M11,800)</f>
        <v>0</v>
      </c>
      <c r="AH11" s="307">
        <f>COUNTIF(M11,1000)</f>
        <v>0</v>
      </c>
      <c r="AI11" s="307">
        <f>COUNTIF(M11,1200)</f>
        <v>0</v>
      </c>
      <c r="AJ11" s="307">
        <f>COUNTIF(M11,1500)</f>
        <v>0</v>
      </c>
      <c r="AK11" s="307">
        <f>COUNTIF(M11,1650)</f>
        <v>0</v>
      </c>
      <c r="AL11" s="307">
        <f>AK11*IF((R11+S11)/2-1.65&lt;=2,1,0)</f>
        <v>0</v>
      </c>
      <c r="AM11" s="307">
        <f>AK11*IF((R11+S11)/2-1.65&lt;=3,1,0)-AL11</f>
        <v>0</v>
      </c>
      <c r="AN11" s="307">
        <f>AK11*IF((R11+S11)/2-1.65&lt;=4,1,0)-AL11-AM11</f>
        <v>0</v>
      </c>
      <c r="AQ11" s="313" t="str">
        <f>W11</f>
        <v>ASFALTO</v>
      </c>
    </row>
    <row r="12" spans="1:43" x14ac:dyDescent="0.25">
      <c r="B12" s="308" t="s">
        <v>2600</v>
      </c>
      <c r="C12" s="309">
        <v>975.53989923426968</v>
      </c>
      <c r="D12" s="309">
        <v>974.67436902742577</v>
      </c>
      <c r="E12" s="309">
        <v>0.97883870921141281</v>
      </c>
      <c r="F12" s="309">
        <v>1.9831387092114128</v>
      </c>
      <c r="G12" s="309">
        <v>0.7</v>
      </c>
      <c r="H12" s="309">
        <v>1.4999999999999999E-2</v>
      </c>
      <c r="I12" s="310">
        <v>17.809519945120048</v>
      </c>
      <c r="J12" s="310">
        <v>108.87403715250326</v>
      </c>
      <c r="K12" s="310">
        <v>18.956334524745731</v>
      </c>
      <c r="L12" s="310">
        <v>419.81998904249031</v>
      </c>
      <c r="M12" s="308">
        <v>600</v>
      </c>
      <c r="N12" s="311"/>
      <c r="O12" s="310">
        <v>4.58</v>
      </c>
      <c r="P12" s="310">
        <v>3.7222384723835096</v>
      </c>
      <c r="Q12" s="310">
        <v>42.025800000000189</v>
      </c>
      <c r="R12" s="310">
        <v>2.5473078505702915</v>
      </c>
      <c r="S12" s="310">
        <v>2.5499999999999545</v>
      </c>
      <c r="T12" s="309">
        <v>972.99259138369939</v>
      </c>
      <c r="U12" s="309">
        <v>972.12436902742581</v>
      </c>
      <c r="V12" s="310">
        <v>0</v>
      </c>
      <c r="W12" s="310" t="s">
        <v>2392</v>
      </c>
      <c r="X12" s="310">
        <v>400</v>
      </c>
      <c r="Y12" s="310">
        <f t="shared" ref="Y12:Y15" si="1">IFERROR(IF(X12&lt;=600,(PI()*0.72*0.72/4-PI()*0.6*0.6/4)*(C12-AB12)+(1.3*1.3-1.1*1.1)*1.6,IF(X12=800,(PI()*0.72*0.72/4-PI()*0.6*0.6/4)*(C12-AB12)+(1.5*1.5-1.1*1.1)*1.6,IF(X12=1000,(PI()*0.72*0.72/4-PI()*0.6*0.6/4)*(C12-AB12)+(1.94*1.94-1.5*1.5)*2.25,IF(X12=1200,(PI()*0.72*0.72/4-PI()*0.6*0.6/4)*(C12-AB12)+(-1.8*1.8+2.14*2.14)*2.25,IF(X12=1500,(PI()*0.72*0.72/4-PI()*0.6*0.6/4)*(C12-AB12)+(-2.2*2.2+2.44*2.44)*2.65,0))))),0)</f>
        <v>1.0085907356357173</v>
      </c>
      <c r="Z12" s="310">
        <f t="shared" ref="Z12:Z16" si="2">K12*IF(X12&lt;=600,PI()*(0.06*2+X12/1000)*(0.06*2+X12/1000)/4-PI()*(X12/1000)*(X12/1000)/4,IF(X12=800,PI()*(0.08*2+X12/1000)*(0.08*2+X12/1000)/4-PI()*(X12/1000)*(X12/1000)/4,IF(X12&lt;=1000,PI()*(0.1*2+X12/1000)*(0.1*2+X12/1000)/4-PI()*(X12/1000)*(X12/1000)/4,IF(X12&lt;=1200,PI()*(0.12*2+X12/1000)*(0.12*2+X12/1000)/4-PI()*(X12/1000)*(X12/1000)/4,IF(X12&lt;=1500,PI()*(0.15*2+X12/1000)*(0.15*2+X12/1000)/4-PI()*(X12/1000)*(X12/1000)/4,0)))))</f>
        <v>1.6436650433813162</v>
      </c>
      <c r="AA12" s="310" t="s">
        <v>2601</v>
      </c>
      <c r="AB12" s="309">
        <v>973.60599999999999</v>
      </c>
      <c r="AC12" s="309"/>
      <c r="AD12" s="309">
        <v>0</v>
      </c>
      <c r="AE12" s="312" t="str">
        <f t="shared" ref="AE12:AE16" si="3">IF(OR(RIGHT(LEFT(B12,7),1)="&gt;",RIGHT(LEFT(B12,7),1)="-"),IF(OR(RIGHT(LEFT(B12,6),1)="&gt;",RIGHT(LEFT(B12,6),1)="-"),LEFT(B12,5),LEFT(B12,6)),LEFT(B12,7))</f>
        <v>PV3.1</v>
      </c>
      <c r="AF12" s="307">
        <f t="shared" ref="AF12:AF16" si="4">COUNTIF(M12,600)</f>
        <v>1</v>
      </c>
      <c r="AG12" s="307">
        <f t="shared" ref="AG12:AG16" si="5">COUNTIF(M12,800)</f>
        <v>0</v>
      </c>
      <c r="AH12" s="307">
        <f t="shared" ref="AH12:AH16" si="6">COUNTIF(M12,1000)</f>
        <v>0</v>
      </c>
      <c r="AI12" s="307">
        <f t="shared" ref="AI12:AI16" si="7">COUNTIF(M12,1200)</f>
        <v>0</v>
      </c>
      <c r="AJ12" s="307">
        <f t="shared" ref="AJ12:AJ16" si="8">COUNTIF(M12,1500)</f>
        <v>0</v>
      </c>
      <c r="AK12" s="307">
        <f t="shared" ref="AK12:AK16" si="9">COUNTIF(M12,1650)</f>
        <v>0</v>
      </c>
      <c r="AL12" s="307">
        <f t="shared" ref="AL12:AL16" si="10">AK12*IF((R12+S12)/2-1.65&lt;=2,1,0)</f>
        <v>0</v>
      </c>
      <c r="AM12" s="307">
        <f t="shared" ref="AM12:AM16" si="11">AK12*IF((R12+S12)/2-1.65&lt;=3,1,0)-AL12</f>
        <v>0</v>
      </c>
      <c r="AN12" s="307">
        <f t="shared" ref="AN12:AN16" si="12">AK12*IF((R12+S12)/2-1.65&lt;=4,1,0)-AL12-AM12</f>
        <v>0</v>
      </c>
      <c r="AQ12" s="313" t="str">
        <f t="shared" ref="AQ12:AQ16" si="13">W12</f>
        <v>ASFALTO</v>
      </c>
    </row>
    <row r="13" spans="1:43" x14ac:dyDescent="0.25">
      <c r="B13" s="308" t="s">
        <v>2602</v>
      </c>
      <c r="C13" s="309">
        <v>974.67436902742577</v>
      </c>
      <c r="D13" s="309">
        <v>973.37914519118033</v>
      </c>
      <c r="E13" s="309">
        <v>0</v>
      </c>
      <c r="F13" s="309">
        <v>1.9831000000000001</v>
      </c>
      <c r="G13" s="309">
        <v>0.7</v>
      </c>
      <c r="H13" s="309">
        <v>1.4999999999999999E-2</v>
      </c>
      <c r="I13" s="310">
        <v>17.894398684375961</v>
      </c>
      <c r="J13" s="310">
        <v>108.61331056267319</v>
      </c>
      <c r="K13" s="310">
        <v>36.057388987815095</v>
      </c>
      <c r="L13" s="310">
        <v>418.81462323675447</v>
      </c>
      <c r="M13" s="308">
        <v>600</v>
      </c>
      <c r="N13" s="311"/>
      <c r="O13" s="310">
        <v>4.3339999999999996</v>
      </c>
      <c r="P13" s="310">
        <v>3.6452308584900464</v>
      </c>
      <c r="Q13" s="310">
        <v>42.6182000000003</v>
      </c>
      <c r="R13" s="310">
        <v>2.5499999999999545</v>
      </c>
      <c r="S13" s="310">
        <v>2.8173248795136487</v>
      </c>
      <c r="T13" s="309">
        <v>972.12436902742581</v>
      </c>
      <c r="U13" s="309">
        <v>970.56182031166668</v>
      </c>
      <c r="V13" s="310">
        <v>0</v>
      </c>
      <c r="W13" s="310" t="s">
        <v>2392</v>
      </c>
      <c r="X13" s="310">
        <v>400</v>
      </c>
      <c r="Y13" s="310">
        <f t="shared" si="1"/>
        <v>1.0008115358731646</v>
      </c>
      <c r="Z13" s="310">
        <f t="shared" si="2"/>
        <v>3.1264625425082837</v>
      </c>
      <c r="AA13" s="310" t="s">
        <v>2603</v>
      </c>
      <c r="AB13" s="309">
        <v>972.803</v>
      </c>
      <c r="AC13" s="309"/>
      <c r="AD13" s="309">
        <v>0</v>
      </c>
      <c r="AE13" s="312" t="str">
        <f t="shared" si="3"/>
        <v>PV4.1</v>
      </c>
      <c r="AF13" s="307">
        <f t="shared" si="4"/>
        <v>1</v>
      </c>
      <c r="AG13" s="307">
        <f t="shared" si="5"/>
        <v>0</v>
      </c>
      <c r="AH13" s="307">
        <f t="shared" si="6"/>
        <v>0</v>
      </c>
      <c r="AI13" s="307">
        <f t="shared" si="7"/>
        <v>0</v>
      </c>
      <c r="AJ13" s="307">
        <f t="shared" si="8"/>
        <v>0</v>
      </c>
      <c r="AK13" s="307">
        <f t="shared" si="9"/>
        <v>0</v>
      </c>
      <c r="AL13" s="307">
        <f t="shared" si="10"/>
        <v>0</v>
      </c>
      <c r="AM13" s="307">
        <f t="shared" si="11"/>
        <v>0</v>
      </c>
      <c r="AN13" s="307">
        <f t="shared" si="12"/>
        <v>0</v>
      </c>
      <c r="AQ13" s="313" t="str">
        <f t="shared" si="13"/>
        <v>ASFALTO</v>
      </c>
    </row>
    <row r="14" spans="1:43" x14ac:dyDescent="0.25">
      <c r="B14" s="308" t="s">
        <v>2604</v>
      </c>
      <c r="C14" s="309">
        <v>973.37914519118033</v>
      </c>
      <c r="D14" s="309">
        <v>971.99927159611912</v>
      </c>
      <c r="E14" s="309">
        <v>0</v>
      </c>
      <c r="F14" s="309">
        <v>1.9831000000000001</v>
      </c>
      <c r="G14" s="309">
        <v>0.7</v>
      </c>
      <c r="H14" s="309">
        <v>1.4999999999999999E-2</v>
      </c>
      <c r="I14" s="310">
        <v>18.059259705929801</v>
      </c>
      <c r="J14" s="310">
        <v>108.11084944441201</v>
      </c>
      <c r="K14" s="310">
        <v>36.057388983143134</v>
      </c>
      <c r="L14" s="310">
        <v>416.8771253108971</v>
      </c>
      <c r="M14" s="308">
        <v>600</v>
      </c>
      <c r="N14" s="311"/>
      <c r="O14" s="310">
        <v>4.3339999999999996</v>
      </c>
      <c r="P14" s="310">
        <v>3.6407482684989647</v>
      </c>
      <c r="Q14" s="310">
        <v>42.5084000000003</v>
      </c>
      <c r="R14" s="310">
        <v>2.8173248795136487</v>
      </c>
      <c r="S14" s="310">
        <v>3</v>
      </c>
      <c r="T14" s="309">
        <v>970.56182031166668</v>
      </c>
      <c r="U14" s="309">
        <v>968.99927159611912</v>
      </c>
      <c r="V14" s="310">
        <v>0</v>
      </c>
      <c r="W14" s="310" t="s">
        <v>2392</v>
      </c>
      <c r="X14" s="310">
        <v>400</v>
      </c>
      <c r="Y14" s="310"/>
      <c r="Z14" s="310">
        <f t="shared" si="2"/>
        <v>3.1264625421031873</v>
      </c>
      <c r="AA14" s="310"/>
      <c r="AB14" s="309"/>
      <c r="AC14" s="309"/>
      <c r="AD14" s="309">
        <v>0</v>
      </c>
      <c r="AE14" s="312" t="str">
        <f t="shared" si="3"/>
        <v>PV5.1</v>
      </c>
      <c r="AF14" s="307">
        <f t="shared" si="4"/>
        <v>1</v>
      </c>
      <c r="AG14" s="307">
        <f t="shared" si="5"/>
        <v>0</v>
      </c>
      <c r="AH14" s="307">
        <f t="shared" si="6"/>
        <v>0</v>
      </c>
      <c r="AI14" s="307">
        <f t="shared" si="7"/>
        <v>0</v>
      </c>
      <c r="AJ14" s="307">
        <f t="shared" si="8"/>
        <v>0</v>
      </c>
      <c r="AK14" s="307">
        <f t="shared" si="9"/>
        <v>0</v>
      </c>
      <c r="AL14" s="307">
        <f t="shared" si="10"/>
        <v>0</v>
      </c>
      <c r="AM14" s="307">
        <f t="shared" si="11"/>
        <v>0</v>
      </c>
      <c r="AN14" s="307">
        <f t="shared" si="12"/>
        <v>0</v>
      </c>
      <c r="AQ14" s="313" t="str">
        <f t="shared" si="13"/>
        <v>ASFALTO</v>
      </c>
    </row>
    <row r="15" spans="1:43" x14ac:dyDescent="0.25">
      <c r="B15" s="308" t="s">
        <v>2605</v>
      </c>
      <c r="C15" s="309">
        <v>971.99927159611912</v>
      </c>
      <c r="D15" s="309">
        <v>970.63527212387112</v>
      </c>
      <c r="E15" s="309">
        <v>1.3602154754031694</v>
      </c>
      <c r="F15" s="309">
        <v>3.3433154754031698</v>
      </c>
      <c r="G15" s="309">
        <v>0.7</v>
      </c>
      <c r="H15" s="309">
        <v>1.4999999999999999E-2</v>
      </c>
      <c r="I15" s="310">
        <v>18.224323708912944</v>
      </c>
      <c r="J15" s="310">
        <v>107.61292649941106</v>
      </c>
      <c r="K15" s="310">
        <v>40.381886364572772</v>
      </c>
      <c r="L15" s="310">
        <v>699.57861994247151</v>
      </c>
      <c r="M15" s="308">
        <v>600</v>
      </c>
      <c r="N15" s="311"/>
      <c r="O15" s="310">
        <v>3.7389999999999999</v>
      </c>
      <c r="P15" s="310">
        <v>3.9129818388912168</v>
      </c>
      <c r="Q15" s="310">
        <v>60.469300000000338</v>
      </c>
      <c r="R15" s="310">
        <v>3</v>
      </c>
      <c r="S15" s="310">
        <v>3.1458360366905254</v>
      </c>
      <c r="T15" s="309">
        <v>968.99927159611912</v>
      </c>
      <c r="U15" s="309">
        <v>967.48943608718059</v>
      </c>
      <c r="V15" s="310">
        <v>0</v>
      </c>
      <c r="W15" s="310" t="s">
        <v>2392</v>
      </c>
      <c r="X15" s="310">
        <v>500</v>
      </c>
      <c r="Y15" s="310">
        <f t="shared" si="1"/>
        <v>1.0477008797738425</v>
      </c>
      <c r="Z15" s="310">
        <f t="shared" si="2"/>
        <v>4.2626115013789336</v>
      </c>
      <c r="AA15" s="310" t="s">
        <v>2606</v>
      </c>
      <c r="AB15" s="309">
        <v>969.75099999999998</v>
      </c>
      <c r="AC15" s="309"/>
      <c r="AD15" s="309">
        <v>0</v>
      </c>
      <c r="AE15" s="312" t="str">
        <f t="shared" si="3"/>
        <v>PV6.1</v>
      </c>
      <c r="AF15" s="307">
        <f t="shared" si="4"/>
        <v>1</v>
      </c>
      <c r="AG15" s="307">
        <f t="shared" si="5"/>
        <v>0</v>
      </c>
      <c r="AH15" s="307">
        <f t="shared" si="6"/>
        <v>0</v>
      </c>
      <c r="AI15" s="307">
        <f t="shared" si="7"/>
        <v>0</v>
      </c>
      <c r="AJ15" s="307">
        <f t="shared" si="8"/>
        <v>0</v>
      </c>
      <c r="AK15" s="307">
        <f t="shared" si="9"/>
        <v>0</v>
      </c>
      <c r="AL15" s="307">
        <f t="shared" si="10"/>
        <v>0</v>
      </c>
      <c r="AM15" s="307">
        <f t="shared" si="11"/>
        <v>0</v>
      </c>
      <c r="AN15" s="307">
        <f t="shared" si="12"/>
        <v>0</v>
      </c>
      <c r="AQ15" s="313" t="str">
        <f t="shared" si="13"/>
        <v>ASFALTO</v>
      </c>
    </row>
    <row r="16" spans="1:43" x14ac:dyDescent="0.25">
      <c r="B16" s="308" t="s">
        <v>2607</v>
      </c>
      <c r="C16" s="309">
        <v>970.63527212387112</v>
      </c>
      <c r="D16" s="309">
        <v>968.97960057820728</v>
      </c>
      <c r="E16" s="309">
        <v>0</v>
      </c>
      <c r="F16" s="309">
        <v>3.3433000000000002</v>
      </c>
      <c r="G16" s="309">
        <v>0.7</v>
      </c>
      <c r="H16" s="309">
        <v>1.4999999999999999E-2</v>
      </c>
      <c r="I16" s="310">
        <v>18.396323341704559</v>
      </c>
      <c r="J16" s="310">
        <v>107.09948367820756</v>
      </c>
      <c r="K16" s="310">
        <v>40.38188636550575</v>
      </c>
      <c r="L16" s="310">
        <v>696.24079026009713</v>
      </c>
      <c r="M16" s="308">
        <v>600</v>
      </c>
      <c r="N16" s="311"/>
      <c r="O16" s="310">
        <v>3.7389999999999999</v>
      </c>
      <c r="P16" s="310">
        <v>3.908906906169074</v>
      </c>
      <c r="Q16" s="310">
        <v>60.279800000000336</v>
      </c>
      <c r="R16" s="310">
        <v>3.1458360366905254</v>
      </c>
      <c r="S16" s="310">
        <v>3</v>
      </c>
      <c r="T16" s="309">
        <v>967.48943608718059</v>
      </c>
      <c r="U16" s="309">
        <v>965.97960057820728</v>
      </c>
      <c r="V16" s="310">
        <v>0</v>
      </c>
      <c r="W16" s="310" t="s">
        <v>2392</v>
      </c>
      <c r="X16" s="310">
        <v>500</v>
      </c>
      <c r="Y16" s="310"/>
      <c r="Z16" s="310">
        <f t="shared" si="2"/>
        <v>4.2626115014774157</v>
      </c>
      <c r="AA16" s="310"/>
      <c r="AB16" s="309"/>
      <c r="AC16" s="309"/>
      <c r="AD16" s="309">
        <v>0</v>
      </c>
      <c r="AE16" s="312" t="str">
        <f t="shared" si="3"/>
        <v>PV7.1</v>
      </c>
      <c r="AF16" s="307">
        <f t="shared" si="4"/>
        <v>1</v>
      </c>
      <c r="AG16" s="307">
        <f t="shared" si="5"/>
        <v>0</v>
      </c>
      <c r="AH16" s="307">
        <f t="shared" si="6"/>
        <v>0</v>
      </c>
      <c r="AI16" s="307">
        <f t="shared" si="7"/>
        <v>0</v>
      </c>
      <c r="AJ16" s="307">
        <f t="shared" si="8"/>
        <v>0</v>
      </c>
      <c r="AK16" s="307">
        <f t="shared" si="9"/>
        <v>0</v>
      </c>
      <c r="AL16" s="307">
        <f t="shared" si="10"/>
        <v>0</v>
      </c>
      <c r="AM16" s="307">
        <f t="shared" si="11"/>
        <v>0</v>
      </c>
      <c r="AN16" s="307">
        <f t="shared" si="12"/>
        <v>0</v>
      </c>
      <c r="AQ16" s="313" t="str">
        <f t="shared" si="13"/>
        <v>ASFALTO</v>
      </c>
    </row>
    <row r="17" spans="1:43" ht="13" x14ac:dyDescent="0.3">
      <c r="B17" s="306" t="s">
        <v>2464</v>
      </c>
      <c r="C17" s="305"/>
      <c r="D17" s="305"/>
      <c r="E17" s="305"/>
      <c r="F17" s="305"/>
      <c r="G17" s="305"/>
      <c r="H17" s="305"/>
      <c r="I17" s="305"/>
      <c r="J17" s="305"/>
      <c r="K17" s="305"/>
      <c r="L17" s="305"/>
      <c r="M17" s="305"/>
      <c r="N17" s="305"/>
      <c r="O17" s="305"/>
      <c r="P17" s="305"/>
      <c r="Q17" s="305"/>
      <c r="R17" s="305"/>
      <c r="S17" s="305"/>
      <c r="T17" s="305"/>
      <c r="U17" s="305"/>
      <c r="V17" s="305"/>
      <c r="W17" s="314"/>
      <c r="X17" s="315"/>
      <c r="Y17" s="305"/>
      <c r="Z17" s="305"/>
      <c r="AA17" s="315"/>
      <c r="AB17" s="315"/>
      <c r="AC17" s="314"/>
      <c r="AD17" s="314"/>
      <c r="AE17" s="305"/>
      <c r="AF17" s="305"/>
      <c r="AG17" s="305"/>
      <c r="AH17" s="305"/>
      <c r="AI17" s="305"/>
      <c r="AJ17" s="305"/>
      <c r="AK17" s="305"/>
      <c r="AL17" s="305"/>
      <c r="AM17" s="305"/>
      <c r="AN17" s="305"/>
    </row>
    <row r="18" spans="1:43" x14ac:dyDescent="0.25">
      <c r="A18" s="307"/>
      <c r="B18" s="308" t="s">
        <v>2597</v>
      </c>
      <c r="C18" s="309">
        <v>962.61455974993714</v>
      </c>
      <c r="D18" s="309">
        <v>961.46749300635088</v>
      </c>
      <c r="E18" s="309">
        <v>8.7507624212701938</v>
      </c>
      <c r="F18" s="309">
        <v>8.7507624212701938</v>
      </c>
      <c r="G18" s="309">
        <v>0.7</v>
      </c>
      <c r="H18" s="309">
        <v>1.4999999999999999E-2</v>
      </c>
      <c r="I18" s="310">
        <v>19.23</v>
      </c>
      <c r="J18" s="310">
        <v>104.68611788011219</v>
      </c>
      <c r="K18" s="310">
        <v>36.808573382687946</v>
      </c>
      <c r="L18" s="310">
        <v>1781.2731735048976</v>
      </c>
      <c r="M18" s="308">
        <v>1000</v>
      </c>
      <c r="N18" s="308"/>
      <c r="O18" s="310">
        <v>0.94299999999999995</v>
      </c>
      <c r="P18" s="310">
        <v>2.9000985855233785</v>
      </c>
      <c r="Q18" s="310">
        <v>72.98900300000021</v>
      </c>
      <c r="R18" s="310">
        <v>4.3999999999999773</v>
      </c>
      <c r="S18" s="310">
        <v>3.6000000000000227</v>
      </c>
      <c r="T18" s="309">
        <v>958.21455974993717</v>
      </c>
      <c r="U18" s="309">
        <v>957.86749300635086</v>
      </c>
      <c r="V18" s="310">
        <v>0</v>
      </c>
      <c r="W18" s="310" t="s">
        <v>2392</v>
      </c>
      <c r="X18" s="310">
        <v>800</v>
      </c>
      <c r="Y18" s="310">
        <f t="shared" ref="Y18" si="14">IFERROR(IF(X18&lt;=600,(PI()*0.72*0.72/4-PI()*0.6*0.6/4)*(C18-AB18)+(1.3*1.3-1.1*1.1)*1.6,IF(X18=800,(PI()*0.72*0.72/4-PI()*0.6*0.6/4)*(C18-AB18)+(1.5*1.5-1.1*1.1)*1.6,IF(X18=1000,(PI()*0.72*0.72/4-PI()*0.6*0.6/4)*(C18-AB18)+(1.94*1.94-1.5*1.5)*2.25,IF(X18=1200,(PI()*0.72*0.72/4-PI()*0.6*0.6/4)*(C18-AB18)+(-1.8*1.8+2.14*2.14)*2.25,IF(X18=1500,(PI()*0.72*0.72/4-PI()*0.6*0.6/4)*(C18-AB18)+(-2.2*2.2+2.44*2.44)*2.65,0))))),0)</f>
        <v>2.091283512077228</v>
      </c>
      <c r="Z18" s="310">
        <f t="shared" ref="Z18:Z19" si="15">K18*IF(X18&lt;=600,PI()*(0.06*2+X18/1000)*(0.06*2+X18/1000)/4-PI()*(X18/1000)*(X18/1000)/4,IF(X18=800,PI()*(0.08*2+X18/1000)*(0.08*2+X18/1000)/4-PI()*(X18/1000)*(X18/1000)/4,IF(X18&lt;=1000,PI()*(0.1*2+X18/1000)*(0.1*2+X18/1000)/4-PI()*(X18/1000)*(X18/1000)/4,IF(X18&lt;=1200,PI()*(0.12*2+X18/1000)*(0.12*2+X18/1000)/4-PI()*(X18/1000)*(X18/1000)/4,IF(X18&lt;=1500,PI()*(0.15*2+X18/1000)*(0.15*2+X18/1000)/4-PI()*(X18/1000)*(X18/1000)/4,0)))))</f>
        <v>8.1408830784633981</v>
      </c>
      <c r="AA18" s="310" t="s">
        <v>2608</v>
      </c>
      <c r="AB18" s="309">
        <v>959.18</v>
      </c>
      <c r="AC18" s="309"/>
      <c r="AD18" s="309">
        <v>0</v>
      </c>
      <c r="AE18" s="312" t="str">
        <f>IF(OR(RIGHT(LEFT(B18,7),1)="&gt;",RIGHT(LEFT(B18,7),1)="-"),IF(OR(RIGHT(LEFT(B18,6),1)="&gt;",RIGHT(LEFT(B18,6),1)="-"),LEFT(B18,5),LEFT(B18,6)),LEFT(B18,7))</f>
        <v>PV1.1</v>
      </c>
      <c r="AF18" s="307">
        <f>COUNTIF(M18,600)</f>
        <v>0</v>
      </c>
      <c r="AG18" s="307">
        <f>COUNTIF(M18,800)</f>
        <v>0</v>
      </c>
      <c r="AH18" s="307">
        <f>COUNTIF(M18,1000)</f>
        <v>1</v>
      </c>
      <c r="AI18" s="307">
        <f>COUNTIF(M18,1200)</f>
        <v>0</v>
      </c>
      <c r="AJ18" s="307">
        <f>COUNTIF(M18,1500)</f>
        <v>0</v>
      </c>
      <c r="AK18" s="307">
        <f>COUNTIF(M18,1650)</f>
        <v>0</v>
      </c>
      <c r="AL18" s="307">
        <f>AK18*IF((R18+S18)/2-1.65&lt;=2,1,0)</f>
        <v>0</v>
      </c>
      <c r="AM18" s="307">
        <f>AK18*IF((R18+S18)/2-1.65&lt;=3,1,0)-AL18</f>
        <v>0</v>
      </c>
      <c r="AN18" s="307">
        <f>AK18*IF((R18+S18)/2-1.65&lt;=4,1,0)-AL18-AM18</f>
        <v>0</v>
      </c>
      <c r="AQ18" s="313" t="str">
        <f>W18</f>
        <v>ASFALTO</v>
      </c>
    </row>
    <row r="19" spans="1:43" x14ac:dyDescent="0.25">
      <c r="A19" s="307"/>
      <c r="B19" s="308" t="s">
        <v>2599</v>
      </c>
      <c r="C19" s="309">
        <v>961.46749300635088</v>
      </c>
      <c r="D19" s="309">
        <v>960.21150685839029</v>
      </c>
      <c r="E19" s="309">
        <v>0</v>
      </c>
      <c r="F19" s="309">
        <v>8.7507999999999999</v>
      </c>
      <c r="G19" s="309">
        <v>0.7</v>
      </c>
      <c r="H19" s="309">
        <v>1.4999999999999999E-2</v>
      </c>
      <c r="I19" s="310">
        <v>19.441536334008482</v>
      </c>
      <c r="J19" s="310">
        <v>104.09285804881924</v>
      </c>
      <c r="K19" s="310">
        <v>36.808573383619702</v>
      </c>
      <c r="L19" s="310">
        <v>1771.178637153761</v>
      </c>
      <c r="M19" s="308">
        <v>1000</v>
      </c>
      <c r="N19" s="308"/>
      <c r="O19" s="310">
        <v>1.7819999999999998</v>
      </c>
      <c r="P19" s="310">
        <v>3.7447978023037174</v>
      </c>
      <c r="Q19" s="310">
        <v>58.06220000000009</v>
      </c>
      <c r="R19" s="310">
        <v>3.6000000000000227</v>
      </c>
      <c r="S19" s="310">
        <v>3</v>
      </c>
      <c r="T19" s="309">
        <v>957.86749300635086</v>
      </c>
      <c r="U19" s="309">
        <v>957.21150685839029</v>
      </c>
      <c r="V19" s="310">
        <v>0</v>
      </c>
      <c r="W19" s="310" t="s">
        <v>2392</v>
      </c>
      <c r="X19" s="310">
        <v>800</v>
      </c>
      <c r="Y19" s="310"/>
      <c r="Z19" s="310">
        <f t="shared" si="15"/>
        <v>8.1408830786694732</v>
      </c>
      <c r="AA19" s="310"/>
      <c r="AB19" s="309"/>
      <c r="AC19" s="309"/>
      <c r="AD19" s="309">
        <v>0</v>
      </c>
      <c r="AE19" s="312" t="str">
        <f>IF(OR(RIGHT(LEFT(B19,7),1)="&gt;",RIGHT(LEFT(B19,7),1)="-"),IF(OR(RIGHT(LEFT(B19,6),1)="&gt;",RIGHT(LEFT(B19,6),1)="-"),LEFT(B19,5),LEFT(B19,6)),LEFT(B19,7))</f>
        <v>PV2.1</v>
      </c>
      <c r="AF19" s="307">
        <f>COUNTIF(M19,600)</f>
        <v>0</v>
      </c>
      <c r="AG19" s="307">
        <f>COUNTIF(M19,800)</f>
        <v>0</v>
      </c>
      <c r="AH19" s="307">
        <f>COUNTIF(M19,1000)</f>
        <v>1</v>
      </c>
      <c r="AI19" s="307">
        <f>COUNTIF(M19,1200)</f>
        <v>0</v>
      </c>
      <c r="AJ19" s="307">
        <f>COUNTIF(M19,1500)</f>
        <v>0</v>
      </c>
      <c r="AK19" s="307">
        <f>COUNTIF(M19,1650)</f>
        <v>0</v>
      </c>
      <c r="AL19" s="307">
        <f>AK19*IF((R19+S19)/2-1.65&lt;=2,1,0)</f>
        <v>0</v>
      </c>
      <c r="AM19" s="307">
        <f>AK19*IF((R19+S19)/2-1.65&lt;=3,1,0)-AL19</f>
        <v>0</v>
      </c>
      <c r="AN19" s="307">
        <f>AK19*IF((R19+S19)/2-1.65&lt;=4,1,0)-AL19-AM19</f>
        <v>0</v>
      </c>
      <c r="AQ19" s="313" t="str">
        <f>W19</f>
        <v>ASFALTO</v>
      </c>
    </row>
    <row r="20" spans="1:43" ht="13" x14ac:dyDescent="0.3">
      <c r="B20" s="306" t="s">
        <v>2467</v>
      </c>
      <c r="C20" s="305"/>
      <c r="D20" s="305"/>
      <c r="E20" s="305"/>
      <c r="F20" s="305"/>
      <c r="G20" s="305"/>
      <c r="H20" s="305"/>
      <c r="I20" s="305"/>
      <c r="J20" s="305"/>
      <c r="K20" s="305"/>
      <c r="L20" s="305"/>
      <c r="M20" s="305"/>
      <c r="N20" s="305"/>
      <c r="O20" s="305"/>
      <c r="P20" s="305"/>
      <c r="Q20" s="305"/>
      <c r="R20" s="305"/>
      <c r="S20" s="305"/>
      <c r="T20" s="305"/>
      <c r="U20" s="305"/>
      <c r="V20" s="305"/>
      <c r="W20" s="314"/>
      <c r="X20" s="315"/>
      <c r="Y20" s="305"/>
      <c r="Z20" s="305"/>
      <c r="AA20" s="315"/>
      <c r="AB20" s="315"/>
      <c r="AC20" s="314"/>
      <c r="AD20" s="314"/>
      <c r="AE20" s="305"/>
      <c r="AF20" s="305"/>
      <c r="AG20" s="305"/>
      <c r="AH20" s="305"/>
      <c r="AI20" s="305"/>
      <c r="AJ20" s="305"/>
      <c r="AK20" s="305"/>
      <c r="AL20" s="305"/>
      <c r="AM20" s="305"/>
      <c r="AN20" s="305"/>
    </row>
    <row r="21" spans="1:43" x14ac:dyDescent="0.25">
      <c r="A21" s="307"/>
      <c r="B21" s="308" t="s">
        <v>2597</v>
      </c>
      <c r="C21" s="309">
        <v>955.23500000000001</v>
      </c>
      <c r="D21" s="309">
        <v>953.47799999999995</v>
      </c>
      <c r="E21" s="309">
        <v>7.2359999999999998</v>
      </c>
      <c r="F21" s="309">
        <v>7.2359999999999998</v>
      </c>
      <c r="G21" s="309">
        <v>0.7</v>
      </c>
      <c r="H21" s="309">
        <v>1.4999999999999999E-2</v>
      </c>
      <c r="I21" s="310">
        <v>19.96</v>
      </c>
      <c r="J21" s="310">
        <v>285.19</v>
      </c>
      <c r="K21" s="310">
        <v>51.56</v>
      </c>
      <c r="L21" s="310">
        <v>1444.54</v>
      </c>
      <c r="M21" s="308">
        <v>1200</v>
      </c>
      <c r="N21" s="308"/>
      <c r="O21" s="310">
        <v>2.39</v>
      </c>
      <c r="P21" s="310">
        <v>3.95</v>
      </c>
      <c r="Q21" s="310">
        <v>35.97</v>
      </c>
      <c r="R21" s="310">
        <v>3.53</v>
      </c>
      <c r="S21" s="310">
        <v>3</v>
      </c>
      <c r="T21" s="309">
        <v>951.70799999999997</v>
      </c>
      <c r="U21" s="309">
        <v>950.47799999999995</v>
      </c>
      <c r="V21" s="310">
        <v>0</v>
      </c>
      <c r="W21" s="310" t="s">
        <v>2392</v>
      </c>
      <c r="X21" s="310">
        <v>1000</v>
      </c>
      <c r="Y21" s="310">
        <f t="shared" ref="Y21:Y23" si="16">IFERROR(IF(X21&lt;=600,(PI()*0.72*0.72/4-PI()*0.6*0.6/4)*(C21-AB21)+(1.3*1.3-1.1*1.1)*1.6,IF(X21=800,(PI()*0.72*0.72/4-PI()*0.6*0.6/4)*(C21-AB21)+(1.5*1.5-1.1*1.1)*1.6,IF(X21=1000,(PI()*0.72*0.72/4-PI()*0.6*0.6/4)*(C21-AB21)+(1.94*1.94-1.5*1.5)*2.25,IF(X21=1200,(PI()*0.72*0.72/4-PI()*0.6*0.6/4)*(C21-AB21)+(-1.8*1.8+2.14*2.14)*2.25,IF(X21=1500,(PI()*0.72*0.72/4-PI()*0.6*0.6/4)*(C21-AB21)+(-2.2*2.2+2.44*2.44)*2.65,0))))),0)</f>
        <v>3.833809131780781</v>
      </c>
      <c r="Z21" s="310">
        <f t="shared" ref="Z21:Z32" si="17">K21*IF(X21&lt;=600,PI()*(0.06*2+X21/1000)*(0.06*2+X21/1000)/4-PI()*(X21/1000)*(X21/1000)/4,IF(X21=800,PI()*(0.08*2+X21/1000)*(0.08*2+X21/1000)/4-PI()*(X21/1000)*(X21/1000)/4,IF(X21&lt;=1000,PI()*(0.1*2+X21/1000)*(0.1*2+X21/1000)/4-PI()*(X21/1000)*(X21/1000)/4,IF(X21&lt;=1200,PI()*(0.12*2+X21/1000)*(0.12*2+X21/1000)/4-PI()*(X21/1000)*(X21/1000)/4,IF(X21&lt;=1500,PI()*(0.15*2+X21/1000)*(0.15*2+X21/1000)/4-PI()*(X21/1000)*(X21/1000)/4,0)))))</f>
        <v>17.817856894099872</v>
      </c>
      <c r="AA21" s="310" t="s">
        <v>2609</v>
      </c>
      <c r="AB21" s="309">
        <v>951.79300000000001</v>
      </c>
      <c r="AC21" s="309"/>
      <c r="AD21" s="309">
        <v>0</v>
      </c>
      <c r="AE21" s="312" t="str">
        <f>IF(OR(RIGHT(LEFT(B21,7),1)="&gt;",RIGHT(LEFT(B21,7),1)="-"),IF(OR(RIGHT(LEFT(B21,6),1)="&gt;",RIGHT(LEFT(B21,6),1)="-"),LEFT(B21,5),LEFT(B21,6)),LEFT(B21,7))</f>
        <v>PV1.1</v>
      </c>
      <c r="AF21" s="307">
        <f>COUNTIF(M21,600)</f>
        <v>0</v>
      </c>
      <c r="AG21" s="307">
        <f>COUNTIF(M21,800)</f>
        <v>0</v>
      </c>
      <c r="AH21" s="307">
        <f>COUNTIF(M21,1000)</f>
        <v>0</v>
      </c>
      <c r="AI21" s="307">
        <f>COUNTIF(M21,1200)</f>
        <v>1</v>
      </c>
      <c r="AJ21" s="307">
        <f>COUNTIF(M21,1500)</f>
        <v>0</v>
      </c>
      <c r="AK21" s="307">
        <f>COUNTIF(M21,1650)</f>
        <v>0</v>
      </c>
      <c r="AL21" s="307">
        <f>AK21*IF((R21+S21)/2-1.65&lt;=2,1,0)</f>
        <v>0</v>
      </c>
      <c r="AM21" s="307">
        <f>AK21*IF((R21+S21)/2-1.65&lt;=3,1,0)-AL21</f>
        <v>0</v>
      </c>
      <c r="AN21" s="307">
        <f>AK21*IF((R21+S21)/2-1.65&lt;=4,1,0)-AL21-AM21</f>
        <v>0</v>
      </c>
      <c r="AQ21" s="313" t="str">
        <f t="shared" ref="AQ21:AQ32" si="18">W21</f>
        <v>ASFALTO</v>
      </c>
    </row>
    <row r="22" spans="1:43" x14ac:dyDescent="0.25">
      <c r="B22" s="308" t="s">
        <v>2599</v>
      </c>
      <c r="C22" s="309">
        <v>953.47799999999995</v>
      </c>
      <c r="D22" s="309">
        <v>952.84500000000003</v>
      </c>
      <c r="E22" s="309">
        <v>0.435</v>
      </c>
      <c r="F22" s="309">
        <v>7.6710000000000003</v>
      </c>
      <c r="G22" s="309">
        <v>0.7</v>
      </c>
      <c r="H22" s="309">
        <v>1.4999999999999999E-2</v>
      </c>
      <c r="I22" s="310">
        <v>20.18</v>
      </c>
      <c r="J22" s="310">
        <v>283.57</v>
      </c>
      <c r="K22" s="310">
        <v>18.510000000000002</v>
      </c>
      <c r="L22" s="310">
        <v>1522.6</v>
      </c>
      <c r="M22" s="308">
        <v>1200</v>
      </c>
      <c r="N22" s="308"/>
      <c r="O22" s="310">
        <v>3.42</v>
      </c>
      <c r="P22" s="310">
        <v>4.5599999999999996</v>
      </c>
      <c r="Q22" s="310">
        <v>33.619999999999997</v>
      </c>
      <c r="R22" s="310">
        <v>3</v>
      </c>
      <c r="S22" s="310">
        <v>3</v>
      </c>
      <c r="T22" s="309">
        <v>950.47799999999995</v>
      </c>
      <c r="U22" s="309">
        <v>949.84500000000003</v>
      </c>
      <c r="V22" s="310">
        <v>0</v>
      </c>
      <c r="W22" s="310" t="s">
        <v>2392</v>
      </c>
      <c r="X22" s="310">
        <v>1000</v>
      </c>
      <c r="Y22" s="310">
        <f t="shared" si="16"/>
        <v>3.7657584649928384</v>
      </c>
      <c r="Z22" s="310">
        <f t="shared" si="17"/>
        <v>6.3965968019741792</v>
      </c>
      <c r="AA22" s="310" t="s">
        <v>2610</v>
      </c>
      <c r="AB22" s="309">
        <v>950.58299999999997</v>
      </c>
      <c r="AC22" s="309"/>
      <c r="AD22" s="309">
        <v>0</v>
      </c>
      <c r="AE22" s="312" t="str">
        <f t="shared" ref="AE22:AE32" si="19">IF(OR(RIGHT(LEFT(B22,7),1)="&gt;",RIGHT(LEFT(B22,7),1)="-"),IF(OR(RIGHT(LEFT(B22,6),1)="&gt;",RIGHT(LEFT(B22,6),1)="-"),LEFT(B22,5),LEFT(B22,6)),LEFT(B22,7))</f>
        <v>PV2.1</v>
      </c>
      <c r="AF22" s="307">
        <f t="shared" ref="AF22:AF32" si="20">COUNTIF(M22,600)</f>
        <v>0</v>
      </c>
      <c r="AG22" s="307">
        <f t="shared" ref="AG22:AG32" si="21">COUNTIF(M22,800)</f>
        <v>0</v>
      </c>
      <c r="AH22" s="307">
        <f t="shared" ref="AH22:AH32" si="22">COUNTIF(M22,1000)</f>
        <v>0</v>
      </c>
      <c r="AI22" s="307">
        <f t="shared" ref="AI22:AI32" si="23">COUNTIF(M22,1200)</f>
        <v>1</v>
      </c>
      <c r="AJ22" s="307">
        <f t="shared" ref="AJ22:AJ32" si="24">COUNTIF(M22,1500)</f>
        <v>0</v>
      </c>
      <c r="AK22" s="307">
        <f t="shared" ref="AK22:AK32" si="25">COUNTIF(M22,1650)</f>
        <v>0</v>
      </c>
      <c r="AL22" s="307">
        <f t="shared" ref="AL22:AL32" si="26">AK22*IF((R22+S22)/2-1.65&lt;=2,1,0)</f>
        <v>0</v>
      </c>
      <c r="AM22" s="307">
        <f t="shared" ref="AM22:AM32" si="27">AK22*IF((R22+S22)/2-1.65&lt;=3,1,0)-AL22</f>
        <v>0</v>
      </c>
      <c r="AN22" s="307">
        <f t="shared" ref="AN22:AN32" si="28">AK22*IF((R22+S22)/2-1.65&lt;=4,1,0)-AL22-AM22</f>
        <v>0</v>
      </c>
      <c r="AQ22" s="313" t="str">
        <f t="shared" si="18"/>
        <v>ASFALTO</v>
      </c>
    </row>
    <row r="23" spans="1:43" x14ac:dyDescent="0.25">
      <c r="B23" s="308" t="s">
        <v>2600</v>
      </c>
      <c r="C23" s="309">
        <v>952.84500000000003</v>
      </c>
      <c r="D23" s="309">
        <v>951.70500000000004</v>
      </c>
      <c r="E23" s="309">
        <v>1.992</v>
      </c>
      <c r="F23" s="309">
        <v>9.6630000000000003</v>
      </c>
      <c r="G23" s="309">
        <v>0.7</v>
      </c>
      <c r="H23" s="309">
        <v>1.4999999999999999E-2</v>
      </c>
      <c r="I23" s="310">
        <v>20.25</v>
      </c>
      <c r="J23" s="310">
        <v>283.07</v>
      </c>
      <c r="K23" s="310">
        <v>37.4</v>
      </c>
      <c r="L23" s="310">
        <v>1914.71</v>
      </c>
      <c r="M23" s="308">
        <v>1200</v>
      </c>
      <c r="N23" s="308"/>
      <c r="O23" s="310">
        <v>3.08</v>
      </c>
      <c r="P23" s="310">
        <v>4.68</v>
      </c>
      <c r="Q23" s="310">
        <v>39.07</v>
      </c>
      <c r="R23" s="310">
        <v>3</v>
      </c>
      <c r="S23" s="310">
        <v>3.01</v>
      </c>
      <c r="T23" s="309">
        <v>949.84500000000003</v>
      </c>
      <c r="U23" s="309">
        <v>948.69200000000001</v>
      </c>
      <c r="V23" s="310">
        <v>0</v>
      </c>
      <c r="W23" s="310" t="s">
        <v>2392</v>
      </c>
      <c r="X23" s="310">
        <v>1000</v>
      </c>
      <c r="Y23" s="310">
        <f t="shared" si="16"/>
        <v>3.8329382822972122</v>
      </c>
      <c r="Z23" s="310">
        <f t="shared" si="17"/>
        <v>12.92451217686841</v>
      </c>
      <c r="AA23" s="310" t="s">
        <v>2611</v>
      </c>
      <c r="AB23" s="309">
        <v>949.41</v>
      </c>
      <c r="AC23" s="309"/>
      <c r="AD23" s="309">
        <v>0</v>
      </c>
      <c r="AE23" s="312" t="str">
        <f t="shared" si="19"/>
        <v>PV3.1</v>
      </c>
      <c r="AF23" s="307">
        <f t="shared" si="20"/>
        <v>0</v>
      </c>
      <c r="AG23" s="307">
        <f t="shared" si="21"/>
        <v>0</v>
      </c>
      <c r="AH23" s="307">
        <f t="shared" si="22"/>
        <v>0</v>
      </c>
      <c r="AI23" s="307">
        <f t="shared" si="23"/>
        <v>1</v>
      </c>
      <c r="AJ23" s="307">
        <f t="shared" si="24"/>
        <v>0</v>
      </c>
      <c r="AK23" s="307">
        <f t="shared" si="25"/>
        <v>0</v>
      </c>
      <c r="AL23" s="307">
        <f t="shared" si="26"/>
        <v>0</v>
      </c>
      <c r="AM23" s="307">
        <f t="shared" si="27"/>
        <v>0</v>
      </c>
      <c r="AN23" s="307">
        <f t="shared" si="28"/>
        <v>0</v>
      </c>
      <c r="AQ23" s="313" t="str">
        <f t="shared" si="18"/>
        <v>ASFALTO</v>
      </c>
    </row>
    <row r="24" spans="1:43" x14ac:dyDescent="0.25">
      <c r="B24" s="308" t="s">
        <v>2602</v>
      </c>
      <c r="C24" s="309">
        <v>951.70500000000004</v>
      </c>
      <c r="D24" s="309">
        <v>950.53899999999999</v>
      </c>
      <c r="E24" s="309">
        <v>0</v>
      </c>
      <c r="F24" s="309">
        <v>9.6630000000000003</v>
      </c>
      <c r="G24" s="309">
        <v>0.7</v>
      </c>
      <c r="H24" s="309">
        <v>1.4999999999999999E-2</v>
      </c>
      <c r="I24" s="310">
        <v>20.38</v>
      </c>
      <c r="J24" s="310">
        <v>282.08999999999997</v>
      </c>
      <c r="K24" s="310">
        <v>37.4</v>
      </c>
      <c r="L24" s="310">
        <v>1908.08</v>
      </c>
      <c r="M24" s="308">
        <v>1200</v>
      </c>
      <c r="N24" s="308"/>
      <c r="O24" s="310">
        <v>3.08</v>
      </c>
      <c r="P24" s="310">
        <v>4.67</v>
      </c>
      <c r="Q24" s="310">
        <v>39</v>
      </c>
      <c r="R24" s="310">
        <v>3.01</v>
      </c>
      <c r="S24" s="310">
        <v>3</v>
      </c>
      <c r="T24" s="309">
        <v>948.69200000000001</v>
      </c>
      <c r="U24" s="309">
        <v>947.53899999999999</v>
      </c>
      <c r="V24" s="310">
        <v>0.3</v>
      </c>
      <c r="W24" s="310" t="s">
        <v>2392</v>
      </c>
      <c r="X24" s="310">
        <v>1000</v>
      </c>
      <c r="Y24" s="310"/>
      <c r="Z24" s="310">
        <f t="shared" si="17"/>
        <v>12.92451217686841</v>
      </c>
      <c r="AA24" s="310"/>
      <c r="AB24" s="309"/>
      <c r="AC24" s="309"/>
      <c r="AD24" s="309">
        <v>0</v>
      </c>
      <c r="AE24" s="312" t="str">
        <f t="shared" si="19"/>
        <v>PV4.1</v>
      </c>
      <c r="AF24" s="307">
        <f t="shared" si="20"/>
        <v>0</v>
      </c>
      <c r="AG24" s="307">
        <f t="shared" si="21"/>
        <v>0</v>
      </c>
      <c r="AH24" s="307">
        <f t="shared" si="22"/>
        <v>0</v>
      </c>
      <c r="AI24" s="307">
        <f t="shared" si="23"/>
        <v>1</v>
      </c>
      <c r="AJ24" s="307">
        <f t="shared" si="24"/>
        <v>0</v>
      </c>
      <c r="AK24" s="307">
        <f t="shared" si="25"/>
        <v>0</v>
      </c>
      <c r="AL24" s="307">
        <f t="shared" si="26"/>
        <v>0</v>
      </c>
      <c r="AM24" s="307">
        <f t="shared" si="27"/>
        <v>0</v>
      </c>
      <c r="AN24" s="307">
        <f t="shared" si="28"/>
        <v>0</v>
      </c>
      <c r="AQ24" s="313" t="str">
        <f t="shared" si="18"/>
        <v>ASFALTO</v>
      </c>
    </row>
    <row r="25" spans="1:43" x14ac:dyDescent="0.25">
      <c r="B25" s="308" t="s">
        <v>2604</v>
      </c>
      <c r="C25" s="309">
        <v>950.53899999999999</v>
      </c>
      <c r="D25" s="309">
        <v>949.63400000000001</v>
      </c>
      <c r="E25" s="309">
        <v>2.516</v>
      </c>
      <c r="F25" s="309">
        <v>12.179</v>
      </c>
      <c r="G25" s="309">
        <v>0.7</v>
      </c>
      <c r="H25" s="309">
        <v>1.4999999999999999E-2</v>
      </c>
      <c r="I25" s="310">
        <v>20.51</v>
      </c>
      <c r="J25" s="310">
        <v>281.12</v>
      </c>
      <c r="K25" s="310">
        <v>35.840000000000003</v>
      </c>
      <c r="L25" s="310">
        <v>2396.67</v>
      </c>
      <c r="M25" s="308">
        <v>1500</v>
      </c>
      <c r="N25" s="308"/>
      <c r="O25" s="310">
        <v>2.33</v>
      </c>
      <c r="P25" s="310">
        <v>4.43</v>
      </c>
      <c r="Q25" s="310">
        <v>34.520000000000003</v>
      </c>
      <c r="R25" s="310">
        <v>3.3</v>
      </c>
      <c r="S25" s="310">
        <v>3.23</v>
      </c>
      <c r="T25" s="309">
        <v>947.23900000000003</v>
      </c>
      <c r="U25" s="309">
        <v>946.404</v>
      </c>
      <c r="V25" s="310">
        <v>0</v>
      </c>
      <c r="W25" s="310" t="s">
        <v>2392</v>
      </c>
      <c r="X25" s="310">
        <v>1200</v>
      </c>
      <c r="Y25" s="310">
        <f t="shared" ref="Y25" si="29">IFERROR(IF(X25&lt;=600,(PI()*0.72*0.72/4-PI()*0.6*0.6/4)*(C25-AB25)+(1.3*1.3-1.1*1.1)*1.6,IF(X25=800,(PI()*0.72*0.72/4-PI()*0.6*0.6/4)*(C25-AB25)+(1.5*1.5-1.1*1.1)*1.6,IF(X25=1000,(PI()*0.72*0.72/4-PI()*0.6*0.6/4)*(C25-AB25)+(1.94*1.94-1.5*1.5)*2.25,IF(X25=1200,(PI()*0.72*0.72/4-PI()*0.6*0.6/4)*(C25-AB25)+(-1.8*1.8+2.14*2.14)*2.25,IF(X25=1500,(PI()*0.72*0.72/4-PI()*0.6*0.6/4)*(C25-AB25)+(-2.2*2.2+2.44*2.44)*2.65,0))))),0)</f>
        <v>3.4531325467909273</v>
      </c>
      <c r="Z25" s="310">
        <f t="shared" si="17"/>
        <v>17.83499742361786</v>
      </c>
      <c r="AA25" s="310" t="s">
        <v>2612</v>
      </c>
      <c r="AB25" s="309">
        <v>947.01</v>
      </c>
      <c r="AC25" s="309"/>
      <c r="AD25" s="309">
        <v>0</v>
      </c>
      <c r="AE25" s="312" t="str">
        <f t="shared" si="19"/>
        <v>PV5.1</v>
      </c>
      <c r="AF25" s="307">
        <f t="shared" si="20"/>
        <v>0</v>
      </c>
      <c r="AG25" s="307">
        <f t="shared" si="21"/>
        <v>0</v>
      </c>
      <c r="AH25" s="307">
        <f t="shared" si="22"/>
        <v>0</v>
      </c>
      <c r="AI25" s="307">
        <f t="shared" si="23"/>
        <v>0</v>
      </c>
      <c r="AJ25" s="307">
        <f t="shared" si="24"/>
        <v>1</v>
      </c>
      <c r="AK25" s="307">
        <f t="shared" si="25"/>
        <v>0</v>
      </c>
      <c r="AL25" s="307">
        <f t="shared" si="26"/>
        <v>0</v>
      </c>
      <c r="AM25" s="307">
        <f t="shared" si="27"/>
        <v>0</v>
      </c>
      <c r="AN25" s="307">
        <f t="shared" si="28"/>
        <v>0</v>
      </c>
      <c r="AQ25" s="313" t="str">
        <f t="shared" si="18"/>
        <v>ASFALTO</v>
      </c>
    </row>
    <row r="26" spans="1:43" x14ac:dyDescent="0.25">
      <c r="B26" s="308" t="s">
        <v>2605</v>
      </c>
      <c r="C26" s="309">
        <v>949.63400000000001</v>
      </c>
      <c r="D26" s="309">
        <v>948.86800000000005</v>
      </c>
      <c r="E26" s="309">
        <v>0</v>
      </c>
      <c r="F26" s="309">
        <v>12.18</v>
      </c>
      <c r="G26" s="309">
        <v>0.7</v>
      </c>
      <c r="H26" s="309">
        <v>1.4999999999999999E-2</v>
      </c>
      <c r="I26" s="310">
        <v>20.65</v>
      </c>
      <c r="J26" s="310">
        <v>280.14</v>
      </c>
      <c r="K26" s="310">
        <v>35.840000000000003</v>
      </c>
      <c r="L26" s="310">
        <v>2388.35</v>
      </c>
      <c r="M26" s="308">
        <v>1500</v>
      </c>
      <c r="N26" s="308"/>
      <c r="O26" s="310">
        <v>2.33</v>
      </c>
      <c r="P26" s="310">
        <v>4.43</v>
      </c>
      <c r="Q26" s="310">
        <v>34.46</v>
      </c>
      <c r="R26" s="310">
        <v>3.23</v>
      </c>
      <c r="S26" s="310">
        <v>3.3</v>
      </c>
      <c r="T26" s="309">
        <v>946.404</v>
      </c>
      <c r="U26" s="309">
        <v>945.56799999999998</v>
      </c>
      <c r="V26" s="310">
        <v>0</v>
      </c>
      <c r="W26" s="310" t="s">
        <v>2392</v>
      </c>
      <c r="X26" s="310">
        <v>1200</v>
      </c>
      <c r="Y26" s="310"/>
      <c r="Z26" s="310">
        <f t="shared" si="17"/>
        <v>17.83499742361786</v>
      </c>
      <c r="AA26" s="310"/>
      <c r="AB26" s="309"/>
      <c r="AC26" s="309"/>
      <c r="AD26" s="309">
        <v>0</v>
      </c>
      <c r="AE26" s="312" t="str">
        <f t="shared" si="19"/>
        <v>PV6.1</v>
      </c>
      <c r="AF26" s="307">
        <f t="shared" si="20"/>
        <v>0</v>
      </c>
      <c r="AG26" s="307">
        <f t="shared" si="21"/>
        <v>0</v>
      </c>
      <c r="AH26" s="307">
        <f t="shared" si="22"/>
        <v>0</v>
      </c>
      <c r="AI26" s="307">
        <f t="shared" si="23"/>
        <v>0</v>
      </c>
      <c r="AJ26" s="307">
        <f t="shared" si="24"/>
        <v>1</v>
      </c>
      <c r="AK26" s="307">
        <f t="shared" si="25"/>
        <v>0</v>
      </c>
      <c r="AL26" s="307">
        <f t="shared" si="26"/>
        <v>0</v>
      </c>
      <c r="AM26" s="307">
        <f t="shared" si="27"/>
        <v>0</v>
      </c>
      <c r="AN26" s="307">
        <f t="shared" si="28"/>
        <v>0</v>
      </c>
      <c r="AQ26" s="313" t="str">
        <f t="shared" si="18"/>
        <v>ASFALTO</v>
      </c>
    </row>
    <row r="27" spans="1:43" x14ac:dyDescent="0.25">
      <c r="B27" s="308" t="s">
        <v>2607</v>
      </c>
      <c r="C27" s="309">
        <v>948.86800000000005</v>
      </c>
      <c r="D27" s="309">
        <v>948.19500000000005</v>
      </c>
      <c r="E27" s="309">
        <v>2.5299999999999998</v>
      </c>
      <c r="F27" s="309">
        <v>14.709</v>
      </c>
      <c r="G27" s="309">
        <v>0.7</v>
      </c>
      <c r="H27" s="309">
        <v>1.4999999999999999E-2</v>
      </c>
      <c r="I27" s="310">
        <v>20.78</v>
      </c>
      <c r="J27" s="310">
        <v>279.17</v>
      </c>
      <c r="K27" s="310">
        <v>36.29</v>
      </c>
      <c r="L27" s="310">
        <v>2874.45</v>
      </c>
      <c r="M27" s="308">
        <v>1500</v>
      </c>
      <c r="N27" s="308"/>
      <c r="O27" s="310">
        <v>1.83</v>
      </c>
      <c r="P27" s="310">
        <v>4.26</v>
      </c>
      <c r="Q27" s="310">
        <v>40.65</v>
      </c>
      <c r="R27" s="310">
        <v>3.3</v>
      </c>
      <c r="S27" s="310">
        <v>3.29</v>
      </c>
      <c r="T27" s="309">
        <v>945.56799999999998</v>
      </c>
      <c r="U27" s="309">
        <v>944.90499999999997</v>
      </c>
      <c r="V27" s="310">
        <v>0</v>
      </c>
      <c r="W27" s="310" t="s">
        <v>2392</v>
      </c>
      <c r="X27" s="310">
        <v>1200</v>
      </c>
      <c r="Y27" s="310">
        <f t="shared" ref="Y27:Y29" si="30">IFERROR(IF(X27&lt;=600,(PI()*0.72*0.72/4-PI()*0.6*0.6/4)*(C27-AB27)+(1.3*1.3-1.1*1.1)*1.6,IF(X27=800,(PI()*0.72*0.72/4-PI()*0.6*0.6/4)*(C27-AB27)+(1.5*1.5-1.1*1.1)*1.6,IF(X27=1000,(PI()*0.72*0.72/4-PI()*0.6*0.6/4)*(C27-AB27)+(1.94*1.94-1.5*1.5)*2.25,IF(X27=1200,(PI()*0.72*0.72/4-PI()*0.6*0.6/4)*(C27-AB27)+(-1.8*1.8+2.14*2.14)*2.25,IF(X27=1500,(PI()*0.72*0.72/4-PI()*0.6*0.6/4)*(C27-AB27)+(-2.2*2.2+2.44*2.44)*2.65,0))))),0)</f>
        <v>3.469181058702528</v>
      </c>
      <c r="Z27" s="310">
        <f t="shared" si="17"/>
        <v>18.058930147965739</v>
      </c>
      <c r="AA27" s="310" t="s">
        <v>2613</v>
      </c>
      <c r="AB27" s="309">
        <v>945.21</v>
      </c>
      <c r="AC27" s="309"/>
      <c r="AD27" s="309">
        <v>0</v>
      </c>
      <c r="AE27" s="312" t="str">
        <f t="shared" si="19"/>
        <v>PV7.1</v>
      </c>
      <c r="AF27" s="307">
        <f t="shared" si="20"/>
        <v>0</v>
      </c>
      <c r="AG27" s="307">
        <f t="shared" si="21"/>
        <v>0</v>
      </c>
      <c r="AH27" s="307">
        <f t="shared" si="22"/>
        <v>0</v>
      </c>
      <c r="AI27" s="307">
        <f t="shared" si="23"/>
        <v>0</v>
      </c>
      <c r="AJ27" s="307">
        <f t="shared" si="24"/>
        <v>1</v>
      </c>
      <c r="AK27" s="307">
        <f t="shared" si="25"/>
        <v>0</v>
      </c>
      <c r="AL27" s="307">
        <f t="shared" si="26"/>
        <v>0</v>
      </c>
      <c r="AM27" s="307">
        <f t="shared" si="27"/>
        <v>0</v>
      </c>
      <c r="AN27" s="307">
        <f t="shared" si="28"/>
        <v>0</v>
      </c>
      <c r="AQ27" s="313" t="str">
        <f t="shared" si="18"/>
        <v>ASFALTO</v>
      </c>
    </row>
    <row r="28" spans="1:43" x14ac:dyDescent="0.25">
      <c r="B28" s="308" t="s">
        <v>2614</v>
      </c>
      <c r="C28" s="309">
        <v>948.19500000000005</v>
      </c>
      <c r="D28" s="309">
        <v>947.54100000000005</v>
      </c>
      <c r="E28" s="309">
        <v>0</v>
      </c>
      <c r="F28" s="309">
        <v>14.709</v>
      </c>
      <c r="G28" s="309">
        <v>0.7</v>
      </c>
      <c r="H28" s="309">
        <v>1.4999999999999999E-2</v>
      </c>
      <c r="I28" s="310">
        <v>20.92</v>
      </c>
      <c r="J28" s="310">
        <v>278.16000000000003</v>
      </c>
      <c r="K28" s="310">
        <v>36.29</v>
      </c>
      <c r="L28" s="310">
        <v>2864.03</v>
      </c>
      <c r="M28" s="308">
        <v>1500</v>
      </c>
      <c r="N28" s="308"/>
      <c r="O28" s="310">
        <v>1.83</v>
      </c>
      <c r="P28" s="310">
        <v>4.26</v>
      </c>
      <c r="Q28" s="310">
        <v>40.57</v>
      </c>
      <c r="R28" s="310">
        <v>3.29</v>
      </c>
      <c r="S28" s="310">
        <v>3.3</v>
      </c>
      <c r="T28" s="309">
        <v>944.90499999999997</v>
      </c>
      <c r="U28" s="309">
        <v>944.24099999999999</v>
      </c>
      <c r="V28" s="310">
        <v>0</v>
      </c>
      <c r="W28" s="310" t="s">
        <v>2392</v>
      </c>
      <c r="X28" s="310">
        <v>1200</v>
      </c>
      <c r="Y28" s="310"/>
      <c r="Z28" s="310">
        <f t="shared" si="17"/>
        <v>18.058930147965739</v>
      </c>
      <c r="AA28" s="310"/>
      <c r="AB28" s="309"/>
      <c r="AC28" s="309"/>
      <c r="AD28" s="309">
        <v>0</v>
      </c>
      <c r="AE28" s="312" t="str">
        <f t="shared" si="19"/>
        <v>PV8.1</v>
      </c>
      <c r="AF28" s="307">
        <f t="shared" si="20"/>
        <v>0</v>
      </c>
      <c r="AG28" s="307">
        <f t="shared" si="21"/>
        <v>0</v>
      </c>
      <c r="AH28" s="307">
        <f t="shared" si="22"/>
        <v>0</v>
      </c>
      <c r="AI28" s="307">
        <f t="shared" si="23"/>
        <v>0</v>
      </c>
      <c r="AJ28" s="307">
        <f t="shared" si="24"/>
        <v>1</v>
      </c>
      <c r="AK28" s="307">
        <f t="shared" si="25"/>
        <v>0</v>
      </c>
      <c r="AL28" s="307">
        <f t="shared" si="26"/>
        <v>0</v>
      </c>
      <c r="AM28" s="307">
        <f t="shared" si="27"/>
        <v>0</v>
      </c>
      <c r="AN28" s="307">
        <f t="shared" si="28"/>
        <v>0</v>
      </c>
      <c r="AQ28" s="313" t="str">
        <f t="shared" si="18"/>
        <v>ASFALTO</v>
      </c>
    </row>
    <row r="29" spans="1:43" x14ac:dyDescent="0.25">
      <c r="B29" s="308" t="s">
        <v>2615</v>
      </c>
      <c r="C29" s="309">
        <v>947.54100000000005</v>
      </c>
      <c r="D29" s="309">
        <v>946.88400000000001</v>
      </c>
      <c r="E29" s="309">
        <v>2.0619999999999998</v>
      </c>
      <c r="F29" s="309">
        <v>16.771999999999998</v>
      </c>
      <c r="G29" s="309">
        <v>0.7</v>
      </c>
      <c r="H29" s="309">
        <v>1.4999999999999999E-2</v>
      </c>
      <c r="I29" s="310">
        <v>21.07</v>
      </c>
      <c r="J29" s="310">
        <v>277.14999999999998</v>
      </c>
      <c r="K29" s="310">
        <v>36.979999999999997</v>
      </c>
      <c r="L29" s="310">
        <v>3253.8</v>
      </c>
      <c r="M29" s="308">
        <v>1500</v>
      </c>
      <c r="N29" s="308"/>
      <c r="O29" s="310">
        <v>1.96</v>
      </c>
      <c r="P29" s="310">
        <v>4.5199999999999996</v>
      </c>
      <c r="Q29" s="310">
        <v>42.72</v>
      </c>
      <c r="R29" s="310">
        <v>3.3</v>
      </c>
      <c r="S29" s="310">
        <v>3.37</v>
      </c>
      <c r="T29" s="309">
        <v>944.24099999999999</v>
      </c>
      <c r="U29" s="309">
        <v>943.51800000000003</v>
      </c>
      <c r="V29" s="310">
        <v>0</v>
      </c>
      <c r="W29" s="310" t="s">
        <v>2392</v>
      </c>
      <c r="X29" s="310">
        <v>1200</v>
      </c>
      <c r="Y29" s="310">
        <f t="shared" si="30"/>
        <v>3.4620898557648432</v>
      </c>
      <c r="Z29" s="310">
        <f t="shared" si="17"/>
        <v>18.402293658632487</v>
      </c>
      <c r="AA29" s="310" t="s">
        <v>2616</v>
      </c>
      <c r="AB29" s="309">
        <v>943.94</v>
      </c>
      <c r="AC29" s="309"/>
      <c r="AD29" s="309">
        <v>0</v>
      </c>
      <c r="AE29" s="312" t="str">
        <f t="shared" si="19"/>
        <v>PV9.1</v>
      </c>
      <c r="AF29" s="307">
        <f t="shared" si="20"/>
        <v>0</v>
      </c>
      <c r="AG29" s="307">
        <f t="shared" si="21"/>
        <v>0</v>
      </c>
      <c r="AH29" s="307">
        <f t="shared" si="22"/>
        <v>0</v>
      </c>
      <c r="AI29" s="307">
        <f t="shared" si="23"/>
        <v>0</v>
      </c>
      <c r="AJ29" s="307">
        <f t="shared" si="24"/>
        <v>1</v>
      </c>
      <c r="AK29" s="307">
        <f t="shared" si="25"/>
        <v>0</v>
      </c>
      <c r="AL29" s="307">
        <f t="shared" si="26"/>
        <v>0</v>
      </c>
      <c r="AM29" s="307">
        <f t="shared" si="27"/>
        <v>0</v>
      </c>
      <c r="AN29" s="307">
        <f t="shared" si="28"/>
        <v>0</v>
      </c>
      <c r="AQ29" s="313" t="str">
        <f t="shared" si="18"/>
        <v>ASFALTO</v>
      </c>
    </row>
    <row r="30" spans="1:43" x14ac:dyDescent="0.25">
      <c r="B30" s="308" t="s">
        <v>2617</v>
      </c>
      <c r="C30" s="309">
        <v>946.88400000000001</v>
      </c>
      <c r="D30" s="309">
        <v>946.09400000000005</v>
      </c>
      <c r="E30" s="309">
        <v>0</v>
      </c>
      <c r="F30" s="309">
        <v>16.771999999999998</v>
      </c>
      <c r="G30" s="309">
        <v>0.7</v>
      </c>
      <c r="H30" s="309">
        <v>1.4999999999999999E-2</v>
      </c>
      <c r="I30" s="310">
        <v>21.2</v>
      </c>
      <c r="J30" s="310">
        <v>276.2</v>
      </c>
      <c r="K30" s="310">
        <v>36.979999999999997</v>
      </c>
      <c r="L30" s="310">
        <v>3242.56</v>
      </c>
      <c r="M30" s="308">
        <v>1500</v>
      </c>
      <c r="N30" s="308"/>
      <c r="O30" s="310">
        <v>1.96</v>
      </c>
      <c r="P30" s="310">
        <v>4.51</v>
      </c>
      <c r="Q30" s="310">
        <v>42.64</v>
      </c>
      <c r="R30" s="310">
        <v>3.37</v>
      </c>
      <c r="S30" s="310">
        <v>3.3</v>
      </c>
      <c r="T30" s="309">
        <v>943.51800000000003</v>
      </c>
      <c r="U30" s="309">
        <v>942.79399999999998</v>
      </c>
      <c r="V30" s="310">
        <v>0</v>
      </c>
      <c r="W30" s="310" t="s">
        <v>2392</v>
      </c>
      <c r="X30" s="310">
        <v>1200</v>
      </c>
      <c r="Y30" s="310"/>
      <c r="Z30" s="310">
        <f t="shared" si="17"/>
        <v>18.402293658632487</v>
      </c>
      <c r="AA30" s="310"/>
      <c r="AB30" s="309"/>
      <c r="AC30" s="309"/>
      <c r="AD30" s="309">
        <v>0</v>
      </c>
      <c r="AE30" s="312" t="str">
        <f t="shared" si="19"/>
        <v>PV10.1</v>
      </c>
      <c r="AF30" s="307">
        <f t="shared" si="20"/>
        <v>0</v>
      </c>
      <c r="AG30" s="307">
        <f t="shared" si="21"/>
        <v>0</v>
      </c>
      <c r="AH30" s="307">
        <f t="shared" si="22"/>
        <v>0</v>
      </c>
      <c r="AI30" s="307">
        <f t="shared" si="23"/>
        <v>0</v>
      </c>
      <c r="AJ30" s="307">
        <f t="shared" si="24"/>
        <v>1</v>
      </c>
      <c r="AK30" s="307">
        <f t="shared" si="25"/>
        <v>0</v>
      </c>
      <c r="AL30" s="307">
        <f t="shared" si="26"/>
        <v>0</v>
      </c>
      <c r="AM30" s="307">
        <f t="shared" si="27"/>
        <v>0</v>
      </c>
      <c r="AN30" s="307">
        <f t="shared" si="28"/>
        <v>0</v>
      </c>
      <c r="AQ30" s="313" t="str">
        <f t="shared" si="18"/>
        <v>ASFALTO</v>
      </c>
    </row>
    <row r="31" spans="1:43" x14ac:dyDescent="0.25">
      <c r="B31" s="308" t="s">
        <v>2618</v>
      </c>
      <c r="C31" s="309">
        <v>946.09400000000005</v>
      </c>
      <c r="D31" s="309">
        <v>945.23099999999999</v>
      </c>
      <c r="E31" s="309">
        <v>1.9870000000000001</v>
      </c>
      <c r="F31" s="309">
        <v>18.759</v>
      </c>
      <c r="G31" s="309">
        <v>0.7</v>
      </c>
      <c r="H31" s="309">
        <v>1.4999999999999999E-2</v>
      </c>
      <c r="I31" s="310">
        <v>21.34</v>
      </c>
      <c r="J31" s="310">
        <v>275.24</v>
      </c>
      <c r="K31" s="310">
        <v>34.729999999999997</v>
      </c>
      <c r="L31" s="310">
        <v>3614.26</v>
      </c>
      <c r="M31" s="308">
        <v>1500</v>
      </c>
      <c r="N31" s="308"/>
      <c r="O31" s="310">
        <v>1.67</v>
      </c>
      <c r="P31" s="310">
        <v>4.37</v>
      </c>
      <c r="Q31" s="310">
        <v>47.45</v>
      </c>
      <c r="R31" s="310">
        <v>3.3</v>
      </c>
      <c r="S31" s="310">
        <v>3.02</v>
      </c>
      <c r="T31" s="309">
        <v>942.79399999999998</v>
      </c>
      <c r="U31" s="309">
        <v>942.21600000000001</v>
      </c>
      <c r="V31" s="310">
        <v>0</v>
      </c>
      <c r="W31" s="310" t="s">
        <v>2392</v>
      </c>
      <c r="X31" s="310">
        <v>1200</v>
      </c>
      <c r="Y31" s="310">
        <f t="shared" ref="Y31" si="31">IFERROR(IF(X31&lt;=600,(PI()*0.72*0.72/4-PI()*0.6*0.6/4)*(C31-AB31)+(1.3*1.3-1.1*1.1)*1.6,IF(X31=800,(PI()*0.72*0.72/4-PI()*0.6*0.6/4)*(C31-AB31)+(1.5*1.5-1.1*1.1)*1.6,IF(X31=1000,(PI()*0.72*0.72/4-PI()*0.6*0.6/4)*(C31-AB31)+(1.94*1.94-1.5*1.5)*2.25,IF(X31=1200,(PI()*0.72*0.72/4-PI()*0.6*0.6/4)*(C31-AB31)+(-1.8*1.8+2.14*2.14)*2.25,IF(X31=1500,(PI()*0.72*0.72/4-PI()*0.6*0.6/4)*(C31-AB31)+(-2.2*2.2+2.44*2.44)*2.65,0))))),0)</f>
        <v>3.4027476838126578</v>
      </c>
      <c r="Z31" s="310">
        <f t="shared" si="17"/>
        <v>17.282630036893085</v>
      </c>
      <c r="AA31" s="310" t="s">
        <v>2619</v>
      </c>
      <c r="AB31" s="309">
        <v>942.97</v>
      </c>
      <c r="AC31" s="309"/>
      <c r="AD31" s="309">
        <v>0</v>
      </c>
      <c r="AE31" s="312" t="str">
        <f t="shared" si="19"/>
        <v>PV11.1</v>
      </c>
      <c r="AF31" s="307">
        <f t="shared" si="20"/>
        <v>0</v>
      </c>
      <c r="AG31" s="307">
        <f t="shared" si="21"/>
        <v>0</v>
      </c>
      <c r="AH31" s="307">
        <f t="shared" si="22"/>
        <v>0</v>
      </c>
      <c r="AI31" s="307">
        <f t="shared" si="23"/>
        <v>0</v>
      </c>
      <c r="AJ31" s="307">
        <f t="shared" si="24"/>
        <v>1</v>
      </c>
      <c r="AK31" s="307">
        <f t="shared" si="25"/>
        <v>0</v>
      </c>
      <c r="AL31" s="307">
        <f t="shared" si="26"/>
        <v>0</v>
      </c>
      <c r="AM31" s="307">
        <f t="shared" si="27"/>
        <v>0</v>
      </c>
      <c r="AN31" s="307">
        <f t="shared" si="28"/>
        <v>0</v>
      </c>
      <c r="AQ31" s="313" t="str">
        <f t="shared" si="18"/>
        <v>ASFALTO</v>
      </c>
    </row>
    <row r="32" spans="1:43" x14ac:dyDescent="0.25">
      <c r="B32" s="308" t="s">
        <v>2620</v>
      </c>
      <c r="C32" s="309">
        <v>945.23099999999999</v>
      </c>
      <c r="D32" s="309">
        <v>944.53700000000003</v>
      </c>
      <c r="E32" s="309">
        <v>0</v>
      </c>
      <c r="F32" s="309">
        <v>18.759</v>
      </c>
      <c r="G32" s="309">
        <v>0.7</v>
      </c>
      <c r="H32" s="309">
        <v>1.4999999999999999E-2</v>
      </c>
      <c r="I32" s="310">
        <v>21.47</v>
      </c>
      <c r="J32" s="310">
        <v>274.33</v>
      </c>
      <c r="K32" s="310">
        <v>34.729999999999997</v>
      </c>
      <c r="L32" s="310">
        <v>3602.25</v>
      </c>
      <c r="M32" s="308">
        <v>1500</v>
      </c>
      <c r="N32" s="308"/>
      <c r="O32" s="310">
        <v>1.67</v>
      </c>
      <c r="P32" s="310">
        <v>4.37</v>
      </c>
      <c r="Q32" s="310">
        <v>47.36</v>
      </c>
      <c r="R32" s="310">
        <v>3.02</v>
      </c>
      <c r="S32" s="310">
        <v>2.9</v>
      </c>
      <c r="T32" s="309">
        <v>942.21600000000001</v>
      </c>
      <c r="U32" s="309">
        <v>941.63699999999994</v>
      </c>
      <c r="V32" s="310">
        <v>0</v>
      </c>
      <c r="W32" s="310" t="s">
        <v>2392</v>
      </c>
      <c r="X32" s="310">
        <v>1200</v>
      </c>
      <c r="Y32" s="310"/>
      <c r="Z32" s="310">
        <f t="shared" si="17"/>
        <v>17.282630036893085</v>
      </c>
      <c r="AA32" s="310"/>
      <c r="AB32" s="309"/>
      <c r="AC32" s="309"/>
      <c r="AD32" s="309">
        <v>0</v>
      </c>
      <c r="AE32" s="312" t="str">
        <f t="shared" si="19"/>
        <v>PV12.1</v>
      </c>
      <c r="AF32" s="307">
        <f t="shared" si="20"/>
        <v>0</v>
      </c>
      <c r="AG32" s="307">
        <f t="shared" si="21"/>
        <v>0</v>
      </c>
      <c r="AH32" s="307">
        <f t="shared" si="22"/>
        <v>0</v>
      </c>
      <c r="AI32" s="307">
        <f t="shared" si="23"/>
        <v>0</v>
      </c>
      <c r="AJ32" s="307">
        <f t="shared" si="24"/>
        <v>1</v>
      </c>
      <c r="AK32" s="307">
        <f t="shared" si="25"/>
        <v>0</v>
      </c>
      <c r="AL32" s="307">
        <f t="shared" si="26"/>
        <v>0</v>
      </c>
      <c r="AM32" s="307">
        <f t="shared" si="27"/>
        <v>0</v>
      </c>
      <c r="AN32" s="307">
        <f t="shared" si="28"/>
        <v>0</v>
      </c>
      <c r="AQ32" s="313" t="str">
        <f t="shared" si="18"/>
        <v>ASFALTO</v>
      </c>
    </row>
    <row r="33" spans="2:44" x14ac:dyDescent="0.25">
      <c r="Y33" s="316">
        <f>SUM(Y10:Y32)</f>
        <v>31.395091843104815</v>
      </c>
      <c r="Z33" s="316">
        <f>SUM(Z10:Z32)</f>
        <v>232.3551540509261</v>
      </c>
      <c r="AC33" s="317">
        <v>124</v>
      </c>
      <c r="AD33" s="317">
        <f>SUM(AD10:AD32)</f>
        <v>0</v>
      </c>
      <c r="AE33" s="295"/>
      <c r="AF33" s="317">
        <f t="shared" ref="AF33:AN33" si="32">SUM(AF10:AF32)</f>
        <v>7</v>
      </c>
      <c r="AG33" s="317">
        <f t="shared" si="32"/>
        <v>0</v>
      </c>
      <c r="AH33" s="317">
        <f t="shared" si="32"/>
        <v>2</v>
      </c>
      <c r="AI33" s="317">
        <f t="shared" si="32"/>
        <v>4</v>
      </c>
      <c r="AJ33" s="317">
        <f t="shared" si="32"/>
        <v>8</v>
      </c>
      <c r="AK33" s="317">
        <f t="shared" si="32"/>
        <v>0</v>
      </c>
      <c r="AL33" s="317">
        <f t="shared" si="32"/>
        <v>0</v>
      </c>
      <c r="AM33" s="317">
        <f t="shared" si="32"/>
        <v>0</v>
      </c>
      <c r="AN33" s="317">
        <f t="shared" si="32"/>
        <v>0</v>
      </c>
    </row>
    <row r="45" spans="2:44" ht="13" x14ac:dyDescent="0.3">
      <c r="B45" s="779" t="s">
        <v>2541</v>
      </c>
      <c r="C45" s="779"/>
      <c r="D45" s="779"/>
      <c r="E45" s="779"/>
      <c r="F45" s="779"/>
      <c r="G45" s="779"/>
      <c r="H45" s="779"/>
      <c r="I45" s="779"/>
      <c r="J45" s="779"/>
      <c r="K45" s="779"/>
      <c r="L45" s="779"/>
      <c r="M45" s="779"/>
      <c r="N45" s="779"/>
      <c r="O45" s="779"/>
      <c r="P45" s="779"/>
      <c r="Q45" s="779"/>
      <c r="R45" s="779"/>
      <c r="S45" s="779"/>
      <c r="T45" s="779"/>
      <c r="U45" s="779"/>
      <c r="V45" s="779"/>
      <c r="W45" s="779"/>
      <c r="X45" s="779"/>
      <c r="Y45" s="779"/>
      <c r="Z45" s="386"/>
      <c r="AA45" s="386"/>
      <c r="AB45" s="386"/>
      <c r="AC45" s="386"/>
      <c r="AD45" s="386"/>
      <c r="AE45" s="386"/>
      <c r="AF45" s="386"/>
      <c r="AG45" s="386"/>
      <c r="AH45" s="386"/>
      <c r="AI45" s="386"/>
      <c r="AJ45" s="386"/>
      <c r="AK45" s="386"/>
      <c r="AL45" s="386"/>
      <c r="AM45" s="386"/>
      <c r="AN45" s="386"/>
      <c r="AO45" s="386"/>
      <c r="AP45" s="386"/>
      <c r="AQ45" s="386"/>
      <c r="AR45" s="386"/>
    </row>
    <row r="46" spans="2:44" ht="13" x14ac:dyDescent="0.3">
      <c r="B46" s="405" t="s">
        <v>2542</v>
      </c>
      <c r="C46" s="780" t="s">
        <v>2826</v>
      </c>
      <c r="D46" s="780"/>
      <c r="E46" s="780"/>
      <c r="F46" s="780"/>
      <c r="G46" s="780"/>
      <c r="H46" s="780"/>
      <c r="I46" s="780"/>
      <c r="J46" s="780"/>
      <c r="K46" s="780"/>
      <c r="L46" s="780"/>
      <c r="M46" s="382"/>
      <c r="N46" s="386"/>
      <c r="O46" s="386"/>
      <c r="P46" s="386"/>
      <c r="Q46" s="386"/>
      <c r="R46" s="386"/>
      <c r="S46" s="386"/>
      <c r="T46" s="386"/>
      <c r="U46" s="386"/>
      <c r="V46" s="386"/>
      <c r="W46" s="386"/>
      <c r="X46" s="386"/>
      <c r="Y46" s="384"/>
      <c r="Z46" s="384"/>
      <c r="AA46" s="386"/>
      <c r="AB46" s="386"/>
      <c r="AC46" s="386"/>
      <c r="AD46" s="386"/>
      <c r="AE46" s="386"/>
      <c r="AF46" s="386"/>
      <c r="AG46" s="386"/>
      <c r="AH46" s="386"/>
      <c r="AI46" s="386"/>
      <c r="AJ46" s="386"/>
      <c r="AK46" s="386"/>
      <c r="AL46" s="386"/>
      <c r="AM46" s="386"/>
      <c r="AN46" s="386"/>
      <c r="AO46" s="386"/>
      <c r="AP46" s="386"/>
      <c r="AQ46" s="386"/>
      <c r="AR46" s="386"/>
    </row>
    <row r="47" spans="2:44" ht="13" x14ac:dyDescent="0.3">
      <c r="B47" s="410"/>
      <c r="C47" s="780"/>
      <c r="D47" s="780"/>
      <c r="E47" s="780"/>
      <c r="F47" s="780"/>
      <c r="G47" s="780"/>
      <c r="H47" s="780"/>
      <c r="I47" s="780"/>
      <c r="J47" s="780"/>
      <c r="K47" s="780"/>
      <c r="L47" s="780"/>
      <c r="M47" s="410"/>
      <c r="N47" s="410"/>
      <c r="O47" s="410"/>
      <c r="P47" s="382"/>
      <c r="Q47" s="382"/>
      <c r="R47" s="382"/>
      <c r="S47" s="382"/>
      <c r="T47" s="382"/>
      <c r="U47" s="382"/>
      <c r="V47" s="382"/>
      <c r="W47" s="382"/>
      <c r="X47" s="382"/>
      <c r="Y47" s="384"/>
      <c r="Z47" s="384"/>
      <c r="AA47" s="383"/>
      <c r="AB47" s="383"/>
      <c r="AC47" s="383"/>
      <c r="AD47" s="383"/>
      <c r="AE47" s="382"/>
      <c r="AF47" s="382"/>
      <c r="AG47" s="382"/>
      <c r="AH47" s="382"/>
      <c r="AI47" s="382"/>
      <c r="AJ47" s="382"/>
      <c r="AK47" s="382"/>
      <c r="AL47" s="382"/>
      <c r="AM47" s="382"/>
      <c r="AN47" s="382"/>
      <c r="AO47" s="382"/>
      <c r="AP47" s="382"/>
      <c r="AQ47" s="382"/>
      <c r="AR47" s="382"/>
    </row>
    <row r="48" spans="2:44" ht="13" x14ac:dyDescent="0.3">
      <c r="B48" s="405"/>
      <c r="C48" s="407" t="s">
        <v>2544</v>
      </c>
      <c r="D48" s="406"/>
      <c r="E48" s="405"/>
      <c r="F48" s="405"/>
      <c r="G48" s="405"/>
      <c r="H48" s="405"/>
      <c r="I48" s="405"/>
      <c r="J48" s="405"/>
      <c r="K48" s="409" t="s">
        <v>2545</v>
      </c>
      <c r="L48" s="406">
        <v>5</v>
      </c>
      <c r="M48" s="405" t="s">
        <v>2546</v>
      </c>
      <c r="N48" s="408" t="s">
        <v>2547</v>
      </c>
      <c r="O48" s="406">
        <v>15</v>
      </c>
      <c r="P48" s="405" t="s">
        <v>2548</v>
      </c>
      <c r="Q48" s="405"/>
      <c r="R48" s="405"/>
      <c r="S48" s="405"/>
      <c r="T48" s="405"/>
      <c r="U48" s="405"/>
      <c r="V48" s="405"/>
      <c r="W48" s="405"/>
      <c r="X48" s="405"/>
      <c r="Y48" s="404"/>
      <c r="Z48" s="404"/>
      <c r="AA48" s="386"/>
      <c r="AB48" s="386"/>
      <c r="AC48" s="386"/>
      <c r="AD48" s="386"/>
      <c r="AE48" s="386"/>
      <c r="AF48" s="386"/>
      <c r="AG48" s="386"/>
      <c r="AH48" s="386"/>
      <c r="AI48" s="386"/>
      <c r="AJ48" s="386"/>
      <c r="AK48" s="386"/>
      <c r="AL48" s="386"/>
      <c r="AM48" s="386"/>
      <c r="AN48" s="386"/>
      <c r="AO48" s="386"/>
      <c r="AP48" s="386"/>
      <c r="AQ48" s="386"/>
      <c r="AR48" s="386"/>
    </row>
    <row r="49" spans="2:44" ht="13" x14ac:dyDescent="0.3">
      <c r="B49" s="405" t="s">
        <v>2825</v>
      </c>
      <c r="C49" s="407"/>
      <c r="D49" s="406"/>
      <c r="E49" s="405"/>
      <c r="F49" s="405"/>
      <c r="G49" s="405"/>
      <c r="H49" s="405"/>
      <c r="I49" s="405"/>
      <c r="J49" s="405"/>
      <c r="K49" s="405"/>
      <c r="L49" s="405"/>
      <c r="M49" s="405"/>
      <c r="N49" s="405"/>
      <c r="O49" s="405"/>
      <c r="P49" s="405"/>
      <c r="Q49" s="405"/>
      <c r="R49" s="405"/>
      <c r="S49" s="405"/>
      <c r="T49" s="405"/>
      <c r="U49" s="405"/>
      <c r="V49" s="405"/>
      <c r="W49" s="405"/>
      <c r="X49" s="405"/>
      <c r="Y49" s="404"/>
      <c r="Z49" s="404"/>
      <c r="AA49" s="386"/>
      <c r="AB49" s="386"/>
      <c r="AC49" s="386"/>
      <c r="AD49" s="386"/>
      <c r="AE49" s="386"/>
      <c r="AF49" s="386"/>
      <c r="AG49" s="386"/>
      <c r="AH49" s="386"/>
      <c r="AI49" s="386"/>
      <c r="AJ49" s="386"/>
      <c r="AK49" s="386"/>
      <c r="AL49" s="386"/>
      <c r="AM49" s="386"/>
      <c r="AN49" s="386"/>
      <c r="AO49" s="386"/>
      <c r="AP49" s="386"/>
      <c r="AQ49" s="386"/>
      <c r="AR49" s="386"/>
    </row>
    <row r="50" spans="2:44" ht="13" x14ac:dyDescent="0.3">
      <c r="B50" s="403">
        <v>1</v>
      </c>
      <c r="C50" s="403">
        <f t="shared" ref="C50:AP50" si="33">B50+1</f>
        <v>2</v>
      </c>
      <c r="D50" s="403">
        <f t="shared" si="33"/>
        <v>3</v>
      </c>
      <c r="E50" s="403">
        <f t="shared" si="33"/>
        <v>4</v>
      </c>
      <c r="F50" s="403">
        <f t="shared" si="33"/>
        <v>5</v>
      </c>
      <c r="G50" s="403">
        <f t="shared" si="33"/>
        <v>6</v>
      </c>
      <c r="H50" s="403">
        <f t="shared" si="33"/>
        <v>7</v>
      </c>
      <c r="I50" s="403">
        <f t="shared" si="33"/>
        <v>8</v>
      </c>
      <c r="J50" s="403">
        <f t="shared" si="33"/>
        <v>9</v>
      </c>
      <c r="K50" s="403">
        <f t="shared" si="33"/>
        <v>10</v>
      </c>
      <c r="L50" s="403">
        <f t="shared" si="33"/>
        <v>11</v>
      </c>
      <c r="M50" s="403">
        <f t="shared" si="33"/>
        <v>12</v>
      </c>
      <c r="N50" s="403">
        <f t="shared" si="33"/>
        <v>13</v>
      </c>
      <c r="O50" s="403">
        <f t="shared" si="33"/>
        <v>14</v>
      </c>
      <c r="P50" s="403">
        <f t="shared" si="33"/>
        <v>15</v>
      </c>
      <c r="Q50" s="403">
        <f t="shared" si="33"/>
        <v>16</v>
      </c>
      <c r="R50" s="403">
        <f t="shared" si="33"/>
        <v>17</v>
      </c>
      <c r="S50" s="403">
        <f t="shared" si="33"/>
        <v>18</v>
      </c>
      <c r="T50" s="403">
        <f t="shared" si="33"/>
        <v>19</v>
      </c>
      <c r="U50" s="403">
        <f t="shared" si="33"/>
        <v>20</v>
      </c>
      <c r="V50" s="403">
        <f t="shared" si="33"/>
        <v>21</v>
      </c>
      <c r="W50" s="403">
        <f t="shared" si="33"/>
        <v>22</v>
      </c>
      <c r="X50" s="403">
        <f t="shared" si="33"/>
        <v>23</v>
      </c>
      <c r="Y50" s="403">
        <f t="shared" si="33"/>
        <v>24</v>
      </c>
      <c r="Z50" s="403">
        <f t="shared" si="33"/>
        <v>25</v>
      </c>
      <c r="AA50" s="403">
        <f t="shared" si="33"/>
        <v>26</v>
      </c>
      <c r="AB50" s="403">
        <f t="shared" si="33"/>
        <v>27</v>
      </c>
      <c r="AC50" s="403">
        <f t="shared" si="33"/>
        <v>28</v>
      </c>
      <c r="AD50" s="403">
        <f t="shared" si="33"/>
        <v>29</v>
      </c>
      <c r="AE50" s="403">
        <f t="shared" si="33"/>
        <v>30</v>
      </c>
      <c r="AF50" s="403">
        <f t="shared" si="33"/>
        <v>31</v>
      </c>
      <c r="AG50" s="403">
        <f t="shared" si="33"/>
        <v>32</v>
      </c>
      <c r="AH50" s="403">
        <f t="shared" si="33"/>
        <v>33</v>
      </c>
      <c r="AI50" s="403">
        <f t="shared" si="33"/>
        <v>34</v>
      </c>
      <c r="AJ50" s="403">
        <f t="shared" si="33"/>
        <v>35</v>
      </c>
      <c r="AK50" s="403">
        <f t="shared" si="33"/>
        <v>36</v>
      </c>
      <c r="AL50" s="403">
        <f t="shared" si="33"/>
        <v>37</v>
      </c>
      <c r="AM50" s="403">
        <f t="shared" si="33"/>
        <v>38</v>
      </c>
      <c r="AN50" s="403">
        <f t="shared" si="33"/>
        <v>39</v>
      </c>
      <c r="AO50" s="403">
        <f t="shared" si="33"/>
        <v>40</v>
      </c>
      <c r="AP50" s="403">
        <f t="shared" si="33"/>
        <v>41</v>
      </c>
      <c r="AQ50" s="382"/>
      <c r="AR50" s="382"/>
    </row>
    <row r="51" spans="2:44" ht="62.5" x14ac:dyDescent="0.25">
      <c r="B51" s="402" t="s">
        <v>2549</v>
      </c>
      <c r="C51" s="778" t="s">
        <v>2550</v>
      </c>
      <c r="D51" s="778"/>
      <c r="E51" s="778" t="s">
        <v>2551</v>
      </c>
      <c r="F51" s="778"/>
      <c r="G51" s="402" t="s">
        <v>2552</v>
      </c>
      <c r="H51" s="402" t="s">
        <v>2824</v>
      </c>
      <c r="I51" s="402" t="s">
        <v>2552</v>
      </c>
      <c r="J51" s="402" t="s">
        <v>2553</v>
      </c>
      <c r="K51" s="402" t="s">
        <v>2554</v>
      </c>
      <c r="L51" s="402" t="s">
        <v>2555</v>
      </c>
      <c r="M51" s="402" t="s">
        <v>2556</v>
      </c>
      <c r="N51" s="778" t="s">
        <v>2557</v>
      </c>
      <c r="O51" s="778"/>
      <c r="P51" s="402" t="s">
        <v>2558</v>
      </c>
      <c r="Q51" s="402" t="s">
        <v>2559</v>
      </c>
      <c r="R51" s="402" t="s">
        <v>2823</v>
      </c>
      <c r="S51" s="402" t="s">
        <v>2560</v>
      </c>
      <c r="T51" s="778" t="s">
        <v>2561</v>
      </c>
      <c r="U51" s="778"/>
      <c r="V51" s="778" t="s">
        <v>2562</v>
      </c>
      <c r="W51" s="778"/>
      <c r="X51" s="402" t="s">
        <v>2563</v>
      </c>
      <c r="Y51" s="402" t="s">
        <v>2564</v>
      </c>
      <c r="Z51" s="402" t="s">
        <v>2565</v>
      </c>
      <c r="AA51" s="402" t="s">
        <v>2566</v>
      </c>
      <c r="AB51" s="402" t="s">
        <v>2567</v>
      </c>
      <c r="AC51" s="402" t="s">
        <v>2568</v>
      </c>
      <c r="AD51" s="402" t="s">
        <v>2569</v>
      </c>
      <c r="AE51" s="402" t="s">
        <v>2442</v>
      </c>
      <c r="AF51" s="402" t="s">
        <v>2570</v>
      </c>
      <c r="AG51" s="402" t="s">
        <v>2437</v>
      </c>
      <c r="AH51" s="402" t="s">
        <v>2571</v>
      </c>
      <c r="AI51" s="402" t="s">
        <v>2572</v>
      </c>
      <c r="AJ51" s="402" t="s">
        <v>2573</v>
      </c>
      <c r="AK51" s="402" t="s">
        <v>2574</v>
      </c>
      <c r="AL51" s="402" t="s">
        <v>2575</v>
      </c>
      <c r="AM51" s="402" t="s">
        <v>2576</v>
      </c>
      <c r="AN51" s="402" t="s">
        <v>2577</v>
      </c>
      <c r="AO51" s="402" t="s">
        <v>2578</v>
      </c>
      <c r="AP51" s="402" t="s">
        <v>2579</v>
      </c>
      <c r="AQ51" s="401"/>
      <c r="AR51" s="401"/>
    </row>
    <row r="52" spans="2:44" x14ac:dyDescent="0.25">
      <c r="B52" s="400" t="s">
        <v>2437</v>
      </c>
      <c r="C52" s="400" t="s">
        <v>2580</v>
      </c>
      <c r="D52" s="400" t="s">
        <v>2581</v>
      </c>
      <c r="E52" s="400" t="s">
        <v>2582</v>
      </c>
      <c r="F52" s="400" t="s">
        <v>11</v>
      </c>
      <c r="G52" s="400" t="s">
        <v>2583</v>
      </c>
      <c r="H52" s="400" t="s">
        <v>2822</v>
      </c>
      <c r="I52" s="400" t="s">
        <v>2584</v>
      </c>
      <c r="J52" s="400" t="s">
        <v>2585</v>
      </c>
      <c r="K52" s="400" t="s">
        <v>2586</v>
      </c>
      <c r="L52" s="400" t="s">
        <v>2587</v>
      </c>
      <c r="M52" s="400" t="s">
        <v>2588</v>
      </c>
      <c r="N52" s="400" t="s">
        <v>2589</v>
      </c>
      <c r="O52" s="400" t="s">
        <v>2590</v>
      </c>
      <c r="P52" s="400" t="s">
        <v>2591</v>
      </c>
      <c r="Q52" s="400" t="s">
        <v>2592</v>
      </c>
      <c r="R52" s="400" t="s">
        <v>2593</v>
      </c>
      <c r="S52" s="400" t="s">
        <v>393</v>
      </c>
      <c r="T52" s="400" t="s">
        <v>2580</v>
      </c>
      <c r="U52" s="400" t="s">
        <v>2581</v>
      </c>
      <c r="V52" s="400" t="s">
        <v>2580</v>
      </c>
      <c r="W52" s="400" t="s">
        <v>2581</v>
      </c>
      <c r="X52" s="400" t="s">
        <v>2593</v>
      </c>
      <c r="Y52" s="399"/>
      <c r="Z52" s="399" t="s">
        <v>2594</v>
      </c>
      <c r="AA52" s="399" t="s">
        <v>2595</v>
      </c>
      <c r="AB52" s="399" t="s">
        <v>2595</v>
      </c>
      <c r="AC52" s="399"/>
      <c r="AD52" s="399" t="s">
        <v>2593</v>
      </c>
      <c r="AE52" s="399" t="s">
        <v>2596</v>
      </c>
      <c r="AF52" s="399" t="s">
        <v>2596</v>
      </c>
      <c r="AG52" s="399" t="s">
        <v>2596</v>
      </c>
      <c r="AH52" s="399" t="s">
        <v>2596</v>
      </c>
      <c r="AI52" s="399" t="s">
        <v>2596</v>
      </c>
      <c r="AJ52" s="399" t="s">
        <v>2596</v>
      </c>
      <c r="AK52" s="399" t="s">
        <v>2596</v>
      </c>
      <c r="AL52" s="399" t="s">
        <v>2596</v>
      </c>
      <c r="AM52" s="399" t="s">
        <v>2596</v>
      </c>
      <c r="AN52" s="399" t="s">
        <v>2596</v>
      </c>
      <c r="AO52" s="399" t="s">
        <v>2596</v>
      </c>
      <c r="AP52" s="399" t="s">
        <v>2596</v>
      </c>
      <c r="AQ52" s="382"/>
      <c r="AR52" s="382"/>
    </row>
    <row r="53" spans="2:44" ht="13" x14ac:dyDescent="0.25">
      <c r="B53" s="398" t="s">
        <v>2449</v>
      </c>
      <c r="C53" s="396"/>
      <c r="D53" s="396"/>
      <c r="E53" s="396"/>
      <c r="F53" s="396"/>
      <c r="G53" s="396"/>
      <c r="H53" s="396"/>
      <c r="I53" s="396"/>
      <c r="J53" s="395"/>
      <c r="K53" s="395"/>
      <c r="L53" s="395"/>
      <c r="M53" s="395"/>
      <c r="N53" s="397"/>
      <c r="O53" s="397"/>
      <c r="P53" s="395"/>
      <c r="Q53" s="395"/>
      <c r="R53" s="395"/>
      <c r="S53" s="395"/>
      <c r="T53" s="395"/>
      <c r="U53" s="395"/>
      <c r="V53" s="396"/>
      <c r="W53" s="396"/>
      <c r="X53" s="395"/>
      <c r="Y53" s="392"/>
      <c r="Z53" s="392"/>
      <c r="AA53" s="395"/>
      <c r="AB53" s="395"/>
      <c r="AC53" s="392"/>
      <c r="AD53" s="391"/>
      <c r="AE53" s="391"/>
      <c r="AF53" s="391"/>
      <c r="AG53" s="390"/>
      <c r="AH53" s="389"/>
      <c r="AI53" s="389"/>
      <c r="AJ53" s="389"/>
      <c r="AK53" s="389"/>
      <c r="AL53" s="389"/>
      <c r="AM53" s="389"/>
      <c r="AN53" s="389"/>
      <c r="AO53" s="389"/>
      <c r="AP53" s="389"/>
      <c r="AQ53" s="382"/>
      <c r="AR53" s="382"/>
    </row>
    <row r="54" spans="2:44" x14ac:dyDescent="0.25">
      <c r="B54" s="393" t="s">
        <v>2597</v>
      </c>
      <c r="C54" s="391">
        <v>943.81899999999996</v>
      </c>
      <c r="D54" s="391">
        <v>942.99800000000005</v>
      </c>
      <c r="E54" s="391">
        <v>1.9970000000000001</v>
      </c>
      <c r="F54" s="391">
        <v>1.9970000000000001</v>
      </c>
      <c r="G54" s="392">
        <v>0.7</v>
      </c>
      <c r="H54" s="391">
        <v>1.3979999999999999</v>
      </c>
      <c r="I54" s="391">
        <v>1.4999999999999999E-2</v>
      </c>
      <c r="J54" s="392">
        <v>16.559999999999999</v>
      </c>
      <c r="K54" s="392">
        <v>313.56</v>
      </c>
      <c r="L54" s="392">
        <v>51.26</v>
      </c>
      <c r="M54" s="392">
        <v>438.21</v>
      </c>
      <c r="N54" s="393">
        <v>600</v>
      </c>
      <c r="O54" s="393"/>
      <c r="P54" s="392">
        <v>1.6</v>
      </c>
      <c r="Q54" s="392">
        <v>2.54</v>
      </c>
      <c r="R54" s="392">
        <v>0.35</v>
      </c>
      <c r="S54" s="392">
        <v>58.76</v>
      </c>
      <c r="T54" s="392">
        <v>2.5</v>
      </c>
      <c r="U54" s="392">
        <v>2.5</v>
      </c>
      <c r="V54" s="391">
        <v>2.5</v>
      </c>
      <c r="W54" s="391">
        <v>2.72</v>
      </c>
      <c r="X54" s="392">
        <v>941.31899999999996</v>
      </c>
      <c r="Y54" s="392" t="s">
        <v>2392</v>
      </c>
      <c r="Z54" s="392">
        <v>500</v>
      </c>
      <c r="AA54" s="392">
        <f>IFERROR(IF(Z54&lt;=600,(PI()*0.72*0.72/4-PI()*0.6*0.6/4)*(C54-AD54)+(1.3*1.3-1.1*1.1)*1.6,IF(Z54=800,(PI()*0.72*0.72/4-PI()*0.6*0.6/4)*(C54-AD54)+(1.5*1.5-1.1*1.1)*1.6,IF(Z54=1000,(PI()*0.72*0.72/4-PI()*0.6*0.6/4)*(C54-AD54)+(1.94*1.94-1.5*1.5)*2.25,IF(Z54=1200,(PI()*0.72*0.72/4-PI()*0.6*0.6/4)*(C54-AD54)+(-1.8*1.8+2.14*2.14)*2.25,IF(Z54=1500,(PI()*0.72*0.72/4-PI()*0.6*0.6/4)*(C54-AD54)+(-2.2*2.2+2.44*2.44)*2.65,0))))),0)</f>
        <v>1.0272643319672061</v>
      </c>
      <c r="AB54" s="392">
        <f t="shared" ref="AB54:AB76" si="34">L54*IF(Z54&lt;=600,PI()*(0.06*2+Z54/1000)*(0.06*2+Z54/1000)/4-PI()*(Z54/1000)*(Z54/1000)/4,IF(Z54=800,PI()*(0.08*2+Z54/1000)*(0.08*2+Z54/1000)/4-PI()*(Z54/1000)*(Z54/1000)/4,IF(Z54&lt;=1000,PI()*(0.1*2+Z54/1000)*(0.1*2+Z54/1000)/4-PI()*(Z54/1000)*(Z54/1000)/4,IF(Z54&lt;=1200,PI()*(0.12*2+Z54/1000)*(0.12*2+Z54/1000)/4-PI()*(Z54/1000)*(Z54/1000)/4,IF(Z54&lt;=1500,PI()*(0.15*2+Z54/1000)*(0.15*2+Z54/1000)/4-PI()*(Z54/1000)*(Z54/1000)/4,0)))))</f>
        <v>5.4108781246132303</v>
      </c>
      <c r="AC54" s="392" t="s">
        <v>2821</v>
      </c>
      <c r="AD54" s="391">
        <v>941.73500000000001</v>
      </c>
      <c r="AE54" s="391">
        <v>2</v>
      </c>
      <c r="AF54" s="391">
        <v>2</v>
      </c>
      <c r="AG54" s="390" t="str">
        <f t="shared" ref="AG54:AG76" si="35">IF(OR(RIGHT(LEFT(B54,7),1)="&gt;",RIGHT(LEFT(B54,7),1)="-"),IF(OR(RIGHT(LEFT(B54,6),1)="&gt;",RIGHT(LEFT(B54,6),1)="-"),LEFT(B54,5),LEFT(B54,6)),LEFT(B54,7))</f>
        <v>PV1.1</v>
      </c>
      <c r="AH54" s="389">
        <f t="shared" ref="AH54:AH76" si="36">COUNTIF(N54,600)</f>
        <v>1</v>
      </c>
      <c r="AI54" s="389">
        <f t="shared" ref="AI54:AI76" si="37">COUNTIF(N54,800)</f>
        <v>0</v>
      </c>
      <c r="AJ54" s="389">
        <f t="shared" ref="AJ54:AJ76" si="38">COUNTIF(N54,1000)</f>
        <v>0</v>
      </c>
      <c r="AK54" s="389">
        <f t="shared" ref="AK54:AK76" si="39">COUNTIF(N54,1200)</f>
        <v>0</v>
      </c>
      <c r="AL54" s="389">
        <f t="shared" ref="AL54:AL76" si="40">COUNTIF(N54,1500)</f>
        <v>0</v>
      </c>
      <c r="AM54" s="389">
        <f t="shared" ref="AM54:AM76" si="41">COUNTIF(N54,1650)</f>
        <v>0</v>
      </c>
      <c r="AN54" s="389">
        <f t="shared" ref="AN54:AN76" si="42">AM54*IF((T54+U54)/2-1.65&lt;=2,1,0)</f>
        <v>0</v>
      </c>
      <c r="AO54" s="389">
        <f t="shared" ref="AO54:AO76" si="43">AM54*IF((T54+U54)/2-1.65&lt;=3,1,0)-AN54</f>
        <v>0</v>
      </c>
      <c r="AP54" s="389">
        <f t="shared" ref="AP54:AP76" si="44">AM54*IF((T54+U54)/2-1.65&lt;=4,1,0)-AN54-AO54</f>
        <v>0</v>
      </c>
      <c r="AQ54" s="382"/>
      <c r="AR54" s="388" t="str">
        <f t="shared" ref="AR54:AR85" si="45">Y54</f>
        <v>ASFALTO</v>
      </c>
    </row>
    <row r="55" spans="2:44" x14ac:dyDescent="0.25">
      <c r="B55" s="393" t="s">
        <v>2599</v>
      </c>
      <c r="C55" s="391">
        <v>942.99800000000005</v>
      </c>
      <c r="D55" s="391">
        <v>942.32799999999997</v>
      </c>
      <c r="E55" s="391">
        <v>1.974</v>
      </c>
      <c r="F55" s="391">
        <v>3.9710000000000001</v>
      </c>
      <c r="G55" s="392">
        <v>0.7</v>
      </c>
      <c r="H55" s="391">
        <v>2.78</v>
      </c>
      <c r="I55" s="391">
        <v>1.4999999999999999E-2</v>
      </c>
      <c r="J55" s="392">
        <v>16.899999999999999</v>
      </c>
      <c r="K55" s="392">
        <v>310.47000000000003</v>
      </c>
      <c r="L55" s="392">
        <v>48.9</v>
      </c>
      <c r="M55" s="392">
        <v>862.95</v>
      </c>
      <c r="N55" s="393">
        <v>800</v>
      </c>
      <c r="O55" s="393"/>
      <c r="P55" s="392">
        <v>1.37</v>
      </c>
      <c r="Q55" s="392">
        <v>2.83</v>
      </c>
      <c r="R55" s="392">
        <v>0.47</v>
      </c>
      <c r="S55" s="392">
        <v>58.34</v>
      </c>
      <c r="T55" s="392">
        <v>2.72</v>
      </c>
      <c r="U55" s="392">
        <v>2.72</v>
      </c>
      <c r="V55" s="391">
        <v>2.72</v>
      </c>
      <c r="W55" s="391">
        <v>2.94</v>
      </c>
      <c r="X55" s="392">
        <v>940.27800000000002</v>
      </c>
      <c r="Y55" s="392" t="s">
        <v>2392</v>
      </c>
      <c r="Z55" s="392">
        <v>800</v>
      </c>
      <c r="AA55" s="392">
        <f>IFERROR(IF(Z55&lt;=600,(PI()*0.72*0.72/4-PI()*0.6*0.6/4)*(C55-AD55)+(1.3*1.3-1.1*1.1)*1.6,IF(Z55=800,(PI()*0.72*0.72/4-PI()*0.6*0.6/4)*(C55-AD55)+(1.5*1.5-1.1*1.1)*1.6,IF(Z55=1000,(PI()*0.72*0.72/4-PI()*0.6*0.6/4)*(C55-AD55)+(1.94*1.94-1.5*1.5)*2.25,IF(Z55=1200,(PI()*0.72*0.72/4-PI()*0.6*0.6/4)*(C55-AD55)+(-1.8*1.8+2.14*2.14)*2.25,IF(Z55=1500,(PI()*0.72*0.72/4-PI()*0.6*0.6/4)*(C55-AD55)+(-2.2*2.2+2.44*2.44)*2.65,0))))),0)</f>
        <v>1.9789986989160231</v>
      </c>
      <c r="AB55" s="392">
        <f t="shared" si="34"/>
        <v>10.815121205542079</v>
      </c>
      <c r="AC55" s="392" t="s">
        <v>2820</v>
      </c>
      <c r="AD55" s="391">
        <v>940.46600000000001</v>
      </c>
      <c r="AE55" s="391">
        <v>2</v>
      </c>
      <c r="AF55" s="391">
        <v>2</v>
      </c>
      <c r="AG55" s="390" t="str">
        <f t="shared" si="35"/>
        <v>PV2.1</v>
      </c>
      <c r="AH55" s="389">
        <f t="shared" si="36"/>
        <v>0</v>
      </c>
      <c r="AI55" s="389">
        <f t="shared" si="37"/>
        <v>1</v>
      </c>
      <c r="AJ55" s="389">
        <f t="shared" si="38"/>
        <v>0</v>
      </c>
      <c r="AK55" s="389">
        <f t="shared" si="39"/>
        <v>0</v>
      </c>
      <c r="AL55" s="389">
        <f t="shared" si="40"/>
        <v>0</v>
      </c>
      <c r="AM55" s="389">
        <f t="shared" si="41"/>
        <v>0</v>
      </c>
      <c r="AN55" s="389">
        <f t="shared" si="42"/>
        <v>0</v>
      </c>
      <c r="AO55" s="389">
        <f t="shared" si="43"/>
        <v>0</v>
      </c>
      <c r="AP55" s="389">
        <f t="shared" si="44"/>
        <v>0</v>
      </c>
      <c r="AQ55" s="382"/>
      <c r="AR55" s="388" t="str">
        <f t="shared" si="45"/>
        <v>ASFALTO</v>
      </c>
    </row>
    <row r="56" spans="2:44" x14ac:dyDescent="0.25">
      <c r="B56" s="393" t="s">
        <v>2600</v>
      </c>
      <c r="C56" s="391">
        <v>942.32799999999997</v>
      </c>
      <c r="D56" s="391">
        <v>941.82299999999998</v>
      </c>
      <c r="E56" s="391">
        <v>1.897</v>
      </c>
      <c r="F56" s="391">
        <v>5.8680000000000003</v>
      </c>
      <c r="G56" s="392">
        <v>0.7</v>
      </c>
      <c r="H56" s="391">
        <v>4.1079999999999997</v>
      </c>
      <c r="I56" s="391">
        <v>1.4999999999999999E-2</v>
      </c>
      <c r="J56" s="392">
        <v>17.18</v>
      </c>
      <c r="K56" s="392">
        <v>307.88</v>
      </c>
      <c r="L56" s="392">
        <v>50.36</v>
      </c>
      <c r="M56" s="392">
        <v>1264.6500000000001</v>
      </c>
      <c r="N56" s="393">
        <v>1000</v>
      </c>
      <c r="O56" s="393"/>
      <c r="P56" s="392">
        <v>1</v>
      </c>
      <c r="Q56" s="392">
        <v>2.78</v>
      </c>
      <c r="R56" s="392">
        <v>0.56000000000000005</v>
      </c>
      <c r="S56" s="392">
        <v>56.29</v>
      </c>
      <c r="T56" s="392">
        <v>2.94</v>
      </c>
      <c r="U56" s="392">
        <v>2.94</v>
      </c>
      <c r="V56" s="391">
        <v>2.94</v>
      </c>
      <c r="W56" s="391">
        <v>3.17</v>
      </c>
      <c r="X56" s="392">
        <v>939.38800000000003</v>
      </c>
      <c r="Y56" s="392" t="s">
        <v>2392</v>
      </c>
      <c r="Z56" s="392">
        <v>800</v>
      </c>
      <c r="AA56" s="392">
        <f>IFERROR(IF(Z56&lt;=600,(PI()*0.72*0.72/4-PI()*0.6*0.6/4)*(C56-AD56)+(1.3*1.3-1.1*1.1)*1.6,IF(Z56=800,(PI()*0.72*0.72/4-PI()*0.6*0.6/4)*(C56-AD56)+(1.5*1.5-1.1*1.1)*1.6,IF(Z56=1000,(PI()*0.72*0.72/4-PI()*0.6*0.6/4)*(C56-AD56)+(1.94*1.94-1.5*1.5)*2.25,IF(Z56=1200,(PI()*0.72*0.72/4-PI()*0.6*0.6/4)*(C56-AD56)+(-1.8*1.8+2.14*2.14)*2.25,IF(Z56=1500,(PI()*0.72*0.72/4-PI()*0.6*0.6/4)*(C56-AD56)+(-2.2*2.2+2.44*2.44)*2.65,0))))),0)</f>
        <v>1.9690461333894456</v>
      </c>
      <c r="AB56" s="392">
        <f t="shared" si="34"/>
        <v>11.138026664848653</v>
      </c>
      <c r="AC56" s="392" t="s">
        <v>2819</v>
      </c>
      <c r="AD56" s="391">
        <v>939.87599999999998</v>
      </c>
      <c r="AE56" s="391">
        <v>2</v>
      </c>
      <c r="AF56" s="391">
        <v>2</v>
      </c>
      <c r="AG56" s="390" t="str">
        <f t="shared" si="35"/>
        <v>PV3.1</v>
      </c>
      <c r="AH56" s="389">
        <f t="shared" si="36"/>
        <v>0</v>
      </c>
      <c r="AI56" s="389">
        <f t="shared" si="37"/>
        <v>0</v>
      </c>
      <c r="AJ56" s="389">
        <f t="shared" si="38"/>
        <v>1</v>
      </c>
      <c r="AK56" s="389">
        <f t="shared" si="39"/>
        <v>0</v>
      </c>
      <c r="AL56" s="389">
        <f t="shared" si="40"/>
        <v>0</v>
      </c>
      <c r="AM56" s="389">
        <f t="shared" si="41"/>
        <v>0</v>
      </c>
      <c r="AN56" s="389">
        <f t="shared" si="42"/>
        <v>0</v>
      </c>
      <c r="AO56" s="389">
        <f t="shared" si="43"/>
        <v>0</v>
      </c>
      <c r="AP56" s="389">
        <f t="shared" si="44"/>
        <v>0</v>
      </c>
      <c r="AQ56" s="382"/>
      <c r="AR56" s="388" t="str">
        <f t="shared" si="45"/>
        <v>ASFALTO</v>
      </c>
    </row>
    <row r="57" spans="2:44" x14ac:dyDescent="0.25">
      <c r="B57" s="393" t="s">
        <v>2602</v>
      </c>
      <c r="C57" s="391">
        <v>941.82299999999998</v>
      </c>
      <c r="D57" s="391">
        <v>941.48</v>
      </c>
      <c r="E57" s="391">
        <v>1.9590000000000001</v>
      </c>
      <c r="F57" s="391">
        <v>7.827</v>
      </c>
      <c r="G57" s="392">
        <v>0.7</v>
      </c>
      <c r="H57" s="391">
        <v>5.4790000000000001</v>
      </c>
      <c r="I57" s="391">
        <v>1.4999999999999999E-2</v>
      </c>
      <c r="J57" s="392">
        <v>17.489999999999998</v>
      </c>
      <c r="K57" s="392">
        <v>305.22000000000003</v>
      </c>
      <c r="L57" s="392">
        <v>50.01</v>
      </c>
      <c r="M57" s="392">
        <v>1672.18</v>
      </c>
      <c r="N57" s="393">
        <v>1200</v>
      </c>
      <c r="O57" s="393"/>
      <c r="P57" s="392">
        <v>0.69</v>
      </c>
      <c r="Q57" s="392">
        <v>2.58</v>
      </c>
      <c r="R57" s="392">
        <v>0.67</v>
      </c>
      <c r="S57" s="392">
        <v>55.68</v>
      </c>
      <c r="T57" s="392">
        <v>3.17</v>
      </c>
      <c r="U57" s="392">
        <v>3.17</v>
      </c>
      <c r="V57" s="391">
        <v>3.17</v>
      </c>
      <c r="W57" s="391">
        <v>3.47</v>
      </c>
      <c r="X57" s="392">
        <v>938.65300000000002</v>
      </c>
      <c r="Y57" s="392" t="s">
        <v>2392</v>
      </c>
      <c r="Z57" s="392">
        <v>1000</v>
      </c>
      <c r="AA57" s="392">
        <f>IFERROR(IF(Z57&lt;=600,(PI()*0.72*0.72/4-PI()*0.6*0.6/4)*(C57-AD57)+(1.3*1.3-1.1*1.1)*1.6,IF(Z57=800,(PI()*0.72*0.72/4-PI()*0.6*0.6/4)*(C57-AD57)+(1.5*1.5-1.1*1.1)*1.6,IF(Z57=1000,(PI()*0.72*0.72/4-PI()*0.6*0.6/4)*(C57-AD57)+(1.94*1.94-1.5*1.5)*2.25,IF(Z57=1200,(PI()*0.72*0.72/4-PI()*0.6*0.6/4)*(C57-AD57)+(-1.8*1.8+2.14*2.14)*2.25,IF(Z57=1500,(PI()*0.72*0.72/4-PI()*0.6*0.6/4)*(C57-AD57)+(-2.2*2.2+2.44*2.44)*2.65,0))))),0)</f>
        <v>3.755183864120851</v>
      </c>
      <c r="AB57" s="392">
        <f t="shared" si="34"/>
        <v>17.282215346662813</v>
      </c>
      <c r="AC57" s="392" t="s">
        <v>2818</v>
      </c>
      <c r="AD57" s="391">
        <v>939.01300000000003</v>
      </c>
      <c r="AE57" s="391">
        <v>2</v>
      </c>
      <c r="AF57" s="391">
        <v>2</v>
      </c>
      <c r="AG57" s="390" t="str">
        <f t="shared" si="35"/>
        <v>PV4.1</v>
      </c>
      <c r="AH57" s="389">
        <f t="shared" si="36"/>
        <v>0</v>
      </c>
      <c r="AI57" s="389">
        <f t="shared" si="37"/>
        <v>0</v>
      </c>
      <c r="AJ57" s="389">
        <f t="shared" si="38"/>
        <v>0</v>
      </c>
      <c r="AK57" s="389">
        <f t="shared" si="39"/>
        <v>1</v>
      </c>
      <c r="AL57" s="389">
        <f t="shared" si="40"/>
        <v>0</v>
      </c>
      <c r="AM57" s="389">
        <f t="shared" si="41"/>
        <v>0</v>
      </c>
      <c r="AN57" s="389">
        <f t="shared" si="42"/>
        <v>0</v>
      </c>
      <c r="AO57" s="389">
        <f t="shared" si="43"/>
        <v>0</v>
      </c>
      <c r="AP57" s="389">
        <f t="shared" si="44"/>
        <v>0</v>
      </c>
      <c r="AQ57" s="382"/>
      <c r="AR57" s="388" t="str">
        <f t="shared" si="45"/>
        <v>ASFALTO</v>
      </c>
    </row>
    <row r="58" spans="2:44" x14ac:dyDescent="0.25">
      <c r="B58" s="393" t="s">
        <v>2817</v>
      </c>
      <c r="C58" s="391">
        <v>947.428</v>
      </c>
      <c r="D58" s="391">
        <v>946.16899999999998</v>
      </c>
      <c r="E58" s="391">
        <v>9.6639999999999997</v>
      </c>
      <c r="F58" s="391">
        <v>9.6639999999999997</v>
      </c>
      <c r="G58" s="392">
        <v>0.7</v>
      </c>
      <c r="H58" s="391">
        <v>6.7649999999999997</v>
      </c>
      <c r="I58" s="391">
        <v>1.4999999999999999E-2</v>
      </c>
      <c r="J58" s="392">
        <v>18.73</v>
      </c>
      <c r="K58" s="392">
        <v>294.77</v>
      </c>
      <c r="L58" s="392">
        <v>40</v>
      </c>
      <c r="M58" s="392">
        <v>1994.16</v>
      </c>
      <c r="N58" s="393">
        <v>1000</v>
      </c>
      <c r="O58" s="393"/>
      <c r="P58" s="392">
        <v>2.42</v>
      </c>
      <c r="Q58" s="392">
        <v>4.33</v>
      </c>
      <c r="R58" s="392">
        <v>0.56999999999999995</v>
      </c>
      <c r="S58" s="392">
        <v>56.79</v>
      </c>
      <c r="T58" s="392">
        <v>3.64</v>
      </c>
      <c r="U58" s="392">
        <v>3.35</v>
      </c>
      <c r="V58" s="391">
        <v>3.64</v>
      </c>
      <c r="W58" s="391">
        <v>3.35</v>
      </c>
      <c r="X58" s="392">
        <v>943.78800000000001</v>
      </c>
      <c r="Y58" s="392" t="s">
        <v>2392</v>
      </c>
      <c r="Z58" s="392">
        <v>1000</v>
      </c>
      <c r="AA58" s="392">
        <f>IFERROR(IF(Z58&lt;=600,(PI()*0.72*0.72/4-PI()*0.6*0.6/4)*(C58-AD58)+(1.3*1.3-1.1*1.1)*1.6,IF(Z58=800,(PI()*0.72*0.72/4-PI()*0.6*0.6/4)*(C58-AD58)+(1.5*1.5-1.1*1.1)*1.6,IF(Z58=1000,(PI()*0.72*0.72/4-PI()*0.6*0.6/4)*(C58-AD58)+(1.94*1.94-1.5*1.5)*2.25,IF(Z58=1200,(PI()*0.72*0.72/4-PI()*0.6*0.6/4)*(C58-AD58)+(-1.8*1.8+2.14*2.14)*2.25,IF(Z58=1500,(PI()*0.72*0.72/4-PI()*0.6*0.6/4)*(C58-AD58)+(-2.2*2.2+2.44*2.44)*2.65,0))))),0)</f>
        <v>3.7775771365556468</v>
      </c>
      <c r="AB58" s="392">
        <f t="shared" si="34"/>
        <v>13.823007675795091</v>
      </c>
      <c r="AC58" s="392" t="s">
        <v>2815</v>
      </c>
      <c r="AD58" s="391">
        <v>944.43799999999999</v>
      </c>
      <c r="AE58" s="391">
        <v>1</v>
      </c>
      <c r="AF58" s="391">
        <v>1</v>
      </c>
      <c r="AG58" s="390" t="str">
        <f t="shared" si="35"/>
        <v>PV1.2</v>
      </c>
      <c r="AH58" s="389">
        <f t="shared" si="36"/>
        <v>0</v>
      </c>
      <c r="AI58" s="389">
        <f t="shared" si="37"/>
        <v>0</v>
      </c>
      <c r="AJ58" s="389">
        <f t="shared" si="38"/>
        <v>1</v>
      </c>
      <c r="AK58" s="389">
        <f t="shared" si="39"/>
        <v>0</v>
      </c>
      <c r="AL58" s="389">
        <f t="shared" si="40"/>
        <v>0</v>
      </c>
      <c r="AM58" s="389">
        <f t="shared" si="41"/>
        <v>0</v>
      </c>
      <c r="AN58" s="389">
        <f t="shared" si="42"/>
        <v>0</v>
      </c>
      <c r="AO58" s="389">
        <f t="shared" si="43"/>
        <v>0</v>
      </c>
      <c r="AP58" s="389">
        <f t="shared" si="44"/>
        <v>0</v>
      </c>
      <c r="AQ58" s="382"/>
      <c r="AR58" s="388" t="str">
        <f t="shared" si="45"/>
        <v>ASFALTO</v>
      </c>
    </row>
    <row r="59" spans="2:44" x14ac:dyDescent="0.25">
      <c r="B59" s="393" t="s">
        <v>2816</v>
      </c>
      <c r="C59" s="391">
        <v>946.16899999999998</v>
      </c>
      <c r="D59" s="391">
        <v>944.90099999999995</v>
      </c>
      <c r="E59" s="391">
        <v>0</v>
      </c>
      <c r="F59" s="391">
        <v>9.6639999999999997</v>
      </c>
      <c r="G59" s="392">
        <v>0.7</v>
      </c>
      <c r="H59" s="391">
        <v>6.7649999999999997</v>
      </c>
      <c r="I59" s="391">
        <v>1.4999999999999999E-2</v>
      </c>
      <c r="J59" s="392">
        <v>18.88</v>
      </c>
      <c r="K59" s="392">
        <v>293.54000000000002</v>
      </c>
      <c r="L59" s="392">
        <v>40</v>
      </c>
      <c r="M59" s="392">
        <v>1985.79</v>
      </c>
      <c r="N59" s="393">
        <v>1000</v>
      </c>
      <c r="O59" s="393"/>
      <c r="P59" s="392">
        <v>2.42</v>
      </c>
      <c r="Q59" s="392">
        <v>4.33</v>
      </c>
      <c r="R59" s="392">
        <v>0.56999999999999995</v>
      </c>
      <c r="S59" s="392">
        <v>56.64</v>
      </c>
      <c r="T59" s="392">
        <v>3.35</v>
      </c>
      <c r="U59" s="392">
        <v>3.05</v>
      </c>
      <c r="V59" s="391">
        <v>3.35</v>
      </c>
      <c r="W59" s="391">
        <v>3.05</v>
      </c>
      <c r="X59" s="392">
        <v>942.81899999999996</v>
      </c>
      <c r="Y59" s="392" t="s">
        <v>2392</v>
      </c>
      <c r="Z59" s="392">
        <v>1000</v>
      </c>
      <c r="AA59" s="392">
        <v>0</v>
      </c>
      <c r="AB59" s="392">
        <f t="shared" si="34"/>
        <v>13.823007675795091</v>
      </c>
      <c r="AC59" s="392" t="s">
        <v>2815</v>
      </c>
      <c r="AD59" s="391">
        <v>944.43799999999999</v>
      </c>
      <c r="AE59" s="391">
        <v>0</v>
      </c>
      <c r="AF59" s="391">
        <v>0</v>
      </c>
      <c r="AG59" s="390" t="str">
        <f t="shared" si="35"/>
        <v>PV2.2</v>
      </c>
      <c r="AH59" s="389">
        <f t="shared" si="36"/>
        <v>0</v>
      </c>
      <c r="AI59" s="389">
        <f t="shared" si="37"/>
        <v>0</v>
      </c>
      <c r="AJ59" s="389">
        <f t="shared" si="38"/>
        <v>1</v>
      </c>
      <c r="AK59" s="389">
        <f t="shared" si="39"/>
        <v>0</v>
      </c>
      <c r="AL59" s="389">
        <f t="shared" si="40"/>
        <v>0</v>
      </c>
      <c r="AM59" s="389">
        <f t="shared" si="41"/>
        <v>0</v>
      </c>
      <c r="AN59" s="389">
        <f t="shared" si="42"/>
        <v>0</v>
      </c>
      <c r="AO59" s="389">
        <f t="shared" si="43"/>
        <v>0</v>
      </c>
      <c r="AP59" s="389">
        <f t="shared" si="44"/>
        <v>0</v>
      </c>
      <c r="AQ59" s="382"/>
      <c r="AR59" s="388" t="str">
        <f t="shared" si="45"/>
        <v>ASFALTO</v>
      </c>
    </row>
    <row r="60" spans="2:44" x14ac:dyDescent="0.25">
      <c r="B60" s="393" t="s">
        <v>2814</v>
      </c>
      <c r="C60" s="391">
        <v>944.90099999999995</v>
      </c>
      <c r="D60" s="391">
        <v>943.03899999999999</v>
      </c>
      <c r="E60" s="391">
        <v>0.41899999999999998</v>
      </c>
      <c r="F60" s="391">
        <v>10.084</v>
      </c>
      <c r="G60" s="392">
        <v>0.7</v>
      </c>
      <c r="H60" s="391">
        <v>7.0590000000000002</v>
      </c>
      <c r="I60" s="391">
        <v>1.4999999999999999E-2</v>
      </c>
      <c r="J60" s="392">
        <v>19.04</v>
      </c>
      <c r="K60" s="392">
        <v>292.31</v>
      </c>
      <c r="L60" s="392">
        <v>60</v>
      </c>
      <c r="M60" s="392">
        <v>2063.27</v>
      </c>
      <c r="N60" s="393">
        <v>1000</v>
      </c>
      <c r="O60" s="393"/>
      <c r="P60" s="392">
        <v>3.05</v>
      </c>
      <c r="Q60" s="392">
        <v>4.7699999999999996</v>
      </c>
      <c r="R60" s="392">
        <v>0.54</v>
      </c>
      <c r="S60" s="392">
        <v>53.99</v>
      </c>
      <c r="T60" s="392">
        <v>3.05</v>
      </c>
      <c r="U60" s="392">
        <v>3.02</v>
      </c>
      <c r="V60" s="391">
        <v>3.05</v>
      </c>
      <c r="W60" s="391">
        <v>3.02</v>
      </c>
      <c r="X60" s="392">
        <v>941.851</v>
      </c>
      <c r="Y60" s="392" t="s">
        <v>2392</v>
      </c>
      <c r="Z60" s="392">
        <v>1000</v>
      </c>
      <c r="AA60" s="392">
        <f t="shared" ref="AA60:AA76" si="46">IFERROR(IF(Z60&lt;=600,(PI()*0.72*0.72/4-PI()*0.6*0.6/4)*(C60-AD60)+(1.3*1.3-1.1*1.1)*1.6,IF(Z60=800,(PI()*0.72*0.72/4-PI()*0.6*0.6/4)*(C60-AD60)+(1.5*1.5-1.1*1.1)*1.6,IF(Z60=1000,(PI()*0.72*0.72/4-PI()*0.6*0.6/4)*(C60-AD60)+(1.94*1.94-1.5*1.5)*2.25,IF(Z60=1200,(PI()*0.72*0.72/4-PI()*0.6*0.6/4)*(C60-AD60)+(-1.8*1.8+2.14*2.14)*2.25,IF(Z60=1500,(PI()*0.72*0.72/4-PI()*0.6*0.6/4)*(C60-AD60)+(-2.2*2.2+2.44*2.44)*2.65,0))))),0)</f>
        <v>3.7057942576952287</v>
      </c>
      <c r="AB60" s="392">
        <f t="shared" si="34"/>
        <v>20.734511513692638</v>
      </c>
      <c r="AC60" s="392" t="s">
        <v>2813</v>
      </c>
      <c r="AD60" s="391">
        <v>942.48800000000006</v>
      </c>
      <c r="AE60" s="391">
        <v>1</v>
      </c>
      <c r="AF60" s="391">
        <v>1</v>
      </c>
      <c r="AG60" s="390" t="str">
        <f t="shared" si="35"/>
        <v>PV3.2</v>
      </c>
      <c r="AH60" s="389">
        <f t="shared" si="36"/>
        <v>0</v>
      </c>
      <c r="AI60" s="389">
        <f t="shared" si="37"/>
        <v>0</v>
      </c>
      <c r="AJ60" s="389">
        <f t="shared" si="38"/>
        <v>1</v>
      </c>
      <c r="AK60" s="389">
        <f t="shared" si="39"/>
        <v>0</v>
      </c>
      <c r="AL60" s="389">
        <f t="shared" si="40"/>
        <v>0</v>
      </c>
      <c r="AM60" s="389">
        <f t="shared" si="41"/>
        <v>0</v>
      </c>
      <c r="AN60" s="389">
        <f t="shared" si="42"/>
        <v>0</v>
      </c>
      <c r="AO60" s="389">
        <f t="shared" si="43"/>
        <v>0</v>
      </c>
      <c r="AP60" s="389">
        <f t="shared" si="44"/>
        <v>0</v>
      </c>
      <c r="AQ60" s="382"/>
      <c r="AR60" s="388" t="str">
        <f t="shared" si="45"/>
        <v>ASFALTO</v>
      </c>
    </row>
    <row r="61" spans="2:44" x14ac:dyDescent="0.25">
      <c r="B61" s="393" t="s">
        <v>2812</v>
      </c>
      <c r="C61" s="391">
        <v>943.03899999999999</v>
      </c>
      <c r="D61" s="391">
        <v>941.48</v>
      </c>
      <c r="E61" s="391">
        <v>0.3</v>
      </c>
      <c r="F61" s="391">
        <v>10.384</v>
      </c>
      <c r="G61" s="392">
        <v>0.7</v>
      </c>
      <c r="H61" s="391">
        <v>7.2690000000000001</v>
      </c>
      <c r="I61" s="391">
        <v>1.4999999999999999E-2</v>
      </c>
      <c r="J61" s="392">
        <v>19.25</v>
      </c>
      <c r="K61" s="392">
        <v>290.66000000000003</v>
      </c>
      <c r="L61" s="392">
        <v>55</v>
      </c>
      <c r="M61" s="392">
        <v>2112.64</v>
      </c>
      <c r="N61" s="393">
        <v>1000</v>
      </c>
      <c r="O61" s="393"/>
      <c r="P61" s="392">
        <v>2.69</v>
      </c>
      <c r="Q61" s="392">
        <v>4.57</v>
      </c>
      <c r="R61" s="392">
        <v>0.56999999999999995</v>
      </c>
      <c r="S61" s="392">
        <v>56.99</v>
      </c>
      <c r="T61" s="392">
        <v>3.02</v>
      </c>
      <c r="U61" s="392">
        <v>2.94</v>
      </c>
      <c r="V61" s="391">
        <v>3.02</v>
      </c>
      <c r="W61" s="391">
        <v>3.47</v>
      </c>
      <c r="X61" s="392">
        <v>940.01900000000001</v>
      </c>
      <c r="Y61" s="392" t="s">
        <v>2392</v>
      </c>
      <c r="Z61" s="392">
        <v>1000</v>
      </c>
      <c r="AA61" s="392">
        <f t="shared" si="46"/>
        <v>3.7167420797744684</v>
      </c>
      <c r="AB61" s="392">
        <f t="shared" si="34"/>
        <v>19.006635554218249</v>
      </c>
      <c r="AC61" s="392" t="s">
        <v>2811</v>
      </c>
      <c r="AD61" s="391">
        <v>940.53800000000001</v>
      </c>
      <c r="AE61" s="391">
        <v>1</v>
      </c>
      <c r="AF61" s="391">
        <v>1</v>
      </c>
      <c r="AG61" s="390" t="str">
        <f t="shared" si="35"/>
        <v>PV4.2</v>
      </c>
      <c r="AH61" s="389">
        <f t="shared" si="36"/>
        <v>0</v>
      </c>
      <c r="AI61" s="389">
        <f t="shared" si="37"/>
        <v>0</v>
      </c>
      <c r="AJ61" s="389">
        <f t="shared" si="38"/>
        <v>1</v>
      </c>
      <c r="AK61" s="389">
        <f t="shared" si="39"/>
        <v>0</v>
      </c>
      <c r="AL61" s="389">
        <f t="shared" si="40"/>
        <v>0</v>
      </c>
      <c r="AM61" s="389">
        <f t="shared" si="41"/>
        <v>0</v>
      </c>
      <c r="AN61" s="389">
        <f t="shared" si="42"/>
        <v>0</v>
      </c>
      <c r="AO61" s="389">
        <f t="shared" si="43"/>
        <v>0</v>
      </c>
      <c r="AP61" s="389">
        <f t="shared" si="44"/>
        <v>0</v>
      </c>
      <c r="AQ61" s="382"/>
      <c r="AR61" s="388" t="str">
        <f t="shared" si="45"/>
        <v>ASFALTO</v>
      </c>
    </row>
    <row r="62" spans="2:44" x14ac:dyDescent="0.25">
      <c r="B62" s="393" t="s">
        <v>2604</v>
      </c>
      <c r="C62" s="391">
        <v>941.48</v>
      </c>
      <c r="D62" s="391">
        <v>941.42100000000005</v>
      </c>
      <c r="E62" s="391">
        <v>0.47099999999999997</v>
      </c>
      <c r="F62" s="391">
        <v>18.681000000000001</v>
      </c>
      <c r="G62" s="392">
        <v>0.7</v>
      </c>
      <c r="H62" s="391">
        <v>13.077</v>
      </c>
      <c r="I62" s="391">
        <v>1.4999999999999999E-2</v>
      </c>
      <c r="J62" s="392">
        <v>19.45</v>
      </c>
      <c r="K62" s="392">
        <v>289.08999999999997</v>
      </c>
      <c r="L62" s="392">
        <v>12.51</v>
      </c>
      <c r="M62" s="392">
        <v>3780.42</v>
      </c>
      <c r="N62" s="393">
        <v>1500</v>
      </c>
      <c r="O62" s="393"/>
      <c r="P62" s="392">
        <v>0.55000000000000004</v>
      </c>
      <c r="Q62" s="392">
        <v>2.88</v>
      </c>
      <c r="R62" s="392">
        <v>1.04</v>
      </c>
      <c r="S62" s="392">
        <v>69.53</v>
      </c>
      <c r="T62" s="392">
        <v>3.47</v>
      </c>
      <c r="U62" s="392">
        <v>3.48</v>
      </c>
      <c r="V62" s="391">
        <v>3.47</v>
      </c>
      <c r="W62" s="391">
        <v>4.9800000000000004</v>
      </c>
      <c r="X62" s="392">
        <v>938.01</v>
      </c>
      <c r="Y62" s="392" t="s">
        <v>2392</v>
      </c>
      <c r="Z62" s="392">
        <v>1200</v>
      </c>
      <c r="AA62" s="392">
        <f t="shared" si="46"/>
        <v>3.4787604030218535</v>
      </c>
      <c r="AB62" s="392">
        <f t="shared" si="34"/>
        <v>6.2253297368710774</v>
      </c>
      <c r="AC62" s="392" t="s">
        <v>2810</v>
      </c>
      <c r="AD62" s="391">
        <v>937.745</v>
      </c>
      <c r="AE62" s="391">
        <v>2</v>
      </c>
      <c r="AF62" s="391">
        <v>2</v>
      </c>
      <c r="AG62" s="390" t="str">
        <f t="shared" si="35"/>
        <v>PV5.1</v>
      </c>
      <c r="AH62" s="389">
        <f t="shared" si="36"/>
        <v>0</v>
      </c>
      <c r="AI62" s="389">
        <f t="shared" si="37"/>
        <v>0</v>
      </c>
      <c r="AJ62" s="389">
        <f t="shared" si="38"/>
        <v>0</v>
      </c>
      <c r="AK62" s="389">
        <f t="shared" si="39"/>
        <v>0</v>
      </c>
      <c r="AL62" s="389">
        <f t="shared" si="40"/>
        <v>1</v>
      </c>
      <c r="AM62" s="389">
        <f t="shared" si="41"/>
        <v>0</v>
      </c>
      <c r="AN62" s="389">
        <f t="shared" si="42"/>
        <v>0</v>
      </c>
      <c r="AO62" s="389">
        <f t="shared" si="43"/>
        <v>0</v>
      </c>
      <c r="AP62" s="389">
        <f t="shared" si="44"/>
        <v>0</v>
      </c>
      <c r="AQ62" s="382"/>
      <c r="AR62" s="388" t="str">
        <f t="shared" si="45"/>
        <v>ASFALTO</v>
      </c>
    </row>
    <row r="63" spans="2:44" x14ac:dyDescent="0.25">
      <c r="B63" s="393" t="s">
        <v>2785</v>
      </c>
      <c r="C63" s="391">
        <v>941.01400000000001</v>
      </c>
      <c r="D63" s="391">
        <v>941.25800000000004</v>
      </c>
      <c r="E63" s="391">
        <v>1.7749999999999999</v>
      </c>
      <c r="F63" s="391">
        <v>1.7749999999999999</v>
      </c>
      <c r="G63" s="392">
        <v>0.7</v>
      </c>
      <c r="H63" s="391">
        <v>1.242</v>
      </c>
      <c r="I63" s="391">
        <v>1.4999999999999999E-2</v>
      </c>
      <c r="J63" s="392">
        <v>16.84</v>
      </c>
      <c r="K63" s="392">
        <v>310.98</v>
      </c>
      <c r="L63" s="392">
        <v>49.82</v>
      </c>
      <c r="M63" s="392">
        <v>386.32</v>
      </c>
      <c r="N63" s="393">
        <v>800</v>
      </c>
      <c r="O63" s="393"/>
      <c r="P63" s="392">
        <v>0.27</v>
      </c>
      <c r="Q63" s="392">
        <v>1.26</v>
      </c>
      <c r="R63" s="392">
        <v>0.47</v>
      </c>
      <c r="S63" s="392">
        <v>58.59</v>
      </c>
      <c r="T63" s="392">
        <v>2.72</v>
      </c>
      <c r="U63" s="392">
        <v>3.1</v>
      </c>
      <c r="V63" s="391">
        <v>2.72</v>
      </c>
      <c r="W63" s="391">
        <v>3.73</v>
      </c>
      <c r="X63" s="392">
        <v>938.29399999999998</v>
      </c>
      <c r="Y63" s="392" t="s">
        <v>2392</v>
      </c>
      <c r="Z63" s="392">
        <v>600</v>
      </c>
      <c r="AA63" s="392">
        <f t="shared" si="46"/>
        <v>1.0253982259309753</v>
      </c>
      <c r="AB63" s="392">
        <f t="shared" si="34"/>
        <v>6.197960181673003</v>
      </c>
      <c r="AC63" s="392" t="s">
        <v>2809</v>
      </c>
      <c r="AD63" s="391">
        <v>938.94500000000005</v>
      </c>
      <c r="AE63" s="391">
        <v>1</v>
      </c>
      <c r="AF63" s="391">
        <v>3</v>
      </c>
      <c r="AG63" s="390" t="str">
        <f t="shared" si="35"/>
        <v>PV1.3</v>
      </c>
      <c r="AH63" s="389">
        <f t="shared" si="36"/>
        <v>0</v>
      </c>
      <c r="AI63" s="389">
        <f t="shared" si="37"/>
        <v>1</v>
      </c>
      <c r="AJ63" s="389">
        <f t="shared" si="38"/>
        <v>0</v>
      </c>
      <c r="AK63" s="389">
        <f t="shared" si="39"/>
        <v>0</v>
      </c>
      <c r="AL63" s="389">
        <f t="shared" si="40"/>
        <v>0</v>
      </c>
      <c r="AM63" s="389">
        <f t="shared" si="41"/>
        <v>0</v>
      </c>
      <c r="AN63" s="389">
        <f t="shared" si="42"/>
        <v>0</v>
      </c>
      <c r="AO63" s="389">
        <f t="shared" si="43"/>
        <v>0</v>
      </c>
      <c r="AP63" s="389">
        <f t="shared" si="44"/>
        <v>0</v>
      </c>
      <c r="AQ63" s="382"/>
      <c r="AR63" s="388" t="str">
        <f t="shared" si="45"/>
        <v>ASFALTO</v>
      </c>
    </row>
    <row r="64" spans="2:44" x14ac:dyDescent="0.25">
      <c r="B64" s="393" t="s">
        <v>2808</v>
      </c>
      <c r="C64" s="391">
        <v>941.25800000000004</v>
      </c>
      <c r="D64" s="391">
        <v>941.28499999999997</v>
      </c>
      <c r="E64" s="391">
        <v>10.065</v>
      </c>
      <c r="F64" s="391">
        <v>11.84</v>
      </c>
      <c r="G64" s="392">
        <v>0.7</v>
      </c>
      <c r="H64" s="391">
        <v>8.2880000000000003</v>
      </c>
      <c r="I64" s="391">
        <v>1.4999999999999999E-2</v>
      </c>
      <c r="J64" s="392">
        <v>19.149999999999999</v>
      </c>
      <c r="K64" s="392">
        <v>291.42</v>
      </c>
      <c r="L64" s="392">
        <v>50.58</v>
      </c>
      <c r="M64" s="392">
        <v>2415.3200000000002</v>
      </c>
      <c r="N64" s="393">
        <v>1200</v>
      </c>
      <c r="O64" s="393"/>
      <c r="P64" s="392">
        <v>0.68</v>
      </c>
      <c r="Q64" s="392">
        <v>2.77</v>
      </c>
      <c r="R64" s="392">
        <v>0.86</v>
      </c>
      <c r="S64" s="392">
        <v>71.97</v>
      </c>
      <c r="T64" s="392">
        <v>3.73</v>
      </c>
      <c r="U64" s="392">
        <v>4.0999999999999996</v>
      </c>
      <c r="V64" s="391">
        <v>3.73</v>
      </c>
      <c r="W64" s="391">
        <v>4.4000000000000004</v>
      </c>
      <c r="X64" s="392">
        <v>937.52800000000002</v>
      </c>
      <c r="Y64" s="392" t="s">
        <v>2392</v>
      </c>
      <c r="Z64" s="392">
        <v>1200</v>
      </c>
      <c r="AA64" s="392">
        <f t="shared" si="46"/>
        <v>3.4302416460798146</v>
      </c>
      <c r="AB64" s="392">
        <f t="shared" si="34"/>
        <v>25.170038216701766</v>
      </c>
      <c r="AC64" s="392" t="s">
        <v>2807</v>
      </c>
      <c r="AD64" s="391">
        <v>937.91300000000001</v>
      </c>
      <c r="AE64" s="391">
        <v>1</v>
      </c>
      <c r="AF64" s="391">
        <v>3</v>
      </c>
      <c r="AG64" s="390" t="str">
        <f t="shared" si="35"/>
        <v>PV2.3</v>
      </c>
      <c r="AH64" s="389">
        <f t="shared" si="36"/>
        <v>0</v>
      </c>
      <c r="AI64" s="389">
        <f t="shared" si="37"/>
        <v>0</v>
      </c>
      <c r="AJ64" s="389">
        <f t="shared" si="38"/>
        <v>0</v>
      </c>
      <c r="AK64" s="389">
        <f t="shared" si="39"/>
        <v>1</v>
      </c>
      <c r="AL64" s="389">
        <f t="shared" si="40"/>
        <v>0</v>
      </c>
      <c r="AM64" s="389">
        <f t="shared" si="41"/>
        <v>0</v>
      </c>
      <c r="AN64" s="389">
        <f t="shared" si="42"/>
        <v>0</v>
      </c>
      <c r="AO64" s="389">
        <f t="shared" si="43"/>
        <v>0</v>
      </c>
      <c r="AP64" s="389">
        <f t="shared" si="44"/>
        <v>0</v>
      </c>
      <c r="AQ64" s="382"/>
      <c r="AR64" s="388" t="str">
        <f t="shared" si="45"/>
        <v>ASFALTO</v>
      </c>
    </row>
    <row r="65" spans="2:44" x14ac:dyDescent="0.25">
      <c r="B65" s="393" t="s">
        <v>2806</v>
      </c>
      <c r="C65" s="391">
        <v>941.28499999999997</v>
      </c>
      <c r="D65" s="391">
        <v>941.25300000000004</v>
      </c>
      <c r="E65" s="391">
        <v>1.7629999999999999</v>
      </c>
      <c r="F65" s="391">
        <v>13.603</v>
      </c>
      <c r="G65" s="392">
        <v>0.7</v>
      </c>
      <c r="H65" s="391">
        <v>9.5220000000000002</v>
      </c>
      <c r="I65" s="391">
        <v>1.4999999999999999E-2</v>
      </c>
      <c r="J65" s="392">
        <v>19.45</v>
      </c>
      <c r="K65" s="392">
        <v>289.05</v>
      </c>
      <c r="L65" s="392">
        <v>49.43</v>
      </c>
      <c r="M65" s="392">
        <v>2752.4</v>
      </c>
      <c r="N65" s="393">
        <v>1500</v>
      </c>
      <c r="O65" s="393"/>
      <c r="P65" s="392">
        <v>0.27</v>
      </c>
      <c r="Q65" s="392">
        <v>2.02</v>
      </c>
      <c r="R65" s="392">
        <v>1.08</v>
      </c>
      <c r="S65" s="392">
        <v>72.099999999999994</v>
      </c>
      <c r="T65" s="392">
        <v>4.4000000000000004</v>
      </c>
      <c r="U65" s="392">
        <v>4.5</v>
      </c>
      <c r="V65" s="391">
        <v>4.4000000000000004</v>
      </c>
      <c r="W65" s="391">
        <v>4.5</v>
      </c>
      <c r="X65" s="392">
        <v>936.88499999999999</v>
      </c>
      <c r="Y65" s="392" t="s">
        <v>2392</v>
      </c>
      <c r="Z65" s="392">
        <v>1500</v>
      </c>
      <c r="AA65" s="392">
        <f t="shared" si="46"/>
        <v>3.4086092000841659</v>
      </c>
      <c r="AB65" s="392">
        <f t="shared" si="34"/>
        <v>38.434008904568522</v>
      </c>
      <c r="AC65" s="392" t="s">
        <v>2805</v>
      </c>
      <c r="AD65" s="391">
        <v>937.60699999999997</v>
      </c>
      <c r="AE65" s="391">
        <v>1</v>
      </c>
      <c r="AF65" s="391">
        <v>3</v>
      </c>
      <c r="AG65" s="390" t="str">
        <f t="shared" si="35"/>
        <v>PV3.3</v>
      </c>
      <c r="AH65" s="389">
        <f t="shared" si="36"/>
        <v>0</v>
      </c>
      <c r="AI65" s="389">
        <f t="shared" si="37"/>
        <v>0</v>
      </c>
      <c r="AJ65" s="389">
        <f t="shared" si="38"/>
        <v>0</v>
      </c>
      <c r="AK65" s="389">
        <f t="shared" si="39"/>
        <v>0</v>
      </c>
      <c r="AL65" s="389">
        <f t="shared" si="40"/>
        <v>1</v>
      </c>
      <c r="AM65" s="389">
        <f t="shared" si="41"/>
        <v>0</v>
      </c>
      <c r="AN65" s="389">
        <f t="shared" si="42"/>
        <v>0</v>
      </c>
      <c r="AO65" s="389">
        <f t="shared" si="43"/>
        <v>0</v>
      </c>
      <c r="AP65" s="389">
        <f t="shared" si="44"/>
        <v>0</v>
      </c>
      <c r="AQ65" s="382"/>
      <c r="AR65" s="388" t="str">
        <f t="shared" si="45"/>
        <v>ASFALTO</v>
      </c>
    </row>
    <row r="66" spans="2:44" x14ac:dyDescent="0.25">
      <c r="B66" s="393" t="s">
        <v>2804</v>
      </c>
      <c r="C66" s="391">
        <v>941.25300000000004</v>
      </c>
      <c r="D66" s="391">
        <v>941.42100000000005</v>
      </c>
      <c r="E66" s="391">
        <v>0.371</v>
      </c>
      <c r="F66" s="391">
        <v>13.974</v>
      </c>
      <c r="G66" s="392">
        <v>0.7</v>
      </c>
      <c r="H66" s="391">
        <v>9.782</v>
      </c>
      <c r="I66" s="391">
        <v>1.4999999999999999E-2</v>
      </c>
      <c r="J66" s="392">
        <v>19.86</v>
      </c>
      <c r="K66" s="392">
        <v>285.93</v>
      </c>
      <c r="L66" s="392">
        <v>37.78</v>
      </c>
      <c r="M66" s="392">
        <v>2796.97</v>
      </c>
      <c r="N66" s="393">
        <v>1500</v>
      </c>
      <c r="O66" s="393"/>
      <c r="P66" s="392">
        <v>0.35</v>
      </c>
      <c r="Q66" s="392">
        <v>2.2599999999999998</v>
      </c>
      <c r="R66" s="392">
        <v>0.99</v>
      </c>
      <c r="S66" s="392">
        <v>65.92</v>
      </c>
      <c r="T66" s="392">
        <v>4.5</v>
      </c>
      <c r="U66" s="392">
        <v>4.8</v>
      </c>
      <c r="V66" s="391">
        <v>4.5</v>
      </c>
      <c r="W66" s="391">
        <v>4.9800000000000004</v>
      </c>
      <c r="X66" s="392">
        <v>936.75300000000004</v>
      </c>
      <c r="Y66" s="392" t="s">
        <v>2392</v>
      </c>
      <c r="Z66" s="392">
        <v>1500</v>
      </c>
      <c r="AA66" s="392">
        <f t="shared" si="46"/>
        <v>3.4792724153228427</v>
      </c>
      <c r="AB66" s="392">
        <f t="shared" si="34"/>
        <v>29.37561918702405</v>
      </c>
      <c r="AC66" s="392" t="s">
        <v>2803</v>
      </c>
      <c r="AD66" s="391">
        <v>937.00699999999995</v>
      </c>
      <c r="AE66" s="391">
        <v>1</v>
      </c>
      <c r="AF66" s="391">
        <v>3</v>
      </c>
      <c r="AG66" s="390" t="str">
        <f t="shared" si="35"/>
        <v>PV4.3</v>
      </c>
      <c r="AH66" s="389">
        <f t="shared" si="36"/>
        <v>0</v>
      </c>
      <c r="AI66" s="389">
        <f t="shared" si="37"/>
        <v>0</v>
      </c>
      <c r="AJ66" s="389">
        <f t="shared" si="38"/>
        <v>0</v>
      </c>
      <c r="AK66" s="389">
        <f t="shared" si="39"/>
        <v>0</v>
      </c>
      <c r="AL66" s="389">
        <f t="shared" si="40"/>
        <v>1</v>
      </c>
      <c r="AM66" s="389">
        <f t="shared" si="41"/>
        <v>0</v>
      </c>
      <c r="AN66" s="389">
        <f t="shared" si="42"/>
        <v>0</v>
      </c>
      <c r="AO66" s="389">
        <f t="shared" si="43"/>
        <v>0</v>
      </c>
      <c r="AP66" s="389">
        <f t="shared" si="44"/>
        <v>0</v>
      </c>
      <c r="AQ66" s="382"/>
      <c r="AR66" s="388" t="str">
        <f t="shared" si="45"/>
        <v>ASFALTO</v>
      </c>
    </row>
    <row r="67" spans="2:44" x14ac:dyDescent="0.25">
      <c r="B67" s="393" t="s">
        <v>2605</v>
      </c>
      <c r="C67" s="391">
        <v>941.42100000000005</v>
      </c>
      <c r="D67" s="391">
        <v>940.43499999999995</v>
      </c>
      <c r="E67" s="391">
        <v>1.778</v>
      </c>
      <c r="F67" s="391">
        <v>34.433</v>
      </c>
      <c r="G67" s="392">
        <v>0.7</v>
      </c>
      <c r="H67" s="391">
        <v>24.103000000000002</v>
      </c>
      <c r="I67" s="391">
        <v>1.2999999999999999E-2</v>
      </c>
      <c r="J67" s="392">
        <v>20.14</v>
      </c>
      <c r="K67" s="392">
        <v>283.85000000000002</v>
      </c>
      <c r="L67" s="392">
        <v>38.43</v>
      </c>
      <c r="M67" s="392">
        <v>6841.67</v>
      </c>
      <c r="N67" s="393">
        <v>1650</v>
      </c>
      <c r="O67" s="393">
        <v>1650</v>
      </c>
      <c r="P67" s="392">
        <v>0.4</v>
      </c>
      <c r="Q67" s="392">
        <v>3.19</v>
      </c>
      <c r="R67" s="392">
        <v>1.32</v>
      </c>
      <c r="S67" s="392">
        <v>80.19</v>
      </c>
      <c r="T67" s="392">
        <v>4.9800000000000004</v>
      </c>
      <c r="U67" s="392">
        <v>4.1500000000000004</v>
      </c>
      <c r="V67" s="391">
        <v>4.9800000000000004</v>
      </c>
      <c r="W67" s="391">
        <v>4.1500000000000004</v>
      </c>
      <c r="X67" s="392">
        <v>936.44100000000003</v>
      </c>
      <c r="Y67" s="392" t="s">
        <v>2392</v>
      </c>
      <c r="Z67" s="392">
        <v>1650</v>
      </c>
      <c r="AA67" s="392">
        <f t="shared" si="46"/>
        <v>0</v>
      </c>
      <c r="AB67" s="392">
        <f t="shared" si="34"/>
        <v>0</v>
      </c>
      <c r="AC67" s="392" t="s">
        <v>2802</v>
      </c>
      <c r="AD67" s="391">
        <v>936.61699999999996</v>
      </c>
      <c r="AE67" s="391">
        <v>0</v>
      </c>
      <c r="AF67" s="391">
        <v>0</v>
      </c>
      <c r="AG67" s="390" t="str">
        <f t="shared" si="35"/>
        <v>PV6.1</v>
      </c>
      <c r="AH67" s="389">
        <f t="shared" si="36"/>
        <v>0</v>
      </c>
      <c r="AI67" s="389">
        <f t="shared" si="37"/>
        <v>0</v>
      </c>
      <c r="AJ67" s="389">
        <f t="shared" si="38"/>
        <v>0</v>
      </c>
      <c r="AK67" s="389">
        <f t="shared" si="39"/>
        <v>0</v>
      </c>
      <c r="AL67" s="389">
        <f t="shared" si="40"/>
        <v>0</v>
      </c>
      <c r="AM67" s="389">
        <f t="shared" si="41"/>
        <v>1</v>
      </c>
      <c r="AN67" s="389">
        <f t="shared" si="42"/>
        <v>0</v>
      </c>
      <c r="AO67" s="389">
        <f t="shared" si="43"/>
        <v>1</v>
      </c>
      <c r="AP67" s="389">
        <f t="shared" si="44"/>
        <v>0</v>
      </c>
      <c r="AQ67" s="382"/>
      <c r="AR67" s="388" t="str">
        <f t="shared" si="45"/>
        <v>ASFALTO</v>
      </c>
    </row>
    <row r="68" spans="2:44" x14ac:dyDescent="0.25">
      <c r="B68" s="393" t="s">
        <v>2607</v>
      </c>
      <c r="C68" s="391">
        <v>940.43499999999995</v>
      </c>
      <c r="D68" s="391">
        <v>939.85199999999998</v>
      </c>
      <c r="E68" s="391">
        <v>0</v>
      </c>
      <c r="F68" s="391">
        <v>34.433</v>
      </c>
      <c r="G68" s="392">
        <v>0.7</v>
      </c>
      <c r="H68" s="391">
        <v>24.103000000000002</v>
      </c>
      <c r="I68" s="391">
        <v>1.2999999999999999E-2</v>
      </c>
      <c r="J68" s="392">
        <v>20.34</v>
      </c>
      <c r="K68" s="392">
        <v>282.36</v>
      </c>
      <c r="L68" s="392">
        <v>38.43</v>
      </c>
      <c r="M68" s="392">
        <v>6805.95</v>
      </c>
      <c r="N68" s="393">
        <v>1650</v>
      </c>
      <c r="O68" s="393">
        <v>1650</v>
      </c>
      <c r="P68" s="392">
        <v>0.61</v>
      </c>
      <c r="Q68" s="392">
        <v>3.75</v>
      </c>
      <c r="R68" s="392">
        <v>1.1200000000000001</v>
      </c>
      <c r="S68" s="392">
        <v>68.150000000000006</v>
      </c>
      <c r="T68" s="392">
        <v>4.1500000000000004</v>
      </c>
      <c r="U68" s="392">
        <v>3.8</v>
      </c>
      <c r="V68" s="391">
        <v>4.1500000000000004</v>
      </c>
      <c r="W68" s="391">
        <v>3.8</v>
      </c>
      <c r="X68" s="392">
        <v>936.28499999999997</v>
      </c>
      <c r="Y68" s="392" t="s">
        <v>2392</v>
      </c>
      <c r="Z68" s="392">
        <v>1650</v>
      </c>
      <c r="AA68" s="392">
        <f t="shared" si="46"/>
        <v>0</v>
      </c>
      <c r="AB68" s="392">
        <f t="shared" si="34"/>
        <v>0</v>
      </c>
      <c r="AC68" s="392" t="s">
        <v>2802</v>
      </c>
      <c r="AD68" s="391">
        <v>936.61699999999996</v>
      </c>
      <c r="AE68" s="391">
        <v>0</v>
      </c>
      <c r="AF68" s="391">
        <v>2</v>
      </c>
      <c r="AG68" s="390" t="str">
        <f t="shared" si="35"/>
        <v>PV7.1</v>
      </c>
      <c r="AH68" s="389">
        <f t="shared" si="36"/>
        <v>0</v>
      </c>
      <c r="AI68" s="389">
        <f t="shared" si="37"/>
        <v>0</v>
      </c>
      <c r="AJ68" s="389">
        <f t="shared" si="38"/>
        <v>0</v>
      </c>
      <c r="AK68" s="389">
        <f t="shared" si="39"/>
        <v>0</v>
      </c>
      <c r="AL68" s="389">
        <f t="shared" si="40"/>
        <v>0</v>
      </c>
      <c r="AM68" s="389">
        <f t="shared" si="41"/>
        <v>1</v>
      </c>
      <c r="AN68" s="389">
        <f t="shared" si="42"/>
        <v>0</v>
      </c>
      <c r="AO68" s="389">
        <f t="shared" si="43"/>
        <v>1</v>
      </c>
      <c r="AP68" s="389">
        <f t="shared" si="44"/>
        <v>0</v>
      </c>
      <c r="AQ68" s="382"/>
      <c r="AR68" s="388" t="str">
        <f t="shared" si="45"/>
        <v>ASFALTO</v>
      </c>
    </row>
    <row r="69" spans="2:44" x14ac:dyDescent="0.25">
      <c r="B69" s="393" t="s">
        <v>2779</v>
      </c>
      <c r="C69" s="391">
        <v>941.19399999999996</v>
      </c>
      <c r="D69" s="391">
        <v>940.202</v>
      </c>
      <c r="E69" s="391">
        <v>0.58099999999999996</v>
      </c>
      <c r="F69" s="391">
        <v>0.58099999999999996</v>
      </c>
      <c r="G69" s="392">
        <v>0.7</v>
      </c>
      <c r="H69" s="391">
        <v>0.40699999999999997</v>
      </c>
      <c r="I69" s="391">
        <v>1.4999999999999999E-2</v>
      </c>
      <c r="J69" s="392">
        <v>15</v>
      </c>
      <c r="K69" s="392">
        <v>328.81</v>
      </c>
      <c r="L69" s="392">
        <v>60</v>
      </c>
      <c r="M69" s="392">
        <v>133.69999999999999</v>
      </c>
      <c r="N69" s="393">
        <v>600</v>
      </c>
      <c r="O69" s="393"/>
      <c r="P69" s="392">
        <v>1.7</v>
      </c>
      <c r="Q69" s="392">
        <v>1.9</v>
      </c>
      <c r="R69" s="392">
        <v>0.18</v>
      </c>
      <c r="S69" s="392">
        <v>29.74</v>
      </c>
      <c r="T69" s="392">
        <v>2.4700000000000002</v>
      </c>
      <c r="U69" s="392">
        <v>2.5</v>
      </c>
      <c r="V69" s="391">
        <v>2.4700000000000002</v>
      </c>
      <c r="W69" s="391">
        <v>2.5</v>
      </c>
      <c r="X69" s="392">
        <v>938.72400000000005</v>
      </c>
      <c r="Y69" s="392" t="s">
        <v>2392</v>
      </c>
      <c r="Z69" s="392">
        <v>400</v>
      </c>
      <c r="AA69" s="392">
        <f t="shared" si="46"/>
        <v>1.0073592009140651</v>
      </c>
      <c r="AB69" s="392">
        <f t="shared" si="34"/>
        <v>5.2024774343446971</v>
      </c>
      <c r="AC69" s="392" t="s">
        <v>2801</v>
      </c>
      <c r="AD69" s="391">
        <v>939.27</v>
      </c>
      <c r="AE69" s="391">
        <v>2</v>
      </c>
      <c r="AF69" s="391">
        <v>0</v>
      </c>
      <c r="AG69" s="390" t="str">
        <f t="shared" si="35"/>
        <v>PV1.4</v>
      </c>
      <c r="AH69" s="389">
        <f t="shared" si="36"/>
        <v>1</v>
      </c>
      <c r="AI69" s="389">
        <f t="shared" si="37"/>
        <v>0</v>
      </c>
      <c r="AJ69" s="389">
        <f t="shared" si="38"/>
        <v>0</v>
      </c>
      <c r="AK69" s="389">
        <f t="shared" si="39"/>
        <v>0</v>
      </c>
      <c r="AL69" s="389">
        <f t="shared" si="40"/>
        <v>0</v>
      </c>
      <c r="AM69" s="389">
        <f t="shared" si="41"/>
        <v>0</v>
      </c>
      <c r="AN69" s="389">
        <f t="shared" si="42"/>
        <v>0</v>
      </c>
      <c r="AO69" s="389">
        <f t="shared" si="43"/>
        <v>0</v>
      </c>
      <c r="AP69" s="389">
        <f t="shared" si="44"/>
        <v>0</v>
      </c>
      <c r="AQ69" s="382"/>
      <c r="AR69" s="388" t="str">
        <f t="shared" si="45"/>
        <v>ASFALTO</v>
      </c>
    </row>
    <row r="70" spans="2:44" x14ac:dyDescent="0.25">
      <c r="B70" s="393" t="s">
        <v>2777</v>
      </c>
      <c r="C70" s="391">
        <v>940.202</v>
      </c>
      <c r="D70" s="391">
        <v>940.06</v>
      </c>
      <c r="E70" s="391">
        <v>0.373</v>
      </c>
      <c r="F70" s="391">
        <v>0.95299999999999996</v>
      </c>
      <c r="G70" s="392">
        <v>0.7</v>
      </c>
      <c r="H70" s="391">
        <v>0.66700000000000004</v>
      </c>
      <c r="I70" s="391">
        <v>1.4999999999999999E-2</v>
      </c>
      <c r="J70" s="392">
        <v>15.53</v>
      </c>
      <c r="K70" s="392">
        <v>323.47000000000003</v>
      </c>
      <c r="L70" s="392">
        <v>60</v>
      </c>
      <c r="M70" s="392">
        <v>215.89</v>
      </c>
      <c r="N70" s="393">
        <v>600</v>
      </c>
      <c r="O70" s="393"/>
      <c r="P70" s="392">
        <v>0.24</v>
      </c>
      <c r="Q70" s="392">
        <v>1.02</v>
      </c>
      <c r="R70" s="392">
        <v>0.42</v>
      </c>
      <c r="S70" s="392">
        <v>69.86</v>
      </c>
      <c r="T70" s="392">
        <v>2.5</v>
      </c>
      <c r="U70" s="392">
        <v>2.5</v>
      </c>
      <c r="V70" s="391">
        <v>2.5</v>
      </c>
      <c r="W70" s="391">
        <v>2.72</v>
      </c>
      <c r="X70" s="392">
        <v>937.702</v>
      </c>
      <c r="Y70" s="392" t="s">
        <v>2392</v>
      </c>
      <c r="Z70" s="392">
        <v>500</v>
      </c>
      <c r="AA70" s="392">
        <f t="shared" si="46"/>
        <v>1.0008900333217903</v>
      </c>
      <c r="AB70" s="392">
        <f t="shared" si="34"/>
        <v>6.3334507896370242</v>
      </c>
      <c r="AC70" s="392" t="s">
        <v>2800</v>
      </c>
      <c r="AD70" s="391">
        <v>938.33</v>
      </c>
      <c r="AE70" s="391">
        <v>2</v>
      </c>
      <c r="AF70" s="391">
        <v>0</v>
      </c>
      <c r="AG70" s="390" t="str">
        <f t="shared" si="35"/>
        <v>PV2.4</v>
      </c>
      <c r="AH70" s="389">
        <f t="shared" si="36"/>
        <v>1</v>
      </c>
      <c r="AI70" s="389">
        <f t="shared" si="37"/>
        <v>0</v>
      </c>
      <c r="AJ70" s="389">
        <f t="shared" si="38"/>
        <v>0</v>
      </c>
      <c r="AK70" s="389">
        <f t="shared" si="39"/>
        <v>0</v>
      </c>
      <c r="AL70" s="389">
        <f t="shared" si="40"/>
        <v>0</v>
      </c>
      <c r="AM70" s="389">
        <f t="shared" si="41"/>
        <v>0</v>
      </c>
      <c r="AN70" s="389">
        <f t="shared" si="42"/>
        <v>0</v>
      </c>
      <c r="AO70" s="389">
        <f t="shared" si="43"/>
        <v>0</v>
      </c>
      <c r="AP70" s="389">
        <f t="shared" si="44"/>
        <v>0</v>
      </c>
      <c r="AQ70" s="382"/>
      <c r="AR70" s="388" t="str">
        <f t="shared" si="45"/>
        <v>ASFALTO</v>
      </c>
    </row>
    <row r="71" spans="2:44" x14ac:dyDescent="0.25">
      <c r="B71" s="393" t="s">
        <v>2799</v>
      </c>
      <c r="C71" s="391">
        <v>940.06</v>
      </c>
      <c r="D71" s="391">
        <v>939.85199999999998</v>
      </c>
      <c r="E71" s="391">
        <v>0.36699999999999999</v>
      </c>
      <c r="F71" s="391">
        <v>1.32</v>
      </c>
      <c r="G71" s="392">
        <v>0.7</v>
      </c>
      <c r="H71" s="391">
        <v>0.92400000000000004</v>
      </c>
      <c r="I71" s="391">
        <v>1.4999999999999999E-2</v>
      </c>
      <c r="J71" s="392">
        <v>16.5</v>
      </c>
      <c r="K71" s="392">
        <v>314.07</v>
      </c>
      <c r="L71" s="392">
        <v>60</v>
      </c>
      <c r="M71" s="392">
        <v>290.32</v>
      </c>
      <c r="N71" s="393">
        <v>800</v>
      </c>
      <c r="O71" s="393"/>
      <c r="P71" s="392">
        <v>0.35</v>
      </c>
      <c r="Q71" s="392">
        <v>1.29</v>
      </c>
      <c r="R71" s="392">
        <v>0.37</v>
      </c>
      <c r="S71" s="392">
        <v>45.82</v>
      </c>
      <c r="T71" s="392">
        <v>2.72</v>
      </c>
      <c r="U71" s="392">
        <v>2.72</v>
      </c>
      <c r="V71" s="391">
        <v>2.72</v>
      </c>
      <c r="W71" s="391">
        <v>3.8</v>
      </c>
      <c r="X71" s="392">
        <v>937.34</v>
      </c>
      <c r="Y71" s="392" t="s">
        <v>2392</v>
      </c>
      <c r="Z71" s="392">
        <v>500</v>
      </c>
      <c r="AA71" s="392">
        <f t="shared" si="46"/>
        <v>1.0578684709614139</v>
      </c>
      <c r="AB71" s="392">
        <f t="shared" si="34"/>
        <v>6.3334507896370242</v>
      </c>
      <c r="AC71" s="392" t="s">
        <v>2798</v>
      </c>
      <c r="AD71" s="391">
        <v>937.73</v>
      </c>
      <c r="AE71" s="391">
        <v>1</v>
      </c>
      <c r="AF71" s="391">
        <v>1</v>
      </c>
      <c r="AG71" s="390" t="str">
        <f t="shared" si="35"/>
        <v>PV3.4</v>
      </c>
      <c r="AH71" s="389">
        <f t="shared" si="36"/>
        <v>0</v>
      </c>
      <c r="AI71" s="389">
        <f t="shared" si="37"/>
        <v>1</v>
      </c>
      <c r="AJ71" s="389">
        <f t="shared" si="38"/>
        <v>0</v>
      </c>
      <c r="AK71" s="389">
        <f t="shared" si="39"/>
        <v>0</v>
      </c>
      <c r="AL71" s="389">
        <f t="shared" si="40"/>
        <v>0</v>
      </c>
      <c r="AM71" s="389">
        <f t="shared" si="41"/>
        <v>0</v>
      </c>
      <c r="AN71" s="389">
        <f t="shared" si="42"/>
        <v>0</v>
      </c>
      <c r="AO71" s="389">
        <f t="shared" si="43"/>
        <v>0</v>
      </c>
      <c r="AP71" s="389">
        <f t="shared" si="44"/>
        <v>0</v>
      </c>
      <c r="AQ71" s="382"/>
      <c r="AR71" s="388" t="str">
        <f t="shared" si="45"/>
        <v>ASFALTO</v>
      </c>
    </row>
    <row r="72" spans="2:44" x14ac:dyDescent="0.25">
      <c r="B72" s="393" t="s">
        <v>2614</v>
      </c>
      <c r="C72" s="391">
        <v>939.85199999999998</v>
      </c>
      <c r="D72" s="391">
        <v>938.64700000000005</v>
      </c>
      <c r="E72" s="391">
        <v>0.434</v>
      </c>
      <c r="F72" s="391">
        <v>36.188000000000002</v>
      </c>
      <c r="G72" s="392">
        <v>0.7</v>
      </c>
      <c r="H72" s="391">
        <v>25.331</v>
      </c>
      <c r="I72" s="391">
        <v>1.2999999999999999E-2</v>
      </c>
      <c r="J72" s="392">
        <v>20.51</v>
      </c>
      <c r="K72" s="392">
        <v>281.12</v>
      </c>
      <c r="L72" s="392">
        <v>39.020000000000003</v>
      </c>
      <c r="M72" s="392">
        <v>7121.05</v>
      </c>
      <c r="N72" s="393">
        <v>1650</v>
      </c>
      <c r="O72" s="393">
        <v>1650</v>
      </c>
      <c r="P72" s="392">
        <v>0.42</v>
      </c>
      <c r="Q72" s="392">
        <v>3.28</v>
      </c>
      <c r="R72" s="392">
        <v>1.34</v>
      </c>
      <c r="S72" s="392">
        <v>81.28</v>
      </c>
      <c r="T72" s="392">
        <v>3.8</v>
      </c>
      <c r="U72" s="392">
        <v>2.76</v>
      </c>
      <c r="V72" s="391">
        <v>3.8</v>
      </c>
      <c r="W72" s="391">
        <v>2.76</v>
      </c>
      <c r="X72" s="392">
        <v>936.05200000000002</v>
      </c>
      <c r="Y72" s="392" t="s">
        <v>2751</v>
      </c>
      <c r="Z72" s="392">
        <v>1650</v>
      </c>
      <c r="AA72" s="392">
        <f t="shared" si="46"/>
        <v>0</v>
      </c>
      <c r="AB72" s="392">
        <f t="shared" si="34"/>
        <v>0</v>
      </c>
      <c r="AC72" s="392" t="s">
        <v>2797</v>
      </c>
      <c r="AD72" s="391">
        <v>936.23199999999997</v>
      </c>
      <c r="AE72" s="391">
        <v>2</v>
      </c>
      <c r="AF72" s="391">
        <v>2</v>
      </c>
      <c r="AG72" s="390" t="str">
        <f t="shared" si="35"/>
        <v>PV8.1</v>
      </c>
      <c r="AH72" s="389">
        <f t="shared" si="36"/>
        <v>0</v>
      </c>
      <c r="AI72" s="389">
        <f t="shared" si="37"/>
        <v>0</v>
      </c>
      <c r="AJ72" s="389">
        <f t="shared" si="38"/>
        <v>0</v>
      </c>
      <c r="AK72" s="389">
        <f t="shared" si="39"/>
        <v>0</v>
      </c>
      <c r="AL72" s="389">
        <f t="shared" si="40"/>
        <v>0</v>
      </c>
      <c r="AM72" s="389">
        <f t="shared" si="41"/>
        <v>1</v>
      </c>
      <c r="AN72" s="389">
        <f t="shared" si="42"/>
        <v>1</v>
      </c>
      <c r="AO72" s="389">
        <f t="shared" si="43"/>
        <v>0</v>
      </c>
      <c r="AP72" s="389">
        <f t="shared" si="44"/>
        <v>0</v>
      </c>
      <c r="AQ72" s="382"/>
      <c r="AR72" s="388" t="str">
        <f t="shared" si="45"/>
        <v>TERRENO NATURAL</v>
      </c>
    </row>
    <row r="73" spans="2:44" x14ac:dyDescent="0.25">
      <c r="B73" s="393" t="s">
        <v>2615</v>
      </c>
      <c r="C73" s="391">
        <v>938.64700000000005</v>
      </c>
      <c r="D73" s="391">
        <v>937.83399999999995</v>
      </c>
      <c r="E73" s="391">
        <v>0</v>
      </c>
      <c r="F73" s="391">
        <v>36.188000000000002</v>
      </c>
      <c r="G73" s="392">
        <v>0.7</v>
      </c>
      <c r="H73" s="391">
        <v>25.331</v>
      </c>
      <c r="I73" s="391">
        <v>1.2999999999999999E-2</v>
      </c>
      <c r="J73" s="392">
        <v>20.71</v>
      </c>
      <c r="K73" s="392">
        <v>279.68</v>
      </c>
      <c r="L73" s="392">
        <v>39.020000000000003</v>
      </c>
      <c r="M73" s="392">
        <v>7084.71</v>
      </c>
      <c r="N73" s="393">
        <v>1650</v>
      </c>
      <c r="O73" s="393">
        <v>1650</v>
      </c>
      <c r="P73" s="392">
        <v>0.42</v>
      </c>
      <c r="Q73" s="392">
        <v>3.26</v>
      </c>
      <c r="R73" s="392">
        <v>1.34</v>
      </c>
      <c r="S73" s="392">
        <v>81.33</v>
      </c>
      <c r="T73" s="392">
        <v>2.76</v>
      </c>
      <c r="U73" s="392">
        <v>2.11</v>
      </c>
      <c r="V73" s="391">
        <v>2.76</v>
      </c>
      <c r="W73" s="391">
        <v>2.11</v>
      </c>
      <c r="X73" s="392">
        <v>935.88699999999994</v>
      </c>
      <c r="Y73" s="392" t="s">
        <v>2751</v>
      </c>
      <c r="Z73" s="392">
        <v>1650</v>
      </c>
      <c r="AA73" s="392">
        <f t="shared" si="46"/>
        <v>0</v>
      </c>
      <c r="AB73" s="392">
        <f t="shared" si="34"/>
        <v>0</v>
      </c>
      <c r="AC73" s="392" t="s">
        <v>2797</v>
      </c>
      <c r="AD73" s="391">
        <v>936.23199999999997</v>
      </c>
      <c r="AE73" s="391">
        <v>0</v>
      </c>
      <c r="AF73" s="391">
        <v>0</v>
      </c>
      <c r="AG73" s="390" t="str">
        <f t="shared" si="35"/>
        <v>PV9.1</v>
      </c>
      <c r="AH73" s="389">
        <f t="shared" si="36"/>
        <v>0</v>
      </c>
      <c r="AI73" s="389">
        <f t="shared" si="37"/>
        <v>0</v>
      </c>
      <c r="AJ73" s="389">
        <f t="shared" si="38"/>
        <v>0</v>
      </c>
      <c r="AK73" s="389">
        <f t="shared" si="39"/>
        <v>0</v>
      </c>
      <c r="AL73" s="389">
        <f t="shared" si="40"/>
        <v>0</v>
      </c>
      <c r="AM73" s="389">
        <f t="shared" si="41"/>
        <v>1</v>
      </c>
      <c r="AN73" s="389">
        <f t="shared" si="42"/>
        <v>1</v>
      </c>
      <c r="AO73" s="389">
        <f t="shared" si="43"/>
        <v>0</v>
      </c>
      <c r="AP73" s="389">
        <f t="shared" si="44"/>
        <v>0</v>
      </c>
      <c r="AQ73" s="382"/>
      <c r="AR73" s="388" t="str">
        <f t="shared" si="45"/>
        <v>TERRENO NATURAL</v>
      </c>
    </row>
    <row r="74" spans="2:44" x14ac:dyDescent="0.25">
      <c r="B74" s="393" t="s">
        <v>2617</v>
      </c>
      <c r="C74" s="391">
        <v>937.83399999999995</v>
      </c>
      <c r="D74" s="391">
        <v>937.23599999999999</v>
      </c>
      <c r="E74" s="391">
        <v>0</v>
      </c>
      <c r="F74" s="391">
        <v>36.188000000000002</v>
      </c>
      <c r="G74" s="392">
        <v>0.7</v>
      </c>
      <c r="H74" s="391">
        <v>25.331</v>
      </c>
      <c r="I74" s="391">
        <v>1.2999999999999999E-2</v>
      </c>
      <c r="J74" s="392">
        <v>20.91</v>
      </c>
      <c r="K74" s="392">
        <v>278.26</v>
      </c>
      <c r="L74" s="392">
        <v>35</v>
      </c>
      <c r="M74" s="392">
        <v>7048.58</v>
      </c>
      <c r="N74" s="393">
        <v>1650</v>
      </c>
      <c r="O74" s="393">
        <v>1650</v>
      </c>
      <c r="P74" s="392">
        <v>0.42</v>
      </c>
      <c r="Q74" s="392">
        <v>3.27</v>
      </c>
      <c r="R74" s="392">
        <v>1.33</v>
      </c>
      <c r="S74" s="392">
        <v>80.7</v>
      </c>
      <c r="T74" s="392">
        <v>2.11</v>
      </c>
      <c r="U74" s="392">
        <v>1.66</v>
      </c>
      <c r="V74" s="391">
        <v>2.11</v>
      </c>
      <c r="W74" s="391">
        <v>1.66</v>
      </c>
      <c r="X74" s="392">
        <v>935.72400000000005</v>
      </c>
      <c r="Y74" s="392" t="s">
        <v>2751</v>
      </c>
      <c r="Z74" s="392">
        <v>1650</v>
      </c>
      <c r="AA74" s="392">
        <f t="shared" si="46"/>
        <v>0</v>
      </c>
      <c r="AB74" s="392">
        <f t="shared" si="34"/>
        <v>0</v>
      </c>
      <c r="AC74" s="392" t="s">
        <v>2796</v>
      </c>
      <c r="AD74" s="391">
        <v>935.84199999999998</v>
      </c>
      <c r="AE74" s="391">
        <v>0</v>
      </c>
      <c r="AF74" s="391">
        <v>0</v>
      </c>
      <c r="AG74" s="390" t="str">
        <f t="shared" si="35"/>
        <v>PV10.1</v>
      </c>
      <c r="AH74" s="389">
        <f t="shared" si="36"/>
        <v>0</v>
      </c>
      <c r="AI74" s="389">
        <f t="shared" si="37"/>
        <v>0</v>
      </c>
      <c r="AJ74" s="389">
        <f t="shared" si="38"/>
        <v>0</v>
      </c>
      <c r="AK74" s="389">
        <f t="shared" si="39"/>
        <v>0</v>
      </c>
      <c r="AL74" s="389">
        <f t="shared" si="40"/>
        <v>0</v>
      </c>
      <c r="AM74" s="389">
        <f t="shared" si="41"/>
        <v>1</v>
      </c>
      <c r="AN74" s="389">
        <f t="shared" si="42"/>
        <v>1</v>
      </c>
      <c r="AO74" s="389">
        <f t="shared" si="43"/>
        <v>0</v>
      </c>
      <c r="AP74" s="389">
        <f t="shared" si="44"/>
        <v>0</v>
      </c>
      <c r="AQ74" s="382"/>
      <c r="AR74" s="388" t="str">
        <f t="shared" si="45"/>
        <v>TERRENO NATURAL</v>
      </c>
    </row>
    <row r="75" spans="2:44" x14ac:dyDescent="0.25">
      <c r="B75" s="393" t="s">
        <v>2618</v>
      </c>
      <c r="C75" s="391">
        <v>937.23599999999999</v>
      </c>
      <c r="D75" s="391">
        <v>936.51900000000001</v>
      </c>
      <c r="E75" s="391">
        <v>0</v>
      </c>
      <c r="F75" s="391">
        <v>36.188000000000002</v>
      </c>
      <c r="G75" s="392">
        <v>0.7</v>
      </c>
      <c r="H75" s="391">
        <v>25.331</v>
      </c>
      <c r="I75" s="391">
        <v>1.2999999999999999E-2</v>
      </c>
      <c r="J75" s="392">
        <v>21.09</v>
      </c>
      <c r="K75" s="392">
        <v>276.99</v>
      </c>
      <c r="L75" s="392">
        <v>35</v>
      </c>
      <c r="M75" s="392">
        <v>7016.6</v>
      </c>
      <c r="N75" s="393">
        <v>1650</v>
      </c>
      <c r="O75" s="393">
        <v>1650</v>
      </c>
      <c r="P75" s="392">
        <v>0.97</v>
      </c>
      <c r="Q75" s="392">
        <v>4.54</v>
      </c>
      <c r="R75" s="392">
        <v>0.96</v>
      </c>
      <c r="S75" s="392">
        <v>58.27</v>
      </c>
      <c r="T75" s="392">
        <v>1.66</v>
      </c>
      <c r="U75" s="392">
        <v>1.28</v>
      </c>
      <c r="V75" s="391">
        <v>1.66</v>
      </c>
      <c r="W75" s="391">
        <v>1.28</v>
      </c>
      <c r="X75" s="392">
        <v>935.57600000000002</v>
      </c>
      <c r="Y75" s="392" t="s">
        <v>2751</v>
      </c>
      <c r="Z75" s="392">
        <v>1650</v>
      </c>
      <c r="AA75" s="392">
        <f t="shared" si="46"/>
        <v>0</v>
      </c>
      <c r="AB75" s="392">
        <f t="shared" si="34"/>
        <v>0</v>
      </c>
      <c r="AC75" s="392" t="s">
        <v>2795</v>
      </c>
      <c r="AD75" s="391">
        <v>935.49199999999996</v>
      </c>
      <c r="AE75" s="391">
        <v>0</v>
      </c>
      <c r="AF75" s="391">
        <v>0</v>
      </c>
      <c r="AG75" s="390" t="str">
        <f t="shared" si="35"/>
        <v>PV11.1</v>
      </c>
      <c r="AH75" s="389">
        <f t="shared" si="36"/>
        <v>0</v>
      </c>
      <c r="AI75" s="389">
        <f t="shared" si="37"/>
        <v>0</v>
      </c>
      <c r="AJ75" s="389">
        <f t="shared" si="38"/>
        <v>0</v>
      </c>
      <c r="AK75" s="389">
        <f t="shared" si="39"/>
        <v>0</v>
      </c>
      <c r="AL75" s="389">
        <f t="shared" si="40"/>
        <v>0</v>
      </c>
      <c r="AM75" s="389">
        <f t="shared" si="41"/>
        <v>1</v>
      </c>
      <c r="AN75" s="389">
        <f t="shared" si="42"/>
        <v>1</v>
      </c>
      <c r="AO75" s="389">
        <f t="shared" si="43"/>
        <v>0</v>
      </c>
      <c r="AP75" s="389">
        <f t="shared" si="44"/>
        <v>0</v>
      </c>
      <c r="AQ75" s="382"/>
      <c r="AR75" s="388" t="str">
        <f t="shared" si="45"/>
        <v>TERRENO NATURAL</v>
      </c>
    </row>
    <row r="76" spans="2:44" x14ac:dyDescent="0.25">
      <c r="B76" s="393" t="s">
        <v>2620</v>
      </c>
      <c r="C76" s="391">
        <v>936.51900000000001</v>
      </c>
      <c r="D76" s="391">
        <v>935.97799999999995</v>
      </c>
      <c r="E76" s="391">
        <v>0</v>
      </c>
      <c r="F76" s="391">
        <v>36.188000000000002</v>
      </c>
      <c r="G76" s="392">
        <v>0.7</v>
      </c>
      <c r="H76" s="391">
        <v>25.331</v>
      </c>
      <c r="I76" s="391">
        <v>1.2999999999999999E-2</v>
      </c>
      <c r="J76" s="392">
        <v>21.22</v>
      </c>
      <c r="K76" s="392">
        <v>276.08999999999997</v>
      </c>
      <c r="L76" s="392">
        <v>33</v>
      </c>
      <c r="M76" s="392">
        <v>6993.78</v>
      </c>
      <c r="N76" s="393">
        <v>1650</v>
      </c>
      <c r="O76" s="393">
        <v>1650</v>
      </c>
      <c r="P76" s="392">
        <v>0.88</v>
      </c>
      <c r="Q76" s="392">
        <v>4.3600000000000003</v>
      </c>
      <c r="R76" s="392">
        <v>1</v>
      </c>
      <c r="S76" s="392">
        <v>60.33</v>
      </c>
      <c r="T76" s="392">
        <v>1.1000000000000001</v>
      </c>
      <c r="U76" s="392">
        <v>0.85</v>
      </c>
      <c r="V76" s="391">
        <v>1.1000000000000001</v>
      </c>
      <c r="W76" s="391">
        <v>0.85</v>
      </c>
      <c r="X76" s="392">
        <v>935.41899999999998</v>
      </c>
      <c r="Y76" s="392" t="s">
        <v>2751</v>
      </c>
      <c r="Z76" s="392">
        <v>1650</v>
      </c>
      <c r="AA76" s="392">
        <f t="shared" si="46"/>
        <v>0</v>
      </c>
      <c r="AB76" s="392">
        <f t="shared" si="34"/>
        <v>0</v>
      </c>
      <c r="AC76" s="392" t="s">
        <v>2795</v>
      </c>
      <c r="AD76" s="391">
        <v>935.49199999999996</v>
      </c>
      <c r="AE76" s="391">
        <v>0</v>
      </c>
      <c r="AF76" s="391">
        <v>0</v>
      </c>
      <c r="AG76" s="390" t="str">
        <f t="shared" si="35"/>
        <v>PV12.1</v>
      </c>
      <c r="AH76" s="389">
        <f t="shared" si="36"/>
        <v>0</v>
      </c>
      <c r="AI76" s="389">
        <f t="shared" si="37"/>
        <v>0</v>
      </c>
      <c r="AJ76" s="389">
        <f t="shared" si="38"/>
        <v>0</v>
      </c>
      <c r="AK76" s="389">
        <f t="shared" si="39"/>
        <v>0</v>
      </c>
      <c r="AL76" s="389">
        <f t="shared" si="40"/>
        <v>0</v>
      </c>
      <c r="AM76" s="389">
        <f t="shared" si="41"/>
        <v>1</v>
      </c>
      <c r="AN76" s="389">
        <f t="shared" si="42"/>
        <v>1</v>
      </c>
      <c r="AO76" s="389">
        <f t="shared" si="43"/>
        <v>0</v>
      </c>
      <c r="AP76" s="389">
        <f t="shared" si="44"/>
        <v>0</v>
      </c>
      <c r="AQ76" s="382"/>
      <c r="AR76" s="388" t="str">
        <f t="shared" si="45"/>
        <v>TERRENO NATURAL</v>
      </c>
    </row>
    <row r="77" spans="2:44" ht="13" x14ac:dyDescent="0.25">
      <c r="B77" s="398" t="s">
        <v>2464</v>
      </c>
      <c r="C77" s="396"/>
      <c r="D77" s="396"/>
      <c r="E77" s="396"/>
      <c r="F77" s="396"/>
      <c r="G77" s="396"/>
      <c r="H77" s="396"/>
      <c r="I77" s="396"/>
      <c r="J77" s="395"/>
      <c r="K77" s="395"/>
      <c r="L77" s="395"/>
      <c r="M77" s="395"/>
      <c r="N77" s="397"/>
      <c r="O77" s="397"/>
      <c r="P77" s="395"/>
      <c r="Q77" s="395"/>
      <c r="R77" s="395"/>
      <c r="S77" s="395"/>
      <c r="T77" s="395"/>
      <c r="U77" s="395"/>
      <c r="V77" s="396"/>
      <c r="W77" s="396"/>
      <c r="X77" s="395"/>
      <c r="Y77" s="392"/>
      <c r="Z77" s="392"/>
      <c r="AA77" s="392"/>
      <c r="AB77" s="392"/>
      <c r="AC77" s="392"/>
      <c r="AD77" s="391"/>
      <c r="AE77" s="391"/>
      <c r="AF77" s="391"/>
      <c r="AG77" s="390"/>
      <c r="AH77" s="389"/>
      <c r="AI77" s="389"/>
      <c r="AJ77" s="389"/>
      <c r="AK77" s="389"/>
      <c r="AL77" s="389"/>
      <c r="AM77" s="389"/>
      <c r="AN77" s="389"/>
      <c r="AO77" s="389"/>
      <c r="AP77" s="389"/>
      <c r="AQ77" s="382"/>
      <c r="AR77" s="388">
        <f t="shared" si="45"/>
        <v>0</v>
      </c>
    </row>
    <row r="78" spans="2:44" x14ac:dyDescent="0.25">
      <c r="B78" s="393" t="s">
        <v>2597</v>
      </c>
      <c r="C78" s="391">
        <v>981.26700000000005</v>
      </c>
      <c r="D78" s="391">
        <v>979.48099999999999</v>
      </c>
      <c r="E78" s="391">
        <v>0.64300000000000002</v>
      </c>
      <c r="F78" s="391">
        <v>0.64300000000000002</v>
      </c>
      <c r="G78" s="392">
        <v>0.7</v>
      </c>
      <c r="H78" s="391">
        <v>0.45</v>
      </c>
      <c r="I78" s="391">
        <v>1.4999999999999999E-2</v>
      </c>
      <c r="J78" s="392">
        <v>15</v>
      </c>
      <c r="K78" s="392">
        <v>328.81</v>
      </c>
      <c r="L78" s="392">
        <v>50</v>
      </c>
      <c r="M78" s="392">
        <v>147.97</v>
      </c>
      <c r="N78" s="393">
        <v>400</v>
      </c>
      <c r="O78" s="393"/>
      <c r="P78" s="392">
        <v>3.57</v>
      </c>
      <c r="Q78" s="392">
        <v>2.62</v>
      </c>
      <c r="R78" s="392">
        <v>0.18</v>
      </c>
      <c r="S78" s="392">
        <v>46.05</v>
      </c>
      <c r="T78" s="392">
        <v>1.6</v>
      </c>
      <c r="U78" s="392">
        <v>1.6</v>
      </c>
      <c r="V78" s="391">
        <v>979.66700000000003</v>
      </c>
      <c r="W78" s="391">
        <v>977.88099999999997</v>
      </c>
      <c r="X78" s="392">
        <v>0</v>
      </c>
      <c r="Y78" s="392" t="s">
        <v>2751</v>
      </c>
      <c r="Z78" s="392">
        <v>400</v>
      </c>
      <c r="AA78" s="392">
        <f t="shared" ref="AA78:AA100" si="47">IFERROR(IF(Z78&lt;=600,(PI()*0.72*0.72/4-PI()*0.6*0.6/4)*(C78-AD78)+(1.3*1.3-1.1*1.1)*1.6,IF(Z78=800,(PI()*0.72*0.72/4-PI()*0.6*0.6/4)*(C78-AD78)+(1.5*1.5-1.1*1.1)*1.6,IF(Z78=1000,(PI()*0.72*0.72/4-PI()*0.6*0.6/4)*(C78-AD78)+(1.94*1.94-1.5*1.5)*2.25,IF(Z78=1200,(PI()*0.72*0.72/4-PI()*0.6*0.6/4)*(C78-AD78)+(-1.8*1.8+2.14*2.14)*2.25,IF(Z78=1500,(PI()*0.72*0.72/4-PI()*0.6*0.6/4)*(C78-AD78)+(-2.2*2.2+2.44*2.44)*2.65,0))))),0)</f>
        <v>0.98658322037735546</v>
      </c>
      <c r="AB78" s="392">
        <f t="shared" ref="AB78:AB100" si="48">L78*IF(Z78&lt;=600,PI()*(0.06*2+Z78/1000)*(0.06*2+Z78/1000)/4-PI()*(Z78/1000)*(Z78/1000)/4,IF(Z78=800,PI()*(0.08*2+Z78/1000)*(0.08*2+Z78/1000)/4-PI()*(Z78/1000)*(Z78/1000)/4,IF(Z78&lt;=1000,PI()*(0.1*2+Z78/1000)*(0.1*2+Z78/1000)/4-PI()*(Z78/1000)*(Z78/1000)/4,IF(Z78&lt;=1200,PI()*(0.12*2+Z78/1000)*(0.12*2+Z78/1000)/4-PI()*(Z78/1000)*(Z78/1000)/4,IF(Z78&lt;=1500,PI()*(0.15*2+Z78/1000)*(0.15*2+Z78/1000)/4-PI()*(Z78/1000)*(Z78/1000)/4,0)))))</f>
        <v>4.335397861953914</v>
      </c>
      <c r="AC78" s="392" t="s">
        <v>2794</v>
      </c>
      <c r="AD78" s="391">
        <v>979.51</v>
      </c>
      <c r="AE78" s="391">
        <v>1</v>
      </c>
      <c r="AF78" s="391">
        <v>0</v>
      </c>
      <c r="AG78" s="390" t="str">
        <f t="shared" ref="AG78:AG100" si="49">IF(OR(RIGHT(LEFT(B78,7),1)="&gt;",RIGHT(LEFT(B78,7),1)="-"),IF(OR(RIGHT(LEFT(B78,6),1)="&gt;",RIGHT(LEFT(B78,6),1)="-"),LEFT(B78,5),LEFT(B78,6)),LEFT(B78,7))</f>
        <v>PV1.1</v>
      </c>
      <c r="AH78" s="389">
        <f t="shared" ref="AH78:AH100" si="50">COUNTIF(N78,600)</f>
        <v>0</v>
      </c>
      <c r="AI78" s="389">
        <f t="shared" ref="AI78:AI100" si="51">COUNTIF(N78,800)</f>
        <v>0</v>
      </c>
      <c r="AJ78" s="389">
        <f t="shared" ref="AJ78:AJ100" si="52">COUNTIF(N78,1000)</f>
        <v>0</v>
      </c>
      <c r="AK78" s="389">
        <f t="shared" ref="AK78:AK100" si="53">COUNTIF(N78,1200)</f>
        <v>0</v>
      </c>
      <c r="AL78" s="389">
        <f t="shared" ref="AL78:AL100" si="54">COUNTIF(N78,1500)</f>
        <v>0</v>
      </c>
      <c r="AM78" s="389">
        <f t="shared" ref="AM78:AM100" si="55">COUNTIF(N78,1650)</f>
        <v>0</v>
      </c>
      <c r="AN78" s="389">
        <f t="shared" ref="AN78:AN100" si="56">AM78*IF((T78+U78)/2-1.65&lt;=2,1,0)</f>
        <v>0</v>
      </c>
      <c r="AO78" s="389">
        <f t="shared" ref="AO78:AO100" si="57">AM78*IF((T78+U78)/2-1.65&lt;=3,1,0)-AN78</f>
        <v>0</v>
      </c>
      <c r="AP78" s="389">
        <f t="shared" ref="AP78:AP100" si="58">AM78*IF((T78+U78)/2-1.65&lt;=4,1,0)-AN78-AO78</f>
        <v>0</v>
      </c>
      <c r="AQ78" s="382"/>
      <c r="AR78" s="388" t="str">
        <f t="shared" si="45"/>
        <v>TERRENO NATURAL</v>
      </c>
    </row>
    <row r="79" spans="2:44" x14ac:dyDescent="0.25">
      <c r="B79" s="393" t="s">
        <v>2599</v>
      </c>
      <c r="C79" s="391">
        <v>979.48099999999999</v>
      </c>
      <c r="D79" s="391">
        <v>978.08299999999997</v>
      </c>
      <c r="E79" s="391">
        <v>0.48099999999999998</v>
      </c>
      <c r="F79" s="391">
        <v>1.1240000000000001</v>
      </c>
      <c r="G79" s="392">
        <v>0.7</v>
      </c>
      <c r="H79" s="391">
        <v>0.78700000000000003</v>
      </c>
      <c r="I79" s="391">
        <v>1.4999999999999999E-2</v>
      </c>
      <c r="J79" s="392">
        <v>15.32</v>
      </c>
      <c r="K79" s="392">
        <v>325.56</v>
      </c>
      <c r="L79" s="392">
        <v>39.46</v>
      </c>
      <c r="M79" s="392">
        <v>256.19</v>
      </c>
      <c r="N79" s="393">
        <v>400</v>
      </c>
      <c r="O79" s="393"/>
      <c r="P79" s="392">
        <v>3.55</v>
      </c>
      <c r="Q79" s="392">
        <v>2.97</v>
      </c>
      <c r="R79" s="392">
        <v>0.26</v>
      </c>
      <c r="S79" s="392">
        <v>64.849999999999994</v>
      </c>
      <c r="T79" s="392">
        <v>1.6</v>
      </c>
      <c r="U79" s="392">
        <v>1.6</v>
      </c>
      <c r="V79" s="391">
        <v>977.88099999999997</v>
      </c>
      <c r="W79" s="391">
        <v>976.48299999999995</v>
      </c>
      <c r="X79" s="392">
        <v>0</v>
      </c>
      <c r="Y79" s="392" t="s">
        <v>2751</v>
      </c>
      <c r="Z79" s="392">
        <v>400</v>
      </c>
      <c r="AA79" s="392">
        <f t="shared" si="47"/>
        <v>1.0132063331609296</v>
      </c>
      <c r="AB79" s="392">
        <f t="shared" si="48"/>
        <v>3.4214959926540294</v>
      </c>
      <c r="AC79" s="392" t="s">
        <v>2793</v>
      </c>
      <c r="AD79" s="391">
        <v>977.51</v>
      </c>
      <c r="AE79" s="391">
        <v>1</v>
      </c>
      <c r="AF79" s="391">
        <v>0</v>
      </c>
      <c r="AG79" s="390" t="str">
        <f t="shared" si="49"/>
        <v>PV2.1</v>
      </c>
      <c r="AH79" s="389">
        <f t="shared" si="50"/>
        <v>0</v>
      </c>
      <c r="AI79" s="389">
        <f t="shared" si="51"/>
        <v>0</v>
      </c>
      <c r="AJ79" s="389">
        <f t="shared" si="52"/>
        <v>0</v>
      </c>
      <c r="AK79" s="389">
        <f t="shared" si="53"/>
        <v>0</v>
      </c>
      <c r="AL79" s="389">
        <f t="shared" si="54"/>
        <v>0</v>
      </c>
      <c r="AM79" s="389">
        <f t="shared" si="55"/>
        <v>0</v>
      </c>
      <c r="AN79" s="389">
        <f t="shared" si="56"/>
        <v>0</v>
      </c>
      <c r="AO79" s="389">
        <f t="shared" si="57"/>
        <v>0</v>
      </c>
      <c r="AP79" s="389">
        <f t="shared" si="58"/>
        <v>0</v>
      </c>
      <c r="AQ79" s="382"/>
      <c r="AR79" s="388" t="str">
        <f t="shared" si="45"/>
        <v>TERRENO NATURAL</v>
      </c>
    </row>
    <row r="80" spans="2:44" x14ac:dyDescent="0.25">
      <c r="B80" s="393" t="s">
        <v>2600</v>
      </c>
      <c r="C80" s="391">
        <v>978.08299999999997</v>
      </c>
      <c r="D80" s="391">
        <v>976.90099999999995</v>
      </c>
      <c r="E80" s="391">
        <v>4.8000000000000001E-2</v>
      </c>
      <c r="F80" s="391">
        <v>1.1719999999999999</v>
      </c>
      <c r="G80" s="392">
        <v>0.7</v>
      </c>
      <c r="H80" s="391">
        <v>0.82</v>
      </c>
      <c r="I80" s="391">
        <v>1.4999999999999999E-2</v>
      </c>
      <c r="J80" s="392">
        <v>15.54</v>
      </c>
      <c r="K80" s="392">
        <v>323.35000000000002</v>
      </c>
      <c r="L80" s="392">
        <v>36.380000000000003</v>
      </c>
      <c r="M80" s="392">
        <v>265.20999999999998</v>
      </c>
      <c r="N80" s="393">
        <v>400</v>
      </c>
      <c r="O80" s="393"/>
      <c r="P80" s="392">
        <v>3.25</v>
      </c>
      <c r="Q80" s="392">
        <v>2.89</v>
      </c>
      <c r="R80" s="392">
        <v>0.27</v>
      </c>
      <c r="S80" s="392">
        <v>68.61</v>
      </c>
      <c r="T80" s="392">
        <v>1.6</v>
      </c>
      <c r="U80" s="392">
        <v>1.6</v>
      </c>
      <c r="V80" s="391">
        <v>976.48299999999995</v>
      </c>
      <c r="W80" s="391">
        <v>975.30100000000004</v>
      </c>
      <c r="X80" s="392">
        <v>0.21</v>
      </c>
      <c r="Y80" s="392" t="s">
        <v>2751</v>
      </c>
      <c r="Z80" s="392">
        <v>400</v>
      </c>
      <c r="AA80" s="392">
        <f t="shared" si="47"/>
        <v>0.83928525058407266</v>
      </c>
      <c r="AB80" s="392">
        <f t="shared" si="48"/>
        <v>3.1544354843576685</v>
      </c>
      <c r="AC80" s="392" t="s">
        <v>2793</v>
      </c>
      <c r="AD80" s="391">
        <v>977.51</v>
      </c>
      <c r="AE80" s="391">
        <v>0</v>
      </c>
      <c r="AF80" s="391">
        <v>0</v>
      </c>
      <c r="AG80" s="390" t="str">
        <f t="shared" si="49"/>
        <v>PV3.1</v>
      </c>
      <c r="AH80" s="389">
        <f t="shared" si="50"/>
        <v>0</v>
      </c>
      <c r="AI80" s="389">
        <f t="shared" si="51"/>
        <v>0</v>
      </c>
      <c r="AJ80" s="389">
        <f t="shared" si="52"/>
        <v>0</v>
      </c>
      <c r="AK80" s="389">
        <f t="shared" si="53"/>
        <v>0</v>
      </c>
      <c r="AL80" s="389">
        <f t="shared" si="54"/>
        <v>0</v>
      </c>
      <c r="AM80" s="389">
        <f t="shared" si="55"/>
        <v>0</v>
      </c>
      <c r="AN80" s="389">
        <f t="shared" si="56"/>
        <v>0</v>
      </c>
      <c r="AO80" s="389">
        <f t="shared" si="57"/>
        <v>0</v>
      </c>
      <c r="AP80" s="389">
        <f t="shared" si="58"/>
        <v>0</v>
      </c>
      <c r="AQ80" s="382"/>
      <c r="AR80" s="388" t="str">
        <f t="shared" si="45"/>
        <v>TERRENO NATURAL</v>
      </c>
    </row>
    <row r="81" spans="2:44" x14ac:dyDescent="0.25">
      <c r="B81" s="393" t="s">
        <v>2792</v>
      </c>
      <c r="C81" s="391">
        <v>977.495</v>
      </c>
      <c r="D81" s="391">
        <v>976.90099999999995</v>
      </c>
      <c r="E81" s="391">
        <v>0.98899999999999999</v>
      </c>
      <c r="F81" s="391">
        <v>0.98899999999999999</v>
      </c>
      <c r="G81" s="392">
        <v>0.7</v>
      </c>
      <c r="H81" s="391">
        <v>0.69199999999999995</v>
      </c>
      <c r="I81" s="391">
        <v>1.4999999999999999E-2</v>
      </c>
      <c r="J81" s="392">
        <v>15</v>
      </c>
      <c r="K81" s="392">
        <v>328.81</v>
      </c>
      <c r="L81" s="392">
        <v>29.86</v>
      </c>
      <c r="M81" s="392">
        <v>227.68</v>
      </c>
      <c r="N81" s="393">
        <v>600</v>
      </c>
      <c r="O81" s="393"/>
      <c r="P81" s="392">
        <v>1.99</v>
      </c>
      <c r="Q81" s="392">
        <v>2.33</v>
      </c>
      <c r="R81" s="392">
        <v>0.23</v>
      </c>
      <c r="S81" s="392">
        <v>37.78</v>
      </c>
      <c r="T81" s="392">
        <v>1.81</v>
      </c>
      <c r="U81" s="392">
        <v>1.81</v>
      </c>
      <c r="V81" s="391">
        <v>975.69</v>
      </c>
      <c r="W81" s="391">
        <v>975.096</v>
      </c>
      <c r="X81" s="392">
        <v>0</v>
      </c>
      <c r="Y81" s="392" t="s">
        <v>2751</v>
      </c>
      <c r="Z81" s="392">
        <v>400</v>
      </c>
      <c r="AA81" s="392">
        <f t="shared" si="47"/>
        <v>0.95150042689618264</v>
      </c>
      <c r="AB81" s="392">
        <f t="shared" si="48"/>
        <v>2.5890996031588775</v>
      </c>
      <c r="AC81" s="392" t="s">
        <v>2791</v>
      </c>
      <c r="AD81" s="391">
        <v>976.02</v>
      </c>
      <c r="AE81" s="391">
        <v>2</v>
      </c>
      <c r="AF81" s="391">
        <v>0</v>
      </c>
      <c r="AG81" s="390" t="str">
        <f t="shared" si="49"/>
        <v>PV1.2</v>
      </c>
      <c r="AH81" s="389">
        <f t="shared" si="50"/>
        <v>1</v>
      </c>
      <c r="AI81" s="389">
        <f t="shared" si="51"/>
        <v>0</v>
      </c>
      <c r="AJ81" s="389">
        <f t="shared" si="52"/>
        <v>0</v>
      </c>
      <c r="AK81" s="389">
        <f t="shared" si="53"/>
        <v>0</v>
      </c>
      <c r="AL81" s="389">
        <f t="shared" si="54"/>
        <v>0</v>
      </c>
      <c r="AM81" s="389">
        <f t="shared" si="55"/>
        <v>0</v>
      </c>
      <c r="AN81" s="389">
        <f t="shared" si="56"/>
        <v>0</v>
      </c>
      <c r="AO81" s="389">
        <f t="shared" si="57"/>
        <v>0</v>
      </c>
      <c r="AP81" s="389">
        <f t="shared" si="58"/>
        <v>0</v>
      </c>
      <c r="AQ81" s="382"/>
      <c r="AR81" s="388" t="str">
        <f t="shared" si="45"/>
        <v>TERRENO NATURAL</v>
      </c>
    </row>
    <row r="82" spans="2:44" x14ac:dyDescent="0.25">
      <c r="B82" s="393" t="s">
        <v>2602</v>
      </c>
      <c r="C82" s="391">
        <v>976.90099999999995</v>
      </c>
      <c r="D82" s="391">
        <v>975.43</v>
      </c>
      <c r="E82" s="391">
        <v>8.3000000000000004E-2</v>
      </c>
      <c r="F82" s="391">
        <v>2.2440000000000002</v>
      </c>
      <c r="G82" s="392">
        <v>0.7</v>
      </c>
      <c r="H82" s="391">
        <v>1.571</v>
      </c>
      <c r="I82" s="391">
        <v>1.4999999999999999E-2</v>
      </c>
      <c r="J82" s="392">
        <v>15.75</v>
      </c>
      <c r="K82" s="392">
        <v>321.27999999999997</v>
      </c>
      <c r="L82" s="392">
        <v>38.44</v>
      </c>
      <c r="M82" s="392">
        <v>504.59</v>
      </c>
      <c r="N82" s="393">
        <v>600</v>
      </c>
      <c r="O82" s="393"/>
      <c r="P82" s="392">
        <v>3.83</v>
      </c>
      <c r="Q82" s="392">
        <v>3.65</v>
      </c>
      <c r="R82" s="392">
        <v>0.28999999999999998</v>
      </c>
      <c r="S82" s="392">
        <v>49.1</v>
      </c>
      <c r="T82" s="392">
        <v>1.81</v>
      </c>
      <c r="U82" s="392">
        <v>1.81</v>
      </c>
      <c r="V82" s="391">
        <v>975.096</v>
      </c>
      <c r="W82" s="391">
        <v>973.625</v>
      </c>
      <c r="X82" s="392">
        <v>0</v>
      </c>
      <c r="Y82" s="392" t="s">
        <v>2751</v>
      </c>
      <c r="Z82" s="392">
        <v>400</v>
      </c>
      <c r="AA82" s="392">
        <f t="shared" si="47"/>
        <v>1.013455147299088</v>
      </c>
      <c r="AB82" s="392">
        <f t="shared" si="48"/>
        <v>3.3330538762701694</v>
      </c>
      <c r="AC82" s="392" t="s">
        <v>2790</v>
      </c>
      <c r="AD82" s="391">
        <v>974.928</v>
      </c>
      <c r="AE82" s="391">
        <v>1</v>
      </c>
      <c r="AF82" s="391">
        <v>0</v>
      </c>
      <c r="AG82" s="390" t="str">
        <f t="shared" si="49"/>
        <v>PV4.1</v>
      </c>
      <c r="AH82" s="389">
        <f t="shared" si="50"/>
        <v>1</v>
      </c>
      <c r="AI82" s="389">
        <f t="shared" si="51"/>
        <v>0</v>
      </c>
      <c r="AJ82" s="389">
        <f t="shared" si="52"/>
        <v>0</v>
      </c>
      <c r="AK82" s="389">
        <f t="shared" si="53"/>
        <v>0</v>
      </c>
      <c r="AL82" s="389">
        <f t="shared" si="54"/>
        <v>0</v>
      </c>
      <c r="AM82" s="389">
        <f t="shared" si="55"/>
        <v>0</v>
      </c>
      <c r="AN82" s="389">
        <f t="shared" si="56"/>
        <v>0</v>
      </c>
      <c r="AO82" s="389">
        <f t="shared" si="57"/>
        <v>0</v>
      </c>
      <c r="AP82" s="389">
        <f t="shared" si="58"/>
        <v>0</v>
      </c>
      <c r="AQ82" s="382"/>
      <c r="AR82" s="388" t="str">
        <f t="shared" si="45"/>
        <v>TERRENO NATURAL</v>
      </c>
    </row>
    <row r="83" spans="2:44" x14ac:dyDescent="0.25">
      <c r="B83" s="393" t="s">
        <v>2604</v>
      </c>
      <c r="C83" s="391">
        <v>975.43</v>
      </c>
      <c r="D83" s="391">
        <v>974.05799999999999</v>
      </c>
      <c r="E83" s="391">
        <v>0.127</v>
      </c>
      <c r="F83" s="391">
        <v>2.37</v>
      </c>
      <c r="G83" s="392">
        <v>0.7</v>
      </c>
      <c r="H83" s="391">
        <v>1.659</v>
      </c>
      <c r="I83" s="391">
        <v>1.4999999999999999E-2</v>
      </c>
      <c r="J83" s="392">
        <v>15.93</v>
      </c>
      <c r="K83" s="392">
        <v>319.57</v>
      </c>
      <c r="L83" s="392">
        <v>38.44</v>
      </c>
      <c r="M83" s="392">
        <v>530.25</v>
      </c>
      <c r="N83" s="393">
        <v>600</v>
      </c>
      <c r="O83" s="393"/>
      <c r="P83" s="392">
        <v>3.57</v>
      </c>
      <c r="Q83" s="392">
        <v>3.6</v>
      </c>
      <c r="R83" s="392">
        <v>0.31</v>
      </c>
      <c r="S83" s="392">
        <v>51.61</v>
      </c>
      <c r="T83" s="392">
        <v>1.81</v>
      </c>
      <c r="U83" s="392">
        <v>1.81</v>
      </c>
      <c r="V83" s="391">
        <v>973.625</v>
      </c>
      <c r="W83" s="391">
        <v>972.25300000000004</v>
      </c>
      <c r="X83" s="392">
        <v>0</v>
      </c>
      <c r="Y83" s="392" t="s">
        <v>2751</v>
      </c>
      <c r="Z83" s="392">
        <v>400</v>
      </c>
      <c r="AA83" s="392">
        <f t="shared" si="47"/>
        <v>0.83045234867923634</v>
      </c>
      <c r="AB83" s="392">
        <f t="shared" si="48"/>
        <v>3.3330538762701694</v>
      </c>
      <c r="AC83" s="392" t="s">
        <v>2790</v>
      </c>
      <c r="AD83" s="391">
        <v>974.928</v>
      </c>
      <c r="AE83" s="391">
        <v>0</v>
      </c>
      <c r="AF83" s="391">
        <v>0</v>
      </c>
      <c r="AG83" s="390" t="str">
        <f t="shared" si="49"/>
        <v>PV5.1</v>
      </c>
      <c r="AH83" s="389">
        <f t="shared" si="50"/>
        <v>1</v>
      </c>
      <c r="AI83" s="389">
        <f t="shared" si="51"/>
        <v>0</v>
      </c>
      <c r="AJ83" s="389">
        <f t="shared" si="52"/>
        <v>0</v>
      </c>
      <c r="AK83" s="389">
        <f t="shared" si="53"/>
        <v>0</v>
      </c>
      <c r="AL83" s="389">
        <f t="shared" si="54"/>
        <v>0</v>
      </c>
      <c r="AM83" s="389">
        <f t="shared" si="55"/>
        <v>0</v>
      </c>
      <c r="AN83" s="389">
        <f t="shared" si="56"/>
        <v>0</v>
      </c>
      <c r="AO83" s="389">
        <f t="shared" si="57"/>
        <v>0</v>
      </c>
      <c r="AP83" s="389">
        <f t="shared" si="58"/>
        <v>0</v>
      </c>
      <c r="AQ83" s="382"/>
      <c r="AR83" s="388" t="str">
        <f t="shared" si="45"/>
        <v>TERRENO NATURAL</v>
      </c>
    </row>
    <row r="84" spans="2:44" x14ac:dyDescent="0.25">
      <c r="B84" s="393" t="s">
        <v>2605</v>
      </c>
      <c r="C84" s="391">
        <v>974.05799999999999</v>
      </c>
      <c r="D84" s="391">
        <v>971.97299999999996</v>
      </c>
      <c r="E84" s="391">
        <v>0</v>
      </c>
      <c r="F84" s="391">
        <v>2.37</v>
      </c>
      <c r="G84" s="392">
        <v>0.7</v>
      </c>
      <c r="H84" s="391">
        <v>1.659</v>
      </c>
      <c r="I84" s="391">
        <v>1.4999999999999999E-2</v>
      </c>
      <c r="J84" s="392">
        <v>16.100000000000001</v>
      </c>
      <c r="K84" s="392">
        <v>317.86</v>
      </c>
      <c r="L84" s="392">
        <v>55.07</v>
      </c>
      <c r="M84" s="392">
        <v>527.41</v>
      </c>
      <c r="N84" s="393">
        <v>600</v>
      </c>
      <c r="O84" s="393"/>
      <c r="P84" s="392">
        <v>3.79</v>
      </c>
      <c r="Q84" s="392">
        <v>3.68</v>
      </c>
      <c r="R84" s="392">
        <v>0.3</v>
      </c>
      <c r="S84" s="392">
        <v>50.55</v>
      </c>
      <c r="T84" s="392">
        <v>1.81</v>
      </c>
      <c r="U84" s="392">
        <v>1.81</v>
      </c>
      <c r="V84" s="391">
        <v>972.25300000000004</v>
      </c>
      <c r="W84" s="391">
        <v>970.16800000000001</v>
      </c>
      <c r="X84" s="392">
        <v>0</v>
      </c>
      <c r="Y84" s="392" t="s">
        <v>2751</v>
      </c>
      <c r="Z84" s="392">
        <v>400</v>
      </c>
      <c r="AA84" s="392">
        <f t="shared" si="47"/>
        <v>1.0142015897135916</v>
      </c>
      <c r="AB84" s="392">
        <f t="shared" si="48"/>
        <v>4.775007205156041</v>
      </c>
      <c r="AC84" s="392" t="s">
        <v>2789</v>
      </c>
      <c r="AD84" s="391">
        <v>972.07899999999995</v>
      </c>
      <c r="AE84" s="391">
        <v>1</v>
      </c>
      <c r="AF84" s="391">
        <v>0</v>
      </c>
      <c r="AG84" s="390" t="str">
        <f t="shared" si="49"/>
        <v>PV6.1</v>
      </c>
      <c r="AH84" s="389">
        <f t="shared" si="50"/>
        <v>1</v>
      </c>
      <c r="AI84" s="389">
        <f t="shared" si="51"/>
        <v>0</v>
      </c>
      <c r="AJ84" s="389">
        <f t="shared" si="52"/>
        <v>0</v>
      </c>
      <c r="AK84" s="389">
        <f t="shared" si="53"/>
        <v>0</v>
      </c>
      <c r="AL84" s="389">
        <f t="shared" si="54"/>
        <v>0</v>
      </c>
      <c r="AM84" s="389">
        <f t="shared" si="55"/>
        <v>0</v>
      </c>
      <c r="AN84" s="389">
        <f t="shared" si="56"/>
        <v>0</v>
      </c>
      <c r="AO84" s="389">
        <f t="shared" si="57"/>
        <v>0</v>
      </c>
      <c r="AP84" s="389">
        <f t="shared" si="58"/>
        <v>0</v>
      </c>
      <c r="AQ84" s="382"/>
      <c r="AR84" s="388" t="str">
        <f t="shared" si="45"/>
        <v>TERRENO NATURAL</v>
      </c>
    </row>
    <row r="85" spans="2:44" x14ac:dyDescent="0.25">
      <c r="B85" s="393" t="s">
        <v>2607</v>
      </c>
      <c r="C85" s="391">
        <v>971.97299999999996</v>
      </c>
      <c r="D85" s="391">
        <v>969.65899999999999</v>
      </c>
      <c r="E85" s="391">
        <v>0.19400000000000001</v>
      </c>
      <c r="F85" s="391">
        <v>2.5640000000000001</v>
      </c>
      <c r="G85" s="392">
        <v>0.7</v>
      </c>
      <c r="H85" s="391">
        <v>1.7949999999999999</v>
      </c>
      <c r="I85" s="391">
        <v>1.4999999999999999E-2</v>
      </c>
      <c r="J85" s="392">
        <v>16.350000000000001</v>
      </c>
      <c r="K85" s="392">
        <v>315.49</v>
      </c>
      <c r="L85" s="392">
        <v>55.07</v>
      </c>
      <c r="M85" s="392">
        <v>566.25</v>
      </c>
      <c r="N85" s="393">
        <v>600</v>
      </c>
      <c r="O85" s="393"/>
      <c r="P85" s="392">
        <v>4.2</v>
      </c>
      <c r="Q85" s="392">
        <v>3.89</v>
      </c>
      <c r="R85" s="392">
        <v>0.31</v>
      </c>
      <c r="S85" s="392">
        <v>51.12</v>
      </c>
      <c r="T85" s="392">
        <v>1.81</v>
      </c>
      <c r="U85" s="392">
        <v>1.81</v>
      </c>
      <c r="V85" s="391">
        <v>970.16800000000001</v>
      </c>
      <c r="W85" s="391">
        <v>967.85400000000004</v>
      </c>
      <c r="X85" s="392">
        <v>0</v>
      </c>
      <c r="Y85" s="392" t="s">
        <v>2751</v>
      </c>
      <c r="Z85" s="392">
        <v>400</v>
      </c>
      <c r="AA85" s="392">
        <f t="shared" si="47"/>
        <v>1.0011388474599487</v>
      </c>
      <c r="AB85" s="392">
        <f t="shared" si="48"/>
        <v>4.775007205156041</v>
      </c>
      <c r="AC85" s="392" t="s">
        <v>2788</v>
      </c>
      <c r="AD85" s="391">
        <v>970.09900000000005</v>
      </c>
      <c r="AE85" s="391">
        <v>1</v>
      </c>
      <c r="AF85" s="391">
        <v>0</v>
      </c>
      <c r="AG85" s="390" t="str">
        <f t="shared" si="49"/>
        <v>PV7.1</v>
      </c>
      <c r="AH85" s="389">
        <f t="shared" si="50"/>
        <v>1</v>
      </c>
      <c r="AI85" s="389">
        <f t="shared" si="51"/>
        <v>0</v>
      </c>
      <c r="AJ85" s="389">
        <f t="shared" si="52"/>
        <v>0</v>
      </c>
      <c r="AK85" s="389">
        <f t="shared" si="53"/>
        <v>0</v>
      </c>
      <c r="AL85" s="389">
        <f t="shared" si="54"/>
        <v>0</v>
      </c>
      <c r="AM85" s="389">
        <f t="shared" si="55"/>
        <v>0</v>
      </c>
      <c r="AN85" s="389">
        <f t="shared" si="56"/>
        <v>0</v>
      </c>
      <c r="AO85" s="389">
        <f t="shared" si="57"/>
        <v>0</v>
      </c>
      <c r="AP85" s="389">
        <f t="shared" si="58"/>
        <v>0</v>
      </c>
      <c r="AQ85" s="382"/>
      <c r="AR85" s="388" t="str">
        <f t="shared" si="45"/>
        <v>TERRENO NATURAL</v>
      </c>
    </row>
    <row r="86" spans="2:44" x14ac:dyDescent="0.25">
      <c r="B86" s="393" t="s">
        <v>2614</v>
      </c>
      <c r="C86" s="391">
        <v>969.65899999999999</v>
      </c>
      <c r="D86" s="391">
        <v>967.62599999999998</v>
      </c>
      <c r="E86" s="391">
        <v>0.83299999999999996</v>
      </c>
      <c r="F86" s="391">
        <v>3.3969999999999998</v>
      </c>
      <c r="G86" s="392">
        <v>0.7</v>
      </c>
      <c r="H86" s="391">
        <v>2.3780000000000001</v>
      </c>
      <c r="I86" s="391">
        <v>1.4999999999999999E-2</v>
      </c>
      <c r="J86" s="392">
        <v>16.59</v>
      </c>
      <c r="K86" s="392">
        <v>313.3</v>
      </c>
      <c r="L86" s="392">
        <v>54.79</v>
      </c>
      <c r="M86" s="392">
        <v>744.95</v>
      </c>
      <c r="N86" s="393">
        <v>600</v>
      </c>
      <c r="O86" s="393"/>
      <c r="P86" s="392">
        <v>3.71</v>
      </c>
      <c r="Q86" s="392">
        <v>3.95</v>
      </c>
      <c r="R86" s="392">
        <v>0.38</v>
      </c>
      <c r="S86" s="392">
        <v>63.24</v>
      </c>
      <c r="T86" s="392">
        <v>1.81</v>
      </c>
      <c r="U86" s="392">
        <v>1.81</v>
      </c>
      <c r="V86" s="391">
        <v>967.85400000000004</v>
      </c>
      <c r="W86" s="391">
        <v>965.82100000000003</v>
      </c>
      <c r="X86" s="392">
        <v>0</v>
      </c>
      <c r="Y86" s="392" t="s">
        <v>2751</v>
      </c>
      <c r="Z86" s="392">
        <v>500</v>
      </c>
      <c r="AA86" s="392">
        <f t="shared" si="47"/>
        <v>0.9925547596932851</v>
      </c>
      <c r="AB86" s="392">
        <f t="shared" si="48"/>
        <v>5.7834961460702088</v>
      </c>
      <c r="AC86" s="392" t="s">
        <v>2787</v>
      </c>
      <c r="AD86" s="391">
        <v>967.85400000000004</v>
      </c>
      <c r="AE86" s="391">
        <v>2</v>
      </c>
      <c r="AF86" s="391">
        <v>0</v>
      </c>
      <c r="AG86" s="390" t="str">
        <f t="shared" si="49"/>
        <v>PV8.1</v>
      </c>
      <c r="AH86" s="389">
        <f t="shared" si="50"/>
        <v>1</v>
      </c>
      <c r="AI86" s="389">
        <f t="shared" si="51"/>
        <v>0</v>
      </c>
      <c r="AJ86" s="389">
        <f t="shared" si="52"/>
        <v>0</v>
      </c>
      <c r="AK86" s="389">
        <f t="shared" si="53"/>
        <v>0</v>
      </c>
      <c r="AL86" s="389">
        <f t="shared" si="54"/>
        <v>0</v>
      </c>
      <c r="AM86" s="389">
        <f t="shared" si="55"/>
        <v>0</v>
      </c>
      <c r="AN86" s="389">
        <f t="shared" si="56"/>
        <v>0</v>
      </c>
      <c r="AO86" s="389">
        <f t="shared" si="57"/>
        <v>0</v>
      </c>
      <c r="AP86" s="389">
        <f t="shared" si="58"/>
        <v>0</v>
      </c>
      <c r="AQ86" s="382"/>
      <c r="AR86" s="388" t="str">
        <f t="shared" ref="AR86:AR114" si="59">Y86</f>
        <v>TERRENO NATURAL</v>
      </c>
    </row>
    <row r="87" spans="2:44" x14ac:dyDescent="0.25">
      <c r="B87" s="393" t="s">
        <v>2615</v>
      </c>
      <c r="C87" s="391">
        <v>967.62599999999998</v>
      </c>
      <c r="D87" s="391">
        <v>965.64700000000005</v>
      </c>
      <c r="E87" s="391">
        <v>0.114</v>
      </c>
      <c r="F87" s="391">
        <v>3.5110000000000001</v>
      </c>
      <c r="G87" s="392">
        <v>0.7</v>
      </c>
      <c r="H87" s="391">
        <v>2.4580000000000002</v>
      </c>
      <c r="I87" s="391">
        <v>1.4999999999999999E-2</v>
      </c>
      <c r="J87" s="392">
        <v>16.82</v>
      </c>
      <c r="K87" s="392">
        <v>311.17</v>
      </c>
      <c r="L87" s="392">
        <v>54.79</v>
      </c>
      <c r="M87" s="392">
        <v>764.73</v>
      </c>
      <c r="N87" s="393">
        <v>600</v>
      </c>
      <c r="O87" s="393"/>
      <c r="P87" s="392">
        <v>3.61</v>
      </c>
      <c r="Q87" s="392">
        <v>3.93</v>
      </c>
      <c r="R87" s="392">
        <v>0.39</v>
      </c>
      <c r="S87" s="392">
        <v>64.98</v>
      </c>
      <c r="T87" s="392">
        <v>1.81</v>
      </c>
      <c r="U87" s="392">
        <v>1.81</v>
      </c>
      <c r="V87" s="391">
        <v>965.82100000000003</v>
      </c>
      <c r="W87" s="391">
        <v>963.84199999999998</v>
      </c>
      <c r="X87" s="392">
        <v>0</v>
      </c>
      <c r="Y87" s="392" t="s">
        <v>2751</v>
      </c>
      <c r="Z87" s="392">
        <v>500</v>
      </c>
      <c r="AA87" s="392">
        <f t="shared" si="47"/>
        <v>1.0064883514304965</v>
      </c>
      <c r="AB87" s="392">
        <f t="shared" si="48"/>
        <v>5.7834961460702088</v>
      </c>
      <c r="AC87" s="392" t="s">
        <v>2786</v>
      </c>
      <c r="AD87" s="391">
        <v>965.70899999999995</v>
      </c>
      <c r="AE87" s="391">
        <v>1</v>
      </c>
      <c r="AF87" s="391">
        <v>0</v>
      </c>
      <c r="AG87" s="390" t="str">
        <f t="shared" si="49"/>
        <v>PV9.1</v>
      </c>
      <c r="AH87" s="389">
        <f t="shared" si="50"/>
        <v>1</v>
      </c>
      <c r="AI87" s="389">
        <f t="shared" si="51"/>
        <v>0</v>
      </c>
      <c r="AJ87" s="389">
        <f t="shared" si="52"/>
        <v>0</v>
      </c>
      <c r="AK87" s="389">
        <f t="shared" si="53"/>
        <v>0</v>
      </c>
      <c r="AL87" s="389">
        <f t="shared" si="54"/>
        <v>0</v>
      </c>
      <c r="AM87" s="389">
        <f t="shared" si="55"/>
        <v>0</v>
      </c>
      <c r="AN87" s="389">
        <f t="shared" si="56"/>
        <v>0</v>
      </c>
      <c r="AO87" s="389">
        <f t="shared" si="57"/>
        <v>0</v>
      </c>
      <c r="AP87" s="389">
        <f t="shared" si="58"/>
        <v>0</v>
      </c>
      <c r="AQ87" s="382"/>
      <c r="AR87" s="388" t="str">
        <f t="shared" si="59"/>
        <v>TERRENO NATURAL</v>
      </c>
    </row>
    <row r="88" spans="2:44" x14ac:dyDescent="0.25">
      <c r="B88" s="393" t="s">
        <v>2785</v>
      </c>
      <c r="C88" s="391">
        <v>966.89700000000005</v>
      </c>
      <c r="D88" s="391">
        <v>966.41300000000001</v>
      </c>
      <c r="E88" s="391">
        <v>0.90900000000000003</v>
      </c>
      <c r="F88" s="391">
        <v>0.90900000000000003</v>
      </c>
      <c r="G88" s="392">
        <v>0.7</v>
      </c>
      <c r="H88" s="391">
        <v>0.63700000000000001</v>
      </c>
      <c r="I88" s="391">
        <v>1.4999999999999999E-2</v>
      </c>
      <c r="J88" s="392">
        <v>15</v>
      </c>
      <c r="K88" s="392">
        <v>328.81</v>
      </c>
      <c r="L88" s="392">
        <v>42.5</v>
      </c>
      <c r="M88" s="392">
        <v>209.33</v>
      </c>
      <c r="N88" s="393">
        <v>400</v>
      </c>
      <c r="O88" s="393"/>
      <c r="P88" s="392">
        <v>1.37</v>
      </c>
      <c r="Q88" s="392">
        <v>1.92</v>
      </c>
      <c r="R88" s="392">
        <v>0.32</v>
      </c>
      <c r="S88" s="392">
        <v>81.02</v>
      </c>
      <c r="T88" s="392">
        <v>1.6</v>
      </c>
      <c r="U88" s="392">
        <v>1.7</v>
      </c>
      <c r="V88" s="391">
        <v>965.29700000000003</v>
      </c>
      <c r="W88" s="391">
        <v>964.71299999999997</v>
      </c>
      <c r="X88" s="392">
        <v>0</v>
      </c>
      <c r="Y88" s="392" t="s">
        <v>2392</v>
      </c>
      <c r="Z88" s="392">
        <v>500</v>
      </c>
      <c r="AA88" s="392">
        <f t="shared" si="47"/>
        <v>1.0015120686672148</v>
      </c>
      <c r="AB88" s="392">
        <f t="shared" si="48"/>
        <v>4.4861943093262253</v>
      </c>
      <c r="AC88" s="392" t="s">
        <v>2784</v>
      </c>
      <c r="AD88" s="391">
        <v>965.02</v>
      </c>
      <c r="AE88" s="391">
        <v>3</v>
      </c>
      <c r="AF88" s="391">
        <v>0</v>
      </c>
      <c r="AG88" s="390" t="str">
        <f t="shared" si="49"/>
        <v>PV1.3</v>
      </c>
      <c r="AH88" s="389">
        <f t="shared" si="50"/>
        <v>0</v>
      </c>
      <c r="AI88" s="389">
        <f t="shared" si="51"/>
        <v>0</v>
      </c>
      <c r="AJ88" s="389">
        <f t="shared" si="52"/>
        <v>0</v>
      </c>
      <c r="AK88" s="389">
        <f t="shared" si="53"/>
        <v>0</v>
      </c>
      <c r="AL88" s="389">
        <f t="shared" si="54"/>
        <v>0</v>
      </c>
      <c r="AM88" s="389">
        <f t="shared" si="55"/>
        <v>0</v>
      </c>
      <c r="AN88" s="389">
        <f t="shared" si="56"/>
        <v>0</v>
      </c>
      <c r="AO88" s="389">
        <f t="shared" si="57"/>
        <v>0</v>
      </c>
      <c r="AP88" s="389">
        <f t="shared" si="58"/>
        <v>0</v>
      </c>
      <c r="AQ88" s="382"/>
      <c r="AR88" s="388" t="str">
        <f t="shared" si="59"/>
        <v>ASFALTO</v>
      </c>
    </row>
    <row r="89" spans="2:44" x14ac:dyDescent="0.25">
      <c r="B89" s="393" t="s">
        <v>2783</v>
      </c>
      <c r="C89" s="391">
        <v>966.41300000000001</v>
      </c>
      <c r="D89" s="391">
        <v>965.64700000000005</v>
      </c>
      <c r="E89" s="391">
        <v>0</v>
      </c>
      <c r="F89" s="391">
        <v>0.91</v>
      </c>
      <c r="G89" s="392">
        <v>0.7</v>
      </c>
      <c r="H89" s="391">
        <v>0.63700000000000001</v>
      </c>
      <c r="I89" s="391">
        <v>1.4999999999999999E-2</v>
      </c>
      <c r="J89" s="392">
        <v>15.37</v>
      </c>
      <c r="K89" s="392">
        <v>325.05</v>
      </c>
      <c r="L89" s="392">
        <v>42.5</v>
      </c>
      <c r="M89" s="392">
        <v>206.94</v>
      </c>
      <c r="N89" s="393">
        <v>400</v>
      </c>
      <c r="O89" s="393"/>
      <c r="P89" s="392">
        <v>1.57</v>
      </c>
      <c r="Q89" s="392">
        <v>2.04</v>
      </c>
      <c r="R89" s="392">
        <v>0.3</v>
      </c>
      <c r="S89" s="392">
        <v>75.290000000000006</v>
      </c>
      <c r="T89" s="392">
        <v>1.7</v>
      </c>
      <c r="U89" s="392">
        <v>1.6</v>
      </c>
      <c r="V89" s="391">
        <v>964.71299999999997</v>
      </c>
      <c r="W89" s="391">
        <v>964.04700000000003</v>
      </c>
      <c r="X89" s="392">
        <v>0.21</v>
      </c>
      <c r="Y89" s="392" t="s">
        <v>2392</v>
      </c>
      <c r="Z89" s="392">
        <v>500</v>
      </c>
      <c r="AA89" s="392">
        <f t="shared" si="47"/>
        <v>1.0054930948778344</v>
      </c>
      <c r="AB89" s="392">
        <f t="shared" si="48"/>
        <v>4.4861943093262253</v>
      </c>
      <c r="AC89" s="392" t="s">
        <v>2782</v>
      </c>
      <c r="AD89" s="391">
        <v>964.50400000000002</v>
      </c>
      <c r="AE89" s="391">
        <v>1</v>
      </c>
      <c r="AF89" s="391">
        <v>0</v>
      </c>
      <c r="AG89" s="390" t="str">
        <f t="shared" si="49"/>
        <v>PV2.3</v>
      </c>
      <c r="AH89" s="389">
        <f t="shared" si="50"/>
        <v>0</v>
      </c>
      <c r="AI89" s="389">
        <f t="shared" si="51"/>
        <v>0</v>
      </c>
      <c r="AJ89" s="389">
        <f t="shared" si="52"/>
        <v>0</v>
      </c>
      <c r="AK89" s="389">
        <f t="shared" si="53"/>
        <v>0</v>
      </c>
      <c r="AL89" s="389">
        <f t="shared" si="54"/>
        <v>0</v>
      </c>
      <c r="AM89" s="389">
        <f t="shared" si="55"/>
        <v>0</v>
      </c>
      <c r="AN89" s="389">
        <f t="shared" si="56"/>
        <v>0</v>
      </c>
      <c r="AO89" s="389">
        <f t="shared" si="57"/>
        <v>0</v>
      </c>
      <c r="AP89" s="389">
        <f t="shared" si="58"/>
        <v>0</v>
      </c>
      <c r="AQ89" s="382"/>
      <c r="AR89" s="388" t="str">
        <f t="shared" si="59"/>
        <v>ASFALTO</v>
      </c>
    </row>
    <row r="90" spans="2:44" x14ac:dyDescent="0.25">
      <c r="B90" s="393" t="s">
        <v>2617</v>
      </c>
      <c r="C90" s="391">
        <v>965.64700000000005</v>
      </c>
      <c r="D90" s="391">
        <v>963.79499999999996</v>
      </c>
      <c r="E90" s="391">
        <v>0.312</v>
      </c>
      <c r="F90" s="391">
        <v>4.7320000000000002</v>
      </c>
      <c r="G90" s="392">
        <v>0.7</v>
      </c>
      <c r="H90" s="391">
        <v>3.3130000000000002</v>
      </c>
      <c r="I90" s="391">
        <v>1.4999999999999999E-2</v>
      </c>
      <c r="J90" s="392">
        <v>17.05</v>
      </c>
      <c r="K90" s="392">
        <v>309.07</v>
      </c>
      <c r="L90" s="392">
        <v>59.59</v>
      </c>
      <c r="M90" s="392">
        <v>1023.89</v>
      </c>
      <c r="N90" s="393">
        <v>600</v>
      </c>
      <c r="O90" s="393"/>
      <c r="P90" s="392">
        <v>3.77</v>
      </c>
      <c r="Q90" s="392">
        <v>4.17</v>
      </c>
      <c r="R90" s="392">
        <v>0.49</v>
      </c>
      <c r="S90" s="392">
        <v>81.150000000000006</v>
      </c>
      <c r="T90" s="392">
        <v>1.81</v>
      </c>
      <c r="U90" s="392">
        <v>2.2000000000000002</v>
      </c>
      <c r="V90" s="391">
        <v>963.84199999999998</v>
      </c>
      <c r="W90" s="391">
        <v>961.59500000000003</v>
      </c>
      <c r="X90" s="392">
        <v>0.22</v>
      </c>
      <c r="Y90" s="392" t="s">
        <v>2751</v>
      </c>
      <c r="Z90" s="392">
        <v>600</v>
      </c>
      <c r="AA90" s="392">
        <f t="shared" si="47"/>
        <v>1.0190534654077941</v>
      </c>
      <c r="AB90" s="392">
        <f t="shared" si="48"/>
        <v>7.4134172466056656</v>
      </c>
      <c r="AC90" s="392" t="s">
        <v>2781</v>
      </c>
      <c r="AD90" s="391">
        <v>963.62900000000002</v>
      </c>
      <c r="AE90" s="391">
        <v>1</v>
      </c>
      <c r="AF90" s="391">
        <v>0</v>
      </c>
      <c r="AG90" s="390" t="str">
        <f t="shared" si="49"/>
        <v>PV10.1</v>
      </c>
      <c r="AH90" s="389">
        <f t="shared" si="50"/>
        <v>1</v>
      </c>
      <c r="AI90" s="389">
        <f t="shared" si="51"/>
        <v>0</v>
      </c>
      <c r="AJ90" s="389">
        <f t="shared" si="52"/>
        <v>0</v>
      </c>
      <c r="AK90" s="389">
        <f t="shared" si="53"/>
        <v>0</v>
      </c>
      <c r="AL90" s="389">
        <f t="shared" si="54"/>
        <v>0</v>
      </c>
      <c r="AM90" s="389">
        <f t="shared" si="55"/>
        <v>0</v>
      </c>
      <c r="AN90" s="389">
        <f t="shared" si="56"/>
        <v>0</v>
      </c>
      <c r="AO90" s="389">
        <f t="shared" si="57"/>
        <v>0</v>
      </c>
      <c r="AP90" s="389">
        <f t="shared" si="58"/>
        <v>0</v>
      </c>
      <c r="AQ90" s="382"/>
      <c r="AR90" s="388" t="str">
        <f t="shared" si="59"/>
        <v>TERRENO NATURAL</v>
      </c>
    </row>
    <row r="91" spans="2:44" x14ac:dyDescent="0.25">
      <c r="B91" s="393" t="s">
        <v>2618</v>
      </c>
      <c r="C91" s="391">
        <v>963.79499999999996</v>
      </c>
      <c r="D91" s="391">
        <v>962.67700000000002</v>
      </c>
      <c r="E91" s="391">
        <v>9.4E-2</v>
      </c>
      <c r="F91" s="391">
        <v>4.8259999999999996</v>
      </c>
      <c r="G91" s="392">
        <v>0.7</v>
      </c>
      <c r="H91" s="391">
        <v>3.379</v>
      </c>
      <c r="I91" s="391">
        <v>1.4999999999999999E-2</v>
      </c>
      <c r="J91" s="392">
        <v>17.29</v>
      </c>
      <c r="K91" s="392">
        <v>306.95</v>
      </c>
      <c r="L91" s="392">
        <v>34.61</v>
      </c>
      <c r="M91" s="392">
        <v>1037.05</v>
      </c>
      <c r="N91" s="393">
        <v>800</v>
      </c>
      <c r="O91" s="393"/>
      <c r="P91" s="392">
        <v>2.02</v>
      </c>
      <c r="Q91" s="392">
        <v>3.43</v>
      </c>
      <c r="R91" s="392">
        <v>0.46</v>
      </c>
      <c r="S91" s="392">
        <v>57.98</v>
      </c>
      <c r="T91" s="392">
        <v>2.42</v>
      </c>
      <c r="U91" s="392">
        <v>2</v>
      </c>
      <c r="V91" s="391">
        <v>961.375</v>
      </c>
      <c r="W91" s="391">
        <v>960.67700000000002</v>
      </c>
      <c r="X91" s="392">
        <v>0.42</v>
      </c>
      <c r="Y91" s="392" t="s">
        <v>2751</v>
      </c>
      <c r="Z91" s="392">
        <v>600</v>
      </c>
      <c r="AA91" s="392">
        <f t="shared" si="47"/>
        <v>1.0275131461053786</v>
      </c>
      <c r="AB91" s="392">
        <f t="shared" si="48"/>
        <v>4.3057286609334131</v>
      </c>
      <c r="AC91" s="392" t="s">
        <v>2780</v>
      </c>
      <c r="AD91" s="391">
        <v>961.70899999999995</v>
      </c>
      <c r="AE91" s="391">
        <v>0</v>
      </c>
      <c r="AF91" s="391">
        <v>0</v>
      </c>
      <c r="AG91" s="390" t="str">
        <f t="shared" si="49"/>
        <v>PV11.1</v>
      </c>
      <c r="AH91" s="389">
        <f t="shared" si="50"/>
        <v>0</v>
      </c>
      <c r="AI91" s="389">
        <f t="shared" si="51"/>
        <v>1</v>
      </c>
      <c r="AJ91" s="389">
        <f t="shared" si="52"/>
        <v>0</v>
      </c>
      <c r="AK91" s="389">
        <f t="shared" si="53"/>
        <v>0</v>
      </c>
      <c r="AL91" s="389">
        <f t="shared" si="54"/>
        <v>0</v>
      </c>
      <c r="AM91" s="389">
        <f t="shared" si="55"/>
        <v>0</v>
      </c>
      <c r="AN91" s="389">
        <f t="shared" si="56"/>
        <v>0</v>
      </c>
      <c r="AO91" s="389">
        <f t="shared" si="57"/>
        <v>0</v>
      </c>
      <c r="AP91" s="389">
        <f t="shared" si="58"/>
        <v>0</v>
      </c>
      <c r="AQ91" s="382"/>
      <c r="AR91" s="388" t="str">
        <f t="shared" si="59"/>
        <v>TERRENO NATURAL</v>
      </c>
    </row>
    <row r="92" spans="2:44" x14ac:dyDescent="0.25">
      <c r="B92" s="393" t="s">
        <v>2779</v>
      </c>
      <c r="C92" s="391">
        <v>965.18</v>
      </c>
      <c r="D92" s="391">
        <v>964.60400000000004</v>
      </c>
      <c r="E92" s="391">
        <v>0.23899999999999999</v>
      </c>
      <c r="F92" s="391">
        <v>0.23899999999999999</v>
      </c>
      <c r="G92" s="392">
        <v>0.7</v>
      </c>
      <c r="H92" s="391">
        <v>0.16700000000000001</v>
      </c>
      <c r="I92" s="391">
        <v>1.4999999999999999E-2</v>
      </c>
      <c r="J92" s="392">
        <v>15</v>
      </c>
      <c r="K92" s="392">
        <v>328.81</v>
      </c>
      <c r="L92" s="392">
        <v>49.85</v>
      </c>
      <c r="M92" s="392">
        <v>54.92</v>
      </c>
      <c r="N92" s="393">
        <v>400</v>
      </c>
      <c r="O92" s="393"/>
      <c r="P92" s="392">
        <v>1.1599999999999999</v>
      </c>
      <c r="Q92" s="392">
        <v>1.33</v>
      </c>
      <c r="R92" s="392">
        <v>0.15</v>
      </c>
      <c r="S92" s="392">
        <v>36.39</v>
      </c>
      <c r="T92" s="392">
        <v>1.6</v>
      </c>
      <c r="U92" s="392">
        <v>1.6</v>
      </c>
      <c r="V92" s="391">
        <v>963.58</v>
      </c>
      <c r="W92" s="391">
        <v>963.00400000000002</v>
      </c>
      <c r="X92" s="392">
        <v>0</v>
      </c>
      <c r="Y92" s="392" t="s">
        <v>2392</v>
      </c>
      <c r="Z92" s="392">
        <v>400</v>
      </c>
      <c r="AA92" s="392">
        <f t="shared" si="47"/>
        <v>0.967051310531438</v>
      </c>
      <c r="AB92" s="392">
        <f t="shared" si="48"/>
        <v>4.322391668368053</v>
      </c>
      <c r="AC92" s="392" t="s">
        <v>2778</v>
      </c>
      <c r="AD92" s="391">
        <v>963.58</v>
      </c>
      <c r="AE92" s="391">
        <v>1</v>
      </c>
      <c r="AF92" s="391">
        <v>0</v>
      </c>
      <c r="AG92" s="390" t="str">
        <f t="shared" si="49"/>
        <v>PV1.4</v>
      </c>
      <c r="AH92" s="389">
        <f t="shared" si="50"/>
        <v>0</v>
      </c>
      <c r="AI92" s="389">
        <f t="shared" si="51"/>
        <v>0</v>
      </c>
      <c r="AJ92" s="389">
        <f t="shared" si="52"/>
        <v>0</v>
      </c>
      <c r="AK92" s="389">
        <f t="shared" si="53"/>
        <v>0</v>
      </c>
      <c r="AL92" s="389">
        <f t="shared" si="54"/>
        <v>0</v>
      </c>
      <c r="AM92" s="389">
        <f t="shared" si="55"/>
        <v>0</v>
      </c>
      <c r="AN92" s="389">
        <f t="shared" si="56"/>
        <v>0</v>
      </c>
      <c r="AO92" s="389">
        <f t="shared" si="57"/>
        <v>0</v>
      </c>
      <c r="AP92" s="389">
        <f t="shared" si="58"/>
        <v>0</v>
      </c>
      <c r="AQ92" s="382"/>
      <c r="AR92" s="388" t="str">
        <f t="shared" si="59"/>
        <v>ASFALTO</v>
      </c>
    </row>
    <row r="93" spans="2:44" x14ac:dyDescent="0.25">
      <c r="B93" s="393" t="s">
        <v>2777</v>
      </c>
      <c r="C93" s="391">
        <v>964.60400000000004</v>
      </c>
      <c r="D93" s="391">
        <v>963.97900000000004</v>
      </c>
      <c r="E93" s="391">
        <v>0.26</v>
      </c>
      <c r="F93" s="391">
        <v>0.499</v>
      </c>
      <c r="G93" s="392">
        <v>0.7</v>
      </c>
      <c r="H93" s="391">
        <v>0.34899999999999998</v>
      </c>
      <c r="I93" s="391">
        <v>1.4999999999999999E-2</v>
      </c>
      <c r="J93" s="392">
        <v>15.63</v>
      </c>
      <c r="K93" s="392">
        <v>322.5</v>
      </c>
      <c r="L93" s="392">
        <v>49.76</v>
      </c>
      <c r="M93" s="392">
        <v>112.64</v>
      </c>
      <c r="N93" s="393">
        <v>400</v>
      </c>
      <c r="O93" s="393"/>
      <c r="P93" s="392">
        <v>1.26</v>
      </c>
      <c r="Q93" s="392">
        <v>1.65</v>
      </c>
      <c r="R93" s="392">
        <v>0.21</v>
      </c>
      <c r="S93" s="392">
        <v>53.32</v>
      </c>
      <c r="T93" s="392">
        <v>1.6</v>
      </c>
      <c r="U93" s="392">
        <v>1.6</v>
      </c>
      <c r="V93" s="391">
        <v>963.00400000000002</v>
      </c>
      <c r="W93" s="391">
        <v>962.37900000000002</v>
      </c>
      <c r="X93" s="392">
        <v>0</v>
      </c>
      <c r="Y93" s="392" t="s">
        <v>2392</v>
      </c>
      <c r="Z93" s="392">
        <v>400</v>
      </c>
      <c r="AA93" s="392">
        <f t="shared" si="47"/>
        <v>1.001138847459963</v>
      </c>
      <c r="AB93" s="392">
        <f t="shared" si="48"/>
        <v>4.3145879522165353</v>
      </c>
      <c r="AC93" s="392" t="s">
        <v>2776</v>
      </c>
      <c r="AD93" s="391">
        <v>962.73</v>
      </c>
      <c r="AE93" s="391">
        <v>1</v>
      </c>
      <c r="AF93" s="391">
        <v>0</v>
      </c>
      <c r="AG93" s="390" t="str">
        <f t="shared" si="49"/>
        <v>PV2.4</v>
      </c>
      <c r="AH93" s="389">
        <f t="shared" si="50"/>
        <v>0</v>
      </c>
      <c r="AI93" s="389">
        <f t="shared" si="51"/>
        <v>0</v>
      </c>
      <c r="AJ93" s="389">
        <f t="shared" si="52"/>
        <v>0</v>
      </c>
      <c r="AK93" s="389">
        <f t="shared" si="53"/>
        <v>0</v>
      </c>
      <c r="AL93" s="389">
        <f t="shared" si="54"/>
        <v>0</v>
      </c>
      <c r="AM93" s="389">
        <f t="shared" si="55"/>
        <v>0</v>
      </c>
      <c r="AN93" s="389">
        <f t="shared" si="56"/>
        <v>0</v>
      </c>
      <c r="AO93" s="389">
        <f t="shared" si="57"/>
        <v>0</v>
      </c>
      <c r="AP93" s="389">
        <f t="shared" si="58"/>
        <v>0</v>
      </c>
      <c r="AQ93" s="382"/>
      <c r="AR93" s="388" t="str">
        <f t="shared" si="59"/>
        <v>ASFALTO</v>
      </c>
    </row>
    <row r="94" spans="2:44" x14ac:dyDescent="0.25">
      <c r="B94" s="393" t="s">
        <v>2775</v>
      </c>
      <c r="C94" s="391">
        <v>963.97900000000004</v>
      </c>
      <c r="D94" s="391">
        <v>963.39099999999996</v>
      </c>
      <c r="E94" s="391">
        <v>0.27300000000000002</v>
      </c>
      <c r="F94" s="391">
        <v>0.77200000000000002</v>
      </c>
      <c r="G94" s="392">
        <v>0.7</v>
      </c>
      <c r="H94" s="391">
        <v>0.54100000000000004</v>
      </c>
      <c r="I94" s="391">
        <v>1.4999999999999999E-2</v>
      </c>
      <c r="J94" s="392">
        <v>16.13</v>
      </c>
      <c r="K94" s="392">
        <v>317.63</v>
      </c>
      <c r="L94" s="392">
        <v>50.29</v>
      </c>
      <c r="M94" s="392">
        <v>171.73</v>
      </c>
      <c r="N94" s="393">
        <v>400</v>
      </c>
      <c r="O94" s="393"/>
      <c r="P94" s="392">
        <v>1.17</v>
      </c>
      <c r="Q94" s="392">
        <v>1.75</v>
      </c>
      <c r="R94" s="392">
        <v>0.28999999999999998</v>
      </c>
      <c r="S94" s="392">
        <v>72.8</v>
      </c>
      <c r="T94" s="392">
        <v>1.6</v>
      </c>
      <c r="U94" s="392">
        <v>1.6</v>
      </c>
      <c r="V94" s="391">
        <v>962.37900000000002</v>
      </c>
      <c r="W94" s="391">
        <v>961.79100000000005</v>
      </c>
      <c r="X94" s="392">
        <v>0</v>
      </c>
      <c r="Y94" s="392" t="s">
        <v>2392</v>
      </c>
      <c r="Z94" s="392">
        <v>400</v>
      </c>
      <c r="AA94" s="392">
        <f t="shared" si="47"/>
        <v>0.9980286707329119</v>
      </c>
      <c r="AB94" s="392">
        <f t="shared" si="48"/>
        <v>4.3605431695532468</v>
      </c>
      <c r="AC94" s="392" t="s">
        <v>2774</v>
      </c>
      <c r="AD94" s="391">
        <v>962.13</v>
      </c>
      <c r="AE94" s="391">
        <v>1</v>
      </c>
      <c r="AF94" s="391">
        <v>0</v>
      </c>
      <c r="AG94" s="390" t="str">
        <f t="shared" si="49"/>
        <v>PV3.4</v>
      </c>
      <c r="AH94" s="389">
        <f t="shared" si="50"/>
        <v>0</v>
      </c>
      <c r="AI94" s="389">
        <f t="shared" si="51"/>
        <v>0</v>
      </c>
      <c r="AJ94" s="389">
        <f t="shared" si="52"/>
        <v>0</v>
      </c>
      <c r="AK94" s="389">
        <f t="shared" si="53"/>
        <v>0</v>
      </c>
      <c r="AL94" s="389">
        <f t="shared" si="54"/>
        <v>0</v>
      </c>
      <c r="AM94" s="389">
        <f t="shared" si="55"/>
        <v>0</v>
      </c>
      <c r="AN94" s="389">
        <f t="shared" si="56"/>
        <v>0</v>
      </c>
      <c r="AO94" s="389">
        <f t="shared" si="57"/>
        <v>0</v>
      </c>
      <c r="AP94" s="389">
        <f t="shared" si="58"/>
        <v>0</v>
      </c>
      <c r="AQ94" s="382"/>
      <c r="AR94" s="388" t="str">
        <f t="shared" si="59"/>
        <v>ASFALTO</v>
      </c>
    </row>
    <row r="95" spans="2:44" x14ac:dyDescent="0.25">
      <c r="B95" s="393" t="s">
        <v>2773</v>
      </c>
      <c r="C95" s="391">
        <v>963.39099999999996</v>
      </c>
      <c r="D95" s="391">
        <v>962.67700000000002</v>
      </c>
      <c r="E95" s="391">
        <v>0.29799999999999999</v>
      </c>
      <c r="F95" s="391">
        <v>1.07</v>
      </c>
      <c r="G95" s="392">
        <v>0.7</v>
      </c>
      <c r="H95" s="391">
        <v>0.749</v>
      </c>
      <c r="I95" s="391">
        <v>1.4999999999999999E-2</v>
      </c>
      <c r="J95" s="392">
        <v>16.61</v>
      </c>
      <c r="K95" s="392">
        <v>313.14</v>
      </c>
      <c r="L95" s="392">
        <v>50.03</v>
      </c>
      <c r="M95" s="392">
        <v>234.55</v>
      </c>
      <c r="N95" s="393">
        <v>400</v>
      </c>
      <c r="O95" s="393"/>
      <c r="P95" s="392">
        <v>1.83</v>
      </c>
      <c r="Q95" s="392">
        <v>2.21</v>
      </c>
      <c r="R95" s="392">
        <v>0.31</v>
      </c>
      <c r="S95" s="392">
        <v>78.72</v>
      </c>
      <c r="T95" s="392">
        <v>1.6</v>
      </c>
      <c r="U95" s="392">
        <v>1.8</v>
      </c>
      <c r="V95" s="391">
        <v>961.79100000000005</v>
      </c>
      <c r="W95" s="391">
        <v>960.87699999999995</v>
      </c>
      <c r="X95" s="392">
        <v>0.62</v>
      </c>
      <c r="Y95" s="392" t="s">
        <v>2392</v>
      </c>
      <c r="Z95" s="392">
        <v>500</v>
      </c>
      <c r="AA95" s="392">
        <f t="shared" si="47"/>
        <v>1.0119622624701092</v>
      </c>
      <c r="AB95" s="392">
        <f t="shared" si="48"/>
        <v>5.2810423834256719</v>
      </c>
      <c r="AC95" s="392" t="s">
        <v>2772</v>
      </c>
      <c r="AD95" s="391">
        <v>961.43</v>
      </c>
      <c r="AE95" s="391">
        <v>1</v>
      </c>
      <c r="AF95" s="391">
        <v>0</v>
      </c>
      <c r="AG95" s="390" t="str">
        <f t="shared" si="49"/>
        <v>PV4.4</v>
      </c>
      <c r="AH95" s="389">
        <f t="shared" si="50"/>
        <v>0</v>
      </c>
      <c r="AI95" s="389">
        <f t="shared" si="51"/>
        <v>0</v>
      </c>
      <c r="AJ95" s="389">
        <f t="shared" si="52"/>
        <v>0</v>
      </c>
      <c r="AK95" s="389">
        <f t="shared" si="53"/>
        <v>0</v>
      </c>
      <c r="AL95" s="389">
        <f t="shared" si="54"/>
        <v>0</v>
      </c>
      <c r="AM95" s="389">
        <f t="shared" si="55"/>
        <v>0</v>
      </c>
      <c r="AN95" s="389">
        <f t="shared" si="56"/>
        <v>0</v>
      </c>
      <c r="AO95" s="389">
        <f t="shared" si="57"/>
        <v>0</v>
      </c>
      <c r="AP95" s="389">
        <f t="shared" si="58"/>
        <v>0</v>
      </c>
      <c r="AQ95" s="382"/>
      <c r="AR95" s="388" t="str">
        <f t="shared" si="59"/>
        <v>ASFALTO</v>
      </c>
    </row>
    <row r="96" spans="2:44" x14ac:dyDescent="0.25">
      <c r="B96" s="393" t="s">
        <v>2620</v>
      </c>
      <c r="C96" s="391">
        <v>962.67700000000002</v>
      </c>
      <c r="D96" s="391">
        <v>961.84400000000005</v>
      </c>
      <c r="E96" s="391">
        <v>0.223</v>
      </c>
      <c r="F96" s="391">
        <v>6.1189999999999998</v>
      </c>
      <c r="G96" s="392">
        <v>0.7</v>
      </c>
      <c r="H96" s="391">
        <v>4.2830000000000004</v>
      </c>
      <c r="I96" s="391">
        <v>1.4999999999999999E-2</v>
      </c>
      <c r="J96" s="392">
        <v>17.46</v>
      </c>
      <c r="K96" s="392">
        <v>305.47000000000003</v>
      </c>
      <c r="L96" s="392">
        <v>50.64</v>
      </c>
      <c r="M96" s="392">
        <v>1308.46</v>
      </c>
      <c r="N96" s="393">
        <v>800</v>
      </c>
      <c r="O96" s="393"/>
      <c r="P96" s="392">
        <v>1.31</v>
      </c>
      <c r="Q96" s="392">
        <v>2.97</v>
      </c>
      <c r="R96" s="392">
        <v>0.65</v>
      </c>
      <c r="S96" s="392">
        <v>81.77</v>
      </c>
      <c r="T96" s="392">
        <v>2.42</v>
      </c>
      <c r="U96" s="392">
        <v>2.25</v>
      </c>
      <c r="V96" s="391">
        <v>960.25699999999995</v>
      </c>
      <c r="W96" s="391">
        <v>959.59400000000005</v>
      </c>
      <c r="X96" s="392">
        <v>0</v>
      </c>
      <c r="Y96" s="392" t="s">
        <v>2392</v>
      </c>
      <c r="Z96" s="392">
        <v>800</v>
      </c>
      <c r="AA96" s="392">
        <f t="shared" si="47"/>
        <v>1.9399348792242306</v>
      </c>
      <c r="AB96" s="392">
        <f t="shared" si="48"/>
        <v>11.199953739236216</v>
      </c>
      <c r="AC96" s="392" t="s">
        <v>2771</v>
      </c>
      <c r="AD96" s="391">
        <v>960.45899999999995</v>
      </c>
      <c r="AE96" s="391">
        <v>1</v>
      </c>
      <c r="AF96" s="391">
        <v>0</v>
      </c>
      <c r="AG96" s="390" t="str">
        <f t="shared" si="49"/>
        <v>PV12.1</v>
      </c>
      <c r="AH96" s="389">
        <f t="shared" si="50"/>
        <v>0</v>
      </c>
      <c r="AI96" s="389">
        <f t="shared" si="51"/>
        <v>1</v>
      </c>
      <c r="AJ96" s="389">
        <f t="shared" si="52"/>
        <v>0</v>
      </c>
      <c r="AK96" s="389">
        <f t="shared" si="53"/>
        <v>0</v>
      </c>
      <c r="AL96" s="389">
        <f t="shared" si="54"/>
        <v>0</v>
      </c>
      <c r="AM96" s="389">
        <f t="shared" si="55"/>
        <v>0</v>
      </c>
      <c r="AN96" s="389">
        <f t="shared" si="56"/>
        <v>0</v>
      </c>
      <c r="AO96" s="389">
        <f t="shared" si="57"/>
        <v>0</v>
      </c>
      <c r="AP96" s="389">
        <f t="shared" si="58"/>
        <v>0</v>
      </c>
      <c r="AQ96" s="382"/>
      <c r="AR96" s="388" t="str">
        <f t="shared" si="59"/>
        <v>ASFALTO</v>
      </c>
    </row>
    <row r="97" spans="2:44" x14ac:dyDescent="0.25">
      <c r="B97" s="393" t="s">
        <v>2770</v>
      </c>
      <c r="C97" s="391">
        <v>961.84400000000005</v>
      </c>
      <c r="D97" s="391">
        <v>960.99900000000002</v>
      </c>
      <c r="E97" s="391">
        <v>0.49199999999999999</v>
      </c>
      <c r="F97" s="391">
        <v>6.6109999999999998</v>
      </c>
      <c r="G97" s="392">
        <v>0.7</v>
      </c>
      <c r="H97" s="391">
        <v>4.6280000000000001</v>
      </c>
      <c r="I97" s="391">
        <v>1.4999999999999999E-2</v>
      </c>
      <c r="J97" s="392">
        <v>17.739999999999998</v>
      </c>
      <c r="K97" s="392">
        <v>303.01</v>
      </c>
      <c r="L97" s="392">
        <v>50.38</v>
      </c>
      <c r="M97" s="392">
        <v>1402.3</v>
      </c>
      <c r="N97" s="393">
        <v>800</v>
      </c>
      <c r="O97" s="393"/>
      <c r="P97" s="392">
        <v>1.58</v>
      </c>
      <c r="Q97" s="392">
        <v>3.26</v>
      </c>
      <c r="R97" s="392">
        <v>0.64</v>
      </c>
      <c r="S97" s="392">
        <v>79.69</v>
      </c>
      <c r="T97" s="392">
        <v>2.25</v>
      </c>
      <c r="U97" s="392">
        <v>2.2000000000000002</v>
      </c>
      <c r="V97" s="391">
        <v>959.59400000000005</v>
      </c>
      <c r="W97" s="391">
        <v>958.79899999999998</v>
      </c>
      <c r="X97" s="392">
        <v>0</v>
      </c>
      <c r="Y97" s="392" t="s">
        <v>2392</v>
      </c>
      <c r="Z97" s="392">
        <v>800</v>
      </c>
      <c r="AA97" s="392">
        <f t="shared" si="47"/>
        <v>1.9378199590498273</v>
      </c>
      <c r="AB97" s="392">
        <f t="shared" si="48"/>
        <v>11.142450027304909</v>
      </c>
      <c r="AC97" s="392" t="s">
        <v>2769</v>
      </c>
      <c r="AD97" s="391">
        <v>959.64300000000003</v>
      </c>
      <c r="AE97" s="391">
        <v>1</v>
      </c>
      <c r="AF97" s="391">
        <v>0</v>
      </c>
      <c r="AG97" s="390" t="str">
        <f t="shared" si="49"/>
        <v>PV13.1</v>
      </c>
      <c r="AH97" s="389">
        <f t="shared" si="50"/>
        <v>0</v>
      </c>
      <c r="AI97" s="389">
        <f t="shared" si="51"/>
        <v>1</v>
      </c>
      <c r="AJ97" s="389">
        <f t="shared" si="52"/>
        <v>0</v>
      </c>
      <c r="AK97" s="389">
        <f t="shared" si="53"/>
        <v>0</v>
      </c>
      <c r="AL97" s="389">
        <f t="shared" si="54"/>
        <v>0</v>
      </c>
      <c r="AM97" s="389">
        <f t="shared" si="55"/>
        <v>0</v>
      </c>
      <c r="AN97" s="389">
        <f t="shared" si="56"/>
        <v>0</v>
      </c>
      <c r="AO97" s="389">
        <f t="shared" si="57"/>
        <v>0</v>
      </c>
      <c r="AP97" s="389">
        <f t="shared" si="58"/>
        <v>0</v>
      </c>
      <c r="AQ97" s="382"/>
      <c r="AR97" s="388" t="str">
        <f t="shared" si="59"/>
        <v>ASFALTO</v>
      </c>
    </row>
    <row r="98" spans="2:44" x14ac:dyDescent="0.25">
      <c r="B98" s="393" t="s">
        <v>2768</v>
      </c>
      <c r="C98" s="391">
        <v>960.99900000000002</v>
      </c>
      <c r="D98" s="391">
        <v>960.04600000000005</v>
      </c>
      <c r="E98" s="391">
        <v>0.40200000000000002</v>
      </c>
      <c r="F98" s="391">
        <v>7.0129999999999999</v>
      </c>
      <c r="G98" s="392">
        <v>0.7</v>
      </c>
      <c r="H98" s="391">
        <v>4.9089999999999998</v>
      </c>
      <c r="I98" s="391">
        <v>1.4999999999999999E-2</v>
      </c>
      <c r="J98" s="392">
        <v>18</v>
      </c>
      <c r="K98" s="392">
        <v>300.82</v>
      </c>
      <c r="L98" s="392">
        <v>50.41</v>
      </c>
      <c r="M98" s="392">
        <v>1476.75</v>
      </c>
      <c r="N98" s="393">
        <v>800</v>
      </c>
      <c r="O98" s="393"/>
      <c r="P98" s="392">
        <v>1.89</v>
      </c>
      <c r="Q98" s="392">
        <v>3.56</v>
      </c>
      <c r="R98" s="392">
        <v>0.61</v>
      </c>
      <c r="S98" s="392">
        <v>76.83</v>
      </c>
      <c r="T98" s="392">
        <v>2.2000000000000002</v>
      </c>
      <c r="U98" s="392">
        <v>2.2000000000000002</v>
      </c>
      <c r="V98" s="391">
        <v>958.79899999999998</v>
      </c>
      <c r="W98" s="391">
        <v>957.846</v>
      </c>
      <c r="X98" s="392">
        <v>0</v>
      </c>
      <c r="Y98" s="392" t="s">
        <v>2392</v>
      </c>
      <c r="Z98" s="392">
        <v>800</v>
      </c>
      <c r="AA98" s="392">
        <f t="shared" si="47"/>
        <v>2.0752897703856119</v>
      </c>
      <c r="AB98" s="392">
        <f t="shared" si="48"/>
        <v>11.149085070989289</v>
      </c>
      <c r="AC98" s="392" t="s">
        <v>2767</v>
      </c>
      <c r="AD98" s="391">
        <v>957.69299999999998</v>
      </c>
      <c r="AE98" s="391">
        <v>1</v>
      </c>
      <c r="AF98" s="391">
        <v>0</v>
      </c>
      <c r="AG98" s="390" t="str">
        <f t="shared" si="49"/>
        <v>PV14.1</v>
      </c>
      <c r="AH98" s="389">
        <f t="shared" si="50"/>
        <v>0</v>
      </c>
      <c r="AI98" s="389">
        <f t="shared" si="51"/>
        <v>1</v>
      </c>
      <c r="AJ98" s="389">
        <f t="shared" si="52"/>
        <v>0</v>
      </c>
      <c r="AK98" s="389">
        <f t="shared" si="53"/>
        <v>0</v>
      </c>
      <c r="AL98" s="389">
        <f t="shared" si="54"/>
        <v>0</v>
      </c>
      <c r="AM98" s="389">
        <f t="shared" si="55"/>
        <v>0</v>
      </c>
      <c r="AN98" s="389">
        <f t="shared" si="56"/>
        <v>0</v>
      </c>
      <c r="AO98" s="389">
        <f t="shared" si="57"/>
        <v>0</v>
      </c>
      <c r="AP98" s="389">
        <f t="shared" si="58"/>
        <v>0</v>
      </c>
      <c r="AQ98" s="382"/>
      <c r="AR98" s="388" t="str">
        <f t="shared" si="59"/>
        <v>ASFALTO</v>
      </c>
    </row>
    <row r="99" spans="2:44" x14ac:dyDescent="0.25">
      <c r="B99" s="393" t="s">
        <v>2766</v>
      </c>
      <c r="C99" s="391">
        <v>960.04600000000005</v>
      </c>
      <c r="D99" s="391">
        <v>959.16700000000003</v>
      </c>
      <c r="E99" s="391">
        <v>0.41699999999999998</v>
      </c>
      <c r="F99" s="391">
        <v>7.43</v>
      </c>
      <c r="G99" s="392">
        <v>0.7</v>
      </c>
      <c r="H99" s="391">
        <v>5.2009999999999996</v>
      </c>
      <c r="I99" s="391">
        <v>1.4999999999999999E-2</v>
      </c>
      <c r="J99" s="392">
        <v>18.23</v>
      </c>
      <c r="K99" s="392">
        <v>298.83999999999997</v>
      </c>
      <c r="L99" s="392">
        <v>49.55</v>
      </c>
      <c r="M99" s="392">
        <v>1554.23</v>
      </c>
      <c r="N99" s="393">
        <v>800</v>
      </c>
      <c r="O99" s="393"/>
      <c r="P99" s="392">
        <v>1.87</v>
      </c>
      <c r="Q99" s="392">
        <v>3.56</v>
      </c>
      <c r="R99" s="392">
        <v>0.65</v>
      </c>
      <c r="S99" s="392">
        <v>81.150000000000006</v>
      </c>
      <c r="T99" s="392">
        <v>2.2000000000000002</v>
      </c>
      <c r="U99" s="392">
        <v>2.25</v>
      </c>
      <c r="V99" s="391">
        <v>957.846</v>
      </c>
      <c r="W99" s="391">
        <v>956.91700000000003</v>
      </c>
      <c r="X99" s="392">
        <v>0</v>
      </c>
      <c r="Y99" s="392" t="s">
        <v>2392</v>
      </c>
      <c r="Z99" s="392">
        <v>800</v>
      </c>
      <c r="AA99" s="392">
        <f t="shared" si="47"/>
        <v>2.0189333680913983</v>
      </c>
      <c r="AB99" s="392">
        <f t="shared" si="48"/>
        <v>10.958880485370349</v>
      </c>
      <c r="AC99" s="392" t="s">
        <v>2765</v>
      </c>
      <c r="AD99" s="391">
        <v>957.19299999999998</v>
      </c>
      <c r="AE99" s="391">
        <v>1</v>
      </c>
      <c r="AF99" s="391">
        <v>0</v>
      </c>
      <c r="AG99" s="390" t="str">
        <f t="shared" si="49"/>
        <v>PV15.1</v>
      </c>
      <c r="AH99" s="389">
        <f t="shared" si="50"/>
        <v>0</v>
      </c>
      <c r="AI99" s="389">
        <f t="shared" si="51"/>
        <v>1</v>
      </c>
      <c r="AJ99" s="389">
        <f t="shared" si="52"/>
        <v>0</v>
      </c>
      <c r="AK99" s="389">
        <f t="shared" si="53"/>
        <v>0</v>
      </c>
      <c r="AL99" s="389">
        <f t="shared" si="54"/>
        <v>0</v>
      </c>
      <c r="AM99" s="389">
        <f t="shared" si="55"/>
        <v>0</v>
      </c>
      <c r="AN99" s="389">
        <f t="shared" si="56"/>
        <v>0</v>
      </c>
      <c r="AO99" s="389">
        <f t="shared" si="57"/>
        <v>0</v>
      </c>
      <c r="AP99" s="389">
        <f t="shared" si="58"/>
        <v>0</v>
      </c>
      <c r="AQ99" s="382"/>
      <c r="AR99" s="388" t="str">
        <f t="shared" si="59"/>
        <v>ASFALTO</v>
      </c>
    </row>
    <row r="100" spans="2:44" x14ac:dyDescent="0.25">
      <c r="B100" s="393" t="s">
        <v>2764</v>
      </c>
      <c r="C100" s="391">
        <v>959.16700000000003</v>
      </c>
      <c r="D100" s="391">
        <v>958.07500000000005</v>
      </c>
      <c r="E100" s="391">
        <v>0.38300000000000001</v>
      </c>
      <c r="F100" s="391">
        <v>7.8129999999999997</v>
      </c>
      <c r="G100" s="392">
        <v>0.7</v>
      </c>
      <c r="H100" s="391">
        <v>5.4690000000000003</v>
      </c>
      <c r="I100" s="391">
        <v>1.4999999999999999E-2</v>
      </c>
      <c r="J100" s="392">
        <v>18.47</v>
      </c>
      <c r="K100" s="392">
        <v>296.92</v>
      </c>
      <c r="L100" s="392">
        <v>50.76</v>
      </c>
      <c r="M100" s="392">
        <v>1623.84</v>
      </c>
      <c r="N100" s="393">
        <v>800</v>
      </c>
      <c r="O100" s="393"/>
      <c r="P100" s="392">
        <v>2.25</v>
      </c>
      <c r="Q100" s="392">
        <v>3.89</v>
      </c>
      <c r="R100" s="392">
        <v>0.62</v>
      </c>
      <c r="S100" s="392">
        <v>77.38</v>
      </c>
      <c r="T100" s="392">
        <v>2.25</v>
      </c>
      <c r="U100" s="392">
        <v>2.2999999999999998</v>
      </c>
      <c r="V100" s="391">
        <v>956.91700000000003</v>
      </c>
      <c r="W100" s="391">
        <v>955.77499999999998</v>
      </c>
      <c r="X100" s="392">
        <v>0.3</v>
      </c>
      <c r="Y100" s="392" t="s">
        <v>2392</v>
      </c>
      <c r="Z100" s="392">
        <v>800</v>
      </c>
      <c r="AA100" s="392">
        <f t="shared" si="47"/>
        <v>1.9966645027256815</v>
      </c>
      <c r="AB100" s="392">
        <f t="shared" si="48"/>
        <v>11.226493913973741</v>
      </c>
      <c r="AC100" s="392" t="s">
        <v>2763</v>
      </c>
      <c r="AD100" s="391">
        <v>956.49300000000005</v>
      </c>
      <c r="AE100" s="391">
        <v>1</v>
      </c>
      <c r="AF100" s="391">
        <v>0</v>
      </c>
      <c r="AG100" s="390" t="str">
        <f t="shared" si="49"/>
        <v>PV16.1</v>
      </c>
      <c r="AH100" s="389">
        <f t="shared" si="50"/>
        <v>0</v>
      </c>
      <c r="AI100" s="389">
        <f t="shared" si="51"/>
        <v>1</v>
      </c>
      <c r="AJ100" s="389">
        <f t="shared" si="52"/>
        <v>0</v>
      </c>
      <c r="AK100" s="389">
        <f t="shared" si="53"/>
        <v>0</v>
      </c>
      <c r="AL100" s="389">
        <f t="shared" si="54"/>
        <v>0</v>
      </c>
      <c r="AM100" s="389">
        <f t="shared" si="55"/>
        <v>0</v>
      </c>
      <c r="AN100" s="389">
        <f t="shared" si="56"/>
        <v>0</v>
      </c>
      <c r="AO100" s="389">
        <f t="shared" si="57"/>
        <v>0</v>
      </c>
      <c r="AP100" s="389">
        <f t="shared" si="58"/>
        <v>0</v>
      </c>
      <c r="AQ100" s="382"/>
      <c r="AR100" s="388" t="str">
        <f t="shared" si="59"/>
        <v>ASFALTO</v>
      </c>
    </row>
    <row r="101" spans="2:44" ht="13" x14ac:dyDescent="0.25">
      <c r="B101" s="398" t="s">
        <v>2467</v>
      </c>
      <c r="C101" s="396"/>
      <c r="D101" s="396"/>
      <c r="E101" s="396"/>
      <c r="F101" s="396"/>
      <c r="G101" s="396"/>
      <c r="H101" s="396"/>
      <c r="I101" s="396"/>
      <c r="J101" s="395"/>
      <c r="K101" s="395"/>
      <c r="L101" s="395"/>
      <c r="M101" s="395"/>
      <c r="N101" s="397"/>
      <c r="O101" s="397"/>
      <c r="P101" s="395"/>
      <c r="Q101" s="395"/>
      <c r="R101" s="395"/>
      <c r="S101" s="395"/>
      <c r="T101" s="395"/>
      <c r="U101" s="395"/>
      <c r="V101" s="396"/>
      <c r="W101" s="396"/>
      <c r="X101" s="395"/>
      <c r="Y101" s="392"/>
      <c r="Z101" s="392"/>
      <c r="AA101" s="392"/>
      <c r="AB101" s="392"/>
      <c r="AC101" s="392"/>
      <c r="AD101" s="391"/>
      <c r="AE101" s="391"/>
      <c r="AF101" s="391"/>
      <c r="AG101" s="390"/>
      <c r="AH101" s="389"/>
      <c r="AI101" s="389"/>
      <c r="AJ101" s="389"/>
      <c r="AK101" s="389"/>
      <c r="AL101" s="389"/>
      <c r="AM101" s="389"/>
      <c r="AN101" s="389"/>
      <c r="AO101" s="389"/>
      <c r="AP101" s="389"/>
      <c r="AQ101" s="382"/>
      <c r="AR101" s="388">
        <f t="shared" si="59"/>
        <v>0</v>
      </c>
    </row>
    <row r="102" spans="2:44" x14ac:dyDescent="0.25">
      <c r="B102" s="393" t="s">
        <v>2597</v>
      </c>
      <c r="C102" s="391">
        <v>941.33299999999997</v>
      </c>
      <c r="D102" s="391">
        <v>940.61400000000003</v>
      </c>
      <c r="E102" s="391">
        <v>9.5779999999999994</v>
      </c>
      <c r="F102" s="391">
        <v>9.5779999999999994</v>
      </c>
      <c r="G102" s="392">
        <v>0.7</v>
      </c>
      <c r="H102" s="391">
        <v>6.7039999999999997</v>
      </c>
      <c r="I102" s="391">
        <v>1.4999999999999999E-2</v>
      </c>
      <c r="J102" s="392">
        <v>21.82</v>
      </c>
      <c r="K102" s="392">
        <v>271.95</v>
      </c>
      <c r="L102" s="392">
        <v>40.17</v>
      </c>
      <c r="M102" s="392">
        <v>1823.29</v>
      </c>
      <c r="N102" s="393">
        <v>1000</v>
      </c>
      <c r="O102" s="393"/>
      <c r="P102" s="392">
        <v>2.91</v>
      </c>
      <c r="Q102" s="392">
        <v>4.55</v>
      </c>
      <c r="R102" s="392">
        <v>0.51</v>
      </c>
      <c r="S102" s="392">
        <v>50.85</v>
      </c>
      <c r="T102" s="392">
        <v>2</v>
      </c>
      <c r="U102" s="392">
        <v>2.4500000000000002</v>
      </c>
      <c r="V102" s="391">
        <v>939.33299999999997</v>
      </c>
      <c r="W102" s="391">
        <v>938.16399999999999</v>
      </c>
      <c r="X102" s="392">
        <v>0</v>
      </c>
      <c r="Y102" s="392" t="s">
        <v>2751</v>
      </c>
      <c r="Z102" s="392">
        <v>800</v>
      </c>
      <c r="AA102" s="392">
        <f>IFERROR(IF(Z102&lt;=600,(PI()*0.72*0.72/4-PI()*0.6*0.6/4)*(C102-AD102)+(1.3*1.3-1.1*1.1)*1.6,IF(Z102=800,(PI()*0.72*0.72/4-PI()*0.6*0.6/4)*(C102-AD102)+(1.5*1.5-1.1*1.1)*1.6,IF(Z102=1000,(PI()*0.72*0.72/4-PI()*0.6*0.6/4)*(C102-AD102)+(1.94*1.94-1.5*1.5)*2.25,IF(Z102=1200,(PI()*0.72*0.72/4-PI()*0.6*0.6/4)*(C102-AD102)+(-1.8*1.8+2.14*2.14)*2.25,IF(Z102=1500,(PI()*0.72*0.72/4-PI()*0.6*0.6/4)*(C102-AD102)+(-2.2*2.2+2.44*2.44)*2.65,0))))),0)</f>
        <v>1.8723818407126052</v>
      </c>
      <c r="AB102" s="392">
        <f t="shared" ref="AB102:AB112" si="60">L102*IF(Z102&lt;=600,PI()*(0.06*2+Z102/1000)*(0.06*2+Z102/1000)/4-PI()*(Z102/1000)*(Z102/1000)/4,IF(Z102=800,PI()*(0.08*2+Z102/1000)*(0.08*2+Z102/1000)/4-PI()*(Z102/1000)*(Z102/1000)/4,IF(Z102&lt;=1000,PI()*(0.1*2+Z102/1000)*(0.1*2+Z102/1000)/4-PI()*(Z102/1000)*(Z102/1000)/4,IF(Z102&lt;=1200,PI()*(0.12*2+Z102/1000)*(0.12*2+Z102/1000)/4-PI()*(Z102/1000)*(Z102/1000)/4,IF(Z102&lt;=1500,PI()*(0.15*2+Z102/1000)*(0.15*2+Z102/1000)/4-PI()*(Z102/1000)*(Z102/1000)/4,0)))))</f>
        <v>8.8843234933870221</v>
      </c>
      <c r="AC102" s="392" t="s">
        <v>2762</v>
      </c>
      <c r="AD102" s="391">
        <v>939.65800000000002</v>
      </c>
      <c r="AE102" s="391">
        <v>1</v>
      </c>
      <c r="AF102" s="391">
        <v>0</v>
      </c>
      <c r="AG102" s="390" t="str">
        <f t="shared" ref="AG102:AG114" si="61">IF(OR(RIGHT(LEFT(B102,7),1)="&gt;",RIGHT(LEFT(B102,7),1)="-"),IF(OR(RIGHT(LEFT(B102,6),1)="&gt;",RIGHT(LEFT(B102,6),1)="-"),LEFT(B102,5),LEFT(B102,6)),LEFT(B102,7))</f>
        <v>PV1.1</v>
      </c>
      <c r="AH102" s="389">
        <f t="shared" ref="AH102:AH114" si="62">COUNTIF(N102,600)</f>
        <v>0</v>
      </c>
      <c r="AI102" s="389">
        <f t="shared" ref="AI102:AI114" si="63">COUNTIF(N102,800)</f>
        <v>0</v>
      </c>
      <c r="AJ102" s="389">
        <f t="shared" ref="AJ102:AJ114" si="64">COUNTIF(N102,1000)</f>
        <v>1</v>
      </c>
      <c r="AK102" s="389">
        <f t="shared" ref="AK102:AK114" si="65">COUNTIF(N102,1200)</f>
        <v>0</v>
      </c>
      <c r="AL102" s="389">
        <f t="shared" ref="AL102:AL114" si="66">COUNTIF(N102,1500)</f>
        <v>0</v>
      </c>
      <c r="AM102" s="389">
        <f t="shared" ref="AM102:AM114" si="67">COUNTIF(N102,1650)</f>
        <v>0</v>
      </c>
      <c r="AN102" s="389">
        <f t="shared" ref="AN102:AN114" si="68">AM102*IF((T102+U102)/2-1.65&lt;=2,1,0)</f>
        <v>0</v>
      </c>
      <c r="AO102" s="389">
        <f t="shared" ref="AO102:AO114" si="69">AM102*IF((T102+U102)/2-1.65&lt;=3,1,0)-AN102</f>
        <v>0</v>
      </c>
      <c r="AP102" s="389">
        <f t="shared" ref="AP102:AP114" si="70">AM102*IF((T102+U102)/2-1.65&lt;=4,1,0)-AN102-AO102</f>
        <v>0</v>
      </c>
      <c r="AQ102" s="382"/>
      <c r="AR102" s="388" t="str">
        <f t="shared" si="59"/>
        <v>TERRENO NATURAL</v>
      </c>
    </row>
    <row r="103" spans="2:44" x14ac:dyDescent="0.25">
      <c r="B103" s="393" t="s">
        <v>2599</v>
      </c>
      <c r="C103" s="391">
        <v>940.61400000000003</v>
      </c>
      <c r="D103" s="391">
        <v>938.995</v>
      </c>
      <c r="E103" s="391">
        <v>0</v>
      </c>
      <c r="F103" s="391">
        <v>9.5779999999999994</v>
      </c>
      <c r="G103" s="392">
        <v>0.7</v>
      </c>
      <c r="H103" s="391">
        <v>6.7039999999999997</v>
      </c>
      <c r="I103" s="391">
        <v>1.4999999999999999E-2</v>
      </c>
      <c r="J103" s="392">
        <v>21.97</v>
      </c>
      <c r="K103" s="392">
        <v>270.95999999999998</v>
      </c>
      <c r="L103" s="392">
        <v>40.17</v>
      </c>
      <c r="M103" s="392">
        <v>1816.65</v>
      </c>
      <c r="N103" s="393">
        <v>1000</v>
      </c>
      <c r="O103" s="393"/>
      <c r="P103" s="392">
        <v>2.91</v>
      </c>
      <c r="Q103" s="392">
        <v>4.54</v>
      </c>
      <c r="R103" s="392">
        <v>0.51</v>
      </c>
      <c r="S103" s="392">
        <v>50.74</v>
      </c>
      <c r="T103" s="392">
        <v>2.4500000000000002</v>
      </c>
      <c r="U103" s="392">
        <v>2</v>
      </c>
      <c r="V103" s="391">
        <v>938.16399999999999</v>
      </c>
      <c r="W103" s="391">
        <v>936.995</v>
      </c>
      <c r="X103" s="392">
        <v>0</v>
      </c>
      <c r="Y103" s="392" t="s">
        <v>2751</v>
      </c>
      <c r="Z103" s="392">
        <v>800</v>
      </c>
      <c r="AA103" s="392">
        <v>0</v>
      </c>
      <c r="AB103" s="392">
        <f t="shared" si="60"/>
        <v>8.8843234933870221</v>
      </c>
      <c r="AC103" s="392" t="s">
        <v>2762</v>
      </c>
      <c r="AD103" s="391">
        <v>939.65800000000002</v>
      </c>
      <c r="AE103" s="391">
        <v>0</v>
      </c>
      <c r="AF103" s="391">
        <v>0</v>
      </c>
      <c r="AG103" s="390" t="str">
        <f t="shared" si="61"/>
        <v>PV2.1</v>
      </c>
      <c r="AH103" s="389">
        <f t="shared" si="62"/>
        <v>0</v>
      </c>
      <c r="AI103" s="389">
        <f t="shared" si="63"/>
        <v>0</v>
      </c>
      <c r="AJ103" s="389">
        <f t="shared" si="64"/>
        <v>1</v>
      </c>
      <c r="AK103" s="389">
        <f t="shared" si="65"/>
        <v>0</v>
      </c>
      <c r="AL103" s="389">
        <f t="shared" si="66"/>
        <v>0</v>
      </c>
      <c r="AM103" s="389">
        <f t="shared" si="67"/>
        <v>0</v>
      </c>
      <c r="AN103" s="389">
        <f t="shared" si="68"/>
        <v>0</v>
      </c>
      <c r="AO103" s="389">
        <f t="shared" si="69"/>
        <v>0</v>
      </c>
      <c r="AP103" s="389">
        <f t="shared" si="70"/>
        <v>0</v>
      </c>
      <c r="AQ103" s="382"/>
      <c r="AR103" s="388" t="str">
        <f t="shared" si="59"/>
        <v>TERRENO NATURAL</v>
      </c>
    </row>
    <row r="104" spans="2:44" x14ac:dyDescent="0.25">
      <c r="B104" s="393" t="s">
        <v>2600</v>
      </c>
      <c r="C104" s="391">
        <v>938.995</v>
      </c>
      <c r="D104" s="391">
        <v>938.83100000000002</v>
      </c>
      <c r="E104" s="391">
        <v>0.17399999999999999</v>
      </c>
      <c r="F104" s="391">
        <v>9.7509999999999994</v>
      </c>
      <c r="G104" s="392">
        <v>0.7</v>
      </c>
      <c r="H104" s="391">
        <v>6.8259999999999996</v>
      </c>
      <c r="I104" s="391">
        <v>1.4999999999999999E-2</v>
      </c>
      <c r="J104" s="392">
        <v>22.11</v>
      </c>
      <c r="K104" s="392">
        <v>269.98</v>
      </c>
      <c r="L104" s="392">
        <v>56.93</v>
      </c>
      <c r="M104" s="392">
        <v>1842.87</v>
      </c>
      <c r="N104" s="393">
        <v>1000</v>
      </c>
      <c r="O104" s="393"/>
      <c r="P104" s="392">
        <v>0.99</v>
      </c>
      <c r="Q104" s="392">
        <v>2.98</v>
      </c>
      <c r="R104" s="392">
        <v>0.74</v>
      </c>
      <c r="S104" s="392">
        <v>73.510000000000005</v>
      </c>
      <c r="T104" s="392">
        <v>2</v>
      </c>
      <c r="U104" s="392">
        <v>2.4</v>
      </c>
      <c r="V104" s="391">
        <v>936.995</v>
      </c>
      <c r="W104" s="391">
        <v>936.43100000000004</v>
      </c>
      <c r="X104" s="392">
        <v>0.2</v>
      </c>
      <c r="Y104" s="392" t="s">
        <v>2751</v>
      </c>
      <c r="Z104" s="392">
        <v>1000</v>
      </c>
      <c r="AA104" s="392">
        <f t="shared" ref="AA104:AA112" si="71">IFERROR(IF(Z104&lt;=600,(PI()*0.72*0.72/4-PI()*0.6*0.6/4)*(C104-AD104)+(1.3*1.3-1.1*1.1)*1.6,IF(Z104=800,(PI()*0.72*0.72/4-PI()*0.6*0.6/4)*(C104-AD104)+(1.5*1.5-1.1*1.1)*1.6,IF(Z104=1000,(PI()*0.72*0.72/4-PI()*0.6*0.6/4)*(C104-AD104)+(1.94*1.94-1.5*1.5)*2.25,IF(Z104=1200,(PI()*0.72*0.72/4-PI()*0.6*0.6/4)*(C104-AD104)+(-1.8*1.8+2.14*2.14)*2.25,IF(Z104=1500,(PI()*0.72*0.72/4-PI()*0.6*0.6/4)*(C104-AD104)+(-2.2*2.2+2.44*2.44)*2.65,0))))),0)</f>
        <v>3.6565290583387147</v>
      </c>
      <c r="AB104" s="392">
        <f t="shared" si="60"/>
        <v>19.673595674575363</v>
      </c>
      <c r="AC104" s="392" t="s">
        <v>2761</v>
      </c>
      <c r="AD104" s="391">
        <v>936.97799999999995</v>
      </c>
      <c r="AE104" s="391">
        <v>1</v>
      </c>
      <c r="AF104" s="391">
        <v>0</v>
      </c>
      <c r="AG104" s="390" t="str">
        <f t="shared" si="61"/>
        <v>PV3.1</v>
      </c>
      <c r="AH104" s="389">
        <f t="shared" si="62"/>
        <v>0</v>
      </c>
      <c r="AI104" s="389">
        <f t="shared" si="63"/>
        <v>0</v>
      </c>
      <c r="AJ104" s="389">
        <f t="shared" si="64"/>
        <v>1</v>
      </c>
      <c r="AK104" s="389">
        <f t="shared" si="65"/>
        <v>0</v>
      </c>
      <c r="AL104" s="389">
        <f t="shared" si="66"/>
        <v>0</v>
      </c>
      <c r="AM104" s="389">
        <f t="shared" si="67"/>
        <v>0</v>
      </c>
      <c r="AN104" s="389">
        <f t="shared" si="68"/>
        <v>0</v>
      </c>
      <c r="AO104" s="389">
        <f t="shared" si="69"/>
        <v>0</v>
      </c>
      <c r="AP104" s="389">
        <f t="shared" si="70"/>
        <v>0</v>
      </c>
      <c r="AQ104" s="382"/>
      <c r="AR104" s="388" t="str">
        <f t="shared" si="59"/>
        <v>TERRENO NATURAL</v>
      </c>
    </row>
    <row r="105" spans="2:44" x14ac:dyDescent="0.25">
      <c r="B105" s="393" t="s">
        <v>2602</v>
      </c>
      <c r="C105" s="391">
        <v>938.83100000000002</v>
      </c>
      <c r="D105" s="391">
        <v>939.06700000000001</v>
      </c>
      <c r="E105" s="391">
        <v>0.11700000000000001</v>
      </c>
      <c r="F105" s="391">
        <v>9.8689999999999998</v>
      </c>
      <c r="G105" s="392">
        <v>0.7</v>
      </c>
      <c r="H105" s="391">
        <v>6.9080000000000004</v>
      </c>
      <c r="I105" s="391">
        <v>1.4999999999999999E-2</v>
      </c>
      <c r="J105" s="392">
        <v>22.43</v>
      </c>
      <c r="K105" s="392">
        <v>267.88</v>
      </c>
      <c r="L105" s="392">
        <v>56.93</v>
      </c>
      <c r="M105" s="392">
        <v>1850.53</v>
      </c>
      <c r="N105" s="393">
        <v>1200</v>
      </c>
      <c r="O105" s="393"/>
      <c r="P105" s="392">
        <v>0.46</v>
      </c>
      <c r="Q105" s="392">
        <v>2.2599999999999998</v>
      </c>
      <c r="R105" s="392">
        <v>0.82</v>
      </c>
      <c r="S105" s="392">
        <v>67.959999999999994</v>
      </c>
      <c r="T105" s="392">
        <v>2.6</v>
      </c>
      <c r="U105" s="392">
        <v>3.1</v>
      </c>
      <c r="V105" s="391">
        <v>936.23099999999999</v>
      </c>
      <c r="W105" s="391">
        <v>935.96699999999998</v>
      </c>
      <c r="X105" s="392">
        <v>0</v>
      </c>
      <c r="Y105" s="392" t="s">
        <v>2751</v>
      </c>
      <c r="Z105" s="392">
        <v>1000</v>
      </c>
      <c r="AA105" s="392">
        <f t="shared" si="71"/>
        <v>3.7390109451401852</v>
      </c>
      <c r="AB105" s="392">
        <f t="shared" si="60"/>
        <v>19.673595674575363</v>
      </c>
      <c r="AC105" s="392" t="s">
        <v>2760</v>
      </c>
      <c r="AD105" s="391">
        <v>936.15099999999995</v>
      </c>
      <c r="AE105" s="391">
        <v>1</v>
      </c>
      <c r="AF105" s="391">
        <v>0</v>
      </c>
      <c r="AG105" s="390" t="str">
        <f t="shared" si="61"/>
        <v>PV4.1</v>
      </c>
      <c r="AH105" s="389">
        <f t="shared" si="62"/>
        <v>0</v>
      </c>
      <c r="AI105" s="389">
        <f t="shared" si="63"/>
        <v>0</v>
      </c>
      <c r="AJ105" s="389">
        <f t="shared" si="64"/>
        <v>0</v>
      </c>
      <c r="AK105" s="389">
        <f t="shared" si="65"/>
        <v>1</v>
      </c>
      <c r="AL105" s="389">
        <f t="shared" si="66"/>
        <v>0</v>
      </c>
      <c r="AM105" s="389">
        <f t="shared" si="67"/>
        <v>0</v>
      </c>
      <c r="AN105" s="389">
        <f t="shared" si="68"/>
        <v>0</v>
      </c>
      <c r="AO105" s="389">
        <f t="shared" si="69"/>
        <v>0</v>
      </c>
      <c r="AP105" s="389">
        <f t="shared" si="70"/>
        <v>0</v>
      </c>
      <c r="AQ105" s="382"/>
      <c r="AR105" s="388" t="str">
        <f t="shared" si="59"/>
        <v>TERRENO NATURAL</v>
      </c>
    </row>
    <row r="106" spans="2:44" x14ac:dyDescent="0.25">
      <c r="B106" s="393" t="s">
        <v>2759</v>
      </c>
      <c r="C106" s="391">
        <v>940.26700000000005</v>
      </c>
      <c r="D106" s="391">
        <v>939.06700000000001</v>
      </c>
      <c r="E106" s="391">
        <v>1.7989999999999999</v>
      </c>
      <c r="F106" s="391">
        <v>1.7989999999999999</v>
      </c>
      <c r="G106" s="392">
        <v>0.7</v>
      </c>
      <c r="H106" s="391">
        <v>1.2589999999999999</v>
      </c>
      <c r="I106" s="391">
        <v>1.4999999999999999E-2</v>
      </c>
      <c r="J106" s="392">
        <v>16.670000000000002</v>
      </c>
      <c r="K106" s="392">
        <v>312.54000000000002</v>
      </c>
      <c r="L106" s="392">
        <v>50.46</v>
      </c>
      <c r="M106" s="392">
        <v>393.62</v>
      </c>
      <c r="N106" s="393">
        <v>800</v>
      </c>
      <c r="O106" s="393"/>
      <c r="P106" s="392">
        <v>2.38</v>
      </c>
      <c r="Q106" s="392">
        <v>2.83</v>
      </c>
      <c r="R106" s="392">
        <v>0.26</v>
      </c>
      <c r="S106" s="392">
        <v>32.07</v>
      </c>
      <c r="T106" s="392">
        <v>1.9</v>
      </c>
      <c r="U106" s="392">
        <v>1.9</v>
      </c>
      <c r="V106" s="391">
        <v>938.36699999999996</v>
      </c>
      <c r="W106" s="391">
        <v>937.16700000000003</v>
      </c>
      <c r="X106" s="392">
        <v>1.2</v>
      </c>
      <c r="Y106" s="392" t="s">
        <v>2392</v>
      </c>
      <c r="Z106" s="392">
        <v>500</v>
      </c>
      <c r="AA106" s="392">
        <f t="shared" si="71"/>
        <v>1.0786444514981519</v>
      </c>
      <c r="AB106" s="392">
        <f t="shared" si="60"/>
        <v>5.3264321140847377</v>
      </c>
      <c r="AC106" s="392" t="s">
        <v>2758</v>
      </c>
      <c r="AD106" s="391">
        <v>937.77</v>
      </c>
      <c r="AE106" s="391">
        <v>1</v>
      </c>
      <c r="AF106" s="391">
        <v>0</v>
      </c>
      <c r="AG106" s="390" t="str">
        <f t="shared" si="61"/>
        <v>PV1.2</v>
      </c>
      <c r="AH106" s="389">
        <f t="shared" si="62"/>
        <v>0</v>
      </c>
      <c r="AI106" s="389">
        <f t="shared" si="63"/>
        <v>1</v>
      </c>
      <c r="AJ106" s="389">
        <f t="shared" si="64"/>
        <v>0</v>
      </c>
      <c r="AK106" s="389">
        <f t="shared" si="65"/>
        <v>0</v>
      </c>
      <c r="AL106" s="389">
        <f t="shared" si="66"/>
        <v>0</v>
      </c>
      <c r="AM106" s="389">
        <f t="shared" si="67"/>
        <v>0</v>
      </c>
      <c r="AN106" s="389">
        <f t="shared" si="68"/>
        <v>0</v>
      </c>
      <c r="AO106" s="389">
        <f t="shared" si="69"/>
        <v>0</v>
      </c>
      <c r="AP106" s="389">
        <f t="shared" si="70"/>
        <v>0</v>
      </c>
      <c r="AQ106" s="382"/>
      <c r="AR106" s="388" t="str">
        <f t="shared" si="59"/>
        <v>ASFALTO</v>
      </c>
    </row>
    <row r="107" spans="2:44" x14ac:dyDescent="0.25">
      <c r="B107" s="393" t="s">
        <v>2604</v>
      </c>
      <c r="C107" s="391">
        <v>939.06700000000001</v>
      </c>
      <c r="D107" s="391">
        <v>938.60599999999999</v>
      </c>
      <c r="E107" s="391">
        <v>0.214</v>
      </c>
      <c r="F107" s="391">
        <v>11.882</v>
      </c>
      <c r="G107" s="392">
        <v>0.7</v>
      </c>
      <c r="H107" s="391">
        <v>8.3170000000000002</v>
      </c>
      <c r="I107" s="391">
        <v>1.4999999999999999E-2</v>
      </c>
      <c r="J107" s="392">
        <v>22.85</v>
      </c>
      <c r="K107" s="392">
        <v>265.17</v>
      </c>
      <c r="L107" s="392">
        <v>35</v>
      </c>
      <c r="M107" s="392">
        <v>2205.48</v>
      </c>
      <c r="N107" s="393">
        <v>1200</v>
      </c>
      <c r="O107" s="393"/>
      <c r="P107" s="392">
        <v>1.6</v>
      </c>
      <c r="Q107" s="392">
        <v>3.81</v>
      </c>
      <c r="R107" s="392">
        <v>0.61</v>
      </c>
      <c r="S107" s="392">
        <v>50.9</v>
      </c>
      <c r="T107" s="392">
        <v>3.1</v>
      </c>
      <c r="U107" s="392">
        <v>3.2</v>
      </c>
      <c r="V107" s="391">
        <v>935.96699999999998</v>
      </c>
      <c r="W107" s="391">
        <v>935.40599999999995</v>
      </c>
      <c r="X107" s="392">
        <v>0</v>
      </c>
      <c r="Y107" s="392" t="s">
        <v>2751</v>
      </c>
      <c r="Z107" s="392">
        <v>1200</v>
      </c>
      <c r="AA107" s="392">
        <f t="shared" si="71"/>
        <v>3.4372084419484064</v>
      </c>
      <c r="AB107" s="392">
        <f t="shared" si="60"/>
        <v>17.416989671501813</v>
      </c>
      <c r="AC107" s="392" t="s">
        <v>2757</v>
      </c>
      <c r="AD107" s="391">
        <v>935.66600000000005</v>
      </c>
      <c r="AE107" s="391">
        <v>1</v>
      </c>
      <c r="AF107" s="391">
        <v>0</v>
      </c>
      <c r="AG107" s="390" t="str">
        <f t="shared" si="61"/>
        <v>PV5.1</v>
      </c>
      <c r="AH107" s="389">
        <f t="shared" si="62"/>
        <v>0</v>
      </c>
      <c r="AI107" s="389">
        <f t="shared" si="63"/>
        <v>0</v>
      </c>
      <c r="AJ107" s="389">
        <f t="shared" si="64"/>
        <v>0</v>
      </c>
      <c r="AK107" s="389">
        <f t="shared" si="65"/>
        <v>1</v>
      </c>
      <c r="AL107" s="389">
        <f t="shared" si="66"/>
        <v>0</v>
      </c>
      <c r="AM107" s="389">
        <f t="shared" si="67"/>
        <v>0</v>
      </c>
      <c r="AN107" s="389">
        <f t="shared" si="68"/>
        <v>0</v>
      </c>
      <c r="AO107" s="389">
        <f t="shared" si="69"/>
        <v>0</v>
      </c>
      <c r="AP107" s="389">
        <f t="shared" si="70"/>
        <v>0</v>
      </c>
      <c r="AQ107" s="382"/>
      <c r="AR107" s="388" t="str">
        <f t="shared" si="59"/>
        <v>TERRENO NATURAL</v>
      </c>
    </row>
    <row r="108" spans="2:44" x14ac:dyDescent="0.25">
      <c r="B108" s="393" t="s">
        <v>2605</v>
      </c>
      <c r="C108" s="391">
        <v>938.60599999999999</v>
      </c>
      <c r="D108" s="391">
        <v>938.94299999999998</v>
      </c>
      <c r="E108" s="391">
        <v>8.5999999999999993E-2</v>
      </c>
      <c r="F108" s="391">
        <v>11.968</v>
      </c>
      <c r="G108" s="392">
        <v>0.7</v>
      </c>
      <c r="H108" s="391">
        <v>8.3780000000000001</v>
      </c>
      <c r="I108" s="391">
        <v>1.4999999999999999E-2</v>
      </c>
      <c r="J108" s="392">
        <v>23.01</v>
      </c>
      <c r="K108" s="392">
        <v>264.2</v>
      </c>
      <c r="L108" s="392">
        <v>60</v>
      </c>
      <c r="M108" s="392">
        <v>2213.38</v>
      </c>
      <c r="N108" s="393">
        <v>1200</v>
      </c>
      <c r="O108" s="393"/>
      <c r="P108" s="392">
        <v>0.44</v>
      </c>
      <c r="Q108" s="392">
        <v>2.25</v>
      </c>
      <c r="R108" s="392">
        <v>0.97</v>
      </c>
      <c r="S108" s="392">
        <v>81.05</v>
      </c>
      <c r="T108" s="392">
        <v>3.2</v>
      </c>
      <c r="U108" s="392">
        <v>3.8</v>
      </c>
      <c r="V108" s="391">
        <v>935.40599999999995</v>
      </c>
      <c r="W108" s="391">
        <v>935.14300000000003</v>
      </c>
      <c r="X108" s="392">
        <v>0</v>
      </c>
      <c r="Y108" s="392" t="s">
        <v>2751</v>
      </c>
      <c r="Z108" s="392">
        <v>1200</v>
      </c>
      <c r="AA108" s="392">
        <f t="shared" si="71"/>
        <v>3.4016280201909166</v>
      </c>
      <c r="AB108" s="392">
        <f t="shared" si="60"/>
        <v>29.857696579717398</v>
      </c>
      <c r="AC108" s="392" t="s">
        <v>2756</v>
      </c>
      <c r="AD108" s="391">
        <v>935.49099999999999</v>
      </c>
      <c r="AE108" s="391">
        <v>0</v>
      </c>
      <c r="AF108" s="391">
        <v>0</v>
      </c>
      <c r="AG108" s="390" t="str">
        <f t="shared" si="61"/>
        <v>PV6.1</v>
      </c>
      <c r="AH108" s="389">
        <f t="shared" si="62"/>
        <v>0</v>
      </c>
      <c r="AI108" s="389">
        <f t="shared" si="63"/>
        <v>0</v>
      </c>
      <c r="AJ108" s="389">
        <f t="shared" si="64"/>
        <v>0</v>
      </c>
      <c r="AK108" s="389">
        <f t="shared" si="65"/>
        <v>1</v>
      </c>
      <c r="AL108" s="389">
        <f t="shared" si="66"/>
        <v>0</v>
      </c>
      <c r="AM108" s="389">
        <f t="shared" si="67"/>
        <v>0</v>
      </c>
      <c r="AN108" s="389">
        <f t="shared" si="68"/>
        <v>0</v>
      </c>
      <c r="AO108" s="389">
        <f t="shared" si="69"/>
        <v>0</v>
      </c>
      <c r="AP108" s="389">
        <f t="shared" si="70"/>
        <v>0</v>
      </c>
      <c r="AQ108" s="382"/>
      <c r="AR108" s="388" t="str">
        <f t="shared" si="59"/>
        <v>TERRENO NATURAL</v>
      </c>
    </row>
    <row r="109" spans="2:44" x14ac:dyDescent="0.25">
      <c r="B109" s="393" t="s">
        <v>2607</v>
      </c>
      <c r="C109" s="391">
        <v>938.94299999999998</v>
      </c>
      <c r="D109" s="391">
        <v>938.69600000000003</v>
      </c>
      <c r="E109" s="391">
        <v>0.28100000000000003</v>
      </c>
      <c r="F109" s="391">
        <v>12.249000000000001</v>
      </c>
      <c r="G109" s="392">
        <v>0.7</v>
      </c>
      <c r="H109" s="391">
        <v>8.5739999999999998</v>
      </c>
      <c r="I109" s="391">
        <v>1.4999999999999999E-2</v>
      </c>
      <c r="J109" s="392">
        <v>23.45</v>
      </c>
      <c r="K109" s="392">
        <v>261.42</v>
      </c>
      <c r="L109" s="392">
        <v>60</v>
      </c>
      <c r="M109" s="392">
        <v>2241.5300000000002</v>
      </c>
      <c r="N109" s="393">
        <v>1200</v>
      </c>
      <c r="O109" s="393"/>
      <c r="P109" s="392">
        <v>0.57999999999999996</v>
      </c>
      <c r="Q109" s="392">
        <v>2.56</v>
      </c>
      <c r="R109" s="392">
        <v>0.87</v>
      </c>
      <c r="S109" s="392">
        <v>72.31</v>
      </c>
      <c r="T109" s="392">
        <v>3.8</v>
      </c>
      <c r="U109" s="392">
        <v>3.9</v>
      </c>
      <c r="V109" s="391">
        <v>935.14300000000003</v>
      </c>
      <c r="W109" s="391">
        <v>934.79600000000005</v>
      </c>
      <c r="X109" s="392">
        <v>0.3</v>
      </c>
      <c r="Y109" s="392" t="s">
        <v>2751</v>
      </c>
      <c r="Z109" s="392">
        <v>1200</v>
      </c>
      <c r="AA109" s="392">
        <f t="shared" si="71"/>
        <v>3.4808753231962428</v>
      </c>
      <c r="AB109" s="392">
        <f t="shared" si="60"/>
        <v>29.857696579717398</v>
      </c>
      <c r="AC109" s="392" t="s">
        <v>2755</v>
      </c>
      <c r="AD109" s="391">
        <v>935.19100000000003</v>
      </c>
      <c r="AE109" s="391">
        <v>0</v>
      </c>
      <c r="AF109" s="391">
        <v>0</v>
      </c>
      <c r="AG109" s="390" t="str">
        <f t="shared" si="61"/>
        <v>PV7.1</v>
      </c>
      <c r="AH109" s="389">
        <f t="shared" si="62"/>
        <v>0</v>
      </c>
      <c r="AI109" s="389">
        <f t="shared" si="63"/>
        <v>0</v>
      </c>
      <c r="AJ109" s="389">
        <f t="shared" si="64"/>
        <v>0</v>
      </c>
      <c r="AK109" s="389">
        <f t="shared" si="65"/>
        <v>1</v>
      </c>
      <c r="AL109" s="389">
        <f t="shared" si="66"/>
        <v>0</v>
      </c>
      <c r="AM109" s="389">
        <f t="shared" si="67"/>
        <v>0</v>
      </c>
      <c r="AN109" s="389">
        <f t="shared" si="68"/>
        <v>0</v>
      </c>
      <c r="AO109" s="389">
        <f t="shared" si="69"/>
        <v>0</v>
      </c>
      <c r="AP109" s="389">
        <f t="shared" si="70"/>
        <v>0</v>
      </c>
      <c r="AQ109" s="382"/>
      <c r="AR109" s="388" t="str">
        <f t="shared" si="59"/>
        <v>TERRENO NATURAL</v>
      </c>
    </row>
    <row r="110" spans="2:44" x14ac:dyDescent="0.25">
      <c r="B110" s="393" t="s">
        <v>2614</v>
      </c>
      <c r="C110" s="391">
        <v>938.69600000000003</v>
      </c>
      <c r="D110" s="391">
        <v>937.76900000000001</v>
      </c>
      <c r="E110" s="391">
        <v>0.28299999999999997</v>
      </c>
      <c r="F110" s="391">
        <v>12.532</v>
      </c>
      <c r="G110" s="392">
        <v>0.7</v>
      </c>
      <c r="H110" s="391">
        <v>8.7720000000000002</v>
      </c>
      <c r="I110" s="391">
        <v>1.4999999999999999E-2</v>
      </c>
      <c r="J110" s="392">
        <v>23.84</v>
      </c>
      <c r="K110" s="392">
        <v>259.02999999999997</v>
      </c>
      <c r="L110" s="392">
        <v>40</v>
      </c>
      <c r="M110" s="392">
        <v>2272.2600000000002</v>
      </c>
      <c r="N110" s="393">
        <v>1500</v>
      </c>
      <c r="O110" s="393"/>
      <c r="P110" s="392">
        <v>0.32</v>
      </c>
      <c r="Q110" s="392">
        <v>2.09</v>
      </c>
      <c r="R110" s="392">
        <v>0.89</v>
      </c>
      <c r="S110" s="392">
        <v>59.12</v>
      </c>
      <c r="T110" s="392">
        <v>4.2</v>
      </c>
      <c r="U110" s="392">
        <v>3.4</v>
      </c>
      <c r="V110" s="391">
        <v>934.49599999999998</v>
      </c>
      <c r="W110" s="391">
        <v>934.36900000000003</v>
      </c>
      <c r="X110" s="392">
        <v>0</v>
      </c>
      <c r="Y110" s="392" t="s">
        <v>2751</v>
      </c>
      <c r="Z110" s="392">
        <v>1200</v>
      </c>
      <c r="AA110" s="392">
        <f t="shared" si="71"/>
        <v>3.4874688978576107</v>
      </c>
      <c r="AB110" s="392">
        <f t="shared" si="60"/>
        <v>19.905131053144931</v>
      </c>
      <c r="AC110" s="392" t="s">
        <v>2754</v>
      </c>
      <c r="AD110" s="391">
        <v>934.89099999999996</v>
      </c>
      <c r="AE110" s="391">
        <v>0</v>
      </c>
      <c r="AF110" s="391">
        <v>0</v>
      </c>
      <c r="AG110" s="390" t="str">
        <f t="shared" si="61"/>
        <v>PV8.1</v>
      </c>
      <c r="AH110" s="389">
        <f t="shared" si="62"/>
        <v>0</v>
      </c>
      <c r="AI110" s="389">
        <f t="shared" si="63"/>
        <v>0</v>
      </c>
      <c r="AJ110" s="389">
        <f t="shared" si="64"/>
        <v>0</v>
      </c>
      <c r="AK110" s="389">
        <f t="shared" si="65"/>
        <v>0</v>
      </c>
      <c r="AL110" s="389">
        <f t="shared" si="66"/>
        <v>1</v>
      </c>
      <c r="AM110" s="389">
        <f t="shared" si="67"/>
        <v>0</v>
      </c>
      <c r="AN110" s="389">
        <f t="shared" si="68"/>
        <v>0</v>
      </c>
      <c r="AO110" s="389">
        <f t="shared" si="69"/>
        <v>0</v>
      </c>
      <c r="AP110" s="389">
        <f t="shared" si="70"/>
        <v>0</v>
      </c>
      <c r="AQ110" s="382"/>
      <c r="AR110" s="388" t="str">
        <f t="shared" si="59"/>
        <v>TERRENO NATURAL</v>
      </c>
    </row>
    <row r="111" spans="2:44" x14ac:dyDescent="0.25">
      <c r="B111" s="393" t="s">
        <v>2615</v>
      </c>
      <c r="C111" s="391">
        <v>937.76900000000001</v>
      </c>
      <c r="D111" s="391">
        <v>936.10799999999995</v>
      </c>
      <c r="E111" s="391">
        <v>0.17299999999999999</v>
      </c>
      <c r="F111" s="391">
        <v>12.705</v>
      </c>
      <c r="G111" s="392">
        <v>0.7</v>
      </c>
      <c r="H111" s="391">
        <v>8.8930000000000007</v>
      </c>
      <c r="I111" s="391">
        <v>1.4999999999999999E-2</v>
      </c>
      <c r="J111" s="392">
        <v>24.16</v>
      </c>
      <c r="K111" s="392">
        <v>257.11</v>
      </c>
      <c r="L111" s="392">
        <v>40</v>
      </c>
      <c r="M111" s="392">
        <v>2286.61</v>
      </c>
      <c r="N111" s="393">
        <v>1500</v>
      </c>
      <c r="O111" s="393"/>
      <c r="P111" s="392">
        <v>1.9</v>
      </c>
      <c r="Q111" s="392">
        <v>4.0599999999999996</v>
      </c>
      <c r="R111" s="392">
        <v>0.53</v>
      </c>
      <c r="S111" s="392">
        <v>35.54</v>
      </c>
      <c r="T111" s="392">
        <v>3.4</v>
      </c>
      <c r="U111" s="392">
        <v>2.5</v>
      </c>
      <c r="V111" s="391">
        <v>934.36900000000003</v>
      </c>
      <c r="W111" s="391">
        <v>933.60799999999995</v>
      </c>
      <c r="X111" s="392">
        <v>0</v>
      </c>
      <c r="Y111" s="392" t="s">
        <v>2751</v>
      </c>
      <c r="Z111" s="392">
        <v>1200</v>
      </c>
      <c r="AA111" s="392">
        <f t="shared" si="71"/>
        <v>3.3970249586348724</v>
      </c>
      <c r="AB111" s="392">
        <f t="shared" si="60"/>
        <v>19.905131053144931</v>
      </c>
      <c r="AC111" s="392" t="s">
        <v>2753</v>
      </c>
      <c r="AD111" s="391">
        <v>934.69100000000003</v>
      </c>
      <c r="AE111" s="391">
        <v>0</v>
      </c>
      <c r="AF111" s="391">
        <v>0</v>
      </c>
      <c r="AG111" s="390" t="str">
        <f t="shared" si="61"/>
        <v>PV9.1</v>
      </c>
      <c r="AH111" s="389">
        <f t="shared" si="62"/>
        <v>0</v>
      </c>
      <c r="AI111" s="389">
        <f t="shared" si="63"/>
        <v>0</v>
      </c>
      <c r="AJ111" s="389">
        <f t="shared" si="64"/>
        <v>0</v>
      </c>
      <c r="AK111" s="389">
        <f t="shared" si="65"/>
        <v>0</v>
      </c>
      <c r="AL111" s="389">
        <f t="shared" si="66"/>
        <v>1</v>
      </c>
      <c r="AM111" s="389">
        <f t="shared" si="67"/>
        <v>0</v>
      </c>
      <c r="AN111" s="389">
        <f t="shared" si="68"/>
        <v>0</v>
      </c>
      <c r="AO111" s="389">
        <f t="shared" si="69"/>
        <v>0</v>
      </c>
      <c r="AP111" s="389">
        <f t="shared" si="70"/>
        <v>0</v>
      </c>
      <c r="AQ111" s="382"/>
      <c r="AR111" s="388" t="str">
        <f t="shared" si="59"/>
        <v>TERRENO NATURAL</v>
      </c>
    </row>
    <row r="112" spans="2:44" x14ac:dyDescent="0.25">
      <c r="B112" s="393" t="s">
        <v>2617</v>
      </c>
      <c r="C112" s="391">
        <v>936.10799999999995</v>
      </c>
      <c r="D112" s="391">
        <v>935.25900000000001</v>
      </c>
      <c r="E112" s="391">
        <v>0</v>
      </c>
      <c r="F112" s="391">
        <v>12.705</v>
      </c>
      <c r="G112" s="392">
        <v>0.7</v>
      </c>
      <c r="H112" s="391">
        <v>8.8930000000000007</v>
      </c>
      <c r="I112" s="391">
        <v>1.4999999999999999E-2</v>
      </c>
      <c r="J112" s="392">
        <v>24.32</v>
      </c>
      <c r="K112" s="392">
        <v>256.14</v>
      </c>
      <c r="L112" s="392">
        <v>27.82</v>
      </c>
      <c r="M112" s="392">
        <v>2277.9499999999998</v>
      </c>
      <c r="N112" s="393">
        <v>1500</v>
      </c>
      <c r="O112" s="393"/>
      <c r="P112" s="392">
        <v>0.54</v>
      </c>
      <c r="Q112" s="392">
        <v>2.5499999999999998</v>
      </c>
      <c r="R112" s="392">
        <v>0.76</v>
      </c>
      <c r="S112" s="392">
        <v>50.46</v>
      </c>
      <c r="T112" s="392">
        <v>2.5</v>
      </c>
      <c r="U112" s="392">
        <v>1.8</v>
      </c>
      <c r="V112" s="391">
        <v>933.60799999999995</v>
      </c>
      <c r="W112" s="391">
        <v>933.45899999999995</v>
      </c>
      <c r="X112" s="392">
        <v>0</v>
      </c>
      <c r="Y112" s="392" t="s">
        <v>2751</v>
      </c>
      <c r="Z112" s="392">
        <v>1200</v>
      </c>
      <c r="AA112" s="392">
        <f t="shared" si="71"/>
        <v>3.2152662307058413</v>
      </c>
      <c r="AB112" s="392">
        <f t="shared" si="60"/>
        <v>13.844018647462299</v>
      </c>
      <c r="AC112" s="392" t="s">
        <v>2752</v>
      </c>
      <c r="AD112" s="391">
        <v>934.49099999999999</v>
      </c>
      <c r="AE112" s="391">
        <v>0</v>
      </c>
      <c r="AF112" s="391">
        <v>0</v>
      </c>
      <c r="AG112" s="390" t="str">
        <f t="shared" si="61"/>
        <v>PV10.1</v>
      </c>
      <c r="AH112" s="389">
        <f t="shared" si="62"/>
        <v>0</v>
      </c>
      <c r="AI112" s="389">
        <f t="shared" si="63"/>
        <v>0</v>
      </c>
      <c r="AJ112" s="389">
        <f t="shared" si="64"/>
        <v>0</v>
      </c>
      <c r="AK112" s="389">
        <f t="shared" si="65"/>
        <v>0</v>
      </c>
      <c r="AL112" s="389">
        <f t="shared" si="66"/>
        <v>1</v>
      </c>
      <c r="AM112" s="389">
        <f t="shared" si="67"/>
        <v>0</v>
      </c>
      <c r="AN112" s="389">
        <f t="shared" si="68"/>
        <v>0</v>
      </c>
      <c r="AO112" s="389">
        <f t="shared" si="69"/>
        <v>0</v>
      </c>
      <c r="AP112" s="389">
        <f t="shared" si="70"/>
        <v>0</v>
      </c>
      <c r="AQ112" s="382"/>
      <c r="AR112" s="388" t="str">
        <f t="shared" si="59"/>
        <v>TERRENO NATURAL</v>
      </c>
    </row>
    <row r="113" spans="2:44" x14ac:dyDescent="0.25">
      <c r="B113" s="393" t="s">
        <v>2618</v>
      </c>
      <c r="C113" s="391">
        <v>935.25900000000001</v>
      </c>
      <c r="D113" s="391">
        <v>934.99400000000003</v>
      </c>
      <c r="E113" s="391">
        <v>0</v>
      </c>
      <c r="F113" s="391">
        <v>12.705</v>
      </c>
      <c r="G113" s="392">
        <v>0.7</v>
      </c>
      <c r="H113" s="391">
        <v>8.8930000000000007</v>
      </c>
      <c r="I113" s="391">
        <v>1.4999999999999999E-2</v>
      </c>
      <c r="J113" s="392">
        <v>24.51</v>
      </c>
      <c r="K113" s="392">
        <v>255.07</v>
      </c>
      <c r="L113" s="392">
        <v>20.79</v>
      </c>
      <c r="M113" s="392">
        <v>2268.4299999999998</v>
      </c>
      <c r="N113" s="394">
        <v>1800</v>
      </c>
      <c r="O113" s="393"/>
      <c r="P113" s="392">
        <v>0.79</v>
      </c>
      <c r="Q113" s="392">
        <v>2.94</v>
      </c>
      <c r="R113" s="392">
        <v>0.65</v>
      </c>
      <c r="S113" s="392">
        <v>40.86</v>
      </c>
      <c r="T113" s="392">
        <v>1.9</v>
      </c>
      <c r="U113" s="392">
        <v>1.8</v>
      </c>
      <c r="V113" s="391">
        <v>933.35900000000004</v>
      </c>
      <c r="W113" s="391">
        <v>933.19399999999996</v>
      </c>
      <c r="X113" s="392">
        <v>0</v>
      </c>
      <c r="Y113" s="392" t="s">
        <v>2751</v>
      </c>
      <c r="Z113" s="392">
        <v>0</v>
      </c>
      <c r="AA113" s="392">
        <v>0</v>
      </c>
      <c r="AB113" s="392">
        <v>0</v>
      </c>
      <c r="AC113" s="392">
        <v>0</v>
      </c>
      <c r="AD113" s="391">
        <v>0</v>
      </c>
      <c r="AE113" s="391">
        <v>0</v>
      </c>
      <c r="AF113" s="391">
        <v>0</v>
      </c>
      <c r="AG113" s="390" t="str">
        <f t="shared" si="61"/>
        <v>PV11.1</v>
      </c>
      <c r="AH113" s="389">
        <f t="shared" si="62"/>
        <v>0</v>
      </c>
      <c r="AI113" s="389">
        <f t="shared" si="63"/>
        <v>0</v>
      </c>
      <c r="AJ113" s="389">
        <f t="shared" si="64"/>
        <v>0</v>
      </c>
      <c r="AK113" s="389">
        <f t="shared" si="65"/>
        <v>0</v>
      </c>
      <c r="AL113" s="389">
        <f t="shared" si="66"/>
        <v>0</v>
      </c>
      <c r="AM113" s="389">
        <f t="shared" si="67"/>
        <v>0</v>
      </c>
      <c r="AN113" s="389">
        <f t="shared" si="68"/>
        <v>0</v>
      </c>
      <c r="AO113" s="389">
        <f t="shared" si="69"/>
        <v>0</v>
      </c>
      <c r="AP113" s="389">
        <f t="shared" si="70"/>
        <v>0</v>
      </c>
      <c r="AQ113" s="382"/>
      <c r="AR113" s="388" t="str">
        <f t="shared" si="59"/>
        <v>TERRENO NATURAL</v>
      </c>
    </row>
    <row r="114" spans="2:44" x14ac:dyDescent="0.25">
      <c r="B114" s="393" t="s">
        <v>2620</v>
      </c>
      <c r="C114" s="391">
        <v>934.99400000000003</v>
      </c>
      <c r="D114" s="391">
        <v>932.97500000000002</v>
      </c>
      <c r="E114" s="391">
        <v>0</v>
      </c>
      <c r="F114" s="391">
        <v>12.705</v>
      </c>
      <c r="G114" s="392">
        <v>0.7</v>
      </c>
      <c r="H114" s="391">
        <v>8.8930000000000007</v>
      </c>
      <c r="I114" s="391">
        <v>1.4999999999999999E-2</v>
      </c>
      <c r="J114" s="392">
        <v>24.62</v>
      </c>
      <c r="K114" s="392">
        <v>254.38</v>
      </c>
      <c r="L114" s="392">
        <v>11.27</v>
      </c>
      <c r="M114" s="392">
        <v>2262.31</v>
      </c>
      <c r="N114" s="393">
        <v>1500</v>
      </c>
      <c r="O114" s="393"/>
      <c r="P114" s="392">
        <v>5.49</v>
      </c>
      <c r="Q114" s="392">
        <v>5.93</v>
      </c>
      <c r="R114" s="392">
        <v>0.4</v>
      </c>
      <c r="S114" s="392">
        <v>26.84</v>
      </c>
      <c r="T114" s="392">
        <v>1.8</v>
      </c>
      <c r="U114" s="392">
        <v>0.4</v>
      </c>
      <c r="V114" s="391">
        <v>933.19399999999996</v>
      </c>
      <c r="W114" s="391">
        <v>932.57500000000005</v>
      </c>
      <c r="X114" s="392">
        <v>0</v>
      </c>
      <c r="Y114" s="392" t="s">
        <v>2751</v>
      </c>
      <c r="Z114" s="392">
        <v>0</v>
      </c>
      <c r="AA114" s="392">
        <v>0</v>
      </c>
      <c r="AB114" s="392">
        <v>0</v>
      </c>
      <c r="AC114" s="392">
        <v>0</v>
      </c>
      <c r="AD114" s="391">
        <v>0</v>
      </c>
      <c r="AE114" s="391">
        <v>0</v>
      </c>
      <c r="AF114" s="391">
        <v>0</v>
      </c>
      <c r="AG114" s="390" t="str">
        <f t="shared" si="61"/>
        <v>PV12.1</v>
      </c>
      <c r="AH114" s="389">
        <f t="shared" si="62"/>
        <v>0</v>
      </c>
      <c r="AI114" s="389">
        <f t="shared" si="63"/>
        <v>0</v>
      </c>
      <c r="AJ114" s="389">
        <f t="shared" si="64"/>
        <v>0</v>
      </c>
      <c r="AK114" s="389">
        <f t="shared" si="65"/>
        <v>0</v>
      </c>
      <c r="AL114" s="389">
        <f t="shared" si="66"/>
        <v>1</v>
      </c>
      <c r="AM114" s="389">
        <f t="shared" si="67"/>
        <v>0</v>
      </c>
      <c r="AN114" s="389">
        <f t="shared" si="68"/>
        <v>0</v>
      </c>
      <c r="AO114" s="389">
        <f t="shared" si="69"/>
        <v>0</v>
      </c>
      <c r="AP114" s="389">
        <f t="shared" si="70"/>
        <v>0</v>
      </c>
      <c r="AQ114" s="382"/>
      <c r="AR114" s="388" t="str">
        <f t="shared" si="59"/>
        <v>TERRENO NATURAL</v>
      </c>
    </row>
    <row r="115" spans="2:44" x14ac:dyDescent="0.25">
      <c r="B115" s="382"/>
      <c r="C115" s="382"/>
      <c r="D115" s="382"/>
      <c r="E115" s="382"/>
      <c r="F115" s="382"/>
      <c r="G115" s="382"/>
      <c r="H115" s="382"/>
      <c r="I115" s="382"/>
      <c r="J115" s="382"/>
      <c r="K115" s="382"/>
      <c r="L115" s="382"/>
      <c r="M115" s="382"/>
      <c r="N115" s="382"/>
      <c r="O115" s="382"/>
      <c r="P115" s="382"/>
      <c r="Q115" s="382"/>
      <c r="R115" s="382"/>
      <c r="S115" s="382"/>
      <c r="T115" s="382"/>
      <c r="U115" s="382"/>
      <c r="V115" s="382"/>
      <c r="W115" s="382"/>
      <c r="X115" s="382"/>
      <c r="Y115" s="384"/>
      <c r="Z115" s="384"/>
      <c r="AA115" s="387">
        <f>SUM(AA54:AA114)</f>
        <v>96.234305887302895</v>
      </c>
      <c r="AB115" s="387">
        <f>SUM(AB54:AB114)</f>
        <v>564.46517937007013</v>
      </c>
      <c r="AC115" s="383"/>
      <c r="AD115" s="383"/>
      <c r="AE115" s="385">
        <f>SUM(AE54:AE114)+111</f>
        <v>164</v>
      </c>
      <c r="AF115" s="385">
        <f>SUM(AF54:AF114)+61</f>
        <v>91</v>
      </c>
      <c r="AG115" s="386"/>
      <c r="AH115" s="385">
        <f t="shared" ref="AH115:AP115" si="72">SUM(AH54:AH114)</f>
        <v>11</v>
      </c>
      <c r="AI115" s="385">
        <f t="shared" si="72"/>
        <v>10</v>
      </c>
      <c r="AJ115" s="385">
        <f t="shared" si="72"/>
        <v>8</v>
      </c>
      <c r="AK115" s="385">
        <f t="shared" si="72"/>
        <v>6</v>
      </c>
      <c r="AL115" s="385">
        <f t="shared" si="72"/>
        <v>7</v>
      </c>
      <c r="AM115" s="385">
        <f t="shared" si="72"/>
        <v>7</v>
      </c>
      <c r="AN115" s="385">
        <f t="shared" si="72"/>
        <v>5</v>
      </c>
      <c r="AO115" s="385">
        <f t="shared" si="72"/>
        <v>2</v>
      </c>
      <c r="AP115" s="385">
        <f t="shared" si="72"/>
        <v>0</v>
      </c>
      <c r="AQ115" s="382"/>
      <c r="AR115" s="382"/>
    </row>
    <row r="116" spans="2:44" x14ac:dyDescent="0.25">
      <c r="B116" s="382"/>
      <c r="C116" s="382"/>
      <c r="D116" s="382"/>
      <c r="E116" s="382"/>
      <c r="F116" s="382"/>
      <c r="G116" s="382"/>
      <c r="H116" s="382"/>
      <c r="I116" s="382"/>
      <c r="J116" s="382"/>
      <c r="K116" s="382"/>
      <c r="L116" s="382"/>
      <c r="M116" s="382"/>
      <c r="N116" s="382"/>
      <c r="O116" s="382"/>
      <c r="P116" s="382"/>
      <c r="Q116" s="382"/>
      <c r="R116" s="382"/>
      <c r="S116" s="382"/>
      <c r="T116" s="382"/>
      <c r="U116" s="382"/>
      <c r="V116" s="382"/>
      <c r="W116" s="382"/>
      <c r="X116" s="382"/>
      <c r="Y116" s="384"/>
      <c r="Z116" s="384"/>
      <c r="AA116" s="383"/>
      <c r="AB116" s="383"/>
      <c r="AC116" s="383"/>
      <c r="AD116" s="383"/>
      <c r="AE116" s="382"/>
      <c r="AF116" s="382"/>
      <c r="AG116" s="382"/>
      <c r="AH116" s="382"/>
      <c r="AI116" s="382"/>
      <c r="AJ116" s="382"/>
      <c r="AK116" s="382"/>
      <c r="AL116" s="382"/>
      <c r="AM116" s="382"/>
      <c r="AN116" s="382"/>
      <c r="AO116" s="382"/>
      <c r="AP116" s="382"/>
      <c r="AQ116" s="382"/>
      <c r="AR116" s="382"/>
    </row>
    <row r="117" spans="2:44" x14ac:dyDescent="0.25">
      <c r="B117" s="382"/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382"/>
      <c r="N117" s="382"/>
      <c r="O117" s="382"/>
      <c r="P117" s="382"/>
      <c r="Q117" s="382"/>
      <c r="R117" s="382"/>
      <c r="S117" s="382"/>
      <c r="T117" s="382"/>
      <c r="U117" s="382"/>
      <c r="V117" s="382"/>
      <c r="W117" s="382"/>
      <c r="X117" s="382"/>
      <c r="Y117" s="384"/>
      <c r="Z117" s="384"/>
      <c r="AA117" s="383"/>
      <c r="AB117" s="383"/>
      <c r="AC117" s="383"/>
      <c r="AD117" s="383"/>
      <c r="AE117" s="382"/>
      <c r="AF117" s="382"/>
      <c r="AG117" s="382"/>
      <c r="AH117" s="382"/>
      <c r="AI117" s="382"/>
      <c r="AJ117" s="382"/>
      <c r="AK117" s="382"/>
      <c r="AL117" s="382"/>
      <c r="AM117" s="382"/>
      <c r="AN117" s="382"/>
      <c r="AO117" s="382"/>
      <c r="AP117" s="382"/>
      <c r="AQ117" s="382"/>
      <c r="AR117" s="382"/>
    </row>
    <row r="118" spans="2:44" x14ac:dyDescent="0.25">
      <c r="B118" s="382"/>
      <c r="C118" s="382"/>
      <c r="D118" s="382"/>
      <c r="E118" s="382"/>
      <c r="F118" s="382"/>
      <c r="G118" s="382"/>
      <c r="H118" s="382"/>
      <c r="I118" s="382"/>
      <c r="J118" s="382"/>
      <c r="K118" s="382"/>
      <c r="L118" s="382"/>
      <c r="M118" s="382"/>
      <c r="N118" s="382"/>
      <c r="O118" s="382"/>
      <c r="P118" s="382"/>
      <c r="Q118" s="382"/>
      <c r="R118" s="382"/>
      <c r="S118" s="382"/>
      <c r="T118" s="382"/>
      <c r="U118" s="382"/>
      <c r="V118" s="382"/>
      <c r="W118" s="382"/>
      <c r="X118" s="382"/>
      <c r="Y118" s="384"/>
      <c r="Z118" s="384"/>
      <c r="AA118" s="383"/>
      <c r="AB118" s="383"/>
      <c r="AC118" s="383"/>
      <c r="AD118" s="383"/>
      <c r="AE118" s="382"/>
      <c r="AF118" s="382"/>
      <c r="AG118" s="382"/>
      <c r="AH118" s="382"/>
      <c r="AI118" s="382"/>
      <c r="AJ118" s="382"/>
      <c r="AK118" s="382"/>
      <c r="AL118" s="382"/>
      <c r="AM118" s="382"/>
      <c r="AN118" s="382"/>
      <c r="AO118" s="382"/>
      <c r="AP118" s="382"/>
      <c r="AQ118" s="382"/>
      <c r="AR118" s="382"/>
    </row>
    <row r="119" spans="2:44" x14ac:dyDescent="0.25">
      <c r="B119" s="382"/>
      <c r="C119" s="382"/>
      <c r="D119" s="382"/>
      <c r="E119" s="382"/>
      <c r="F119" s="382"/>
      <c r="G119" s="382"/>
      <c r="H119" s="382"/>
      <c r="I119" s="382"/>
      <c r="J119" s="382"/>
      <c r="K119" s="382"/>
      <c r="L119" s="382"/>
      <c r="M119" s="382"/>
      <c r="N119" s="382"/>
      <c r="O119" s="382"/>
      <c r="P119" s="382"/>
      <c r="Q119" s="382"/>
      <c r="R119" s="382"/>
      <c r="S119" s="382"/>
      <c r="T119" s="382"/>
      <c r="U119" s="382"/>
      <c r="V119" s="382"/>
      <c r="W119" s="382"/>
      <c r="X119" s="382"/>
      <c r="Y119" s="384"/>
      <c r="Z119" s="384"/>
      <c r="AA119" s="383"/>
      <c r="AB119" s="383"/>
      <c r="AC119" s="383"/>
      <c r="AD119" s="383"/>
      <c r="AE119" s="382"/>
      <c r="AF119" s="382"/>
      <c r="AG119" s="382"/>
      <c r="AH119" s="382"/>
      <c r="AI119" s="382"/>
      <c r="AJ119" s="382"/>
      <c r="AK119" s="382"/>
      <c r="AL119" s="382"/>
      <c r="AM119" s="382"/>
      <c r="AN119" s="382"/>
      <c r="AO119" s="382"/>
      <c r="AP119" s="382"/>
      <c r="AQ119" s="382"/>
      <c r="AR119" s="382"/>
    </row>
    <row r="120" spans="2:44" x14ac:dyDescent="0.25">
      <c r="B120" s="382"/>
      <c r="C120" s="382"/>
      <c r="D120" s="382"/>
      <c r="E120" s="382"/>
      <c r="F120" s="382"/>
      <c r="G120" s="382"/>
      <c r="H120" s="382"/>
      <c r="I120" s="382"/>
      <c r="J120" s="382"/>
      <c r="K120" s="382"/>
      <c r="L120" s="382"/>
      <c r="M120" s="382"/>
      <c r="N120" s="382"/>
      <c r="O120" s="382"/>
      <c r="P120" s="382"/>
      <c r="Q120" s="382"/>
      <c r="R120" s="382"/>
      <c r="S120" s="382"/>
      <c r="T120" s="382"/>
      <c r="U120" s="382"/>
      <c r="V120" s="382"/>
      <c r="W120" s="382"/>
      <c r="X120" s="382"/>
      <c r="Y120" s="384"/>
      <c r="Z120" s="384"/>
      <c r="AA120" s="383"/>
      <c r="AB120" s="383"/>
      <c r="AC120" s="383"/>
      <c r="AD120" s="383"/>
      <c r="AE120" s="382"/>
      <c r="AF120" s="382"/>
      <c r="AG120" s="382"/>
      <c r="AH120" s="382"/>
      <c r="AI120" s="382"/>
      <c r="AJ120" s="382"/>
      <c r="AK120" s="382"/>
      <c r="AL120" s="382"/>
      <c r="AM120" s="382"/>
      <c r="AN120" s="382"/>
      <c r="AO120" s="382"/>
      <c r="AP120" s="382"/>
      <c r="AQ120" s="382"/>
      <c r="AR120" s="382"/>
    </row>
    <row r="121" spans="2:44" x14ac:dyDescent="0.25">
      <c r="B121" s="382"/>
      <c r="C121" s="382"/>
      <c r="D121" s="382"/>
      <c r="E121" s="382"/>
      <c r="F121" s="382"/>
      <c r="G121" s="382"/>
      <c r="H121" s="382"/>
      <c r="I121" s="382"/>
      <c r="J121" s="382"/>
      <c r="K121" s="382"/>
      <c r="L121" s="382"/>
      <c r="M121" s="382"/>
      <c r="N121" s="382"/>
      <c r="O121" s="382"/>
      <c r="P121" s="382"/>
      <c r="Q121" s="382"/>
      <c r="R121" s="382"/>
      <c r="S121" s="382"/>
      <c r="T121" s="382"/>
      <c r="U121" s="382"/>
      <c r="V121" s="382"/>
      <c r="W121" s="382"/>
      <c r="X121" s="382"/>
      <c r="Y121" s="384"/>
      <c r="Z121" s="384"/>
      <c r="AA121" s="383"/>
      <c r="AB121" s="383"/>
      <c r="AC121" s="383"/>
      <c r="AD121" s="383"/>
      <c r="AE121" s="382"/>
      <c r="AF121" s="382"/>
      <c r="AG121" s="382"/>
      <c r="AH121" s="382"/>
      <c r="AI121" s="382"/>
      <c r="AJ121" s="382"/>
      <c r="AK121" s="382"/>
      <c r="AL121" s="382"/>
      <c r="AM121" s="382"/>
      <c r="AN121" s="382"/>
      <c r="AO121" s="382"/>
      <c r="AP121" s="382"/>
      <c r="AQ121" s="382"/>
      <c r="AR121" s="382"/>
    </row>
    <row r="122" spans="2:44" x14ac:dyDescent="0.25">
      <c r="B122" s="382"/>
      <c r="C122" s="382"/>
      <c r="D122" s="382"/>
      <c r="E122" s="382"/>
      <c r="F122" s="382"/>
      <c r="G122" s="382"/>
      <c r="H122" s="382"/>
      <c r="I122" s="382"/>
      <c r="J122" s="382"/>
      <c r="K122" s="382"/>
      <c r="L122" s="382"/>
      <c r="M122" s="382"/>
      <c r="N122" s="382"/>
      <c r="O122" s="382"/>
      <c r="P122" s="382"/>
      <c r="Q122" s="382"/>
      <c r="R122" s="382"/>
      <c r="S122" s="382"/>
      <c r="T122" s="382"/>
      <c r="U122" s="382"/>
      <c r="V122" s="382"/>
      <c r="W122" s="382"/>
      <c r="X122" s="382"/>
      <c r="Y122" s="384"/>
      <c r="Z122" s="384"/>
      <c r="AA122" s="383"/>
      <c r="AB122" s="383"/>
      <c r="AC122" s="383"/>
      <c r="AD122" s="383"/>
      <c r="AE122" s="382"/>
      <c r="AF122" s="382"/>
      <c r="AG122" s="382"/>
      <c r="AH122" s="382"/>
      <c r="AI122" s="382"/>
      <c r="AJ122" s="382"/>
      <c r="AK122" s="382"/>
      <c r="AL122" s="382"/>
      <c r="AM122" s="382"/>
      <c r="AN122" s="382"/>
      <c r="AO122" s="382"/>
      <c r="AP122" s="382"/>
      <c r="AQ122" s="382"/>
      <c r="AR122" s="382"/>
    </row>
    <row r="123" spans="2:44" x14ac:dyDescent="0.25">
      <c r="B123" s="382"/>
      <c r="C123" s="382"/>
      <c r="D123" s="382"/>
      <c r="E123" s="382"/>
      <c r="F123" s="382"/>
      <c r="G123" s="382"/>
      <c r="H123" s="382"/>
      <c r="I123" s="382"/>
      <c r="J123" s="382"/>
      <c r="K123" s="382"/>
      <c r="L123" s="382"/>
      <c r="M123" s="382"/>
      <c r="N123" s="382"/>
      <c r="O123" s="382"/>
      <c r="P123" s="382"/>
      <c r="Q123" s="382"/>
      <c r="R123" s="382"/>
      <c r="S123" s="382"/>
      <c r="T123" s="382"/>
      <c r="U123" s="382"/>
      <c r="V123" s="382"/>
      <c r="W123" s="382"/>
      <c r="X123" s="382"/>
      <c r="Y123" s="384"/>
      <c r="Z123" s="384"/>
      <c r="AA123" s="383"/>
      <c r="AB123" s="383"/>
      <c r="AC123" s="383"/>
      <c r="AD123" s="383"/>
      <c r="AE123" s="382"/>
      <c r="AF123" s="382"/>
      <c r="AG123" s="382"/>
      <c r="AH123" s="382"/>
      <c r="AI123" s="382"/>
      <c r="AJ123" s="382"/>
      <c r="AK123" s="382"/>
      <c r="AL123" s="382"/>
      <c r="AM123" s="382"/>
      <c r="AN123" s="382"/>
      <c r="AO123" s="382"/>
      <c r="AP123" s="382"/>
      <c r="AQ123" s="382"/>
      <c r="AR123" s="382"/>
    </row>
    <row r="124" spans="2:44" x14ac:dyDescent="0.25">
      <c r="B124" s="382"/>
      <c r="C124" s="382"/>
      <c r="D124" s="382"/>
      <c r="E124" s="382"/>
      <c r="F124" s="382"/>
      <c r="G124" s="382"/>
      <c r="H124" s="382"/>
      <c r="I124" s="382"/>
      <c r="J124" s="382"/>
      <c r="K124" s="382"/>
      <c r="L124" s="382"/>
      <c r="M124" s="382"/>
      <c r="N124" s="382"/>
      <c r="O124" s="382"/>
      <c r="P124" s="382"/>
      <c r="Q124" s="382"/>
      <c r="R124" s="382"/>
      <c r="S124" s="382"/>
      <c r="T124" s="382"/>
      <c r="U124" s="382"/>
      <c r="V124" s="382"/>
      <c r="W124" s="382"/>
      <c r="X124" s="382"/>
      <c r="Y124" s="384"/>
      <c r="Z124" s="384"/>
      <c r="AA124" s="383"/>
      <c r="AB124" s="383"/>
      <c r="AC124" s="383"/>
      <c r="AD124" s="383"/>
      <c r="AE124" s="382"/>
      <c r="AF124" s="382"/>
      <c r="AG124" s="382"/>
      <c r="AH124" s="382"/>
      <c r="AI124" s="382"/>
      <c r="AJ124" s="382"/>
      <c r="AK124" s="382"/>
      <c r="AL124" s="382"/>
      <c r="AM124" s="382"/>
      <c r="AN124" s="382"/>
      <c r="AO124" s="382"/>
      <c r="AP124" s="382"/>
      <c r="AQ124" s="382"/>
      <c r="AR124" s="382"/>
    </row>
    <row r="125" spans="2:44" x14ac:dyDescent="0.25">
      <c r="B125" s="382"/>
      <c r="C125" s="382"/>
      <c r="D125" s="382"/>
      <c r="E125" s="382"/>
      <c r="F125" s="382"/>
      <c r="G125" s="382"/>
      <c r="H125" s="382"/>
      <c r="I125" s="382"/>
      <c r="J125" s="382"/>
      <c r="K125" s="382"/>
      <c r="L125" s="382"/>
      <c r="M125" s="382"/>
      <c r="N125" s="382"/>
      <c r="O125" s="382"/>
      <c r="P125" s="382"/>
      <c r="Q125" s="382"/>
      <c r="R125" s="382"/>
      <c r="S125" s="382"/>
      <c r="T125" s="382"/>
      <c r="U125" s="382"/>
      <c r="V125" s="382"/>
      <c r="W125" s="382"/>
      <c r="X125" s="382"/>
      <c r="Y125" s="384"/>
      <c r="Z125" s="384"/>
      <c r="AA125" s="383"/>
      <c r="AB125" s="383"/>
      <c r="AC125" s="383"/>
      <c r="AD125" s="383"/>
      <c r="AE125" s="382"/>
      <c r="AF125" s="382"/>
      <c r="AG125" s="382"/>
      <c r="AH125" s="382"/>
      <c r="AI125" s="382"/>
      <c r="AJ125" s="382"/>
      <c r="AK125" s="382"/>
      <c r="AL125" s="382"/>
      <c r="AM125" s="382"/>
      <c r="AN125" s="382"/>
      <c r="AO125" s="382"/>
      <c r="AP125" s="382"/>
      <c r="AQ125" s="382"/>
      <c r="AR125" s="382"/>
    </row>
    <row r="126" spans="2:44" x14ac:dyDescent="0.25">
      <c r="B126" s="382"/>
      <c r="C126" s="382"/>
      <c r="D126" s="382"/>
      <c r="E126" s="382"/>
      <c r="F126" s="382"/>
      <c r="G126" s="382"/>
      <c r="H126" s="382"/>
      <c r="I126" s="382"/>
      <c r="J126" s="382"/>
      <c r="K126" s="382"/>
      <c r="L126" s="382"/>
      <c r="M126" s="382"/>
      <c r="N126" s="382"/>
      <c r="O126" s="382"/>
      <c r="P126" s="382"/>
      <c r="Q126" s="382"/>
      <c r="R126" s="382"/>
      <c r="S126" s="382"/>
      <c r="T126" s="382"/>
      <c r="U126" s="382"/>
      <c r="V126" s="382"/>
      <c r="W126" s="382"/>
      <c r="X126" s="382"/>
      <c r="Y126" s="384"/>
      <c r="Z126" s="384"/>
      <c r="AA126" s="383"/>
      <c r="AB126" s="383"/>
      <c r="AC126" s="383"/>
      <c r="AD126" s="383"/>
      <c r="AE126" s="382"/>
      <c r="AF126" s="382"/>
      <c r="AG126" s="382"/>
      <c r="AH126" s="382"/>
      <c r="AI126" s="382"/>
      <c r="AJ126" s="382"/>
      <c r="AK126" s="382"/>
      <c r="AL126" s="382"/>
      <c r="AM126" s="382"/>
      <c r="AN126" s="382"/>
      <c r="AO126" s="382"/>
      <c r="AP126" s="382"/>
      <c r="AQ126" s="382"/>
      <c r="AR126" s="382"/>
    </row>
    <row r="127" spans="2:44" x14ac:dyDescent="0.25">
      <c r="B127" s="382"/>
      <c r="C127" s="382"/>
      <c r="D127" s="382"/>
      <c r="E127" s="382"/>
      <c r="F127" s="382"/>
      <c r="G127" s="382"/>
      <c r="H127" s="382"/>
      <c r="I127" s="382"/>
      <c r="J127" s="382"/>
      <c r="K127" s="382"/>
      <c r="L127" s="382"/>
      <c r="M127" s="382"/>
      <c r="N127" s="382"/>
      <c r="O127" s="382"/>
      <c r="P127" s="382"/>
      <c r="Q127" s="382"/>
      <c r="R127" s="382"/>
      <c r="S127" s="382"/>
      <c r="T127" s="382"/>
      <c r="U127" s="382"/>
      <c r="V127" s="382"/>
      <c r="W127" s="382"/>
      <c r="X127" s="382"/>
      <c r="Y127" s="384"/>
      <c r="Z127" s="384"/>
      <c r="AA127" s="383"/>
      <c r="AB127" s="383"/>
      <c r="AC127" s="383"/>
      <c r="AD127" s="383"/>
      <c r="AE127" s="382"/>
      <c r="AF127" s="382"/>
      <c r="AG127" s="382"/>
      <c r="AH127" s="382"/>
      <c r="AI127" s="382"/>
      <c r="AJ127" s="382"/>
      <c r="AK127" s="382"/>
      <c r="AL127" s="382"/>
      <c r="AM127" s="382"/>
      <c r="AN127" s="382"/>
      <c r="AO127" s="382"/>
      <c r="AP127" s="382"/>
      <c r="AQ127" s="382"/>
      <c r="AR127" s="382"/>
    </row>
  </sheetData>
  <autoFilter ref="A7:AB15" xr:uid="{63C02FB7-D530-4D87-A28B-AD35976CF53A}">
    <filterColumn colId="2" showButton="0"/>
    <filterColumn colId="4" showButton="0"/>
    <filterColumn colId="12" showButton="0"/>
    <filterColumn colId="17" showButton="0"/>
    <filterColumn colId="19" showButton="0"/>
  </autoFilter>
  <mergeCells count="14">
    <mergeCell ref="V51:W51"/>
    <mergeCell ref="B45:Y45"/>
    <mergeCell ref="C46:L47"/>
    <mergeCell ref="C51:D51"/>
    <mergeCell ref="E51:F51"/>
    <mergeCell ref="N51:O51"/>
    <mergeCell ref="T51:U51"/>
    <mergeCell ref="B1:U1"/>
    <mergeCell ref="C2:K3"/>
    <mergeCell ref="C7:D7"/>
    <mergeCell ref="E7:F7"/>
    <mergeCell ref="M7:N7"/>
    <mergeCell ref="R7:S7"/>
    <mergeCell ref="T7:U7"/>
  </mergeCells>
  <printOptions horizontalCentered="1"/>
  <pageMargins left="0.39370078740157499" right="0.118110236220472" top="0.98425196850393704" bottom="0.98425196850393704" header="0.511811023622047" footer="0.511811023622047"/>
  <pageSetup paperSize="8" scale="87" fitToHeight="0" orientation="landscape" verticalDpi="300" r:id="rId1"/>
  <headerFooter alignWithMargins="0">
    <oddFooter>&amp;CPágina &amp;P de &amp;N&amp;R&amp;G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12</vt:i4>
      </vt:variant>
    </vt:vector>
  </HeadingPairs>
  <TitlesOfParts>
    <vt:vector size="24" baseType="lpstr">
      <vt:lpstr>RESUMO</vt:lpstr>
      <vt:lpstr>ORÇAMENTO</vt:lpstr>
      <vt:lpstr>CLASSIFICAÇÃO ABC</vt:lpstr>
      <vt:lpstr>CPUs</vt:lpstr>
      <vt:lpstr>CRONOGRAMA</vt:lpstr>
      <vt:lpstr>Plan2</vt:lpstr>
      <vt:lpstr>ANEXO I - MEM. CÁLC</vt:lpstr>
      <vt:lpstr>ANEXO II - MOVIMENTAÇÃO DE SOLO</vt:lpstr>
      <vt:lpstr>Quantitativos</vt:lpstr>
      <vt:lpstr>BOCA DE LOBO</vt:lpstr>
      <vt:lpstr>QUANTBL</vt:lpstr>
      <vt:lpstr>Planilha Hidráulica</vt:lpstr>
      <vt:lpstr>'ANEXO I - MEM. CÁLC'!Area_de_impressao</vt:lpstr>
      <vt:lpstr>'CLASSIFICAÇÃO ABC'!Area_de_impressao</vt:lpstr>
      <vt:lpstr>CPUs!Area_de_impressao</vt:lpstr>
      <vt:lpstr>CRONOGRAMA!Area_de_impressao</vt:lpstr>
      <vt:lpstr>ORÇAMENTO!Area_de_impressao</vt:lpstr>
      <vt:lpstr>'Planilha Hidráulica'!Area_de_impressao</vt:lpstr>
      <vt:lpstr>RESUMO!Area_de_impressao</vt:lpstr>
      <vt:lpstr>'CLASSIFICAÇÃO ABC'!Titulos_de_impressao</vt:lpstr>
      <vt:lpstr>CPUs!Titulos_de_impressao</vt:lpstr>
      <vt:lpstr>ORÇAMENTO!Titulos_de_impressao</vt:lpstr>
      <vt:lpstr>'Planilha Hidráulica'!Titulos_de_impressao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Diolivia Alves Carvalho Tiburcio</cp:lastModifiedBy>
  <cp:revision>0</cp:revision>
  <cp:lastPrinted>2025-02-06T18:43:13Z</cp:lastPrinted>
  <dcterms:created xsi:type="dcterms:W3CDTF">2024-02-20T14:24:26Z</dcterms:created>
  <dcterms:modified xsi:type="dcterms:W3CDTF">2025-05-16T11:41:59Z</dcterms:modified>
</cp:coreProperties>
</file>